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0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00100203\NATURGY\Regulação - 000- DIREG\Regulação e tarifas\5ª RTI\5-Templates\Versão Taxa 8,92%\"/>
    </mc:Choice>
  </mc:AlternateContent>
  <xr:revisionPtr revIDLastSave="0" documentId="8_{41B5A5AF-EBDF-4FBE-8507-3AB8D9E82F82}" xr6:coauthVersionLast="47" xr6:coauthVersionMax="47" xr10:uidLastSave="{00000000-0000-0000-0000-000000000000}"/>
  <bookViews>
    <workbookView xWindow="-110" yWindow="-110" windowWidth="19420" windowHeight="12300" tabRatio="845" firstSheet="1" activeTab="1" xr2:uid="{0FD77B84-D2FE-462C-ADB5-AD66B7C7C3A6}"/>
  </bookViews>
  <sheets>
    <sheet name="Inputs" sheetId="62" r:id="rId1"/>
    <sheet name="Resultados" sheetId="38" r:id="rId2"/>
    <sheet name="Tabelas PN" sheetId="77" r:id="rId3"/>
    <sheet name="Juros CP" sheetId="67" r:id="rId4"/>
    <sheet name="Reposição" sheetId="83" r:id="rId5"/>
    <sheet name="Demanda" sheetId="69" r:id="rId6"/>
    <sheet name="BRR" sheetId="57" r:id="rId7"/>
    <sheet name="Subinvest 18-22" sheetId="81" r:id="rId8"/>
    <sheet name="Investimentos" sheetId="59" r:id="rId9"/>
    <sheet name="OPEX" sheetId="61" r:id="rId10"/>
    <sheet name="IGPM Represado" sheetId="82" r:id="rId11"/>
    <sheet name="Mercado" sheetId="70" r:id="rId12"/>
    <sheet name="Usuarios" sheetId="71" r:id="rId13"/>
    <sheet name="Tarifas" sheetId="72" r:id="rId14"/>
    <sheet name="Vendas Vigente" sheetId="73" r:id="rId15"/>
    <sheet name="Vendas ajustada" sheetId="74" r:id="rId16"/>
    <sheet name="Inadimplência" sheetId="60" r:id="rId17"/>
    <sheet name="Correlatas" sheetId="64" r:id="rId18"/>
    <sheet name="IGPM" sheetId="63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A" localSheetId="1">#REF!</definedName>
    <definedName name="\A" localSheetId="7">#REF!</definedName>
    <definedName name="\A" localSheetId="2">#REF!</definedName>
    <definedName name="\A">#REF!</definedName>
    <definedName name="\C" localSheetId="7">#REF!</definedName>
    <definedName name="\C" localSheetId="2">#REF!</definedName>
    <definedName name="\C">#REF!</definedName>
    <definedName name="\D" localSheetId="7">#REF!</definedName>
    <definedName name="\D" localSheetId="2">#REF!</definedName>
    <definedName name="\D">#REF!</definedName>
    <definedName name="\G" localSheetId="7">#REF!</definedName>
    <definedName name="\G">#REF!</definedName>
    <definedName name="\I" localSheetId="7">#REF!</definedName>
    <definedName name="\I">#REF!</definedName>
    <definedName name="\K" localSheetId="7">#REF!</definedName>
    <definedName name="\K">#REF!</definedName>
    <definedName name="\M" localSheetId="7">#REF!</definedName>
    <definedName name="\M">#REF!</definedName>
    <definedName name="_" localSheetId="7" hidden="1">[1]SINTESIS!$M$7:$M$12</definedName>
    <definedName name="_" hidden="1">#REF!</definedName>
    <definedName name="____________________________R" localSheetId="7" hidden="1">[2]Template!$D$8:$D$35</definedName>
    <definedName name="____________________________R" hidden="1">#REF!</definedName>
    <definedName name="___________________________R" localSheetId="7" hidden="1">[2]Template!$D$8:$D$35</definedName>
    <definedName name="___________________________R" hidden="1">#REF!</definedName>
    <definedName name="__________________________R" localSheetId="7" hidden="1">[2]Template!$D$8:$D$35</definedName>
    <definedName name="__________________________R" hidden="1">#REF!</definedName>
    <definedName name="_________________________R" localSheetId="7" hidden="1">[2]Template!$D$8:$D$35</definedName>
    <definedName name="_________________________R" hidden="1">#REF!</definedName>
    <definedName name="________________________R" localSheetId="7" hidden="1">[3]Template!$D$8:$D$35</definedName>
    <definedName name="________________________R" hidden="1">#REF!</definedName>
    <definedName name="_______________________R" localSheetId="7" hidden="1">[4]Template!$D$8:$D$35</definedName>
    <definedName name="_______________________R" hidden="1">#REF!</definedName>
    <definedName name="______________________R" localSheetId="7" hidden="1">[2]Template!$D$8:$D$35</definedName>
    <definedName name="______________________R" hidden="1">#REF!</definedName>
    <definedName name="_____________________R" localSheetId="7" hidden="1">[2]Template!$D$8:$D$35</definedName>
    <definedName name="_____________________R" hidden="1">#REF!</definedName>
    <definedName name="____________________R" localSheetId="7" hidden="1">[2]Template!$D$8:$D$35</definedName>
    <definedName name="____________________R" hidden="1">#REF!</definedName>
    <definedName name="___________________R" localSheetId="7" hidden="1">[2]Template!$D$8:$D$35</definedName>
    <definedName name="___________________R" hidden="1">#REF!</definedName>
    <definedName name="__________________R" localSheetId="7" hidden="1">[2]Template!$D$8:$D$35</definedName>
    <definedName name="__________________R" hidden="1">#REF!</definedName>
    <definedName name="_________________R" localSheetId="7" hidden="1">[2]Template!$D$8:$D$35</definedName>
    <definedName name="_________________R" hidden="1">#REF!</definedName>
    <definedName name="________________R" localSheetId="7" hidden="1">[2]Template!$D$8:$D$35</definedName>
    <definedName name="________________R" hidden="1">#REF!</definedName>
    <definedName name="_______________R" localSheetId="7" hidden="1">[2]Template!$D$8:$D$35</definedName>
    <definedName name="_______________R" hidden="1">#REF!</definedName>
    <definedName name="______________R" localSheetId="7" hidden="1">[2]Template!$D$8:$D$35</definedName>
    <definedName name="______________R" hidden="1">#REF!</definedName>
    <definedName name="_____________R" localSheetId="7" hidden="1">[2]Template!$D$8:$D$35</definedName>
    <definedName name="_____________R" hidden="1">#REF!</definedName>
    <definedName name="____________R" localSheetId="7" hidden="1">[2]Template!$D$8:$D$35</definedName>
    <definedName name="____________R" hidden="1">#REF!</definedName>
    <definedName name="___________fl1111" localSheetId="5" hidden="1">{"Fecha_Novembro",#N/A,FALSE,"FECHAMENTO-2002 ";"Defer_Novembro",#N/A,FALSE,"DIFERIDO";"Pis_Novembro",#N/A,FALSE,"PIS COFINS";"Iss_Novembro",#N/A,FALSE,"ISS"}</definedName>
    <definedName name="___________fl1111" localSheetId="11" hidden="1">{"Fecha_Novembro",#N/A,FALSE,"FECHAMENTO-2002 ";"Defer_Novembro",#N/A,FALSE,"DIFERIDO";"Pis_Novembro",#N/A,FALSE,"PIS COFINS";"Iss_Novembro",#N/A,FALSE,"ISS"}</definedName>
    <definedName name="___________fl1111" localSheetId="4" hidden="1">{"Fecha_Novembro",#N/A,FALSE,"FECHAMENTO-2002 ";"Defer_Novembro",#N/A,FALSE,"DIFERIDO";"Pis_Novembro",#N/A,FALSE,"PIS COFINS";"Iss_Novembro",#N/A,FALSE,"ISS"}</definedName>
    <definedName name="___________fl1111" localSheetId="2" hidden="1">{"Fecha_Novembro",#N/A,FALSE,"FECHAMENTO-2002 ";"Defer_Novembro",#N/A,FALSE,"DIFERIDO";"Pis_Novembro",#N/A,FALSE,"PIS COFINS";"Iss_Novembro",#N/A,FALSE,"ISS"}</definedName>
    <definedName name="___________fl1111" localSheetId="13" hidden="1">{"Fecha_Novembro",#N/A,FALSE,"FECHAMENTO-2002 ";"Defer_Novembro",#N/A,FALSE,"DIFERIDO";"Pis_Novembro",#N/A,FALSE,"PIS COFINS";"Iss_Novembro",#N/A,FALSE,"ISS"}</definedName>
    <definedName name="___________fl1111" localSheetId="12" hidden="1">{"Fecha_Novembro",#N/A,FALSE,"FECHAMENTO-2002 ";"Defer_Novembro",#N/A,FALSE,"DIFERIDO";"Pis_Novembro",#N/A,FALSE,"PIS COFINS";"Iss_Novembro",#N/A,FALSE,"ISS"}</definedName>
    <definedName name="___________fl1111" localSheetId="15" hidden="1">{"Fecha_Novembro",#N/A,FALSE,"FECHAMENTO-2002 ";"Defer_Novembro",#N/A,FALSE,"DIFERIDO";"Pis_Novembro",#N/A,FALSE,"PIS COFINS";"Iss_Novembro",#N/A,FALSE,"ISS"}</definedName>
    <definedName name="___________fl1111" localSheetId="14" hidden="1">{"Fecha_Novembro",#N/A,FALSE,"FECHAMENTO-2002 ";"Defer_Novembro",#N/A,FALSE,"DIFERIDO";"Pis_Novembro",#N/A,FALSE,"PIS COFINS";"Iss_Novembro",#N/A,FALSE,"ISS"}</definedName>
    <definedName name="___________fl1111" hidden="1">{"Fecha_Novembro",#N/A,FALSE,"FECHAMENTO-2002 ";"Defer_Novembro",#N/A,FALSE,"DIFERIDO";"Pis_Novembro",#N/A,FALSE,"PIS COFINS";"Iss_Novembro",#N/A,FALSE,"ISS"}</definedName>
    <definedName name="___________NEW2" localSheetId="5" hidden="1">{"'RATEIO RECEITA BRUTA'!$B$77:$C$106"}</definedName>
    <definedName name="___________NEW2" localSheetId="11" hidden="1">{"'RATEIO RECEITA BRUTA'!$B$77:$C$106"}</definedName>
    <definedName name="___________NEW2" localSheetId="4" hidden="1">{"'RATEIO RECEITA BRUTA'!$B$77:$C$106"}</definedName>
    <definedName name="___________NEW2" localSheetId="2" hidden="1">{"'RATEIO RECEITA BRUTA'!$B$77:$C$106"}</definedName>
    <definedName name="___________NEW2" localSheetId="13" hidden="1">{"'RATEIO RECEITA BRUTA'!$B$77:$C$106"}</definedName>
    <definedName name="___________NEW2" localSheetId="12" hidden="1">{"'RATEIO RECEITA BRUTA'!$B$77:$C$106"}</definedName>
    <definedName name="___________NEW2" localSheetId="15" hidden="1">{"'RATEIO RECEITA BRUTA'!$B$77:$C$106"}</definedName>
    <definedName name="___________NEW2" localSheetId="14" hidden="1">{"'RATEIO RECEITA BRUTA'!$B$77:$C$106"}</definedName>
    <definedName name="___________NEW2" hidden="1">{"'RATEIO RECEITA BRUTA'!$B$77:$C$106"}</definedName>
    <definedName name="___________R" localSheetId="7" hidden="1">[2]Template!$D$8:$D$35</definedName>
    <definedName name="___________R" hidden="1">#REF!</definedName>
    <definedName name="__________fl1111" localSheetId="5" hidden="1">{"Fecha_Novembro",#N/A,FALSE,"FECHAMENTO-2002 ";"Defer_Novembro",#N/A,FALSE,"DIFERIDO";"Pis_Novembro",#N/A,FALSE,"PIS COFINS";"Iss_Novembro",#N/A,FALSE,"ISS"}</definedName>
    <definedName name="__________fl1111" localSheetId="11" hidden="1">{"Fecha_Novembro",#N/A,FALSE,"FECHAMENTO-2002 ";"Defer_Novembro",#N/A,FALSE,"DIFERIDO";"Pis_Novembro",#N/A,FALSE,"PIS COFINS";"Iss_Novembro",#N/A,FALSE,"ISS"}</definedName>
    <definedName name="__________fl1111" localSheetId="4" hidden="1">{"Fecha_Novembro",#N/A,FALSE,"FECHAMENTO-2002 ";"Defer_Novembro",#N/A,FALSE,"DIFERIDO";"Pis_Novembro",#N/A,FALSE,"PIS COFINS";"Iss_Novembro",#N/A,FALSE,"ISS"}</definedName>
    <definedName name="__________fl1111" localSheetId="2" hidden="1">{"Fecha_Novembro",#N/A,FALSE,"FECHAMENTO-2002 ";"Defer_Novembro",#N/A,FALSE,"DIFERIDO";"Pis_Novembro",#N/A,FALSE,"PIS COFINS";"Iss_Novembro",#N/A,FALSE,"ISS"}</definedName>
    <definedName name="__________fl1111" localSheetId="13" hidden="1">{"Fecha_Novembro",#N/A,FALSE,"FECHAMENTO-2002 ";"Defer_Novembro",#N/A,FALSE,"DIFERIDO";"Pis_Novembro",#N/A,FALSE,"PIS COFINS";"Iss_Novembro",#N/A,FALSE,"ISS"}</definedName>
    <definedName name="__________fl1111" localSheetId="12" hidden="1">{"Fecha_Novembro",#N/A,FALSE,"FECHAMENTO-2002 ";"Defer_Novembro",#N/A,FALSE,"DIFERIDO";"Pis_Novembro",#N/A,FALSE,"PIS COFINS";"Iss_Novembro",#N/A,FALSE,"ISS"}</definedName>
    <definedName name="__________fl1111" localSheetId="15" hidden="1">{"Fecha_Novembro",#N/A,FALSE,"FECHAMENTO-2002 ";"Defer_Novembro",#N/A,FALSE,"DIFERIDO";"Pis_Novembro",#N/A,FALSE,"PIS COFINS";"Iss_Novembro",#N/A,FALSE,"ISS"}</definedName>
    <definedName name="__________fl1111" localSheetId="14" hidden="1">{"Fecha_Novembro",#N/A,FALSE,"FECHAMENTO-2002 ";"Defer_Novembro",#N/A,FALSE,"DIFERIDO";"Pis_Novembro",#N/A,FALSE,"PIS COFINS";"Iss_Novembro",#N/A,FALSE,"ISS"}</definedName>
    <definedName name="__________fl1111" hidden="1">{"Fecha_Novembro",#N/A,FALSE,"FECHAMENTO-2002 ";"Defer_Novembro",#N/A,FALSE,"DIFERIDO";"Pis_Novembro",#N/A,FALSE,"PIS COFINS";"Iss_Novembro",#N/A,FALSE,"ISS"}</definedName>
    <definedName name="__________R" localSheetId="7" hidden="1">[2]Template!$D$8:$D$35</definedName>
    <definedName name="__________R" hidden="1">#REF!</definedName>
    <definedName name="_________fl1111" localSheetId="5" hidden="1">{"Fecha_Novembro",#N/A,FALSE,"FECHAMENTO-2002 ";"Defer_Novembro",#N/A,FALSE,"DIFERIDO";"Pis_Novembro",#N/A,FALSE,"PIS COFINS";"Iss_Novembro",#N/A,FALSE,"ISS"}</definedName>
    <definedName name="_________fl1111" localSheetId="11" hidden="1">{"Fecha_Novembro",#N/A,FALSE,"FECHAMENTO-2002 ";"Defer_Novembro",#N/A,FALSE,"DIFERIDO";"Pis_Novembro",#N/A,FALSE,"PIS COFINS";"Iss_Novembro",#N/A,FALSE,"ISS"}</definedName>
    <definedName name="_________fl1111" localSheetId="4" hidden="1">{"Fecha_Novembro",#N/A,FALSE,"FECHAMENTO-2002 ";"Defer_Novembro",#N/A,FALSE,"DIFERIDO";"Pis_Novembro",#N/A,FALSE,"PIS COFINS";"Iss_Novembro",#N/A,FALSE,"ISS"}</definedName>
    <definedName name="_________fl1111" localSheetId="2" hidden="1">{"Fecha_Novembro",#N/A,FALSE,"FECHAMENTO-2002 ";"Defer_Novembro",#N/A,FALSE,"DIFERIDO";"Pis_Novembro",#N/A,FALSE,"PIS COFINS";"Iss_Novembro",#N/A,FALSE,"ISS"}</definedName>
    <definedName name="_________fl1111" localSheetId="13" hidden="1">{"Fecha_Novembro",#N/A,FALSE,"FECHAMENTO-2002 ";"Defer_Novembro",#N/A,FALSE,"DIFERIDO";"Pis_Novembro",#N/A,FALSE,"PIS COFINS";"Iss_Novembro",#N/A,FALSE,"ISS"}</definedName>
    <definedName name="_________fl1111" localSheetId="12" hidden="1">{"Fecha_Novembro",#N/A,FALSE,"FECHAMENTO-2002 ";"Defer_Novembro",#N/A,FALSE,"DIFERIDO";"Pis_Novembro",#N/A,FALSE,"PIS COFINS";"Iss_Novembro",#N/A,FALSE,"ISS"}</definedName>
    <definedName name="_________fl1111" localSheetId="15" hidden="1">{"Fecha_Novembro",#N/A,FALSE,"FECHAMENTO-2002 ";"Defer_Novembro",#N/A,FALSE,"DIFERIDO";"Pis_Novembro",#N/A,FALSE,"PIS COFINS";"Iss_Novembro",#N/A,FALSE,"ISS"}</definedName>
    <definedName name="_________fl1111" localSheetId="14" hidden="1">{"Fecha_Novembro",#N/A,FALSE,"FECHAMENTO-2002 ";"Defer_Novembro",#N/A,FALSE,"DIFERIDO";"Pis_Novembro",#N/A,FALSE,"PIS COFINS";"Iss_Novembro",#N/A,FALSE,"ISS"}</definedName>
    <definedName name="_________fl1111" hidden="1">{"Fecha_Novembro",#N/A,FALSE,"FECHAMENTO-2002 ";"Defer_Novembro",#N/A,FALSE,"DIFERIDO";"Pis_Novembro",#N/A,FALSE,"PIS COFINS";"Iss_Novembro",#N/A,FALSE,"ISS"}</definedName>
    <definedName name="_________R" localSheetId="7" hidden="1">[2]Template!$D$8:$D$35</definedName>
    <definedName name="_________R" hidden="1">#REF!</definedName>
    <definedName name="________fl1111" localSheetId="5" hidden="1">{"Fecha_Novembro",#N/A,FALSE,"FECHAMENTO-2002 ";"Defer_Novembro",#N/A,FALSE,"DIFERIDO";"Pis_Novembro",#N/A,FALSE,"PIS COFINS";"Iss_Novembro",#N/A,FALSE,"ISS"}</definedName>
    <definedName name="________fl1111" localSheetId="11" hidden="1">{"Fecha_Novembro",#N/A,FALSE,"FECHAMENTO-2002 ";"Defer_Novembro",#N/A,FALSE,"DIFERIDO";"Pis_Novembro",#N/A,FALSE,"PIS COFINS";"Iss_Novembro",#N/A,FALSE,"ISS"}</definedName>
    <definedName name="________fl1111" localSheetId="4" hidden="1">{"Fecha_Novembro",#N/A,FALSE,"FECHAMENTO-2002 ";"Defer_Novembro",#N/A,FALSE,"DIFERIDO";"Pis_Novembro",#N/A,FALSE,"PIS COFINS";"Iss_Novembro",#N/A,FALSE,"ISS"}</definedName>
    <definedName name="________fl1111" localSheetId="2" hidden="1">{"Fecha_Novembro",#N/A,FALSE,"FECHAMENTO-2002 ";"Defer_Novembro",#N/A,FALSE,"DIFERIDO";"Pis_Novembro",#N/A,FALSE,"PIS COFINS";"Iss_Novembro",#N/A,FALSE,"ISS"}</definedName>
    <definedName name="________fl1111" localSheetId="13" hidden="1">{"Fecha_Novembro",#N/A,FALSE,"FECHAMENTO-2002 ";"Defer_Novembro",#N/A,FALSE,"DIFERIDO";"Pis_Novembro",#N/A,FALSE,"PIS COFINS";"Iss_Novembro",#N/A,FALSE,"ISS"}</definedName>
    <definedName name="________fl1111" localSheetId="12" hidden="1">{"Fecha_Novembro",#N/A,FALSE,"FECHAMENTO-2002 ";"Defer_Novembro",#N/A,FALSE,"DIFERIDO";"Pis_Novembro",#N/A,FALSE,"PIS COFINS";"Iss_Novembro",#N/A,FALSE,"ISS"}</definedName>
    <definedName name="________fl1111" localSheetId="15" hidden="1">{"Fecha_Novembro",#N/A,FALSE,"FECHAMENTO-2002 ";"Defer_Novembro",#N/A,FALSE,"DIFERIDO";"Pis_Novembro",#N/A,FALSE,"PIS COFINS";"Iss_Novembro",#N/A,FALSE,"ISS"}</definedName>
    <definedName name="________fl1111" localSheetId="14" hidden="1">{"Fecha_Novembro",#N/A,FALSE,"FECHAMENTO-2002 ";"Defer_Novembro",#N/A,FALSE,"DIFERIDO";"Pis_Novembro",#N/A,FALSE,"PIS COFINS";"Iss_Novembro",#N/A,FALSE,"ISS"}</definedName>
    <definedName name="________fl1111" hidden="1">{"Fecha_Novembro",#N/A,FALSE,"FECHAMENTO-2002 ";"Defer_Novembro",#N/A,FALSE,"DIFERIDO";"Pis_Novembro",#N/A,FALSE,"PIS COFINS";"Iss_Novembro",#N/A,FALSE,"ISS"}</definedName>
    <definedName name="________R" localSheetId="7" hidden="1">[5]Template!$D$8:$D$35</definedName>
    <definedName name="________R" hidden="1">#REF!</definedName>
    <definedName name="_______fl1111" localSheetId="5" hidden="1">{"Fecha_Novembro",#N/A,FALSE,"FECHAMENTO-2002 ";"Defer_Novembro",#N/A,FALSE,"DIFERIDO";"Pis_Novembro",#N/A,FALSE,"PIS COFINS";"Iss_Novembro",#N/A,FALSE,"ISS"}</definedName>
    <definedName name="_______fl1111" localSheetId="11" hidden="1">{"Fecha_Novembro",#N/A,FALSE,"FECHAMENTO-2002 ";"Defer_Novembro",#N/A,FALSE,"DIFERIDO";"Pis_Novembro",#N/A,FALSE,"PIS COFINS";"Iss_Novembro",#N/A,FALSE,"ISS"}</definedName>
    <definedName name="_______fl1111" localSheetId="4" hidden="1">{"Fecha_Novembro",#N/A,FALSE,"FECHAMENTO-2002 ";"Defer_Novembro",#N/A,FALSE,"DIFERIDO";"Pis_Novembro",#N/A,FALSE,"PIS COFINS";"Iss_Novembro",#N/A,FALSE,"ISS"}</definedName>
    <definedName name="_______fl1111" localSheetId="2" hidden="1">{"Fecha_Novembro",#N/A,FALSE,"FECHAMENTO-2002 ";"Defer_Novembro",#N/A,FALSE,"DIFERIDO";"Pis_Novembro",#N/A,FALSE,"PIS COFINS";"Iss_Novembro",#N/A,FALSE,"ISS"}</definedName>
    <definedName name="_______fl1111" localSheetId="13" hidden="1">{"Fecha_Novembro",#N/A,FALSE,"FECHAMENTO-2002 ";"Defer_Novembro",#N/A,FALSE,"DIFERIDO";"Pis_Novembro",#N/A,FALSE,"PIS COFINS";"Iss_Novembro",#N/A,FALSE,"ISS"}</definedName>
    <definedName name="_______fl1111" localSheetId="12" hidden="1">{"Fecha_Novembro",#N/A,FALSE,"FECHAMENTO-2002 ";"Defer_Novembro",#N/A,FALSE,"DIFERIDO";"Pis_Novembro",#N/A,FALSE,"PIS COFINS";"Iss_Novembro",#N/A,FALSE,"ISS"}</definedName>
    <definedName name="_______fl1111" localSheetId="15" hidden="1">{"Fecha_Novembro",#N/A,FALSE,"FECHAMENTO-2002 ";"Defer_Novembro",#N/A,FALSE,"DIFERIDO";"Pis_Novembro",#N/A,FALSE,"PIS COFINS";"Iss_Novembro",#N/A,FALSE,"ISS"}</definedName>
    <definedName name="_______fl1111" localSheetId="14" hidden="1">{"Fecha_Novembro",#N/A,FALSE,"FECHAMENTO-2002 ";"Defer_Novembro",#N/A,FALSE,"DIFERIDO";"Pis_Novembro",#N/A,FALSE,"PIS COFINS";"Iss_Novembro",#N/A,FALSE,"ISS"}</definedName>
    <definedName name="_______fl1111" hidden="1">{"Fecha_Novembro",#N/A,FALSE,"FECHAMENTO-2002 ";"Defer_Novembro",#N/A,FALSE,"DIFERIDO";"Pis_Novembro",#N/A,FALSE,"PIS COFINS";"Iss_Novembro",#N/A,FALSE,"ISS"}</definedName>
    <definedName name="_______R" localSheetId="7" hidden="1">[5]Template!$D$8:$D$35</definedName>
    <definedName name="_______R" hidden="1">#REF!</definedName>
    <definedName name="______fl1111" localSheetId="5" hidden="1">{"Fecha_Novembro",#N/A,FALSE,"FECHAMENTO-2002 ";"Defer_Novembro",#N/A,FALSE,"DIFERIDO";"Pis_Novembro",#N/A,FALSE,"PIS COFINS";"Iss_Novembro",#N/A,FALSE,"ISS"}</definedName>
    <definedName name="______fl1111" localSheetId="11" hidden="1">{"Fecha_Novembro",#N/A,FALSE,"FECHAMENTO-2002 ";"Defer_Novembro",#N/A,FALSE,"DIFERIDO";"Pis_Novembro",#N/A,FALSE,"PIS COFINS";"Iss_Novembro",#N/A,FALSE,"ISS"}</definedName>
    <definedName name="______fl1111" localSheetId="4" hidden="1">{"Fecha_Novembro",#N/A,FALSE,"FECHAMENTO-2002 ";"Defer_Novembro",#N/A,FALSE,"DIFERIDO";"Pis_Novembro",#N/A,FALSE,"PIS COFINS";"Iss_Novembro",#N/A,FALSE,"ISS"}</definedName>
    <definedName name="______fl1111" localSheetId="2" hidden="1">{"Fecha_Novembro",#N/A,FALSE,"FECHAMENTO-2002 ";"Defer_Novembro",#N/A,FALSE,"DIFERIDO";"Pis_Novembro",#N/A,FALSE,"PIS COFINS";"Iss_Novembro",#N/A,FALSE,"ISS"}</definedName>
    <definedName name="______fl1111" localSheetId="13" hidden="1">{"Fecha_Novembro",#N/A,FALSE,"FECHAMENTO-2002 ";"Defer_Novembro",#N/A,FALSE,"DIFERIDO";"Pis_Novembro",#N/A,FALSE,"PIS COFINS";"Iss_Novembro",#N/A,FALSE,"ISS"}</definedName>
    <definedName name="______fl1111" localSheetId="12" hidden="1">{"Fecha_Novembro",#N/A,FALSE,"FECHAMENTO-2002 ";"Defer_Novembro",#N/A,FALSE,"DIFERIDO";"Pis_Novembro",#N/A,FALSE,"PIS COFINS";"Iss_Novembro",#N/A,FALSE,"ISS"}</definedName>
    <definedName name="______fl1111" localSheetId="15" hidden="1">{"Fecha_Novembro",#N/A,FALSE,"FECHAMENTO-2002 ";"Defer_Novembro",#N/A,FALSE,"DIFERIDO";"Pis_Novembro",#N/A,FALSE,"PIS COFINS";"Iss_Novembro",#N/A,FALSE,"ISS"}</definedName>
    <definedName name="______fl1111" localSheetId="14" hidden="1">{"Fecha_Novembro",#N/A,FALSE,"FECHAMENTO-2002 ";"Defer_Novembro",#N/A,FALSE,"DIFERIDO";"Pis_Novembro",#N/A,FALSE,"PIS COFINS";"Iss_Novembro",#N/A,FALSE,"ISS"}</definedName>
    <definedName name="______fl1111" hidden="1">{"Fecha_Novembro",#N/A,FALSE,"FECHAMENTO-2002 ";"Defer_Novembro",#N/A,FALSE,"DIFERIDO";"Pis_Novembro",#N/A,FALSE,"PIS COFINS";"Iss_Novembro",#N/A,FALSE,"ISS"}</definedName>
    <definedName name="______IMP1" localSheetId="2">#REF!,#REF!</definedName>
    <definedName name="______IMP1">#REF!,#REF!</definedName>
    <definedName name="______KEY2" localSheetId="7" hidden="1">#REF!</definedName>
    <definedName name="______KEY2" hidden="1">#REF!</definedName>
    <definedName name="______R" localSheetId="7" hidden="1">[5]Template!$D$8:$D$35</definedName>
    <definedName name="______R" hidden="1">#REF!</definedName>
    <definedName name="_____IMP1">#REF!,#REF!</definedName>
    <definedName name="_____KEY2" localSheetId="7" hidden="1">#REF!</definedName>
    <definedName name="_____KEY2" hidden="1">#REF!</definedName>
    <definedName name="_____R" localSheetId="7" hidden="1">[5]Template!$D$8:$D$35</definedName>
    <definedName name="_____R" hidden="1">#REF!</definedName>
    <definedName name="____fg1" localSheetId="1">#REF!</definedName>
    <definedName name="____fg1" localSheetId="7">#REF!</definedName>
    <definedName name="____fg1" localSheetId="2">#REF!</definedName>
    <definedName name="____fg1">#REF!</definedName>
    <definedName name="____fl1111" localSheetId="5" hidden="1">{"Fecha_Novembro",#N/A,FALSE,"FECHAMENTO-2002 ";"Defer_Novembro",#N/A,FALSE,"DIFERIDO";"Pis_Novembro",#N/A,FALSE,"PIS COFINS";"Iss_Novembro",#N/A,FALSE,"ISS"}</definedName>
    <definedName name="____fl1111" localSheetId="11" hidden="1">{"Fecha_Novembro",#N/A,FALSE,"FECHAMENTO-2002 ";"Defer_Novembro",#N/A,FALSE,"DIFERIDO";"Pis_Novembro",#N/A,FALSE,"PIS COFINS";"Iss_Novembro",#N/A,FALSE,"ISS"}</definedName>
    <definedName name="____fl1111" localSheetId="4" hidden="1">{"Fecha_Novembro",#N/A,FALSE,"FECHAMENTO-2002 ";"Defer_Novembro",#N/A,FALSE,"DIFERIDO";"Pis_Novembro",#N/A,FALSE,"PIS COFINS";"Iss_Novembro",#N/A,FALSE,"ISS"}</definedName>
    <definedName name="____fl1111" localSheetId="2" hidden="1">{"Fecha_Novembro",#N/A,FALSE,"FECHAMENTO-2002 ";"Defer_Novembro",#N/A,FALSE,"DIFERIDO";"Pis_Novembro",#N/A,FALSE,"PIS COFINS";"Iss_Novembro",#N/A,FALSE,"ISS"}</definedName>
    <definedName name="____fl1111" localSheetId="13" hidden="1">{"Fecha_Novembro",#N/A,FALSE,"FECHAMENTO-2002 ";"Defer_Novembro",#N/A,FALSE,"DIFERIDO";"Pis_Novembro",#N/A,FALSE,"PIS COFINS";"Iss_Novembro",#N/A,FALSE,"ISS"}</definedName>
    <definedName name="____fl1111" localSheetId="12" hidden="1">{"Fecha_Novembro",#N/A,FALSE,"FECHAMENTO-2002 ";"Defer_Novembro",#N/A,FALSE,"DIFERIDO";"Pis_Novembro",#N/A,FALSE,"PIS COFINS";"Iss_Novembro",#N/A,FALSE,"ISS"}</definedName>
    <definedName name="____fl1111" localSheetId="15" hidden="1">{"Fecha_Novembro",#N/A,FALSE,"FECHAMENTO-2002 ";"Defer_Novembro",#N/A,FALSE,"DIFERIDO";"Pis_Novembro",#N/A,FALSE,"PIS COFINS";"Iss_Novembro",#N/A,FALSE,"ISS"}</definedName>
    <definedName name="____fl1111" localSheetId="14" hidden="1">{"Fecha_Novembro",#N/A,FALSE,"FECHAMENTO-2002 ";"Defer_Novembro",#N/A,FALSE,"DIFERIDO";"Pis_Novembro",#N/A,FALSE,"PIS COFINS";"Iss_Novembro",#N/A,FALSE,"ISS"}</definedName>
    <definedName name="____fl1111" hidden="1">{"Fecha_Novembro",#N/A,FALSE,"FECHAMENTO-2002 ";"Defer_Novembro",#N/A,FALSE,"DIFERIDO";"Pis_Novembro",#N/A,FALSE,"PIS COFINS";"Iss_Novembro",#N/A,FALSE,"ISS"}</definedName>
    <definedName name="____FLF2006" localSheetId="1">#REF!</definedName>
    <definedName name="____FLF2006" localSheetId="7">[1]Indicadores!#REF!</definedName>
    <definedName name="____FLF2006" localSheetId="2">#REF!</definedName>
    <definedName name="____FLF2006">#REF!</definedName>
    <definedName name="____FLF2007" localSheetId="7">[1]Indicadores!#REF!</definedName>
    <definedName name="____FLF2007" localSheetId="2">#REF!</definedName>
    <definedName name="____FLF2007">#REF!</definedName>
    <definedName name="____FLF2008" localSheetId="7">[1]Indicadores!#REF!</definedName>
    <definedName name="____FLF2008" localSheetId="2">#REF!</definedName>
    <definedName name="____FLF2008">#REF!</definedName>
    <definedName name="____FLF2009" localSheetId="7">[1]Indicadores!#REF!</definedName>
    <definedName name="____FLF2009">#REF!</definedName>
    <definedName name="____FLF2010" localSheetId="7">[1]Indicadores!#REF!</definedName>
    <definedName name="____FLF2010">#REF!</definedName>
    <definedName name="____FLF2011" localSheetId="7">[1]Indicadores!#REF!</definedName>
    <definedName name="____FLF2011">#REF!</definedName>
    <definedName name="____FLF2012" localSheetId="7">[1]Indicadores!#REF!</definedName>
    <definedName name="____FLF2012">#REF!</definedName>
    <definedName name="____IMP1" localSheetId="1">#REF!,#REF!</definedName>
    <definedName name="____IMP1" localSheetId="7">[6]ANUAL952!#REF!,[6]ANUAL952!$A$1:$Q$58</definedName>
    <definedName name="____IMP1" localSheetId="2">#REF!,#REF!</definedName>
    <definedName name="____IMP1">#REF!,#REF!</definedName>
    <definedName name="____KEY2" localSheetId="7" hidden="1">#REF!</definedName>
    <definedName name="____KEY2" localSheetId="2" hidden="1">#REF!</definedName>
    <definedName name="____KEY2" hidden="1">#REF!</definedName>
    <definedName name="____R" localSheetId="7" hidden="1">[5]Template!$D$8:$D$35</definedName>
    <definedName name="____R" hidden="1">#REF!</definedName>
    <definedName name="___1__123Graph_AGRAFICO_1" localSheetId="7" hidden="1">[7]SINTESIS!$N$7:$N$20</definedName>
    <definedName name="___1__123Graph_AGRAFICO_1" hidden="1">#REF!</definedName>
    <definedName name="___2__123Graph_CGRAFICO_1" localSheetId="7" hidden="1">[7]SINTESIS!$M$7:$M$12</definedName>
    <definedName name="___2__123Graph_CGRAFICO_1" hidden="1">#REF!</definedName>
    <definedName name="___ABR95" localSheetId="1">#REF!</definedName>
    <definedName name="___ABR95" localSheetId="7">#REF!</definedName>
    <definedName name="___ABR95">#REF!</definedName>
    <definedName name="___Abr98" localSheetId="7">#REF!</definedName>
    <definedName name="___Abr98">#REF!</definedName>
    <definedName name="___Ago98" localSheetId="7">#REF!</definedName>
    <definedName name="___Ago98">#REF!</definedName>
    <definedName name="___dc1" localSheetId="5" hidden="1">{#N/A,#N/A,FALSE,"Aging Summary";#N/A,#N/A,FALSE,"Ratio Analysis";#N/A,#N/A,FALSE,"Test 120 Day Accts";#N/A,#N/A,FALSE,"Tickmarks"}</definedName>
    <definedName name="___dc1" localSheetId="11" hidden="1">{#N/A,#N/A,FALSE,"Aging Summary";#N/A,#N/A,FALSE,"Ratio Analysis";#N/A,#N/A,FALSE,"Test 120 Day Accts";#N/A,#N/A,FALSE,"Tickmarks"}</definedName>
    <definedName name="___dc1" localSheetId="4" hidden="1">{#N/A,#N/A,FALSE,"Aging Summary";#N/A,#N/A,FALSE,"Ratio Analysis";#N/A,#N/A,FALSE,"Test 120 Day Accts";#N/A,#N/A,FALSE,"Tickmarks"}</definedName>
    <definedName name="___dc1" localSheetId="2" hidden="1">{#N/A,#N/A,FALSE,"Aging Summary";#N/A,#N/A,FALSE,"Ratio Analysis";#N/A,#N/A,FALSE,"Test 120 Day Accts";#N/A,#N/A,FALSE,"Tickmarks"}</definedName>
    <definedName name="___dc1" localSheetId="13" hidden="1">{#N/A,#N/A,FALSE,"Aging Summary";#N/A,#N/A,FALSE,"Ratio Analysis";#N/A,#N/A,FALSE,"Test 120 Day Accts";#N/A,#N/A,FALSE,"Tickmarks"}</definedName>
    <definedName name="___dc1" localSheetId="12" hidden="1">{#N/A,#N/A,FALSE,"Aging Summary";#N/A,#N/A,FALSE,"Ratio Analysis";#N/A,#N/A,FALSE,"Test 120 Day Accts";#N/A,#N/A,FALSE,"Tickmarks"}</definedName>
    <definedName name="___dc1" localSheetId="15" hidden="1">{#N/A,#N/A,FALSE,"Aging Summary";#N/A,#N/A,FALSE,"Ratio Analysis";#N/A,#N/A,FALSE,"Test 120 Day Accts";#N/A,#N/A,FALSE,"Tickmarks"}</definedName>
    <definedName name="___dc1" localSheetId="14" hidden="1">{#N/A,#N/A,FALSE,"Aging Summary";#N/A,#N/A,FALSE,"Ratio Analysis";#N/A,#N/A,FALSE,"Test 120 Day Accts";#N/A,#N/A,FALSE,"Tickmarks"}</definedName>
    <definedName name="___dc1" hidden="1">{#N/A,#N/A,FALSE,"Aging Summary";#N/A,#N/A,FALSE,"Ratio Analysis";#N/A,#N/A,FALSE,"Test 120 Day Accts";#N/A,#N/A,FALSE,"Tickmarks"}</definedName>
    <definedName name="___Dic98" localSheetId="7">#REF!</definedName>
    <definedName name="___Dic98">#REF!</definedName>
    <definedName name="___ENE95" localSheetId="7">#REF!</definedName>
    <definedName name="___ENE95">#REF!</definedName>
    <definedName name="___Ene98" localSheetId="7">#REF!</definedName>
    <definedName name="___Ene98">#REF!</definedName>
    <definedName name="___f" localSheetId="7">#REF!</definedName>
    <definedName name="___f">#REF!</definedName>
    <definedName name="___FEB95" localSheetId="7">#REF!</definedName>
    <definedName name="___FEB95">#REF!</definedName>
    <definedName name="___Feb98" localSheetId="7">#REF!</definedName>
    <definedName name="___Feb98">#REF!</definedName>
    <definedName name="___fg1" localSheetId="7">#REF!</definedName>
    <definedName name="___fg1">#REF!</definedName>
    <definedName name="___FLF2006" localSheetId="7">[1]Indicadores!#REF!</definedName>
    <definedName name="___FLF2006">#REF!</definedName>
    <definedName name="___FLF2007" localSheetId="7">[1]Indicadores!#REF!</definedName>
    <definedName name="___FLF2007">#REF!</definedName>
    <definedName name="___FLF2008" localSheetId="7">[1]Indicadores!#REF!</definedName>
    <definedName name="___FLF2008">#REF!</definedName>
    <definedName name="___FLF2009" localSheetId="7">[1]Indicadores!#REF!</definedName>
    <definedName name="___FLF2009">#REF!</definedName>
    <definedName name="___FLF2010" localSheetId="7">[1]Indicadores!#REF!</definedName>
    <definedName name="___FLF2010">#REF!</definedName>
    <definedName name="___FLF2011" localSheetId="7">[1]Indicadores!#REF!</definedName>
    <definedName name="___FLF2011">#REF!</definedName>
    <definedName name="___FLF2012" localSheetId="7">[1]Indicadores!#REF!</definedName>
    <definedName name="___FLF2012">#REF!</definedName>
    <definedName name="___IMP1" localSheetId="2">#REF!,#REF!</definedName>
    <definedName name="___IMP1">#REF!,#REF!</definedName>
    <definedName name="___Jul98" localSheetId="1">#REF!</definedName>
    <definedName name="___Jul98" localSheetId="7">#REF!</definedName>
    <definedName name="___Jul98" localSheetId="2">#REF!</definedName>
    <definedName name="___Jul98">#REF!</definedName>
    <definedName name="___Jun98" localSheetId="7">#REF!</definedName>
    <definedName name="___Jun98" localSheetId="2">#REF!</definedName>
    <definedName name="___Jun98">#REF!</definedName>
    <definedName name="___KEY2" localSheetId="7" hidden="1">#REF!</definedName>
    <definedName name="___KEY2" localSheetId="2" hidden="1">#REF!</definedName>
    <definedName name="___KEY2" hidden="1">#REF!</definedName>
    <definedName name="___LOp2" localSheetId="5" hidden="1">{#N/A,#N/A,FALSE,"Dutos";#N/A,#N/A,FALSE,"Terminais"}</definedName>
    <definedName name="___LOp2" localSheetId="11" hidden="1">{#N/A,#N/A,FALSE,"Dutos";#N/A,#N/A,FALSE,"Terminais"}</definedName>
    <definedName name="___LOp2" localSheetId="4" hidden="1">{#N/A,#N/A,FALSE,"Dutos";#N/A,#N/A,FALSE,"Terminais"}</definedName>
    <definedName name="___LOp2" localSheetId="2" hidden="1">{#N/A,#N/A,FALSE,"Dutos";#N/A,#N/A,FALSE,"Terminais"}</definedName>
    <definedName name="___LOp2" localSheetId="13" hidden="1">{#N/A,#N/A,FALSE,"Dutos";#N/A,#N/A,FALSE,"Terminais"}</definedName>
    <definedName name="___LOp2" localSheetId="12" hidden="1">{#N/A,#N/A,FALSE,"Dutos";#N/A,#N/A,FALSE,"Terminais"}</definedName>
    <definedName name="___LOp2" localSheetId="15" hidden="1">{#N/A,#N/A,FALSE,"Dutos";#N/A,#N/A,FALSE,"Terminais"}</definedName>
    <definedName name="___LOp2" localSheetId="14" hidden="1">{#N/A,#N/A,FALSE,"Dutos";#N/A,#N/A,FALSE,"Terminais"}</definedName>
    <definedName name="___LOp2" hidden="1">{#N/A,#N/A,FALSE,"Dutos";#N/A,#N/A,FALSE,"Terminais"}</definedName>
    <definedName name="___LOp3" localSheetId="5" hidden="1">{#N/A,#N/A,FALSE,"Dutos";#N/A,#N/A,FALSE,"Terminais"}</definedName>
    <definedName name="___LOp3" localSheetId="11" hidden="1">{#N/A,#N/A,FALSE,"Dutos";#N/A,#N/A,FALSE,"Terminais"}</definedName>
    <definedName name="___LOp3" localSheetId="4" hidden="1">{#N/A,#N/A,FALSE,"Dutos";#N/A,#N/A,FALSE,"Terminais"}</definedName>
    <definedName name="___LOp3" localSheetId="2" hidden="1">{#N/A,#N/A,FALSE,"Dutos";#N/A,#N/A,FALSE,"Terminais"}</definedName>
    <definedName name="___LOp3" localSheetId="13" hidden="1">{#N/A,#N/A,FALSE,"Dutos";#N/A,#N/A,FALSE,"Terminais"}</definedName>
    <definedName name="___LOp3" localSheetId="12" hidden="1">{#N/A,#N/A,FALSE,"Dutos";#N/A,#N/A,FALSE,"Terminais"}</definedName>
    <definedName name="___LOp3" localSheetId="15" hidden="1">{#N/A,#N/A,FALSE,"Dutos";#N/A,#N/A,FALSE,"Terminais"}</definedName>
    <definedName name="___LOp3" localSheetId="14" hidden="1">{#N/A,#N/A,FALSE,"Dutos";#N/A,#N/A,FALSE,"Terminais"}</definedName>
    <definedName name="___LOp3" hidden="1">{#N/A,#N/A,FALSE,"Dutos";#N/A,#N/A,FALSE,"Terminais"}</definedName>
    <definedName name="___MAR95" localSheetId="7">#REF!</definedName>
    <definedName name="___MAR95">#REF!</definedName>
    <definedName name="___Mar98" localSheetId="7">#REF!</definedName>
    <definedName name="___Mar98">#REF!</definedName>
    <definedName name="___May98" localSheetId="7">#REF!</definedName>
    <definedName name="___May98">#REF!</definedName>
    <definedName name="___Nov98" localSheetId="7">#REF!</definedName>
    <definedName name="___Nov98">#REF!</definedName>
    <definedName name="___Oct98" localSheetId="7">#REF!</definedName>
    <definedName name="___Oct98">#REF!</definedName>
    <definedName name="___R" localSheetId="7" hidden="1">[5]Template!$D$8:$D$35</definedName>
    <definedName name="___R" hidden="1">#REF!</definedName>
    <definedName name="___RAN04" localSheetId="1">#REF!</definedName>
    <definedName name="___RAN04" localSheetId="7">#REF!</definedName>
    <definedName name="___RAN04">#REF!</definedName>
    <definedName name="___RAN09" localSheetId="7">#REF!</definedName>
    <definedName name="___RAN09">#REF!</definedName>
    <definedName name="___RAN10" localSheetId="7">#REF!</definedName>
    <definedName name="___RAN10">#REF!</definedName>
    <definedName name="___RAN112" localSheetId="7">#REF!</definedName>
    <definedName name="___RAN112">#REF!</definedName>
    <definedName name="___RAN12" localSheetId="7">#REF!</definedName>
    <definedName name="___RAN12">#REF!</definedName>
    <definedName name="___RAN13" localSheetId="7">#REF!</definedName>
    <definedName name="___RAN13">#REF!</definedName>
    <definedName name="___RAN15" localSheetId="7">#REF!</definedName>
    <definedName name="___RAN15">#REF!</definedName>
    <definedName name="___RAN16" localSheetId="7">#REF!</definedName>
    <definedName name="___RAN16">#REF!</definedName>
    <definedName name="___RAN17" localSheetId="7">#REF!</definedName>
    <definedName name="___RAN17">#REF!</definedName>
    <definedName name="___RAN18" localSheetId="7">#REF!</definedName>
    <definedName name="___RAN18">#REF!</definedName>
    <definedName name="___RAN19" localSheetId="7">#REF!</definedName>
    <definedName name="___RAN19">#REF!</definedName>
    <definedName name="___RAN21" localSheetId="7">#REF!</definedName>
    <definedName name="___RAN21">#REF!</definedName>
    <definedName name="___RAN22" localSheetId="7">#REF!</definedName>
    <definedName name="___RAN22">#REF!</definedName>
    <definedName name="___RAN23" localSheetId="7">#REF!</definedName>
    <definedName name="___RAN23">#REF!</definedName>
    <definedName name="___RAN24" localSheetId="7">#REF!</definedName>
    <definedName name="___RAN24">#REF!</definedName>
    <definedName name="___RAN251" localSheetId="7">#REF!</definedName>
    <definedName name="___RAN251">#REF!</definedName>
    <definedName name="___RAN252" localSheetId="7">#REF!</definedName>
    <definedName name="___RAN252">#REF!</definedName>
    <definedName name="___RAN27" localSheetId="7">#REF!</definedName>
    <definedName name="___RAN27">#REF!</definedName>
    <definedName name="___RAN28" localSheetId="7">#REF!</definedName>
    <definedName name="___RAN28">#REF!</definedName>
    <definedName name="___RAN29" localSheetId="7">#REF!</definedName>
    <definedName name="___RAN29">#REF!</definedName>
    <definedName name="___RAN30" localSheetId="7">#REF!</definedName>
    <definedName name="___RAN30">#REF!</definedName>
    <definedName name="___RAN311" localSheetId="7">#REF!</definedName>
    <definedName name="___RAN311">#REF!</definedName>
    <definedName name="___RAN312" localSheetId="7">#REF!</definedName>
    <definedName name="___RAN312">#REF!</definedName>
    <definedName name="___RAN313" localSheetId="7">#REF!</definedName>
    <definedName name="___RAN313">#REF!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_xlfn.IFERROR" hidden="1">#NAME?</definedName>
    <definedName name="___xlfn.RTD" hidden="1">#NAME?</definedName>
    <definedName name="___zz234" localSheetId="7">[8]A3!$M$358</definedName>
    <definedName name="___zz234">#REF!</definedName>
    <definedName name="__1__123Graph_ACHART_1" localSheetId="7" hidden="1">[9]Template!$B$8:$B$35</definedName>
    <definedName name="__1__123Graph_ACHART_1" hidden="1">#REF!</definedName>
    <definedName name="__1__123Graph_AGRAFICO_1" localSheetId="7" hidden="1">[7]SINTESIS!$N$7:$N$20</definedName>
    <definedName name="__1__123Graph_AGRAFICO_1" hidden="1">#REF!</definedName>
    <definedName name="__10__123Graph_CCHART_1" localSheetId="7" hidden="1">[9]Template!$D$8:$D$35</definedName>
    <definedName name="__10__123Graph_CCHART_1" hidden="1">#REF!</definedName>
    <definedName name="__10__123Graph_ECHART_2" localSheetId="7" hidden="1">[10]A!$B$45:$D$45</definedName>
    <definedName name="__10__123Graph_ECHART_2" hidden="1">#REF!</definedName>
    <definedName name="__11__123Graph_XCHART_1" localSheetId="7" hidden="1">[9]Template!$A$8:$A$35</definedName>
    <definedName name="__11__123Graph_XCHART_1" hidden="1">#REF!</definedName>
    <definedName name="__12__123Graph_CCHART_2" localSheetId="7" hidden="1">[10]A!$B$43:$D$43</definedName>
    <definedName name="__12__123Graph_CCHART_2" hidden="1">#REF!</definedName>
    <definedName name="__12__123Graph_XCHART_2" localSheetId="7" hidden="1">[10]A!$B$39:$D$39</definedName>
    <definedName name="__12__123Graph_XCHART_2" hidden="1">#REF!</definedName>
    <definedName name="__123Graph_A" localSheetId="5" hidden="1">#REF!</definedName>
    <definedName name="__123Graph_A" localSheetId="11" hidden="1">#REF!</definedName>
    <definedName name="__123Graph_A" localSheetId="7" hidden="1">[11]EXTRA!$B$12:$B$31</definedName>
    <definedName name="__123Graph_A" localSheetId="13" hidden="1">#REF!</definedName>
    <definedName name="__123Graph_A" localSheetId="12" hidden="1">#REF!</definedName>
    <definedName name="__123Graph_A" localSheetId="15" hidden="1">#REF!</definedName>
    <definedName name="__123Graph_A" localSheetId="14" hidden="1">#REF!</definedName>
    <definedName name="__123Graph_A" hidden="1">#REF!</definedName>
    <definedName name="__123Graph_B" localSheetId="5" hidden="1">#REF!</definedName>
    <definedName name="__123Graph_B" localSheetId="11" hidden="1">#REF!</definedName>
    <definedName name="__123Graph_B" localSheetId="7" hidden="1">[11]EXTRA!$C$12:$C$31</definedName>
    <definedName name="__123Graph_B" localSheetId="13" hidden="1">#REF!</definedName>
    <definedName name="__123Graph_B" localSheetId="12" hidden="1">#REF!</definedName>
    <definedName name="__123Graph_B" localSheetId="15" hidden="1">#REF!</definedName>
    <definedName name="__123Graph_B" localSheetId="14" hidden="1">#REF!</definedName>
    <definedName name="__123Graph_B" hidden="1">#REF!</definedName>
    <definedName name="__123Graph_C" localSheetId="5" hidden="1">#REF!</definedName>
    <definedName name="__123Graph_C" localSheetId="11" hidden="1">#REF!</definedName>
    <definedName name="__123Graph_C" localSheetId="7" hidden="1">[11]EXTRA!$D$12:$D$31</definedName>
    <definedName name="__123Graph_C" localSheetId="13" hidden="1">#REF!</definedName>
    <definedName name="__123Graph_C" localSheetId="12" hidden="1">#REF!</definedName>
    <definedName name="__123Graph_C" localSheetId="15" hidden="1">#REF!</definedName>
    <definedName name="__123Graph_C" localSheetId="14" hidden="1">#REF!</definedName>
    <definedName name="__123Graph_C" hidden="1">#REF!</definedName>
    <definedName name="__123Graph_D" localSheetId="5" hidden="1">#REF!</definedName>
    <definedName name="__123Graph_D" localSheetId="11" hidden="1">#REF!</definedName>
    <definedName name="__123Graph_D" localSheetId="7" hidden="1">[11]EXTRA!$E$12:$E$31</definedName>
    <definedName name="__123Graph_D" localSheetId="13" hidden="1">#REF!</definedName>
    <definedName name="__123Graph_D" localSheetId="12" hidden="1">#REF!</definedName>
    <definedName name="__123Graph_D" localSheetId="15" hidden="1">#REF!</definedName>
    <definedName name="__123Graph_D" localSheetId="14" hidden="1">#REF!</definedName>
    <definedName name="__123Graph_D" hidden="1">#REF!</definedName>
    <definedName name="__123Graph_E" localSheetId="5" hidden="1">#REF!</definedName>
    <definedName name="__123Graph_E" localSheetId="11" hidden="1">#REF!</definedName>
    <definedName name="__123Graph_E" localSheetId="7" hidden="1">[11]EXTRA!$F$12:$F$31</definedName>
    <definedName name="__123Graph_E" localSheetId="13" hidden="1">#REF!</definedName>
    <definedName name="__123Graph_E" localSheetId="12" hidden="1">#REF!</definedName>
    <definedName name="__123Graph_E" localSheetId="15" hidden="1">#REF!</definedName>
    <definedName name="__123Graph_E" localSheetId="14" hidden="1">#REF!</definedName>
    <definedName name="__123Graph_E" hidden="1">#REF!</definedName>
    <definedName name="__123Graph_F" localSheetId="5" hidden="1">#REF!</definedName>
    <definedName name="__123Graph_F" localSheetId="11" hidden="1">#REF!</definedName>
    <definedName name="__123Graph_F" localSheetId="7" hidden="1">[11]EXTRA!$G$12:$G$31</definedName>
    <definedName name="__123Graph_F" localSheetId="13" hidden="1">#REF!</definedName>
    <definedName name="__123Graph_F" localSheetId="12" hidden="1">#REF!</definedName>
    <definedName name="__123Graph_F" localSheetId="15" hidden="1">#REF!</definedName>
    <definedName name="__123Graph_F" localSheetId="14" hidden="1">#REF!</definedName>
    <definedName name="__123Graph_F" hidden="1">#REF!</definedName>
    <definedName name="__123Graph_X" localSheetId="5" hidden="1">#REF!</definedName>
    <definedName name="__123Graph_X" localSheetId="11" hidden="1">#REF!</definedName>
    <definedName name="__123Graph_X" localSheetId="7" hidden="1">'[11]Sdo.Empres.Grupo.'!$A$6:$A$58</definedName>
    <definedName name="__123Graph_X" localSheetId="13" hidden="1">#REF!</definedName>
    <definedName name="__123Graph_X" localSheetId="12" hidden="1">#REF!</definedName>
    <definedName name="__123Graph_X" localSheetId="15" hidden="1">#REF!</definedName>
    <definedName name="__123Graph_X" localSheetId="14" hidden="1">#REF!</definedName>
    <definedName name="__123Graph_X" hidden="1">#REF!</definedName>
    <definedName name="__14__123Graph_DCHART_1" localSheetId="7" hidden="1">[9]Template!$E$8:$E$35</definedName>
    <definedName name="__14__123Graph_DCHART_1" hidden="1">#REF!</definedName>
    <definedName name="__16__123Graph_DCHART_2" localSheetId="7" hidden="1">[10]A!$B$44:$D$44</definedName>
    <definedName name="__16__123Graph_DCHART_2" hidden="1">#REF!</definedName>
    <definedName name="__18__123Graph_ECHART_1" localSheetId="7" hidden="1">[9]Template!$F$8:$F$35</definedName>
    <definedName name="__18__123Graph_ECHART_1" hidden="1">#REF!</definedName>
    <definedName name="__2__123Graph_ACHART_1" localSheetId="7" hidden="1">[9]Template!$B$8:$B$35</definedName>
    <definedName name="__2__123Graph_ACHART_1" hidden="1">#REF!</definedName>
    <definedName name="__2__123Graph_ACHART_2" localSheetId="7" hidden="1">[10]A!$B$41:$D$41</definedName>
    <definedName name="__2__123Graph_ACHART_2" hidden="1">#REF!</definedName>
    <definedName name="__2__123Graph_CGRAFICO_1" localSheetId="7" hidden="1">[7]SINTESIS!$M$7:$M$12</definedName>
    <definedName name="__2__123Graph_CGRAFICO_1" hidden="1">#REF!</definedName>
    <definedName name="__20__123Graph_ECHART_2" localSheetId="7" hidden="1">[10]A!$B$45:$D$45</definedName>
    <definedName name="__20__123Graph_ECHART_2" hidden="1">#REF!</definedName>
    <definedName name="__22__123Graph_XCHART_1" localSheetId="7" hidden="1">[9]Template!$A$8:$A$35</definedName>
    <definedName name="__22__123Graph_XCHART_1" hidden="1">#REF!</definedName>
    <definedName name="__24__123Graph_XCHART_2" localSheetId="7" hidden="1">[10]A!$B$39:$D$39</definedName>
    <definedName name="__24__123Graph_XCHART_2" hidden="1">#REF!</definedName>
    <definedName name="__3__123Graph_BCHART_1" localSheetId="7" hidden="1">[9]Template!$C$8:$C$35</definedName>
    <definedName name="__3__123Graph_BCHART_1" hidden="1">#REF!</definedName>
    <definedName name="__3DEUDA_A_CP" localSheetId="1">#REF!</definedName>
    <definedName name="__3DEUDA_A_CP" localSheetId="7">#REF!</definedName>
    <definedName name="__3DEUDA_A_CP">#REF!</definedName>
    <definedName name="__4__123Graph_ACHART_2" localSheetId="7" hidden="1">[10]A!$B$41:$D$41</definedName>
    <definedName name="__4__123Graph_ACHART_2" hidden="1">#REF!</definedName>
    <definedName name="__4__123Graph_BCHART_2" localSheetId="7" hidden="1">[10]A!$B$42:$D$42</definedName>
    <definedName name="__4__123Graph_BCHART_2" hidden="1">#REF!</definedName>
    <definedName name="__4DEUDA_A_LP" localSheetId="1">#REF!</definedName>
    <definedName name="__4DEUDA_A_LP" localSheetId="7">#REF!</definedName>
    <definedName name="__4DEUDA_A_LP">#REF!</definedName>
    <definedName name="__5__123Graph_CCHART_1" localSheetId="7" hidden="1">[9]Template!$D$8:$D$35</definedName>
    <definedName name="__5__123Graph_CCHART_1" hidden="1">#REF!</definedName>
    <definedName name="__6__123Graph_BCHART_1" localSheetId="7" hidden="1">[9]Template!$C$8:$C$35</definedName>
    <definedName name="__6__123Graph_BCHART_1" hidden="1">#REF!</definedName>
    <definedName name="__6__123Graph_CCHART_2" localSheetId="7" hidden="1">[10]A!$B$43:$D$43</definedName>
    <definedName name="__6__123Graph_CCHART_2" hidden="1">#REF!</definedName>
    <definedName name="__7__123Graph_DCHART_1" localSheetId="7" hidden="1">[9]Template!$E$8:$E$35</definedName>
    <definedName name="__7__123Graph_DCHART_1" hidden="1">#REF!</definedName>
    <definedName name="__8__123Graph_BCHART_2" localSheetId="7" hidden="1">[10]A!$B$42:$D$42</definedName>
    <definedName name="__8__123Graph_BCHART_2" hidden="1">#REF!</definedName>
    <definedName name="__8__123Graph_DCHART_2" localSheetId="7" hidden="1">[10]A!$B$44:$D$44</definedName>
    <definedName name="__8__123Graph_DCHART_2" hidden="1">#REF!</definedName>
    <definedName name="__9__123Graph_ECHART_1" localSheetId="7" hidden="1">[9]Template!$F$8:$F$35</definedName>
    <definedName name="__9__123Graph_ECHART_1" hidden="1">#REF!</definedName>
    <definedName name="__ABR95" localSheetId="1">#REF!</definedName>
    <definedName name="__ABR95" localSheetId="7">#REF!</definedName>
    <definedName name="__ABR95">#REF!</definedName>
    <definedName name="__Abr98" localSheetId="7">#REF!</definedName>
    <definedName name="__Abr98">#REF!</definedName>
    <definedName name="__Ago98" localSheetId="7">#REF!</definedName>
    <definedName name="__Ago98">#REF!</definedName>
    <definedName name="__dc1" localSheetId="5" hidden="1">{#N/A,#N/A,FALSE,"Aging Summary";#N/A,#N/A,FALSE,"Ratio Analysis";#N/A,#N/A,FALSE,"Test 120 Day Accts";#N/A,#N/A,FALSE,"Tickmarks"}</definedName>
    <definedName name="__dc1" localSheetId="11" hidden="1">{#N/A,#N/A,FALSE,"Aging Summary";#N/A,#N/A,FALSE,"Ratio Analysis";#N/A,#N/A,FALSE,"Test 120 Day Accts";#N/A,#N/A,FALSE,"Tickmarks"}</definedName>
    <definedName name="__dc1" localSheetId="4" hidden="1">{#N/A,#N/A,FALSE,"Aging Summary";#N/A,#N/A,FALSE,"Ratio Analysis";#N/A,#N/A,FALSE,"Test 120 Day Accts";#N/A,#N/A,FALSE,"Tickmarks"}</definedName>
    <definedName name="__dc1" localSheetId="2" hidden="1">{#N/A,#N/A,FALSE,"Aging Summary";#N/A,#N/A,FALSE,"Ratio Analysis";#N/A,#N/A,FALSE,"Test 120 Day Accts";#N/A,#N/A,FALSE,"Tickmarks"}</definedName>
    <definedName name="__dc1" localSheetId="13" hidden="1">{#N/A,#N/A,FALSE,"Aging Summary";#N/A,#N/A,FALSE,"Ratio Analysis";#N/A,#N/A,FALSE,"Test 120 Day Accts";#N/A,#N/A,FALSE,"Tickmarks"}</definedName>
    <definedName name="__dc1" localSheetId="12" hidden="1">{#N/A,#N/A,FALSE,"Aging Summary";#N/A,#N/A,FALSE,"Ratio Analysis";#N/A,#N/A,FALSE,"Test 120 Day Accts";#N/A,#N/A,FALSE,"Tickmarks"}</definedName>
    <definedName name="__dc1" localSheetId="15" hidden="1">{#N/A,#N/A,FALSE,"Aging Summary";#N/A,#N/A,FALSE,"Ratio Analysis";#N/A,#N/A,FALSE,"Test 120 Day Accts";#N/A,#N/A,FALSE,"Tickmarks"}</definedName>
    <definedName name="__dc1" localSheetId="14" hidden="1">{#N/A,#N/A,FALSE,"Aging Summary";#N/A,#N/A,FALSE,"Ratio Analysis";#N/A,#N/A,FALSE,"Test 120 Day Accts";#N/A,#N/A,FALSE,"Tickmarks"}</definedName>
    <definedName name="__dc1" hidden="1">{#N/A,#N/A,FALSE,"Aging Summary";#N/A,#N/A,FALSE,"Ratio Analysis";#N/A,#N/A,FALSE,"Test 120 Day Accts";#N/A,#N/A,FALSE,"Tickmarks"}</definedName>
    <definedName name="__Dic98" localSheetId="7">#REF!</definedName>
    <definedName name="__Dic98">#REF!</definedName>
    <definedName name="__ENE95" localSheetId="7">#REF!</definedName>
    <definedName name="__ENE95">#REF!</definedName>
    <definedName name="__Ene98" localSheetId="7">#REF!</definedName>
    <definedName name="__Ene98">#REF!</definedName>
    <definedName name="__f" localSheetId="7">#REF!</definedName>
    <definedName name="__f">#REF!</definedName>
    <definedName name="__FDS_HYPERLINK_TOGGLE_STATE__" hidden="1">"ON"</definedName>
    <definedName name="__FEB95" localSheetId="1">#REF!</definedName>
    <definedName name="__FEB95" localSheetId="7">#REF!</definedName>
    <definedName name="__FEB95" localSheetId="2">#REF!</definedName>
    <definedName name="__FEB95">#REF!</definedName>
    <definedName name="__Feb98" localSheetId="7">#REF!</definedName>
    <definedName name="__Feb98" localSheetId="2">#REF!</definedName>
    <definedName name="__Feb98">#REF!</definedName>
    <definedName name="__fg1" localSheetId="7">#REF!</definedName>
    <definedName name="__fg1" localSheetId="2">#REF!</definedName>
    <definedName name="__fg1">#REF!</definedName>
    <definedName name="__g4" localSheetId="5" hidden="1">{"VERGALHÃO",#N/A,FALSE,"DIÁRIA";"CATODO",#N/A,FALSE,"DIÁRIA"}</definedName>
    <definedName name="__g4" localSheetId="11" hidden="1">{"VERGALHÃO",#N/A,FALSE,"DIÁRIA";"CATODO",#N/A,FALSE,"DIÁRIA"}</definedName>
    <definedName name="__g4" localSheetId="4" hidden="1">{"VERGALHÃO",#N/A,FALSE,"DIÁRIA";"CATODO",#N/A,FALSE,"DIÁRIA"}</definedName>
    <definedName name="__g4" localSheetId="2" hidden="1">{"VERGALHÃO",#N/A,FALSE,"DIÁRIA";"CATODO",#N/A,FALSE,"DIÁRIA"}</definedName>
    <definedName name="__g4" localSheetId="13" hidden="1">{"VERGALHÃO",#N/A,FALSE,"DIÁRIA";"CATODO",#N/A,FALSE,"DIÁRIA"}</definedName>
    <definedName name="__g4" localSheetId="12" hidden="1">{"VERGALHÃO",#N/A,FALSE,"DIÁRIA";"CATODO",#N/A,FALSE,"DIÁRIA"}</definedName>
    <definedName name="__g4" localSheetId="15" hidden="1">{"VERGALHÃO",#N/A,FALSE,"DIÁRIA";"CATODO",#N/A,FALSE,"DIÁRIA"}</definedName>
    <definedName name="__g4" localSheetId="14" hidden="1">{"VERGALHÃO",#N/A,FALSE,"DIÁRIA";"CATODO",#N/A,FALSE,"DIÁRIA"}</definedName>
    <definedName name="__g4" hidden="1">{"VERGALHÃO",#N/A,FALSE,"DIÁRIA";"CATODO",#N/A,FALSE,"DIÁRIA"}</definedName>
    <definedName name="__IMP1" localSheetId="2">#REF!,#REF!</definedName>
    <definedName name="__IMP1">#REF!,#REF!</definedName>
    <definedName name="__IntlFixup" hidden="1">TRUE</definedName>
    <definedName name="__Jul98" localSheetId="7">#REF!</definedName>
    <definedName name="__Jul98">#REF!</definedName>
    <definedName name="__Jun98" localSheetId="7">#REF!</definedName>
    <definedName name="__Jun98">#REF!</definedName>
    <definedName name="__KEY2" localSheetId="7" hidden="1">#REF!</definedName>
    <definedName name="__KEY2" hidden="1">#REF!</definedName>
    <definedName name="__LOp2" localSheetId="5" hidden="1">{#N/A,#N/A,FALSE,"Dutos";#N/A,#N/A,FALSE,"Terminais"}</definedName>
    <definedName name="__LOp2" localSheetId="11" hidden="1">{#N/A,#N/A,FALSE,"Dutos";#N/A,#N/A,FALSE,"Terminais"}</definedName>
    <definedName name="__LOp2" localSheetId="4" hidden="1">{#N/A,#N/A,FALSE,"Dutos";#N/A,#N/A,FALSE,"Terminais"}</definedName>
    <definedName name="__LOp2" localSheetId="2" hidden="1">{#N/A,#N/A,FALSE,"Dutos";#N/A,#N/A,FALSE,"Terminais"}</definedName>
    <definedName name="__LOp2" localSheetId="13" hidden="1">{#N/A,#N/A,FALSE,"Dutos";#N/A,#N/A,FALSE,"Terminais"}</definedName>
    <definedName name="__LOp2" localSheetId="12" hidden="1">{#N/A,#N/A,FALSE,"Dutos";#N/A,#N/A,FALSE,"Terminais"}</definedName>
    <definedName name="__LOp2" localSheetId="15" hidden="1">{#N/A,#N/A,FALSE,"Dutos";#N/A,#N/A,FALSE,"Terminais"}</definedName>
    <definedName name="__LOp2" localSheetId="14" hidden="1">{#N/A,#N/A,FALSE,"Dutos";#N/A,#N/A,FALSE,"Terminais"}</definedName>
    <definedName name="__LOp2" hidden="1">{#N/A,#N/A,FALSE,"Dutos";#N/A,#N/A,FALSE,"Terminais"}</definedName>
    <definedName name="__LOp3" localSheetId="5" hidden="1">{#N/A,#N/A,FALSE,"Dutos";#N/A,#N/A,FALSE,"Terminais"}</definedName>
    <definedName name="__LOp3" localSheetId="11" hidden="1">{#N/A,#N/A,FALSE,"Dutos";#N/A,#N/A,FALSE,"Terminais"}</definedName>
    <definedName name="__LOp3" localSheetId="4" hidden="1">{#N/A,#N/A,FALSE,"Dutos";#N/A,#N/A,FALSE,"Terminais"}</definedName>
    <definedName name="__LOp3" localSheetId="2" hidden="1">{#N/A,#N/A,FALSE,"Dutos";#N/A,#N/A,FALSE,"Terminais"}</definedName>
    <definedName name="__LOp3" localSheetId="13" hidden="1">{#N/A,#N/A,FALSE,"Dutos";#N/A,#N/A,FALSE,"Terminais"}</definedName>
    <definedName name="__LOp3" localSheetId="12" hidden="1">{#N/A,#N/A,FALSE,"Dutos";#N/A,#N/A,FALSE,"Terminais"}</definedName>
    <definedName name="__LOp3" localSheetId="15" hidden="1">{#N/A,#N/A,FALSE,"Dutos";#N/A,#N/A,FALSE,"Terminais"}</definedName>
    <definedName name="__LOp3" localSheetId="14" hidden="1">{#N/A,#N/A,FALSE,"Dutos";#N/A,#N/A,FALSE,"Terminais"}</definedName>
    <definedName name="__LOp3" hidden="1">{#N/A,#N/A,FALSE,"Dutos";#N/A,#N/A,FALSE,"Terminais"}</definedName>
    <definedName name="__MAR95" localSheetId="7">#REF!</definedName>
    <definedName name="__MAR95">#REF!</definedName>
    <definedName name="__Mar98" localSheetId="7">#REF!</definedName>
    <definedName name="__Mar98">#REF!</definedName>
    <definedName name="__May98" localSheetId="7">#REF!</definedName>
    <definedName name="__May98">#REF!</definedName>
    <definedName name="__Nov98" localSheetId="7">#REF!</definedName>
    <definedName name="__Nov98">#REF!</definedName>
    <definedName name="__Oct98" localSheetId="7">#REF!</definedName>
    <definedName name="__Oct98">#REF!</definedName>
    <definedName name="__R" localSheetId="7" hidden="1">[5]Template!$D$8:$D$35</definedName>
    <definedName name="__R" hidden="1">#REF!</definedName>
    <definedName name="__RAN04" localSheetId="1">#REF!</definedName>
    <definedName name="__RAN04" localSheetId="7">#REF!</definedName>
    <definedName name="__RAN04">#REF!</definedName>
    <definedName name="__RAN09" localSheetId="7">#REF!</definedName>
    <definedName name="__RAN09">#REF!</definedName>
    <definedName name="__RAN10" localSheetId="7">#REF!</definedName>
    <definedName name="__RAN10">#REF!</definedName>
    <definedName name="__RAN112" localSheetId="7">#REF!</definedName>
    <definedName name="__RAN112">#REF!</definedName>
    <definedName name="__RAN12" localSheetId="7">#REF!</definedName>
    <definedName name="__RAN12">#REF!</definedName>
    <definedName name="__RAN13" localSheetId="7">#REF!</definedName>
    <definedName name="__RAN13">#REF!</definedName>
    <definedName name="__RAN15" localSheetId="7">#REF!</definedName>
    <definedName name="__RAN15">#REF!</definedName>
    <definedName name="__RAN16" localSheetId="7">#REF!</definedName>
    <definedName name="__RAN16">#REF!</definedName>
    <definedName name="__RAN17" localSheetId="7">#REF!</definedName>
    <definedName name="__RAN17">#REF!</definedName>
    <definedName name="__RAN18" localSheetId="7">#REF!</definedName>
    <definedName name="__RAN18">#REF!</definedName>
    <definedName name="__RAN19" localSheetId="7">#REF!</definedName>
    <definedName name="__RAN19">#REF!</definedName>
    <definedName name="__RAN21" localSheetId="7">#REF!</definedName>
    <definedName name="__RAN21">#REF!</definedName>
    <definedName name="__RAN22" localSheetId="7">#REF!</definedName>
    <definedName name="__RAN22">#REF!</definedName>
    <definedName name="__RAN23" localSheetId="7">#REF!</definedName>
    <definedName name="__RAN23">#REF!</definedName>
    <definedName name="__RAN24" localSheetId="7">#REF!</definedName>
    <definedName name="__RAN24">#REF!</definedName>
    <definedName name="__RAN251" localSheetId="7">#REF!</definedName>
    <definedName name="__RAN251">#REF!</definedName>
    <definedName name="__RAN252" localSheetId="7">#REF!</definedName>
    <definedName name="__RAN252">#REF!</definedName>
    <definedName name="__RAN27" localSheetId="7">#REF!</definedName>
    <definedName name="__RAN27">#REF!</definedName>
    <definedName name="__RAN28" localSheetId="7">#REF!</definedName>
    <definedName name="__RAN28">#REF!</definedName>
    <definedName name="__RAN29" localSheetId="7">#REF!</definedName>
    <definedName name="__RAN29">#REF!</definedName>
    <definedName name="__RAN30" localSheetId="7">#REF!</definedName>
    <definedName name="__RAN30">#REF!</definedName>
    <definedName name="__RAN311" localSheetId="7">#REF!</definedName>
    <definedName name="__RAN311">#REF!</definedName>
    <definedName name="__RAN312" localSheetId="7">#REF!</definedName>
    <definedName name="__RAN312">#REF!</definedName>
    <definedName name="__RAN313" localSheetId="7">#REF!</definedName>
    <definedName name="__RAN313">#REF!</definedName>
    <definedName name="__xlfn.IFERROR" hidden="1">#NAME?</definedName>
    <definedName name="__xlfn.RTD" hidden="1">#NAME?</definedName>
    <definedName name="__zz234" localSheetId="7">[8]A3!$M$358</definedName>
    <definedName name="__zz234">#REF!</definedName>
    <definedName name="_01DelContas" localSheetId="1">#REF!,#REF!,#REF!,#REF!,#REF!,#REF!,#REF!,#REF!,#REF!,#REF!,#REF!</definedName>
    <definedName name="_01DelContas" localSheetId="7">#REF!,#REF!,#REF!,#REF!,#REF!,#REF!,#REF!,#REF!,#REF!,#REF!,#REF!</definedName>
    <definedName name="_01DelContas" localSheetId="2">#REF!,#REF!,#REF!,#REF!,#REF!,#REF!,#REF!,#REF!,#REF!,#REF!,#REF!</definedName>
    <definedName name="_01DelContas">#REF!,#REF!,#REF!,#REF!,#REF!,#REF!,#REF!,#REF!,#REF!,#REF!,#REF!</definedName>
    <definedName name="_02DelContas" localSheetId="1">#REF!,#REF!,#REF!,#REF!,#REF!,#REF!,#REF!,#REF!,#REF!,#REF!,#REF!</definedName>
    <definedName name="_02DelContas" localSheetId="7">#REF!,#REF!,#REF!,#REF!,#REF!,#REF!,#REF!,#REF!,#REF!,#REF!,#REF!</definedName>
    <definedName name="_02DelContas" localSheetId="2">#REF!,#REF!,#REF!,#REF!,#REF!,#REF!,#REF!,#REF!,#REF!,#REF!,#REF!</definedName>
    <definedName name="_02DelContas">#REF!,#REF!,#REF!,#REF!,#REF!,#REF!,#REF!,#REF!,#REF!,#REF!,#REF!</definedName>
    <definedName name="_03DelContas" localSheetId="1">#REF!,#REF!,#REF!,#REF!,#REF!,#REF!,#REF!,#REF!,#REF!,#REF!</definedName>
    <definedName name="_03DelContas" localSheetId="7">#REF!,#REF!,#REF!,#REF!,#REF!,#REF!,#REF!,#REF!,#REF!,#REF!</definedName>
    <definedName name="_03DelContas" localSheetId="2">#REF!,#REF!,#REF!,#REF!,#REF!,#REF!,#REF!,#REF!,#REF!,#REF!</definedName>
    <definedName name="_03DelContas">#REF!,#REF!,#REF!,#REF!,#REF!,#REF!,#REF!,#REF!,#REF!,#REF!</definedName>
    <definedName name="_042002" localSheetId="1">#REF!</definedName>
    <definedName name="_042002" localSheetId="7">'[12]Gás Natural'!$A$73:$U$99</definedName>
    <definedName name="_042002" localSheetId="2">#REF!</definedName>
    <definedName name="_042002">#REF!</definedName>
    <definedName name="_1" localSheetId="1">#REF!</definedName>
    <definedName name="_1" localSheetId="7">#REF!</definedName>
    <definedName name="_1" localSheetId="2">#REF!</definedName>
    <definedName name="_1">#REF!</definedName>
    <definedName name="_1____123Graph_ACHART_1" localSheetId="7" hidden="1">[13]Template!$B$8:$B$35</definedName>
    <definedName name="_1____123Graph_ACHART_1" localSheetId="2" hidden="1">#REF!</definedName>
    <definedName name="_1____123Graph_ACHART_1" hidden="1">#REF!</definedName>
    <definedName name="_1__123Graph_ACHART_1" localSheetId="7" hidden="1">[9]Template!$B$8:$B$35</definedName>
    <definedName name="_1__123Graph_ACHART_1" hidden="1">#REF!</definedName>
    <definedName name="_1__123Graph_AGRAFICO_1" localSheetId="7" hidden="1">[7]SINTESIS!$N$7:$N$20</definedName>
    <definedName name="_1__123Graph_AGRAFICO_1" hidden="1">#REF!</definedName>
    <definedName name="_1__123Graph_Aｸﾞﾗﾌ_1" hidden="1">#REF!</definedName>
    <definedName name="_1__123Graph_CGRAFICO_1" hidden="1">#REF!</definedName>
    <definedName name="_10" localSheetId="1">#REF!</definedName>
    <definedName name="_10" localSheetId="7">#REF!</definedName>
    <definedName name="_10">#REF!</definedName>
    <definedName name="_10____123Graph_ECHART_2" localSheetId="7" hidden="1">[14]A!$B$45:$D$45</definedName>
    <definedName name="_10____123Graph_ECHART_2" hidden="1">#REF!</definedName>
    <definedName name="_10__123Graph_CCHART_1" localSheetId="7" hidden="1">[13]Template!$D$8:$D$35</definedName>
    <definedName name="_10__123Graph_CCHART_1" hidden="1">#REF!</definedName>
    <definedName name="_10__123Graph_Cｸﾞﾗﾌ_1" hidden="1">#REF!</definedName>
    <definedName name="_10__123Graph_ECHART_2" localSheetId="7" hidden="1">[10]A!$B$45:$D$45</definedName>
    <definedName name="_10__123Graph_ECHART_2" hidden="1">#REF!</definedName>
    <definedName name="_105" localSheetId="1">#REF!</definedName>
    <definedName name="_105" localSheetId="7">#REF!</definedName>
    <definedName name="_105">#REF!</definedName>
    <definedName name="_105r" localSheetId="7">#REF!</definedName>
    <definedName name="_105r">#REF!</definedName>
    <definedName name="_108__123Graph_XCHART_2" localSheetId="7" hidden="1">[14]A!$B$39:$D$39</definedName>
    <definedName name="_108__123Graph_XCHART_2" hidden="1">#REF!</definedName>
    <definedName name="_11" localSheetId="1">#REF!</definedName>
    <definedName name="_11" localSheetId="7">#REF!</definedName>
    <definedName name="_11">#REF!</definedName>
    <definedName name="_11____123Graph_XCHART_1" localSheetId="7" hidden="1">[13]Template!$A$8:$A$35</definedName>
    <definedName name="_11____123Graph_XCHART_1" hidden="1">#REF!</definedName>
    <definedName name="_11__123Graph_Cｸﾞﾗﾌ_1" hidden="1">#REF!</definedName>
    <definedName name="_11__123Graph_Cｸﾞﾗﾌ_3" hidden="1">#REF!</definedName>
    <definedName name="_11__123Graph_XCHART_1" localSheetId="7" hidden="1">[9]Template!$A$8:$A$35</definedName>
    <definedName name="_11__123Graph_XCHART_1" hidden="1">#REF!</definedName>
    <definedName name="_110" localSheetId="1">#REF!</definedName>
    <definedName name="_110" localSheetId="7">#REF!</definedName>
    <definedName name="_110">#REF!</definedName>
    <definedName name="_110r" localSheetId="7">#REF!</definedName>
    <definedName name="_110r">#REF!</definedName>
    <definedName name="_113" localSheetId="7">#REF!</definedName>
    <definedName name="_113">#REF!</definedName>
    <definedName name="_12" localSheetId="7">#REF!</definedName>
    <definedName name="_12">#REF!</definedName>
    <definedName name="_12____123Graph_XCHART_2" localSheetId="7" hidden="1">[14]A!$B$39:$D$39</definedName>
    <definedName name="_12____123Graph_XCHART_2" hidden="1">#REF!</definedName>
    <definedName name="_12__123Graph_ACHART_2" localSheetId="7" hidden="1">[14]A!$B$41:$D$41</definedName>
    <definedName name="_12__123Graph_ACHART_2" hidden="1">#REF!</definedName>
    <definedName name="_12__123Graph_Aｸﾞﾗﾌ_2" hidden="1">#REF!</definedName>
    <definedName name="_12__123Graph_CCHART_2" localSheetId="7" hidden="1">[14]A!$B$43:$D$43</definedName>
    <definedName name="_12__123Graph_CCHART_2" hidden="1">#REF!</definedName>
    <definedName name="_12__123Graph_Cｸﾞﾗﾌ_3" hidden="1">#REF!</definedName>
    <definedName name="_12__123Graph_Dｸﾞﾗﾌ_3" hidden="1">#REF!</definedName>
    <definedName name="_12__123Graph_XCHART_2" localSheetId="7" hidden="1">[10]A!$B$39:$D$39</definedName>
    <definedName name="_12__123Graph_XCHART_2" hidden="1">#REF!</definedName>
    <definedName name="_13" localSheetId="1">#REF!</definedName>
    <definedName name="_13" localSheetId="7">#REF!</definedName>
    <definedName name="_13">#REF!</definedName>
    <definedName name="_13___123Graph_ACHART_1" localSheetId="7" hidden="1">[13]Template!$B$8:$B$35</definedName>
    <definedName name="_13___123Graph_ACHART_1" hidden="1">#REF!</definedName>
    <definedName name="_13__123Graph_Dｸﾞﾗﾌ_3" hidden="1">#REF!</definedName>
    <definedName name="_13__123Graph_Xｸﾞﾗﾌ_1" hidden="1">#REF!</definedName>
    <definedName name="_130" localSheetId="1">#REF!</definedName>
    <definedName name="_130" localSheetId="7">#REF!</definedName>
    <definedName name="_130">#REF!</definedName>
    <definedName name="_130r" localSheetId="7">#REF!</definedName>
    <definedName name="_130r">#REF!</definedName>
    <definedName name="_14" localSheetId="7">#REF!</definedName>
    <definedName name="_14">#REF!</definedName>
    <definedName name="_14___123Graph_ACHART_2" localSheetId="7" hidden="1">[14]A!$B$41:$D$41</definedName>
    <definedName name="_14___123Graph_ACHART_2" hidden="1">#REF!</definedName>
    <definedName name="_14__123Graph_DCHART_1" localSheetId="7" hidden="1">[13]Template!$E$8:$E$35</definedName>
    <definedName name="_14__123Graph_DCHART_1" hidden="1">#REF!</definedName>
    <definedName name="_14__123Graph_Xｸﾞﾗﾌ_2" hidden="1">#REF!</definedName>
    <definedName name="_15" localSheetId="1">#REF!</definedName>
    <definedName name="_15" localSheetId="7">#REF!</definedName>
    <definedName name="_15">#REF!</definedName>
    <definedName name="_15___123Graph_BCHART_1" localSheetId="7" hidden="1">[13]Template!$C$8:$C$35</definedName>
    <definedName name="_15___123Graph_BCHART_1" hidden="1">#REF!</definedName>
    <definedName name="_15__123Graph_BCHART_1" localSheetId="7" hidden="1">[13]Template!$C$8:$C$35</definedName>
    <definedName name="_15__123Graph_BCHART_1" hidden="1">#REF!</definedName>
    <definedName name="_15__123Graph_Xｸﾞﾗﾌ_1" hidden="1">#REF!</definedName>
    <definedName name="_15__123Graph_Xｸﾞﾗﾌ_5" hidden="1">#REF!</definedName>
    <definedName name="_16" localSheetId="1">#REF!</definedName>
    <definedName name="_16" localSheetId="7">#REF!</definedName>
    <definedName name="_16">#REF!</definedName>
    <definedName name="_16___123Graph_BCHART_2" localSheetId="7" hidden="1">[14]A!$B$42:$D$42</definedName>
    <definedName name="_16___123Graph_BCHART_2" hidden="1">#REF!</definedName>
    <definedName name="_16__123Graph_DCHART_2" localSheetId="7" hidden="1">[14]A!$B$44:$D$44</definedName>
    <definedName name="_16__123Graph_DCHART_2" hidden="1">#REF!</definedName>
    <definedName name="_17___123Graph_CCHART_1" localSheetId="7" hidden="1">[13]Template!$D$8:$D$35</definedName>
    <definedName name="_17___123Graph_CCHART_1" hidden="1">#REF!</definedName>
    <definedName name="_17__123Graph_Xｸﾞﾗﾌ_2" hidden="1">#REF!</definedName>
    <definedName name="_18___123Graph_CCHART_2" localSheetId="7" hidden="1">[14]A!$B$43:$D$43</definedName>
    <definedName name="_18___123Graph_CCHART_2" hidden="1">#REF!</definedName>
    <definedName name="_18__123Graph_ACHART_2" localSheetId="7" hidden="1">[14]A!$B$41:$D$41</definedName>
    <definedName name="_18__123Graph_ACHART_2" hidden="1">#REF!</definedName>
    <definedName name="_18__123Graph_Aｸﾞﾗﾌ_3" hidden="1">#REF!</definedName>
    <definedName name="_18__123Graph_BCHART_1" localSheetId="7" hidden="1">[13]Template!$C$8:$C$35</definedName>
    <definedName name="_18__123Graph_BCHART_1" hidden="1">#REF!</definedName>
    <definedName name="_18__123Graph_ECHART_1" localSheetId="7" hidden="1">[13]Template!$F$8:$F$35</definedName>
    <definedName name="_18__123Graph_ECHART_1" hidden="1">#REF!</definedName>
    <definedName name="_19___123Graph_DCHART_1" localSheetId="7" hidden="1">[13]Template!$E$8:$E$35</definedName>
    <definedName name="_19___123Graph_DCHART_1" hidden="1">#REF!</definedName>
    <definedName name="_19__123Graph_Xｸﾞﾗﾌ_5" hidden="1">#REF!</definedName>
    <definedName name="_2" localSheetId="1">#REF!</definedName>
    <definedName name="_2" localSheetId="7">#REF!</definedName>
    <definedName name="_2">#REF!</definedName>
    <definedName name="_2____123Graph_ACHART_2" localSheetId="7" hidden="1">[14]A!$B$41:$D$41</definedName>
    <definedName name="_2____123Graph_ACHART_2" hidden="1">#REF!</definedName>
    <definedName name="_2__123Graph_ACHART_1" localSheetId="7" hidden="1">[13]Template!$B$8:$B$35</definedName>
    <definedName name="_2__123Graph_ACHART_1" hidden="1">#REF!</definedName>
    <definedName name="_2__123Graph_ACHART_2" localSheetId="7" hidden="1">[10]A!$B$41:$D$41</definedName>
    <definedName name="_2__123Graph_ACHART_2" hidden="1">#REF!</definedName>
    <definedName name="_2__123Graph_Aｸﾞﾗﾌ_2" hidden="1">#REF!</definedName>
    <definedName name="_2__123Graph_CGRAFICO_1" localSheetId="7" hidden="1">[7]SINTESIS!$M$7:$M$12</definedName>
    <definedName name="_2__123Graph_CGRAFICO_1" hidden="1">#REF!</definedName>
    <definedName name="_20___123Graph_DCHART_2" localSheetId="7" hidden="1">[14]A!$B$44:$D$44</definedName>
    <definedName name="_20___123Graph_DCHART_2" hidden="1">#REF!</definedName>
    <definedName name="_20__123Graph_BCHART_2" localSheetId="7" hidden="1">[14]A!$B$42:$D$42</definedName>
    <definedName name="_20__123Graph_BCHART_2" hidden="1">#REF!</definedName>
    <definedName name="_20__123Graph_ECHART_2" localSheetId="7" hidden="1">[14]A!$B$45:$D$45</definedName>
    <definedName name="_20__123Graph_ECHART_2" hidden="1">#REF!</definedName>
    <definedName name="_21___123Graph_ECHART_1" localSheetId="7" hidden="1">[13]Template!$F$8:$F$35</definedName>
    <definedName name="_21___123Graph_ECHART_1" hidden="1">#REF!</definedName>
    <definedName name="_22___123Graph_ECHART_2" localSheetId="7" hidden="1">[14]A!$B$45:$D$45</definedName>
    <definedName name="_22___123Graph_ECHART_2" hidden="1">#REF!</definedName>
    <definedName name="_22__123Graph_XCHART_1" localSheetId="7" hidden="1">[13]Template!$A$8:$A$35</definedName>
    <definedName name="_22__123Graph_XCHART_1" hidden="1">#REF!</definedName>
    <definedName name="_23___123Graph_XCHART_1" localSheetId="7" hidden="1">[13]Template!$A$8:$A$35</definedName>
    <definedName name="_23___123Graph_XCHART_1" hidden="1">#REF!</definedName>
    <definedName name="_24___123Graph_XCHART_2" localSheetId="7" hidden="1">[14]A!$B$39:$D$39</definedName>
    <definedName name="_24___123Graph_XCHART_2" hidden="1">#REF!</definedName>
    <definedName name="_24__123Graph_Aｸﾞﾗﾌ_4" hidden="1">#REF!</definedName>
    <definedName name="_24__123Graph_BCHART_2" localSheetId="7" hidden="1">[14]A!$B$42:$D$42</definedName>
    <definedName name="_24__123Graph_BCHART_2" hidden="1">#REF!</definedName>
    <definedName name="_24__123Graph_XCHART_2" localSheetId="7" hidden="1">[14]A!$B$39:$D$39</definedName>
    <definedName name="_24__123Graph_XCHART_2" hidden="1">#REF!</definedName>
    <definedName name="_24DEUDA_A_CP" localSheetId="1">#REF!</definedName>
    <definedName name="_24DEUDA_A_CP" localSheetId="7">#REF!</definedName>
    <definedName name="_24DEUDA_A_CP">#REF!</definedName>
    <definedName name="_26__123Graph_ACHART_1" localSheetId="7" hidden="1">[13]Template!$B$8:$B$35</definedName>
    <definedName name="_26__123Graph_ACHART_1" hidden="1">#REF!</definedName>
    <definedName name="_27__123Graph_BCHART_1" localSheetId="7" hidden="1">[13]Template!$C$8:$C$35</definedName>
    <definedName name="_27__123Graph_BCHART_1" hidden="1">#REF!</definedName>
    <definedName name="_28__123Graph_ACHART_2" localSheetId="7" hidden="1">[14]A!$B$41:$D$41</definedName>
    <definedName name="_28__123Graph_ACHART_2" hidden="1">#REF!</definedName>
    <definedName name="_3" localSheetId="1">#REF!</definedName>
    <definedName name="_3" localSheetId="7">#REF!</definedName>
    <definedName name="_3">#REF!</definedName>
    <definedName name="_3____123Graph_BCHART_1" localSheetId="7" hidden="1">[13]Template!$C$8:$C$35</definedName>
    <definedName name="_3____123Graph_BCHART_1" hidden="1">#REF!</definedName>
    <definedName name="_3__123Graph_Aｸﾞﾗﾌ_3" hidden="1">#REF!</definedName>
    <definedName name="_3__123Graph_BCHART_1" localSheetId="7" hidden="1">[9]Template!$C$8:$C$35</definedName>
    <definedName name="_3__123Graph_BCHART_1" hidden="1">#REF!</definedName>
    <definedName name="_30__123Graph_Aｸﾞﾗﾌ_5" hidden="1">#REF!</definedName>
    <definedName name="_30__123Graph_BCHART_1" localSheetId="7" hidden="1">[13]Template!$C$8:$C$35</definedName>
    <definedName name="_30__123Graph_BCHART_1" hidden="1">#REF!</definedName>
    <definedName name="_30__123Graph_CCHART_1" localSheetId="7" hidden="1">[13]Template!$D$8:$D$35</definedName>
    <definedName name="_30__123Graph_CCHART_1" hidden="1">#REF!</definedName>
    <definedName name="_30__123Graph_CCHART_2" localSheetId="7" hidden="1">[14]A!$B$43:$D$43</definedName>
    <definedName name="_30__123Graph_CCHART_2" hidden="1">#REF!</definedName>
    <definedName name="_300" localSheetId="1">#REF!</definedName>
    <definedName name="_300" localSheetId="7">#REF!</definedName>
    <definedName name="_300">#REF!</definedName>
    <definedName name="_300r" localSheetId="7">#REF!</definedName>
    <definedName name="_300r">#REF!</definedName>
    <definedName name="_32__123Graph_BCHART_2" localSheetId="7" hidden="1">[14]A!$B$42:$D$42</definedName>
    <definedName name="_32__123Graph_BCHART_2" hidden="1">#REF!</definedName>
    <definedName name="_34__123Graph_CCHART_1" localSheetId="7" hidden="1">[13]Template!$D$8:$D$35</definedName>
    <definedName name="_34__123Graph_CCHART_1" hidden="1">#REF!</definedName>
    <definedName name="_34507" localSheetId="1">#REF!</definedName>
    <definedName name="_34507" localSheetId="7">#REF!</definedName>
    <definedName name="_34507">#REF!</definedName>
    <definedName name="_34624" localSheetId="7">#REF!</definedName>
    <definedName name="_34624">#REF!</definedName>
    <definedName name="_34770" localSheetId="7">#REF!</definedName>
    <definedName name="_34770">#REF!</definedName>
    <definedName name="_34888" localSheetId="7">#REF!</definedName>
    <definedName name="_34888">#REF!</definedName>
    <definedName name="_34973" localSheetId="7">#REF!</definedName>
    <definedName name="_34973">#REF!</definedName>
    <definedName name="_34974" localSheetId="7">#REF!</definedName>
    <definedName name="_34974">#REF!</definedName>
    <definedName name="_36__123Graph_BCHART_2" localSheetId="7" hidden="1">[14]A!$B$42:$D$42</definedName>
    <definedName name="_36__123Graph_BCHART_2" hidden="1">#REF!</definedName>
    <definedName name="_36__123Graph_Bｸﾞﾗﾌ_1" hidden="1">#REF!</definedName>
    <definedName name="_36__123Graph_CCHART_2" localSheetId="7" hidden="1">[14]A!$B$43:$D$43</definedName>
    <definedName name="_36__123Graph_CCHART_2" hidden="1">#REF!</definedName>
    <definedName name="_38__123Graph_DCHART_1" localSheetId="7" hidden="1">[13]Template!$E$8:$E$35</definedName>
    <definedName name="_38__123Graph_DCHART_1" hidden="1">#REF!</definedName>
    <definedName name="_3DEUDA_A_CP" localSheetId="1">#REF!</definedName>
    <definedName name="_3DEUDA_A_CP" localSheetId="7">#REF!</definedName>
    <definedName name="_3DEUDA_A_CP">#REF!</definedName>
    <definedName name="_4" localSheetId="7">#REF!</definedName>
    <definedName name="_4">#REF!</definedName>
    <definedName name="_4____123Graph_BCHART_2" localSheetId="7" hidden="1">[14]A!$B$42:$D$42</definedName>
    <definedName name="_4____123Graph_BCHART_2" hidden="1">#REF!</definedName>
    <definedName name="_4__123Graph_ACHART_2" localSheetId="7" hidden="1">[14]A!$B$41:$D$41</definedName>
    <definedName name="_4__123Graph_ACHART_2" hidden="1">#REF!</definedName>
    <definedName name="_4__123Graph_Aｸﾞﾗﾌ_4" hidden="1">#REF!</definedName>
    <definedName name="_4__123Graph_BCHART_2" localSheetId="7" hidden="1">[10]A!$B$42:$D$42</definedName>
    <definedName name="_4__123Graph_BCHART_2" hidden="1">#REF!</definedName>
    <definedName name="_40__123Graph_DCHART_2" localSheetId="7" hidden="1">[14]A!$B$44:$D$44</definedName>
    <definedName name="_40__123Graph_DCHART_2" hidden="1">#REF!</definedName>
    <definedName name="_42__123Graph_Bｸﾞﾗﾌ_2" hidden="1">#REF!</definedName>
    <definedName name="_42__123Graph_DCHART_1" localSheetId="7" hidden="1">[13]Template!$E$8:$E$35</definedName>
    <definedName name="_42__123Graph_DCHART_1" hidden="1">#REF!</definedName>
    <definedName name="_42__123Graph_ECHART_1" localSheetId="7" hidden="1">[13]Template!$F$8:$F$35</definedName>
    <definedName name="_42__123Graph_ECHART_1" hidden="1">#REF!</definedName>
    <definedName name="_44__123Graph_ECHART_2" localSheetId="7" hidden="1">[14]A!$B$45:$D$45</definedName>
    <definedName name="_44__123Graph_ECHART_2" hidden="1">#REF!</definedName>
    <definedName name="_45__123Graph_CCHART_1" localSheetId="7" hidden="1">[13]Template!$D$8:$D$35</definedName>
    <definedName name="_45__123Graph_CCHART_1" hidden="1">#REF!</definedName>
    <definedName name="_46__123Graph_XCHART_1" localSheetId="7" hidden="1">[13]Template!$A$8:$A$35</definedName>
    <definedName name="_46__123Graph_XCHART_1" hidden="1">#REF!</definedName>
    <definedName name="_48__123Graph_Bｸﾞﾗﾌ_3" hidden="1">#REF!</definedName>
    <definedName name="_48__123Graph_DCHART_2" localSheetId="7" hidden="1">[14]A!$B$44:$D$44</definedName>
    <definedName name="_48__123Graph_DCHART_2" hidden="1">#REF!</definedName>
    <definedName name="_48__123Graph_XCHART_2" localSheetId="7" hidden="1">[14]A!$B$39:$D$39</definedName>
    <definedName name="_48__123Graph_XCHART_2" hidden="1">#REF!</definedName>
    <definedName name="_4DEUDA_A_CP" localSheetId="1">#REF!</definedName>
    <definedName name="_4DEUDA_A_CP" localSheetId="7">#REF!</definedName>
    <definedName name="_4DEUDA_A_CP">#REF!</definedName>
    <definedName name="_4DEUDA_A_LP" localSheetId="7">#REF!</definedName>
    <definedName name="_4DEUDA_A_LP">#REF!</definedName>
    <definedName name="_5" localSheetId="7">#REF!</definedName>
    <definedName name="_5">#REF!</definedName>
    <definedName name="_5____123Graph_CCHART_1" localSheetId="7" hidden="1">[13]Template!$D$8:$D$35</definedName>
    <definedName name="_5____123Graph_CCHART_1" hidden="1">#REF!</definedName>
    <definedName name="_5__123Graph_ACHART_1" localSheetId="7" hidden="1">[13]Template!$B$8:$B$35</definedName>
    <definedName name="_5__123Graph_ACHART_1" hidden="1">#REF!</definedName>
    <definedName name="_5__123Graph_Aｸﾞﾗﾌ_5" hidden="1">#REF!</definedName>
    <definedName name="_5__123Graph_CCHART_1" localSheetId="7" hidden="1">[9]Template!$D$8:$D$35</definedName>
    <definedName name="_5__123Graph_CCHART_1" hidden="1">#REF!</definedName>
    <definedName name="_50__123Graph_ECHART_2" localSheetId="7" hidden="1">[14]A!$B$45:$D$45</definedName>
    <definedName name="_50__123Graph_ECHART_2" hidden="1">#REF!</definedName>
    <definedName name="_54__123Graph_Bｸﾞﾗﾌ_5" hidden="1">#REF!</definedName>
    <definedName name="_54__123Graph_CCHART_2" localSheetId="7" hidden="1">[14]A!$B$43:$D$43</definedName>
    <definedName name="_54__123Graph_CCHART_2" hidden="1">#REF!</definedName>
    <definedName name="_54__123Graph_ECHART_1" localSheetId="7" hidden="1">[13]Template!$F$8:$F$35</definedName>
    <definedName name="_54__123Graph_ECHART_1" hidden="1">#REF!</definedName>
    <definedName name="_55DEUDA_A_LP" localSheetId="1">#REF!</definedName>
    <definedName name="_55DEUDA_A_LP" localSheetId="7">#REF!</definedName>
    <definedName name="_55DEUDA_A_LP">#REF!</definedName>
    <definedName name="_57__123Graph_Cｸﾞﾗﾌ_1" hidden="1">#REF!</definedName>
    <definedName name="_6" localSheetId="7">#REF!</definedName>
    <definedName name="_6">#REF!</definedName>
    <definedName name="_6____123Graph_CCHART_2" localSheetId="7" hidden="1">[14]A!$B$43:$D$43</definedName>
    <definedName name="_6____123Graph_CCHART_2" hidden="1">#REF!</definedName>
    <definedName name="_6__123Graph_ACHART_1" localSheetId="7" hidden="1">[13]Template!$B$8:$B$35</definedName>
    <definedName name="_6__123Graph_ACHART_1" hidden="1">#REF!</definedName>
    <definedName name="_6__123Graph_Aｸﾞﾗﾌ_1" hidden="1">#REF!</definedName>
    <definedName name="_6__123Graph_BCHART_1" localSheetId="7" hidden="1">[13]Template!$C$8:$C$35</definedName>
    <definedName name="_6__123Graph_BCHART_1" hidden="1">#REF!</definedName>
    <definedName name="_6__123Graph_Bｸﾞﾗﾌ_1" hidden="1">#REF!</definedName>
    <definedName name="_6__123Graph_CCHART_2" localSheetId="7" hidden="1">[10]A!$B$43:$D$43</definedName>
    <definedName name="_6__123Graph_CCHART_2" hidden="1">#REF!</definedName>
    <definedName name="_60__123Graph_ECHART_2" localSheetId="7" hidden="1">[14]A!$B$45:$D$45</definedName>
    <definedName name="_60__123Graph_ECHART_2" hidden="1">#REF!</definedName>
    <definedName name="_605" localSheetId="1">#REF!</definedName>
    <definedName name="_605" localSheetId="7">#REF!</definedName>
    <definedName name="_605">#REF!</definedName>
    <definedName name="_605r" localSheetId="7">#REF!</definedName>
    <definedName name="_605r">#REF!</definedName>
    <definedName name="_610" localSheetId="7">#REF!</definedName>
    <definedName name="_610">#REF!</definedName>
    <definedName name="_610r" localSheetId="7">#REF!</definedName>
    <definedName name="_610r">#REF!</definedName>
    <definedName name="_63__123Graph_Cｸﾞﾗﾌ_3" hidden="1">#REF!</definedName>
    <definedName name="_63__123Graph_DCHART_1" localSheetId="7" hidden="1">[13]Template!$E$8:$E$35</definedName>
    <definedName name="_63__123Graph_DCHART_1" hidden="1">#REF!</definedName>
    <definedName name="_630" localSheetId="1">#REF!</definedName>
    <definedName name="_630" localSheetId="7">#REF!</definedName>
    <definedName name="_630">#REF!</definedName>
    <definedName name="_630r" localSheetId="7">#REF!</definedName>
    <definedName name="_630r">#REF!</definedName>
    <definedName name="_66__123Graph_XCHART_1" localSheetId="7" hidden="1">[13]Template!$A$8:$A$35</definedName>
    <definedName name="_66__123Graph_XCHART_1" hidden="1">#REF!</definedName>
    <definedName name="_69__123Graph_Dｸﾞﾗﾌ_3" hidden="1">#REF!</definedName>
    <definedName name="_6DEUDA_A_LP" localSheetId="1">#REF!</definedName>
    <definedName name="_6DEUDA_A_LP" localSheetId="7">#REF!</definedName>
    <definedName name="_6DEUDA_A_LP">#REF!</definedName>
    <definedName name="_7" localSheetId="7">#REF!</definedName>
    <definedName name="_7">#REF!</definedName>
    <definedName name="_7____123Graph_DCHART_1" localSheetId="7" hidden="1">[13]Template!$E$8:$E$35</definedName>
    <definedName name="_7____123Graph_DCHART_1" hidden="1">#REF!</definedName>
    <definedName name="_7__123Graph_Bｸﾞﾗﾌ_2" hidden="1">#REF!</definedName>
    <definedName name="_7__123Graph_DCHART_1" localSheetId="7" hidden="1">[9]Template!$E$8:$E$35</definedName>
    <definedName name="_7__123Graph_DCHART_1" hidden="1">#REF!</definedName>
    <definedName name="_72__123Graph_DCHART_2" localSheetId="7" hidden="1">[14]A!$B$44:$D$44</definedName>
    <definedName name="_72__123Graph_DCHART_2" hidden="1">#REF!</definedName>
    <definedName name="_72__123Graph_XCHART_2" localSheetId="7" hidden="1">[14]A!$B$39:$D$39</definedName>
    <definedName name="_72__123Graph_XCHART_2" hidden="1">#REF!</definedName>
    <definedName name="_76__123Graph_Xｸﾞﾗﾌ_1" hidden="1">#REF!</definedName>
    <definedName name="_78778777777" localSheetId="7" hidden="1">[1]SINTESIS!$N$7:$N$20</definedName>
    <definedName name="_78778777777" hidden="1">#REF!</definedName>
    <definedName name="_8" localSheetId="1">#REF!</definedName>
    <definedName name="_8" localSheetId="7">#REF!</definedName>
    <definedName name="_8">#REF!</definedName>
    <definedName name="_8____123Graph_DCHART_2" localSheetId="7" hidden="1">[14]A!$B$44:$D$44</definedName>
    <definedName name="_8____123Graph_DCHART_2" hidden="1">#REF!</definedName>
    <definedName name="_8__123Graph_BCHART_2" localSheetId="7" hidden="1">[14]A!$B$42:$D$42</definedName>
    <definedName name="_8__123Graph_BCHART_2" hidden="1">#REF!</definedName>
    <definedName name="_8__123Graph_Bｸﾞﾗﾌ_3" hidden="1">#REF!</definedName>
    <definedName name="_8__123Graph_DCHART_2" localSheetId="7" hidden="1">[10]A!$B$44:$D$44</definedName>
    <definedName name="_8__123Graph_DCHART_2" hidden="1">#REF!</definedName>
    <definedName name="_800" localSheetId="1">#REF!</definedName>
    <definedName name="_800" localSheetId="7">#REF!</definedName>
    <definedName name="_800">#REF!</definedName>
    <definedName name="_800r" localSheetId="7">#REF!</definedName>
    <definedName name="_800r">#REF!</definedName>
    <definedName name="_81__123Graph_ECHART_1" localSheetId="7" hidden="1">[13]Template!$F$8:$F$35</definedName>
    <definedName name="_81__123Graph_ECHART_1" hidden="1">#REF!</definedName>
    <definedName name="_83__123Graph_Xｸﾞﾗﾌ_2" hidden="1">#REF!</definedName>
    <definedName name="_9" localSheetId="1">#REF!</definedName>
    <definedName name="_9" localSheetId="7">#REF!</definedName>
    <definedName name="_9">#REF!</definedName>
    <definedName name="_9____123Graph_ECHART_1" localSheetId="7" hidden="1">[13]Template!$F$8:$F$35</definedName>
    <definedName name="_9____123Graph_ECHART_1" hidden="1">#REF!</definedName>
    <definedName name="_9__123Graph_ACHART_1" localSheetId="7" hidden="1">[13]Template!$B$8:$B$35</definedName>
    <definedName name="_9__123Graph_ACHART_1" hidden="1">#REF!</definedName>
    <definedName name="_9__123Graph_Bｸﾞﾗﾌ_5" hidden="1">#REF!</definedName>
    <definedName name="_9__123Graph_ECHART_1" localSheetId="7" hidden="1">[9]Template!$F$8:$F$35</definedName>
    <definedName name="_9__123Graph_ECHART_1" hidden="1">#REF!</definedName>
    <definedName name="_90__123Graph_ECHART_2" localSheetId="7" hidden="1">[14]A!$B$45:$D$45</definedName>
    <definedName name="_90__123Graph_ECHART_2" hidden="1">#REF!</definedName>
    <definedName name="_90__123Graph_Xｸﾞﾗﾌ_5" hidden="1">#REF!</definedName>
    <definedName name="_99__123Graph_XCHART_1" localSheetId="7" hidden="1">[13]Template!$A$8:$A$35</definedName>
    <definedName name="_99__123Graph_XCHART_1" hidden="1">#REF!</definedName>
    <definedName name="_ABR95" localSheetId="1">#REF!</definedName>
    <definedName name="_ABR95" localSheetId="7">#REF!</definedName>
    <definedName name="_ABR95">#REF!</definedName>
    <definedName name="_Abr98" localSheetId="7">#REF!</definedName>
    <definedName name="_Abr98">#REF!</definedName>
    <definedName name="_Ago98" localSheetId="7">#REF!</definedName>
    <definedName name="_Ago98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3F011716051B4FEEAD434DAF7429A66C.edm" hidden="1">#REF!</definedName>
    <definedName name="_bdm.88CC4E1D12694638BB763E7B3B3E920B.edm" hidden="1">#REF!</definedName>
    <definedName name="_bdm.E8CF0219824446BFB78BED17CACAE78D.edm" hidden="1">#REF!</definedName>
    <definedName name="_DAT1" localSheetId="7">[15]FBL3N!$A$14:$A$9466</definedName>
    <definedName name="_DAT1">#REF!</definedName>
    <definedName name="_DAT10" localSheetId="7">[15]FBL3N!$J$14:$J$9466</definedName>
    <definedName name="_DAT10">#REF!</definedName>
    <definedName name="_DAT11" localSheetId="7">[15]FBL3N!$K$14:$K$9466</definedName>
    <definedName name="_DAT11">#REF!</definedName>
    <definedName name="_DAT12" localSheetId="7">[15]FBL3N!$L$14:$L$9466</definedName>
    <definedName name="_DAT12">#REF!</definedName>
    <definedName name="_DAT13" localSheetId="1">#REF!</definedName>
    <definedName name="_DAT13" localSheetId="7">#REF!</definedName>
    <definedName name="_DAT13">#REF!</definedName>
    <definedName name="_DAT14" localSheetId="7">#REF!</definedName>
    <definedName name="_DAT14">#REF!</definedName>
    <definedName name="_DAT15" localSheetId="7">#REF!</definedName>
    <definedName name="_DAT15">#REF!</definedName>
    <definedName name="_DAT16" localSheetId="7">#REF!</definedName>
    <definedName name="_DAT16">#REF!</definedName>
    <definedName name="_DAT2" localSheetId="7">[15]FBL3N!$B$14:$B$9466</definedName>
    <definedName name="_DAT2">#REF!</definedName>
    <definedName name="_DAT3" localSheetId="7">[15]FBL3N!$C$14:$C$9466</definedName>
    <definedName name="_DAT3">#REF!</definedName>
    <definedName name="_DAT4" localSheetId="7">[15]FBL3N!$D$14:$D$9466</definedName>
    <definedName name="_DAT4">#REF!</definedName>
    <definedName name="_DAT5" localSheetId="7">[15]FBL3N!$E$14:$E$9466</definedName>
    <definedName name="_DAT5">#REF!</definedName>
    <definedName name="_DAT6" localSheetId="7">[15]FBL3N!$F$14:$F$9466</definedName>
    <definedName name="_DAT6">#REF!</definedName>
    <definedName name="_DAT7" localSheetId="7">[15]FBL3N!$G$14:$G$9466</definedName>
    <definedName name="_DAT7">#REF!</definedName>
    <definedName name="_DAT8" localSheetId="7">[15]FBL3N!$H$14:$H$9466</definedName>
    <definedName name="_DAT8">#REF!</definedName>
    <definedName name="_DAT9" localSheetId="7">[15]FBL3N!$I$14:$I$9466</definedName>
    <definedName name="_DAT9">#REF!</definedName>
    <definedName name="_dc1" localSheetId="5" hidden="1">{#N/A,#N/A,FALSE,"Aging Summary";#N/A,#N/A,FALSE,"Ratio Analysis";#N/A,#N/A,FALSE,"Test 120 Day Accts";#N/A,#N/A,FALSE,"Tickmarks"}</definedName>
    <definedName name="_dc1" localSheetId="11" hidden="1">{#N/A,#N/A,FALSE,"Aging Summary";#N/A,#N/A,FALSE,"Ratio Analysis";#N/A,#N/A,FALSE,"Test 120 Day Accts";#N/A,#N/A,FALSE,"Tickmarks"}</definedName>
    <definedName name="_dc1" localSheetId="4" hidden="1">{#N/A,#N/A,FALSE,"Aging Summary";#N/A,#N/A,FALSE,"Ratio Analysis";#N/A,#N/A,FALSE,"Test 120 Day Accts";#N/A,#N/A,FALSE,"Tickmarks"}</definedName>
    <definedName name="_dc1" localSheetId="2" hidden="1">{#N/A,#N/A,FALSE,"Aging Summary";#N/A,#N/A,FALSE,"Ratio Analysis";#N/A,#N/A,FALSE,"Test 120 Day Accts";#N/A,#N/A,FALSE,"Tickmarks"}</definedName>
    <definedName name="_dc1" localSheetId="13" hidden="1">{#N/A,#N/A,FALSE,"Aging Summary";#N/A,#N/A,FALSE,"Ratio Analysis";#N/A,#N/A,FALSE,"Test 120 Day Accts";#N/A,#N/A,FALSE,"Tickmarks"}</definedName>
    <definedName name="_dc1" localSheetId="12" hidden="1">{#N/A,#N/A,FALSE,"Aging Summary";#N/A,#N/A,FALSE,"Ratio Analysis";#N/A,#N/A,FALSE,"Test 120 Day Accts";#N/A,#N/A,FALSE,"Tickmarks"}</definedName>
    <definedName name="_dc1" localSheetId="15" hidden="1">{#N/A,#N/A,FALSE,"Aging Summary";#N/A,#N/A,FALSE,"Ratio Analysis";#N/A,#N/A,FALSE,"Test 120 Day Accts";#N/A,#N/A,FALSE,"Tickmarks"}</definedName>
    <definedName name="_dc1" localSheetId="14" hidden="1">{#N/A,#N/A,FALSE,"Aging Summary";#N/A,#N/A,FALSE,"Ratio Analysis";#N/A,#N/A,FALSE,"Test 120 Day Accts";#N/A,#N/A,FALSE,"Tickmarks"}</definedName>
    <definedName name="_dc1" hidden="1">{#N/A,#N/A,FALSE,"Aging Summary";#N/A,#N/A,FALSE,"Ratio Analysis";#N/A,#N/A,FALSE,"Test 120 Day Accts";#N/A,#N/A,FALSE,"Tickmarks"}</definedName>
    <definedName name="_Dic98" localSheetId="1">#REF!</definedName>
    <definedName name="_Dic98" localSheetId="7">#REF!</definedName>
    <definedName name="_Dic98" localSheetId="2">#REF!</definedName>
    <definedName name="_Dic98">#REF!</definedName>
    <definedName name="_dis06" localSheetId="2">#REF!</definedName>
    <definedName name="_dis06">#REF!</definedName>
    <definedName name="_dis07" localSheetId="2">#REF!</definedName>
    <definedName name="_dis07">#REF!</definedName>
    <definedName name="_Dist_Bin" hidden="1">#REF!</definedName>
    <definedName name="_Dist_Values" hidden="1">#REF!</definedName>
    <definedName name="_ENE95" localSheetId="7">#REF!</definedName>
    <definedName name="_ENE95">#REF!</definedName>
    <definedName name="_Ene98" localSheetId="7">#REF!</definedName>
    <definedName name="_Ene98">#REF!</definedName>
    <definedName name="_f" localSheetId="7">#REF!</definedName>
    <definedName name="_f">#REF!</definedName>
    <definedName name="_FEB95" localSheetId="7">#REF!</definedName>
    <definedName name="_FEB95">#REF!</definedName>
    <definedName name="_Feb98" localSheetId="7">#REF!</definedName>
    <definedName name="_Feb98">#REF!</definedName>
    <definedName name="_fg1" localSheetId="7">#REF!</definedName>
    <definedName name="_fg1">#REF!</definedName>
    <definedName name="_Fill" localSheetId="7" hidden="1">#REF!</definedName>
    <definedName name="_Fill" hidden="1">#REF!</definedName>
    <definedName name="_FILL1" hidden="1">#REF!</definedName>
    <definedName name="_xlnm._FilterDatabase" localSheetId="4" hidden="1">Reposição!$A$6:$AK$2627</definedName>
    <definedName name="_fl1111" localSheetId="5" hidden="1">{"Fecha_Novembro",#N/A,FALSE,"FECHAMENTO-2002 ";"Defer_Novembro",#N/A,FALSE,"DIFERIDO";"Pis_Novembro",#N/A,FALSE,"PIS COFINS";"Iss_Novembro",#N/A,FALSE,"ISS"}</definedName>
    <definedName name="_fl1111" localSheetId="11" hidden="1">{"Fecha_Novembro",#N/A,FALSE,"FECHAMENTO-2002 ";"Defer_Novembro",#N/A,FALSE,"DIFERIDO";"Pis_Novembro",#N/A,FALSE,"PIS COFINS";"Iss_Novembro",#N/A,FALSE,"ISS"}</definedName>
    <definedName name="_fl1111" localSheetId="4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localSheetId="13" hidden="1">{"Fecha_Novembro",#N/A,FALSE,"FECHAMENTO-2002 ";"Defer_Novembro",#N/A,FALSE,"DIFERIDO";"Pis_Novembro",#N/A,FALSE,"PIS COFINS";"Iss_Novembro",#N/A,FALSE,"ISS"}</definedName>
    <definedName name="_fl1111" localSheetId="12" hidden="1">{"Fecha_Novembro",#N/A,FALSE,"FECHAMENTO-2002 ";"Defer_Novembro",#N/A,FALSE,"DIFERIDO";"Pis_Novembro",#N/A,FALSE,"PIS COFINS";"Iss_Novembro",#N/A,FALSE,"ISS"}</definedName>
    <definedName name="_fl1111" localSheetId="15" hidden="1">{"Fecha_Novembro",#N/A,FALSE,"FECHAMENTO-2002 ";"Defer_Novembro",#N/A,FALSE,"DIFERIDO";"Pis_Novembro",#N/A,FALSE,"PIS COFINS";"Iss_Novembro",#N/A,FALSE,"ISS"}</definedName>
    <definedName name="_fl1111" localSheetId="14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FLF2006" localSheetId="7">[1]Indicadores!#REF!</definedName>
    <definedName name="_FLF2006">#REF!</definedName>
    <definedName name="_FLF2007" localSheetId="7">[1]Indicadores!#REF!</definedName>
    <definedName name="_FLF2007">#REF!</definedName>
    <definedName name="_FLF2008" localSheetId="7">[1]Indicadores!#REF!</definedName>
    <definedName name="_FLF2008">#REF!</definedName>
    <definedName name="_FLF2009" localSheetId="7">[1]Indicadores!#REF!</definedName>
    <definedName name="_FLF2009">#REF!</definedName>
    <definedName name="_FLF2010" localSheetId="7">[1]Indicadores!#REF!</definedName>
    <definedName name="_FLF2010">#REF!</definedName>
    <definedName name="_FLF2011" localSheetId="7">[1]Indicadores!#REF!</definedName>
    <definedName name="_FLF2011">#REF!</definedName>
    <definedName name="_FLF2012" localSheetId="7">[1]Indicadores!#REF!</definedName>
    <definedName name="_FLF2012">#REF!</definedName>
    <definedName name="_ftn1" localSheetId="2">'Tabelas PN'!$B$33</definedName>
    <definedName name="_ftn2" localSheetId="2">'Tabelas PN'!$B$235</definedName>
    <definedName name="_ftn3" localSheetId="2">'Tabelas PN'!#REF!</definedName>
    <definedName name="_ftnref1" localSheetId="2">'Tabelas PN'!$B$29</definedName>
    <definedName name="_ftnref2" localSheetId="2">'Tabelas PN'!#REF!</definedName>
    <definedName name="_ftnref3" localSheetId="2">'Tabelas PN'!#REF!</definedName>
    <definedName name="_g4" localSheetId="5" hidden="1">{"VERGALHÃO",#N/A,FALSE,"DIÁRIA";"CATODO",#N/A,FALSE,"DIÁRIA"}</definedName>
    <definedName name="_g4" localSheetId="11" hidden="1">{"VERGALHÃO",#N/A,FALSE,"DIÁRIA";"CATODO",#N/A,FALSE,"DIÁRIA"}</definedName>
    <definedName name="_g4" localSheetId="4" hidden="1">{"VERGALHÃO",#N/A,FALSE,"DIÁRIA";"CATODO",#N/A,FALSE,"DIÁRIA"}</definedName>
    <definedName name="_g4" localSheetId="2" hidden="1">{"VERGALHÃO",#N/A,FALSE,"DIÁRIA";"CATODO",#N/A,FALSE,"DIÁRIA"}</definedName>
    <definedName name="_g4" localSheetId="13" hidden="1">{"VERGALHÃO",#N/A,FALSE,"DIÁRIA";"CATODO",#N/A,FALSE,"DIÁRIA"}</definedName>
    <definedName name="_g4" localSheetId="12" hidden="1">{"VERGALHÃO",#N/A,FALSE,"DIÁRIA";"CATODO",#N/A,FALSE,"DIÁRIA"}</definedName>
    <definedName name="_g4" localSheetId="15" hidden="1">{"VERGALHÃO",#N/A,FALSE,"DIÁRIA";"CATODO",#N/A,FALSE,"DIÁRIA"}</definedName>
    <definedName name="_g4" localSheetId="14" hidden="1">{"VERGALHÃO",#N/A,FALSE,"DIÁRIA";"CATODO",#N/A,FALSE,"DIÁRIA"}</definedName>
    <definedName name="_g4" hidden="1">{"VERGALHÃO",#N/A,FALSE,"DIÁRIA";"CATODO",#N/A,FALSE,"DIÁRIA"}</definedName>
    <definedName name="_IMP1" localSheetId="1">#REF!,#REF!</definedName>
    <definedName name="_IMP1" localSheetId="7">[16]ANUAL952!#REF!,[16]ANUAL952!$A$1:$Q$58</definedName>
    <definedName name="_IMP1" localSheetId="2">#REF!,#REF!</definedName>
    <definedName name="_IMP1">#REF!,#REF!</definedName>
    <definedName name="_Jul98" localSheetId="1">#REF!</definedName>
    <definedName name="_Jul98" localSheetId="7">#REF!</definedName>
    <definedName name="_Jul98" localSheetId="2">#REF!</definedName>
    <definedName name="_Jul98">#REF!</definedName>
    <definedName name="_Jun98" localSheetId="7">#REF!</definedName>
    <definedName name="_Jun98" localSheetId="2">#REF!</definedName>
    <definedName name="_Jun98">#REF!</definedName>
    <definedName name="_Key1" localSheetId="5" hidden="1">#REF!</definedName>
    <definedName name="_Key1" localSheetId="11" hidden="1">#REF!</definedName>
    <definedName name="_Key1" localSheetId="7" hidden="1">[7]SINTESIS!$N$7</definedName>
    <definedName name="_Key1" localSheetId="2" hidden="1">#REF!</definedName>
    <definedName name="_Key1" localSheetId="13" hidden="1">#REF!</definedName>
    <definedName name="_Key1" localSheetId="12" hidden="1">#REF!</definedName>
    <definedName name="_Key1" localSheetId="15" hidden="1">#REF!</definedName>
    <definedName name="_Key1" localSheetId="14" hidden="1">#REF!</definedName>
    <definedName name="_Key1" hidden="1">#REF!</definedName>
    <definedName name="_Key2" localSheetId="7" hidden="1">#REF!</definedName>
    <definedName name="_Key2" hidden="1">#REF!</definedName>
    <definedName name="_LOp2" localSheetId="5" hidden="1">{#N/A,#N/A,FALSE,"Dutos";#N/A,#N/A,FALSE,"Terminais"}</definedName>
    <definedName name="_LOp2" localSheetId="11" hidden="1">{#N/A,#N/A,FALSE,"Dutos";#N/A,#N/A,FALSE,"Terminais"}</definedName>
    <definedName name="_LOp2" localSheetId="4" hidden="1">{#N/A,#N/A,FALSE,"Dutos";#N/A,#N/A,FALSE,"Terminais"}</definedName>
    <definedName name="_LOp2" localSheetId="2" hidden="1">{#N/A,#N/A,FALSE,"Dutos";#N/A,#N/A,FALSE,"Terminais"}</definedName>
    <definedName name="_LOp2" localSheetId="13" hidden="1">{#N/A,#N/A,FALSE,"Dutos";#N/A,#N/A,FALSE,"Terminais"}</definedName>
    <definedName name="_LOp2" localSheetId="12" hidden="1">{#N/A,#N/A,FALSE,"Dutos";#N/A,#N/A,FALSE,"Terminais"}</definedName>
    <definedName name="_LOp2" localSheetId="15" hidden="1">{#N/A,#N/A,FALSE,"Dutos";#N/A,#N/A,FALSE,"Terminais"}</definedName>
    <definedName name="_LOp2" localSheetId="14" hidden="1">{#N/A,#N/A,FALSE,"Dutos";#N/A,#N/A,FALSE,"Terminais"}</definedName>
    <definedName name="_LOp2" hidden="1">{#N/A,#N/A,FALSE,"Dutos";#N/A,#N/A,FALSE,"Terminais"}</definedName>
    <definedName name="_LOp3" localSheetId="5" hidden="1">{#N/A,#N/A,FALSE,"Dutos";#N/A,#N/A,FALSE,"Terminais"}</definedName>
    <definedName name="_LOp3" localSheetId="11" hidden="1">{#N/A,#N/A,FALSE,"Dutos";#N/A,#N/A,FALSE,"Terminais"}</definedName>
    <definedName name="_LOp3" localSheetId="4" hidden="1">{#N/A,#N/A,FALSE,"Dutos";#N/A,#N/A,FALSE,"Terminais"}</definedName>
    <definedName name="_LOp3" localSheetId="2" hidden="1">{#N/A,#N/A,FALSE,"Dutos";#N/A,#N/A,FALSE,"Terminais"}</definedName>
    <definedName name="_LOp3" localSheetId="13" hidden="1">{#N/A,#N/A,FALSE,"Dutos";#N/A,#N/A,FALSE,"Terminais"}</definedName>
    <definedName name="_LOp3" localSheetId="12" hidden="1">{#N/A,#N/A,FALSE,"Dutos";#N/A,#N/A,FALSE,"Terminais"}</definedName>
    <definedName name="_LOp3" localSheetId="15" hidden="1">{#N/A,#N/A,FALSE,"Dutos";#N/A,#N/A,FALSE,"Terminais"}</definedName>
    <definedName name="_LOp3" localSheetId="14" hidden="1">{#N/A,#N/A,FALSE,"Dutos";#N/A,#N/A,FALSE,"Terminais"}</definedName>
    <definedName name="_LOp3" hidden="1">{#N/A,#N/A,FALSE,"Dutos";#N/A,#N/A,FALSE,"Terminais"}</definedName>
    <definedName name="_MAR95" localSheetId="7">#REF!</definedName>
    <definedName name="_MAR95">#REF!</definedName>
    <definedName name="_Mar98" localSheetId="7">#REF!</definedName>
    <definedName name="_Mar98">#REF!</definedName>
    <definedName name="_MatInverse_In" hidden="1">#REF!</definedName>
    <definedName name="_May98" localSheetId="7">#REF!</definedName>
    <definedName name="_May98">#REF!</definedName>
    <definedName name="_NEW2" localSheetId="5" hidden="1">{"'RATEIO RECEITA BRUTA'!$B$77:$C$106"}</definedName>
    <definedName name="_NEW2" localSheetId="11" hidden="1">{"'RATEIO RECEITA BRUTA'!$B$77:$C$106"}</definedName>
    <definedName name="_NEW2" localSheetId="4" hidden="1">{"'RATEIO RECEITA BRUTA'!$B$77:$C$106"}</definedName>
    <definedName name="_NEW2" localSheetId="2" hidden="1">{"'RATEIO RECEITA BRUTA'!$B$77:$C$106"}</definedName>
    <definedName name="_NEW2" localSheetId="13" hidden="1">{"'RATEIO RECEITA BRUTA'!$B$77:$C$106"}</definedName>
    <definedName name="_NEW2" localSheetId="12" hidden="1">{"'RATEIO RECEITA BRUTA'!$B$77:$C$106"}</definedName>
    <definedName name="_NEW2" localSheetId="15" hidden="1">{"'RATEIO RECEITA BRUTA'!$B$77:$C$106"}</definedName>
    <definedName name="_NEW2" localSheetId="14" hidden="1">{"'RATEIO RECEITA BRUTA'!$B$77:$C$106"}</definedName>
    <definedName name="_NEW2" hidden="1">{"'RATEIO RECEITA BRUTA'!$B$77:$C$106"}</definedName>
    <definedName name="_Nov98" localSheetId="1">#REF!</definedName>
    <definedName name="_Nov98" localSheetId="7">#REF!</definedName>
    <definedName name="_Nov98">#REF!</definedName>
    <definedName name="_Ñ" localSheetId="7" hidden="1">[1]SINTESIS!$M$7:$M$12</definedName>
    <definedName name="_Ñ" hidden="1">#REF!</definedName>
    <definedName name="_Oct98" localSheetId="7">#REF!</definedName>
    <definedName name="_Oct98">#REF!</definedName>
    <definedName name="_Order1" hidden="1">255</definedName>
    <definedName name="_Order2" hidden="1">255</definedName>
    <definedName name="_r" localSheetId="5" hidden="1">{"ANAR",#N/A,FALSE,"Dist total";"MARGEN",#N/A,FALSE,"Dist total";"COMENTARIO",#N/A,FALSE,"Ficha CODICE";"CONSEJO",#N/A,FALSE,"Dist p0";"uno",#N/A,FALSE,"Dist total"}</definedName>
    <definedName name="_r" localSheetId="11" hidden="1">{"ANAR",#N/A,FALSE,"Dist total";"MARGEN",#N/A,FALSE,"Dist total";"COMENTARIO",#N/A,FALSE,"Ficha CODICE";"CONSEJO",#N/A,FALSE,"Dist p0";"uno",#N/A,FALSE,"Dist total"}</definedName>
    <definedName name="_r" localSheetId="4" hidden="1">{"ANAR",#N/A,FALSE,"Dist total";"MARGEN",#N/A,FALSE,"Dist total";"COMENTARIO",#N/A,FALSE,"Ficha CODICE";"CONSEJO",#N/A,FALSE,"Dist p0";"uno",#N/A,FALSE,"Dist total"}</definedName>
    <definedName name="_r" localSheetId="1" hidden="1">{"ANAR",#N/A,FALSE,"Dist total";"MARGEN",#N/A,FALSE,"Dist total";"COMENTARIO",#N/A,FALSE,"Ficha CODICE";"CONSEJO",#N/A,FALSE,"Dist p0";"uno",#N/A,FALSE,"Dist total"}</definedName>
    <definedName name="_r" localSheetId="7" hidden="1">{"ANAR",#N/A,FALSE,"Dist total";"MARGEN",#N/A,FALSE,"Dist total";"COMENTARIO",#N/A,FALSE,"Ficha CODICE";"CONSEJO",#N/A,FALSE,"Dist p0";"uno",#N/A,FALSE,"Dist total"}</definedName>
    <definedName name="_r" localSheetId="2" hidden="1">{"ANAR",#N/A,FALSE,"Dist total";"MARGEN",#N/A,FALSE,"Dist total";"COMENTARIO",#N/A,FALSE,"Ficha CODICE";"CONSEJO",#N/A,FALSE,"Dist p0";"uno",#N/A,FALSE,"Dist total"}</definedName>
    <definedName name="_r" localSheetId="13" hidden="1">{"ANAR",#N/A,FALSE,"Dist total";"MARGEN",#N/A,FALSE,"Dist total";"COMENTARIO",#N/A,FALSE,"Ficha CODICE";"CONSEJO",#N/A,FALSE,"Dist p0";"uno",#N/A,FALSE,"Dist total"}</definedName>
    <definedName name="_r" localSheetId="12" hidden="1">{"ANAR",#N/A,FALSE,"Dist total";"MARGEN",#N/A,FALSE,"Dist total";"COMENTARIO",#N/A,FALSE,"Ficha CODICE";"CONSEJO",#N/A,FALSE,"Dist p0";"uno",#N/A,FALSE,"Dist total"}</definedName>
    <definedName name="_r" localSheetId="15" hidden="1">{"ANAR",#N/A,FALSE,"Dist total";"MARGEN",#N/A,FALSE,"Dist total";"COMENTARIO",#N/A,FALSE,"Ficha CODICE";"CONSEJO",#N/A,FALSE,"Dist p0";"uno",#N/A,FALSE,"Dist total"}</definedName>
    <definedName name="_r" localSheetId="14" hidden="1">{"ANAR",#N/A,FALSE,"Dist total";"MARGEN",#N/A,FALSE,"Dist total";"COMENTARIO",#N/A,FALSE,"Ficha CODICE";"CONSEJO",#N/A,FALSE,"Dist p0";"uno",#N/A,FALSE,"Dist total"}</definedName>
    <definedName name="_r" hidden="1">{"ANAR",#N/A,FALSE,"Dist total";"MARGEN",#N/A,FALSE,"Dist total";"COMENTARIO",#N/A,FALSE,"Ficha CODICE";"CONSEJO",#N/A,FALSE,"Dist p0";"uno",#N/A,FALSE,"Dist total"}</definedName>
    <definedName name="_RAN04" localSheetId="1">#REF!</definedName>
    <definedName name="_RAN04" localSheetId="7">#REF!</definedName>
    <definedName name="_RAN04" localSheetId="2">#REF!</definedName>
    <definedName name="_RAN04">#REF!</definedName>
    <definedName name="_RAN09" localSheetId="7">#REF!</definedName>
    <definedName name="_RAN09" localSheetId="2">#REF!</definedName>
    <definedName name="_RAN09">#REF!</definedName>
    <definedName name="_RAN10" localSheetId="7">#REF!</definedName>
    <definedName name="_RAN10" localSheetId="2">#REF!</definedName>
    <definedName name="_RAN10">#REF!</definedName>
    <definedName name="_RAN112" localSheetId="7">#REF!</definedName>
    <definedName name="_RAN112">#REF!</definedName>
    <definedName name="_RAN12" localSheetId="7">#REF!</definedName>
    <definedName name="_RAN12">#REF!</definedName>
    <definedName name="_RAN13" localSheetId="7">#REF!</definedName>
    <definedName name="_RAN13">#REF!</definedName>
    <definedName name="_RAN15" localSheetId="7">#REF!</definedName>
    <definedName name="_RAN15">#REF!</definedName>
    <definedName name="_RAN16" localSheetId="7">#REF!</definedName>
    <definedName name="_RAN16">#REF!</definedName>
    <definedName name="_RAN17" localSheetId="7">#REF!</definedName>
    <definedName name="_RAN17">#REF!</definedName>
    <definedName name="_RAN18" localSheetId="7">#REF!</definedName>
    <definedName name="_RAN18">#REF!</definedName>
    <definedName name="_RAN19" localSheetId="7">#REF!</definedName>
    <definedName name="_RAN19">#REF!</definedName>
    <definedName name="_RAN21" localSheetId="7">#REF!</definedName>
    <definedName name="_RAN21">#REF!</definedName>
    <definedName name="_RAN22" localSheetId="7">#REF!</definedName>
    <definedName name="_RAN22">#REF!</definedName>
    <definedName name="_RAN23" localSheetId="7">#REF!</definedName>
    <definedName name="_RAN23">#REF!</definedName>
    <definedName name="_RAN24" localSheetId="7">#REF!</definedName>
    <definedName name="_RAN24">#REF!</definedName>
    <definedName name="_RAN251" localSheetId="7">#REF!</definedName>
    <definedName name="_RAN251">#REF!</definedName>
    <definedName name="_RAN252" localSheetId="7">#REF!</definedName>
    <definedName name="_RAN252">#REF!</definedName>
    <definedName name="_RAN27" localSheetId="7">#REF!</definedName>
    <definedName name="_RAN27">#REF!</definedName>
    <definedName name="_RAN28" localSheetId="7">#REF!</definedName>
    <definedName name="_RAN28">#REF!</definedName>
    <definedName name="_RAN29" localSheetId="7">#REF!</definedName>
    <definedName name="_RAN29">#REF!</definedName>
    <definedName name="_RAN30" localSheetId="7">#REF!</definedName>
    <definedName name="_RAN30">#REF!</definedName>
    <definedName name="_RAN311" localSheetId="7">#REF!</definedName>
    <definedName name="_RAN311">#REF!</definedName>
    <definedName name="_RAN312" localSheetId="7">#REF!</definedName>
    <definedName name="_RAN312">#REF!</definedName>
    <definedName name="_RAN313" localSheetId="7">#REF!</definedName>
    <definedName name="_RAN313">#REF!</definedName>
    <definedName name="_Ref327887261" localSheetId="2">'Tabelas PN'!$B$188</definedName>
    <definedName name="_Ref489950234" localSheetId="2">'Tabelas PN'!$B$33</definedName>
    <definedName name="_Ref489954519" localSheetId="2">'Tabelas PN'!$B$51</definedName>
    <definedName name="_Ref489954602" localSheetId="2">'Tabelas PN'!$B$61</definedName>
    <definedName name="_Ref489956432" localSheetId="2">'Tabelas PN'!$B$39</definedName>
    <definedName name="_Ref495325660" localSheetId="2">'Tabelas PN'!$B$45</definedName>
    <definedName name="_Ref498013904" localSheetId="2">'Tabelas PN'!$B$29</definedName>
    <definedName name="_Ref498019685" localSheetId="2">'Tabelas PN'!$B$63</definedName>
    <definedName name="_Ref498070634" localSheetId="2">'Tabelas PN'!$B$221</definedName>
    <definedName name="_Ref498084150" localSheetId="2">'Tabelas PN'!$B$35</definedName>
    <definedName name="_Regression_Out" localSheetId="4" hidden="1">#REF!</definedName>
    <definedName name="_Regression_Out" localSheetId="2" hidden="1">#REF!</definedName>
    <definedName name="_Regression_Out" hidden="1">#REF!</definedName>
    <definedName name="_Regression_X" localSheetId="2" hidden="1">#REF!</definedName>
    <definedName name="_Regression_X" hidden="1">#REF!</definedName>
    <definedName name="_Regression_Y" localSheetId="2" hidden="1">#REF!</definedName>
    <definedName name="_Regression_Y" hidden="1">#REF!</definedName>
    <definedName name="_Safra" localSheetId="7">#REF!</definedName>
    <definedName name="_Safra">#REF!</definedName>
    <definedName name="_Sort" localSheetId="5" hidden="1">#REF!</definedName>
    <definedName name="_Sort" localSheetId="11" hidden="1">#REF!</definedName>
    <definedName name="_Sort" localSheetId="7" hidden="1">[7]SINTESIS!$M$7:$Q$20</definedName>
    <definedName name="_Sort" localSheetId="13" hidden="1">#REF!</definedName>
    <definedName name="_Sort" localSheetId="12" hidden="1">#REF!</definedName>
    <definedName name="_Sort" localSheetId="15" hidden="1">#REF!</definedName>
    <definedName name="_Sort" localSheetId="14" hidden="1">#REF!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c204464817" localSheetId="2">'Tabelas PN'!#REF!</definedName>
    <definedName name="_zz234" localSheetId="7">[8]A3!$M$358</definedName>
    <definedName name="_zz234" localSheetId="2">#REF!</definedName>
    <definedName name="_zz234">#REF!</definedName>
    <definedName name="A" localSheetId="1">#REF!</definedName>
    <definedName name="A" localSheetId="7">#REF!</definedName>
    <definedName name="a" localSheetId="2">#REF!</definedName>
    <definedName name="a">#REF!</definedName>
    <definedName name="aa" localSheetId="5">#REF!</definedName>
    <definedName name="aa" localSheetId="11" hidden="1">{#N/A,#N/A,TRUE,"Total Allocation";#N/A,#N/A,TRUE,"Capital Software";#N/A,#N/A,TRUE,"Misc";#N/A,#N/A,TRUE,"NAOG"}</definedName>
    <definedName name="aa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a" localSheetId="7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a" localSheetId="2">#REF!</definedName>
    <definedName name="aa" localSheetId="13" hidden="1">{#N/A,#N/A,TRUE,"Total Allocation";#N/A,#N/A,TRUE,"Capital Software";#N/A,#N/A,TRUE,"Misc";#N/A,#N/A,TRUE,"NAOG"}</definedName>
    <definedName name="aa" localSheetId="12" hidden="1">{#N/A,#N/A,TRUE,"Total Allocation";#N/A,#N/A,TRUE,"Capital Software";#N/A,#N/A,TRUE,"Misc";#N/A,#N/A,TRUE,"NAOG"}</definedName>
    <definedName name="aa" localSheetId="15" hidden="1">{#N/A,#N/A,TRUE,"Total Allocation";#N/A,#N/A,TRUE,"Capital Software";#N/A,#N/A,TRUE,"Misc";#N/A,#N/A,TRUE,"NAOG"}</definedName>
    <definedName name="aa" localSheetId="14" hidden="1">{#N/A,#N/A,TRUE,"Total Allocation";#N/A,#N/A,TRUE,"Capital Software";#N/A,#N/A,TRUE,"Misc";#N/A,#N/A,TRUE,"NAOG"}</definedName>
    <definedName name="aa">#REF!</definedName>
    <definedName name="AAA" localSheetId="7" hidden="1">#REF!</definedName>
    <definedName name="AAA" localSheetId="2" hidden="1">#REF!</definedName>
    <definedName name="AAA" hidden="1">#REF!</definedName>
    <definedName name="aaaa" localSheetId="5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5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aaaaa" localSheetId="5" hidden="1">{"CABEÇALHO",#N/A,FALSE,"DADOS";"area oeste",#N/A,FALSE,"DADOS";"CABEÇALHO",#N/A,FALSE,"DADOS";"area leste",#N/A,FALSE,"DADOS"}</definedName>
    <definedName name="aaaaa" localSheetId="11" hidden="1">{"CABEÇALHO",#N/A,FALSE,"DADOS";"area oeste",#N/A,FALSE,"DADOS";"CABEÇALHO",#N/A,FALSE,"DADOS";"area leste",#N/A,FALSE,"DADOS"}</definedName>
    <definedName name="aaaaa" localSheetId="4" hidden="1">{"CABEÇALHO",#N/A,FALSE,"DADOS";"area oeste",#N/A,FALSE,"DADOS";"CABEÇALHO",#N/A,FALSE,"DADOS";"area leste",#N/A,FALSE,"DADOS"}</definedName>
    <definedName name="aaaaa" localSheetId="2" hidden="1">{"CABEÇALHO",#N/A,FALSE,"DADOS";"area oeste",#N/A,FALSE,"DADOS";"CABEÇALHO",#N/A,FALSE,"DADOS";"area leste",#N/A,FALSE,"DADOS"}</definedName>
    <definedName name="aaaaa" localSheetId="13" hidden="1">{"CABEÇALHO",#N/A,FALSE,"DADOS";"area oeste",#N/A,FALSE,"DADOS";"CABEÇALHO",#N/A,FALSE,"DADOS";"area leste",#N/A,FALSE,"DADOS"}</definedName>
    <definedName name="aaaaa" localSheetId="12" hidden="1">{"CABEÇALHO",#N/A,FALSE,"DADOS";"area oeste",#N/A,FALSE,"DADOS";"CABEÇALHO",#N/A,FALSE,"DADOS";"area leste",#N/A,FALSE,"DADOS"}</definedName>
    <definedName name="aaaaa" localSheetId="15" hidden="1">{"CABEÇALHO",#N/A,FALSE,"DADOS";"area oeste",#N/A,FALSE,"DADOS";"CABEÇALHO",#N/A,FALSE,"DADOS";"area leste",#N/A,FALSE,"DADOS"}</definedName>
    <definedName name="aaaaa" localSheetId="14" hidden="1">{"CABEÇALHO",#N/A,FALSE,"DADOS";"area oeste",#N/A,FALSE,"DADOS";"CABEÇALHO",#N/A,FALSE,"DADOS";"area leste",#N/A,FALSE,"DADOS"}</definedName>
    <definedName name="aaaaa" hidden="1">{"CABEÇALHO",#N/A,FALSE,"DADOS";"area oeste",#N/A,FALSE,"DADOS";"CABEÇALHO",#N/A,FALSE,"DADOS";"area leste",#N/A,FALSE,"DADOS"}</definedName>
    <definedName name="ab" localSheetId="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1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5" hidden="1">{#N/A,#N/A,TRUE,"Total Allocation";#N/A,#N/A,TRUE,"Capital Software";#N/A,#N/A,TRUE,"Misc";#N/A,#N/A,TRUE,"NAOG"}</definedName>
    <definedName name="ABC" localSheetId="11" hidden="1">{#N/A,#N/A,TRUE,"Total Allocation";#N/A,#N/A,TRUE,"Capital Software";#N/A,#N/A,TRUE,"Misc";#N/A,#N/A,TRUE,"NAOG"}</definedName>
    <definedName name="ABC" localSheetId="4" hidden="1">{#N/A,#N/A,TRUE,"Total Allocation";#N/A,#N/A,TRUE,"Capital Software";#N/A,#N/A,TRUE,"Misc";#N/A,#N/A,TRUE,"NAOG"}</definedName>
    <definedName name="ABC" localSheetId="2" hidden="1">{#N/A,#N/A,TRUE,"Total Allocation";#N/A,#N/A,TRUE,"Capital Software";#N/A,#N/A,TRUE,"Misc";#N/A,#N/A,TRUE,"NAOG"}</definedName>
    <definedName name="ABC" localSheetId="13" hidden="1">{#N/A,#N/A,TRUE,"Total Allocation";#N/A,#N/A,TRUE,"Capital Software";#N/A,#N/A,TRUE,"Misc";#N/A,#N/A,TRUE,"NAOG"}</definedName>
    <definedName name="ABC" localSheetId="12" hidden="1">{#N/A,#N/A,TRUE,"Total Allocation";#N/A,#N/A,TRUE,"Capital Software";#N/A,#N/A,TRUE,"Misc";#N/A,#N/A,TRUE,"NAOG"}</definedName>
    <definedName name="ABC" localSheetId="15" hidden="1">{#N/A,#N/A,TRUE,"Total Allocation";#N/A,#N/A,TRUE,"Capital Software";#N/A,#N/A,TRUE,"Misc";#N/A,#N/A,TRUE,"NAOG"}</definedName>
    <definedName name="ABC" localSheetId="14" hidden="1">{#N/A,#N/A,TRUE,"Total Allocation";#N/A,#N/A,TRUE,"Capital Software";#N/A,#N/A,TRUE,"Misc";#N/A,#N/A,TRUE,"NAOG"}</definedName>
    <definedName name="ABC" hidden="1">{#N/A,#N/A,TRUE,"Total Allocation";#N/A,#N/A,TRUE,"Capital Software";#N/A,#N/A,TRUE,"Misc";#N/A,#N/A,TRUE,"NAOG"}</definedName>
    <definedName name="abcd" localSheetId="5" hidden="1">{#N/A,#N/A,TRUE,"Total Allocation";#N/A,#N/A,TRUE,"Capital Software";#N/A,#N/A,TRUE,"Misc";#N/A,#N/A,TRUE,"NAOG"}</definedName>
    <definedName name="abcd" localSheetId="11" hidden="1">{#N/A,#N/A,TRUE,"Total Allocation";#N/A,#N/A,TRUE,"Capital Software";#N/A,#N/A,TRUE,"Misc";#N/A,#N/A,TRUE,"NAOG"}</definedName>
    <definedName name="abcd" localSheetId="4" hidden="1">{#N/A,#N/A,TRUE,"Total Allocation";#N/A,#N/A,TRUE,"Capital Software";#N/A,#N/A,TRUE,"Misc";#N/A,#N/A,TRUE,"NAOG"}</definedName>
    <definedName name="abcd" localSheetId="2" hidden="1">{#N/A,#N/A,TRUE,"Total Allocation";#N/A,#N/A,TRUE,"Capital Software";#N/A,#N/A,TRUE,"Misc";#N/A,#N/A,TRUE,"NAOG"}</definedName>
    <definedName name="abcd" localSheetId="13" hidden="1">{#N/A,#N/A,TRUE,"Total Allocation";#N/A,#N/A,TRUE,"Capital Software";#N/A,#N/A,TRUE,"Misc";#N/A,#N/A,TRUE,"NAOG"}</definedName>
    <definedName name="abcd" localSheetId="12" hidden="1">{#N/A,#N/A,TRUE,"Total Allocation";#N/A,#N/A,TRUE,"Capital Software";#N/A,#N/A,TRUE,"Misc";#N/A,#N/A,TRUE,"NAOG"}</definedName>
    <definedName name="abcd" localSheetId="15" hidden="1">{#N/A,#N/A,TRUE,"Total Allocation";#N/A,#N/A,TRUE,"Capital Software";#N/A,#N/A,TRUE,"Misc";#N/A,#N/A,TRUE,"NAOG"}</definedName>
    <definedName name="abcd" localSheetId="14" hidden="1">{#N/A,#N/A,TRUE,"Total Allocation";#N/A,#N/A,TRUE,"Capital Software";#N/A,#N/A,TRUE,"Misc";#N/A,#N/A,TRUE,"NAOG"}</definedName>
    <definedName name="abcd" hidden="1">{#N/A,#N/A,TRUE,"Total Allocation";#N/A,#N/A,TRUE,"Capital Software";#N/A,#N/A,TRUE,"Misc";#N/A,#N/A,TRUE,"NAOG"}</definedName>
    <definedName name="abril" localSheetId="5" hidden="1">#REF!</definedName>
    <definedName name="ABRIL" localSheetId="11" hidden="1">{#N/A,#N/A,FALSE,"GP";#N/A,#N/A,FALSE,"Summary"}</definedName>
    <definedName name="abril" localSheetId="7" hidden="1">[17]EXTRA!$B$12:$B$31</definedName>
    <definedName name="abril" localSheetId="2" hidden="1">#REF!</definedName>
    <definedName name="ABRIL" localSheetId="13" hidden="1">{#N/A,#N/A,FALSE,"GP";#N/A,#N/A,FALSE,"Summary"}</definedName>
    <definedName name="ABRIL" localSheetId="12" hidden="1">{#N/A,#N/A,FALSE,"GP";#N/A,#N/A,FALSE,"Summary"}</definedName>
    <definedName name="ABRIL" localSheetId="15" hidden="1">{#N/A,#N/A,FALSE,"GP";#N/A,#N/A,FALSE,"Summary"}</definedName>
    <definedName name="ABRIL" localSheetId="14" hidden="1">{#N/A,#N/A,FALSE,"GP";#N/A,#N/A,FALSE,"Summary"}</definedName>
    <definedName name="abril" hidden="1">#REF!</definedName>
    <definedName name="abrio" localSheetId="5" hidden="1">{#N/A,#N/A,FALSE,"GP";#N/A,#N/A,FALSE,"Summary"}</definedName>
    <definedName name="abrio" localSheetId="11" hidden="1">{#N/A,#N/A,FALSE,"GP";#N/A,#N/A,FALSE,"Summary"}</definedName>
    <definedName name="abrio" localSheetId="4" hidden="1">{#N/A,#N/A,FALSE,"GP";#N/A,#N/A,FALSE,"Summary"}</definedName>
    <definedName name="abrio" localSheetId="2" hidden="1">{#N/A,#N/A,FALSE,"GP";#N/A,#N/A,FALSE,"Summary"}</definedName>
    <definedName name="abrio" localSheetId="13" hidden="1">{#N/A,#N/A,FALSE,"GP";#N/A,#N/A,FALSE,"Summary"}</definedName>
    <definedName name="abrio" localSheetId="12" hidden="1">{#N/A,#N/A,FALSE,"GP";#N/A,#N/A,FALSE,"Summary"}</definedName>
    <definedName name="abrio" localSheetId="15" hidden="1">{#N/A,#N/A,FALSE,"GP";#N/A,#N/A,FALSE,"Summary"}</definedName>
    <definedName name="abrio" localSheetId="14" hidden="1">{#N/A,#N/A,FALSE,"GP";#N/A,#N/A,FALSE,"Summary"}</definedName>
    <definedName name="abrio" hidden="1">{#N/A,#N/A,FALSE,"GP";#N/A,#N/A,FALSE,"Summary"}</definedName>
    <definedName name="ACC.MINORITAR." localSheetId="1">#REF!</definedName>
    <definedName name="ACC.MINORITAR." localSheetId="7">#REF!</definedName>
    <definedName name="ACC.MINORITAR." localSheetId="2">#REF!</definedName>
    <definedName name="ACC.MINORITAR.">#REF!</definedName>
    <definedName name="ACwvu.CATODO." localSheetId="2" hidden="1">#REF!</definedName>
    <definedName name="ACwvu.CATODO." hidden="1">#REF!</definedName>
    <definedName name="ACwvu.VERGALHÃO." localSheetId="2" hidden="1">#REF!</definedName>
    <definedName name="ACwvu.VERGALHÃO." hidden="1">#REF!</definedName>
    <definedName name="adeletar" localSheetId="5" hidden="1">{"TotalGeralDespesasPorArea",#N/A,FALSE,"VinculosAccessEfetivo"}</definedName>
    <definedName name="adeletar" localSheetId="11" hidden="1">{"TotalGeralDespesasPorArea",#N/A,FALSE,"VinculosAccessEfetivo"}</definedName>
    <definedName name="adeletar" localSheetId="4" hidden="1">{"TotalGeralDespesasPorArea",#N/A,FALSE,"VinculosAccessEfetivo"}</definedName>
    <definedName name="adeletar" localSheetId="2" hidden="1">{"TotalGeralDespesasPorArea",#N/A,FALSE,"VinculosAccessEfetivo"}</definedName>
    <definedName name="adeletar" localSheetId="13" hidden="1">{"TotalGeralDespesasPorArea",#N/A,FALSE,"VinculosAccessEfetivo"}</definedName>
    <definedName name="adeletar" localSheetId="12" hidden="1">{"TotalGeralDespesasPorArea",#N/A,FALSE,"VinculosAccessEfetivo"}</definedName>
    <definedName name="adeletar" localSheetId="15" hidden="1">{"TotalGeralDespesasPorArea",#N/A,FALSE,"VinculosAccessEfetivo"}</definedName>
    <definedName name="adeletar" localSheetId="14" hidden="1">{"TotalGeralDespesasPorArea",#N/A,FALSE,"VinculosAccessEfetivo"}</definedName>
    <definedName name="adeletar" hidden="1">{"TotalGeralDespesasPorArea",#N/A,FALSE,"VinculosAccessEfetivo"}</definedName>
    <definedName name="adeletar1" localSheetId="5" hidden="1">{"TotalGeralDespesasPorArea",#N/A,FALSE,"VinculosAccessEfetivo"}</definedName>
    <definedName name="adeletar1" localSheetId="11" hidden="1">{"TotalGeralDespesasPorArea",#N/A,FALSE,"VinculosAccessEfetivo"}</definedName>
    <definedName name="adeletar1" localSheetId="4" hidden="1">{"TotalGeralDespesasPorArea",#N/A,FALSE,"VinculosAccessEfetivo"}</definedName>
    <definedName name="adeletar1" localSheetId="2" hidden="1">{"TotalGeralDespesasPorArea",#N/A,FALSE,"VinculosAccessEfetivo"}</definedName>
    <definedName name="adeletar1" localSheetId="13" hidden="1">{"TotalGeralDespesasPorArea",#N/A,FALSE,"VinculosAccessEfetivo"}</definedName>
    <definedName name="adeletar1" localSheetId="12" hidden="1">{"TotalGeralDespesasPorArea",#N/A,FALSE,"VinculosAccessEfetivo"}</definedName>
    <definedName name="adeletar1" localSheetId="15" hidden="1">{"TotalGeralDespesasPorArea",#N/A,FALSE,"VinculosAccessEfetivo"}</definedName>
    <definedName name="adeletar1" localSheetId="14" hidden="1">{"TotalGeralDespesasPorArea",#N/A,FALSE,"VinculosAccessEfetivo"}</definedName>
    <definedName name="adeletar1" hidden="1">{"TotalGeralDespesasPorArea",#N/A,FALSE,"VinculosAccessEfetivo"}</definedName>
    <definedName name="adeletar10" localSheetId="5" hidden="1">{"TotalGeralDespesasPorArea",#N/A,FALSE,"VinculosAccessEfetivo"}</definedName>
    <definedName name="adeletar10" localSheetId="11" hidden="1">{"TotalGeralDespesasPorArea",#N/A,FALSE,"VinculosAccessEfetivo"}</definedName>
    <definedName name="adeletar10" localSheetId="4" hidden="1">{"TotalGeralDespesasPorArea",#N/A,FALSE,"VinculosAccessEfetivo"}</definedName>
    <definedName name="adeletar10" localSheetId="2" hidden="1">{"TotalGeralDespesasPorArea",#N/A,FALSE,"VinculosAccessEfetivo"}</definedName>
    <definedName name="adeletar10" localSheetId="13" hidden="1">{"TotalGeralDespesasPorArea",#N/A,FALSE,"VinculosAccessEfetivo"}</definedName>
    <definedName name="adeletar10" localSheetId="12" hidden="1">{"TotalGeralDespesasPorArea",#N/A,FALSE,"VinculosAccessEfetivo"}</definedName>
    <definedName name="adeletar10" localSheetId="15" hidden="1">{"TotalGeralDespesasPorArea",#N/A,FALSE,"VinculosAccessEfetivo"}</definedName>
    <definedName name="adeletar10" localSheetId="14" hidden="1">{"TotalGeralDespesasPorArea",#N/A,FALSE,"VinculosAccessEfetivo"}</definedName>
    <definedName name="adeletar10" hidden="1">{"TotalGeralDespesasPorArea",#N/A,FALSE,"VinculosAccessEfetivo"}</definedName>
    <definedName name="adeletar2" localSheetId="5" hidden="1">{"TotalGeralDespesasPorArea",#N/A,FALSE,"VinculosAccessEfetivo"}</definedName>
    <definedName name="adeletar2" localSheetId="11" hidden="1">{"TotalGeralDespesasPorArea",#N/A,FALSE,"VinculosAccessEfetivo"}</definedName>
    <definedName name="adeletar2" localSheetId="4" hidden="1">{"TotalGeralDespesasPorArea",#N/A,FALSE,"VinculosAccessEfetivo"}</definedName>
    <definedName name="adeletar2" localSheetId="2" hidden="1">{"TotalGeralDespesasPorArea",#N/A,FALSE,"VinculosAccessEfetivo"}</definedName>
    <definedName name="adeletar2" localSheetId="13" hidden="1">{"TotalGeralDespesasPorArea",#N/A,FALSE,"VinculosAccessEfetivo"}</definedName>
    <definedName name="adeletar2" localSheetId="12" hidden="1">{"TotalGeralDespesasPorArea",#N/A,FALSE,"VinculosAccessEfetivo"}</definedName>
    <definedName name="adeletar2" localSheetId="15" hidden="1">{"TotalGeralDespesasPorArea",#N/A,FALSE,"VinculosAccessEfetivo"}</definedName>
    <definedName name="adeletar2" localSheetId="14" hidden="1">{"TotalGeralDespesasPorArea",#N/A,FALSE,"VinculosAccessEfetivo"}</definedName>
    <definedName name="adeletar2" hidden="1">{"TotalGeralDespesasPorArea",#N/A,FALSE,"VinculosAccessEfetivo"}</definedName>
    <definedName name="adeletar20" localSheetId="5" hidden="1">{"TotalGeralDespesasPorArea",#N/A,FALSE,"VinculosAccessEfetivo"}</definedName>
    <definedName name="adeletar20" localSheetId="11" hidden="1">{"TotalGeralDespesasPorArea",#N/A,FALSE,"VinculosAccessEfetivo"}</definedName>
    <definedName name="adeletar20" localSheetId="4" hidden="1">{"TotalGeralDespesasPorArea",#N/A,FALSE,"VinculosAccessEfetivo"}</definedName>
    <definedName name="adeletar20" localSheetId="2" hidden="1">{"TotalGeralDespesasPorArea",#N/A,FALSE,"VinculosAccessEfetivo"}</definedName>
    <definedName name="adeletar20" localSheetId="13" hidden="1">{"TotalGeralDespesasPorArea",#N/A,FALSE,"VinculosAccessEfetivo"}</definedName>
    <definedName name="adeletar20" localSheetId="12" hidden="1">{"TotalGeralDespesasPorArea",#N/A,FALSE,"VinculosAccessEfetivo"}</definedName>
    <definedName name="adeletar20" localSheetId="15" hidden="1">{"TotalGeralDespesasPorArea",#N/A,FALSE,"VinculosAccessEfetivo"}</definedName>
    <definedName name="adeletar20" localSheetId="14" hidden="1">{"TotalGeralDespesasPorArea",#N/A,FALSE,"VinculosAccessEfetivo"}</definedName>
    <definedName name="adeletar20" hidden="1">{"TotalGeralDespesasPorArea",#N/A,FALSE,"VinculosAccessEfetivo"}</definedName>
    <definedName name="adeletar4" localSheetId="5" hidden="1">{"TotalGeralDespesasPorArea",#N/A,FALSE,"VinculosAccessEfetivo"}</definedName>
    <definedName name="adeletar4" localSheetId="11" hidden="1">{"TotalGeralDespesasPorArea",#N/A,FALSE,"VinculosAccessEfetivo"}</definedName>
    <definedName name="adeletar4" localSheetId="4" hidden="1">{"TotalGeralDespesasPorArea",#N/A,FALSE,"VinculosAccessEfetivo"}</definedName>
    <definedName name="adeletar4" localSheetId="2" hidden="1">{"TotalGeralDespesasPorArea",#N/A,FALSE,"VinculosAccessEfetivo"}</definedName>
    <definedName name="adeletar4" localSheetId="13" hidden="1">{"TotalGeralDespesasPorArea",#N/A,FALSE,"VinculosAccessEfetivo"}</definedName>
    <definedName name="adeletar4" localSheetId="12" hidden="1">{"TotalGeralDespesasPorArea",#N/A,FALSE,"VinculosAccessEfetivo"}</definedName>
    <definedName name="adeletar4" localSheetId="15" hidden="1">{"TotalGeralDespesasPorArea",#N/A,FALSE,"VinculosAccessEfetivo"}</definedName>
    <definedName name="adeletar4" localSheetId="14" hidden="1">{"TotalGeralDespesasPorArea",#N/A,FALSE,"VinculosAccessEfetivo"}</definedName>
    <definedName name="adeletar4" hidden="1">{"TotalGeralDespesasPorArea",#N/A,FALSE,"VinculosAccessEfetivo"}</definedName>
    <definedName name="adeletar50" localSheetId="5" hidden="1">{"TotalGeralDespesasPorArea",#N/A,FALSE,"VinculosAccessEfetivo"}</definedName>
    <definedName name="adeletar50" localSheetId="11" hidden="1">{"TotalGeralDespesasPorArea",#N/A,FALSE,"VinculosAccessEfetivo"}</definedName>
    <definedName name="adeletar50" localSheetId="4" hidden="1">{"TotalGeralDespesasPorArea",#N/A,FALSE,"VinculosAccessEfetivo"}</definedName>
    <definedName name="adeletar50" localSheetId="2" hidden="1">{"TotalGeralDespesasPorArea",#N/A,FALSE,"VinculosAccessEfetivo"}</definedName>
    <definedName name="adeletar50" localSheetId="13" hidden="1">{"TotalGeralDespesasPorArea",#N/A,FALSE,"VinculosAccessEfetivo"}</definedName>
    <definedName name="adeletar50" localSheetId="12" hidden="1">{"TotalGeralDespesasPorArea",#N/A,FALSE,"VinculosAccessEfetivo"}</definedName>
    <definedName name="adeletar50" localSheetId="15" hidden="1">{"TotalGeralDespesasPorArea",#N/A,FALSE,"VinculosAccessEfetivo"}</definedName>
    <definedName name="adeletar50" localSheetId="14" hidden="1">{"TotalGeralDespesasPorArea",#N/A,FALSE,"VinculosAccessEfetivo"}</definedName>
    <definedName name="adeletar50" hidden="1">{"TotalGeralDespesasPorArea",#N/A,FALSE,"VinculosAccessEfetivo"}</definedName>
    <definedName name="adeletar51" localSheetId="5" hidden="1">{"TotalGeralDespesasPorArea",#N/A,FALSE,"VinculosAccessEfetivo"}</definedName>
    <definedName name="adeletar51" localSheetId="11" hidden="1">{"TotalGeralDespesasPorArea",#N/A,FALSE,"VinculosAccessEfetivo"}</definedName>
    <definedName name="adeletar51" localSheetId="4" hidden="1">{"TotalGeralDespesasPorArea",#N/A,FALSE,"VinculosAccessEfetivo"}</definedName>
    <definedName name="adeletar51" localSheetId="2" hidden="1">{"TotalGeralDespesasPorArea",#N/A,FALSE,"VinculosAccessEfetivo"}</definedName>
    <definedName name="adeletar51" localSheetId="13" hidden="1">{"TotalGeralDespesasPorArea",#N/A,FALSE,"VinculosAccessEfetivo"}</definedName>
    <definedName name="adeletar51" localSheetId="12" hidden="1">{"TotalGeralDespesasPorArea",#N/A,FALSE,"VinculosAccessEfetivo"}</definedName>
    <definedName name="adeletar51" localSheetId="15" hidden="1">{"TotalGeralDespesasPorArea",#N/A,FALSE,"VinculosAccessEfetivo"}</definedName>
    <definedName name="adeletar51" localSheetId="14" hidden="1">{"TotalGeralDespesasPorArea",#N/A,FALSE,"VinculosAccessEfetivo"}</definedName>
    <definedName name="adeletar51" hidden="1">{"TotalGeralDespesasPorArea",#N/A,FALSE,"VinculosAccessEfetivo"}</definedName>
    <definedName name="adr" localSheetId="5" hidden="1">{#N/A,#N/A,FALSE,"PROGRAMAÇÃO SEMANAL";#N/A,#N/A,FALSE,"PROG. DIÁRIA -FEV"}</definedName>
    <definedName name="adr" localSheetId="11" hidden="1">{#N/A,#N/A,FALSE,"PROGRAMAÇÃO SEMANAL";#N/A,#N/A,FALSE,"PROG. DIÁRIA -FEV"}</definedName>
    <definedName name="adr" localSheetId="4" hidden="1">{#N/A,#N/A,FALSE,"PROGRAMAÇÃO SEMANAL";#N/A,#N/A,FALSE,"PROG. DIÁRIA -FEV"}</definedName>
    <definedName name="adr" localSheetId="2" hidden="1">{#N/A,#N/A,FALSE,"PROGRAMAÇÃO SEMANAL";#N/A,#N/A,FALSE,"PROG. DIÁRIA -FEV"}</definedName>
    <definedName name="adr" localSheetId="13" hidden="1">{#N/A,#N/A,FALSE,"PROGRAMAÇÃO SEMANAL";#N/A,#N/A,FALSE,"PROG. DIÁRIA -FEV"}</definedName>
    <definedName name="adr" localSheetId="12" hidden="1">{#N/A,#N/A,FALSE,"PROGRAMAÇÃO SEMANAL";#N/A,#N/A,FALSE,"PROG. DIÁRIA -FEV"}</definedName>
    <definedName name="adr" localSheetId="15" hidden="1">{#N/A,#N/A,FALSE,"PROGRAMAÇÃO SEMANAL";#N/A,#N/A,FALSE,"PROG. DIÁRIA -FEV"}</definedName>
    <definedName name="adr" localSheetId="14" hidden="1">{#N/A,#N/A,FALSE,"PROGRAMAÇÃO SEMANAL";#N/A,#N/A,FALSE,"PROG. DIÁRIA -FEV"}</definedName>
    <definedName name="adr" hidden="1">{#N/A,#N/A,FALSE,"PROGRAMAÇÃO SEMANAL";#N/A,#N/A,FALSE,"PROG. DIÁRIA -FEV"}</definedName>
    <definedName name="aet" hidden="1">#REF!</definedName>
    <definedName name="aga" hidden="1">#REF!</definedName>
    <definedName name="Agosto">#REF!</definedName>
    <definedName name="ahsuahus" localSheetId="5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5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hidden="1">{#N/A,#N/A,FALSE,"Relatórios";"Vendas e Custos",#N/A,FALSE,"Vendas e Custos";"Premissas",#N/A,FALSE,"Premissas";"Projeções",#N/A,FALSE,"Projeções";"Dolar",#N/A,FALSE,"Dolar";"Original",#N/A,FALSE,"Original e UFIR"}</definedName>
    <definedName name="AJUSTE" localSheetId="5" hidden="1">{"Fecha_Dezembro",#N/A,FALSE,"FECHAMENTO-2002 ";"Defer_Dezermbro",#N/A,FALSE,"DIFERIDO";"Pis_Dezembro",#N/A,FALSE,"PIS COFINS";"Iss_Dezembro",#N/A,FALSE,"ISS"}</definedName>
    <definedName name="AJUSTE" localSheetId="11" hidden="1">{"Fecha_Dezembro",#N/A,FALSE,"FECHAMENTO-2002 ";"Defer_Dezermbro",#N/A,FALSE,"DIFERIDO";"Pis_Dezembro",#N/A,FALSE,"PIS COFINS";"Iss_Dezembro",#N/A,FALSE,"ISS"}</definedName>
    <definedName name="AJUSTE" localSheetId="4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localSheetId="13" hidden="1">{"Fecha_Dezembro",#N/A,FALSE,"FECHAMENTO-2002 ";"Defer_Dezermbro",#N/A,FALSE,"DIFERIDO";"Pis_Dezembro",#N/A,FALSE,"PIS COFINS";"Iss_Dezembro",#N/A,FALSE,"ISS"}</definedName>
    <definedName name="AJUSTE" localSheetId="12" hidden="1">{"Fecha_Dezembro",#N/A,FALSE,"FECHAMENTO-2002 ";"Defer_Dezermbro",#N/A,FALSE,"DIFERIDO";"Pis_Dezembro",#N/A,FALSE,"PIS COFINS";"Iss_Dezembro",#N/A,FALSE,"ISS"}</definedName>
    <definedName name="AJUSTE" localSheetId="15" hidden="1">{"Fecha_Dezembro",#N/A,FALSE,"FECHAMENTO-2002 ";"Defer_Dezermbro",#N/A,FALSE,"DIFERIDO";"Pis_Dezembro",#N/A,FALSE,"PIS COFINS";"Iss_Dezembro",#N/A,FALSE,"ISS"}</definedName>
    <definedName name="AJUSTE" localSheetId="14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JUSTES" localSheetId="7">#REF!</definedName>
    <definedName name="AJUSTES">#REF!</definedName>
    <definedName name="AJUSTES_BDI" localSheetId="7">#REF!</definedName>
    <definedName name="AJUSTES_BDI">#REF!</definedName>
    <definedName name="Anexo" localSheetId="5" hidden="1">{"'input-data'!$B$5:$R$22"}</definedName>
    <definedName name="Anexo" localSheetId="11" hidden="1">{"'input-data'!$B$5:$R$22"}</definedName>
    <definedName name="Anexo" localSheetId="4" hidden="1">{"'input-data'!$B$5:$R$22"}</definedName>
    <definedName name="Anexo" localSheetId="1" hidden="1">{"'input-data'!$B$5:$R$22"}</definedName>
    <definedName name="Anexo" localSheetId="7" hidden="1">{"'input-data'!$B$5:$R$22"}</definedName>
    <definedName name="Anexo" localSheetId="2" hidden="1">{"'input-data'!$B$5:$R$22"}</definedName>
    <definedName name="Anexo" localSheetId="13" hidden="1">{"'input-data'!$B$5:$R$22"}</definedName>
    <definedName name="Anexo" localSheetId="12" hidden="1">{"'input-data'!$B$5:$R$22"}</definedName>
    <definedName name="Anexo" localSheetId="15" hidden="1">{"'input-data'!$B$5:$R$22"}</definedName>
    <definedName name="Anexo" localSheetId="14" hidden="1">{"'input-data'!$B$5:$R$22"}</definedName>
    <definedName name="Anexo" hidden="1">{"'input-data'!$B$5:$R$22"}</definedName>
    <definedName name="Anexo2" localSheetId="5" hidden="1">{"'input-data'!$B$5:$R$22"}</definedName>
    <definedName name="Anexo2" localSheetId="11" hidden="1">{"'input-data'!$B$5:$R$22"}</definedName>
    <definedName name="Anexo2" localSheetId="4" hidden="1">{"'input-data'!$B$5:$R$22"}</definedName>
    <definedName name="Anexo2" localSheetId="1" hidden="1">{"'input-data'!$B$5:$R$22"}</definedName>
    <definedName name="Anexo2" localSheetId="7" hidden="1">{"'input-data'!$B$5:$R$22"}</definedName>
    <definedName name="Anexo2" localSheetId="2" hidden="1">{"'input-data'!$B$5:$R$22"}</definedName>
    <definedName name="Anexo2" localSheetId="13" hidden="1">{"'input-data'!$B$5:$R$22"}</definedName>
    <definedName name="Anexo2" localSheetId="12" hidden="1">{"'input-data'!$B$5:$R$22"}</definedName>
    <definedName name="Anexo2" localSheetId="15" hidden="1">{"'input-data'!$B$5:$R$22"}</definedName>
    <definedName name="Anexo2" localSheetId="14" hidden="1">{"'input-data'!$B$5:$R$22"}</definedName>
    <definedName name="Anexo2" hidden="1">{"'input-data'!$B$5:$R$22"}</definedName>
    <definedName name="ANO_ANTERIOR">#REF!</definedName>
    <definedName name="ANO_ATUAL" localSheetId="4">#REF!</definedName>
    <definedName name="ano_atual" localSheetId="1">#REF!</definedName>
    <definedName name="ano_atual" localSheetId="7">[18]Apoio!$B$2</definedName>
    <definedName name="ANO_ATUAL">#REF!</definedName>
    <definedName name="ano_vigente" localSheetId="4">#REF!</definedName>
    <definedName name="ano_vigente">#REF!</definedName>
    <definedName name="AnoActual">"2002"</definedName>
    <definedName name="AnoAnterior">"2001"</definedName>
    <definedName name="anscount" localSheetId="5" hidden="1">1</definedName>
    <definedName name="anscount" localSheetId="11" hidden="1">3</definedName>
    <definedName name="anscount" localSheetId="13" hidden="1">3</definedName>
    <definedName name="anscount" localSheetId="12" hidden="1">3</definedName>
    <definedName name="anscount" localSheetId="15" hidden="1">3</definedName>
    <definedName name="anscount" localSheetId="14" hidden="1">3</definedName>
    <definedName name="anscount" hidden="1">1</definedName>
    <definedName name="antecipações" localSheetId="5" hidden="1">{"Fecha_Outubro",#N/A,FALSE,"FECHAMENTO-2002 ";"Defer_Outubro",#N/A,FALSE,"DIFERIDO";"Pis_Outubro",#N/A,FALSE,"PIS COFINS";"Iss_Outubro",#N/A,FALSE,"ISS"}</definedName>
    <definedName name="antecipações" localSheetId="11" hidden="1">{"Fecha_Outubro",#N/A,FALSE,"FECHAMENTO-2002 ";"Defer_Outubro",#N/A,FALSE,"DIFERIDO";"Pis_Outubro",#N/A,FALSE,"PIS COFINS";"Iss_Outubro",#N/A,FALSE,"ISS"}</definedName>
    <definedName name="antecipações" localSheetId="4" hidden="1">{"Fecha_Outubro",#N/A,FALSE,"FECHAMENTO-2002 ";"Defer_Outubro",#N/A,FALSE,"DIFERIDO";"Pis_Outubro",#N/A,FALSE,"PIS COFINS";"Iss_Outubro",#N/A,FALSE,"ISS"}</definedName>
    <definedName name="antecipações" localSheetId="2" hidden="1">{"Fecha_Outubro",#N/A,FALSE,"FECHAMENTO-2002 ";"Defer_Outubro",#N/A,FALSE,"DIFERIDO";"Pis_Outubro",#N/A,FALSE,"PIS COFINS";"Iss_Outubro",#N/A,FALSE,"ISS"}</definedName>
    <definedName name="antecipações" localSheetId="13" hidden="1">{"Fecha_Outubro",#N/A,FALSE,"FECHAMENTO-2002 ";"Defer_Outubro",#N/A,FALSE,"DIFERIDO";"Pis_Outubro",#N/A,FALSE,"PIS COFINS";"Iss_Outubro",#N/A,FALSE,"ISS"}</definedName>
    <definedName name="antecipações" localSheetId="12" hidden="1">{"Fecha_Outubro",#N/A,FALSE,"FECHAMENTO-2002 ";"Defer_Outubro",#N/A,FALSE,"DIFERIDO";"Pis_Outubro",#N/A,FALSE,"PIS COFINS";"Iss_Outubro",#N/A,FALSE,"ISS"}</definedName>
    <definedName name="antecipações" localSheetId="15" hidden="1">{"Fecha_Outubro",#N/A,FALSE,"FECHAMENTO-2002 ";"Defer_Outubro",#N/A,FALSE,"DIFERIDO";"Pis_Outubro",#N/A,FALSE,"PIS COFINS";"Iss_Outubro",#N/A,FALSE,"ISS"}</definedName>
    <definedName name="antecipações" localSheetId="14" hidden="1">{"Fecha_Outubro",#N/A,FALSE,"FECHAMENTO-2002 ";"Defer_Outubro",#N/A,FALSE,"DIFERIDO";"Pis_Outubro",#N/A,FALSE,"PIS COFINS";"Iss_Outubro",#N/A,FALSE,"ISS"}</definedName>
    <definedName name="antecipações" hidden="1">{"Fecha_Outubro",#N/A,FALSE,"FECHAMENTO-2002 ";"Defer_Outubro",#N/A,FALSE,"DIFERIDO";"Pis_Outubro",#N/A,FALSE,"PIS COFINS";"Iss_Outubro",#N/A,FALSE,"ISS"}</definedName>
    <definedName name="ANYO">2002</definedName>
    <definedName name="APAORT" localSheetId="1">#REF!</definedName>
    <definedName name="APAORT" localSheetId="7">#REF!</definedName>
    <definedName name="APAORT" localSheetId="2">#REF!</definedName>
    <definedName name="APAORT">#REF!</definedName>
    <definedName name="APORTACION" localSheetId="7">#REF!</definedName>
    <definedName name="APORTACION" localSheetId="2">#REF!</definedName>
    <definedName name="APORTACION">#REF!</definedName>
    <definedName name="area" localSheetId="2">#REF!</definedName>
    <definedName name="area">#REF!</definedName>
    <definedName name="_xlnm.Print_Area" localSheetId="1">#REF!</definedName>
    <definedName name="_xlnm.Print_Area" localSheetId="7">#REF!</definedName>
    <definedName name="_xlnm.Print_Area">#REF!</definedName>
    <definedName name="Área_impressão_IM" localSheetId="7">#REF!</definedName>
    <definedName name="Área_impressão_IM">#REF!</definedName>
    <definedName name="arg">#REF!</definedName>
    <definedName name="AS" localSheetId="5" hidden="1">{"'input-data'!$B$5:$R$22"}</definedName>
    <definedName name="as" localSheetId="11" hidden="1">20</definedName>
    <definedName name="AS" localSheetId="4" hidden="1">{"'input-data'!$B$5:$R$22"}</definedName>
    <definedName name="AS" localSheetId="1" hidden="1">{"'input-data'!$B$5:$R$22"}</definedName>
    <definedName name="AS" localSheetId="7" hidden="1">{"'input-data'!$B$5:$R$22"}</definedName>
    <definedName name="AS" localSheetId="2" hidden="1">{"'input-data'!$B$5:$R$22"}</definedName>
    <definedName name="as" localSheetId="13" hidden="1">20</definedName>
    <definedName name="as" localSheetId="12" hidden="1">20</definedName>
    <definedName name="as" localSheetId="15" hidden="1">20</definedName>
    <definedName name="as" localSheetId="14" hidden="1">20</definedName>
    <definedName name="AS" hidden="1">{"'input-data'!$B$5:$R$22"}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a" localSheetId="5" hidden="1">{#N/A,#N/A,FALSE,"Aging Summary";#N/A,#N/A,FALSE,"Ratio Analysis";#N/A,#N/A,FALSE,"Test 120 Day Accts";#N/A,#N/A,FALSE,"Tickmarks"}</definedName>
    <definedName name="asda" localSheetId="11" hidden="1">{#N/A,#N/A,FALSE,"Aging Summary";#N/A,#N/A,FALSE,"Ratio Analysis";#N/A,#N/A,FALSE,"Test 120 Day Accts";#N/A,#N/A,FALSE,"Tickmarks"}</definedName>
    <definedName name="asda" localSheetId="4" hidden="1">{#N/A,#N/A,FALSE,"Aging Summary";#N/A,#N/A,FALSE,"Ratio Analysis";#N/A,#N/A,FALSE,"Test 120 Day Accts";#N/A,#N/A,FALSE,"Tickmarks"}</definedName>
    <definedName name="asda" localSheetId="2" hidden="1">{#N/A,#N/A,FALSE,"Aging Summary";#N/A,#N/A,FALSE,"Ratio Analysis";#N/A,#N/A,FALSE,"Test 120 Day Accts";#N/A,#N/A,FALSE,"Tickmarks"}</definedName>
    <definedName name="asda" localSheetId="13" hidden="1">{#N/A,#N/A,FALSE,"Aging Summary";#N/A,#N/A,FALSE,"Ratio Analysis";#N/A,#N/A,FALSE,"Test 120 Day Accts";#N/A,#N/A,FALSE,"Tickmarks"}</definedName>
    <definedName name="asda" localSheetId="12" hidden="1">{#N/A,#N/A,FALSE,"Aging Summary";#N/A,#N/A,FALSE,"Ratio Analysis";#N/A,#N/A,FALSE,"Test 120 Day Accts";#N/A,#N/A,FALSE,"Tickmarks"}</definedName>
    <definedName name="asda" localSheetId="15" hidden="1">{#N/A,#N/A,FALSE,"Aging Summary";#N/A,#N/A,FALSE,"Ratio Analysis";#N/A,#N/A,FALSE,"Test 120 Day Accts";#N/A,#N/A,FALSE,"Tickmarks"}</definedName>
    <definedName name="asda" localSheetId="14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f" localSheetId="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1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msap">#REF!</definedName>
    <definedName name="asj" localSheetId="5" hidden="1">{"VERGALHÃO",#N/A,FALSE,"DIÁRIA";"CATODO",#N/A,FALSE,"DIÁRIA"}</definedName>
    <definedName name="asj" localSheetId="11" hidden="1">{"VERGALHÃO",#N/A,FALSE,"DIÁRIA";"CATODO",#N/A,FALSE,"DIÁRIA"}</definedName>
    <definedName name="asj" localSheetId="4" hidden="1">{"VERGALHÃO",#N/A,FALSE,"DIÁRIA";"CATODO",#N/A,FALSE,"DIÁRIA"}</definedName>
    <definedName name="asj" localSheetId="2" hidden="1">{"VERGALHÃO",#N/A,FALSE,"DIÁRIA";"CATODO",#N/A,FALSE,"DIÁRIA"}</definedName>
    <definedName name="asj" localSheetId="13" hidden="1">{"VERGALHÃO",#N/A,FALSE,"DIÁRIA";"CATODO",#N/A,FALSE,"DIÁRIA"}</definedName>
    <definedName name="asj" localSheetId="12" hidden="1">{"VERGALHÃO",#N/A,FALSE,"DIÁRIA";"CATODO",#N/A,FALSE,"DIÁRIA"}</definedName>
    <definedName name="asj" localSheetId="15" hidden="1">{"VERGALHÃO",#N/A,FALSE,"DIÁRIA";"CATODO",#N/A,FALSE,"DIÁRIA"}</definedName>
    <definedName name="asj" localSheetId="14" hidden="1">{"VERGALHÃO",#N/A,FALSE,"DIÁRIA";"CATODO",#N/A,FALSE,"DIÁRIA"}</definedName>
    <definedName name="asj" hidden="1">{"VERGALHÃO",#N/A,FALSE,"DIÁRIA";"CATODO",#N/A,FALSE,"DIÁRIA"}</definedName>
    <definedName name="asrggsdfa" localSheetId="7" hidden="1">[7]SINTESIS!$N$7:$N$20</definedName>
    <definedName name="asrggsdfa" hidden="1">#REF!</definedName>
    <definedName name="Assumptions">#REF!</definedName>
    <definedName name="ATI" hidden="1">#REF!</definedName>
    <definedName name="B" localSheetId="1">#REF!</definedName>
    <definedName name="B" localSheetId="7">#REF!</definedName>
    <definedName name="B">#REF!</definedName>
    <definedName name="BAL" localSheetId="7">#REF!</definedName>
    <definedName name="BAL">#REF!</definedName>
    <definedName name="BalType" hidden="1">TRUE</definedName>
    <definedName name="BAN_ANEXO_A" localSheetId="7">#REF!</definedName>
    <definedName name="BAN_ANEXO_A">#REF!</definedName>
    <definedName name="BAN_ANEXO_B" localSheetId="7">#REF!</definedName>
    <definedName name="BAN_ANEXO_B">#REF!</definedName>
    <definedName name="BAN_ANEXO_D" localSheetId="7">#REF!</definedName>
    <definedName name="BAN_ANEXO_D">#REF!</definedName>
    <definedName name="BAN_ANEXO_E" localSheetId="7">#REF!</definedName>
    <definedName name="BAN_ANEXO_E">#REF!</definedName>
    <definedName name="BAN_ANEXO_F" localSheetId="7">#REF!</definedName>
    <definedName name="BAN_ANEXO_F">#REF!</definedName>
    <definedName name="BAN_ANEXO_G" localSheetId="7">#REF!</definedName>
    <definedName name="BAN_ANEXO_G">#REF!</definedName>
    <definedName name="BAN_ANEXO_H" localSheetId="7">#REF!</definedName>
    <definedName name="BAN_ANEXO_H">#REF!</definedName>
    <definedName name="BAN_EEPN" localSheetId="4">#REF!</definedName>
    <definedName name="BAN_EEPN" localSheetId="1">#REF!</definedName>
    <definedName name="BAN_EEPN" localSheetId="7">'[19]EECC-Cuenta'!#REF!</definedName>
    <definedName name="BAN_EEPN">#REF!</definedName>
    <definedName name="BAN_EOAF" localSheetId="4">#REF!</definedName>
    <definedName name="BAN_EOAF" localSheetId="1">#REF!</definedName>
    <definedName name="BAN_EOAF" localSheetId="7">'[19]EECC-Cuenta'!#REF!</definedName>
    <definedName name="BAN_EOAF">#REF!</definedName>
    <definedName name="BAN_ESTPAT" localSheetId="4">#REF!</definedName>
    <definedName name="BAN_ESTPAT" localSheetId="1">#REF!</definedName>
    <definedName name="BAN_ESTPAT" localSheetId="7">'[19]EECC-Cuenta'!#REF!</definedName>
    <definedName name="BAN_ESTPAT">#REF!</definedName>
    <definedName name="BAN_NOTA3D" localSheetId="4">#REF!</definedName>
    <definedName name="BAN_NOTA3D" localSheetId="1">#REF!</definedName>
    <definedName name="BAN_NOTA3D" localSheetId="7">'[19]EECC-NOTAS H e I'!#REF!</definedName>
    <definedName name="BAN_NOTA3D">#REF!</definedName>
    <definedName name="BAN_NOTA7A" localSheetId="4">#REF!</definedName>
    <definedName name="BAN_NOTA7A" localSheetId="1">#REF!</definedName>
    <definedName name="BAN_NOTA7A" localSheetId="7">'[19]EECC-NOTAS H e I'!#REF!</definedName>
    <definedName name="BAN_NOTA7A">#REF!</definedName>
    <definedName name="BAN_NOTA7B" localSheetId="4">#REF!</definedName>
    <definedName name="BAN_NOTA7B" localSheetId="1">#REF!</definedName>
    <definedName name="BAN_NOTA7B" localSheetId="7">'[19]EECC-NOTAS H e I'!#REF!</definedName>
    <definedName name="BAN_NOTA7B">#REF!</definedName>
    <definedName name="BAN_RT12CRED" localSheetId="4">#REF!</definedName>
    <definedName name="BAN_RT12CRED" localSheetId="1">#REF!</definedName>
    <definedName name="BAN_RT12CRED" localSheetId="7">'[19]EECC-NOTAS H e I'!#REF!</definedName>
    <definedName name="BAN_RT12CRED">#REF!</definedName>
    <definedName name="BAN_RT12DEUD" localSheetId="4">#REF!</definedName>
    <definedName name="BAN_RT12DEUD" localSheetId="1">#REF!</definedName>
    <definedName name="BAN_RT12DEUD" localSheetId="7">'[19]EECC-NOTAS H e I'!#REF!</definedName>
    <definedName name="BAN_RT12DEUD">#REF!</definedName>
    <definedName name="_xlnm.Database" localSheetId="1">#REF!</definedName>
    <definedName name="_xlnm.Database" localSheetId="7">#REF!</definedName>
    <definedName name="_xlnm.Database">#REF!</definedName>
    <definedName name="Base.ano">#REF!</definedName>
    <definedName name="Base.empresa">#REF!</definedName>
    <definedName name="Base.mes">#REF!</definedName>
    <definedName name="Base.motivo">#REF!</definedName>
    <definedName name="Base.seguimento">#REF!</definedName>
    <definedName name="Base.valor">#REF!</definedName>
    <definedName name="BaseCo_leaseMethod">#REF!</definedName>
    <definedName name="baseTemp" localSheetId="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localSheetId="1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aseTemp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BBB" hidden="1">0</definedName>
    <definedName name="BDI" localSheetId="7">#REF!</definedName>
    <definedName name="BDI">#REF!</definedName>
    <definedName name="Beg_Bal" localSheetId="7">#REF!</definedName>
    <definedName name="Beg_Bal">#REF!</definedName>
    <definedName name="BEx0017DGUEDPCFJUPUZOOLJCS2B" hidden="1">#REF!</definedName>
    <definedName name="BEx001CNWHJ5RULCSFM36ZCGJ1UH" hidden="1">#REF!</definedName>
    <definedName name="BEx0041RNVGGN8SKGQTWHTVAGKBV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9W8CIODBI8E8AMXXWIQTB98" hidden="1">#REF!</definedName>
    <definedName name="BEx00DXTY2JDVGWQKV8H7FG4SV30" hidden="1">#REF!</definedName>
    <definedName name="BEx00GHLTYRH5N2S6P78YW1CD30N" hidden="1">#REF!</definedName>
    <definedName name="BEx00I4VUBY65SS5ZIODG4V2ND5I" hidden="1">#REF!</definedName>
    <definedName name="BEx00J6L4N3WDFUWI1GNCD89U2A5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0U9SHQ0NHO9GPJITAMG5T4E9" hidden="1">#REF!</definedName>
    <definedName name="BEx00Y0Q80VDC7C8YPORQ8MYQ0S8" hidden="1">#REF!</definedName>
    <definedName name="BEx01049R9ZE3WM0TJWIDL7I2AO5" hidden="1">#REF!</definedName>
    <definedName name="BEx01HY6E3GJ66ABU5ABN26V6Q13" hidden="1">#REF!</definedName>
    <definedName name="BEx01L3J1BR2K1P5H8COWXNCHS0E" hidden="1">#REF!</definedName>
    <definedName name="BEx01PW5YQKEGAR8JDDI5OARYXDF" hidden="1">#REF!</definedName>
    <definedName name="BEx01QN1SZ2NVKVP9REE9SY2L0OP" hidden="1">#REF!</definedName>
    <definedName name="BEx01T1EVAEW9BLAP4L6II4G6OC4" hidden="1">#REF!</definedName>
    <definedName name="BEx01X35DZBL50I19K4ZSW4F1ESH" hidden="1">#REF!</definedName>
    <definedName name="BEx01XJ94SHJ1YQ7ORPW0RQGKI2H" hidden="1">#REF!</definedName>
    <definedName name="BEx026TPY9GO3OMTUDCLH7TY4PIO" hidden="1">#REF!</definedName>
    <definedName name="BEx02LT7FWUB9MKJ4PGRT703N2MW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37OUJXG0DPQBHNU2QL1237SB" hidden="1">#REF!</definedName>
    <definedName name="BEx040GNGACOQI5MY5X2NE42ZWDU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4CYG1RY85QEOYN18EW99S7U" hidden="1">#REF!</definedName>
    <definedName name="BEx1G59AY8195JTUM6P18VXUFJ3E" hidden="1">#REF!</definedName>
    <definedName name="BEx1GACQL91IG43LSU6M1F2TWPZN" hidden="1">#REF!</definedName>
    <definedName name="BEx1GB92OWY6P3B3Z6EYFUUWMITG" hidden="1">#REF!</definedName>
    <definedName name="BEx1GVMRHFXUP6XYYY9NR12PV5TF" hidden="1">#REF!</definedName>
    <definedName name="BEx1GXVMI3T7Z3EUB14YYT1M1PDW" hidden="1">#REF!</definedName>
    <definedName name="BEx1GZ88TMF2CK6DNSXLTDSB752E" hidden="1">#REF!</definedName>
    <definedName name="BEx1H6KIT7BHUH6MDDWC935V9N47" hidden="1">#REF!</definedName>
    <definedName name="BEx1H8O2JHXX3FRPWUWHVTNL0P3Z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M2TBFL6UBVA6E4PKNSPI96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38LBZSH2UZJIZXAE5XOUU55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I2MK02ZGYCC87E06JZQDEIA" hidden="1">#REF!</definedName>
    <definedName name="BEx1IKRPW8MLB9Y485M1TL2IT9SH" hidden="1">#REF!</definedName>
    <definedName name="BEx1IKX7BHKLFZJGBEO6159KZ8YR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C1KDP1C5ZH7TLPHCD3M91AV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77IHEB8SBGNH6XH195WTAUX" hidden="1">#REF!</definedName>
    <definedName name="BEx1KCWQ445PDI0YUBIXZBK5EWCP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KX4XAKEQZTT9ODLAXZ39E0RF" hidden="1">#REF!</definedName>
    <definedName name="BEx1L04S2Z1LFAG3EWVYMPGE6UX7" hidden="1">#REF!</definedName>
    <definedName name="BEx1L2OG1SDFK2TPXELJ77YP4NI2" hidden="1">#REF!</definedName>
    <definedName name="BEx1L6Q60MWRDJB4L20LK0XPA0Z2" hidden="1">#REF!</definedName>
    <definedName name="BEx1LA0VSLDEH93WEAAA7L7AZCMR" hidden="1">#REF!</definedName>
    <definedName name="BEx1LD63FP2Z4BR9TKSHOZW9KKZ5" hidden="1">#REF!</definedName>
    <definedName name="BEx1LDMB9RW982DUILM2WPT5VWQ3" hidden="1">#REF!</definedName>
    <definedName name="BEx1LED8AGYTP4YM7NYLGHEGI4PV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3JJGKF1YALMTNWMK99YH9FT" hidden="1">#REF!</definedName>
    <definedName name="BEx1M51HHDYGIT8PON7U8ICL2S95" hidden="1">#REF!</definedName>
    <definedName name="BEx1MEBZTWO6XAWNC9Z6T7VUC26Q" hidden="1">#REF!</definedName>
    <definedName name="BEx1MKXCOB7VCX3HLHPCF3G8AXL8" hidden="1">#REF!</definedName>
    <definedName name="BEx1MM4IS3STU4KDLOVBHY8YFM7E" hidden="1">#REF!</definedName>
    <definedName name="BEx1MMQ3H3E9MBH330J6MD3EP8AD" hidden="1">#REF!</definedName>
    <definedName name="BEx1MRDAD6PFVHF83EA1WDPXAF78" hidden="1">#REF!</definedName>
    <definedName name="BEx1MTRKKVCHOZ0YGID6HZ49LJTO" hidden="1">#REF!</definedName>
    <definedName name="BEx1N0IFWPSL686RSLZTZA4KIY2A" hidden="1">#REF!</definedName>
    <definedName name="BEx1N3CUJ3UX61X38ZAJVPEN4KMC" hidden="1">#REF!</definedName>
    <definedName name="BEx1N3T3LZRNCN6EANABPUHYHPDB" hidden="1">#REF!</definedName>
    <definedName name="BEx1NBLI7QY10RHO2X07E26EAURH" hidden="1">#REF!</definedName>
    <definedName name="BEx1NFCG8AI9NXWO5ROKI6DYZP77" hidden="1">#REF!</definedName>
    <definedName name="BEx1NGUDMHUA590EUE5HV1J7SYFB" hidden="1">#REF!</definedName>
    <definedName name="BEx1NLC8W20XU6X0W1L54OWUA0TD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T4RIIP1DMELF4Z1FL5857FC" hidden="1">#REF!</definedName>
    <definedName name="BEx1NUBX5VUYZFKQH69FN6BTLWCR" hidden="1">#REF!</definedName>
    <definedName name="BEx1NZ4K1L8UON80Y2A4RASKWGNP" hidden="1">#REF!</definedName>
    <definedName name="BEx1O0XA02OXBEY6AAS94L6P1KSR" hidden="1">#REF!</definedName>
    <definedName name="BEx1OJI8JVK714RYL6BMLDIIIDT6" hidden="1">#REF!</definedName>
    <definedName name="BEx1OLAZ915OGYWP0QP1QQWDLCRX" hidden="1">#REF!</definedName>
    <definedName name="BEx1OO5ER042IS6IC4TLDI75JNVH" hidden="1">#REF!</definedName>
    <definedName name="BEx1OOR001QQHA1JI6BKAR5STI3G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4S5Y4X1AG5YL9DS164978PB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R415U01RF514LC24LSXZ46E" hidden="1">#REF!</definedName>
    <definedName name="BEx1PXUPD5XRUU2SPVGZCRNTWS98" hidden="1">#REF!</definedName>
    <definedName name="BEx1Q98RTF7C43OJYXC9Z969SCQR" hidden="1">#REF!</definedName>
    <definedName name="BEx1Q9ZMIWL60Y1MHEY6PFS7WZ57" hidden="1">#REF!</definedName>
    <definedName name="BEx1QA54J2A4I7IBQR19BTY28ZMR" hidden="1">#REF!</definedName>
    <definedName name="BEx1QAL7W7TJL5PAAUBWS5TK25K9" hidden="1">#REF!</definedName>
    <definedName name="BEx1QE1DSP0XICYEHLJK7OH3MFTK" hidden="1">#REF!</definedName>
    <definedName name="BEx1QIU02UKQDRQO4JFJQTQPA9M2" hidden="1">#REF!</definedName>
    <definedName name="BEx1QMQAHG3KQUK59DVM68SWKZIZ" hidden="1">#REF!</definedName>
    <definedName name="BEx1QOTTD8A7ZISZKTC3BOOVKWEN" hidden="1">#REF!</definedName>
    <definedName name="BEx1QT663FH68J54ZW0WTHX0X2RD" hidden="1">#REF!</definedName>
    <definedName name="BEx1R02C8KNH9YXA8P430NC2J4P0" hidden="1">#REF!</definedName>
    <definedName name="BEx1R9YFKJCMSEST8OVCAO5E47FO" hidden="1">#REF!</definedName>
    <definedName name="BEx1RBGC06B3T52OIC0EQ1KGVP1I" hidden="1">#REF!</definedName>
    <definedName name="BEx1RE5GA4GVJMYCB37NVECGEXDU" hidden="1">#REF!</definedName>
    <definedName name="BEx1RRC7X4NI1CU4EO5XYE2GVARJ" hidden="1">#REF!</definedName>
    <definedName name="BEx1RZA1NCGT832L7EMR7GMF588W" hidden="1">#REF!</definedName>
    <definedName name="BEx1S0MOOGSSYT24R5GZFG5GMGFR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QJWS9SLWR7R8NDHTMEJYCRX" hidden="1">#REF!</definedName>
    <definedName name="BEx1SSNEZINBJT29QVS62VS1THT4" hidden="1">#REF!</definedName>
    <definedName name="BEx1SVNCHNANBJIDIQVB8AFK4HAN" hidden="1">#REF!</definedName>
    <definedName name="BEx1T7SCX7KK0ROG334AKM67Y8WU" hidden="1">#REF!</definedName>
    <definedName name="BEx1TJ0WLS9O7KNSGIPWTYHDYI1D" hidden="1">#REF!</definedName>
    <definedName name="BEx1TNO2IO4WCJDUDG1OJ46J8Q2E" hidden="1">#REF!</definedName>
    <definedName name="BEx1TNTKITTEKOJ5Q0RUF0799ZG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JAH23BQ1OPK3MI4VBJ46UM5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7PQWR87KEE3096ERDSVXPVI" hidden="1">#REF!</definedName>
    <definedName name="BEx1VBGIG98RWDVQC8KI8JJ8C3D2" hidden="1">#REF!</definedName>
    <definedName name="BEx1VIY9SQLRESD11CC4PHYT0XSG" hidden="1">#REF!</definedName>
    <definedName name="BEx1VLI22AFASIG0KTIN4DSQYZ31" hidden="1">#REF!</definedName>
    <definedName name="BEx1VQQSAALYAAZBX7G4EDF16965" hidden="1">#REF!</definedName>
    <definedName name="BEx1VQQSB5BKTBE7EAFXSN31CNVX" hidden="1">#REF!</definedName>
    <definedName name="BEx1VZ4WL5YDF538HYWLHGT47Y29" hidden="1">#REF!</definedName>
    <definedName name="BEx1W0C2UIBJKOAQI448YFB50IVN" hidden="1">#REF!</definedName>
    <definedName name="BEx1W8FDLOFGE28JXY6J54MICRMP" hidden="1">#REF!</definedName>
    <definedName name="BEx1WC67EH10SC38QWX3WEA5KH3A" hidden="1">#REF!</definedName>
    <definedName name="BEx1WDO53ZG95BCDDJH20QVTZIEM" hidden="1">#REF!</definedName>
    <definedName name="BEx1WGYTKZZIPM1577W5FEYKFH3V" hidden="1">#REF!</definedName>
    <definedName name="BEx1WHPURIV3D3PTJJ359H1OP7ZV" hidden="1">#REF!</definedName>
    <definedName name="BEx1WJ7T3FUN3TGXSNDT2KP9KH5H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09CIHOI0L84XXCKC501H1F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3QU07GK7I7KLROCFBELK7NH" hidden="1">#REF!</definedName>
    <definedName name="BEx1XBU5PQ8WK88PF01RLPGZZ0LS" hidden="1">#REF!</definedName>
    <definedName name="BEx1XK88VUIWXZXIPOBBZ5KRBG1G" hidden="1">#REF!</definedName>
    <definedName name="BEx1XK8AAMO0AH0Z1OUKW30CA7EQ" hidden="1">#REF!</definedName>
    <definedName name="BEx1XL4MZ7C80495GHQRWOBS16PQ" hidden="1">#REF!</definedName>
    <definedName name="BEx1XMXC7NOYSDFYC1AX7IRVAAYJ" hidden="1">#REF!</definedName>
    <definedName name="BEx1XN86QZPXEC2550TP8XT6SWZX" hidden="1">#REF!</definedName>
    <definedName name="BEx1XS69VHGAFK1U7R3Z4ZOMOQ99" hidden="1">#REF!</definedName>
    <definedName name="BEx1Y2IGS2K95E1M51PEF9KJZ0KB" hidden="1">#REF!</definedName>
    <definedName name="BEx1Y3PKK83X2FN9SAALFHOWKMRQ" hidden="1">#REF!</definedName>
    <definedName name="BEx1YKHSW5HDSZLEI6ETN0XC509V" hidden="1">#REF!</definedName>
    <definedName name="BEx1YL3DJ7Y4AZ01ERCOGW0FJ26T" hidden="1">#REF!</definedName>
    <definedName name="BEx1Z2RYHSVD1H37817SN93VMURZ" hidden="1">#REF!</definedName>
    <definedName name="BEx3AA068J0Q7L1AX6FXQG5JY79X" hidden="1">#REF!</definedName>
    <definedName name="BEx3AFP6LM29JBLHY7AK3FU2CF05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D9NRTF9RY8TVB3FQTL8BIY9" hidden="1">#REF!</definedName>
    <definedName name="BEx3BKGKUZQ18U15WRBWHN6233U0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5ACPKV4XIAY0LO077TCRNLJ" hidden="1">#REF!</definedName>
    <definedName name="BEx3CAJ8G9WBIZZ0GB1MLMXS9B7A" hidden="1">#REF!</definedName>
    <definedName name="BEx3CBKXPIN2XM7QJNI7O0MB70AR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35KVB55GTY44YX4O9YGEVQI" hidden="1">#REF!</definedName>
    <definedName name="BEx3D8ULSG8C08VQAD40VINZU17N" hidden="1">#REF!</definedName>
    <definedName name="BEx3D9G6QTSPF9UYI4X0XY0VE896" hidden="1">#REF!</definedName>
    <definedName name="BEx3DCQU9PBRXIMLO62KS5RLH447" hidden="1">#REF!</definedName>
    <definedName name="BEx3DJ6YI6JKY7OMUIPWA2Y8SVY0" hidden="1">#REF!</definedName>
    <definedName name="BEx3DLQKR49Z4D9XZ99U1I2PGBTJ" hidden="1">#REF!</definedName>
    <definedName name="BEx3DRQBJ8U0WELJD60GESGXXCWE" hidden="1">#REF!</definedName>
    <definedName name="BEx3E22INXU2VKWET4AVSBR8WAD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QY1DLE7G1BN4GY27QI7C7L8" hidden="1">#REF!</definedName>
    <definedName name="BEx3ESQS1GY0FO40AST1DRB3V34H" hidden="1">#REF!</definedName>
    <definedName name="BEx3ETXYL9NIO9QIQCY7GOZ2AZKQ" hidden="1">#REF!</definedName>
    <definedName name="BEx3EUUAX947Q5N6MY6W0KSNY78Y" hidden="1">#REF!</definedName>
    <definedName name="BEx3FAVIHSZFBLRSV902Y5EPLRMO" hidden="1">#REF!</definedName>
    <definedName name="BEx3FG4DPAPTA9PM2Q6BMWI6BIHV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1P9I1WRW6LME6C5H6ZH4L1Y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48UQAGLYD99AF9A3IGDT2T1" hidden="1">#REF!</definedName>
    <definedName name="BEx3G8FY85SUKO01ZJQZYO51EA75" hidden="1">#REF!</definedName>
    <definedName name="BEx3GCXR6IAS0B6WJ03GJVH7CO52" hidden="1">#REF!</definedName>
    <definedName name="BEx3GDZH5KHUU0C7RY1PDVGKTH8E" hidden="1">#REF!</definedName>
    <definedName name="BEx3GEVV18SEQDI1JGY7EN6D1GT1" hidden="1">#REF!</definedName>
    <definedName name="BEx3GF1A9Z0Q5MUQDFU8JH2E1JPU" hidden="1">#REF!</definedName>
    <definedName name="BEx3GIXKVTPRJ2I7S9ZPSJJMM7EK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Q9V1DONRHIKU8HGIPUP1EGT" hidden="1">#REF!</definedName>
    <definedName name="BEx3GTVBP0SQ2C1ZF7G4XC3R9Z3U" hidden="1">#REF!</definedName>
    <definedName name="BEx3H5UX2GZFZZT657YR76RHW5I6" hidden="1">#REF!</definedName>
    <definedName name="BEx3HDSWKZ9CAV9XP5P4YZQ15NOR" hidden="1">#REF!</definedName>
    <definedName name="BEx3HDY85L7O9GK3ZPO4J1PK99HG" hidden="1">#REF!</definedName>
    <definedName name="BEx3HFAPF9SW3NXAF7CUFKCEN6RN" hidden="1">#REF!</definedName>
    <definedName name="BEx3HMSEFOP6DBM4R97XA6B7NFG6" hidden="1">#REF!</definedName>
    <definedName name="BEx3HWJ5SQSD2CVCQNR183X44FR8" hidden="1">#REF!</definedName>
    <definedName name="BEx3HWOHGRO4958LGM9QWMISBX1G" hidden="1">#REF!</definedName>
    <definedName name="BEx3I09YVXO0G4X7KGSA4WGORM35" hidden="1">#REF!</definedName>
    <definedName name="BEx3ICF1GY8HQEBIU9S43PDJ90BX" hidden="1">#REF!</definedName>
    <definedName name="BEx3ILEKEA0JIWE2XA89LRC4TAVL" hidden="1">#REF!</definedName>
    <definedName name="BEx3IMLPLFDY04Z6ON69TCWA33TL" hidden="1">#REF!</definedName>
    <definedName name="BEx3IRZXHFFMJ4JYWXW3L5WCPU35" hidden="1">#REF!</definedName>
    <definedName name="BEx3IWN8YPN2XHSCISQB9608ZLOD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2XUDDF0SSPYVBJC3N2BVRNR" hidden="1">#REF!</definedName>
    <definedName name="BEx3JC2TY7JNAAC3L7QHVPQXLGQ8" hidden="1">#REF!</definedName>
    <definedName name="BEx3JCTW6I1MLO86A48POMYYAHFG" hidden="1">#REF!</definedName>
    <definedName name="BEx3JEH50MB21RB2BQ9XJ2O6W9WR" hidden="1">#REF!</definedName>
    <definedName name="BEx3JEMMVFZRWZVTLJV5ZNRNTKML" hidden="1">#REF!</definedName>
    <definedName name="BEx3JKX74HXRZYV9TCSS3VTUF9OI" hidden="1">#REF!</definedName>
    <definedName name="BEx3JWB8EIB42E4QPNP0F6ZKJHSM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JZAXL8KNT6BS2DKSBQW8WFTT" hidden="1">#REF!</definedName>
    <definedName name="BEx3K3NHKFIHVRC86TI4Q6690VG7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1O14SOHFVUT0K21YGM4NQ97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9WT886UPC0M8AH5Y82YAB1H" hidden="1">#REF!</definedName>
    <definedName name="BEx3LDYESPNOPEHMIAP1JD9SXSVO" hidden="1">#REF!</definedName>
    <definedName name="BEx3LLWEDKHM8N2AVWMWFPSP2UK1" hidden="1">#REF!</definedName>
    <definedName name="BEx3LM1PR4Y7KINKMTMKR984GX8Q" hidden="1">#REF!</definedName>
    <definedName name="BEx3LO58VGD4P8WE0EH1P1HI22Q0" hidden="1">#REF!</definedName>
    <definedName name="BEx3LPCEZ1C0XEKNCM3YT09JWCUO" hidden="1">#REF!</definedName>
    <definedName name="BEx3LRQPBEYUQ8NMLL8AOZ2SXLOI" hidden="1">#REF!</definedName>
    <definedName name="BEx3M1MR1K1NQD03H74BFWOK4MWQ" hidden="1">#REF!</definedName>
    <definedName name="BEx3M3QAC29GM1JGYYSUJ0OOCC1T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MW1VHR8JIAS5J58XQ0CC4L8U" hidden="1">#REF!</definedName>
    <definedName name="BEx3MYAU29R6HNLUQUJRQ7SX3C11" hidden="1">#REF!</definedName>
    <definedName name="BEx3MZ779MFAOQVF0S3HQMWA63EH" hidden="1">#REF!</definedName>
    <definedName name="BEx3MZCK2TQU3EV09I5RZF2R73EO" hidden="1">#REF!</definedName>
    <definedName name="BEx3N0JO0J04KMVUV9JOLL1SZDTD" hidden="1">#REF!</definedName>
    <definedName name="BEx3N51IHA88UXRPEENI44P0KP7U" hidden="1">#REF!</definedName>
    <definedName name="BEx3N7FW0O3BI5FG5H3TN8ESSC61" hidden="1">#REF!</definedName>
    <definedName name="BEx3N7VYL8CCBFTRFOA6W3BWAQJ0" hidden="1">#REF!</definedName>
    <definedName name="BEx3NGQBMTR6D673JA2QDBRVA7MH" hidden="1">#REF!</definedName>
    <definedName name="BEx3NJQ8GF213C1B50LCHXT73T13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WBEMHEC4Z4IDIBEGWF2PGZI" hidden="1">#REF!</definedName>
    <definedName name="BEx3O19B8FTTAPVT5DZXQGQXWFR8" hidden="1">#REF!</definedName>
    <definedName name="BEx3O85IKWARA6NCJOLRBRJFMEWW" hidden="1">#REF!</definedName>
    <definedName name="BEx3OC1RFT0AUM6ZVZ2QEMXSACYX" hidden="1">#REF!</definedName>
    <definedName name="BEx3OJZSCGFRW7SVGBFI0X9DNVMM" hidden="1">#REF!</definedName>
    <definedName name="BEx3OK52KF0ZN0UNH7PQNFY5EL9Q" hidden="1">#REF!</definedName>
    <definedName name="BEx3OK5349EJ2XRYXV7W13YG9FSL" hidden="1">#REF!</definedName>
    <definedName name="BEx3ORSBUXAF21MKEY90YJV9AY9A" hidden="1">#REF!</definedName>
    <definedName name="BEx3OSDPC76YELEXOE4HPHR08Z63" hidden="1">#REF!</definedName>
    <definedName name="BEx3OV8BH6PYNZT7C246LOAU9SVX" hidden="1">#REF!</definedName>
    <definedName name="BEx3OXRYJZUEY6E72UJU0PHLMYAR" hidden="1">#REF!</definedName>
    <definedName name="BEx3P54EFPJ9XERKXPZGLNSLQXCN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H99MLZU1LB38QDL3NELDJBG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PNDD7L6SUISGSI2D375NSCH" hidden="1">#REF!</definedName>
    <definedName name="BEx3PQZZ6L9TOCDKNGIDPO8Y2G54" hidden="1">#REF!</definedName>
    <definedName name="BEx3PRAT0YL1VKIRNYLQCVT869DK" hidden="1">#REF!</definedName>
    <definedName name="BEx3PVXYZC8WB9ZJE7OCKUXZ46EA" hidden="1">#REF!</definedName>
    <definedName name="BEx3PZ35JLZO567SMQRNZJ6Q9NF3" hidden="1">#REF!</definedName>
    <definedName name="BEx3Q0VWPU5EQECK7MQ47TYJ3SWW" hidden="1">#REF!</definedName>
    <definedName name="BEx3Q3QHHJB3PUJIXDIL8G6EHCRE" hidden="1">#REF!</definedName>
    <definedName name="BEx3Q7BZ9PUXK2RLIOFSIS9AHU1B" hidden="1">#REF!</definedName>
    <definedName name="BEx3Q8J42S9VU6EAN2Y28MR6DF88" hidden="1">#REF!</definedName>
    <definedName name="BEx3Q9QA35ZVN9VVHN81BBIVN881" hidden="1">#REF!</definedName>
    <definedName name="BEx3QBJ0YXRRGSW4AVSYQPQPDFE1" hidden="1">#REF!</definedName>
    <definedName name="BEx3QD0XYUEL1G6J200V2STCORG5" hidden="1">#REF!</definedName>
    <definedName name="BEx3QE2UJ7SI6NR0NECIBPO60RF4" hidden="1">#REF!</definedName>
    <definedName name="BEx3QEDFOYFY5NBTININ5W4RLD4Q" hidden="1">#REF!</definedName>
    <definedName name="BEx3QH2K40ZZFYJES4QCRY78Q560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WYF44FTP502QSCB1DYIKUC4" hidden="1">#REF!</definedName>
    <definedName name="BEx3R0JUB9YN8PHPPQTAMIT1IHWK" hidden="1">#REF!</definedName>
    <definedName name="BEx3R2NF1F12I3W4069NEH9S0369" hidden="1">#REF!</definedName>
    <definedName name="BEx3R4G4ZWHFX4R3D0VF6T6RRWGB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SFBB83TAKX7N3F394TT3RW4" hidden="1">#REF!</definedName>
    <definedName name="BEx3RV4E1WT43SZBUN09RTB8EK1O" hidden="1">#REF!</definedName>
    <definedName name="BEx3RXYU0QLFXSFTM5EB20GD03W5" hidden="1">#REF!</definedName>
    <definedName name="BEx3RYF2NU2FNFY1930OXBT2MSJP" hidden="1">#REF!</definedName>
    <definedName name="BEx3RYKLC3QQO3XTUN7BEW2AQL98" hidden="1">#REF!</definedName>
    <definedName name="BEx3S2WXUEQA8PLX4U6G9LJB63ZN" hidden="1">#REF!</definedName>
    <definedName name="BEx3SFY8VLXV9TL7QG44XOU5DVZS" hidden="1">#REF!</definedName>
    <definedName name="BEx3SICJ45BYT6FHBER86PJT25FC" hidden="1">#REF!</definedName>
    <definedName name="BEx3SL1NUYCLQWKW8EFSFZGONHKE" hidden="1">#REF!</definedName>
    <definedName name="BEx3SMUCMJVGQ2H4EHQI5ZFHEF0P" hidden="1">#REF!</definedName>
    <definedName name="BEx3SN56F03CPDRDA7LZ763V0N4I" hidden="1">#REF!</definedName>
    <definedName name="BEx3SOXVLJBCOQNLKSGIGBZAC32S" hidden="1">#REF!</definedName>
    <definedName name="BEx3SPE6N1ORXPRCDL3JPZD73Z9F" hidden="1">#REF!</definedName>
    <definedName name="BEx3ST4Y5OZXSIK7V846SMFT5B23" hidden="1">#REF!</definedName>
    <definedName name="BEx3SWQG9ED1M1Q5D63K0HZ15GQG" hidden="1">#REF!</definedName>
    <definedName name="BEx3T29ZTULQE0OMSMWUMZDU9ZZ0" hidden="1">#REF!</definedName>
    <definedName name="BEx3T6MJ1QDJ929WMUDVZ0O3UW0Y" hidden="1">#REF!</definedName>
    <definedName name="BEx3T6XA06W5PDL3J3C59OSF18KL" hidden="1">#REF!</definedName>
    <definedName name="BEx3TEPSM88IET8PDLKKCHMFEMFM" hidden="1">#REF!</definedName>
    <definedName name="BEx3TO09F9SV99SJXCUC1B49RVCJ" hidden="1">#REF!</definedName>
    <definedName name="BEx3TPCSI16OAB2L9M9IULQMQ9J9" hidden="1">#REF!</definedName>
    <definedName name="BEx3TUQZCHAXD4MM0OLGOWYMN0J2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BQWUJW9KX0PXKZ4TRHMR71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6EJO8BG91O9M5DVBLNPDBKG" hidden="1">#REF!</definedName>
    <definedName name="BEx3VCZXMYLKJWK6Q10VYKIDKFJ3" hidden="1">#REF!</definedName>
    <definedName name="BEx3VML7CG70HPISMVYIUEN3711Q" hidden="1">#REF!</definedName>
    <definedName name="BEx56ZID5H04P9AIYLP1OASFGV56" hidden="1">#REF!</definedName>
    <definedName name="BEx573EMJDD1L60W5E2GXRG9XXFD" hidden="1">#REF!</definedName>
    <definedName name="BEx5802QAJKNHFBFPTR0PSRHQPJE" hidden="1">#REF!</definedName>
    <definedName name="BEx587EYSS57E3PI8DT973HLJM9E" hidden="1">#REF!</definedName>
    <definedName name="BEx587KFQ3VKCOCY1SA5F24PQGUI" hidden="1">#REF!</definedName>
    <definedName name="BEx58F28454SMMFTA72CB6PADG1E" hidden="1">#REF!</definedName>
    <definedName name="BEx58O780PQ05NF0Z1SKKRB3N099" hidden="1">#REF!</definedName>
    <definedName name="BEx58RHXCGDUV7Y7JXBWTWOGD309" hidden="1">#REF!</definedName>
    <definedName name="BEx58XHO7ZULLF2EUD7YIS0MGQJ5" hidden="1">#REF!</definedName>
    <definedName name="BEx58ZW0HAIGIPEX9CVA1PQQTR6X" hidden="1">#REF!</definedName>
    <definedName name="BEx591ZJ14LAJI4Q8DU3CQQBHZDV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9WPJZYWUOEGJHPOVM5ETCM6G" hidden="1">#REF!</definedName>
    <definedName name="BEx59XLR6HSN08ZCMXTIMT5ABIHH" hidden="1">#REF!</definedName>
    <definedName name="BEx59XR8CZTGX2SJDWNNG9ZEECJC" hidden="1">#REF!</definedName>
    <definedName name="BEx5A11WZRQSIE089QE119AOX9ZG" hidden="1">#REF!</definedName>
    <definedName name="BEx5A53I4OI80LV9DRIR9EFD2XUD" hidden="1">#REF!</definedName>
    <definedName name="BEx5A7CIGCOTHJKHGUBDZG91JGPZ" hidden="1">#REF!</definedName>
    <definedName name="BEx5A83D86JGVTB230IW8JEDC6EV" hidden="1">#REF!</definedName>
    <definedName name="BEx5A8UFLT2SWVSG5COFA9B8P376" hidden="1">#REF!</definedName>
    <definedName name="BEx5ABJJGLV9AGRHFGKSG4UMUH89" hidden="1">#REF!</definedName>
    <definedName name="BEx5ACAHJPLAS35SPSXQ88PJYGPI" hidden="1">#REF!</definedName>
    <definedName name="BEx5AFFTN3IXIBHDKM0FYC4OFL1S" hidden="1">#REF!</definedName>
    <definedName name="BEx5ANDOOW91YBCYUL4H4JOJKCSS" hidden="1">#REF!</definedName>
    <definedName name="BEx5AOFIO8KVRHIZ1RII337AA8ML" hidden="1">#REF!</definedName>
    <definedName name="BEx5APRZ66L5BWHFE8E4YYNEDTI4" hidden="1">#REF!</definedName>
    <definedName name="BEx5ARQ6V82KDMN77WT0B1AK7B5S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644DHNCXDT096LOD1I8XW1E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IJT0GSA18BARMGUWARBIHI2" hidden="1">#REF!</definedName>
    <definedName name="BEx5BKSM4UN4C1DM3EYKM79MRC5K" hidden="1">#REF!</definedName>
    <definedName name="BEx5BNN8NPH9KVOBARB9CDD9WLB6" hidden="1">#REF!</definedName>
    <definedName name="BEx5BPFZC81N5D9YW372Y4RWM8K5" hidden="1">#REF!</definedName>
    <definedName name="BEx5BQCBF8WN0RNZR67YELIS9WI1" hidden="1">#REF!</definedName>
    <definedName name="BEx5BQN48A0P0HALA6YWGQLFIY7R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NR9ZYFH7VDST1YKR6JOAOVD" hidden="1">#REF!</definedName>
    <definedName name="BEx5CPEKNSJORIPFQC2E1LTRYY8L" hidden="1">#REF!</definedName>
    <definedName name="BEx5CQR6PPHZ1S1UI8J4XM1TRDYC" hidden="1">#REF!</definedName>
    <definedName name="BEx5CSUOL05D8PAM2TRDA9VRJT1O" hidden="1">#REF!</definedName>
    <definedName name="BEx5CUNFOO4YDFJ22HCMI2QKIGKM" hidden="1">#REF!</definedName>
    <definedName name="BEx5CZW73ZM9F4I2MLDCJT2FM32W" hidden="1">#REF!</definedName>
    <definedName name="BEx5D3N573D1HW8OOX5YEWZCG78A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DOIFHW5ZM7M41WGIF8MKIHH" hidden="1">#REF!</definedName>
    <definedName name="BEx5DDOJEWZZDCDJSJ2W8C4LAIGV" hidden="1">#REF!</definedName>
    <definedName name="BEx5DJIZBTNS011R9IIG2OQ2L6ZX" hidden="1">#REF!</definedName>
    <definedName name="BEx5DNQ0GK69ZMMT7A2MMMLQEHYD" hidden="1">#REF!</definedName>
    <definedName name="BEx5DWPPU2PVC2DHIOIV387ESQOO" hidden="1">#REF!</definedName>
    <definedName name="BEx5E00GGBWUZ89SLG7FFG0951PT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EZ2ORDJQSTT4KQMZALOFR80B" hidden="1">#REF!</definedName>
    <definedName name="BEx5F10V3ZFY9L7U6ELSYL80UZNM" hidden="1">#REF!</definedName>
    <definedName name="BEx5F6V72QTCK7O39Y59R0EVM6CW" hidden="1">#REF!</definedName>
    <definedName name="BEx5FBYLS262LCXDTD0TSA0CGMB7" hidden="1">#REF!</definedName>
    <definedName name="BEx5FGLQVACD5F5YZG4DGSCHCGO2" hidden="1">#REF!</definedName>
    <definedName name="BEx5FGR7YST9UWW32VFER0W4LEF2" hidden="1">#REF!</definedName>
    <definedName name="BEx5FLJWHLW3BTZILDPN5NMA449V" hidden="1">#REF!</definedName>
    <definedName name="BEx5FMLJBDBIZ2JLKY8V3YGVWUAK" hidden="1">#REF!</definedName>
    <definedName name="BEx5FNI2O10YN2SI1NO4X5GP3GTF" hidden="1">#REF!</definedName>
    <definedName name="BEx5FO8YRFSZCG3L608EHIHIHFY4" hidden="1">#REF!</definedName>
    <definedName name="BEx5FOE9NAQZ5EQPVHJN3HR4HDUQ" hidden="1">#REF!</definedName>
    <definedName name="BEx5FQNA6V4CNYSH013K45RI4BCV" hidden="1">#REF!</definedName>
    <definedName name="BEx5FSW55LVAZI956T9XU4KIBELE" hidden="1">#REF!</definedName>
    <definedName name="BEx5FTCEIIRM9OOPXK6PB2KJSLTA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8H70AOIQNK90C2VU5BAF8TV" hidden="1">#REF!</definedName>
    <definedName name="BEx5G9DKPCV59TQKZUQEJH6B3ET6" hidden="1">#REF!</definedName>
    <definedName name="BEx5GE66YNPSS5MSPTBXLYLNUHSJ" hidden="1">#REF!</definedName>
    <definedName name="BEx5GID9MVBUPFFT9M8K8B5MO9NV" hidden="1">#REF!</definedName>
    <definedName name="BEx5GIIR1WLMIBRROOLL67ZQSI4B" hidden="1">#REF!</definedName>
    <definedName name="BEx5GL2CVWMY3S947ALVPBQG1W21" hidden="1">#REF!</definedName>
    <definedName name="BEx5GN0EWA9SCQDPQ7NTUQH82QVK" hidden="1">#REF!</definedName>
    <definedName name="BEx5GNBCU4WZ74I0UXFL9ZG2XSGJ" hidden="1">#REF!</definedName>
    <definedName name="BEx5GT5PB17R2GKX3F4H7WWN4M94" hidden="1">#REF!</definedName>
    <definedName name="BEx5GUCTYC7QCWGWU5BTO7Y7HDZX" hidden="1">#REF!</definedName>
    <definedName name="BEx5GYUPJULJQ624TEESYFG1NFOH" hidden="1">#REF!</definedName>
    <definedName name="BEx5GZR2KDETMC7ZPNE1YU6YELWI" hidden="1">#REF!</definedName>
    <definedName name="BEx5H0NEE0AIN5E2UHJ9J9ISU9N1" hidden="1">#REF!</definedName>
    <definedName name="BEx5H1UJSEUQM2K8QHQXO5THVHSO" hidden="1">#REF!</definedName>
    <definedName name="BEx5H2WFSII73OJ41QGRAZ28JO53" hidden="1">#REF!</definedName>
    <definedName name="BEx5H6SQ0X9MQABBBZEX2WPDK3P1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8H7H6MACU4XJUGDYZE8ZNB" hidden="1">#REF!</definedName>
    <definedName name="BEx5HGDZ7MX1S3KNXLRL9WU565V4" hidden="1">#REF!</definedName>
    <definedName name="BEx5HI6K2KWLQDIH7AT0Z8NUE9B4" hidden="1">#REF!</definedName>
    <definedName name="BEx5HJZ9FAVNZSSBTAYRPZDYM9NU" hidden="1">#REF!</definedName>
    <definedName name="BEx5HWPWO8NFKN6YK8VG85H6QPZW" hidden="1">#REF!</definedName>
    <definedName name="BEx5HZ9JMKHNLFWLVUB1WP5B39BL" hidden="1">#REF!</definedName>
    <definedName name="BEx5I244LQHZTF3XI66J8705R9XX" hidden="1">#REF!</definedName>
    <definedName name="BEx5I3B4OHOD6SAPLK3PZDRO1GYC" hidden="1">#REF!</definedName>
    <definedName name="BEx5I4CZWURJPJZH95QO8E7MXFWV" hidden="1">#REF!</definedName>
    <definedName name="BEx5I60DN9B8P7SN9X30WAP29Z8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H3FSBFQNCPQLNA3NWT41MJ2" hidden="1">#REF!</definedName>
    <definedName name="BEx5IOAEIT5HDPCR7U7935D5HIFA" hidden="1">#REF!</definedName>
    <definedName name="BEx5IPC8KXCB03VKYOM2GSWFOBPD" hidden="1">#REF!</definedName>
    <definedName name="BEx5IUL00O5YR92C0FE4WLQL3YUS" hidden="1">#REF!</definedName>
    <definedName name="BEx5J0FFP1KS4NGY20AEJI8VREEA" hidden="1">#REF!</definedName>
    <definedName name="BEx5JENVO7X0TBQGRMGKRTMFB470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P02DZ97IB62ITCKG1MMWBKN" hidden="1">#REF!</definedName>
    <definedName name="BEx5JQCNT9Y4RM306CHC8IPY3HBZ" hidden="1">#REF!</definedName>
    <definedName name="BEx5JR91NO6ECBKQUI7KBAUHVWQY" hidden="1">#REF!</definedName>
    <definedName name="BEx5JTHW7OW4QTNV5XZ3NC20LDLF" hidden="1">#REF!</definedName>
    <definedName name="BEx5K08PYKE6JOKBYIB006TX619P" hidden="1">#REF!</definedName>
    <definedName name="BEx5K1AG3DZWII4W8D1G9ZU50A3N" hidden="1">#REF!</definedName>
    <definedName name="BEx5K1AKPNBF18M8BS3MHI13PF7R" hidden="1">#REF!</definedName>
    <definedName name="BEx5K21HQCDNYPG2QWFOVS99PE4A" hidden="1">#REF!</definedName>
    <definedName name="BEx5K4ACPQ4EB1EXRJ80FFQV31A3" hidden="1">#REF!</definedName>
    <definedName name="BEx5K51DSERT1TR7B4A29R41W4NX" hidden="1">#REF!</definedName>
    <definedName name="BEx5KCJ4JCAHU2E4LCLVKFWL64CX" hidden="1">#REF!</definedName>
    <definedName name="BEx5KKBNW1S4HL0W19BXZ6UJQA20" hidden="1">#REF!</definedName>
    <definedName name="BEx5KM9PJMIQFJSBANJO5FVW3Z28" hidden="1">#REF!</definedName>
    <definedName name="BEx5KOO1FHA4BJJBZGOZKTK8PRRN" hidden="1">#REF!</definedName>
    <definedName name="BEx5KRIL3PFC9PIM7NQWA09TEQWG" hidden="1">#REF!</definedName>
    <definedName name="BEx5KVUYSONJRYO5MIWF1U7K863Q" hidden="1">#REF!</definedName>
    <definedName name="BEx5KYER580I4T7WTLMUN7NLNP5K" hidden="1">#REF!</definedName>
    <definedName name="BEx5L0CTG9OVKWSF9HJPMFFG6VG4" hidden="1">#REF!</definedName>
    <definedName name="BEx5LHLB3M6K4ZKY2F42QBZT30ZH" hidden="1">#REF!</definedName>
    <definedName name="BEx5LJ32Q6169D6QIKGKWODDXPI7" hidden="1">#REF!</definedName>
    <definedName name="BEx5LOMT0MGAYITE0UK5Z179FILN" hidden="1">#REF!</definedName>
    <definedName name="BEx5LPTXXQTUM6ZMPERCU3QDSRRZ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LWQ2YRWKLHNPUOX7A77685LZ" hidden="1">#REF!</definedName>
    <definedName name="BEx5LYO5AGM9ICPKZBV7EN03XYO9" hidden="1">#REF!</definedName>
    <definedName name="BEx5M728XV1SVYOJQXJU72XP0DBG" hidden="1">#REF!</definedName>
    <definedName name="BEx5M7T5JER9G2MLDH3G50GCW8PO" hidden="1">#REF!</definedName>
    <definedName name="BEx5MAIGJD3C3AO0RGLKRTEZBVUE" hidden="1">#REF!</definedName>
    <definedName name="BEx5MB9BR71LZDG7XXQ2EO58JC5F" hidden="1">#REF!</definedName>
    <definedName name="BEx5MJSWQ04VS8WFHCZXYA7ZWU81" hidden="1">#REF!</definedName>
    <definedName name="BEx5MLQZM68YQSKARVWTTPINFQ2C" hidden="1">#REF!</definedName>
    <definedName name="BEx5MUVXKZ2GY6M3GCJI9NE86240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T79TGO4TN63IUFUFBCG8646" hidden="1">#REF!</definedName>
    <definedName name="BEx5NUEM24ZED9VYADF1LHA31YNV" hidden="1">#REF!</definedName>
    <definedName name="BEx5NV06L5J5IMKGOMGKGJ4PBZCD" hidden="1">#REF!</definedName>
    <definedName name="BEx5NVR29EY32DQ9L9IYPCUXMIGX" hidden="1">#REF!</definedName>
    <definedName name="BEx5NZSSQ6PY99ZX2D7Q9IGOR34W" hidden="1">#REF!</definedName>
    <definedName name="BEx5O3ZUQ2OARA1CDOZ3NC4UE5AA" hidden="1">#REF!</definedName>
    <definedName name="BEx5O752ZSMU5A1K7R3GF8FLUT6G" hidden="1">#REF!</definedName>
    <definedName name="BEx5OAFS0NJ2CB86A02E1JYHMLQ1" hidden="1">#REF!</definedName>
    <definedName name="BEx5OD4VVVPOQRG1SR7I4YH7515J" hidden="1">#REF!</definedName>
    <definedName name="BEx5OG4RPU8W1ETWDWM234NYYYEN" hidden="1">#REF!</definedName>
    <definedName name="BEx5OHXI4R617RH4NY6VKOI4ZRA2" hidden="1">#REF!</definedName>
    <definedName name="BEx5OL87PVSZSDHUK8KZBXSXHK2L" hidden="1">#REF!</definedName>
    <definedName name="BEx5OMQ5LDAY5FF7WW7CJUKLODOC" hidden="1">#REF!</definedName>
    <definedName name="BEx5OP9Y43F99O2IT69MKCCXGL61" hidden="1">#REF!</definedName>
    <definedName name="BEx5OQGWT4VH1APVZB9E9589DK8G" hidden="1">#REF!</definedName>
    <definedName name="BEx5OXIKDIYQDT89AL1I005KPLFQ" hidden="1">#REF!</definedName>
    <definedName name="BEx5OYV25ZIKDL76PQVUC5E4JYEU" hidden="1">#REF!</definedName>
    <definedName name="BEx5P49A5EHHAP2F0T18JHGN7OWN" hidden="1">#REF!</definedName>
    <definedName name="BEx5P6CTC2FLL1EKNAZQOZSUUX0H" hidden="1">#REF!</definedName>
    <definedName name="BEx5P9Y9RDXNUAJ6CZ2LHMM8IM7T" hidden="1">#REF!</definedName>
    <definedName name="BEx5PC1U1IXRUK4YHI87Q1VJX6VR" hidden="1">#REF!</definedName>
    <definedName name="BEx5PHG040UB6SAJGMT6H4JLV2O8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PYJ1M7KNW4566RAPKTK159HP" hidden="1">#REF!</definedName>
    <definedName name="BEx5QGT6ZJDVW73MNRC6IUML0GKF" hidden="1">#REF!</definedName>
    <definedName name="BEx5QHPJZ7GSIWNW560BX3M20ARU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6ZZ73QHTXKD87X7R3HKC2KM" hidden="1">#REF!</definedName>
    <definedName name="BEx74ESIB9Y8KGETIERMKU5PLCQR" hidden="1">#REF!</definedName>
    <definedName name="BEx74IZJLRUQ03RCK06W91H2260J" hidden="1">#REF!</definedName>
    <definedName name="BEx74Q6H3O7133AWQXWC21MI2UFT" hidden="1">#REF!</definedName>
    <definedName name="BEx74VQ13WWFF7F4YJARCDD9EBVW" hidden="1">#REF!</definedName>
    <definedName name="BEx74W6BJ0QU2PW4VHT7XZMR7PQ4" hidden="1">#REF!</definedName>
    <definedName name="BEx74W6BJ8ENO3J25WNM5H5APKA3" hidden="1">#REF!</definedName>
    <definedName name="BEx755GRRD9BL27YHLH5QWIYLWB7" hidden="1">#REF!</definedName>
    <definedName name="BEx757V4HY4OAGXYAJGM7RJQE3NM" hidden="1">#REF!</definedName>
    <definedName name="BEx7585WW98FH9F1VXWO4W4QZ8N3" hidden="1">#REF!</definedName>
    <definedName name="BEx759D1D5SXS5ELLZVBI0SXYUNF" hidden="1">#REF!</definedName>
    <definedName name="BEx75BGL4B587TM29E78APZYJUTT" hidden="1">#REF!</definedName>
    <definedName name="BEx75GJZSZHUDN6OOAGQYFUDA2LP" hidden="1">#REF!</definedName>
    <definedName name="BEx75HGCCV5K4UCJWYV8EV9AG5YT" hidden="1">#REF!</definedName>
    <definedName name="BEx75II2CZRHTDMOQVP13KH37C5W" hidden="1">#REF!</definedName>
    <definedName name="BEx75MJT47XEWZSLZAG6IUOQKXIX" hidden="1">#REF!</definedName>
    <definedName name="BEx75PZT8TY5P13U978NVBUXKHT4" hidden="1">#REF!</definedName>
    <definedName name="BEx75T55F7GML8V1DMWL26WRT006" hidden="1">#REF!</definedName>
    <definedName name="BEx75UN3YDKI1SZLJFEUMMIJDJRS" hidden="1">#REF!</definedName>
    <definedName name="BEx75VJGR07JY6UUWURQ4PJ29UKC" hidden="1">#REF!</definedName>
    <definedName name="BEx7654M6TOCSCXR4RU508SX3Y61" hidden="1">#REF!</definedName>
    <definedName name="BEx765A28KL05DU9PG2REPK40UX3" hidden="1">#REF!</definedName>
    <definedName name="BEx76J2D5S75LY0VN04GKCKY2VZU" hidden="1">#REF!</definedName>
    <definedName name="BEx76ORDVO3JPYHS7ZYACG0IGEQY" hidden="1">#REF!</definedName>
    <definedName name="BEx76RAZZ249IB2BQO93KZJV07BC" hidden="1">#REF!</definedName>
    <definedName name="BEx76V1XKGBEDZIV9DV1A2YV1JOI" hidden="1">#REF!</definedName>
    <definedName name="BEx76XLQFRMGO7DQWCPG2Q43YBAZ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KJ3KC7NX6O2Z9MCFK28GF2H" hidden="1">#REF!</definedName>
    <definedName name="BEx77OQ625E4LSEXLQEMAZHPDMMC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7VRLF71P2PCE1KQHN8VU725D" hidden="1">#REF!</definedName>
    <definedName name="BEx7809GQOCLHSNH95VOYIX7P1TV" hidden="1">#REF!</definedName>
    <definedName name="BEx780K8XAXUHGVZGZWQ74DK4CI3" hidden="1">#REF!</definedName>
    <definedName name="BEx781GLNL2D88Q5LHGRN7URHPWQ" hidden="1">#REF!</definedName>
    <definedName name="BEx78226TN58UE0CTY98YEDU0LSL" hidden="1">#REF!</definedName>
    <definedName name="BEx7881ZZBWHRAX6W2GY19J8MGEQ" hidden="1">#REF!</definedName>
    <definedName name="BEx78A5IYYCMR88AXOWEFKVY8371" hidden="1">#REF!</definedName>
    <definedName name="BEx78A5JAWI6EMCWJ7AJWGAH8AMJ" hidden="1">#REF!</definedName>
    <definedName name="BEx78F3GOT78AJ95SR18O9ZV95P1" hidden="1">#REF!</definedName>
    <definedName name="BEx78HHRIWDLHQX2LG0HWFRYEL1T" hidden="1">#REF!</definedName>
    <definedName name="BEx78NC9B0MXOMPU98ULH2KX9X4N" hidden="1">#REF!</definedName>
    <definedName name="BEx78NSKC3OQCQ4WQAIZ6JURE7GW" hidden="1">#REF!</definedName>
    <definedName name="BEx78OOPYID4QYC9KQ8TPDG220E4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8X2T7TT6PNRUUE3RQLI8APLC" hidden="1">#REF!</definedName>
    <definedName name="BEx79HB322ZKFWC4SSUV03V4VIML" hidden="1">#REF!</definedName>
    <definedName name="BEx79HRD8NL9EMUOALME68ALFZYA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OUHTDD16ZGGUBH3JDBW1VZ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FXCBZOAH4LTGPGXEYPPVSV3" hidden="1">#REF!</definedName>
    <definedName name="BEx7AIBOGLF1VIQW74KR69AFFLCR" hidden="1">#REF!</definedName>
    <definedName name="BEx7AQV3PGI9EVX19Y61TNZWQD3Z" hidden="1">#REF!</definedName>
    <definedName name="BEx7ASD1I654MEDCO6GGWA95PXSC" hidden="1">#REF!</definedName>
    <definedName name="BEx7ASYMO87QTI4OGS8RP4M3OLYE" hidden="1">#REF!</definedName>
    <definedName name="BEx7AVCX9S5RJP3NSZ4QM4E6ERDT" hidden="1">#REF!</definedName>
    <definedName name="BEx7AVYIGP0930MV5JEBWRYCJN68" hidden="1">#REF!</definedName>
    <definedName name="BEx7AXB0EP7WH114F3US738AYMM6" hidden="1">#REF!</definedName>
    <definedName name="BEx7B11YDBMRZG7EYCKJUO3H1Y6F" hidden="1">#REF!</definedName>
    <definedName name="BEx7B3LKPGMDIE1WTF5ZO95GA2PN" hidden="1">#REF!</definedName>
    <definedName name="BEx7B6LH6917TXOSAAQ6U7HVF018" hidden="1">#REF!</definedName>
    <definedName name="BEx7BIQJ5XHOJHZUAVG3KLP0T1HX" hidden="1">#REF!</definedName>
    <definedName name="BEx7BMHANAPT6QDJEG1HA1TJFBUR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BSZ30YHXA0AT7T8I5411EF2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6Z34CSV7K5BEBP5KBSA4C4Z" hidden="1">#REF!</definedName>
    <definedName name="BEx7D8H1TPOX1UN17QZYEV7Q58GA" hidden="1">#REF!</definedName>
    <definedName name="BEx7DCYW54W8ITX6BJXGSVMWF8HT" hidden="1">#REF!</definedName>
    <definedName name="BEx7DD4D7DAI5BN4L7AHWYB979CQ" hidden="1">#REF!</definedName>
    <definedName name="BEx7DGF13H2074LRWFZQ45PZ6JPX" hidden="1">#REF!</definedName>
    <definedName name="BEx7DIYNK3AWVC3GAU9EKCRWF7LQ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DWR08W02QQ5NK85O2C60JJ8M" hidden="1">#REF!</definedName>
    <definedName name="BEx7DXHVQ3XRVZ2H7QO8TYMIA4P9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1T6VQ1CXMDVYJNV4BSOEFXE" hidden="1">#REF!</definedName>
    <definedName name="BEx7F3GG2FI10JUMINUOIYICFVD9" hidden="1">#REF!</definedName>
    <definedName name="BEx7F4NMGGTZWR8S7710RWGFG8W2" hidden="1">#REF!</definedName>
    <definedName name="BEx7FBJRLJUZKK1FVSCNP0F4GBYT" hidden="1">#REF!</definedName>
    <definedName name="BEx7FCLG1RYI2SNOU1Y2GQZNZSWA" hidden="1">#REF!</definedName>
    <definedName name="BEx7FDCH19DTKGGOI7J3UK04QBGH" hidden="1">#REF!</definedName>
    <definedName name="BEx7FEJOQNYA7A6O7YB4SBB1KK73" hidden="1">#REF!</definedName>
    <definedName name="BEx7FIL87TXQSUJ03S7NBB9S4HA5" hidden="1">#REF!</definedName>
    <definedName name="BEx7FN32ZGWOAA4TTH79KINTDWR9" hidden="1">#REF!</definedName>
    <definedName name="BEx7FQDS2VZGO96NJZ7ETDHGWAGE" hidden="1">#REF!</definedName>
    <definedName name="BEx7FTDO4BCYG31JFGASENECVO7T" hidden="1">#REF!</definedName>
    <definedName name="BEx7FTOFOYQLDCCOJY1H3JHICFOI" hidden="1">#REF!</definedName>
    <definedName name="BEx7FV13SPFAAZHAJMN113VZYOPF" hidden="1">#REF!</definedName>
    <definedName name="BEx7FVMORQ1N6SIECWJVJWT23E6Y" hidden="1">#REF!</definedName>
    <definedName name="BEx7FZ2NBD60FXGNYS120WYBTXA3" hidden="1">#REF!</definedName>
    <definedName name="BEx7G82CKM3NIY1PHNFK28M09PCH" hidden="1">#REF!</definedName>
    <definedName name="BEx7GG5PE1A5RWBCSSUE977AYH0J" hidden="1">#REF!</definedName>
    <definedName name="BEx7GMG8RQ2YB3WVSLKZZZKKRMV0" hidden="1">#REF!</definedName>
    <definedName name="BEx7GQCIM1W1OR8EP7JKRMYGFHW2" hidden="1">#REF!</definedName>
    <definedName name="BEx7GR3ENYWRXXS5IT0UMEGOLGUH" hidden="1">#REF!</definedName>
    <definedName name="BEx7GSAL6P7TASL8MB63RFST1LJL" hidden="1">#REF!</definedName>
    <definedName name="BEx7GSLEAEDT83F2LWWOC5ZLL5JW" hidden="1">#REF!</definedName>
    <definedName name="BEx7H0JD6I5I8WQLLWOYWY5YWPQE" hidden="1">#REF!</definedName>
    <definedName name="BEx7H14XCXH7WEXEY1HVO53A6AGH" hidden="1">#REF!</definedName>
    <definedName name="BEx7H1A9OUMLTWXN2J5EYXTMMI9W" hidden="1">#REF!</definedName>
    <definedName name="BEx7H6ZA84EDCYX9HQKE2VH03R77" hidden="1">#REF!</definedName>
    <definedName name="BEx7H7A3IND3XX895B1NI519TC8J" hidden="1">#REF!</definedName>
    <definedName name="BEx7HBMMCG5M8577G9JXPE33ICV5" hidden="1">#REF!</definedName>
    <definedName name="BEx7HCOAMWUVEVV2B9QWET7JTUUF" hidden="1">#REF!</definedName>
    <definedName name="BEx7HFTIA8AC8BR8HKIN81VE1SGW" hidden="1">#REF!</definedName>
    <definedName name="BEx7HGVBEF4LEIF6RC14N3PSU461" hidden="1">#REF!</definedName>
    <definedName name="BEx7HHRP6OIBN749NAR4JO512P36" hidden="1">#REF!</definedName>
    <definedName name="BEx7HQ5T9FZ42QWS09UO4DT42Y0R" hidden="1">#REF!</definedName>
    <definedName name="BEx7HRCZE3CVGON1HV07MT5MNDZ3" hidden="1">#REF!</definedName>
    <definedName name="BEx7HTRA56ZULKUDFZL10YVTOZ50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IS4YNU61HWJHUI04AXWJTHO" hidden="1">#REF!</definedName>
    <definedName name="BEx7IJTYZHWYWQ1TQVKRC67VVT77" hidden="1">#REF!</definedName>
    <definedName name="BEx7IV2IJ5WT7UC0UG7WP0WF2JZI" hidden="1">#REF!</definedName>
    <definedName name="BEx7IWV99LM4FB1AXIXRNLT7DZJM" hidden="1">#REF!</definedName>
    <definedName name="BEx7IXGU74GE5E4S6W4Z13AR092Y" hidden="1">#REF!</definedName>
    <definedName name="BEx7J4YL8Q3BI1MLH16YYQ18IJRD" hidden="1">#REF!</definedName>
    <definedName name="BEx7J9B4EOP8JPRQCUQJTYF4X0D6" hidden="1">#REF!</definedName>
    <definedName name="BEx7JH3HGBPI07OHZ5LFYK0UFZQR" hidden="1">#REF!</definedName>
    <definedName name="BEx7JV194190CNM6WWGQ3UBJ3CHH" hidden="1">#REF!</definedName>
    <definedName name="BEx7K0VL25LF11UTEBHWBIQ4JLM9" hidden="1">#REF!</definedName>
    <definedName name="BEx7K2DJ36SR54B34DUL4IWNB411" hidden="1">#REF!</definedName>
    <definedName name="BEx7K2DKU4RNU0HTZTI8T16JDWHD" hidden="1">#REF!</definedName>
    <definedName name="BEx7K7GZ607XQOGB81A1HINBTGOZ" hidden="1">#REF!</definedName>
    <definedName name="BEx7KEYPBDXSNROH8M6CDCBN6B50" hidden="1">#REF!</definedName>
    <definedName name="BEx7KL9ABJE57W45H8JVGTJCOJGK" hidden="1">#REF!</definedName>
    <definedName name="BEx7KP5K3QF3UILWSC1V1Z8QZ8KH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3DZH58ZUVXJY3QMJYM4KE2N" hidden="1">#REF!</definedName>
    <definedName name="BEx7L451K3PUYTKU12I7B544QHSE" hidden="1">#REF!</definedName>
    <definedName name="BEx7L5C6U8MP6IZ67BD649WQYJEK" hidden="1">#REF!</definedName>
    <definedName name="BEx7L5XRCEF25LOWG0NKP0R3OOC1" hidden="1">#REF!</definedName>
    <definedName name="BEx7L5XRORY18VWFGEOXYKB0QZ40" hidden="1">#REF!</definedName>
    <definedName name="BEx7L8HEYEVTATR0OG5JJO647KNI" hidden="1">#REF!</definedName>
    <definedName name="BEx7L8XOV64OMS15ZFURFEUXLMWF" hidden="1">#REF!</definedName>
    <definedName name="BEx7LC2VNRFRLFFP4CHBXEU20KAJ" hidden="1">#REF!</definedName>
    <definedName name="BEx7LJVFQACL9F4DRS9YZQ9R2N30" hidden="1">#REF!</definedName>
    <definedName name="BEx7M7UL09PG9UHL8PMVBKTPM21Y" hidden="1">#REF!</definedName>
    <definedName name="BEx7MAUI1JJFDIJGDW4RWY5384LY" hidden="1">#REF!</definedName>
    <definedName name="BEx7MFCBT4EMFZ1O92G6LXTLKXN9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7NILR8NWVE4CLIODRJSHPDVZV" hidden="1">#REF!</definedName>
    <definedName name="BEx7NW3AR77NZBE3NKRJ1UFWJV8U" hidden="1">#REF!</definedName>
    <definedName name="BEx8YVIYPUU4DOX29K8TGO2QGO57" hidden="1">#REF!</definedName>
    <definedName name="BEx8YWQ3XUY2CL4ADLHB99G9ZICW" hidden="1">#REF!</definedName>
    <definedName name="BEx8ZFWNBRQRZ8U9SR1JI1HW3EHL" hidden="1">#REF!</definedName>
    <definedName name="BEx8ZY6UFM571XUE82FQZRNOKP90" hidden="1">#REF!</definedName>
    <definedName name="BEx904S75BPRYMHF0083JF7ES4NG" hidden="1">#REF!</definedName>
    <definedName name="BEx90AH6VD4JKURKBQ1PUKS5EA6W" hidden="1">#REF!</definedName>
    <definedName name="BEx90CVJHW2G83ZSI8F4ZSPTFSPI" hidden="1">#REF!</definedName>
    <definedName name="BEx90FVFC9YWKZHTW4FMG4IGTPX8" hidden="1">#REF!</definedName>
    <definedName name="BEx90HDD4RWF7JZGA8GCGG7D63MG" hidden="1">#REF!</definedName>
    <definedName name="BEx90VGH5H09ON2QXYC9WIIEU98T" hidden="1">#REF!</definedName>
    <definedName name="BEx912CN402V98PZP9I1GP4793DY" hidden="1">#REF!</definedName>
    <definedName name="BEx9175B70QXYAU5A8DJPGZQ46L9" hidden="1">#REF!</definedName>
    <definedName name="BEx9186Y647E5R3K5G5NYND011BR" hidden="1">#REF!</definedName>
    <definedName name="BEx91AQQRTV87AO27VWHSFZAD4ZR" hidden="1">#REF!</definedName>
    <definedName name="BEx91L8FLL5CWLA2CDHKCOMGVDZN" hidden="1">#REF!</definedName>
    <definedName name="BEx91MKVNYDQNPW5JWPK649AJXVG" hidden="1">#REF!</definedName>
    <definedName name="BEx91O89YMP0966BFB7V3TB7L1XO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1YKG5M0ZZDVWNGF80SPL8GUP" hidden="1">#REF!</definedName>
    <definedName name="BEx921PNZ46VORG2VRMWREWIC0SE" hidden="1">#REF!</definedName>
    <definedName name="BEx923D37XIERRE093APUTTZMM5A" hidden="1">#REF!</definedName>
    <definedName name="BEx923T77WYEWJ3FASF3JNND5HI6" hidden="1">#REF!</definedName>
    <definedName name="BEx927ENXOWIM4MD7XTI2CBMW4FI" hidden="1">#REF!</definedName>
    <definedName name="BEx92DJXEXVC627QL1HYSV2VSHSS" hidden="1">#REF!</definedName>
    <definedName name="BEx92DPEKL5WM5A3CN8674JI0PR3" hidden="1">#REF!</definedName>
    <definedName name="BEx92E0260U5XX2KVUCRSWORVT64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34Z6XZITGJ0ZJMX5C41QL1" hidden="1">#REF!</definedName>
    <definedName name="BEx92S8MHFFIVRQ2YSHZNQGOFUHD" hidden="1">#REF!</definedName>
    <definedName name="BEx92SDZC4KQKA3VIQXWQR604651" hidden="1">#REF!</definedName>
    <definedName name="BEx92UMXPDY7AN338N8NLTNO2YP1" hidden="1">#REF!</definedName>
    <definedName name="BEx935VHGQGAJAXJKSPCC6GC2KIE" hidden="1">#REF!</definedName>
    <definedName name="BEx9377Y3SSZ9TXXIEXLC5D55XAL" hidden="1">#REF!</definedName>
    <definedName name="BEx93B9OULL2YGC896XXYAAJSTRK" hidden="1">#REF!</definedName>
    <definedName name="BEx93EF2OPUY92WSYH0W2RMHNX2M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VY6U8P8E3C0BAYTV7SOT6WT" hidden="1">#REF!</definedName>
    <definedName name="BEx93WEAQ66AZTH51PVY2YQRJAVD" hidden="1">#REF!</definedName>
    <definedName name="BEx9416X5VFW77ITJ06XQKVIPDTU" hidden="1">#REF!</definedName>
    <definedName name="BEx942UCRHMI4B0US31HO95GSC2X" hidden="1">#REF!</definedName>
    <definedName name="BEx948ZFFQWVIDNG4AZAUGGGEB5U" hidden="1">#REF!</definedName>
    <definedName name="BEx948ZFUGXNMPH0AEUWJ9VRRVP1" hidden="1">#REF!</definedName>
    <definedName name="BEx94CFLJ1WFL002RHKZSEHDZ7AR" hidden="1">#REF!</definedName>
    <definedName name="BEx94CKXG92OMURH41SNU6IOHK4J" hidden="1">#REF!</definedName>
    <definedName name="BEx94E8CBMGM9YP8Z0W8OWHAAZH1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MGZSKZLLOJTPEV46J1T4TRQ" hidden="1">#REF!</definedName>
    <definedName name="BEx94N7W5T3U7UOE97D6OVIBUCXS" hidden="1">#REF!</definedName>
    <definedName name="BEx94YB813CRWA0W6YC4FQ4EY2TZ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DHUJPHCS4ZZC7VPU76KJ8Y" hidden="1">#REF!</definedName>
    <definedName name="BEx95ZBPVBQBIU0LCXSH93UZK4VU" hidden="1">#REF!</definedName>
    <definedName name="BEx9602K2GHNBUEUVT9ONRQU1GMD" hidden="1">#REF!</definedName>
    <definedName name="BEx962BL3Y4LA53EBYI64ZYMZE8U" hidden="1">#REF!</definedName>
    <definedName name="BEx966YPZX56R4CTYFS0BPFJZARZ" hidden="1">#REF!</definedName>
    <definedName name="BEx96KR21O7H9R29TN0S45Y3QPUK" hidden="1">#REF!</definedName>
    <definedName name="BEx96QAL2X6D9G8BJE8B3I7GHO51" hidden="1">#REF!</definedName>
    <definedName name="BEx96SUFKHHFE8XQ6UUO6ILDOXHO" hidden="1">#REF!</definedName>
    <definedName name="BEx96UN4YWXBDEZ1U1ZUIPP41Z7I" hidden="1">#REF!</definedName>
    <definedName name="BEx9706NFOGJWDFFOFDUAFC8NNTP" hidden="1">#REF!</definedName>
    <definedName name="BEx970MYCPJ6DQ44TKLOIGZO5LHH" hidden="1">#REF!</definedName>
    <definedName name="BEx971U1U7131SBG6GNKO8EDZMAE" hidden="1">#REF!</definedName>
    <definedName name="BEx977DKXKT0LOVZ4EBNP3VMRWSA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7S258MF7LNVNGLC1NNJASG" hidden="1">#REF!</definedName>
    <definedName name="BEx97MNUZQ1Z0AO2FL7XQYVNCPR7" hidden="1">#REF!</definedName>
    <definedName name="BEx97NPQBACJVD9K1YXI08RTW9E2" hidden="1">#REF!</definedName>
    <definedName name="BEx97OREHWSPQCH6680KGDN1DSUE" hidden="1">#REF!</definedName>
    <definedName name="BEx97RGHQQFD7GROLN5OIP7EX80D" hidden="1">#REF!</definedName>
    <definedName name="BEx97RWQLXS0OORDCN69IGA58CWU" hidden="1">#REF!</definedName>
    <definedName name="BEx97YNGGDFIXHTMGFL2IHAQX9MI" hidden="1">#REF!</definedName>
    <definedName name="BEx97ZJUIVJ75O2XJ652276SX5WN" hidden="1">#REF!</definedName>
    <definedName name="BEx981HW73BUZWT14TBTZHC0ZTJ4" hidden="1">#REF!</definedName>
    <definedName name="BEx9871KU0N99P0900EAK69VFYT2" hidden="1">#REF!</definedName>
    <definedName name="BEx98FVSVWUEULDN0NVVY8CR7HOT" hidden="1">#REF!</definedName>
    <definedName name="BEx98HZC2SGX8JWQV3IYSK5LLJUK" hidden="1">#REF!</definedName>
    <definedName name="BEx98IFKNJFGZFLID1YTRFEG1SXY" hidden="1">#REF!</definedName>
    <definedName name="BEx98N871QXPM2OC6D7KDZJKT8IA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5NPVBO469H2M77LDRJ5UJPA" hidden="1">#REF!</definedName>
    <definedName name="BEx99995OO0X4HC0IQDAISYRWAJG" hidden="1">#REF!</definedName>
    <definedName name="BEx99B77I7TUSHRR4HIZ9FU2EIUT" hidden="1">#REF!</definedName>
    <definedName name="BEx99Q6PH5F3OQKCCAAO75PYDEFN" hidden="1">#REF!</definedName>
    <definedName name="BEx99V4SVO69VE7SFMLN0JQM8VSA" hidden="1">#REF!</definedName>
    <definedName name="BEx99WBYT2D6UUC1PT7A40ENYID4" hidden="1">#REF!</definedName>
    <definedName name="BEx99XOGHOM28CNCYKQWYGL56W2S" hidden="1">#REF!</definedName>
    <definedName name="BEx99YFJ8JDPEEEQRABGIA0M020Y" hidden="1">#REF!</definedName>
    <definedName name="BEx99ZRZ4I7FHDPGRAT5VW7NVBPU" hidden="1">#REF!</definedName>
    <definedName name="BEx9ADPRQZSMQBC5ZVK9Y67PRZBV" hidden="1">#REF!</definedName>
    <definedName name="BEx9AGK6FB0UJICW1XHZ6BQ29OX4" hidden="1">#REF!</definedName>
    <definedName name="BEx9AJK3CIWKKJTUEZYIWVO6TDNG" hidden="1">#REF!</definedName>
    <definedName name="BEx9AKWPNM58M88D1ZL7PKKW6ES3" hidden="1">#REF!</definedName>
    <definedName name="BEx9ARY7F2Q2JQT63RW0CEZQ1WDB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AOGUISRQKRB42IUZNSUS3RS" hidden="1">#REF!</definedName>
    <definedName name="BEx9BCBV86NAOTMCAYGOG2K426CC" hidden="1">#REF!</definedName>
    <definedName name="BEx9BOMAE2ZSCNJU8GD3H41XPFP0" hidden="1">#REF!</definedName>
    <definedName name="BEx9BYSYW7QCPXS2NAVLFAU5Y2Z2" hidden="1">#REF!</definedName>
    <definedName name="BEx9C17AHM4NMY8G3WK6YQ0T0WDU" hidden="1">#REF!</definedName>
    <definedName name="BEx9C3R3CXF59GO46G2SSZVX5WGZ" hidden="1">#REF!</definedName>
    <definedName name="BEx9C590HJ2O31IWJB73C1HR74AI" hidden="1">#REF!</definedName>
    <definedName name="BEx9CCQRMYYOGIOYTOM73VKDIPS1" hidden="1">#REF!</definedName>
    <definedName name="BEx9CJHG02ADUIJ0WCG5FYLWETIN" hidden="1">#REF!</definedName>
    <definedName name="BEx9CMMSQA4LXHX5RGGTAJ9WVHTY" hidden="1">#REF!</definedName>
    <definedName name="BEx9CTDJ6OYUCCHJVREB4QE71EVB" hidden="1">#REF!</definedName>
    <definedName name="BEx9CV0XO73HU4959HLMU41A0GA3" hidden="1">#REF!</definedName>
    <definedName name="BEx9D1BC9FT19KY0INAABNDBAMR1" hidden="1">#REF!</definedName>
    <definedName name="BEx9D3F0O4K1IAF0BOG92O7SDX00" hidden="1">#REF!</definedName>
    <definedName name="BEx9DGLRBAA81DUUOT35XR05XLKG" hidden="1">#REF!</definedName>
    <definedName name="BEx9DH1WE3PV7JLAW8UOMGWZB83S" hidden="1">#REF!</definedName>
    <definedName name="BEx9DIZXF9X0GE90ROFYKV6K3PM9" hidden="1">#REF!</definedName>
    <definedName name="BEx9DN6ZMF18Q39MPMXSDJTZQNJ3" hidden="1">#REF!</definedName>
    <definedName name="BEx9DTC9KB4UBBWSO9J2XIMXCBWV" hidden="1">#REF!</definedName>
    <definedName name="BEx9DUU8DALPSCW66GTMQRPXZ6GL" hidden="1">#REF!</definedName>
    <definedName name="BEx9DXONHEA7NWYB7GH25QRKY2CQ" hidden="1">#REF!</definedName>
    <definedName name="BEx9E08EK253W8SNA7NOGR32IG6U" hidden="1">#REF!</definedName>
    <definedName name="BEx9E14TDNSEMI784W0OTIEQMWN6" hidden="1">#REF!</definedName>
    <definedName name="BEx9E2BZ2B1R41FMGJCJ7JLGLUAJ" hidden="1">#REF!</definedName>
    <definedName name="BEx9E2S1LDHWNY3YCSQ6AY2CX2VH" hidden="1">#REF!</definedName>
    <definedName name="BEx9E74KGGDSB7J1LSVXY50DIA4O" hidden="1">#REF!</definedName>
    <definedName name="BEx9ED4CV9AN1V00HSVPP18F4E9D" hidden="1">#REF!</definedName>
    <definedName name="BEx9EEGVFGD9P2J88ICA4KVPXY9N" hidden="1">#REF!</definedName>
    <definedName name="BEx9EG9KBJ77M8LEOR9ITOKN5KXY" hidden="1">#REF!</definedName>
    <definedName name="BEx9EHGQHOBSWB60JAPUOVE46FK0" hidden="1">#REF!</definedName>
    <definedName name="BEx9EI2C4DK48UA40D8IJDI90CG9" hidden="1">#REF!</definedName>
    <definedName name="BEx9ELD05TDBB9XCUJCN7ZZHMEME" hidden="1">#REF!</definedName>
    <definedName name="BEx9EMK6HAJJMVYZTN5AUIV7O1E6" hidden="1">#REF!</definedName>
    <definedName name="BEx9EQLVZHYQ1TPX7WH3SOWXCZLE" hidden="1">#REF!</definedName>
    <definedName name="BEx9ESJYYVAPKVVYBNXEVZRS78SW" hidden="1">#REF!</definedName>
    <definedName name="BEx9ETLU0EK5LGEM1QCNYN2S8O5F" hidden="1">#REF!</definedName>
    <definedName name="BEx9EZAO743QCASLDS16RGQ9DYF3" hidden="1">#REF!</definedName>
    <definedName name="BEx9F0Y2ESUNE3U7TQDLMPE9BO67" hidden="1">#REF!</definedName>
    <definedName name="BEx9F2W9YQ1YNVX7BLNE7VBKT28J" hidden="1">#REF!</definedName>
    <definedName name="BEx9F5W18ZGFOKGRE8PR6T1MO6GT" hidden="1">#REF!</definedName>
    <definedName name="BEx9F61HWPIU4FGRN7WQ2ASJ9TIJ" hidden="1">#REF!</definedName>
    <definedName name="BEx9F78N4HY0XFGBQ4UJRD52L1EI" hidden="1">#REF!</definedName>
    <definedName name="BEx9FF16LOQP5QIR4UHW5EIFGQB8" hidden="1">#REF!</definedName>
    <definedName name="BEx9FJJ0C764V406PYFU67H6R90F" hidden="1">#REF!</definedName>
    <definedName name="BEx9FJTSRCZ3ZXT3QVBJT5NF8T7V" hidden="1">#REF!</definedName>
    <definedName name="BEx9FLRVEKHKYUC14ZMVEXYYH8R8" hidden="1">#REF!</definedName>
    <definedName name="BEx9FMZ1JN6UOJQC1CTKXI2OEEGU" hidden="1">#REF!</definedName>
    <definedName name="BEx9FRBEEYPS5HLS3XT34AKZN94G" hidden="1">#REF!</definedName>
    <definedName name="BEx9G17GB2V3PQ50QQFW2NROEZT9" hidden="1">#REF!</definedName>
    <definedName name="BEx9G4YF1FVXSW87ZP5YUKPI6WIS" hidden="1">#REF!</definedName>
    <definedName name="BEx9G892CF6SM99J007LDYZPPYNL" hidden="1">#REF!</definedName>
    <definedName name="BEx9G8JWM5LN37IE0I4OPWOQ2UDC" hidden="1">#REF!</definedName>
    <definedName name="BEx9GDY4D8ZPQJCYFIMYM0V0C51Y" hidden="1">#REF!</definedName>
    <definedName name="BEx9GGY04V0ZWI6O9KZH4KSBB389" hidden="1">#REF!</definedName>
    <definedName name="BEx9GJCC7BWX156MTPY59VC5JN0O" hidden="1">#REF!</definedName>
    <definedName name="BEx9GNOPB6OZ2RH3FCDNJR38RJOS" hidden="1">#REF!</definedName>
    <definedName name="BEx9GNU701BD7YSS9TFG6GMA2Z8A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348PI1LKUJZXF7C6XQ61EZJ" hidden="1">#REF!</definedName>
    <definedName name="BEx9H5O1KDZJCW91Q29VRPY5YS6P" hidden="1">#REF!</definedName>
    <definedName name="BEx9H8YR0E906F1JXZMBX3LNT004" hidden="1">#REF!</definedName>
    <definedName name="BEx9H9V5D52IFWEZD3I221Z2VYVD" hidden="1">#REF!</definedName>
    <definedName name="BEx9HKNJWZ66DLR0HSTKT1F29KXC" hidden="1">#REF!</definedName>
    <definedName name="BEx9HLEL7CBOL2MA62HHXTX83VWC" hidden="1">#REF!</definedName>
    <definedName name="BEx9HPLIGA00LXCRL4XD8JUQ1QTT" hidden="1">#REF!</definedName>
    <definedName name="BEx9HQHV4N00R3PBTH3QTYPDU3WQ" hidden="1">#REF!</definedName>
    <definedName name="BEx9I8XIG7E5NB48QQHXP23FIN60" hidden="1">#REF!</definedName>
    <definedName name="BEx9IJ9OH7O51M0TOFXSCVOMM9NB" hidden="1">#REF!</definedName>
    <definedName name="BEx9IJKFZ377CHBP3RXPBSZMK083" hidden="1">#REF!</definedName>
    <definedName name="BEx9IN0LK1L332R6GKLTWHCPBZDL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1ZRFUE85ATW4NGTSACFIOO" hidden="1">#REF!</definedName>
    <definedName name="BEx9IXCSPSZC80YZUPRCYTG326KV" hidden="1">#REF!</definedName>
    <definedName name="BEx9IZR39NHDGOM97H4E6F81RTQW" hidden="1">#REF!</definedName>
    <definedName name="BEx9J1919TYT0TUIXSUM73ITTWSX" hidden="1">#REF!</definedName>
    <definedName name="BEx9J1EJIB9UVZKMZ7QHB9U6VVOO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VQQ67S2G46G8PAZBZ0F24R48" hidden="1">#REF!</definedName>
    <definedName name="BExAVW4E2I0WWGI30GYWFESFL2SB" hidden="1">#REF!</definedName>
    <definedName name="BExAW4IIW5D0MDY6TJ3G4FOLPYIR" hidden="1">#REF!</definedName>
    <definedName name="BExAWSHNWQPCKWXTJYIHPDVSEPIP" hidden="1">#REF!</definedName>
    <definedName name="BExAX2TU15VIP65OGKSZD41PMO4N" hidden="1">#REF!</definedName>
    <definedName name="BExAX410NB4F2XOB84OR2197H8M5" hidden="1">#REF!</definedName>
    <definedName name="BExAX76DUDSL3K9AAK9T3TZ9IRDF" hidden="1">#REF!</definedName>
    <definedName name="BExAX7H54SH9KXYS53YYUTU7MKHR" hidden="1">#REF!</definedName>
    <definedName name="BExAX8TNG8LQ5Q4904SAYQIPGBSV" hidden="1">#REF!</definedName>
    <definedName name="BExAXEDC2IXZ6Z8R5OUFS8OGJR89" hidden="1">#REF!</definedName>
    <definedName name="BExAXFKHJPCSP3Q6V2BAJEKQ33T5" hidden="1">#REF!</definedName>
    <definedName name="BExAXG618UHD6D65946ROTUF6DCO" hidden="1">#REF!</definedName>
    <definedName name="BExAXI9JSOI1VQIOW74GSL7YCE46" hidden="1">#REF!</definedName>
    <definedName name="BExAXI9K2PJQH4QLETR7MGS2BNZZ" hidden="1">#REF!</definedName>
    <definedName name="BExAXL3ZT02BUZOGSRNS6WGCOV7K" hidden="1">#REF!</definedName>
    <definedName name="BExAXL40LDNIK611AYB1QPTYW9XW" hidden="1">#REF!</definedName>
    <definedName name="BExAY0EAT2LXR5MFGM0DLIB45PLO" hidden="1">#REF!</definedName>
    <definedName name="BExAY8N1C69MXKAIH1QWXHYX1MDA" hidden="1">#REF!</definedName>
    <definedName name="BExAY9DZDS6RN4F7LPICOBGZ4AF5" hidden="1">#REF!</definedName>
    <definedName name="BExAY9JG6EX12R1XU430WLGP6MGU" hidden="1">#REF!</definedName>
    <definedName name="BExAY9ZJT64UBNSHPOGOXOER0FA5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OO9DKXP4BYOJNDXGK1R2ZSV" hidden="1">#REF!</definedName>
    <definedName name="BExAYP9TDTI2MBP6EYE0H39CPMXN" hidden="1">#REF!</definedName>
    <definedName name="BExAYP9TFQMM4QKPIXBRRZI9TBLA" hidden="1">#REF!</definedName>
    <definedName name="BExAYPPWJPWDKU59O051WMGB7O0J" hidden="1">#REF!</definedName>
    <definedName name="BExAYR2JZCJBUH6F1LZC2A7JIVRJ" hidden="1">#REF!</definedName>
    <definedName name="BExAYRDCL4HP7II0FW9HN1FBC62I" hidden="1">#REF!</definedName>
    <definedName name="BExAYTGVRD3DLKO75RFPMBKCIWB8" hidden="1">#REF!</definedName>
    <definedName name="BExAYVKDXJJ761HTFFUOH6P2CSF7" hidden="1">#REF!</definedName>
    <definedName name="BExAYY9H9COOT46HJLPVDLTO12UL" hidden="1">#REF!</definedName>
    <definedName name="BExAZ43SLA5NO933KN9Z8PJKUGSW" hidden="1">#REF!</definedName>
    <definedName name="BExAZ7EICDV0UT1IFB8BRPE77GU8" hidden="1">#REF!</definedName>
    <definedName name="BExAZ7EIL4SEZ1M73FZN53YOF0MV" hidden="1">#REF!</definedName>
    <definedName name="BExAZCNEGB4JYHC8CZ51KTN890US" hidden="1">#REF!</definedName>
    <definedName name="BExAZFCI302YFYRDJYQDWQQL0Q0O" hidden="1">#REF!</definedName>
    <definedName name="BExAZK5595T7WEDOR48TTUK9EM1W" hidden="1">#REF!</definedName>
    <definedName name="BExAZLHLST9OP89R1HJMC1POQG8H" hidden="1">#REF!</definedName>
    <definedName name="BExAZMDYMIAA7RX1BMCKU1VLBRGY" hidden="1">#REF!</definedName>
    <definedName name="BExAZNFTTSXASHLBAG5O0MNFU583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AZYOCVJQC5OOM1NFIU2N1WBOO" hidden="1">#REF!</definedName>
    <definedName name="BExB012NJ8GASTNNPBRRFTLHIOC9" hidden="1">#REF!</definedName>
    <definedName name="BExB05VC58S1G57BD9NMVMHCBURU" hidden="1">#REF!</definedName>
    <definedName name="BExB072HHXVMUC0VYNGG48GRSH5Q" hidden="1">#REF!</definedName>
    <definedName name="BExB0CGOYD7EHSMF7OQD6N8L2FMG" hidden="1">#REF!</definedName>
    <definedName name="BExB0FRDEYDEUEAB1W8KD6D965XA" hidden="1">#REF!</definedName>
    <definedName name="BExB0GI9V61MXXNO96K97H0D71FR" hidden="1">#REF!</definedName>
    <definedName name="BExB0KPCN7YJORQAYUCF4YKIKPMC" hidden="1">#REF!</definedName>
    <definedName name="BExB0OASZZC08FMDYX9HRSM9OXEF" hidden="1">#REF!</definedName>
    <definedName name="BExB0WE4PI3NOBXXVO9CTEN4DIU2" hidden="1">#REF!</definedName>
    <definedName name="BExB10QNIVITUYS55OAEKK3VLJFE" hidden="1">#REF!</definedName>
    <definedName name="BExB12OPX4FIWY3UUQ7N9MXBTXY2" hidden="1">#REF!</definedName>
    <definedName name="BExB12ZHTPYICL0A8RA5MRDZPYAX" hidden="1">#REF!</definedName>
    <definedName name="BExB15ZDRY4CIJ911DONP0KCY9KU" hidden="1">#REF!</definedName>
    <definedName name="BExB16VQY0O0RLZYJFU3OFEONVTE" hidden="1">#REF!</definedName>
    <definedName name="BExB1D6DDDMV7AOB9S4XD45OPKJ3" hidden="1">#REF!</definedName>
    <definedName name="BExB1EDITHNPWEZ85239QGGKT1FZ" hidden="1">#REF!</definedName>
    <definedName name="BExB1F4K54VUQH5N3X909MLGP366" hidden="1">#REF!</definedName>
    <definedName name="BExB1FKN9YUYJ7B8ZJSMRSJ6ONT6" hidden="1">#REF!</definedName>
    <definedName name="BExB1FKNY2UO4W5FUGFHJOA2WFGG" hidden="1">#REF!</definedName>
    <definedName name="BExB1GMD0PIDGTFBGQOPRWQSP9I4" hidden="1">#REF!</definedName>
    <definedName name="BExB1H82KPB3PKUQSPLXRMXZ81FK" hidden="1">#REF!</definedName>
    <definedName name="BExB1HIQKUZGEBQ2MPH0TPTAZKIT" hidden="1">#REF!</definedName>
    <definedName name="BExB1I4BK3AB6GEEFY7ZAOON31BO" hidden="1">#REF!</definedName>
    <definedName name="BExB1Q29OO6LNFNT1EQLA3KYE7MX" hidden="1">#REF!</definedName>
    <definedName name="BExB1TNRV5EBWZEHYLHI76T0FVA7" hidden="1">#REF!</definedName>
    <definedName name="BExB1UENFKIO27UN311RA6Q7UZX5" hidden="1">#REF!</definedName>
    <definedName name="BExB1WI6M8I0EEP1ANUQZCFY24EV" hidden="1">#REF!</definedName>
    <definedName name="BExB1Y5M3L226MQD9IXKQR16ZOHO" hidden="1">#REF!</definedName>
    <definedName name="BExB203OWC9QZA3BYOKQ18L4FUJE" hidden="1">#REF!</definedName>
    <definedName name="BExB25NCSDRJ0ZSAEKH3FMO5Y7R7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2V4G4W3DIHZU05TOOTUR2SQF" hidden="1">#REF!</definedName>
    <definedName name="BExB2VQ1P16MWBLJCMI0EYUZ4F3A" hidden="1">#REF!</definedName>
    <definedName name="BExB2WX126M0IQUCELE12MNAMM86" hidden="1">#REF!</definedName>
    <definedName name="BExB30IP1DNKNQ6PZ5ERUGR5MK4Z" hidden="1">#REF!</definedName>
    <definedName name="BExB30TCXP3MKRYBA3TGFERPR6YM" hidden="1">#REF!</definedName>
    <definedName name="BExB337NSUOA4L69GLXPTMBJHE5G" hidden="1">#REF!</definedName>
    <definedName name="BExB35M4M9VQF0DHGYBEA3KV711P" hidden="1">#REF!</definedName>
    <definedName name="BExB36NTTLHSZTL1KDDPWRAG16SM" hidden="1">#REF!</definedName>
    <definedName name="BExB38GIY7LBLBT93E8V9XFUPKYL" hidden="1">#REF!</definedName>
    <definedName name="BExB406HXCZGNSDPPO8VOG1110ZG" hidden="1">#REF!</definedName>
    <definedName name="BExB418719PAUHX4GO293E7FU54L" hidden="1">#REF!</definedName>
    <definedName name="BExB42KU6VCGVJ7A8LTH7QRTZ8R6" hidden="1">#REF!</definedName>
    <definedName name="BExB442RX0T3L6HUL6X5T21CENW6" hidden="1">#REF!</definedName>
    <definedName name="BExB4ADD0L7417CII901XTFKXD1J" hidden="1">#REF!</definedName>
    <definedName name="BExB4B9PTN6T4CSKH6U5OZ3JFDD8" hidden="1">#REF!</definedName>
    <definedName name="BExB4DO1V1NL2AVK5YE1RSL5RYHL" hidden="1">#REF!</definedName>
    <definedName name="BExB4DYU06HCGRIPBSWRCXK804UM" hidden="1">#REF!</definedName>
    <definedName name="BExB4EKDM4DIWN5KQBCD8JUQPMH6" hidden="1">#REF!</definedName>
    <definedName name="BExB4JD0JYJKVKF4SOF52JXATC2N" hidden="1">#REF!</definedName>
    <definedName name="BExB4R5JZFW6A1CMY56N51JV2U9K" hidden="1">#REF!</definedName>
    <definedName name="BExB4RAVEAF6N391VE2C4XEKADTO" hidden="1">#REF!</definedName>
    <definedName name="BExB4WUKY2P82S8D7SR8LD1VJE12" hidden="1">#REF!</definedName>
    <definedName name="BExB4Z3EZBGYYI33U0KQ8NEIH8PY" hidden="1">#REF!</definedName>
    <definedName name="BExB53FX87HIAA344CP58T3O31WI" hidden="1">#REF!</definedName>
    <definedName name="BExB541CBB1D8CTY30SOY75V64NO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JDKEWATMDUZFAW796XCRTD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O30WI9WES28Y2RINNXRHWC" hidden="1">#REF!</definedName>
    <definedName name="BExB5QYVEZWFE5DQVHAM760EV05X" hidden="1">#REF!</definedName>
    <definedName name="BExB5TD621M55HYSSK7HONU1XBB6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692ZQP36NHHWV7TLSTYCP8G" hidden="1">#REF!</definedName>
    <definedName name="BExB6C3FUAKK9ML5T767NMWGA9YB" hidden="1">#REF!</definedName>
    <definedName name="BExB6C8X6JYRLKZKK17VE3QUNL3D" hidden="1">#REF!</definedName>
    <definedName name="BExB6CZTE0PWILZ6X0SQ2FCCSK0D" hidden="1">#REF!</definedName>
    <definedName name="BExB6HN3QRFPXM71MDUK21BKM7PF" hidden="1">#REF!</definedName>
    <definedName name="BExB6IZMHCZ3LB7N73KD90YB1HBZ" hidden="1">#REF!</definedName>
    <definedName name="BExB6Q6JKBMO3M4WX8XUD0JET6HB" hidden="1">#REF!</definedName>
    <definedName name="BExB6QHCYOU8LA64WNUGPF4JZJIR" hidden="1">#REF!</definedName>
    <definedName name="BExB719SGNX4Y8NE6JEXC555K596" hidden="1">#REF!</definedName>
    <definedName name="BExB7265DCHKS7V2OWRBXCZTEIW9" hidden="1">#REF!</definedName>
    <definedName name="BExB72GWGACO06G4SSC2THJTH8YJ" hidden="1">#REF!</definedName>
    <definedName name="BExB74F088Z5LM9SEUAESIZUQ3X8" hidden="1">#REF!</definedName>
    <definedName name="BExB74PS5P9G0P09Y6DZSCX0FLTJ" hidden="1">#REF!</definedName>
    <definedName name="BExB7742KUQZRBD1Y5LMGLCECX53" hidden="1">#REF!</definedName>
    <definedName name="BExB78RH79J0MIF7H8CAZ0CFE88Q" hidden="1">#REF!</definedName>
    <definedName name="BExB7ELT09HGDVO5BJC1ZY9D09GZ" hidden="1">#REF!</definedName>
    <definedName name="BExB7RHQYNQP3YTFI32LI09W52MJ" hidden="1">#REF!</definedName>
    <definedName name="BExB7VZMUMHLLOHZTR3AWW5NOCML" hidden="1">#REF!</definedName>
    <definedName name="BExB7YJEWX5F4ZCLV9XXYKIKQVZS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9S66MFUL9J891R547MSVIVV1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7R9BFF4CE7279DK0RE8ZK6P" hidden="1">#REF!</definedName>
    <definedName name="BExBA8I5D4R8R2PYQ1K16TWGTOEP" hidden="1">#REF!</definedName>
    <definedName name="BExBA93PE0DGUUTA7LLSIGBIXWE5" hidden="1">#REF!</definedName>
    <definedName name="BExBAGQYIBV77JKN346FU4VT1MB4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KY0JA8MGQUZTDU8BDCC0AFG" hidden="1">#REF!</definedName>
    <definedName name="BExBAO8NLXZXHO6KCIECSFCH3RR0" hidden="1">#REF!</definedName>
    <definedName name="BExBAOOT1KBSIEISN1ADL4RMY879" hidden="1">#REF!</definedName>
    <definedName name="BExBATS6QTKFZ3S66DBSAAJJ1257" hidden="1">#REF!</definedName>
    <definedName name="BExBAUZDVBCRVOLNC0IGNJEE8U7B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1KPP0O6J5A5ABI7SW7AED9L" hidden="1">#REF!</definedName>
    <definedName name="BExBB44DFAQW8Q6V1BKIG9K9FEL3" hidden="1">#REF!</definedName>
    <definedName name="BExBB9D9GNURCRZN3NR6UY375OX5" hidden="1">#REF!</definedName>
    <definedName name="BExBBBGS8LSNQ3DIJFB4ZXEQF9JQ" hidden="1">#REF!</definedName>
    <definedName name="BExBBDPNMPLDH9105KL10KMTWW9C" hidden="1">#REF!</definedName>
    <definedName name="BExBBEM0HOOS5JAJZDG8QJA43D27" hidden="1">#REF!</definedName>
    <definedName name="BExBBJ9BWME32GCDTD4GDSQBG1S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6MXHVYI3RX9WO1MSP51YKB0" hidden="1">#REF!</definedName>
    <definedName name="BExBC6S9JZS9ZX6V7SBKDJ5R3CGN" hidden="1">#REF!</definedName>
    <definedName name="BExBC78HXWXHO3XAB6E8NVTBGLJS" hidden="1">#REF!</definedName>
    <definedName name="BExBCDTV7GTBOTIE9EFJ36EX4FKM" hidden="1">#REF!</definedName>
    <definedName name="BExBCK4H2CF3XDL7AH3W254CWF4R" hidden="1">#REF!</definedName>
    <definedName name="BExBCKKJTIRKC1RZJRTK65HHLX4W" hidden="1">#REF!</definedName>
    <definedName name="BExBCLMEPAN3XXX174TU8SS0627Q" hidden="1">#REF!</definedName>
    <definedName name="BExBCMTEH63P6H1CKWQH2DGVNSVX" hidden="1">#REF!</definedName>
    <definedName name="BExBCRBEYR2KZ8FAQFZ2NHY13WIY" hidden="1">#REF!</definedName>
    <definedName name="BExBCWUY5JQMTL7HNOV44QEQL5E0" hidden="1">#REF!</definedName>
    <definedName name="BExBCZUU1UR90PQUCOSYNFQQTXI1" hidden="1">#REF!</definedName>
    <definedName name="BExBD1CR31JE4TBZEMZ6ZNRFIDNP" hidden="1">#REF!</definedName>
    <definedName name="BExBD4I559NXSV6J07Q343TKYMVJ" hidden="1">#REF!</definedName>
    <definedName name="BExBDBZQLTX3OGFYGULQFK5WEZU5" hidden="1">#REF!</definedName>
    <definedName name="BExBDEOUXHKZWZ1D0VG1QLAPFJ7U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DIHS3IA85P49E3FM64KE4B" hidden="1">#REF!</definedName>
    <definedName name="BExBDUVGK3E1J4JY9ZYTS7V14BLY" hidden="1">#REF!</definedName>
    <definedName name="BExBDWDG2GXBTEGBOQMQLB38QUEV" hidden="1">#REF!</definedName>
    <definedName name="BExBDZITI2UCDSH0V24NITQG9SFA" hidden="1">#REF!</definedName>
    <definedName name="BExBE162OSBKD30I7T1DKKPT3I9I" hidden="1">#REF!</definedName>
    <definedName name="BExBE4M6YL512JJD7QCT5NHC893P" hidden="1">#REF!</definedName>
    <definedName name="BExBE5YPUY1T7N7DHMMIGGXK8TMP" hidden="1">#REF!</definedName>
    <definedName name="BExBEC9ATLQZF86W1M3APSM4HEOH" hidden="1">#REF!</definedName>
    <definedName name="BExBENY274W3V1EFHLJA30BYCE7C" hidden="1">#REF!</definedName>
    <definedName name="BExBEQXZSW4IDLSH6ZWIVD9MKUDK" hidden="1">#REF!</definedName>
    <definedName name="BExBEYFQJE9YK12A6JBMRFKEC7RN" hidden="1">#REF!</definedName>
    <definedName name="BExBF0U1PNBWLGLVVPNYEZHKB0ON" hidden="1">#REF!</definedName>
    <definedName name="BExBF3TXJTJ52WTH5JS1IEEUKRWA" hidden="1">#REF!</definedName>
    <definedName name="BExBG1ED81J2O4A2S5F5Y3BPHMCR" hidden="1">#REF!</definedName>
    <definedName name="BExCRG4BMABD3CXCOOONC83Y09WA" hidden="1">#REF!</definedName>
    <definedName name="BExCRHBGZ731YDK0B4ZS96XLUXW3" hidden="1">#REF!</definedName>
    <definedName name="BExCRLIHS7466WFJ3RPIUGGXYESZ" hidden="1">#REF!</definedName>
    <definedName name="BExCROIF032CJ7PN6TDTN7R8HJC0" hidden="1">#REF!</definedName>
    <definedName name="BExCROIFDQP6GEN1GZNTC0JUNTOZ" hidden="1">#REF!</definedName>
    <definedName name="BExCRRIBGG57IJ1DUG0GCSPL72DO" hidden="1">#REF!</definedName>
    <definedName name="BExCRUSZ4VDZMBPVAH313B3ZNCZ0" hidden="1">#REF!</definedName>
    <definedName name="BExCS078RE3CUATM8A8NCC0WWHGC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C6TS1DIRWZOPHPMBVCLZPCO" hidden="1">#REF!</definedName>
    <definedName name="BExCSGZG9G2SOKYYBCQF48XUIYCJ" hidden="1">#REF!</definedName>
    <definedName name="BExCSMOFTXSUEC1T46LR1UPYRCX5" hidden="1">#REF!</definedName>
    <definedName name="BExCSRH34KUG2CKOHJR1CD1YA2AQ" hidden="1">#REF!</definedName>
    <definedName name="BExCSSDG3TM6TPKS19E9QYJEELZ6" hidden="1">#REF!</definedName>
    <definedName name="BExCSZV7U67UWXL2HKJNM5W1E4OO" hidden="1">#REF!</definedName>
    <definedName name="BExCT35V97I4Q7D98IRREG5MAHCH" hidden="1">#REF!</definedName>
    <definedName name="BExCT47KP2DRDH85PVYKV31BYFAC" hidden="1">#REF!</definedName>
    <definedName name="BExCT4NSDT61OCH04Y2QIFIOP75H" hidden="1">#REF!</definedName>
    <definedName name="BExCT95NC9XJFR94X238LEH9VCYY" hidden="1">#REF!</definedName>
    <definedName name="BExCTKJO7RZLQLYE9ZM36L0E1XZU" hidden="1">#REF!</definedName>
    <definedName name="BExCTOQR8D5DHM1NQMOV0CPEG22C" hidden="1">#REF!</definedName>
    <definedName name="BExCTP6SNBIGNZT91WETB70CEF9G" hidden="1">#REF!</definedName>
    <definedName name="BExCTW8G3VCZ55S09HTUGXKB1P2M" hidden="1">#REF!</definedName>
    <definedName name="BExCTYS2KX0QANOLT8LGZ9WV3S3T" hidden="1">#REF!</definedName>
    <definedName name="BExCTZDO6C69UNZN4U8MOC0IZ0QG" hidden="1">#REF!</definedName>
    <definedName name="BExCTZZ9JNES4EDHW97NP0EGQALX" hidden="1">#REF!</definedName>
    <definedName name="BExCU0A1V6NMZQ9ASYJ8QIVQ5UR2" hidden="1">#REF!</definedName>
    <definedName name="BExCU16FAFHSYEENQXBNLERR7V3K" hidden="1">#REF!</definedName>
    <definedName name="BExCU2834920JBHSPCRC4UF80OLL" hidden="1">#REF!</definedName>
    <definedName name="BExCU4BSHI606RUQG8AZK30NZLUX" hidden="1">#REF!</definedName>
    <definedName name="BExCU8O54I3P3WRYWY1CRP3S78QY" hidden="1">#REF!</definedName>
    <definedName name="BExCU9F2HSDXPLRVWUBSP3IBTNQI" hidden="1">#REF!</definedName>
    <definedName name="BExCUD0ODNYCHWJQL1QLDSUJ6SHJ" hidden="1">#REF!</definedName>
    <definedName name="BExCUD60H1UMM2E28QIX022PMAO3" hidden="1">#REF!</definedName>
    <definedName name="BExCUDRJO23YOKT8GPWOVQ4XEHF5" hidden="1">#REF!</definedName>
    <definedName name="BExCUPAWHM0P4BSKFZ5SJKV1ERM7" hidden="1">#REF!</definedName>
    <definedName name="BExCUPAXFR16YMWL30ME3F3BSRDZ" hidden="1">#REF!</definedName>
    <definedName name="BExCUR94DHCE47PUUWEMT5QZOYR2" hidden="1">#REF!</definedName>
    <definedName name="BExCUW1Q2AR1JX2Z1B9CGJ6H60GY" hidden="1">#REF!</definedName>
    <definedName name="BExCUW1RF5RHW7OK9J4GFUGR30IK" hidden="1">#REF!</definedName>
    <definedName name="BExCV2XWXOQ7EHONPW3BEQURVUPD" hidden="1">#REF!</definedName>
    <definedName name="BExCV634L7SVHGB0UDDTRRQ2Q72H" hidden="1">#REF!</definedName>
    <definedName name="BExCVBXG4TTE2ERW52ZA09FBTDH2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KH0KFLY4D0IVRFGVTJYRXFX" hidden="1">#REF!</definedName>
    <definedName name="BExCVOYVASHY1H4L4OTPV9E14CED" hidden="1">#REF!</definedName>
    <definedName name="BExCVV44WY5807WGMTGKPW0GT256" hidden="1">#REF!</definedName>
    <definedName name="BExCVWLXVAKW0MGL9EAXK4DRRB6T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ELAORLI7X3DRA8FREWDXAIA" hidden="1">#REF!</definedName>
    <definedName name="BExCWOXN5R0D1NWTGN8B05Q6D05Z" hidden="1">#REF!</definedName>
    <definedName name="BExCWPDPESGZS07QGBLSBWDNVJLZ" hidden="1">#REF!</definedName>
    <definedName name="BExCWTVKHIVCRHF8GC39KI58YM5K" hidden="1">#REF!</definedName>
    <definedName name="BExCWTVKKQ471ZLNFKZLJU6P9KHB" hidden="1">#REF!</definedName>
    <definedName name="BExCWX69ER7R6C6VGOZAPRGXJR2R" hidden="1">#REF!</definedName>
    <definedName name="BExCX1DAKCFM9WMUHEORKJ2E81QJ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AYLA3TMOHIRCEXCXXUSNOKZ" hidden="1">#REF!</definedName>
    <definedName name="BExCXC0EIRZGKHGFWVH6BZGZKSL5" hidden="1">#REF!</definedName>
    <definedName name="BExCXCRAUANNF3NKOJMGXTGJ2FXR" hidden="1">#REF!</definedName>
    <definedName name="BExCXILMURGYMAH6N5LF5DV6K3GM" hidden="1">#REF!</definedName>
    <definedName name="BExCXQUFBMXQ1650735H48B1AZT3" hidden="1">#REF!</definedName>
    <definedName name="BExCXUQOU0JT1VT8B92WB8GF1HZH" hidden="1">#REF!</definedName>
    <definedName name="BExCY28A3BNWBPV7GHWFWJIATHM3" hidden="1">#REF!</definedName>
    <definedName name="BExCY2DQO9VLA77Q7EG3T0XNXX4F" hidden="1">#REF!</definedName>
    <definedName name="BExCY4H9JMPB090TG2SILY28IPCR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JBFTWF6RNBJA55ETBRURY9A" hidden="1">#REF!</definedName>
    <definedName name="BExCYK7MZ56O5XIV8T5XIE9VBQXN" hidden="1">#REF!</definedName>
    <definedName name="BExCYNYKM8TV43V05CQJ72UM9XLN" hidden="1">#REF!</definedName>
    <definedName name="BExCYPRC5HJE6N2XQTHCT6NXGP8N" hidden="1">#REF!</definedName>
    <definedName name="BExCYUK0I3UEXZNFDW71G6Z6D8XR" hidden="1">#REF!</definedName>
    <definedName name="BExCYV5KJMHSL9LI9U5QUYE982OU" hidden="1">#REF!</definedName>
    <definedName name="BExCZ271IA3PAIMYLQZUIVK7ABPB" hidden="1">#REF!</definedName>
    <definedName name="BExCZAADO0NTA0XQBSVJ7TGPG3TH" hidden="1">#REF!</definedName>
    <definedName name="BExCZBHJ4ZDFD4N4ZS7VAL7FA7P7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6SXR2OPV4282WTX6ARRQ4JS" hidden="1">#REF!</definedName>
    <definedName name="BExD07EKH1B076B419026D2SJDV5" hidden="1">#REF!</definedName>
    <definedName name="BExD0BWE0I9GX34DWQD3YOWA33T3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71JYMUDXQTQEITA6DXV3F" hidden="1">#REF!</definedName>
    <definedName name="BExD0ZKSM233W6G3KOWSSDHZTWCT" hidden="1">#REF!</definedName>
    <definedName name="BExD13RUIBGRXDL4QDZ305UKUR12" hidden="1">#REF!</definedName>
    <definedName name="BExD14DETV5R4OOTMAXD5NAKWRO3" hidden="1">#REF!</definedName>
    <definedName name="BExD17TJZ14XX1KNLKGNWO0RBYXZ" hidden="1">#REF!</definedName>
    <definedName name="BExD189NLCZ0MV1E8GXPW23W160D" hidden="1">#REF!</definedName>
    <definedName name="BExD1JCVKF10R6V14LMYWWI20AU5" hidden="1">#REF!</definedName>
    <definedName name="BExD1KELHRRCWI97S12LULOQWYK1" hidden="1">#REF!</definedName>
    <definedName name="BExD1OAU9OXQAZA4D70HP72CU6GB" hidden="1">#REF!</definedName>
    <definedName name="BExD1OWEE759NTYPT3MQIKVYXQ6M" hidden="1">#REF!</definedName>
    <definedName name="BExD1Y1JV61416YA1XRQHKWPZIE7" hidden="1">#REF!</definedName>
    <definedName name="BExD258E4QIXGRLJ5SB2OO6HTG6I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RMSOCW29ZLJ226FVCE2K34" hidden="1">#REF!</definedName>
    <definedName name="BExD2RESIY58CQZZCHHJY7AM6RTX" hidden="1">#REF!</definedName>
    <definedName name="BExD2RK9LE7I985N677G3WNH5DIV" hidden="1">#REF!</definedName>
    <definedName name="BExD2SWQZK29WEEGTO19NQQQYL12" hidden="1">#REF!</definedName>
    <definedName name="BExD363H2VGFIQUCE6LS4AC5J0ZT" hidden="1">#REF!</definedName>
    <definedName name="BExD37W7YUULHO5DGYRP7KYM65NC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KHE8RGUP5UI2G6Q29I4B31C" hidden="1">#REF!</definedName>
    <definedName name="BExD3NMR7AW2Z6V8SC79VQR37NA6" hidden="1">#REF!</definedName>
    <definedName name="BExD3PKTT0MHJPK56ADYPFIYXKO7" hidden="1">#REF!</definedName>
    <definedName name="BExD3Q6E02ZR67RBKD2JEU41ZQB9" hidden="1">#REF!</definedName>
    <definedName name="BExD3QXA2UQ2W4N7NYLUEOG40BZB" hidden="1">#REF!</definedName>
    <definedName name="BExD3U2N041TEJ7GCN005UTPHNXY" hidden="1">#REF!</definedName>
    <definedName name="BExD402G1J5YFOCS6C4ZG8A5I6XP" hidden="1">#REF!</definedName>
    <definedName name="BExD40O0CFTNJFOFMMM1KH0P7BUI" hidden="1">#REF!</definedName>
    <definedName name="BExD47UZN79E7UZ1PF13H1AL03VT" hidden="1">#REF!</definedName>
    <definedName name="BExD4B5OJKUPJMFR7AZJGR6UVR3E" hidden="1">#REF!</definedName>
    <definedName name="BExD4BR9HJ3MWWZ5KLVZWX9FJAUS" hidden="1">#REF!</definedName>
    <definedName name="BExD4C20DFGEOZMJ8TKTT7T1766G" hidden="1">#REF!</definedName>
    <definedName name="BExD4F1WTKT3H0N9MF4H1LX7MBSY" hidden="1">#REF!</definedName>
    <definedName name="BExD4G3NND4HF2RHGIIYZ0VK862E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4RHMHOHG2WM6HI950PSP13F8" hidden="1">#REF!</definedName>
    <definedName name="BExD4ZFLZ4ED9ULJDCSC8085HVUM" hidden="1">#REF!</definedName>
    <definedName name="BExD50MT3M6XZLNUP9JL93EG6D9R" hidden="1">#REF!</definedName>
    <definedName name="BExD524Q0YOODSKNSWR5KDBRH311" hidden="1">#REF!</definedName>
    <definedName name="BExD589TKST4W3P3JDSR19G91SQB" hidden="1">#REF!</definedName>
    <definedName name="BExD5EV7KDSVF1CJT38M4IBPFLPY" hidden="1">#REF!</definedName>
    <definedName name="BExD5FRK547OESJRYAW574DZEZ7J" hidden="1">#REF!</definedName>
    <definedName name="BExD5GT8SDTAWYUCBG370CZMGUH4" hidden="1">#REF!</definedName>
    <definedName name="BExD5I5X2YA2YNCTCDSMEL4CWF4N" hidden="1">#REF!</definedName>
    <definedName name="BExD5J2A0WXOK93BZS7ZTQ9K2I4B" hidden="1">#REF!</definedName>
    <definedName name="BExD5KEQFG0G615DXFKVBRM3Q3U6" hidden="1">#REF!</definedName>
    <definedName name="BExD5P7D7B3TCMJQY4TM56KCPB73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A6ODUKTGG216KG96DKJ440V" hidden="1">#REF!</definedName>
    <definedName name="BExD6BZF6UGC8YXEZJ8URJDY0HUJ" hidden="1">#REF!</definedName>
    <definedName name="BExD6CQA7UMJBXV7AIFAIHUF2ICX" hidden="1">#REF!</definedName>
    <definedName name="BExD6DS53ESJ7V4PYNGA1CJ1EBU0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IKS11BT443C9T7CLLMTL7VL" hidden="1">#REF!</definedName>
    <definedName name="BExD6JH40FK92QAMKYZWUIFT25CK" hidden="1">#REF!</definedName>
    <definedName name="BExD6MH0QTODM2986R2MJK5EI90S" hidden="1">#REF!</definedName>
    <definedName name="BExD6XV0BDU8LPQPWSKHU0XX0UPR" hidden="1">#REF!</definedName>
    <definedName name="BExD71LTOE015TV5RSAHM8NT8GVW" hidden="1">#REF!</definedName>
    <definedName name="BExD73USXVADC7EHGHVTQNCT06ZA" hidden="1">#REF!</definedName>
    <definedName name="BExD7705VC9G4L1WWF1BR48RNQHP" hidden="1">#REF!</definedName>
    <definedName name="BExD7CE8ZR0EL3ZQP0AYQ5XQUH9L" hidden="1">#REF!</definedName>
    <definedName name="BExD7DALXPNRTY3AT88MPSV3Y2MP" hidden="1">#REF!</definedName>
    <definedName name="BExD7GAIGULTB3YHM1OS9RBQOTEC" hidden="1">#REF!</definedName>
    <definedName name="BExD7GAIHX094KROB46WFTL2XBWL" hidden="1">#REF!</definedName>
    <definedName name="BExD7IE1DHIS52UFDCTSKPJQNRD5" hidden="1">#REF!</definedName>
    <definedName name="BExD7IUBGUWHYC9UNZ1IY5XFYKQN" hidden="1">#REF!</definedName>
    <definedName name="BExD7IUC1C9UMSIY36EH9MZ0NTCR" hidden="1">#REF!</definedName>
    <definedName name="BExD7IZMKM0QIFE7EV1NYL6EZVJZ" hidden="1">#REF!</definedName>
    <definedName name="BExD7JQOJ35HGL8U2OCEI2P2JT7I" hidden="1">#REF!</definedName>
    <definedName name="BExD7KSDKNDNH95NDT3S7GM3MUU2" hidden="1">#REF!</definedName>
    <definedName name="BExD7L359CQDPCPS4ROPUFKOVTP1" hidden="1">#REF!</definedName>
    <definedName name="BExD7SVOH5J3ZVHK9KI2N1XE0CC3" hidden="1">#REF!</definedName>
    <definedName name="BExD7V4PCVR1ACVPOJXKJ4CSROIX" hidden="1">#REF!</definedName>
    <definedName name="BExD7ZMCPC6VYM2WVZ95T9OLAOR6" hidden="1">#REF!</definedName>
    <definedName name="BExD819S39VUTMASCBMYI883THJ3" hidden="1">#REF!</definedName>
    <definedName name="BExD8CYKX2WGEDSW6KFP6MND1PM0" hidden="1">#REF!</definedName>
    <definedName name="BExD8H5MGJFMK4HK6DOAGTFYV6JT" hidden="1">#REF!</definedName>
    <definedName name="BExD8H5O087KQVWIVPUUID5VMGMS" hidden="1">#REF!</definedName>
    <definedName name="BExD8KWFYVMYYY2YJ34JT4QNLLTE" hidden="1">#REF!</definedName>
    <definedName name="BExD8OCLZMFN5K3VZYI4Q4ITVKUA" hidden="1">#REF!</definedName>
    <definedName name="BExD8YZKMEMKKKOUAUL6OYGVXWAT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IBKJK6DN9GIBS0K6BHI7V9G" hidden="1">#REF!</definedName>
    <definedName name="BExD9IMBI0P6S6QRAXHE26HMK86D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H30ZAEHH0ILYXS6JNAQQRM6" hidden="1">#REF!</definedName>
    <definedName name="BExDAUQ0KUOLPZHMIAFMDTGE41TN" hidden="1">#REF!</definedName>
    <definedName name="BExDAW7ZPKM0EXBN8OKQ0CKOK5CZ" hidden="1">#REF!</definedName>
    <definedName name="BExDAWD8XH2MWO1FGRMBTARR2LLR" hidden="1">#REF!</definedName>
    <definedName name="BExDAYBHU9ADLXI8VRC7F608RVGM" hidden="1">#REF!</definedName>
    <definedName name="BExDB15W1AC0R479PMXH7PZ9DHVD" hidden="1">#REF!</definedName>
    <definedName name="BExDB39GNDHCPPB7U2PZQO5TJ1OI" hidden="1">#REF!</definedName>
    <definedName name="BExDBDR1XR0FV0CYUCB2OJ7CJCZU" hidden="1">#REF!</definedName>
    <definedName name="BExDBECNFJKO0HIOIKTWDCSWP755" hidden="1">#REF!</definedName>
    <definedName name="BExDBI8WRY61SHXKAT4UFXLB15E8" hidden="1">#REF!</definedName>
    <definedName name="BExDBNN4FEZ1JIW6X6KRJ2UN68NC" hidden="1">#REF!</definedName>
    <definedName name="BExDBZBW3EHQF6J0XXIT3ZMXPL8C" hidden="1">#REF!</definedName>
    <definedName name="BExDC7F818VN0S18ID7XRCRVYPJ4" hidden="1">#REF!</definedName>
    <definedName name="BExDCL7K96PC9VZYB70ZW3QPVIJE" hidden="1">#REF!</definedName>
    <definedName name="BExDCMPIHH27EAXTDLP095HYA29X" hidden="1">#REF!</definedName>
    <definedName name="BExDCP3UZ3C2O4C1F7KMU0Z9U32N" hidden="1">#REF!</definedName>
    <definedName name="BExENRJDC2MGQRJ6EHLAWX5I4SRS" hidden="1">#REF!</definedName>
    <definedName name="BExENY4RR8DLB6GU6BYD0BXOS7FF" hidden="1">#REF!</definedName>
    <definedName name="BExEOBX3WECDMYCV9RLN49APTXMM" hidden="1">#REF!</definedName>
    <definedName name="BExEP4E4F36662JDI0TOD85OP7X9" hidden="1">#REF!</definedName>
    <definedName name="BExEP7388TKNL6FEJW00XN7FHEUG" hidden="1">#REF!</definedName>
    <definedName name="BExEPFHCGHQCU4JH57NHQNSXOEJN" hidden="1">#REF!</definedName>
    <definedName name="BExEPG87VKU9J9EY35VENIGNU2OZ" hidden="1">#REF!</definedName>
    <definedName name="BExEPKKRNINOJP3O0K93UPG56DT4" hidden="1">#REF!</definedName>
    <definedName name="BExEPN9VIYI0FVL0HLZQXJFO6TT0" hidden="1">#REF!</definedName>
    <definedName name="BExEPO6707V3FOR3N5R98DGGCGX6" hidden="1">#REF!</definedName>
    <definedName name="BExEPWV4QQJ514BCY6VTMKVIE5CP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73QE34MW57L1HFXSTB7QEG" hidden="1">#REF!</definedName>
    <definedName name="BExEQDXZALJLD4OBF74IKZBR13SR" hidden="1">#REF!</definedName>
    <definedName name="BExEQF5B8LTSVJEDIJG6H1W2I5ZZ" hidden="1">#REF!</definedName>
    <definedName name="BExEQFLE2RPWGMWQAI4JMKUEFRPT" hidden="1">#REF!</definedName>
    <definedName name="BExEQRA61UNIX23OGWKP8B91W73C" hidden="1">#REF!</definedName>
    <definedName name="BExEQTZAP8R69U31W4LKGTKKGKQE" hidden="1">#REF!</definedName>
    <definedName name="BExEQV6GHAWXJ52VNE8FYMWIHAC1" hidden="1">#REF!</definedName>
    <definedName name="BExER1BQFMDTURFBNAFR2KPUVF8B" hidden="1">#REF!</definedName>
    <definedName name="BExER2O72H1F9WV6S1J04C15PXX7" hidden="1">#REF!</definedName>
    <definedName name="BExER5DBAXHZG5IKBWT5KW0U4EFF" hidden="1">#REF!</definedName>
    <definedName name="BExER9V51VADKYEFADXR2RKTXDQ4" hidden="1">#REF!</definedName>
    <definedName name="BExERCETL5ZVXSS6EENB85QCSRYG" hidden="1">#REF!</definedName>
    <definedName name="BExERECZHZGVRPAXZZY2BEX3PRVA" hidden="1">#REF!</definedName>
    <definedName name="BExERIUTB21WQ9WVQXUCDCGSH23E" hidden="1">#REF!</definedName>
    <definedName name="BExERN76V4LKXTLZYVT1VVYQ097U" hidden="1">#REF!</definedName>
    <definedName name="BExERRUIKIOATPZ9U4HQ0V52RJAU" hidden="1">#REF!</definedName>
    <definedName name="BExERSANFNM1O7T65PC5MJ301YET" hidden="1">#REF!</definedName>
    <definedName name="BExERSLFEDXNMOLAZ2VOI6VVJCBW" hidden="1">#REF!</definedName>
    <definedName name="BExERWCEBKQRYWRQLYJ4UCMMKTHG" hidden="1">#REF!</definedName>
    <definedName name="BExERWSHS5678NWP0NM8J09K2OGY" hidden="1">#REF!</definedName>
    <definedName name="BExERY54CU3ERP4VHXXXMKTBUK6U" hidden="1">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H0PFGA7UXGJ9GMPJTQRJE0R" hidden="1">#REF!</definedName>
    <definedName name="BExESMKD95A649M0WRSG6CXXP326" hidden="1">#REF!</definedName>
    <definedName name="BExESR27ZXJG5VMY4PR9D940VS7T" hidden="1">#REF!</definedName>
    <definedName name="BExESYEI64JTXSUZEO9X1FLOBM65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QFFLH766OHX0PD3NEIK0DIF" hidden="1">#REF!</definedName>
    <definedName name="BExETR0YRMOR63E6DHLEHV9QVVON" hidden="1">#REF!</definedName>
    <definedName name="BExETVDCXGPYA4OP2UI1URTJ60TK" hidden="1">#REF!</definedName>
    <definedName name="BExETVINVVTDF0QHV2Q0CIPW9GMY" hidden="1">#REF!</definedName>
    <definedName name="BExETVTGY38YXYYF7N73OYN6FYY3" hidden="1">#REF!</definedName>
    <definedName name="BExETWPUC9NCS7PZN4ZE5BLWZSTD" hidden="1">#REF!</definedName>
    <definedName name="BExEU53X4XZNBIAE70GLS6OX3IB3" hidden="1">#REF!</definedName>
    <definedName name="BExEUIAOV5DHBG6603QY0QCQSKDN" hidden="1">#REF!</definedName>
    <definedName name="BExEUKE79FPJB6NTIDBUYAEIANRL" hidden="1">#REF!</definedName>
    <definedName name="BExEUM6Y5MUDV2WYYY9ICV8796JQ" hidden="1">#REF!</definedName>
    <definedName name="BExEUN3BC4PCZYNVFRFGAQ8T6C9G" hidden="1">#REF!</definedName>
    <definedName name="BExEUNE4T242Y59C6MS28MXEUGCP" hidden="1">#REF!</definedName>
    <definedName name="BExEUTOOSAR1CJ6S2O9NTTQMWXNZ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AM8BLTWVS6IMVJWDOZBQK9R" hidden="1">#REF!</definedName>
    <definedName name="BExEVET98G3FU6QBF9LHYWSAMV0O" hidden="1">#REF!</definedName>
    <definedName name="BExEVL3UZ22W55ZRF3F0J21PKQLX" hidden="1">#REF!</definedName>
    <definedName name="BExEVNCUT0PDUYNJH7G6BSEWZOT2" hidden="1">#REF!</definedName>
    <definedName name="BExEVO98LPGC3L6AOU1F7UGGNYUZ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N9JK18HRVOYHVOLS6KVPWW" hidden="1">#REF!</definedName>
    <definedName name="BExEVZSJWMZ5L2ZE7AZC57CXKW6T" hidden="1">#REF!</definedName>
    <definedName name="BExEW0JL1GFFCXMDGW54CI7Y8FZN" hidden="1">#REF!</definedName>
    <definedName name="BExEW6357VV6LVZCWOOM0R3T78QK" hidden="1">#REF!</definedName>
    <definedName name="BExEW68M9WL8214QH9C7VCK7BN08" hidden="1">#REF!</definedName>
    <definedName name="BExEW8HFKH6F47KIHYBDRUEFZ2ZZ" hidden="1">#REF!</definedName>
    <definedName name="BExEWB184P3J7STL9CB8JM4E0PQU" hidden="1">#REF!</definedName>
    <definedName name="BExEWH12A0LGMHICKSIFVAXVFFRQ" hidden="1">#REF!</definedName>
    <definedName name="BExEWHXF5F2E8FN7TRI5U2ZY0T0P" hidden="1">#REF!</definedName>
    <definedName name="BExEWLIW2NUJWZ8XZKRL0ILLMS1G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WQ62P5HJR2UWDSWHHTTPKKC1" hidden="1">#REF!</definedName>
    <definedName name="BExEX6Y9WBPSF4OHBYXZFV7BDX7V" hidden="1">#REF!</definedName>
    <definedName name="BExEX85F3OSW8NSCYGYPS9372Z1Q" hidden="1">#REF!</definedName>
    <definedName name="BExEX9HWY2G6928ZVVVQF77QCM2C" hidden="1">#REF!</definedName>
    <definedName name="BExEXAZU7SH054JN7IX7XRONA5AB" hidden="1">#REF!</definedName>
    <definedName name="BExEXBQWAYKMVBRJRHB8PFCSYFVN" hidden="1">#REF!</definedName>
    <definedName name="BExEXRBZ0DI9E2UFLLKYWGN66B61" hidden="1">#REF!</definedName>
    <definedName name="BExEY067KMBNYP9WMRGOH8ITDBLD" hidden="1">#REF!</definedName>
    <definedName name="BExEYGCSYH6XC1X89ZT8VJVQ6THP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Y17N22FDMK6IA4HQRCTNPYL" hidden="1">#REF!</definedName>
    <definedName name="BExEZ1S6VZCG01ZPLBSS9Z1SBOJ2" hidden="1">#REF!</definedName>
    <definedName name="BExEZ4S2IWEFT0JL33YTOSGI565J" hidden="1">#REF!</definedName>
    <definedName name="BExEZ6Q5U7WVN6AC2XKHN79965VJ" hidden="1">#REF!</definedName>
    <definedName name="BExEZ76F0QCUNB5KVOV7IPN9LU1F" hidden="1">#REF!</definedName>
    <definedName name="BExEZFPZKLS4GGKV39NX0GL8AK7B" hidden="1">#REF!</definedName>
    <definedName name="BExEZGBFNJR8DLPN0V11AU22L6WY" hidden="1">#REF!</definedName>
    <definedName name="BExEZJGSWBVM8IT2M5IWP4WJ4ACK" hidden="1">#REF!</definedName>
    <definedName name="BExEZKYQ2MZ3MTDNM26Y49T5814F" hidden="1">#REF!</definedName>
    <definedName name="BExEZQYJW81F362CWKW5HLAAM45I" hidden="1">#REF!</definedName>
    <definedName name="BExEZSWLMZZ2RK34GSJ9Q3NPCFT2" hidden="1">#REF!</definedName>
    <definedName name="BExF02NBRODCXAW2VINDH7GU4HNV" hidden="1">#REF!</definedName>
    <definedName name="BExF02Y3V3QEPO2XLDSK47APK9XJ" hidden="1">#REF!</definedName>
    <definedName name="BExF03ZU1MS4BHJ1Q9SK6RWV9KQA" hidden="1">#REF!</definedName>
    <definedName name="BExF09OS91RT7N7IW8JLMZ121ZP3" hidden="1">#REF!</definedName>
    <definedName name="BExF0CU700YC4JNUR2N4HBK4T4KG" hidden="1">#REF!</definedName>
    <definedName name="BExF0L2TP18E48BYIVEYR9BGX4HR" hidden="1">#REF!</definedName>
    <definedName name="BExF0LOEHV42P2DV7QL8O7HOQ3N9" hidden="1">#REF!</definedName>
    <definedName name="BExF0QH116YF95UAL83HSM0C2X7Y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00VK438ANZMJEAPZ2RQDB8U" hidden="1">#REF!</definedName>
    <definedName name="BExF21OBXGVA9D1CPMHVJHL599BC" hidden="1">#REF!</definedName>
    <definedName name="BExF28PXA9VBW4OZ74OITX6LHR12" hidden="1">#REF!</definedName>
    <definedName name="BExF2AYRZMMRRO0MLYUNCVG813JD" hidden="1">#REF!</definedName>
    <definedName name="BExF2CWZN6E87RGTBMD4YQI2QT7R" hidden="1">#REF!</definedName>
    <definedName name="BExF2DYO1WQ7GMXSTAQRDBW1NSFG" hidden="1">#REF!</definedName>
    <definedName name="BExF2FRF55B0ZZ9COP7U6SMI63EY" hidden="1">#REF!</definedName>
    <definedName name="BExF2J23VZ79CZHALNQCJK5Y0L1B" hidden="1">#REF!</definedName>
    <definedName name="BExF2LR83KWDOSK9ACAROCGMTQ8X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2ZE30YRLDHV96N3YYIJU1VNE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AS2T7GFVNU9JPBXWUQH845Y" hidden="1">#REF!</definedName>
    <definedName name="BExF3GBMLCA5ZT2251N0N3CRN11O" hidden="1">#REF!</definedName>
    <definedName name="BExF3I9T44X7DV9HHV51DVDDPPZG" hidden="1">#REF!</definedName>
    <definedName name="BExF3JMFX5DILOIFUDIO1HZUK875" hidden="1">#REF!</definedName>
    <definedName name="BExF3JRRF74O1HC8O5FOTSG9JSL9" hidden="1">#REF!</definedName>
    <definedName name="BExF3M0MIF7BHF2KO1FVMRVJJO72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3RET913530OJZJYWUA4LCSLF" hidden="1">#REF!</definedName>
    <definedName name="BExF41R5NGAQNJG2K9BQ0ZZ0SNA8" hidden="1">#REF!</definedName>
    <definedName name="BExF42SSBVPMLK2UB3B7FPEIY9TU" hidden="1">#REF!</definedName>
    <definedName name="BExF4ALDK0G7O7RTN6XM08TO6S5G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S9699W7VXVK6ZMDVPS8PJ" hidden="1">#REF!</definedName>
    <definedName name="BExF52GTGP8MHGII4KJ8TJGR8W8U" hidden="1">#REF!</definedName>
    <definedName name="BExF5448HU1T553GKGYC4TW2RAL9" hidden="1">#REF!</definedName>
    <definedName name="BExF57K7L3UC1I2FSAWURR4SN0UN" hidden="1">#REF!</definedName>
    <definedName name="BExF58GKRLQRA1XCRM1X279IUVE3" hidden="1">#REF!</definedName>
    <definedName name="BExF597HEUW1EF5LSFMNOVYXSU18" hidden="1">#REF!</definedName>
    <definedName name="BExF59NQHJ39J7AF8B91RVX0H3P6" hidden="1">#REF!</definedName>
    <definedName name="BExF5D96JEPDW6LV89G2REZJ1ES7" hidden="1">#REF!</definedName>
    <definedName name="BExF5GJX80DWUEQ7EQ8W7HJZ716X" hidden="1">#REF!</definedName>
    <definedName name="BExF5HR2GFV7O8LKG9SJ4BY78LYA" hidden="1">#REF!</definedName>
    <definedName name="BExF5LCIHOFUN6H68340BMTQKZRQ" hidden="1">#REF!</definedName>
    <definedName name="BExF5SZKGMQ16O6OAPEFU1Y6NPWA" hidden="1">#REF!</definedName>
    <definedName name="BExF5UXNG7RD57K7SX4C6TXISETW" hidden="1">#REF!</definedName>
    <definedName name="BExF5ZFO2A29GHWR5ES64Z9OS16J" hidden="1">#REF!</definedName>
    <definedName name="BExF60HCX85MO0AW7PSRH7H8ZNYR" hidden="1">#REF!</definedName>
    <definedName name="BExF63S045JO7H2ZJCBTBVH3SUIF" hidden="1">#REF!</definedName>
    <definedName name="BExF642TEGTXCI9A61ZOONJCB0U1" hidden="1">#REF!</definedName>
    <definedName name="BExF65FFOHNFLM63A7M0XSPHOAGY" hidden="1">#REF!</definedName>
    <definedName name="BExF67O951CF8UJF3KBDNR0E83C1" hidden="1">#REF!</definedName>
    <definedName name="BExF6D7STBW83YBN17WGH4Y5C1LP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JNWE4H8L694Y8Z1VCZ9EMVP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1SL7S5BDGRZ694893ZZ2ZTI" hidden="1">#REF!</definedName>
    <definedName name="BExF73W3S1LF7U18Z5H569SV4X8C" hidden="1">#REF!</definedName>
    <definedName name="BExF76FV8SF7AJK7B35AL7VTZF6D" hidden="1">#REF!</definedName>
    <definedName name="BExF76VZHQGGI560466LN5W9HY7A" hidden="1">#REF!</definedName>
    <definedName name="BExF7EOIMC1OYL1N7835KGOI0FIZ" hidden="1">#REF!</definedName>
    <definedName name="BExF7FVNFEHQQH5MIO6AIUWSERR7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RV9JQHNUU59Z7TLWW2ARAN8" hidden="1">#REF!</definedName>
    <definedName name="BExF81GI8B8WBHXFTET68A9358BR" hidden="1">#REF!</definedName>
    <definedName name="BExF845O0O51ABMW84E2F2OYACK9" hidden="1">#REF!</definedName>
    <definedName name="BExF84R8ZH2K4C0CYI1IVFH8WUYD" hidden="1">#REF!</definedName>
    <definedName name="BExF9CTA0UGH0U2JUPUJKMEEI1Z2" hidden="1">#REF!</definedName>
    <definedName name="BExGKNC6UCNO0YTOPVJZMQ34IVMH" hidden="1">#REF!</definedName>
    <definedName name="BExGKT17Q7NLLXEVPD5JH5USNBZN" hidden="1">#REF!</definedName>
    <definedName name="BExGL97US0Y3KXXASUTVR26XLT70" hidden="1">#REF!</definedName>
    <definedName name="BExGLC7R4C33RO0PID97ZPPVCW4M" hidden="1">#REF!</definedName>
    <definedName name="BExGLEB8N99N9X6WNWUA6PQP7T9A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EFBL47KYW564WF1RQ6VY453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RWVDOIVRSMU3IOYBC7DJFZF" hidden="1">#REF!</definedName>
    <definedName name="BExGMZ3SRIXLXMWBVOXXV3M4U4YL" hidden="1">#REF!</definedName>
    <definedName name="BExGMZ3UBN48IXU1ZEFYECEMZ1IM" hidden="1">#REF!</definedName>
    <definedName name="BExGN0LRKAPMAKXJTDAKS7Q1MV6S" hidden="1">#REF!</definedName>
    <definedName name="BExGN2EHPEBICE9AWH198YX7PR0T" hidden="1">#REF!</definedName>
    <definedName name="BExGN4I0QATXNZCLZJM1KH1OIJQH" hidden="1">#REF!</definedName>
    <definedName name="BExGN9FZ2RWCMSY1YOBJKZMNIM9R" hidden="1">#REF!</definedName>
    <definedName name="BExGNCFW1HJRE2CBZ65J7JB4DCF3" hidden="1">#REF!</definedName>
    <definedName name="BExGNDSIMTHOCXXG6QOGR6DA8SGG" hidden="1">#REF!</definedName>
    <definedName name="BExGNM6LSXPSOUTK1HNE8P2S6E1W" hidden="1">#REF!</definedName>
    <definedName name="BExGNN2YQ9BDAZXT2GLCSAPXKIM7" hidden="1">#REF!</definedName>
    <definedName name="BExGNPBUQ4MFVXFVD9LJPL5PZU68" hidden="1">#REF!</definedName>
    <definedName name="BExGNSS0CKRPKHO25R3TDBEL2NHX" hidden="1">#REF!</definedName>
    <definedName name="BExGNY0QLNC9ABLDI090MH3E2EOW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E7C2HSW9M6L6R25H0Z4JEKM" hidden="1">#REF!</definedName>
    <definedName name="BExGOH79FXG73DDR0I9C0NDKYMWI" hidden="1">#REF!</definedName>
    <definedName name="BExGOI3M84PCOV0FSX0APR834A9T" hidden="1">#REF!</definedName>
    <definedName name="BExGOIP70J7SYTF5YOUC2Z68BUT3" hidden="1">#REF!</definedName>
    <definedName name="BExGOL903YF63SRYHHD7UNE2B0E7" hidden="1">#REF!</definedName>
    <definedName name="BExGOROWSCEN1I6IXZVXWNFSY76K" hidden="1">#REF!</definedName>
    <definedName name="BExGOT6UXUX5FVTAYL9SOBZ1D0II" hidden="1">#REF!</definedName>
    <definedName name="BExGOXJDHUDPDT8I8IVGVW9J0R5Q" hidden="1">#REF!</definedName>
    <definedName name="BExGPB0QWZQYZ4O1B28QZMIZK4R5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0MK5EQZDYPGYLLTPWI24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AZHGL0KE5K7VR04VHPJBJX4" hidden="1">#REF!</definedName>
    <definedName name="BExGQGJ1A7LNZUS8QSMOG8UNGLMK" hidden="1">#REF!</definedName>
    <definedName name="BExGQOX5SC3QE5GND2P8HAHC7ZN6" hidden="1">#REF!</definedName>
    <definedName name="BExGQP2M90PWKZU8RDMLC9SJN90J" hidden="1">#REF!</definedName>
    <definedName name="BExGQPO7ENFEQC0NC6MC9OZR2LHY" hidden="1">#REF!</definedName>
    <definedName name="BExGQRM9NCME1AQA8RNH8GRKBEY8" hidden="1">#REF!</definedName>
    <definedName name="BExGQX0H4EZMXBJTKJJE4ICJWN5O" hidden="1">#REF!</definedName>
    <definedName name="BExGR23WEFG8G3CHQC5Q2M1VP9Q0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HZROC86IFGNDBDWZNBH5Q2V" hidden="1">#REF!</definedName>
    <definedName name="BExGRUKVVKDL8483WI70VN2QZDGD" hidden="1">#REF!</definedName>
    <definedName name="BExGRWOG8H774BWL55XHDM510RIO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2DB613EEN3GNNCTLCBQGG6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1FUJCP188ZEX4Y9FSWBGZ11" hidden="1">#REF!</definedName>
    <definedName name="BExGTE6BH7Z09RFNYXGRQ86K510R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O7NPS332WXBGH2ND7RW194P" hidden="1">#REF!</definedName>
    <definedName name="BExGTP429S15VELS3FAUSEZQTZUI" hidden="1">#REF!</definedName>
    <definedName name="BExGTQ0EDFY267QMQ9VCL4K77FG7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DOSWNBHDV5WYAMH7KO12T40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QKQY8S4R6RDAD8O7OKT9EWT" hidden="1">#REF!</definedName>
    <definedName name="BExGUQVJE1MV019H8EUN9O73RXA9" hidden="1">#REF!</definedName>
    <definedName name="BExGUR6BA03XPBK60SQUW197GJ5X" hidden="1">#REF!</definedName>
    <definedName name="BExGUVIP60TA4B7X2PFGMBFUSKGX" hidden="1">#REF!</definedName>
    <definedName name="BExGUVYYMCMEATWYS5UA7L9QJEZF" hidden="1">#REF!</definedName>
    <definedName name="BExGUZKF06F209XL1IZWVJEQ82EE" hidden="1">#REF!</definedName>
    <definedName name="BExGV2EVT380QHD4AP2RL9MR8L5L" hidden="1">#REF!</definedName>
    <definedName name="BExGV4YNRJMGGP94QSSHXS9COUIA" hidden="1">#REF!</definedName>
    <definedName name="BExGVFWDKW8LO48OL2ZZUGFJFDDA" hidden="1">#REF!</definedName>
    <definedName name="BExGVMSKVFL4JRAW7GS5ITTI2III" hidden="1">#REF!</definedName>
    <definedName name="BExGVV6OOLDQ3TXZK51TTF3YX0WN" hidden="1">#REF!</definedName>
    <definedName name="BExGVYBW8A78QH5193IPLLKG7TB0" hidden="1">#REF!</definedName>
    <definedName name="BExGW0KVOL93Z29HD7AAKNQ59I24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WVR10UYVK2X6HXBPD5XLS801" hidden="1">#REF!</definedName>
    <definedName name="BExGX453OMLZPGJF63K8PNB8EDJJ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QGVELUHEDSBNLEGTLOGNVS5" hidden="1">#REF!</definedName>
    <definedName name="BExGXWB73RJ4BASBQTQ8EY0EC1EB" hidden="1">#REF!</definedName>
    <definedName name="BExGXZ0ABB43C7SMRKZHWOSU9EQX" hidden="1">#REF!</definedName>
    <definedName name="BExGY0T0UPBWF73OV2QYIOSP1VVJ" hidden="1">#REF!</definedName>
    <definedName name="BExGY1K3IKKA2ZDXQZXQ3WMLZ1R6" hidden="1">#REF!</definedName>
    <definedName name="BExGY496ULF6QI0DDIFVFX6ZY6GG" hidden="1">#REF!</definedName>
    <definedName name="BExGY6SU3SYVCJ3AG2ITY59SAZ5A" hidden="1">#REF!</definedName>
    <definedName name="BExGY6YA4P5KMY2VHT0DYK3YTFAX" hidden="1">#REF!</definedName>
    <definedName name="BExGY7JVX5RLV0GHTD2CCOFAHPF9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HAGH0IZT9WAS43U752U84WI" hidden="1">#REF!</definedName>
    <definedName name="BExGYOS6TV2C72PLRFU8RP1I58GY" hidden="1">#REF!</definedName>
    <definedName name="BExGYXXCM53K2H84S4WZTHTHZPHE" hidden="1">#REF!</definedName>
    <definedName name="BExGYY2PBI68I55GPNKXV5RYR1WF" hidden="1">#REF!</definedName>
    <definedName name="BExGYY2PKGT2UKIWN4U78XX4EG01" hidden="1">#REF!</definedName>
    <definedName name="BExGYZ4JFR6CYBTDMOZD432Y78HJ" hidden="1">#REF!</definedName>
    <definedName name="BExGZ0MC1XT4VWABFT1UK2UMI0CP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SN96MC2HMMYQ3BMZ50490SJ" hidden="1">#REF!</definedName>
    <definedName name="BExGZYXS0GTA29TRAW6KAUBGG6D4" hidden="1">#REF!</definedName>
    <definedName name="BExH00L21GZX5YJJGVMOAWBERLP5" hidden="1">#REF!</definedName>
    <definedName name="BExH02JB82JTNGXOP9D1UXWGQINE" hidden="1">#REF!</definedName>
    <definedName name="BExH02ZD6VAY1KQLAQYBBI6WWIZB" hidden="1">#REF!</definedName>
    <definedName name="BExH07S0G89K66B9L0N60QG2QI5V" hidden="1">#REF!</definedName>
    <definedName name="BExH07XC83E8WXF2O7EJTNS1DOZD" hidden="1">#REF!</definedName>
    <definedName name="BExH08Z6LQCGGSGSAILMHX4X7JMD" hidden="1">#REF!</definedName>
    <definedName name="BExH0BISSJAL6EBR6HBU7ONQGDTT" hidden="1">#REF!</definedName>
    <definedName name="BExH0KT9Z8HEVRRQRGQ8YHXRLIJA" hidden="1">#REF!</definedName>
    <definedName name="BExH0KTA6PC3C1H961G6G3WB4ROD" hidden="1">#REF!</definedName>
    <definedName name="BExH0M0FDN12YBOCKL3XL2Z7T7Y8" hidden="1">#REF!</definedName>
    <definedName name="BExH0O9G06YPZ5TN9RYT326I1CP2" hidden="1">#REF!</definedName>
    <definedName name="BExH0SWLQW2D5G45ZXVQS5VHJUV7" hidden="1">#REF!</definedName>
    <definedName name="BExH0WNJAKTJRCKMTX8O4KNMIIJM" hidden="1">#REF!</definedName>
    <definedName name="BExH0Y5JGUO7Z6TD8HXAB8MDIXSA" hidden="1">#REF!</definedName>
    <definedName name="BExH12Y4WX542WI3ZEM15AK4UM9J" hidden="1">#REF!</definedName>
    <definedName name="BExH13E8MG78U3DXVBZY8GBJ712D" hidden="1">#REF!</definedName>
    <definedName name="BExH1AFVY3DFB10LXJXXA05EU6X8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KS2MS9X2F8BZFNT9S5MGT1A" hidden="1">#REF!</definedName>
    <definedName name="BExH1NRXNXU0WLQASP81I62087ON" hidden="1">#REF!</definedName>
    <definedName name="BExH1QMD1UU8X5NZERDZ7OIP3IBI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MUC1Y26YTBJQFPWFLYDTH1L" hidden="1">#REF!</definedName>
    <definedName name="BExH2UHF0QTJG107MULYB16WBJM9" hidden="1">#REF!</definedName>
    <definedName name="BExH2VU17ZSQ6UMFZ9FOP753TT9E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AD8DY8LIVPJLA3QUPSJFIV9" hidden="1">#REF!</definedName>
    <definedName name="BExH3BPW245WVGA1K1DGTL1XWDCH" hidden="1">#REF!</definedName>
    <definedName name="BExH3C5YMOE9ZNWOSY6C3SMW8TRB" hidden="1">#REF!</definedName>
    <definedName name="BExH3E9HZ3QJCDZW7WI7YACFQCHE" hidden="1">#REF!</definedName>
    <definedName name="BExH3IRB6764RQ5HBYRLH6XCT29X" hidden="1">#REF!</definedName>
    <definedName name="BExH4HTPYPQ91XIJ8IWIMHWOB0RA" hidden="1">#REF!</definedName>
    <definedName name="BExIG2U8V6RSB47SXLCQG3Q68YRO" hidden="1">#REF!</definedName>
    <definedName name="BExIG9FMY6OOSODNTWQJ2F28Y2FK" hidden="1">#REF!</definedName>
    <definedName name="BExIGJBO8R13LV7CZ7C1YCP974NN" hidden="1">#REF!</definedName>
    <definedName name="BExIGWT86FPOEYTI8GXCGU5Y3KGK" hidden="1">#REF!</definedName>
    <definedName name="BExIH1B2899ASA5GXMOQJEL86VCV" hidden="1">#REF!</definedName>
    <definedName name="BExIH51URLQJA6KNX5CJKIUIR5UQ" hidden="1">#REF!</definedName>
    <definedName name="BExIH57C5SA7UJGH9B8AQ9V77Z3Q" hidden="1">#REF!</definedName>
    <definedName name="BExIHBHXA7E7VUTBVHXXXCH3A5CL" hidden="1">#REF!</definedName>
    <definedName name="BExIHNMT9P59WY619GEWB1XONTAE" hidden="1">#REF!</definedName>
    <definedName name="BExIHNMTY8HBM7KQDSTMXEM6MHL4" hidden="1">#REF!</definedName>
    <definedName name="BExIHPQCQTGEW8QOJVIQ4VX0P6DX" hidden="1">#REF!</definedName>
    <definedName name="BExIHU2VSXTKRMO3RHJI6RZ206Q5" hidden="1">#REF!</definedName>
    <definedName name="BExIHZ6ALVREAYK4T741OOLGXOZA" hidden="1">#REF!</definedName>
    <definedName name="BExII1KN91Q7DLW0UB7W2TJ5ACT9" hidden="1">#REF!</definedName>
    <definedName name="BExII20QQ1K3GHOPL1ZQX5SL618M" hidden="1">#REF!</definedName>
    <definedName name="BExII50LI8I0CDOOZEMIVHVA2V95" hidden="1">#REF!</definedName>
    <definedName name="BExIIING7IGV7885M66T3MXARBDY" hidden="1">#REF!</definedName>
    <definedName name="BExIIO1TZFMAS2A4D7R2R5VJ8LZX" hidden="1">#REF!</definedName>
    <definedName name="BExIIXMY38TQD12CVV4S57L3I809" hidden="1">#REF!</definedName>
    <definedName name="BExIIY37NEVU2LGS1JE4VR9AN6W4" hidden="1">#REF!</definedName>
    <definedName name="BExIIY383UCRWNK3KH66ZZOCO2RZ" hidden="1">#REF!</definedName>
    <definedName name="BExIIYJAGXR8TPZ1KCYM7EGJ79UW" hidden="1">#REF!</definedName>
    <definedName name="BExIIYORKG971WRQIZGBILG9INHW" hidden="1">#REF!</definedName>
    <definedName name="BExIJ3160YCWGAVEU0208ZGXXG3P" hidden="1">#REF!</definedName>
    <definedName name="BExIJ8Q4WWPTKVONF0FPLTD4L7CH" hidden="1">#REF!</definedName>
    <definedName name="BExIJ9H7WQ31ITWKTXCOOV1NUUDC" hidden="1">#REF!</definedName>
    <definedName name="BExIJ9MI8QNCVF6L1SK4ZWC4CPJ7" hidden="1">#REF!</definedName>
    <definedName name="BExIJA2RF93YCVILVOHWW93TPOAW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S7H0NDK2O6QJYCB4P8O8QLF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JXLPF7PJ3483CPWWHM0G394P" hidden="1">#REF!</definedName>
    <definedName name="BExIJXWGKACXFRV2CKMXQ46WBMXV" hidden="1">#REF!</definedName>
    <definedName name="BExIJZP8AKK000EFDGK7KZ1YKRXT" hidden="1">#REF!</definedName>
    <definedName name="BExIK1HYQC7MUE9K38BZD7KKUSO7" hidden="1">#REF!</definedName>
    <definedName name="BExIKDSCQMPVBRDWHR90EW6QR47H" hidden="1">#REF!</definedName>
    <definedName name="BExIKHTXPZR5A8OHB6HDP6QWDHAD" hidden="1">#REF!</definedName>
    <definedName name="BExIKJBUKCOYH3DW1TIIC88YFG1F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45UAJTQCLO0PRR3OAT4FUN0" hidden="1">#REF!</definedName>
    <definedName name="BExIL69CVGADV0DIURRHHHXSME08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I8Z41WP1I83L06KGRLKLGUL" hidden="1">#REF!</definedName>
    <definedName name="BExILJ558DU4VWYTKQGUZWNZN6KS" hidden="1">#REF!</definedName>
    <definedName name="BExILMW45KM8M95CQ68OVS5FXISF" hidden="1">#REF!</definedName>
    <definedName name="BExILSVWTC5E3WMQOAI1J664ZU9U" hidden="1">#REF!</definedName>
    <definedName name="BExIM02UP3RCUWZ2RO86WO6595EZ" hidden="1">#REF!</definedName>
    <definedName name="BExIM4VIHO2A01156VQZWVN8MW57" hidden="1">#REF!</definedName>
    <definedName name="BExIM5RUNW4VT5J50Z2VVEIHFO54" hidden="1">#REF!</definedName>
    <definedName name="BExIM79T972VVB3URQUGFSRZMQUI" hidden="1">#REF!</definedName>
    <definedName name="BExIM9DBUB7ZGF4B20FVUO9QGOX2" hidden="1">#REF!</definedName>
    <definedName name="BExIMBBDO2OOFS27Z4VK6L1F05WH" hidden="1">#REF!</definedName>
    <definedName name="BExIMGK9Z94TFPWWZFMD10HV0IF6" hidden="1">#REF!</definedName>
    <definedName name="BExIMIT427CJSYOCFG8JGTIJC8EC" hidden="1">#REF!</definedName>
    <definedName name="BExIMLNOQWZCSUD7D820UUV0F4H5" hidden="1">#REF!</definedName>
    <definedName name="BExIMPEGKG18TELVC33T4OQTNBWC" hidden="1">#REF!</definedName>
    <definedName name="BExIMPUR11NIVR172S055PR17E7J" hidden="1">#REF!</definedName>
    <definedName name="BExIMTAR1TFV3DP2D7HWECJEOYUG" hidden="1">#REF!</definedName>
    <definedName name="BExIN3SELWXIGE9EWSK9QJ3RHFPD" hidden="1">#REF!</definedName>
    <definedName name="BExIN4OR435DL1US13JQPOQK8GD5" hidden="1">#REF!</definedName>
    <definedName name="BExIN8FK0VJT3CRRWGRO3XE26YZS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O0MM0VFZGX84AO4LV2VTJSL" hidden="1">#REF!</definedName>
    <definedName name="BExINP2H4KI05FRFV5PKZFE00HKO" hidden="1">#REF!</definedName>
    <definedName name="BExINVT50DNQFXWZEBLEC0HIJDBS" hidden="1">#REF!</definedName>
    <definedName name="BExINXLWVKHQFF67OF2JO6V7D5JC" hidden="1">#REF!</definedName>
    <definedName name="BExINYT1S9HTKX12F6T1MBDFL53T" hidden="1">#REF!</definedName>
    <definedName name="BExINZELVWYGU876QUUZCIMXPBQC" hidden="1">#REF!</definedName>
    <definedName name="BExIO292LEV9WRCC0DO6V12ORTX5" hidden="1">#REF!</definedName>
    <definedName name="BExIO35JJVCDT75BCL9WBPILB64C" hidden="1">#REF!</definedName>
    <definedName name="BExIOCQUQHKUU1KONGSDOLQTQEIC" hidden="1">#REF!</definedName>
    <definedName name="BExIOEUDLMQULYKSXV94CO63QD9I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OZ7WPPIGMDK44INYQHVY09YA" hidden="1">#REF!</definedName>
    <definedName name="BExIP22HPXXQ4OTDQ81LEL5BGY96" hidden="1">#REF!</definedName>
    <definedName name="BExIP2O2FCVQO5QQJC7EGUHVQBQ7" hidden="1">#REF!</definedName>
    <definedName name="BExIP345QL9TZKMMKLVEPD2K5QAI" hidden="1">#REF!</definedName>
    <definedName name="BExIP3EYMLXYSYD644AIULVB4SM4" hidden="1">#REF!</definedName>
    <definedName name="BExIP8YNN6UUE1GZ223SWH7DLGKO" hidden="1">#REF!</definedName>
    <definedName name="BExIP8YNO1LBG7E2YC42QG5H29AJ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CNG2M6L73ES2UQI5310WB7" hidden="1">#REF!</definedName>
    <definedName name="BExIPKNFUDPDKOSH5GHDVNA8D66S" hidden="1">#REF!</definedName>
    <definedName name="BExIPLJTRJRKOL7VVP0PEP05W0QL" hidden="1">#REF!</definedName>
    <definedName name="BExIPYFR9Q89IRAL0HPOES7623H9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H890WDA7I10OK01UWBOIWI" hidden="1">#REF!</definedName>
    <definedName name="BExIQ5S19ITB0NDRUN4XV7B905ED" hidden="1">#REF!</definedName>
    <definedName name="BExIQ6OEHASWBR58SAE4G8KKS8WQ" hidden="1">#REF!</definedName>
    <definedName name="BExIQ9TMQT2EIXSVQW7GVSOAW2VJ" hidden="1">#REF!</definedName>
    <definedName name="BExIQBMDE1L6J4H27K1FMSHQKDSE" hidden="1">#REF!</definedName>
    <definedName name="BExIQCDFFALELXAMMR1ZQBGNV1HO" hidden="1">#REF!</definedName>
    <definedName name="BExIQCTILU1D6OD8XR0K44Z9OTI8" hidden="1">#REF!</definedName>
    <definedName name="BExIQE65LVXUOF3UZFO7SDHFJH22" hidden="1">#REF!</definedName>
    <definedName name="BExIQG9OO2KKBOWTMD1OXY36TEGA" hidden="1">#REF!</definedName>
    <definedName name="BExIQI2EIAG850NQV19JYHMD31O9" hidden="1">#REF!</definedName>
    <definedName name="BExIQIII4MABGPDVFEBH294F5JBS" hidden="1">#REF!</definedName>
    <definedName name="BExIQKB982KVEMB5536ZXEA9P0NM" hidden="1">#REF!</definedName>
    <definedName name="BExIQX1XBB31HZTYEEVOBSE3C5A6" hidden="1">#REF!</definedName>
    <definedName name="BExIQYP5T1TPAQYW7QU1Q98BKX7W" hidden="1">#REF!</definedName>
    <definedName name="BExIQZLJ3TC9HBTIZ4R5IZITLU0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RYYP515EGGEOLH6EJTR90OAW" hidden="1">#REF!</definedName>
    <definedName name="BExIS4I8MPKKFOC86NNXGY9SIYUS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J6WFYQKE0RGTDWHAWUAE1AP" hidden="1">#REF!</definedName>
    <definedName name="BExISK3A7L2600713K39Z28WF9XQ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2IT2V9GEHP8BOT7V4TQL64A" hidden="1">#REF!</definedName>
    <definedName name="BExIT4H03DFVQ2CZFHKD2EPATY7P" hidden="1">#REF!</definedName>
    <definedName name="BExIT7RO6IQEVXCVAO81GJ7DSB7R" hidden="1">#REF!</definedName>
    <definedName name="BExITBD551KESGXAF7YFJM2QFSHY" hidden="1">#REF!</definedName>
    <definedName name="BExITBNYANV2S8KD56GOGCKW393R" hidden="1">#REF!</definedName>
    <definedName name="BExITNNI3ZUNAIFJG3JHXHPS2WB4" hidden="1">#REF!</definedName>
    <definedName name="BExIU2HI8QSMHSVW2WHLQC8PB3QN" hidden="1">#REF!</definedName>
    <definedName name="BExIU7A63NJAUAUOP4G8EOTBDCRM" hidden="1">#REF!</definedName>
    <definedName name="BExIUB6GMB0SK1G4X7OS9A0AYW30" hidden="1">#REF!</definedName>
    <definedName name="BExIUD4OJGH65NFNQ4VMCE3R4J1X" hidden="1">#REF!</definedName>
    <definedName name="BExIULYTKJ6F74ZZ6GFR3H0502B9" hidden="1">#REF!</definedName>
    <definedName name="BExIUTB5OAAXYW0OFMP0PS40SPOB" hidden="1">#REF!</definedName>
    <definedName name="BExIUUT2MHIOV6R3WHA0DPM1KBKY" hidden="1">#REF!</definedName>
    <definedName name="BExIUW07VRQ2BOKWDAG74XP3CP2Y" hidden="1">#REF!</definedName>
    <definedName name="BExIUXI7T2XUZCSZE9GKUIN8NC2X" hidden="1">#REF!</definedName>
    <definedName name="BExIUYPDT1AM6MWGWQS646PIZIWC" hidden="1">#REF!</definedName>
    <definedName name="BExIUZR66ZC1035EOZPM699RXZHB" hidden="1">#REF!</definedName>
    <definedName name="BExIV0CRJ0IXK1XITWG9V95FGXIA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H4YKFEFFRU2EPVPO7O4HSX9" hidden="1">#REF!</definedName>
    <definedName name="BExIVHVWLE97GSYXI5MCGEPG5OPB" hidden="1">#REF!</definedName>
    <definedName name="BExIVMOIPSEWSIHIDDLOXESQ28A0" hidden="1">#REF!</definedName>
    <definedName name="BExIVN4RJXCPEW49L8MHF5JZ1256" hidden="1">#REF!</definedName>
    <definedName name="BExIVNFECK2TM1ZHFLOPQD3VWOT1" hidden="1">#REF!</definedName>
    <definedName name="BExIVNVNJX9BYDLC88NG09YF5XQ6" hidden="1">#REF!</definedName>
    <definedName name="BExIVO15UYP0AGXUC46V4RWPQTJ2" hidden="1">#REF!</definedName>
    <definedName name="BExIVQVKLMGSRYT1LFZH0KUIA4OR" hidden="1">#REF!</definedName>
    <definedName name="BExIVQVL2WMDLFHEZ5F5D7B2XQ3F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0FEYS8GAPGI6O98GS6X0X6N" hidden="1">#REF!</definedName>
    <definedName name="BExIX2DMJCFY68X9XPKX7A9YBWQV" hidden="1">#REF!</definedName>
    <definedName name="BExIX34PM5DBTRHRQWP6PL6WIX88" hidden="1">#REF!</definedName>
    <definedName name="BExIX4S01VKH0V2KWQZGAY2FUFFS" hidden="1">#REF!</definedName>
    <definedName name="BExIX5OAP9KSUE5SIZCW9P39Q4WE" hidden="1">#REF!</definedName>
    <definedName name="BExIXGRJPVJMUDGSG7IHPXPNO69B" hidden="1">#REF!</definedName>
    <definedName name="BExIXLK6FTHGTHAEAE6HIU56T09J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933V31B8252FNEODL94314L" hidden="1">#REF!</definedName>
    <definedName name="BExIYD4UAKPQ60KNVOND5BU9WKCQ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NRSPGORW5LLDN4LHPI6XJVH" hidden="1">#REF!</definedName>
    <definedName name="BExIYOO4P2NLI0GTES3GN8FDL0US" hidden="1">#REF!</definedName>
    <definedName name="BExIYP9Q6FV9T0R9G3UDKLS4TTYX" hidden="1">#REF!</definedName>
    <definedName name="BExIYRTCOZA1OQ7D46XDWMCW6RFR" hidden="1">#REF!</definedName>
    <definedName name="BExIYUTFN0Y1WV496WC7XVQHVK0P" hidden="1">#REF!</definedName>
    <definedName name="BExIYXTBS2WOEMATA9AEWVV9RGDZ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MZHV9WXST2NBBPR3CEAR13T" hidden="1">#REF!</definedName>
    <definedName name="BExIZPZDHC8HGER83WHCZAHOX7LK" hidden="1">#REF!</definedName>
    <definedName name="BExIZU6GOR694M9WE931VB3RT0SI" hidden="1">#REF!</definedName>
    <definedName name="BExIZY2PUZ0OF9YKK1B13IW0VS6G" hidden="1">#REF!</definedName>
    <definedName name="BExJ08KB42GOUC2P92D8UI7KEHKL" hidden="1">#REF!</definedName>
    <definedName name="BExJ08KBRR2XMWW3VZMPSQKXHZUH" hidden="1">#REF!</definedName>
    <definedName name="BExJ0DYJWXGE7DA39PYL3WM05U9O" hidden="1">#REF!</definedName>
    <definedName name="BExJ0JCRE7HP1J5ICCTGR58SY007" hidden="1">#REF!</definedName>
    <definedName name="BExJ0MY8SY5J5V50H3UKE78ODTVB" hidden="1">#REF!</definedName>
    <definedName name="BExJ0Q8XS3LQNMEYW1PIN5WASB06" hidden="1">#REF!</definedName>
    <definedName name="BExJ0VN40CWA1RMLQ93NXNWSSDPY" hidden="1">#REF!</definedName>
    <definedName name="BExJ0YC98G37ML4N8FLP8D95EFRF" hidden="1">#REF!</definedName>
    <definedName name="BExJ11MY9B0F7RFESFSORX1Z25QM" hidden="1">#REF!</definedName>
    <definedName name="BExJ15J6P2CSA9MY3NZHLGHYWZ84" hidden="1">#REF!</definedName>
    <definedName name="BExKCCREBIWYDT3KYY47J6PKFUJC" hidden="1">#REF!</definedName>
    <definedName name="BExKCDYKAEV45AFXHVHZZ62E5BM3" hidden="1">#REF!</definedName>
    <definedName name="BExKD716AW9MR5GY4NUNHCRI65Q0" hidden="1">#REF!</definedName>
    <definedName name="BExKD8J3VHZVPRKSVFW4EKWSO2VS" hidden="1">#REF!</definedName>
    <definedName name="BExKDJBKAJPY1RL4WY6D99TGYHCW" hidden="1">#REF!</definedName>
    <definedName name="BExKDKO0W4AGQO1V7K6Q4VM750FT" hidden="1">#REF!</definedName>
    <definedName name="BExKDL49RJBRA50F0GQEGP3CFETR" hidden="1">#REF!</definedName>
    <definedName name="BExKDLF10G7W77J87QWH3ZGLUCLW" hidden="1">#REF!</definedName>
    <definedName name="BExKDO45GL6PAZQR3PAOWFVA6WLZ" hidden="1">#REF!</definedName>
    <definedName name="BExKE3EF7MZJG79P2397TA79P9F9" hidden="1">#REF!</definedName>
    <definedName name="BExKE400P7WOFSUK628BT91CWB4H" hidden="1">#REF!</definedName>
    <definedName name="BExKE5CIOI7OFIFUAA43F2QR3HY2" hidden="1">#REF!</definedName>
    <definedName name="BExKE7LGUAPZ8Q4W2YD9PRBA9G7I" hidden="1">#REF!</definedName>
    <definedName name="BExKEFE0I3MT6ZLC4T1L9465HKTN" hidden="1">#REF!</definedName>
    <definedName name="BExKEK6O5BVJP4VY02FY7JNAZ6BT" hidden="1">#REF!</definedName>
    <definedName name="BExKEKMRQLC0TPETMUVPBOHVEK6D" hidden="1">#REF!</definedName>
    <definedName name="BExKEKXK6E6QX339ELPXDIRZSJE0" hidden="1">#REF!</definedName>
    <definedName name="BExKEOOIBMP7N8033EY2CJYCBX6H" hidden="1">#REF!</definedName>
    <definedName name="BExKEQBQENHOW7623RXEMQ7YNW3W" hidden="1">#REF!</definedName>
    <definedName name="BExKES9ZA5L22XTSO9Y8GAI2RIIH" hidden="1">#REF!</definedName>
    <definedName name="BExKEW0RR5LA3VC46A2BEOOMQE56" hidden="1">#REF!</definedName>
    <definedName name="BExKF02HYBPMKRSPJGAK1MWM2V4R" hidden="1">#REF!</definedName>
    <definedName name="BExKFA3VI1CZK21SM0N3LZWT9LA1" hidden="1">#REF!</definedName>
    <definedName name="BExKFGP9F9V53RZL3Q3U7VP695W2" hidden="1">#REF!</definedName>
    <definedName name="BExKFINBFV5J2NFRCL4YUO3YF0ZE" hidden="1">#REF!</definedName>
    <definedName name="BExKFISRBFACTAMJSALEYMY66F6X" hidden="1">#REF!</definedName>
    <definedName name="BExKFJULULXU0IUSC8AIWO825SBR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8KO0T2K2PJKN0MY59LZRPC0" hidden="1">#REF!</definedName>
    <definedName name="BExKGF0L44S78D33WMQ1A75TRKB9" hidden="1">#REF!</definedName>
    <definedName name="BExKGFRN31B3G20LMQ4LRF879J68" hidden="1">#REF!</definedName>
    <definedName name="BExKGG2G4DYGVFY6YNE8H08TR8GK" hidden="1">#REF!</definedName>
    <definedName name="BExKGIWVNUNGGMFXLWP9ZMLR211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GWUGUAZ9RHGMMEHY6AG0GBZC" hidden="1">#REF!</definedName>
    <definedName name="BExKH0ANKNJUT5MEASVBDV24PB47" hidden="1">#REF!</definedName>
    <definedName name="BExKH3FTZ5VGTB86W9M4AB39R0G8" hidden="1">#REF!</definedName>
    <definedName name="BExKH3FV5U5O6XZM7STS3NZKQFGJ" hidden="1">#REF!</definedName>
    <definedName name="BExKH6L8BUEGZ1O7ZYFE7R04MJJV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03H6LLQ9SUAO1Q66RXBCFT" hidden="1">#REF!</definedName>
    <definedName name="BExKI7LO70WYISR7Q0Y1ZDWO9M3B" hidden="1">#REF!</definedName>
    <definedName name="BExKIGQV6TXIZG039HBOJU62WP2U" hidden="1">#REF!</definedName>
    <definedName name="BExKIIU725KQDBE533LW1D3IXA8A" hidden="1">#REF!</definedName>
    <definedName name="BExKILE008SF3KTAN8WML3XKI1NZ" hidden="1">#REF!</definedName>
    <definedName name="BExKIN6Q672KGMRVQHSGCE7AK5QH" hidden="1">#REF!</definedName>
    <definedName name="BExKINSBB6RS7I489QHMCOMU4Z2X" hidden="1">#REF!</definedName>
    <definedName name="BExKIU87ZKSOC2DYZWFK6SAK9I8E" hidden="1">#REF!</definedName>
    <definedName name="BExKIW0XXMVYGO20EUUGYGCPXU9J" hidden="1">#REF!</definedName>
    <definedName name="BExKIXIWK7X3OKEJSQIN4YDLOCYP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JPB93KTTIZQ7CAFT24D6V9P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JX1E6WCZPBUI2C2EF8HWXCD6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5P24A73GV834VRNN18XWQP" hidden="1">#REF!</definedName>
    <definedName name="BExKKUGD2HMJWQEYZ8H3X1BMXFS9" hidden="1">#REF!</definedName>
    <definedName name="BExKKX05KCZZZPKOR1NE5A8RGVT4" hidden="1">#REF!</definedName>
    <definedName name="BExKKXR7MOEVXSW8RMK14SZ32Q8H" hidden="1">#REF!</definedName>
    <definedName name="BExKL002TQQTZZ9BETERCDLUDV0K" hidden="1">#REF!</definedName>
    <definedName name="BExKLD6S9L66QYREYHBE5J44OK7X" hidden="1">#REF!</definedName>
    <definedName name="BExKLEZK32L28GYJWVO63BZ5E1JD" hidden="1">#REF!</definedName>
    <definedName name="BExKLGBZ8D7W1HW672WZB4ZK47TN" hidden="1">#REF!</definedName>
    <definedName name="BExKLHJ58YN77SKP34TS2VCI3L7A" hidden="1">#REF!</definedName>
    <definedName name="BExKLJC16KFE0ZH0ZY2LH46KZ8A5" hidden="1">#REF!</definedName>
    <definedName name="BExKLLFEYDRYL7SW67HGE90BXQT4" hidden="1">#REF!</definedName>
    <definedName name="BExKLLKVVHT06LA55JB2FC871DC5" hidden="1">#REF!</definedName>
    <definedName name="BExKLO4OJ4LE6YA3WZB02FDH4ZBC" hidden="1">#REF!</definedName>
    <definedName name="BExKLWYWL8HEKZRA5IGCCM60HYID" hidden="1">#REF!</definedName>
    <definedName name="BExKLX9OMIZRVELEESUGRFHXM0CU" hidden="1">#REF!</definedName>
    <definedName name="BExKLZ2EYVS668NPOV8SR9SNSHUT" hidden="1">#REF!</definedName>
    <definedName name="BExKMLZQV2MF7QOUOZFC9H21T6P6" hidden="1">#REF!</definedName>
    <definedName name="BExKMWBX4EH3EYJ07UFEM08NB40Z" hidden="1">#REF!</definedName>
    <definedName name="BExKN1FCLGDZ5U8SK3Y8WYYLW5HU" hidden="1">#REF!</definedName>
    <definedName name="BExKNBGV2IR3S7M0BX4810KZB4V3" hidden="1">#REF!</definedName>
    <definedName name="BExKNCTBZTSY3MO42VU5PLV6YUHZ" hidden="1">#REF!</definedName>
    <definedName name="BExKNDPQSD07QTQPS8W7E56RWTIJ" hidden="1">#REF!</definedName>
    <definedName name="BExKNGV2YY749C42AQ2T9QNIE5C3" hidden="1">#REF!</definedName>
    <definedName name="BExKNHRHGLNVSLMLL7WMAVIGL144" hidden="1">#REF!</definedName>
    <definedName name="BExKNM3TO8JLDR94J4BKF7TE6872" hidden="1">#REF!</definedName>
    <definedName name="BExKNM3U2BHZGC4CJAUB53OU62J3" hidden="1">#REF!</definedName>
    <definedName name="BExKNV8UOHVWEHDJWI2WMJ9X6QHZ" hidden="1">#REF!</definedName>
    <definedName name="BExKNXCJSCZ2O6RD4BMWVSEJUBGK" hidden="1">#REF!</definedName>
    <definedName name="BExKNYUAYWR68YCUOIW6WYVNJ198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BVR6FBO1U02GWCHZEQEFC13" hidden="1">#REF!</definedName>
    <definedName name="BExKODIZGWW2EQD0FEYW6WK6XLCM" hidden="1">#REF!</definedName>
    <definedName name="BExKOEA1HY8RIY04636RSKF38SDX" hidden="1">#REF!</definedName>
    <definedName name="BExKOEKVIANFUT9H5J4STIIJ785K" hidden="1">#REF!</definedName>
    <definedName name="BExKOPO2HPWVQGAKW8LOZMPIDEFG" hidden="1">#REF!</definedName>
    <definedName name="BExKOPTF6FZ1KCPFM00NJOOVDVKP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A0BTFT5UD41MSZP87YHFKYZ" hidden="1">#REF!</definedName>
    <definedName name="BExKQJ01GRP9KX7BHWUGSV76KSSN" hidden="1">#REF!</definedName>
    <definedName name="BExKQJGAAWNM3NT19E9I0CQDBTU0" hidden="1">#REF!</definedName>
    <definedName name="BExKQM5GJ1ZN5REKFE7YVBQ0KXWF" hidden="1">#REF!</definedName>
    <definedName name="BExKQO3G0R230211GSQXEUMGOJJH" hidden="1">#REF!</definedName>
    <definedName name="BExKQOEA7HV9U5DH9C8JXFD62EKH" hidden="1">#REF!</definedName>
    <definedName name="BExKQQ71278061G7ZFYGPWOMOMY2" hidden="1">#REF!</definedName>
    <definedName name="BExKQROXFHOAXZAJ9P338TCB51AS" hidden="1">#REF!</definedName>
    <definedName name="BExKQTXRG3ECU8NT47UR7643LO5G" hidden="1">#REF!</definedName>
    <definedName name="BExKQUOUZ42XGU84W47SHC8WVYK3" hidden="1">#REF!</definedName>
    <definedName name="BExKQVL7HPOIZ4FHANDFMVOJLEPR" hidden="1">#REF!</definedName>
    <definedName name="BExKR033JV6U1UMSANW37MJ5YI2K" hidden="1">#REF!</definedName>
    <definedName name="BExKR32XG1WY77WDT8KW9FJPGQTU" hidden="1">#REF!</definedName>
    <definedName name="BExKR8RZSEHW184G0Z56B4EGNU72" hidden="1">#REF!</definedName>
    <definedName name="BExKRAVHCE3TOT8A64YH3NQ4DJK0" hidden="1">#REF!</definedName>
    <definedName name="BExKRBRU9I0TZ4N3T6C5TVLVW4AJ" hidden="1">#REF!</definedName>
    <definedName name="BExKRS3TU9ZISEFNAGIP4D2THSPK" hidden="1">#REF!</definedName>
    <definedName name="BExKRS9AMHCNVBUJK8CP6MYUIXII" hidden="1">#REF!</definedName>
    <definedName name="BExKRVEGY7UYTMCBEK5BAI34Z141" hidden="1">#REF!</definedName>
    <definedName name="BExKRVUSQ6PA7ZYQSTEQL3X7PB9P" hidden="1">#REF!</definedName>
    <definedName name="BExKRXNBYVPPM6X1WBW213KFWR4E" hidden="1">#REF!</definedName>
    <definedName name="BExKRY3KZ7F7RB2KH8HXSQ85IEQO" hidden="1">#REF!</definedName>
    <definedName name="BExKSA37DZTCK6H13HPIKR0ZFVL8" hidden="1">#REF!</definedName>
    <definedName name="BExKSAJ9PLFSAM5DGYLJ0LGWBOCJ" hidden="1">#REF!</definedName>
    <definedName name="BExKSAU8SEWFDUYP6W5UT67QSUR3" hidden="1">#REF!</definedName>
    <definedName name="BExKSBFU2B9VY47HOPYP66W2MZUM" hidden="1">#REF!</definedName>
    <definedName name="BExKSFHEJYQU3MJ64AXH349TS3AS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L0XLFEAF55CEXQ17AOE3FRE" hidden="1">#REF!</definedName>
    <definedName name="BExKSMDKVAO0A43CLVBQQD41BXOS" hidden="1">#REF!</definedName>
    <definedName name="BExKSR66M8VX6DOVY5XKESJ3UH2N" hidden="1">#REF!</definedName>
    <definedName name="BExKSRRSRIEQGBLXZUPGRERG8GBD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608FLBM2G9XUQSP33PXVBD9" hidden="1">#REF!</definedName>
    <definedName name="BExKTG1RABB8WY2RP0818AG08LR4" hidden="1">#REF!</definedName>
    <definedName name="BExKTGHU41U7OXQNLCH9L528CTKN" hidden="1">#REF!</definedName>
    <definedName name="BExKTJ6XQYG4876K3ZJ2RY6FJGDB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EIEGD9JH03Q4QGCL2ZVM2AQ" hidden="1">#REF!</definedName>
    <definedName name="BExKUH7HTVW0G5J0DAX80KDRIVUW" hidden="1">#REF!</definedName>
    <definedName name="BExKULEKJLA77AUQPDUHSM94Y76Z" hidden="1">#REF!</definedName>
    <definedName name="BExKUPASS3H5268MTUCTQGAWNU4C" hidden="1">#REF!</definedName>
    <definedName name="BExKUU3FSHUAD1W813LM8NCNSO55" hidden="1">#REF!</definedName>
    <definedName name="BExKV08R85MKI3MAX9E2HERNQUNL" hidden="1">#REF!</definedName>
    <definedName name="BExKV4AAUNNJL5JWD7PX6BFKVS6O" hidden="1">#REF!</definedName>
    <definedName name="BExKV8S497WD25N3LA72PSCGO8G3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VJKKIAJY78TNCW4T2B0GDP2U" hidden="1">#REF!</definedName>
    <definedName name="BExKVQRJDHA9H0DNUQC99WVNIV2S" hidden="1">#REF!</definedName>
    <definedName name="BExKVWGJ6I8QUMBGTZUO9KR4F0JJ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9UQN0TIL2QB8BQX5YK9L7EW9" hidden="1">#REF!</definedName>
    <definedName name="BExMA64MW1S18NH8DCKPCCEI5KCB" hidden="1">#REF!</definedName>
    <definedName name="BExMALEWFUEM8Y686IT03ECURUBR" hidden="1">#REF!</definedName>
    <definedName name="BExMAQT4Z3PT6WS75MF6O4QKVMOH" hidden="1">#REF!</definedName>
    <definedName name="BExMAR3XSK6RSFLHP7ZX1EWGHASI" hidden="1">#REF!</definedName>
    <definedName name="BExMAX3PWP0U7T8I24X15SRDN7R9" hidden="1">#REF!</definedName>
    <definedName name="BExMAXJS82ZJ8RS22VLE0V0LDUII" hidden="1">#REF!</definedName>
    <definedName name="BExMB0P6U5GV0F57WH6VGFU0QGX0" hidden="1">#REF!</definedName>
    <definedName name="BExMB0ZXV67243BH5BI8H1YMZ7X8" hidden="1">#REF!</definedName>
    <definedName name="BExMB2Y08ZQ6ES53Z1Z85LK1XPJG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#REF!</definedName>
    <definedName name="BExMC5R82S07KSLMO7YA8CCU0ZAI" hidden="1">#REF!</definedName>
    <definedName name="BExMC8AZUTX8LG89K2JJR7ZG62XX" hidden="1">#REF!</definedName>
    <definedName name="BExMCA96YR10V72G2R0SCIKPZLIZ" hidden="1">#REF!</definedName>
    <definedName name="BExMCAPB2KR2CNKS8MYVWTH5MOT2" hidden="1">#REF!</definedName>
    <definedName name="BExMCB5JU5I2VQDUBS4O42BTEVKI" hidden="1">#REF!</definedName>
    <definedName name="BExMCBLONDAMTOJ4O5FQ5W0FEHP0" hidden="1">#REF!</definedName>
    <definedName name="BExMCFSQFSEMPY5IXDIRKZDASDBR" hidden="1">#REF!</definedName>
    <definedName name="BExMCMZOEYWVOOJ98TBHTTCS7XB8" hidden="1">#REF!</definedName>
    <definedName name="BExMCRSBUIMXGKG7HY69JSM5K1A1" hidden="1">#REF!</definedName>
    <definedName name="BExMCRSC61GNE2C255DR0NN6NYI0" hidden="1">#REF!</definedName>
    <definedName name="BExMCS8EF2W3FS9QADNKREYSI8P0" hidden="1">#REF!</definedName>
    <definedName name="BExMCUS7GSOM96J0HJ7EH0FFM2AC" hidden="1">#REF!</definedName>
    <definedName name="BExMCXMMDFHHNJDRURMCXF1DGUOM" hidden="1">#REF!</definedName>
    <definedName name="BExMCYTT6TVDWMJXO1NZANRTVNAN" hidden="1">#REF!</definedName>
    <definedName name="BExMD5F6IAV108XYJLXUO9HD0IT6" hidden="1">#REF!</definedName>
    <definedName name="BExMD963673NTBXBO0VDNBAG9YWM" hidden="1">#REF!</definedName>
    <definedName name="BExMDANV66W9T3XAXID40XFJ0J93" hidden="1">#REF!</definedName>
    <definedName name="BExMDGD1KQP7NNR78X2ZX4FCBQ1S" hidden="1">#REF!</definedName>
    <definedName name="BExMDIB47B6AQAPTAUA5Q86Z1LVL" hidden="1">#REF!</definedName>
    <definedName name="BExMDIRDK0DI8P86HB7WPH8QWLSQ" hidden="1">#REF!</definedName>
    <definedName name="BExMDLGBV1WVQXUWG28EPI4XA9RS" hidden="1">#REF!</definedName>
    <definedName name="BExMDNEJAPGXTKADBB7DKYYGJPOO" hidden="1">#REF!</definedName>
    <definedName name="BExMDPI2FVMORSWDDCVAJ85WYAYO" hidden="1">#REF!</definedName>
    <definedName name="BExMDQ3NI3GV1A8JDHIRIL4YLESR" hidden="1">#REF!</definedName>
    <definedName name="BExMDUWAATB6AI7BI1UYVBD6BVVO" hidden="1">#REF!</definedName>
    <definedName name="BExMDUWB7VWHFFR266QXO46BNV2S" hidden="1">#REF!</definedName>
    <definedName name="BExMDVSO20ADTTVCKT513NZBKC0Q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KTHIM47ERJ7ML7M759FF32G" hidden="1">#REF!</definedName>
    <definedName name="BExMELPVA0SV69SYXBZ83IMZJP17" hidden="1">#REF!</definedName>
    <definedName name="BExMENIMYDTX7M5ODT5C996CJDTM" hidden="1">#REF!</definedName>
    <definedName name="BExMEOV9YFRY5C3GDLU60GIX10BY" hidden="1">#REF!</definedName>
    <definedName name="BExMEY095ELVR1FY94CBBWCTD3ND" hidden="1">#REF!</definedName>
    <definedName name="BExMEY09ESM4H2YGKEQQRYUD114R" hidden="1">#REF!</definedName>
    <definedName name="BExMF098NMRG9THSKROV85RKDS7D" hidden="1">#REF!</definedName>
    <definedName name="BExMF4G4IUPQY1Y5GEY5N3E04CL6" hidden="1">#REF!</definedName>
    <definedName name="BExMF4LNJA9V5PINGWSDJJ9CHWWW" hidden="1">#REF!</definedName>
    <definedName name="BExMF9UIGYMOAQK0ELUWP0S0HZZY" hidden="1">#REF!</definedName>
    <definedName name="BExMFDLBSWFMRDYJ2DZETI3EXKN2" hidden="1">#REF!</definedName>
    <definedName name="BExMFFJCU2N6QOC5V50II5WTLPAF" hidden="1">#REF!</definedName>
    <definedName name="BExMFH6SWBYCN98LEO4HJ8MYBMEV" hidden="1">#REF!</definedName>
    <definedName name="BExMFJL3QF5B9IKEAVSUPFNG2TY2" hidden="1">#REF!</definedName>
    <definedName name="BExMFKS9JRE035BM00PEQ776AYSC" hidden="1">#REF!</definedName>
    <definedName name="BExMFLDTMRTCHKA37LQW67BG8D5C" hidden="1">#REF!</definedName>
    <definedName name="BExMFQ102FN53YEFF1Q73O5PKTN2" hidden="1">#REF!</definedName>
    <definedName name="BExMFRZ8676ZD89WNQD6FHASJWO9" hidden="1">#REF!</definedName>
    <definedName name="BExMFVVHAHVUP1ZESV8UXAM1HF9B" hidden="1">#REF!</definedName>
    <definedName name="BExMFY4B5JW31L4PL9F4S16LTC8G" hidden="1">#REF!</definedName>
    <definedName name="BExMG9NSK30KD01QX0UBN2VNRTG4" hidden="1">#REF!</definedName>
    <definedName name="BExMGDK250U8C0AFN7HC48563JPD" hidden="1">#REF!</definedName>
    <definedName name="BExMGFSWSVUC8O4EM6ZP6T82VC1A" hidden="1">#REF!</definedName>
    <definedName name="BExMGG3PFIHPHX7NXB7HDFI3N12L" hidden="1">#REF!</definedName>
    <definedName name="BExMGKWBKRD8SLJZSWM8Q1R0WIAJ" hidden="1">#REF!</definedName>
    <definedName name="BExMGPZQMNXLFOTCCZ4XYDIXPUOS" hidden="1">#REF!</definedName>
    <definedName name="BExMGQFVJAMY9YXPYQC4ABHXLB72" hidden="1">#REF!</definedName>
    <definedName name="BExMGRHPZHRHYXZSCZTVYEXNMI31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2P0415931ZQM7NG8SZCWPG5" hidden="1">#REF!</definedName>
    <definedName name="BExMI3AJ9477KDL4T9DHET4LJJTW" hidden="1">#REF!</definedName>
    <definedName name="BExMI3QOZTYEQUF0SE6AK4HHWJO7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KZ5EDDZDK5D6GTXJPH9XWND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51XJZN31B84NVPI18J3CWTB" hidden="1">#REF!</definedName>
    <definedName name="BExMJA01LCAWUR1OX7H4E7JGNN3W" hidden="1">#REF!</definedName>
    <definedName name="BExMJFJKQN6CJTVBO1Z26HR49B3N" hidden="1">#REF!</definedName>
    <definedName name="BExMJNC8ZFB9DRFOJ961ZAJ8U3A8" hidden="1">#REF!</definedName>
    <definedName name="BExMJTBV8A3D31W2IQHP9RDFPPHQ" hidden="1">#REF!</definedName>
    <definedName name="BExMK0OA4CYPHQFXIOZFG5E4Y027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GUX2JPTXOQNJCL943ZN43YP" hidden="1">#REF!</definedName>
    <definedName name="BExMKHGDJCZPXGANFYP36WFL9E29" hidden="1">#REF!</definedName>
    <definedName name="BExMKOI0IEYQSWL82F4MI37J9NZ3" hidden="1">#REF!</definedName>
    <definedName name="BExMKQG75H8AYMD49VSYI253BN2D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HGZKW6QRZBJHKNPVR4CN66" hidden="1">#REF!</definedName>
    <definedName name="BExML3XQNDIMX55ZCHHXKUV3D6E6" hidden="1">#REF!</definedName>
    <definedName name="BExML5QGSWHLI18BGY4CGOTD3UWH" hidden="1">#REF!</definedName>
    <definedName name="BExMLAZ83QNEKCMI49717EDKBWDI" hidden="1">#REF!</definedName>
    <definedName name="BExMLDDJUOR76K1RWJVQU7FIA0SJ" hidden="1">#REF!</definedName>
    <definedName name="BExMLJIN42HT2MXYGVNU6EL3MVIR" hidden="1">#REF!</definedName>
    <definedName name="BExMLLWXIDA2L6S7Z2LZHR21O3DB" hidden="1">#REF!</definedName>
    <definedName name="BExMLO5Z61RE85X8HHX2G4IU3AZW" hidden="1">#REF!</definedName>
    <definedName name="BExMLRLYZZQ6X5CUWGZG6F3Z0VY8" hidden="1">#REF!</definedName>
    <definedName name="BExMLVCWDPEFMMA627FA348COCC9" hidden="1">#REF!</definedName>
    <definedName name="BExMLVI7UORSHM9FMO8S2EI0TMTS" hidden="1">#REF!</definedName>
    <definedName name="BExMLYI4CR9VB7N2DRJ4TLG4C6M8" hidden="1">#REF!</definedName>
    <definedName name="BExMM5UCOT2HSSN0ZIPZW55GSOVO" hidden="1">#REF!</definedName>
    <definedName name="BExMM6W88OYRGSNAZTD8IQ5FWN4Z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LFGVS1IKGTB9CHKJN96TVUM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ZTDDCFDHK0GU54VF8EVH99F" hidden="1">#REF!</definedName>
    <definedName name="BExMN39HKSQL7SJ3BB9CGRO7LTQ1" hidden="1">#REF!</definedName>
    <definedName name="BExMN8I9CHQ2CAZGX5RG8T4NJW5P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Q1J7QX20FWV4DQ41E6S4T2W" hidden="1">#REF!</definedName>
    <definedName name="BExMNQMY2IUP61KESI720VOMTAJ1" hidden="1">#REF!</definedName>
    <definedName name="BExMNR38HMPLWAJRQ9MMS3ZAZ9IU" hidden="1">#REF!</definedName>
    <definedName name="BExMNRDZULKJMVY2VKIIRM2M5A1M" hidden="1">#REF!</definedName>
    <definedName name="BExMNUZHMKFZ814RTA641MNKZ7HQ" hidden="1">#REF!</definedName>
    <definedName name="BExMNVVV8FDHL95G8SWHNXCNTJS1" hidden="1">#REF!</definedName>
    <definedName name="BExMNW6NIOK4PW2K16RX2DT8BCKP" hidden="1">#REF!</definedName>
    <definedName name="BExMO9IOWKTWHO8LQJJQI5P3INWY" hidden="1">#REF!</definedName>
    <definedName name="BExMOI29DOEK5R1A5QZPUDKF7N6T" hidden="1">#REF!</definedName>
    <definedName name="BExMOIYND6YAQ6N5F1TSB1N3KGRT" hidden="1">#REF!</definedName>
    <definedName name="BExMOJ9GY6AQGI153FV703AE296H" hidden="1">#REF!</definedName>
    <definedName name="BExMP06Y7JRUYXTNBLZEZIIFMP8Z" hidden="1">#REF!</definedName>
    <definedName name="BExMP8A9FD04HBMTITY20C9J25T6" hidden="1">#REF!</definedName>
    <definedName name="BExMPAJ5AJAXGKGK3F6H3ODS6RF4" hidden="1">#REF!</definedName>
    <definedName name="BExMPAOLLVV07AA8625EJX62QT77" hidden="1">#REF!</definedName>
    <definedName name="BExMPD2X55FFBVJ6CBUKNPROIOEU" hidden="1">#REF!</definedName>
    <definedName name="BExMPF0ZVCHKJH4I7UFN4GXD56AS" hidden="1">#REF!</definedName>
    <definedName name="BExMPGTVPYQ1ACGV1RRRS5LYB125" hidden="1">#REF!</definedName>
    <definedName name="BExMPGZ848E38FUH1JBQN97DGWAT" hidden="1">#REF!</definedName>
    <definedName name="BExMPHQ3A57BJD13OGOV3V0WLC3H" hidden="1">#REF!</definedName>
    <definedName name="BExMPLBKFPJM4GF27I2D45X0U9QF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1ZQNCI291UVV7EBWD8RXWS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4GUTFCN4RD7H81IOKECLEG3" hidden="1">#REF!</definedName>
    <definedName name="BExMR8YQHA7N77HGHY4Y6R30I3XT" hidden="1">#REF!</definedName>
    <definedName name="BExMRENOIARWRYOIVPDIEBVNRDO7" hidden="1">#REF!</definedName>
    <definedName name="BExMRNNEWAUICYZUAKBTZMKMPLRW" hidden="1">#REF!</definedName>
    <definedName name="BExMRP5C9V3XNIT2DRA9I6G73H2V" hidden="1">#REF!</definedName>
    <definedName name="BExMRPG54LNH7HRC92MBSUT6UL6L" hidden="1">#REF!</definedName>
    <definedName name="BExMRQHUEHGF2FS4LCB0THFELGDI" hidden="1">#REF!</definedName>
    <definedName name="BExMRQN9Q78P7PRB1JST7CFRGQFW" hidden="1">#REF!</definedName>
    <definedName name="BExMRRJNUMGRSDD5GGKKGEIZ6FTS" hidden="1">#REF!</definedName>
    <definedName name="BExMRU3ACIU0RD2BNWO55LH5U2BR" hidden="1">#REF!</definedName>
    <definedName name="BExMSM9I7XZ0BC793Y8GWVJNG1V9" hidden="1">#REF!</definedName>
    <definedName name="BExMSQRCC40AP8BDUPL2I2DNC210" hidden="1">#REF!</definedName>
    <definedName name="BExMTH4UYV49MGLH1WUX19KVRXF3" hidden="1">#REF!</definedName>
    <definedName name="BExO4J9LR712G00TVA82VNTG8O7H" hidden="1">#REF!</definedName>
    <definedName name="BExO4P9G3CC5P66YXQJ1MQZE3Q3L" hidden="1">#REF!</definedName>
    <definedName name="BExO4Q5T1IO39TUFXG41PZPWD8H5" hidden="1">#REF!</definedName>
    <definedName name="BExO55G2KVZ7MIJ30N827CLH0I2A" hidden="1">#REF!</definedName>
    <definedName name="BExO5A8PZD9EUHC5CMPU6N3SQ15L" hidden="1">#REF!</definedName>
    <definedName name="BExO5B520WCMHVTJECK8CIMYHF0S" hidden="1">#REF!</definedName>
    <definedName name="BExO5CMZ3KW3KUYMMUESSGY6BV6B" hidden="1">#REF!</definedName>
    <definedName name="BExO5OBSLXAEPG3TST85TI67ISPE" hidden="1">#REF!</definedName>
    <definedName name="BExO5XMAHL7CY3X0B1OPKZ28DCJ5" hidden="1">#REF!</definedName>
    <definedName name="BExO62EWHPQVYKS6JIYGJO7AWA1D" hidden="1">#REF!</definedName>
    <definedName name="BExO66LZJKY4PTQVREELI6POS4AY" hidden="1">#REF!</definedName>
    <definedName name="BExO6LLHCYTF7CIVHKAO0NMET14Q" hidden="1">#REF!</definedName>
    <definedName name="BExO6SMXPUXYBI4K7FBN2XVT7I5D" hidden="1">#REF!</definedName>
    <definedName name="BExO7A0RAM8VLJ9WVOS0CNSGVOZA" hidden="1">#REF!</definedName>
    <definedName name="BExO7D0LSS6RQL3KO4VK89ZI56XX" hidden="1">#REF!</definedName>
    <definedName name="BExO7OUQS3XTUQ2LDKGQ8AAQ3OJJ" hidden="1">#REF!</definedName>
    <definedName name="BExO7RUSODZC2NQZMT2AFSMV2ONF" hidden="1">#REF!</definedName>
    <definedName name="BExO7W1PSMP8KLLJ6LI9QUDVQEVV" hidden="1">#REF!</definedName>
    <definedName name="BExO80ZSU4WETZTBCX87DXEU6TI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N694762TORXPCKE7L9EIS51" hidden="1">#REF!</definedName>
    <definedName name="BExO8RTE40F4ZMUIDUC2HDAEGH36" hidden="1">#REF!</definedName>
    <definedName name="BExO8TM4L261JTCSQ24FHE73242J" hidden="1">#REF!</definedName>
    <definedName name="BExO8TM5V5CFSV5A13AYOWY4NGRS" hidden="1">#REF!</definedName>
    <definedName name="BExO8UII7ZIT1WVYIA34NEU26VTL" hidden="1">#REF!</definedName>
    <definedName name="BExO8UTAGQWDBQZEEF4HUNMLQCVU" hidden="1">#REF!</definedName>
    <definedName name="BExO8VEUUN2WLGHF8QVTC7V2ZQWC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LSCV7ATJ1BWBLWUR057C5BD" hidden="1">#REF!</definedName>
    <definedName name="BExO9NL4NEMSNYZXXQKD1KRNT4T4" hidden="1">#REF!</definedName>
    <definedName name="BExO9RS5RXFJ1911HL3CCK6M74EP" hidden="1">#REF!</definedName>
    <definedName name="BExO9S2YBZX734HYHWJ4K2IQL280" hidden="1">#REF!</definedName>
    <definedName name="BExO9SDRI1M6KMHXSG3AE5L0F2U3" hidden="1">#REF!</definedName>
    <definedName name="BExO9V2U2YXAY904GYYGU6TD8Y7M" hidden="1">#REF!</definedName>
    <definedName name="BExO9VZ8KU2GW2DXC3MSYI8X94JT" hidden="1">#REF!</definedName>
    <definedName name="BExO9Z4EF2OUAGMLVNHJP5NA0L3J" hidden="1">#REF!</definedName>
    <definedName name="BExOA8PPAT6BFKDHD9OQK39O9RSG" hidden="1">#REF!</definedName>
    <definedName name="BExOAEPHLRUDMPQAEGIHG6WWPACN" hidden="1">#REF!</definedName>
    <definedName name="BExOAFR6JHRK4AP8O7TB9UDEAVJL" hidden="1">#REF!</definedName>
    <definedName name="BExOAGCX9ISY83KMXO02KFMKR8OW" hidden="1">#REF!</definedName>
    <definedName name="BExOAGI81R6LPQCC0SQXBQ0ASKE2" hidden="1">#REF!</definedName>
    <definedName name="BExOAQ3GKCT7YZW1EMVU3EILSZL2" hidden="1">#REF!</definedName>
    <definedName name="BExOARW6X4XCSW5EMF97934SY9G7" hidden="1">#REF!</definedName>
    <definedName name="BExOAT3EPYFFSXGHEB7UPZWUO5NV" hidden="1">#REF!</definedName>
    <definedName name="BExOB886RIKYRO6D0LXJDAB2M84Z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NNWXJI9Y0IQ9VT4NMZCB3SW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BYLMYCYZ1NJLHJCPLA3PVKYK" hidden="1">#REF!</definedName>
    <definedName name="BExOBYLO8NTLBKV3569Y2UNNIV1K" hidden="1">#REF!</definedName>
    <definedName name="BExOBZ1XJNLQWZ4YSQS6KCKTTS0P" hidden="1">#REF!</definedName>
    <definedName name="BExOC08Y6OIMB5N7XH5Q1IR1M20Q" hidden="1">#REF!</definedName>
    <definedName name="BExOC3UEHB1CZNINSQHZANWJYKR8" hidden="1">#REF!</definedName>
    <definedName name="BExOC7AKJ49BIW0QP8HOPAJQZYRK" hidden="1">#REF!</definedName>
    <definedName name="BExOC7LCVAJC36Q60I8PKPCD0T1S" hidden="1">#REF!</definedName>
    <definedName name="BExOCBSF3XGO9YJ23LX2H78VOUR7" hidden="1">#REF!</definedName>
    <definedName name="BExOCEHIOWWJTX50QQJMZNCEPQGB" hidden="1">#REF!</definedName>
    <definedName name="BExOCKXFMOW6WPFEVX1I7R7FNDSS" hidden="1">#REF!</definedName>
    <definedName name="BExOCNBQ3JV6ZV3EW94LML19P4JD" hidden="1">#REF!</definedName>
    <definedName name="BExOCQ65BX40YFOQV58E34JBGQBI" hidden="1">#REF!</definedName>
    <definedName name="BExOCQX7MZG1R6UPBHNGI606SL8K" hidden="1">#REF!</definedName>
    <definedName name="BExOCYEXOB95DH5NOB0M5NOYX398" hidden="1">#REF!</definedName>
    <definedName name="BExOD141DZP95WIIU6NUDWYBUZ7B" hidden="1">#REF!</definedName>
    <definedName name="BExOD4ERMDMFD8X1016N4EXOUR0S" hidden="1">#REF!</definedName>
    <definedName name="BExOD55RS7BQUHRQ6H3USVGKR0P7" hidden="1">#REF!</definedName>
    <definedName name="BExOD8AZZD3EYD00GY42KRPZH9CS" hidden="1">#REF!</definedName>
    <definedName name="BExODBG95XYETMC8KBXZS3Y4G6DX" hidden="1">#REF!</definedName>
    <definedName name="BExODDZZV5X7ZQW5FUTVLMXVGHMJ" hidden="1">#REF!</definedName>
    <definedName name="BExODEWDDEABM4ZY3XREJIBZ8IVP" hidden="1">#REF!</definedName>
    <definedName name="BExODJUC4LCZPQJYR3SQQAQ1KHTX" hidden="1">#REF!</definedName>
    <definedName name="BExODNLAA1L7WQ9ZQX6A1ZOXK9VR" hidden="1">#REF!</definedName>
    <definedName name="BExODZFEIWV26E8RFU7XQYX1J458" hidden="1">#REF!</definedName>
    <definedName name="BExOE367FWY06W0MX91X05LR364E" hidden="1">#REF!</definedName>
    <definedName name="BExOE3H4RSGC5R4ZT3YDMUA3R5NO" hidden="1">#REF!</definedName>
    <definedName name="BExOE89QWLYZ033JJYOXL9EN126C" hidden="1">#REF!</definedName>
    <definedName name="BExOEBKG55EROA2VL360A06LKASE" hidden="1">#REF!</definedName>
    <definedName name="BExOEKENIAKA5SZJTNK20YGG7TBI" hidden="1">#REF!</definedName>
    <definedName name="BExOERG5LWXYYEN1DY1H2FWRJS9T" hidden="1">#REF!</definedName>
    <definedName name="BExOEV1S6JJVO5PP4BZ20SNGZR7D" hidden="1">#REF!</definedName>
    <definedName name="BExOEWZTY68MQKKUE6WMVF2O5J5P" hidden="1">#REF!</definedName>
    <definedName name="BExOF2OTV1GVWCWN8EA9OLTRJUJZ" hidden="1">#REF!</definedName>
    <definedName name="BExOF5ZJR1UJ9IQRGDTEZM7GPQX4" hidden="1">#REF!</definedName>
    <definedName name="BExOFEDNCYI2TPTMQ8SJN3AW4YMF" hidden="1">#REF!</definedName>
    <definedName name="BExOFJH1W33H5R9GH680DNXTZ0ZN" hidden="1">#REF!</definedName>
    <definedName name="BExOFN2CCI1J0EUWG6CV07EKJOT7" hidden="1">#REF!</definedName>
    <definedName name="BExOFVGM870Y5FZ9AJR1E1U6HHD8" hidden="1">#REF!</definedName>
    <definedName name="BExOFVLXVD6RVHSQO8KZOOACSV24" hidden="1">#REF!</definedName>
    <definedName name="BExOFVWR9QEQ1BK2J7S3KNMNE1XQ" hidden="1">#REF!</definedName>
    <definedName name="BExOG1AZCK9QN09SNEN2DTTFFCLJ" hidden="1">#REF!</definedName>
    <definedName name="BExOG2SW3XOGP9VAPQ3THV3VWV12" hidden="1">#REF!</definedName>
    <definedName name="BExOG45J81K4OPA40KW5VQU54KY3" hidden="1">#REF!</definedName>
    <definedName name="BExOG8753U4QM9QJKVZ9Y6JSHCCX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GYVEAJFUXQVT8YQO2U7YT5OY" hidden="1">#REF!</definedName>
    <definedName name="BExOH2GVFOFXDG3YQK89NSKG7WJG" hidden="1">#REF!</definedName>
    <definedName name="BExOH4EX6O1OINX22YW0CVGWVVEO" hidden="1">#REF!</definedName>
    <definedName name="BExOH7KB5HAPBB5K1Z3DIW5LCRSI" hidden="1">#REF!</definedName>
    <definedName name="BExOH9ICZ13C1LAW8OTYTR9S7ZP3" hidden="1">#REF!</definedName>
    <definedName name="BExOHBB43JS54D6MARIQR5PJNUDG" hidden="1">#REF!</definedName>
    <definedName name="BExOHF1V2CQQBINN3JPR3O12P2UB" hidden="1">#REF!</definedName>
    <definedName name="BExOHL75H3O118KPAAW80H0KLKU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QLDJPUTRIHUELZFHJY06PSU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96CK5TKKSUOC58AA1ZT2I2B" hidden="1">#REF!</definedName>
    <definedName name="BExOICX4J0XFMWPTM74RPWILL35Q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N9ETPA87K6NINBIFRSWHK4C" hidden="1">#REF!</definedName>
    <definedName name="BExOIWJVMJ6MG6JC4SPD1L00OHU1" hidden="1">#REF!</definedName>
    <definedName name="BExOIYCN8Z4JK3OOG86KYUCV0ME8" hidden="1">#REF!</definedName>
    <definedName name="BExOJ28VT7S3O9BEJWIAU1OVUALQ" hidden="1">#REF!</definedName>
    <definedName name="BExOJ3AKZ9BCBZT3KD8WMSLK6MN2" hidden="1">#REF!</definedName>
    <definedName name="BExOJ7XQK71I4YZDD29AKOOWZ47E" hidden="1">#REF!</definedName>
    <definedName name="BExOJJS2BNR0TO060U8EL0ENIPK3" hidden="1">#REF!</definedName>
    <definedName name="BExOJM0W6XGSW5MXPTTX0GNF6SFT" hidden="1">#REF!</definedName>
    <definedName name="BExOJMH4GDB26E5RIOUCM2L9TVC6" hidden="1">#REF!</definedName>
    <definedName name="BExOJSX13WLAK6EH331EH8EO09J8" hidden="1">#REF!</definedName>
    <definedName name="BExOJUVA2LXJK3T0NSEWDKTLC8Q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5I74MVY9CB8X2O93BM5WRL4" hidden="1">#REF!</definedName>
    <definedName name="BExOK6EK7PWB6J0NNUSKXWAS58UL" hidden="1">#REF!</definedName>
    <definedName name="BExOK7R7ZQ3HT1O2X8BY7YWIZJPB" hidden="1">#REF!</definedName>
    <definedName name="BExOKAAVC4VJ38Y8AUZXEKGOW6I2" hidden="1">#REF!</definedName>
    <definedName name="BExOKCECQSFWA99RY6KEDPH30KT6" hidden="1">#REF!</definedName>
    <definedName name="BExOKDAQ31PVS0Q7NXOF66C24GYL" hidden="1">#REF!</definedName>
    <definedName name="BExOKKHOPWUVRJGQJ5ONR2U40JX8" hidden="1">#REF!</definedName>
    <definedName name="BExOKN1C48RWCVAMKZO5ZY1OD6ZG" hidden="1">#REF!</definedName>
    <definedName name="BExOKTXMJP351VXKH8VT6SXUNIMF" hidden="1">#REF!</definedName>
    <definedName name="BExOKU8GMLOCNVORDE329819XN67" hidden="1">#REF!</definedName>
    <definedName name="BExOKYQ3OE0ZJ310XWHIDSQOIM4S" hidden="1">#REF!</definedName>
    <definedName name="BExOL0Z3Z7IAMHPB91EO2MF49U57" hidden="1">#REF!</definedName>
    <definedName name="BExOL5RRNI5GHP5TK3JHXMBLS9O1" hidden="1">#REF!</definedName>
    <definedName name="BExOL7KH12VAR0LG741SIOJTLWFD" hidden="1">#REF!</definedName>
    <definedName name="BExOLB5SC7VD8OG53K8II93SAENQ" hidden="1">#REF!</definedName>
    <definedName name="BExOLD411QWFX4FN11349510DRJ8" hidden="1">#REF!</definedName>
    <definedName name="BExOLICXFHJLILCJVFMJE5MGGWKR" hidden="1">#REF!</definedName>
    <definedName name="BExOLOI0WJS3QC12I3ISL0D9AWOF" hidden="1">#REF!</definedName>
    <definedName name="BExOLQLK42FQLIEHAK03UXSK8BNH" hidden="1">#REF!</definedName>
    <definedName name="BExOLYE2EDAJXJQ6A8R250T7M5M8" hidden="1">#REF!</definedName>
    <definedName name="BExOLYZNCQU9YFRCJTSR1R7098U7" hidden="1">#REF!</definedName>
    <definedName name="BExOLYZNG5RBD0BTS1OEZJNU92Q5" hidden="1">#REF!</definedName>
    <definedName name="BExOM3HIJ3UZPOKJI68KPBJAHPDC" hidden="1">#REF!</definedName>
    <definedName name="BExOM7OKHXFV10NPMY9JD4LQRO4Q" hidden="1">#REF!</definedName>
    <definedName name="BExOMBFCBGGM6KO5RX1LMJ0M22S4" hidden="1">#REF!</definedName>
    <definedName name="BExOMI672TH8VPB5MGW4I7CD339Q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MZUMPBNQKB1L2T463IFP2IR0" hidden="1">#REF!</definedName>
    <definedName name="BExON0AX35F2SI0UCVMGWGVIUNI3" hidden="1">#REF!</definedName>
    <definedName name="BExON41U4296DV3DPG6I5EF3OEYF" hidden="1">#REF!</definedName>
    <definedName name="BExON6LGH9LF674P0733YFD6WYF6" hidden="1">#REF!</definedName>
    <definedName name="BExON8UB96J8UZO1ZX4IVWLM8DGA" hidden="1">#REF!</definedName>
    <definedName name="BExONB3A7CO4YD8RB41PHC93BQ9M" hidden="1">#REF!</definedName>
    <definedName name="BExONFL4TFXSXWK3WNKGBKED9MO0" hidden="1">#REF!</definedName>
    <definedName name="BExONFQH6UUXF8V0GI4BRIST9RFO" hidden="1">#REF!</definedName>
    <definedName name="BExONIL1EPN8W1SVF4S473NVT9G0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NUF6IY3D4ZDUIT4FNII23A6I" hidden="1">#REF!</definedName>
    <definedName name="BExONVBIXX436X1BG1TMAO4S9LD0" hidden="1">#REF!</definedName>
    <definedName name="BExOO1WWIZSGB0YTGKESB45TSVMZ" hidden="1">#REF!</definedName>
    <definedName name="BExOO4B8FPAFYPHCTYTX37P1TQM5" hidden="1">#REF!</definedName>
    <definedName name="BExOO7GL7MKXPLMVEBHA515CS0AJ" hidden="1">#REF!</definedName>
    <definedName name="BExOOIULUDOJRMYABWV5CCL906X6" hidden="1">#REF!</definedName>
    <definedName name="BExOORE1DP6UVW28XJX2VS05649B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PJV0G43Z50LNI0UWME9NPU9S" hidden="1">#REF!</definedName>
    <definedName name="BExOQ1JN4SAC44RTMZIGHSW023WA" hidden="1">#REF!</definedName>
    <definedName name="BExOQ256YMF115DJL3KBPNKABJ90" hidden="1">#REF!</definedName>
    <definedName name="BExOQ554LVFDJIJUL5JVC4KTGFP1" hidden="1">#REF!</definedName>
    <definedName name="BExQ19DEUOLC11IW32E2AMVZLFF1" hidden="1">#REF!</definedName>
    <definedName name="BExQ1CYWH3RTIEZDUXOWMSF1N703" hidden="1">#REF!</definedName>
    <definedName name="BExQ1FD6KISGYU1JWEQ4G243ZPVD" hidden="1">#REF!</definedName>
    <definedName name="BExQ1X1RE71HCCMKWV64X8HPHR0R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2K33UJ676UAA6KWCTNUZXXV" hidden="1">#REF!</definedName>
    <definedName name="BExQ39R28MXSG2SEV956F0KZ20AN" hidden="1">#REF!</definedName>
    <definedName name="BExQ3D1P3M5Z3HLMEZ17E0BLEE4U" hidden="1">#REF!</definedName>
    <definedName name="BExQ3M1EODW2E08X5UNXOV02P0J1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1BOL730OSEM60CEMAMP4ARQ" hidden="1">#REF!</definedName>
    <definedName name="BExQ42IU9MNDYLODP41DL6YTZMAR" hidden="1">#REF!</definedName>
    <definedName name="BExQ452HF7N1HYPXJXQ8WD6SOWUV" hidden="1">#REF!</definedName>
    <definedName name="BExQ48TFDU3CCPNVPUKY1ZDHZVQ7" hidden="1">#REF!</definedName>
    <definedName name="BExQ499KBJ5W7A1G293A0K14EVQB" hidden="1">#REF!</definedName>
    <definedName name="BExQ4B7Q3NN5PZMR9C0YCQ9KMIUO" hidden="1">#REF!</definedName>
    <definedName name="BExQ4BTBSHPHVEDRCXC2ROW8PLFC" hidden="1">#REF!</definedName>
    <definedName name="BExQ4DGKF54SRKQUTUT4B1CZSS62" hidden="1">#REF!</definedName>
    <definedName name="BExQ4KI7Q592COY090DCZOA87GT5" hidden="1">#REF!</definedName>
    <definedName name="BExQ4M5H9NLH49IKGOJH3QHTRDZW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3U1WPQDQWX1BVV1GSXRBF6E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2WG68NCM06XSQ2CHEJKJUB7" hidden="1">#REF!</definedName>
    <definedName name="BExQ63793YQ9BH7JLCNRIATIGTRG" hidden="1">#REF!</definedName>
    <definedName name="BExQ68W834CRRXPSQN7NT3UMG60E" hidden="1">#REF!</definedName>
    <definedName name="BExQ6CN1EF2UPZ57ZYMGK8TUJQSS" hidden="1">#REF!</definedName>
    <definedName name="BExQ6CSI8BWKUY1M5AUWGPVCFHWN" hidden="1">#REF!</definedName>
    <definedName name="BExQ6EFSOHHW8DN3J6IT28G5SY01" hidden="1">#REF!</definedName>
    <definedName name="BExQ6JJ6GQ820H268M24Q000VLS5" hidden="1">#REF!</definedName>
    <definedName name="BExQ6M2YXJ8AMRJF3QGHC40ADAHZ" hidden="1">#REF!</definedName>
    <definedName name="BExQ6M8B0X44N9TV56ATUVHGDI00" hidden="1">#REF!</definedName>
    <definedName name="BExQ6NKT7GLCK5DO3FT99FA0VH7Y" hidden="1">#REF!</definedName>
    <definedName name="BExQ6PIZEB3532T46HXOTSDMM8XR" hidden="1">#REF!</definedName>
    <definedName name="BExQ6POH065GV0I74XXVD0VUPBJW" hidden="1">#REF!</definedName>
    <definedName name="BExQ6QA1KGRCER43E5J3AYMUZP94" hidden="1">#REF!</definedName>
    <definedName name="BExQ6V2ISSAM8O3SMU3B2ZWPPERV" hidden="1">#REF!</definedName>
    <definedName name="BExQ6WV9KPSMXPPLGZ3KK4WNYTHU" hidden="1">#REF!</definedName>
    <definedName name="BExQ7246IIFTPWVL73U3M815CXZJ" hidden="1">#REF!</definedName>
    <definedName name="BExQ75PN1GK4NABS6X2DZPGKMA4J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E3RE1D98R7POW5IPWL742HW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NZS98OEP2HHWHL9ERPR6RLT" hidden="1">#REF!</definedName>
    <definedName name="BExQ7XL2Q1GVUFL1F9KK0K0EXMWG" hidden="1">#REF!</definedName>
    <definedName name="BExQ7ZOKH2JDR1LA5OT4S0SSSQCE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MWPYO4455OS9VA8SGTA2ZZ5" hidden="1">#REF!</definedName>
    <definedName name="BExQ8O3WEU8HNTTGKTW5T0QSKCLP" hidden="1">#REF!</definedName>
    <definedName name="BExQ8U95JXE2ZGDDWOEHH46ENO5L" hidden="1">#REF!</definedName>
    <definedName name="BExQ8UUP7KQWLXPL81ZMF3AC1K7V" hidden="1">#REF!</definedName>
    <definedName name="BExQ8ZCEDBOBJA3D9LDP5TU2WYGR" hidden="1">#REF!</definedName>
    <definedName name="BExQ9155UFKRTV92PI7J9MVD63JB" hidden="1">#REF!</definedName>
    <definedName name="BExQ94LAW6MAQBWY25WTBFV5PPZJ" hidden="1">#REF!</definedName>
    <definedName name="BExQ97QIPOSSRK978N8P234Y1XA4" hidden="1">#REF!</definedName>
    <definedName name="BExQ9DQATTM64NGUOQWM96CIR7J1" hidden="1">#REF!</definedName>
    <definedName name="BExQ9DVR0WJQK432BJFWT5WHPMRB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KX9KBD1Q0CET9YHTF6PILY5" hidden="1">#REF!</definedName>
    <definedName name="BExQ9L81FF4I7816VTPFBDWVU4CW" hidden="1">#REF!</definedName>
    <definedName name="BExQ9M4E2ACZOWWWP1JJIQO8AHUM" hidden="1">#REF!</definedName>
    <definedName name="BExQ9ODESOJX11Y18Q95I1Y21YR9" hidden="1">#REF!</definedName>
    <definedName name="BExQ9UTANMJCK7LJ4OQMD6F2Q01L" hidden="1">#REF!</definedName>
    <definedName name="BExQ9UYT0STC118JMM55GHNDS4SL" hidden="1">#REF!</definedName>
    <definedName name="BExQ9V9LD6RLDJT89IIZ35BOJDVJ" hidden="1">#REF!</definedName>
    <definedName name="BExQ9ZLYHWABXAA9NJDW8ZS0UQ9P" hidden="1">#REF!</definedName>
    <definedName name="BExQA25LT8NKMO22IUZNXHN6H3X4" hidden="1">#REF!</definedName>
    <definedName name="BExQA324HSCK40ENJUT9CS9EC71B" hidden="1">#REF!</definedName>
    <definedName name="BExQA4EL5PFZMOLI16JQZ3IJRIBL" hidden="1">#REF!</definedName>
    <definedName name="BExQA55GY0STSNBWQCWN8E31ZXCS" hidden="1">#REF!</definedName>
    <definedName name="BExQA73OYDFBPMIGFKA4ACPI3E62" hidden="1">#REF!</definedName>
    <definedName name="BExQA9HZIN9XEMHEEVHT99UU9Z82" hidden="1">#REF!</definedName>
    <definedName name="BExQAAP674ZXR512ZS37LWQRWGZF" hidden="1">#REF!</definedName>
    <definedName name="BExQAELFYH92K8CJL155181UDORO" hidden="1">#REF!</definedName>
    <definedName name="BExQAG8PP8R5NJKNQD1U4QOSD6X5" hidden="1">#REF!</definedName>
    <definedName name="BExQANL3EV3GKYLFQNA34FCDJY2G" hidden="1">#REF!</definedName>
    <definedName name="BExQAPOMFZBTWJAGS7V1LY056AP1" hidden="1">#REF!</definedName>
    <definedName name="BExQB9BBQKX4K8UZW7QONZ6JFU0T" hidden="1">#REF!</definedName>
    <definedName name="BExQBAYP173266UNW5ZW51EKBFON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ILR8WBB4V2RPNV38NLCJ1Y2" hidden="1">#REF!</definedName>
    <definedName name="BExQBJSWTHMEUPKQI528ZOE3DWD7" hidden="1">#REF!</definedName>
    <definedName name="BExQBLAV0PLM9BDRNMVTEKF71QSR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I9M5F9BX0WO90T8KQKXJECZ" hidden="1">#REF!</definedName>
    <definedName name="BExQCKTD8AT0824LGWREXM1B5D1X" hidden="1">#REF!</definedName>
    <definedName name="BExQCNIGAICPF6Y9HD5KKCFDOJ5Y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DUIQCI54HZFQ5GV5FG3FDWDA" hidden="1">#REF!</definedName>
    <definedName name="BExQDZ61F2AW9SCQU86FEW4BCO9T" hidden="1">#REF!</definedName>
    <definedName name="BExQE55U68PH52JW9EEDP675VYAB" hidden="1">#REF!</definedName>
    <definedName name="BExQE5LX5QO1341FV8HNQW7JTLG2" hidden="1">#REF!</definedName>
    <definedName name="BExQE628A0WQH67ZNC1X8VE89X7F" hidden="1">#REF!</definedName>
    <definedName name="BExQE6IAA3QFZ6TX9BXPJISLE0Q1" hidden="1">#REF!</definedName>
    <definedName name="BExQEC7BRIJ30PTU3UPFOIP2HPE3" hidden="1">#REF!</definedName>
    <definedName name="BExQEJUD5RQJ325ULPV2E4W8QAL6" hidden="1">#REF!</definedName>
    <definedName name="BExQEMUA4HEFM4OVO8M8MA8PIAW1" hidden="1">#REF!</definedName>
    <definedName name="BExQEQ4XZQFIKUXNU9H7WE7AMZ1U" hidden="1">#REF!</definedName>
    <definedName name="BExQEZA2HA9I1UFHW5SGRIBPK643" hidden="1">#REF!</definedName>
    <definedName name="BExQF00ZDAC842R706797DN4H4HE" hidden="1">#REF!</definedName>
    <definedName name="BExQF1OEB07CRAP6ALNNMJNJ3P2D" hidden="1">#REF!</definedName>
    <definedName name="BExQF9X1ID488Y23BRE2C9EHKRCG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MNOOBC2XE1R03V1MF8QJSDG" hidden="1">#REF!</definedName>
    <definedName name="BExQFNPE0JNBFPGM91B5GNSDG31N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3AG76M806A0OCWC3ES5A8U1" hidden="1">#REF!</definedName>
    <definedName name="BExQG8TYRD2G42UA5ZPCRLNKUDMX" hidden="1">#REF!</definedName>
    <definedName name="BExQGFKTOP6WGJAF2OI8PXQPMWT4" hidden="1">#REF!</definedName>
    <definedName name="BExQGMM9RZL83B2Z0ZZPHKUY6VTK" hidden="1">#REF!</definedName>
    <definedName name="BExQGO48J9MPCDQ96RBB9UN9AIGT" hidden="1">#REF!</definedName>
    <definedName name="BExQGSBB6MJWDW7AYWA0MSFTXKRR" hidden="1">#REF!</definedName>
    <definedName name="BExQGWNUDNKH5E2X6A5Y1PPTCJX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LU08J0LC3GL5M2DBXD9XZQ2" hidden="1">#REF!</definedName>
    <definedName name="BExQHPKXZ1K33V2F90NZIQRZYIAW" hidden="1">#REF!</definedName>
    <definedName name="BExQHVF9KD06AG2RXUQJ9X4PVGX4" hidden="1">#REF!</definedName>
    <definedName name="BExQHXTJYG3QRNLMWK83T7URO1IN" hidden="1">#REF!</definedName>
    <definedName name="BExQHZBHVN2L4HC7ACTR73T5OCV0" hidden="1">#REF!</definedName>
    <definedName name="BExQHZGZ5JZ4AE00IROC5LG5734F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CT281Q1E6HHLEIC7LOYTR4F" hidden="1">#REF!</definedName>
    <definedName name="BExQIDUXFRRQTUP42M6V5KODFDPZ" hidden="1">#REF!</definedName>
    <definedName name="BExQIEB0GZ6CJG6H2C8ODS1D8OST" hidden="1">#REF!</definedName>
    <definedName name="BExQIEWM4YHWE15RFGAT8AWBZ25Y" hidden="1">#REF!</definedName>
    <definedName name="BExQIFI5ISIC0YZOAUQIUDMMDPKD" hidden="1">#REF!</definedName>
    <definedName name="BExQIII2YKNNBPUFZNOC88FK394S" hidden="1">#REF!</definedName>
    <definedName name="BExQINW95C7N048P3U0KM5A2Q0VU" hidden="1">#REF!</definedName>
    <definedName name="BExQIS8O6R36CI01XRY9ISM99TW9" hidden="1">#REF!</definedName>
    <definedName name="BExQIVJB9MJ25NDUHTCVMSODJY2C" hidden="1">#REF!</definedName>
    <definedName name="BExQIY338IAOD4HUIQYLRQPNFNND" hidden="1">#REF!</definedName>
    <definedName name="BExQJ7IXTYN8ELZIUSOUURFAP5Z5" hidden="1">#REF!</definedName>
    <definedName name="BExQJBF7LAX128WR7VTMJC88ZLPG" hidden="1">#REF!</definedName>
    <definedName name="BExQJEVCKX6KZHNCLYXY7D0MX5KN" hidden="1">#REF!</definedName>
    <definedName name="BExQJIBCENFZ4FNIPQ8IC1PBMHA9" hidden="1">#REF!</definedName>
    <definedName name="BExQJJYSDX8B0J1QGF2HL071KKA3" hidden="1">#REF!</definedName>
    <definedName name="BExQJT3RAFPPP2ZOEHO494SLD58S" hidden="1">#REF!</definedName>
    <definedName name="BExQJTEK5TAWKCV6YC3J745VSIR4" hidden="1">#REF!</definedName>
    <definedName name="BExQJX019VWBQMW1HCV154DP9287" hidden="1">#REF!</definedName>
    <definedName name="BExQK1HV6SQQ7CP8H8IUKI9TYXTD" hidden="1">#REF!</definedName>
    <definedName name="BExQK1SODHG66277P2K5V2W6173O" hidden="1">#REF!</definedName>
    <definedName name="BExQK3LE5CSBW1E4H4KHW548FL2R" hidden="1">#REF!</definedName>
    <definedName name="BExQK6AJBB7A185RI7ESQZQ80VMS" hidden="1">#REF!</definedName>
    <definedName name="BExQKEDTI7K6G4BWZJAWJH7AG1CS" hidden="1">#REF!</definedName>
    <definedName name="BExQKG6LD6PLNDGNGO9DJXY865BR" hidden="1">#REF!</definedName>
    <definedName name="BExQKTYVDYTAQA3CAZ54QBDI31I7" hidden="1">#REF!</definedName>
    <definedName name="BExQLE1TOW3A287TQB0AVWENT8O1" hidden="1">#REF!</definedName>
    <definedName name="BExQLECLZKM00V4O2SF2I9ST83GM" hidden="1">#REF!</definedName>
    <definedName name="BExRYERGHP0TLKNBVJTS9NPZWPIN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BPG3399WFW7DLFIN66KAIF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1T03RI5OYCPF79C0GBLRQOY" hidden="1">#REF!</definedName>
    <definedName name="BExS02PDU3RIYDBR02EV6VUXEVN6" hidden="1">#REF!</definedName>
    <definedName name="BExS0ASQBKRTPDWFK0KUDFOS9LE5" hidden="1">#REF!</definedName>
    <definedName name="BExS0GHQUF6YT0RU3TKDEO8CSJYB" hidden="1">#REF!</definedName>
    <definedName name="BExS0JHLANZT1ZDCBVPK4SJETVX1" hidden="1">#REF!</definedName>
    <definedName name="BExS0K8IHC45I78DMZBOJ1P13KQA" hidden="1">#REF!</definedName>
    <definedName name="BExS0RQ91V82INB4RRFAH1D6EVD7" hidden="1">#REF!</definedName>
    <definedName name="BExS0UFCKI6Z4BDWL0C1TI1UZA8D" hidden="1">#REF!</definedName>
    <definedName name="BExS152B2LFCRAUHSLI5T6QRNII0" hidden="1">#REF!</definedName>
    <definedName name="BExS15IJV0WW662NXQUVT3FGP4ST" hidden="1">#REF!</definedName>
    <definedName name="BExS16PROWSNHW3MZQBGQNQU7S8R" hidden="1">#REF!</definedName>
    <definedName name="BExS194110MR25BYJI3CJ2EGZ8XT" hidden="1">#REF!</definedName>
    <definedName name="BExS199D3C427TFWAKOBFEYYSE3N" hidden="1">#REF!</definedName>
    <definedName name="BExS1BNUU1KKCN6W1XVN8TOBXKBL" hidden="1">#REF!</definedName>
    <definedName name="BExS1BNVGNSGD4EP90QL8WXYWZ66" hidden="1">#REF!</definedName>
    <definedName name="BExS1JWGI508MZB1MMH9LYSDERL8" hidden="1">#REF!</definedName>
    <definedName name="BExS1UE39N6NCND7MAARSBWXS6HU" hidden="1">#REF!</definedName>
    <definedName name="BExS1VQKWZC7SM0UY7BWIPST3VU3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JV1BKKVGOEA9EP45FWQS1GM" hidden="1">#REF!</definedName>
    <definedName name="BExS2OT61VXS58SSI0I90Z76DFCQ" hidden="1">#REF!</definedName>
    <definedName name="BExS2QB5FS5LYTFYO4BROTWG3OV5" hidden="1">#REF!</definedName>
    <definedName name="BExS2RIBMZPBDB3W6PKRNHUM06WI" hidden="1">#REF!</definedName>
    <definedName name="BExS2TLU1HONYV6S3ZD9T12D7CIG" hidden="1">#REF!</definedName>
    <definedName name="BExS2W04KHH7UFWBM0V6I3ZPLB6T" hidden="1">#REF!</definedName>
    <definedName name="BExS301PRJ0MXRBJ8W6HNGMKUB92" hidden="1">#REF!</definedName>
    <definedName name="BExS318UV9I2FXPQQWUKKX00QLPJ" hidden="1">#REF!</definedName>
    <definedName name="BExS38AHQWKT950DKJR1SJAY5NKD" hidden="1">#REF!</definedName>
    <definedName name="BExS3BL7KZUM0PK7UW1Y6M98ZKXC" hidden="1">#REF!</definedName>
    <definedName name="BExS3IRZNEJ2D7JJY84CFHPSHNEK" hidden="1">#REF!</definedName>
    <definedName name="BExS3LBS0SMTHALVM4NRI1BAV1NP" hidden="1">#REF!</definedName>
    <definedName name="BExS3LMKSBY0IKD2W1LALOINFT8M" hidden="1">#REF!</definedName>
    <definedName name="BExS3MTQ75VBXDGEBURP6YT8RROE" hidden="1">#REF!</definedName>
    <definedName name="BExS3NQ3EXUT4U45AJX1ENO92UOI" hidden="1">#REF!</definedName>
    <definedName name="BExS3OH5XH1H0NEUDJGB0D1EF3C6" hidden="1">#REF!</definedName>
    <definedName name="BExS3OMGYO0DFN5186UFKEXZ2RX3" hidden="1">#REF!</definedName>
    <definedName name="BExS3SDERJ27OER67TIGOVZU13A2" hidden="1">#REF!</definedName>
    <definedName name="BExS3T4BUKLSBIM4FYPD8TG8JJCJ" hidden="1">#REF!</definedName>
    <definedName name="BExS3URKE8HKQSKVENRSD1DS9HE7" hidden="1">#REF!</definedName>
    <definedName name="BExS3WV2VQ19L2A1DJ73AUFN7SRX" hidden="1">#REF!</definedName>
    <definedName name="BExS3YNUQP844N67OUKZIJTD0SAX" hidden="1">#REF!</definedName>
    <definedName name="BExS46R5WDNU5KL04FKY5LHJUCB8" hidden="1">#REF!</definedName>
    <definedName name="BExS4ASWKM93XA275AXHYP8AG6SU" hidden="1">#REF!</definedName>
    <definedName name="BExS4IAMWTT1CKFNHGN8SPWSD3QR" hidden="1">#REF!</definedName>
    <definedName name="BExS4JN3Y6SVBKILQK0R9HS45Y52" hidden="1">#REF!</definedName>
    <definedName name="BExS4MN0RZRO1OVGCO662IT2ON0Z" hidden="1">#REF!</definedName>
    <definedName name="BExS4P6S41O6Z6BED77U3GD9PNH1" hidden="1">#REF!</definedName>
    <definedName name="BExS4UFKWNI7QAX0PTOVVBUB0LP8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BYO19H5ZKO75ERO60KF7DQH" hidden="1">#REF!</definedName>
    <definedName name="BExS5DRER25OKCUUFP3SP3FK65B7" hidden="1">#REF!</definedName>
    <definedName name="BExS5DRER9US6NXY9ATYT41KZII3" hidden="1">#REF!</definedName>
    <definedName name="BExS5ED5W0WM3UL16Q5UKUTHI23O" hidden="1">#REF!</definedName>
    <definedName name="BExS5FPLOKTAMSBZCZ52O6R9HSS0" hidden="1">#REF!</definedName>
    <definedName name="BExS5L3TGB8JVW9ROYWTKYTUPW27" hidden="1">#REF!</definedName>
    <definedName name="BExS5SG3GBHVDR15MOYHV230A4BG" hidden="1">#REF!</definedName>
    <definedName name="BExS5THY0ZX4YFZ1TBSYW16CHMI6" hidden="1">#REF!</definedName>
    <definedName name="BExS5TY0F5R1ZXIVJHAAVVG81G5H" hidden="1">#REF!</definedName>
    <definedName name="BExS6GKQ96EHVLYWNJDWXZXUZW90" hidden="1">#REF!</definedName>
    <definedName name="BExS6IDGN0WT3XAOXGYIZCMZPUA8" hidden="1">#REF!</definedName>
    <definedName name="BExS6ITKSZFRR01YD5B0F676SYN7" hidden="1">#REF!</definedName>
    <definedName name="BExS6IYVVGGZJXGGYPX7UNAQOB2X" hidden="1">#REF!</definedName>
    <definedName name="BExS6KGU63BUOXCPJ9TSCDS9ZY2T" hidden="1">#REF!</definedName>
    <definedName name="BExS6KRSV97XFIRXWS7QPHL1KIQQ" hidden="1">#REF!</definedName>
    <definedName name="BExS6N0LI574IAC89EFW6CLTCQ33" hidden="1">#REF!</definedName>
    <definedName name="BExS6SETC85FG5CFEFF6GKXH5I4Z" hidden="1">#REF!</definedName>
    <definedName name="BExS6WRDBF3ST86ZOBBUL3GTCR11" hidden="1">#REF!</definedName>
    <definedName name="BExS6XNRKR0C3MTA0LV5B60UB908" hidden="1">#REF!</definedName>
    <definedName name="BExS713QPILFMKYUV38RY9SV3IRR" hidden="1">#REF!</definedName>
    <definedName name="BExS79HUY1GAJJP4VMMZHU8UJI6O" hidden="1">#REF!</definedName>
    <definedName name="BExS7DU7IOWG5MHL28Z4KOM2V434" hidden="1">#REF!</definedName>
    <definedName name="BExS7G38ASJVTDO2IAPA36EB2SPF" hidden="1">#REF!</definedName>
    <definedName name="BExS7HQI0PBQNP39JUZ69RMC7M7N" hidden="1">#REF!</definedName>
    <definedName name="BExS7TKQYLRZGM93UY3ZJZJBQNFJ" hidden="1">#REF!</definedName>
    <definedName name="BExS7TVIHJQ54K2Q7S5TI60WWB6A" hidden="1">#REF!</definedName>
    <definedName name="BExS7U0UT95EDG8ZDODYWQ4JUPQI" hidden="1">#REF!</definedName>
    <definedName name="BExS7Y2LNGVHSIBKC7C3R6X4LDR6" hidden="1">#REF!</definedName>
    <definedName name="BExS80RP8GCPNFHHGN85D3RLJQWW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4IH0PB03NTPA2SY27RBNO3T" hidden="1">#REF!</definedName>
    <definedName name="BExS865XZ6IJIZ9ZDZD60QUSDET5" hidden="1">#REF!</definedName>
    <definedName name="BExS8BEOSY860XS8CNDYLDEJMI6D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L57QRNBAI4A6M3I3S7B2Y59" hidden="1">#REF!</definedName>
    <definedName name="BExS8LQTNX922FCMI8FORKMV1ZCD" hidden="1">#REF!</definedName>
    <definedName name="BExS8R51C8RM2FS6V6IRTYO9GA4A" hidden="1">#REF!</definedName>
    <definedName name="BExS8T8IXQ5QTX540FNFKOG5CSK6" hidden="1">#REF!</definedName>
    <definedName name="BExS8W8G0X4RIQXAZCCLUM05FF9P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70VMB40OE1CEB7FR2ZHFGZ0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KT6XE1SFSH796U6UCLQGS7S" hidden="1">#REF!</definedName>
    <definedName name="BExS9NCUIRF654M8GXZVAVVRT3XL" hidden="1">#REF!</definedName>
    <definedName name="BExS9WI0A6PSEB8N9GPXF2Z7MWHM" hidden="1">#REF!</definedName>
    <definedName name="BExSA5HP306TN9XJS0TU619DLRR7" hidden="1">#REF!</definedName>
    <definedName name="BExSAA4TQVBEW9YTSAC7IB9WGR0N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S9JYGF2R5HSZN602DIK27UD" hidden="1">#REF!</definedName>
    <definedName name="BExSAT5WZEM6Z4GG7X374JPK349Y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DUESN9748UHGWE3BBH92TSF" hidden="1">#REF!</definedName>
    <definedName name="BExSBLHMDPAU7TLJHXOGAD2L0A74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9M353D3EKCXI5GRYJZYPZYZ" hidden="1">#REF!</definedName>
    <definedName name="BExSCE99EZTILTTCE4NJJF96OYYM" hidden="1">#REF!</definedName>
    <definedName name="BExSCHUQZ2HFEWS54X67DIS8OSXZ" hidden="1">#REF!</definedName>
    <definedName name="BExSCOASW4C1Y4VOK2QA3XXKU5PN" hidden="1">#REF!</definedName>
    <definedName name="BExSCOG41SKKG4GYU76WRWW1CTE6" hidden="1">#REF!</definedName>
    <definedName name="BExSCQUE875GI0F4XV4SGUSTB60Z" hidden="1">#REF!</definedName>
    <definedName name="BExSCUFWCR7OBEWCLKIKMO86FLDT" hidden="1">#REF!</definedName>
    <definedName name="BExSCVC9P86YVFMRKKUVRV29MZXZ" hidden="1">#REF!</definedName>
    <definedName name="BExSD16RWPJ4BKJERNVKGA3W1V8N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711K1I6NUMT5K6HOAO1MZVT" hidden="1">#REF!</definedName>
    <definedName name="BExSD9FE6CR6ZA5S517OMYINSMOJ" hidden="1">#REF!</definedName>
    <definedName name="BExSD9VH6PF6RQ135VOEE08YXPAW" hidden="1">#REF!</definedName>
    <definedName name="BExSDF9PH04G6FUFR3IXS5MQEE21" hidden="1">#REF!</definedName>
    <definedName name="BExSDFKNF2GJYJ4UKG6XN0MCZZ5I" hidden="1">#REF!</definedName>
    <definedName name="BExSDJ5ZE3T46HSF6W0OXL80TXQG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WYFN6HJEHZJRWPZOOKJNIH3" hidden="1">#REF!</definedName>
    <definedName name="BExSEEHK1VLWD7JBV9SVVVIKQZ3I" hidden="1">#REF!</definedName>
    <definedName name="BExSEJKZLX37P3V33TRTFJ30BFRK" hidden="1">#REF!</definedName>
    <definedName name="BExSELDQIBV2IYVLEWGQXU6V96NY" hidden="1">#REF!</definedName>
    <definedName name="BExSEP9UVOAI6TMXKNK587PQ3328" hidden="1">#REF!</definedName>
    <definedName name="BExSERZ34ETZF8OI93MYIVZX4RDV" hidden="1">#REF!</definedName>
    <definedName name="BExSEYKGVGLRLPX2I4SV7SU29V6N" hidden="1">#REF!</definedName>
    <definedName name="BExSF07QFLZCO4P6K6QF05XG7PH1" hidden="1">#REF!</definedName>
    <definedName name="BExSFB0676R0K9O5B0K7M9AQ79XI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EEWSM6V6B3J3F29MN7WAH14" hidden="1">#REF!</definedName>
    <definedName name="BExSGILZSKAN5LC22OXQ20NETG13" hidden="1">#REF!</definedName>
    <definedName name="BExSGJT4LF1CNH5RN5GZ373ISW9D" hidden="1">#REF!</definedName>
    <definedName name="BExSGLB2URTLBCKBB4Y885W925F2" hidden="1">#REF!</definedName>
    <definedName name="BExSGLLV7DG4TAPCQS4W18SS6LW9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WZW4KYJYWG4FQJO0EC96PPJ" hidden="1">#REF!</definedName>
    <definedName name="BExSGZJO4J4ZO04E2N2ECVYS9DEZ" hidden="1">#REF!</definedName>
    <definedName name="BExSH4HLTQVL4MI545VJL4WFN9U2" hidden="1">#REF!</definedName>
    <definedName name="BExSH4HMJS0TXSYHRWJRFTJ7NOSN" hidden="1">#REF!</definedName>
    <definedName name="BExSHAHFHS7MMNJR8JPVABRGBVIT" hidden="1">#REF!</definedName>
    <definedName name="BExSHDS3RJMD6MEJ67RL63M0SEIC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UKBQVT2G9G0K9ORVIJO6TU8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86BVP2MZZ1TTYOX31D8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EN9TJ0CMCLUTR4W4X0S7HFL" hidden="1">#REF!</definedName>
    <definedName name="BExTUJ53ANGZ3H1KDK4CR4Q0OD6P" hidden="1">#REF!</definedName>
    <definedName name="BExTUKXSZBM7C57G6NGLWGU4WOHY" hidden="1">#REF!</definedName>
    <definedName name="BExTUOOMC43GH95KQ1PJ86MN9XDF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TLH2E1SH7Z2XBYHUOQBWWLI" hidden="1">#REF!</definedName>
    <definedName name="BExTVZQLP9VFLEYQ9280W13X7E8K" hidden="1">#REF!</definedName>
    <definedName name="BExTWB4LA1PODQOH4LDTHQKBN16K" hidden="1">#REF!</definedName>
    <definedName name="BExTWEF92IWBFLKOZYTJM2QXMFGG" hidden="1">#REF!</definedName>
    <definedName name="BExTWFX8OYD9IX59PTP73YAC8O9G" hidden="1">#REF!</definedName>
    <definedName name="BExTWI0Q8AWXUA3ZN7I5V3QK2KM1" hidden="1">#REF!</definedName>
    <definedName name="BExTWI0R31187AOWYLZ1W1WNI84K" hidden="1">#REF!</definedName>
    <definedName name="BExTWJTGTEM42YMMOXES1DOPT9UG" hidden="1">#REF!</definedName>
    <definedName name="BExTWJTIA3WUW1PUWXAOP9O8NKLZ" hidden="1">#REF!</definedName>
    <definedName name="BExTWNV1WTLB4288GU39CQA3IDMR" hidden="1">#REF!</definedName>
    <definedName name="BExTWOWWRJ1QLJFOSKYWVHSIDY9X" hidden="1">#REF!</definedName>
    <definedName name="BExTWTERU1SE8R3LRC2C4HQMOIB1" hidden="1">#REF!</definedName>
    <definedName name="BExTWVYDHFPIG3ONLWH4FBQ4HEPU" hidden="1">#REF!</definedName>
    <definedName name="BExTWW95OX07FNA01WF5MSSSFQLX" hidden="1">#REF!</definedName>
    <definedName name="BExTWXB0ICDXK39EN3LMQYG6FY45" hidden="1">#REF!</definedName>
    <definedName name="BExTX476KI0RNB71XI5TYMANSGBG" hidden="1">#REF!</definedName>
    <definedName name="BExTX5ZX90M6FKG9T25RL4W799O1" hidden="1">#REF!</definedName>
    <definedName name="BExTX88S5U7MLW7ZULD948XS6O7K" hidden="1">#REF!</definedName>
    <definedName name="BExTXEJBJIZ3G0QEWQ8BB0P28EB9" hidden="1">#REF!</definedName>
    <definedName name="BExTXG19NC2XWHMP3D6OG790HZ6D" hidden="1">#REF!</definedName>
    <definedName name="BExTXJ6HBAIXMMWKZTJNFDYVZCAY" hidden="1">#REF!</definedName>
    <definedName name="BExTXSX8EYN4PQU3GKKF4SGXTUDC" hidden="1">#REF!</definedName>
    <definedName name="BExTXSX9C19HTSBLFMOQHL4UPAQG" hidden="1">#REF!</definedName>
    <definedName name="BExTXT812NQT8GAEGH738U29BI0D" hidden="1">#REF!</definedName>
    <definedName name="BExTXWIP2TFPTQ76NHFOB72NICRZ" hidden="1">#REF!</definedName>
    <definedName name="BExTY1WXTBXUD0M1NWE12NMAUGCO" hidden="1">#REF!</definedName>
    <definedName name="BExTY5T62H651VC86QM4X7E28JVA" hidden="1">#REF!</definedName>
    <definedName name="BExTY8T3298MEVBDXE9YU9FPX5U0" hidden="1">#REF!</definedName>
    <definedName name="BExTY8T41OBZ32MRCWT76H4XO1YE" hidden="1">#REF!</definedName>
    <definedName name="BExTY8YEX3VJWISHGN0O5OT8X7N1" hidden="1">#REF!</definedName>
    <definedName name="BExTYG5CPVZQX3EUCUQIRIO5X5QQ" hidden="1">#REF!</definedName>
    <definedName name="BExTYHCJJ2NWRM1RV59FYR41534U" hidden="1">#REF!</definedName>
    <definedName name="BExTYJAQIAQURYV4D4VADAZX457K" hidden="1">#REF!</definedName>
    <definedName name="BExTYK745FTRF2O6MQ7O005KFRDR" hidden="1">#REF!</definedName>
    <definedName name="BExTYKCEFJ83LZM95M1V7CSFQVEA" hidden="1">#REF!</definedName>
    <definedName name="BExTYLUEJ8VZFLKRDPB4KT4PNQQQ" hidden="1">#REF!</definedName>
    <definedName name="BExTYPLA9N640MFRJJQPKXT7P88M" hidden="1">#REF!</definedName>
    <definedName name="BExTYTC3EYTFFWDKXWAUJBH8GCTH" hidden="1">#REF!</definedName>
    <definedName name="BExTZ385VS2F1T44VE27D2P44CMQ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91A10QVE7583Q5CAHW138RD" hidden="1">#REF!</definedName>
    <definedName name="BExU0BFJJQO1HJZKI14QGOQ6JROO" hidden="1">#REF!</definedName>
    <definedName name="BExU0FH5WTGW8MRFUFMDDSMJ6YQ5" hidden="1">#REF!</definedName>
    <definedName name="BExU0FMLYKBHXH0JHAD0FA64EF92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OBHGFHDM0BDJXJNE7I0ESKC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N4RELJSQTQUF8YK7BNGXKO" hidden="1">#REF!</definedName>
    <definedName name="BExU1GXUTLRPJN4MRINLAPHSZQFG" hidden="1">#REF!</definedName>
    <definedName name="BExU1IL9AOHFO85BZB6S60DK3N8H" hidden="1">#REF!</definedName>
    <definedName name="BExU1IW1LKP93PBXNZFGLRUNPTGQ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SXFAU0KC7GR4JFVT4YG7Y1T" hidden="1">#REF!</definedName>
    <definedName name="BExU1VRURIWWVJ95O40WA23LMTJD" hidden="1">#REF!</definedName>
    <definedName name="BExU2941Z7GTMQ5O1VVPEU7YRR7P" hidden="1">#REF!</definedName>
    <definedName name="BExU2942M91A3JH9OMU6UADPUNNV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5BWV6ANN62Q8NRK9557GMDW" hidden="1">#REF!</definedName>
    <definedName name="BExU3B66MCKJFSKT3HL8B5EJGVX0" hidden="1">#REF!</definedName>
    <definedName name="BExU3D9R4DRJADX0E7E2OZ3T6J9D" hidden="1">#REF!</definedName>
    <definedName name="BExU3DQ0085EQLKKWJOSD61UGO5B" hidden="1">#REF!</definedName>
    <definedName name="BExU3EBJLQP3B3PP6RGTAK86MYZN" hidden="1">#REF!</definedName>
    <definedName name="BExU3HX1IEJGNDJI6N6CLR8ZJK9D" hidden="1">#REF!</definedName>
    <definedName name="BExU3LYN33Q5B4R6XPDVGJTMVGOR" hidden="1">#REF!</definedName>
    <definedName name="BExU3QWQVA35KFNEQYRLU0ZG2TZ0" hidden="1">#REF!</definedName>
    <definedName name="BExU3UNI9NR1RNZR07NSLSZMDOQQ" hidden="1">#REF!</definedName>
    <definedName name="BExU3W05PXGYACPZ2QENKHYIJFPN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EKY6ZFIE7Z9ITUVXFWAMIC2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MIZMMFZZWTK4WHGFZSMWPS8" hidden="1">#REF!</definedName>
    <definedName name="BExU4NA00RRRBGRT6TOB0MXZRCRZ" hidden="1">#REF!</definedName>
    <definedName name="BExU4XWZRGDFLCPK6HI2B3EXIQNU" hidden="1">#REF!</definedName>
    <definedName name="BExU4Z9FLI1ZJ4JPD7SBCL5Q4EKF" hidden="1">#REF!</definedName>
    <definedName name="BExU51IFNZXPBDES28457LR8X60M" hidden="1">#REF!</definedName>
    <definedName name="BExU529CJ5AWHU0WNPZUYLVVT9GO" hidden="1">#REF!</definedName>
    <definedName name="BExU529I6YHVOG83TJHWSILIQU1S" hidden="1">#REF!</definedName>
    <definedName name="BExU57YCIKPRD8QWL6EU0YR3NG3J" hidden="1">#REF!</definedName>
    <definedName name="BExU5ASW0EDMKXO9S0FFA3NMUJJ9" hidden="1">#REF!</definedName>
    <definedName name="BExU5DSTBWXLN6E59B757KRWRI6E" hidden="1">#REF!</definedName>
    <definedName name="BExU5IFZ68LXL7FBMIHYND56SQSI" hidden="1">#REF!</definedName>
    <definedName name="BExU5N8L0E2WDEBA4ITD4A8FT8ON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22RS5MV5IJMX2XYZ7FTI7LZ" hidden="1">#REF!</definedName>
    <definedName name="BExU66KMFBAP8JCVG9VM1RD1TNFF" hidden="1">#REF!</definedName>
    <definedName name="BExU67BIP4IDGLTCZMUKNEA7DFWZ" hidden="1">#REF!</definedName>
    <definedName name="BExU68IOM3CB3TACNAE9565TW7SH" hidden="1">#REF!</definedName>
    <definedName name="BExU68TGQDEYYSE78EXWOMW5WA9E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MWL30NHY8I1G97R2SU1TD1Y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44X370J3F30AL1LM95LAKTP" hidden="1">#REF!</definedName>
    <definedName name="BExU76ZHCJM8I7VSICCMSTC33O6U" hidden="1">#REF!</definedName>
    <definedName name="BExU77L1ZM2BRJB4M5RWTLREPRBO" hidden="1">#REF!</definedName>
    <definedName name="BExU7BBTUF8BQ42DSGM94X5TG5GF" hidden="1">#REF!</definedName>
    <definedName name="BExU7DVMNLPZ8DIZKTOS0GLZESXN" hidden="1">#REF!</definedName>
    <definedName name="BExU7G9Z3XVMLZW8TR0K24XNC588" hidden="1">#REF!</definedName>
    <definedName name="BExU7HH4EAHFQHT4AXKGWAWZP3I0" hidden="1">#REF!</definedName>
    <definedName name="BExU7L7WWCXKAFK6S7TIMY9JHS9N" hidden="1">#REF!</definedName>
    <definedName name="BExU7L7XQ8B9HMX1E221H9WDST9G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7QM4HOX4T3G2GS6ZGRIPE4NZ" hidden="1">#REF!</definedName>
    <definedName name="BExU7VUWIK7942LR3XULMKX3BJWZ" hidden="1">#REF!</definedName>
    <definedName name="BExU80I6AE5OU7P7F5V7HWIZBJ4P" hidden="1">#REF!</definedName>
    <definedName name="BExU85AUW6RSKQIVXFO60KKE5T20" hidden="1">#REF!</definedName>
    <definedName name="BExU86NB26MCPYIISZ36HADONGT2" hidden="1">#REF!</definedName>
    <definedName name="BExU885EZZNSZV3GP298UJ8LB7OL" hidden="1">#REF!</definedName>
    <definedName name="BExU89XZ24NAEGSD8GN6NKO3596G" hidden="1">#REF!</definedName>
    <definedName name="BExU8EQL5O3A0BRW3M0WXXCR1FK6" hidden="1">#REF!</definedName>
    <definedName name="BExU8FSAUP9TUZ1NO9WXK80QPHWV" hidden="1">#REF!</definedName>
    <definedName name="BExU8FSGATXULCM675VF1KYAHGP1" hidden="1">#REF!</definedName>
    <definedName name="BExU8KFLAN778MBN93NYZB0FV30G" hidden="1">#REF!</definedName>
    <definedName name="BExU8NVR7RGCVPLXPILNJ5SG2Q45" hidden="1">#REF!</definedName>
    <definedName name="BExU8S2O68RLH6LUDGJKFXMKKE5J" hidden="1">#REF!</definedName>
    <definedName name="BExU8UH5WY7OQ3QZ9CSL8DGBMI9P" hidden="1">#REF!</definedName>
    <definedName name="BExU8UX9JX3XLB47YZ8GFXE0V7R2" hidden="1">#REF!</definedName>
    <definedName name="BExU8V2QEONF9R0X2D3R15MZ0GVY" hidden="1">#REF!</definedName>
    <definedName name="BExU91DC3DGKPZD6LTER2IRTF89C" hidden="1">#REF!</definedName>
    <definedName name="BExU947QIQ2JAUZPTPV4Y0Q9H441" hidden="1">#REF!</definedName>
    <definedName name="BExU96M1J7P9DZQ3S9H0C12KGYTW" hidden="1">#REF!</definedName>
    <definedName name="BExU9B98E0WUJ89KDTIKL2K0JEM7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KUH2TB5JVZGFWWP41CW778N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4JZJVIXV2QBFG1M5XIDNVB" hidden="1">#REF!</definedName>
    <definedName name="BExUA6Q4K25VH452AQ3ZIRBCMS61" hidden="1">#REF!</definedName>
    <definedName name="BExUAB7Y0JJZHWWK6NDIRH0TMEN7" hidden="1">#REF!</definedName>
    <definedName name="BExUAFV4JMBSM2SKBQL9NHL0NIBS" hidden="1">#REF!</definedName>
    <definedName name="BExUAGRNQ380ZIY935G54Q4SQZ83" hidden="1">#REF!</definedName>
    <definedName name="BExUAMWQODKBXMRH1QCMJLJBF8M7" hidden="1">#REF!</definedName>
    <definedName name="BExUAPLVU488L16T4X3ZFCSJ9AFP" hidden="1">#REF!</definedName>
    <definedName name="BExUAX8WS5OPVLCDXRGKTU2QMTFO" hidden="1">#REF!</definedName>
    <definedName name="BExUB33FJHDI3XKPQSVL75HO9RQ3" hidden="1">#REF!</definedName>
    <definedName name="BExUB3JHDL430WKBOVB9KNTSWU3Q" hidden="1">#REF!</definedName>
    <definedName name="BExUB8HLEXSBVPZ5AXNQEK96F1N4" hidden="1">#REF!</definedName>
    <definedName name="BExUBBMUN0ERTHXUR6PJ2DQSSOV5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BN64LPXX4Z738WO97YQ5MXMX" hidden="1">#REF!</definedName>
    <definedName name="BExUBNRVHXRIJBHKA2TWL10IFYUF" hidden="1">#REF!</definedName>
    <definedName name="BExUBPV8GB3LLCKQZCK9OFOFPN4G" hidden="1">#REF!</definedName>
    <definedName name="BExUC32123C44KNVOPYT3DFLYL2Y" hidden="1">#REF!</definedName>
    <definedName name="BExUC623BDYEODBN0N4DO6PJQ7NU" hidden="1">#REF!</definedName>
    <definedName name="BExUC8WH8TCKBB5313JGYYQ1WFLT" hidden="1">#REF!</definedName>
    <definedName name="BExUCAEGQZ6PB4AG64761OAR17RY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DNW6AZMQLMHI1SSS00XCZOY" hidden="1">#REF!</definedName>
    <definedName name="BExUDEV0CYVO7Y5IQQBEJ6FUY9S6" hidden="1">#REF!</definedName>
    <definedName name="BExUDKK1POO3HEZBT6D0JAZGH21Q" hidden="1">#REF!</definedName>
    <definedName name="BExUDP1W0GU5B93YHGGR3VUQXCS2" hidden="1">#REF!</definedName>
    <definedName name="BExUDQ3JPLF15XXZMZ6T43VLXCV3" hidden="1">#REF!</definedName>
    <definedName name="BExUDV6ZSMJ0G35BTMVZSSX29MKP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BDN2Z4BAQXOOA4TV9DMQ0SA" hidden="1">#REF!</definedName>
    <definedName name="BExUEBOEVB149O1SDAYAS9ULNWF0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QKO3SNA5Z47A0NLGOA0ZOE7K" hidden="1">#REF!</definedName>
    <definedName name="BExVQR9HJP1OA5CDV88HXFQUEGF2" hidden="1">#REF!</definedName>
    <definedName name="BExVQRK9OTTERRTVLRMS6FAOFJFZ" hidden="1">#REF!</definedName>
    <definedName name="BExVR15ITEN8TF2H5MGLG77YNGFE" hidden="1">#REF!</definedName>
    <definedName name="BExVR2YAM90B2CPW0AQHUUZ6681B" hidden="1">#REF!</definedName>
    <definedName name="BExVR4G7N0DTG21OF3JSTFESPM7K" hidden="1">#REF!</definedName>
    <definedName name="BExVR8NAH73TVNEQ6TXX8GAYA4RX" hidden="1">#REF!</definedName>
    <definedName name="BExVRH1DZ1UAWDOH8M2MVPW9J04R" hidden="1">#REF!</definedName>
    <definedName name="BExVRM4UKFI4AB2D5NE7BZI6UKFC" hidden="1">#REF!</definedName>
    <definedName name="BExVS6TAND82CBJNY4L4SO9LKEMV" hidden="1">#REF!</definedName>
    <definedName name="BExVSL787C8E4HFQZ2NVLT35I2XV" hidden="1">#REF!</definedName>
    <definedName name="BExVSSZKF3UADRATD6K1LJYOX9YA" hidden="1">#REF!</definedName>
    <definedName name="BExVSTFTVV14SFGHQUOJL5SQ5TX9" hidden="1">#REF!</definedName>
    <definedName name="BExVT2A1UZCWVXTRJWO88A369DUF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KK8VMJWUZM3UPGFG1T7L0E7" hidden="1">#REF!</definedName>
    <definedName name="BExVTNESHPVG0A0KZ7BRX26MS0PF" hidden="1">#REF!</definedName>
    <definedName name="BExVTQ983BEQ9S7655C0TTVX8VZE" hidden="1">#REF!</definedName>
    <definedName name="BExVTTJVTNRSBHBTUZ78WG2JM5MK" hidden="1">#REF!</definedName>
    <definedName name="BExVTUAYUR922VXBNO4MN569BULR" hidden="1">#REF!</definedName>
    <definedName name="BExVTW3OZ04QHKTFPPDM5JDNT6C1" hidden="1">#REF!</definedName>
    <definedName name="BExVTXLMYR87BC04D1ERALPUFVPG" hidden="1">#REF!</definedName>
    <definedName name="BExVU6QMM5J49S1312H8AMNK3Y8U" hidden="1">#REF!</definedName>
    <definedName name="BExVU7HPGMW1MM4MXF3XCPSXF3ID" hidden="1">#REF!</definedName>
    <definedName name="BExVUB8IGEU90URLWF2VWM9K60LQ" hidden="1">#REF!</definedName>
    <definedName name="BExVUL9V3H8ZF6Y72LQBBN639YAA" hidden="1">#REF!</definedName>
    <definedName name="BExVUYREW98XQQXWEST2F7K7SXL7" hidden="1">#REF!</definedName>
    <definedName name="BExVV5T14N2HZIK7HQ4P2KG09U0J" hidden="1">#REF!</definedName>
    <definedName name="BExVV7R410VYLADLX9LNG63ID6H1" hidden="1">#REF!</definedName>
    <definedName name="BExVV9PB8S8L2OQ4DEDLU9L19MOP" hidden="1">#REF!</definedName>
    <definedName name="BExVVA033OB71P301YYKYS90S2LK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1Q1JEPUQXIJXRSY5OOFG2P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18IM15O29ZMM4NAPNNT0HBQ" hidden="1">#REF!</definedName>
    <definedName name="BExVX3HJPV9ZPAY12RMBV261NE68" hidden="1">#REF!</definedName>
    <definedName name="BExVX3MVJ0GHWPP1EL59ZQNKMX0B" hidden="1">#REF!</definedName>
    <definedName name="BExVX3XN2DRJKL8EDBIG58RYQ36R" hidden="1">#REF!</definedName>
    <definedName name="BExVX5FKOH9JZV03IEFV4RO2F054" hidden="1">#REF!</definedName>
    <definedName name="BExVXDZ63PUART77BBR5SI63TPC6" hidden="1">#REF!</definedName>
    <definedName name="BExVXEVEHCD2DKS7J0OPRT8DTOXZ" hidden="1">#REF!</definedName>
    <definedName name="BExVXHKI6LFYMGWISMPACMO247HL" hidden="1">#REF!</definedName>
    <definedName name="BExVXLX2BZ5EF2X6R41BTKRJR1NM" hidden="1">#REF!</definedName>
    <definedName name="BExVXP7QMDKHI2S4GOHRXLA5TCBG" hidden="1">#REF!</definedName>
    <definedName name="BExVXRRCXVI8Q63QHP0297UGTJLJ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7N7APOSX562C86T41J73BNN" hidden="1">#REF!</definedName>
    <definedName name="BExVY7XZS7ZEEEI66TWUYUKRGMHJ" hidden="1">#REF!</definedName>
    <definedName name="BExVY954UOEVQEIC5OFO4NEWVKAQ" hidden="1">#REF!</definedName>
    <definedName name="BExVYBJHTKUHLH9UOVY56T0DX0ZP" hidden="1">#REF!</definedName>
    <definedName name="BExVYHDYIV5397LC02V4FEP8VD6W" hidden="1">#REF!</definedName>
    <definedName name="BExVYKZ9DSDHWSRF2T5YMMJ9K2SO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22AFRAQODZ1W9CS72655TDL" hidden="1">#REF!</definedName>
    <definedName name="BExVZ9EO732IK6MNMG17Y1EFTJQC" hidden="1">#REF!</definedName>
    <definedName name="BExVZ9USSU0FVH43WZJTZJBRQQNE" hidden="1">#REF!</definedName>
    <definedName name="BExVZB1Y5J4UL2LKK0363EU7GIJ1" hidden="1">#REF!</definedName>
    <definedName name="BExVZESW4KWQ72XZ6AAT3JSAGMMO" hidden="1">#REF!</definedName>
    <definedName name="BExVZJQVO5LQ0BJH5JEN5NOBIAF6" hidden="1">#REF!</definedName>
    <definedName name="BExVZMANT0E597L3E43Q80P3BDMN" hidden="1">#REF!</definedName>
    <definedName name="BExVZNXWS91RD7NXV5NE2R3C8WW7" hidden="1">#REF!</definedName>
    <definedName name="BExW0386REQRCQCVT9BCX80UPTRY" hidden="1">#REF!</definedName>
    <definedName name="BExW03TT5MVCUIVMMZYAGZ6A3RJV" hidden="1">#REF!</definedName>
    <definedName name="BExW08X7MUCAUZUT84HH2K0HG8JM" hidden="1">#REF!</definedName>
    <definedName name="BExW0FYP4WXY71CYUG40SUBG9UWU" hidden="1">#REF!</definedName>
    <definedName name="BExW0HBAR94L0RTT4FLGEJ88FO94" hidden="1">#REF!</definedName>
    <definedName name="BExW0HBC1RMZ2GDGOGDTNAOOFO74" hidden="1">#REF!</definedName>
    <definedName name="BExW0I7NL5TM05G64139MOSSRBU3" hidden="1">#REF!</definedName>
    <definedName name="BExW0LIDMAKTEFKBV18QHGL4QDSH" hidden="1">#REF!</definedName>
    <definedName name="BExW0PJY0QT1YYHEOQPDHHNJJOC5" hidden="1">#REF!</definedName>
    <definedName name="BExW0RI61B4VV0ARXTFVBAWRA1C5" hidden="1">#REF!</definedName>
    <definedName name="BExW0ZFZK22WVH1ET2MVEUVKIIWF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1YNP2GHT1AGZG3TIPAR5C7B3" hidden="1">#REF!</definedName>
    <definedName name="BExW22PGTQTO5C5TK1RQUWPR4X8X" hidden="1">#REF!</definedName>
    <definedName name="BExW27CKTHXIQCUL3RSLAFEQV8VT" hidden="1">#REF!</definedName>
    <definedName name="BExW283NP9D366XFPXLGSCI5UB0L" hidden="1">#REF!</definedName>
    <definedName name="BExW29WF535OHEG91SW5OF7MQBU2" hidden="1">#REF!</definedName>
    <definedName name="BExW2B3J2SGB9L59Y06I4DC987GF" hidden="1">#REF!</definedName>
    <definedName name="BExW2DHVWZWOQQY6UQMRLSLI5XSO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5YV9V70DFOPLUGI2W7IYOU2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VAIO99TJ9V3GB52GZAYCOFH" hidden="1">#REF!</definedName>
    <definedName name="BExW4217ZHL9VO39POSTJOD090WU" hidden="1">#REF!</definedName>
    <definedName name="BExW4ERPFPIDYQMXHUY0IHWXCWI2" hidden="1">#REF!</definedName>
    <definedName name="BExW4FDGDUFATNJZVA6K7O5NPEHP" hidden="1">#REF!</definedName>
    <definedName name="BExW4GPW71EBF8XPS2QGVQHBCDX3" hidden="1">#REF!</definedName>
    <definedName name="BExW4JKC5837JBPCOJV337ZVYYY3" hidden="1">#REF!</definedName>
    <definedName name="BExW4L7R1NVUKEQSVWZPXWCI6NVN" hidden="1">#REF!</definedName>
    <definedName name="BExW4QR9FV9MP5K610THBSM51RYO" hidden="1">#REF!</definedName>
    <definedName name="BExW4S980QVHHT7SZ0CMVH1Z25PN" hidden="1">#REF!</definedName>
    <definedName name="BExW4W5HHUEZ3O9DYN9KJZWC1FEL" hidden="1">#REF!</definedName>
    <definedName name="BExW4Z029R9E19ZENN3WEA3VDAD1" hidden="1">#REF!</definedName>
    <definedName name="BExW50NBWW79Z6QNC0YGCLYRDY0Z" hidden="1">#REF!</definedName>
    <definedName name="BExW55W8JLG20P9QBDVLOU1XC9JN" hidden="1">#REF!</definedName>
    <definedName name="BExW5AZNT6IAZGNF2C879ODHY1B8" hidden="1">#REF!</definedName>
    <definedName name="BExW5EFO6R6U4UQLT4G2G4W9SX94" hidden="1">#REF!</definedName>
    <definedName name="BExW5NVGO8ZN1102HI0EZPXFE7HN" hidden="1">#REF!</definedName>
    <definedName name="BExW5WPU27WD4NWZOT0ZEJIDLX5J" hidden="1">#REF!</definedName>
    <definedName name="BExW5X64UZDAB8GEIIQBWQV66NV9" hidden="1">#REF!</definedName>
    <definedName name="BExW61NYOHBXEBCZ80ZJTB38E7BS" hidden="1">#REF!</definedName>
    <definedName name="BExW64T5GUYKW4V1314DJGUR4ABG" hidden="1">#REF!</definedName>
    <definedName name="BExW65PIZIORSYBTPKRHXYOVGIKE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6QE0VJ5RRAQZB4SWWF8JTHCL" hidden="1">#REF!</definedName>
    <definedName name="BExW6WJ2VW51JNF32JZF98WJDRR3" hidden="1">#REF!</definedName>
    <definedName name="BExW74MG1WIOS7FRGX4CXWYNPZV1" hidden="1">#REF!</definedName>
    <definedName name="BExW782LBJUIVCV6ACRLJBIKVJFQ" hidden="1">#REF!</definedName>
    <definedName name="BExW794A74Z5F2K8LVQLD6VSKXUE" hidden="1">#REF!</definedName>
    <definedName name="BExW7JGFZEBDSBJSHNQ3SZNRBDI0" hidden="1">#REF!</definedName>
    <definedName name="BExW7NSY9CQA1O23DAZ9TYTC0PAO" hidden="1">#REF!</definedName>
    <definedName name="BExW7Q79RJWXCSWJIY4GLGGQXX5G" hidden="1">#REF!</definedName>
    <definedName name="BExW7QI203LYTIAER0WZZ34ZPZ1V" hidden="1">#REF!</definedName>
    <definedName name="BExW87QF0Z4T6R04DRUIHBXR1BMO" hidden="1">#REF!</definedName>
    <definedName name="BExW89DT2OUQ24LOFUS7BMP44P4B" hidden="1">#REF!</definedName>
    <definedName name="BExW8K0SSIPSKBVP06IJ71600HJZ" hidden="1">#REF!</definedName>
    <definedName name="BExW8NM8DJJESE7GF7VGTO2XO6P1" hidden="1">#REF!</definedName>
    <definedName name="BExW8PPRR19E4YE2TUPXGIEO3YF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AE8MZMM05Z4OUOE0W0IX9J9" hidden="1">#REF!</definedName>
    <definedName name="BExW9G39X58B5FGJEE8EY65TJ80A" hidden="1">#REF!</definedName>
    <definedName name="BExW9JZK2CSFMKED1TX7YD9FRDO3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DOYNIS8GLKISUIBXIOW06CA" hidden="1">#REF!</definedName>
    <definedName name="BExXLFHPC1CMSFG5M83TXZ4E1OH7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NYLUP4GLSLML9B9SN8W1UF0" hidden="1">#REF!</definedName>
    <definedName name="BExXNPM24UN2PGVL9D1TUBFRIKR4" hidden="1">#REF!</definedName>
    <definedName name="BExXNRUVUZZF5FEYB3R2CB24DDDQ" hidden="1">#REF!</definedName>
    <definedName name="BExXNRUWHTVKJZUNKVBFHLNVSDV2" hidden="1">#REF!</definedName>
    <definedName name="BExXNSLYWITH4246M4YVOUIV04ZJ" hidden="1">#REF!</definedName>
    <definedName name="BExXNUK0T9U7EEHFQ7OWNX6RWTFZ" hidden="1">#REF!</definedName>
    <definedName name="BExXNWYB165VO9MHARCL5WLCHWS0" hidden="1">#REF!</definedName>
    <definedName name="BExXO1G5TG80TSHNS86X0DXO6YHY" hidden="1">#REF!</definedName>
    <definedName name="BExXO278QHQN8JDK5425EJ615ECC" hidden="1">#REF!</definedName>
    <definedName name="BExXO6E9ABFOYA2LVN6RLW4BO9G6" hidden="1">#REF!</definedName>
    <definedName name="BExXO6ZP85325PSLSXWM38N73O6V" hidden="1">#REF!</definedName>
    <definedName name="BExXOBHOP0WGFHI2Y9AO4L440UVQ" hidden="1">#REF!</definedName>
    <definedName name="BExXOHSAD2NSHOLLMZ2JWA4I3I1R" hidden="1">#REF!</definedName>
    <definedName name="BExXOJQBVBDGLVEYZAE7AL8F0VWX" hidden="1">#REF!</definedName>
    <definedName name="BExXOMQ9421Y32TZ81U6YGIP35QU" hidden="1">#REF!</definedName>
    <definedName name="BExXP80B5FGA00JCM7UXKPI3PB7Y" hidden="1">#REF!</definedName>
    <definedName name="BExXP85M4WXYVN1UVHUTOEKEG5XS" hidden="1">#REF!</definedName>
    <definedName name="BExXPDUMN4B85QFXGPSJPII52QR3" hidden="1">#REF!</definedName>
    <definedName name="BExXPELOTHOAG0OWILLAH94OZV5J" hidden="1">#REF!</definedName>
    <definedName name="BExXPS31W1VD2NMIE4E37LHVDF0L" hidden="1">#REF!</definedName>
    <definedName name="BExXPUMU14DNW1LHHLDIEPDYSETF" hidden="1">#REF!</definedName>
    <definedName name="BExXPUMU4BLFWI2L0MHMM5F3OUPL" hidden="1">#REF!</definedName>
    <definedName name="BExXPZKYEMVF5JOC14HYOOYQK6JK" hidden="1">#REF!</definedName>
    <definedName name="BExXQ06J7OF0O2FO4WR0QK93RJ17" hidden="1">#REF!</definedName>
    <definedName name="BExXQ89PA10X79WBWOEP1AJX1OQM" hidden="1">#REF!</definedName>
    <definedName name="BExXQC5XJTB655SBCGTS9EL1RSYK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HPNAFE4M6C2HYRCQNIU9D31" hidden="1">#REF!</definedName>
    <definedName name="BExXQIRBLQSLAJTFL7224FCFUTKH" hidden="1">#REF!</definedName>
    <definedName name="BExXQJIEF5R3QQ6D8HO3NGPU0IQC" hidden="1">#REF!</definedName>
    <definedName name="BExXQMYEOGRO69K9BLZF14USRMVP" hidden="1">#REF!</definedName>
    <definedName name="BExXQOB0S35P4VXTL3ABQEN0CHL8" hidden="1">#REF!</definedName>
    <definedName name="BExXQPNHA1596LM28EOX705A5A4D" hidden="1">#REF!</definedName>
    <definedName name="BExXQQEJA7QVD6YPV16L7C4M2YF7" hidden="1">#REF!</definedName>
    <definedName name="BExXQS1SGPIQX0ESRMCECOYMUQQJ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BOLOTE646MEC6RDOMNFEOWH" hidden="1">#REF!</definedName>
    <definedName name="BExXRD13K1S9Y3JGR7CXSONT7RJZ" hidden="1">#REF!</definedName>
    <definedName name="BExXRHIY77F53DUYX7CMZPXGRDAG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BY0S70HRJ1R0POASBK3RJTG" hidden="1">#REF!</definedName>
    <definedName name="BExXSC8RFK5D68FJD2HI4K66SA6I" hidden="1">#REF!</definedName>
    <definedName name="BExXSNHC88W4UMXEOIOOATJAIKZO" hidden="1">#REF!</definedName>
    <definedName name="BExXSQXG4E3M0L4Y3UBDNLKO01N6" hidden="1">#REF!</definedName>
    <definedName name="BExXSR2Y740Z2HHG7ZKUKKO1UJS4" hidden="1">#REF!</definedName>
    <definedName name="BExXSTBS08WIA9TLALV3UQ2Z3MRG" hidden="1">#REF!</definedName>
    <definedName name="BExXSVQ2WOJJ73YEO8Q2FK60V4G8" hidden="1">#REF!</definedName>
    <definedName name="BExXT97MWPQOZG1HIP3AWJW6ZVJV" hidden="1">#REF!</definedName>
    <definedName name="BExXTA41AQN7JOM0B8US8JQ4RL9T" hidden="1">#REF!</definedName>
    <definedName name="BExXTDUSQ6PMGA5GDCGBMTVZI09B" hidden="1">#REF!</definedName>
    <definedName name="BExXTHLRNL82GN7KZY3TOLO508N7" hidden="1">#REF!</definedName>
    <definedName name="BExXTINEGPKZ75DCUCEF3QOV6OES" hidden="1">#REF!</definedName>
    <definedName name="BExXTKAV4Y4JQ7D62LKGD89F9WMF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TQO15WKJDV5LDJGWDHBY8XK" hidden="1">#REF!</definedName>
    <definedName name="BExXTZ4VUTHSCAO4XNNA9W0HWE5T" hidden="1">#REF!</definedName>
    <definedName name="BExXTZKZ4CG92ZQLIRKEXXH9BFIR" hidden="1">#REF!</definedName>
    <definedName name="BExXU3BX5YF8XROD0OQH6NXL2EVL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1HWKTB46UXT08JLMPP8P4SP" hidden="1">#REF!</definedName>
    <definedName name="BExXV6FWG4H3S2QEUJZYIXILNGJ7" hidden="1">#REF!</definedName>
    <definedName name="BExXVFVU57P6YIGHW7BVND55CRNP" hidden="1">#REF!</definedName>
    <definedName name="BExXVK2PMKDCY9CNPI9P57DJZ61U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15RYERZDYDH0PZZQXKWZTJ7" hidden="1">#REF!</definedName>
    <definedName name="BExXW27MMXHXUXX78SDTBE1JYTHT" hidden="1">#REF!</definedName>
    <definedName name="BExXW2YIM2MYBSHRIX0RP9D4PRMN" hidden="1">#REF!</definedName>
    <definedName name="BExXW63VQ5R7QY68N21WC8MM0SZ5" hidden="1">#REF!</definedName>
    <definedName name="BExXWBNE4KTFSXKVSRF6WX039WPB" hidden="1">#REF!</definedName>
    <definedName name="BExXWCEFPM2UFC3LC37H8GSMA5GA" hidden="1">#REF!</definedName>
    <definedName name="BExXWFP5AYE7EHYTJWBZSQ8PQ0YX" hidden="1">#REF!</definedName>
    <definedName name="BExXWKCBHNL52L34Z3FBF3G68HH0" hidden="1">#REF!</definedName>
    <definedName name="BExXWVFIBQT8OY1O41FRFPFGXQHK" hidden="1">#REF!</definedName>
    <definedName name="BExXWWXHBZHA9J3N8K47F84X0M0L" hidden="1">#REF!</definedName>
    <definedName name="BExXWX2XMWO62KYSNPSFIWTIAOJS" hidden="1">#REF!</definedName>
    <definedName name="BExXX8X12RA6S5R0FOMGJB35SSLY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R4APO6HGOHJAWTZXS7F8QN" hidden="1">#REF!</definedName>
    <definedName name="BExXXKWLM4D541BH6O8GOJMHFHMW" hidden="1">#REF!</definedName>
    <definedName name="BExXXNG8H19NFB7L8N0CMGEIQZHJ" hidden="1">#REF!</definedName>
    <definedName name="BExXXPJSSVPVXKGWBEPAXCRYSJMT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0SAZOPJMDG9GOR625UDCCS8" hidden="1">#REF!</definedName>
    <definedName name="BExXY1DVXMX7Q2QR85E2Q6KRY6JW" hidden="1">#REF!</definedName>
    <definedName name="BExXY2FR7PFLXNGA6J0Z6IQF8TYJ" hidden="1">#REF!</definedName>
    <definedName name="BExXY5QFG6QP94SFT3935OBM8Y4K" hidden="1">#REF!</definedName>
    <definedName name="BExXY7TYEBFXRYUYIFHTN65RJ8EW" hidden="1">#REF!</definedName>
    <definedName name="BExXY9S0RX8Z7OAGOZVHRPUJAKFG" hidden="1">#REF!</definedName>
    <definedName name="BExXYLBHANUXC5FCTDDTGOVD3GQS" hidden="1">#REF!</definedName>
    <definedName name="BExXYMNYAYH3WA2ZCFAYKZID9ZCI" hidden="1">#REF!</definedName>
    <definedName name="BExXYOM6D89FT0BG2AEQ3VJGV0IF" hidden="1">#REF!</definedName>
    <definedName name="BExXYYT12SVN2VDMLVNV4P3ISD8T" hidden="1">#REF!</definedName>
    <definedName name="BExXZ3WEYVVV9XKKD5E86QEX5U57" hidden="1">#REF!</definedName>
    <definedName name="BExXZ4CKWN3R9HA311KINBA3R2K4" hidden="1">#REF!</definedName>
    <definedName name="BExXZ6QU5C0UMWY7U4BHVZNIPANK" hidden="1">#REF!</definedName>
    <definedName name="BExXZEDWUYH25UZMW2QU2RXFILJE" hidden="1">#REF!</definedName>
    <definedName name="BExXZEZJ7H5MYDO3P7TS6RXT20OC" hidden="1">#REF!</definedName>
    <definedName name="BExXZFVV4YB42AZ3H1I40YG3JAPU" hidden="1">#REF!</definedName>
    <definedName name="BExXZHJ9T2JELF12CHHGD54J1B0C" hidden="1">#REF!</definedName>
    <definedName name="BExXZKZANABKB8OJUS1BLHT9G31Y" hidden="1">#REF!</definedName>
    <definedName name="BExXZM14XID3OAA88OURJ7QSZW1E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0KIG8RJFS2SZLM4UVDS2A7L" hidden="1">#REF!</definedName>
    <definedName name="BExY05T95YHBLI9ZYWFFT2O2B871" hidden="1">#REF!</definedName>
    <definedName name="BExY07WSDH5QEVM7BJXJK2ZRAI1O" hidden="1">#REF!</definedName>
    <definedName name="BExY087L6I8T5WZU06YKHEP8JFDE" hidden="1">#REF!</definedName>
    <definedName name="BExY0C3UBVC4M59JIRXVQ8OWAJC1" hidden="1">#REF!</definedName>
    <definedName name="BExY0FPAIVB3159J8HPJ3ROGBF1B" hidden="1">#REF!</definedName>
    <definedName name="BExY0OE8GFHMLLTEAFIOQTOPEVPB" hidden="1">#REF!</definedName>
    <definedName name="BExY0OJHW85S0VKBA8T4HTYPYBOS" hidden="1">#REF!</definedName>
    <definedName name="BExY0SAGQFGAUUR00ZUXG2H1BQNO" hidden="1">#REF!</definedName>
    <definedName name="BExY0T1E034D7XAXNC6F7540LLIE" hidden="1">#REF!</definedName>
    <definedName name="BExY0UDTVMKJGF7RMES6WJ6TF2MM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AKHEQ3EYGLJNU93EL4QD0YO" hidden="1">#REF!</definedName>
    <definedName name="BExY1DPTV4LSY9MEOUGXF8X052NA" hidden="1">#REF!</definedName>
    <definedName name="BExY1F7ROOZDVN8EJLJ5DQ2MMHLR" hidden="1">#REF!</definedName>
    <definedName name="BExY1FIMLW9L499KIE7ZJ706UYLM" hidden="1">#REF!</definedName>
    <definedName name="BExY1GK9ELBEKDD7O6HR6DUO8YGO" hidden="1">#REF!</definedName>
    <definedName name="BExY1NWOXXFV9GGZ3PX444LZ8TVX" hidden="1">#REF!</definedName>
    <definedName name="BExY1ONMI973LYH6W67SZIDXWDA0" hidden="1">#REF!</definedName>
    <definedName name="BExY1UCL0RND63LLSM9X5SFRG117" hidden="1">#REF!</definedName>
    <definedName name="BExY1WAT3937L08HLHIRQHMP2A3H" hidden="1">#REF!</definedName>
    <definedName name="BExY1WG41O6LYJXA5ENKOI6W9PB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D4PTSUU4CGKGJUHFMGNEGD" hidden="1">#REF!</definedName>
    <definedName name="BExY39QWTO6H4R3FE9K7AB33GV0P" hidden="1">#REF!</definedName>
    <definedName name="BExY3BUHF49HBMC20Z30YPLFCPS7" hidden="1">#REF!</definedName>
    <definedName name="BExY3C59PDF2BON135CH8LLYNO9W" hidden="1">#REF!</definedName>
    <definedName name="BExY3FAME3HIN2RXBJJ7BFZOQELW" hidden="1">#REF!</definedName>
    <definedName name="BExY3HOSK7YI364K15OX70AVR6F1" hidden="1">#REF!</definedName>
    <definedName name="BExY3JXT10HDV8IRQXYNHEEU49VD" hidden="1">#REF!</definedName>
    <definedName name="BExY3PS9FF16S8QWSYU89GM4E8VB" hidden="1">#REF!</definedName>
    <definedName name="BExY3QDUGZSKVF47REKTZ2U6WHW9" hidden="1">#REF!</definedName>
    <definedName name="BExY3T89AUR83SOAZZ3OMDEJDQ39" hidden="1">#REF!</definedName>
    <definedName name="BExY3TDQVV3LI6KSCPXCCCM0E9R5" hidden="1">#REF!</definedName>
    <definedName name="BExY3YMHKXSM8ZA6J2QVK2F5QV01" hidden="1">#REF!</definedName>
    <definedName name="BExY3YMIAR7YVSEDQNO9YMLFMT8Y" hidden="1">#REF!</definedName>
    <definedName name="BExY446019Z2Q6AZH09ANDXEG59D" hidden="1">#REF!</definedName>
    <definedName name="BExY4DRA1NB56I6KHB22C0U0NKPH" hidden="1">#REF!</definedName>
    <definedName name="BExY4GRD295AV57COSARZZOF4KNS" hidden="1">#REF!</definedName>
    <definedName name="BExY4MG771JQ84EMIVB6HQGGHZY7" hidden="1">#REF!</definedName>
    <definedName name="BExY4MQXND6GKLV7BU6UJM4MHJ3M" hidden="1">#REF!</definedName>
    <definedName name="BExY4PQUTBYZGBCOH80JJH5VLRD6" hidden="1">#REF!</definedName>
    <definedName name="BExY4PWCSFB8P3J3TBQB2MD67263" hidden="1">#REF!</definedName>
    <definedName name="BExY4RZW3KK11JLYBA4DWZ92M6LQ" hidden="1">#REF!</definedName>
    <definedName name="BExY4SW8AV0ZS8G2TZLIRJTOBSGD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BXBLQUW4SOF44M3WMGHRNE2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5WR8OCRYNQ3B8KR48X2R2CV2" hidden="1">#REF!</definedName>
    <definedName name="BExY6KVS1MMZ2R34PGEFR2BMTU9W" hidden="1">#REF!</definedName>
    <definedName name="BExY6Q9YY7LW745GP7CYOGGSPHGE" hidden="1">#REF!</definedName>
    <definedName name="BExY74NV0MM5VUF8P30GNDJ2PAOG" hidden="1">#REF!</definedName>
    <definedName name="BExZIA3C8LKJTEH3MKQ57KJH5TA2" hidden="1">#REF!</definedName>
    <definedName name="BExZIIHH3QNQE3GFMHEE4UMHY6WQ" hidden="1">#REF!</definedName>
    <definedName name="BExZIXRPTNX0XMDETMEQGUPF9DNW" hidden="1">#REF!</definedName>
    <definedName name="BExZIYO22G5UXOB42GDLYGVRJ6U7" hidden="1">#REF!</definedName>
    <definedName name="BExZJ6GN1U0CTTWR48K59HS94CET" hidden="1">#REF!</definedName>
    <definedName name="BExZJ7I9T8XU4MZRKJ1VVU76V2LZ" hidden="1">#REF!</definedName>
    <definedName name="BExZJA22HQFUO0AXG89KJGS2WE03" hidden="1">#REF!</definedName>
    <definedName name="BExZJCR6O21RK1J1RYHDXLR8MMO5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JU4ZJUO53Z0ZDKXRX3KI682X" hidden="1">#REF!</definedName>
    <definedName name="BExZK34NR4BAD7HJAP7SQ926UQP3" hidden="1">#REF!</definedName>
    <definedName name="BExZK3FGPHH5H771U7D5XY7XBS6E" hidden="1">#REF!</definedName>
    <definedName name="BExZKE7VFXO5TGEQ549KTUOF2WLV" hidden="1">#REF!</definedName>
    <definedName name="BExZKGRIH1C8XY2R7Z1LHBXCBRJC" hidden="1">#REF!</definedName>
    <definedName name="BExZKHD552UFV94YR322TDYIUOAZ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3UANID5TIU7VCP3ZTIBE172" hidden="1">#REF!</definedName>
    <definedName name="BExZL6E4YVXRUN7ZGF2BIGIXFR8K" hidden="1">#REF!</definedName>
    <definedName name="BExZL9ON0ZQA3WEZBQ8S1MPNMBW7" hidden="1">#REF!</definedName>
    <definedName name="BExZLCDWOXSAL3E45Y87GOH1NUUX" hidden="1">#REF!</definedName>
    <definedName name="BExZLGVLMKTPFXG42QYT0PO81G7F" hidden="1">#REF!</definedName>
    <definedName name="BExZLHRZMB1LAT56CZDZRRPS2Q5E" hidden="1">#REF!</definedName>
    <definedName name="BExZLKMK7LRK14S09WLMH7MXSQXM" hidden="1">#REF!</definedName>
    <definedName name="BExZLL84LPN1ATD0SM685I5RAGBL" hidden="1">#REF!</definedName>
    <definedName name="BExZLT5ZPFGYISDYWOPOK90JLRBR" hidden="1">#REF!</definedName>
    <definedName name="BExZM322EZNP0A4MY3VG7FNV1ITY" hidden="1">#REF!</definedName>
    <definedName name="BExZM3CURLA4EKZCXJPRJIZHFGVB" hidden="1">#REF!</definedName>
    <definedName name="BExZM6CQG7S6FHYRKQFJP4EDVEMK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TA12J5CA7RW6G0WXLJQNRBT" hidden="1">#REF!</definedName>
    <definedName name="BExZMU12ZQ85TJJJGKXTGD235N9R" hidden="1">#REF!</definedName>
    <definedName name="BExZMUS4QIU55JGR5U1QU8FS6PUT" hidden="1">#REF!</definedName>
    <definedName name="BExZMXH39OB0I43XEL3K11U3G9PM" hidden="1">#REF!</definedName>
    <definedName name="BExZMZ9UI18XTG5P9QEA69O65BLS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90LII61NGF3TTJRYPY3FU1Y" hidden="1">#REF!</definedName>
    <definedName name="BExZNH3VISFF4NQI11BZDP5IQ7VG" hidden="1">#REF!</definedName>
    <definedName name="BExZNIB2Z0PW4MJVTRVEDQX8NTGC" hidden="1">#REF!</definedName>
    <definedName name="BExZNJ1Y8RSOGU7HCLNI4JJ9WA8U" hidden="1">#REF!</definedName>
    <definedName name="BExZNJYCFYVMAOI62GB2BABK1ELE" hidden="1">#REF!</definedName>
    <definedName name="BExZNT3IENBP4PJ3O1VRGS96XB1T" hidden="1">#REF!</definedName>
    <definedName name="BExZNV6V799Z4D2MVCYFLE6NX3PC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X52W359C3BDAWBNNFSXC42H" hidden="1">#REF!</definedName>
    <definedName name="BExZNZDWRS6Q40L8OCWFEIVI0A1O" hidden="1">#REF!</definedName>
    <definedName name="BExZO8J3LEFNBY83QT1H4O438I07" hidden="1">#REF!</definedName>
    <definedName name="BExZOBO9NYLGVJQ31LVQ9XS2ZT4N" hidden="1">#REF!</definedName>
    <definedName name="BExZOEIVPQXLMQIOFZKVB6QU4PL2" hidden="1">#REF!</definedName>
    <definedName name="BExZOETNB1CJ3Y2RKLI1ZK0S8Z6H" hidden="1">#REF!</definedName>
    <definedName name="BExZOFVAZB725LDQIQYXP7T56G5S" hidden="1">#REF!</definedName>
    <definedName name="BExZOGBLV9VKIJSZA9FTH6F6I902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FJBVLIY2PX8D5515AOTYFMT" hidden="1">#REF!</definedName>
    <definedName name="BExZPFU3AP7RASS5X21Q6MTP5DI1" hidden="1">#REF!</definedName>
    <definedName name="BExZPIJ87OXYLARO15UVNU5IKV0Y" hidden="1">#REF!</definedName>
    <definedName name="BExZPQ0XY507N8FJMVPKCTK8HC9H" hidden="1">#REF!</definedName>
    <definedName name="BExZPUO3WXZZLJS5CMNV98Z7IUYV" hidden="1">#REF!</definedName>
    <definedName name="BExZPWBJ4H8RND8XVKNCJ474L2J6" hidden="1">#REF!</definedName>
    <definedName name="BExZQ2M362C2TNKO7X9DL1PE9NCT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97GRS1JT451BUNZG7OVGF7Q" hidden="1">#REF!</definedName>
    <definedName name="BExZQIHTGHK7OOI2Y2PN3JYBY82I" hidden="1">#REF!</definedName>
    <definedName name="BExZQJJMGU5MHQOILGXGJPAQI5XI" hidden="1">#REF!</definedName>
    <definedName name="BExZQLXYT4ED96536U8I7J492L5L" hidden="1">#REF!</definedName>
    <definedName name="BExZQU19KAIGLP2ZS8YK2I51LU63" hidden="1">#REF!</definedName>
    <definedName name="BExZQVOJLQ2BEE5X7NULFO1EFVOS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EF0B8C346Z5FUWHAAL7XQQA" hidden="1">#REF!</definedName>
    <definedName name="BExZRGD1603X5ACFALUUDKCD7X48" hidden="1">#REF!</definedName>
    <definedName name="BExZRGIINLKIK60QKUG7DS0Q9CB7" hidden="1">#REF!</definedName>
    <definedName name="BExZRGNSUPG6TBX2L292MP1PLVMU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N6TKLS1N70DLRI2IKWN37Q" hidden="1">#REF!</definedName>
    <definedName name="BExZS1CBTC8QC8S2HIB93A2TPFQA" hidden="1">#REF!</definedName>
    <definedName name="BExZS2OY9JTSSP01ZQ6V2T2LO5R9" hidden="1">#REF!</definedName>
    <definedName name="BExZS5ZLYTT1NPR9YVNWZUN95LD1" hidden="1">#REF!</definedName>
    <definedName name="BExZSE895BZARSUF6U5VRG84X61B" hidden="1">#REF!</definedName>
    <definedName name="BExZSHDGUKI75GPRVRQRAWNPUYRS" hidden="1">#REF!</definedName>
    <definedName name="BExZSHOA830D0H9MT4L5XQ5XXY5B" hidden="1">#REF!</definedName>
    <definedName name="BExZSI4IGGG8R9K8GOYYXG8UNJI5" hidden="1">#REF!</definedName>
    <definedName name="BExZSI9USDLZAN8LI8M4YYQL24GZ" hidden="1">#REF!</definedName>
    <definedName name="BExZSS0LA2JY4ZLJ1Z5YCMLJJZCH" hidden="1">#REF!</definedName>
    <definedName name="BExZSYRAL38T8SFTHLEC94VZAPTB" hidden="1">#REF!</definedName>
    <definedName name="BExZSZ21VX9ESDG8PFXHDLT82KLO" hidden="1">#REF!</definedName>
    <definedName name="BExZT099CSLD6DJMIKJKIXDO8GD5" hidden="1">#REF!</definedName>
    <definedName name="BExZT4G9XWEXQ18D0PEKSEHI6WID" hidden="1">#REF!</definedName>
    <definedName name="BExZT9JQDQEXPQHAT8CP4J5RC4G1" hidden="1">#REF!</definedName>
    <definedName name="BExZTAQV2QVSZY5Y3VCCWUBSBW9P" hidden="1">#REF!</definedName>
    <definedName name="BExZTC8S1L60TW34BLBQLDKD9RH4" hidden="1">#REF!</definedName>
    <definedName name="BExZTCP3AS1RQUH3NNZGOJY7ORHW" hidden="1">#REF!</definedName>
    <definedName name="BExZTHSI2FX56PWRSNX9H5EWTZFO" hidden="1">#REF!</definedName>
    <definedName name="BExZTJL3HVBFY139H6CJHEQCT1EL" hidden="1">#REF!</definedName>
    <definedName name="BExZTJL8DAW1AFW667JR5UMKTSBA" hidden="1">#REF!</definedName>
    <definedName name="BExZTLOL8OPABZI453E0KVNA1GJS" hidden="1">#REF!</definedName>
    <definedName name="BExZTOU0BTPCPUWRLXLRI2XJEG7U" hidden="1">#REF!</definedName>
    <definedName name="BExZTT6J3X0TOX0ZY6YPLUVMCW9X" hidden="1">#REF!</definedName>
    <definedName name="BExZTUTRH6HLZMNUXX8ZOKZ96K6A" hidden="1">#REF!</definedName>
    <definedName name="BExZTW6ECBRA0BBITWBQ8R93RMCL" hidden="1">#REF!</definedName>
    <definedName name="BExZTYQ1JEJ7OY2XU5OVPIV2ST7B" hidden="1">#REF!</definedName>
    <definedName name="BExZU2BHYAOKSCBM3C5014ZF6IXS" hidden="1">#REF!</definedName>
    <definedName name="BExZU2RMJTXOCS0ROPMYPE6WTD87" hidden="1">#REF!</definedName>
    <definedName name="BExZUA9BU9VBIRBMEJ8WCW8V3CCA" hidden="1">#REF!</definedName>
    <definedName name="BExZUF7G8FENTJKH9R1XUWXM6CWD" hidden="1">#REF!</definedName>
    <definedName name="BExZUNARUJBIZ08VCAV3GEVBIR3D" hidden="1">#REF!</definedName>
    <definedName name="BExZUSZSJZU49WES7TCI0N0HW4M5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4OFC4E044NV2AK8G2UA1XAF" hidden="1">#REF!</definedName>
    <definedName name="BExZV7DJXT1V4E00QA0ISEB7J7PM" hidden="1">#REF!</definedName>
    <definedName name="BExZV8VN4XXFQ89PGHCZQ4ZOQBIY" hidden="1">#REF!</definedName>
    <definedName name="BExZVBQ29OM0V8XAL3HL0JIM0MMU" hidden="1">#REF!</definedName>
    <definedName name="BExZVCRRWDAEMKOMWLKW8Y589BTB" hidden="1">#REF!</definedName>
    <definedName name="BExZVEPYS6HYXG8RN9GMWZTHDEMK" hidden="1">#REF!</definedName>
    <definedName name="BExZVJTE617O2WWSZMM2RIIMJBT6" hidden="1">#REF!</definedName>
    <definedName name="BExZVL0J9ZCFV2KD4VRXYFROA2RU" hidden="1">#REF!</definedName>
    <definedName name="BExZVLM4T9ORS4ZWHME46U4Q103C" hidden="1">#REF!</definedName>
    <definedName name="BExZVM7OZWPPRH5YQW50EYMMIW1A" hidden="1">#REF!</definedName>
    <definedName name="BExZVOB7QZWTZFQNSWQNNOW6ZSCL" hidden="1">#REF!</definedName>
    <definedName name="BExZVPYGX2C5OSHMZ6F0KBKZ6B1S" hidden="1">#REF!</definedName>
    <definedName name="BExZVS20SHB6SH32TMMXJ2JTC8RL" hidden="1">#REF!</definedName>
    <definedName name="BExZVW92BIGOE7S7BGNAK369OBAA" hidden="1">#REF!</definedName>
    <definedName name="BExZW5UARC8W9AQNLJX2I5WQWS5F" hidden="1">#REF!</definedName>
    <definedName name="BExZW6AFMH6YSV2JXVQHO7813Y72" hidden="1">#REF!</definedName>
    <definedName name="BExZW7HRGN6A9YS41KI2B2UUMJ7X" hidden="1">#REF!</definedName>
    <definedName name="BExZW8ZPNV43UXGOT98FDNIBQHZY" hidden="1">#REF!</definedName>
    <definedName name="BExZW9AI4B0VE67NG5STB9FDI4JW" hidden="1">#REF!</definedName>
    <definedName name="BExZWH8BVDK3QP7K6GW9TJEPP3WE" hidden="1">#REF!</definedName>
    <definedName name="BExZWKZ5N3RDXU8MZ8HQVYYD8O0F" hidden="1">#REF!</definedName>
    <definedName name="BExZWO4ITR24TI60TY7ZB4VTJJ3K" hidden="1">#REF!</definedName>
    <definedName name="BExZWSMC9T48W74GFGQCIUJ8ZPP3" hidden="1">#REF!</definedName>
    <definedName name="BExZWTO13WI5HYOD923V9HWRJYKJ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1WSR48BBWSFW7QP7EUMPQM7" hidden="1">#REF!</definedName>
    <definedName name="BExZX2T6ZT2DZLYSDJJBPVIT5OK2" hidden="1">#REF!</definedName>
    <definedName name="BExZX4R9K12QB90KTSWK79U06A3B" hidden="1">#REF!</definedName>
    <definedName name="BExZX8I6XYE9MJFC5JUG3ZJE9YCS" hidden="1">#REF!</definedName>
    <definedName name="BExZXDG5QN816RW2TBMF163XYP48" hidden="1">#REF!</definedName>
    <definedName name="BExZXO3958G06XRZGIO66VIWCIKC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A4YA3LROELPDUCJ8SP9YM0" hidden="1">#REF!</definedName>
    <definedName name="BExZXYQ7U5G08FQGUIGYT14QCBOF" hidden="1">#REF!</definedName>
    <definedName name="BExZY02V77YJBMODJSWZOYCMPS5X" hidden="1">#REF!</definedName>
    <definedName name="BExZY1VG30OIYUXZI11ZAUEQTXFF" hidden="1">#REF!</definedName>
    <definedName name="BExZY49QRZIR6CA41LFA9LM6EULU" hidden="1">#REF!</definedName>
    <definedName name="BExZYCNU2L1NTH1NN6QO9EUN4HHU" hidden="1">#REF!</definedName>
    <definedName name="BExZYMUNZ50A6Y57GLVTZ644JDU8" hidden="1">#REF!</definedName>
    <definedName name="BExZYQAUOUJMCTAOMKAIC3S06UOT" hidden="1">#REF!</definedName>
    <definedName name="BExZYSP5EO39HVUV9JCJ7INY5MU0" hidden="1">#REF!</definedName>
    <definedName name="BExZZ24YQOBUJTDPVU4JE2DI81OU" hidden="1">#REF!</definedName>
    <definedName name="BExZZ2FQA9A8C7CJKMEFQ9VPSLCE" hidden="1">#REF!</definedName>
    <definedName name="BExZZ48H2EHSLQKIR3DLF9HT0SC8" hidden="1">#REF!</definedName>
    <definedName name="BExZZC6HAIITD2LG9VYL7VF2213L" hidden="1">#REF!</definedName>
    <definedName name="BExZZCHAVHW8C2H649KRGVQ0WVRT" hidden="1">#REF!</definedName>
    <definedName name="BExZZEVFJUN104MXJM9CYQH4EPE7" hidden="1">#REF!</definedName>
    <definedName name="BExZZTESHVX3I70SB63Q0A7V8ZEX" hidden="1">#REF!</definedName>
    <definedName name="BExZZTK54OTLF2YB68BHGOS27GEN" hidden="1">#REF!</definedName>
    <definedName name="BExZZX5LNMXWHX5WKP9XRZI1YZA1" hidden="1">#REF!</definedName>
    <definedName name="BExZZXB3JQQG4SIZS4MRU6NNW7HI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LPH1" localSheetId="5" hidden="1">#REF!</definedName>
    <definedName name="BLPH1" localSheetId="11" hidden="1">#REF!</definedName>
    <definedName name="BLPH1" localSheetId="7" hidden="1">'[20]Mthly Data'!$A$3</definedName>
    <definedName name="BLPH1" localSheetId="2" hidden="1">#REF!</definedName>
    <definedName name="BLPH1" localSheetId="13" hidden="1">#REF!</definedName>
    <definedName name="BLPH1" localSheetId="12" hidden="1">#REF!</definedName>
    <definedName name="BLPH1" localSheetId="15" hidden="1">#REF!</definedName>
    <definedName name="BLPH1" localSheetId="14" hidden="1">#REF!</definedName>
    <definedName name="BLPH1" hidden="1">#REF!</definedName>
    <definedName name="BLPH10" localSheetId="2" hidden="1">#REF!</definedName>
    <definedName name="BLPH10" hidden="1">#REF!</definedName>
    <definedName name="BLPH100" localSheetId="2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localSheetId="5" hidden="1">#REF!</definedName>
    <definedName name="BLPH2" localSheetId="11" hidden="1">#REF!</definedName>
    <definedName name="BLPH2" localSheetId="7" hidden="1">'[21]Mthly Data'!#REF!</definedName>
    <definedName name="BLPH2" localSheetId="13" hidden="1">#REF!</definedName>
    <definedName name="BLPH2" localSheetId="12" hidden="1">#REF!</definedName>
    <definedName name="BLPH2" localSheetId="15" hidden="1">#REF!</definedName>
    <definedName name="BLPH2" localSheetId="14" hidden="1">#REF!</definedName>
    <definedName name="BLPH2" hidden="1">#REF!</definedName>
    <definedName name="BLPH20" hidden="1">#REF!</definedName>
    <definedName name="BLPH20060419144957_1" hidden="1">#REF!</definedName>
    <definedName name="BLPH20060419144957_2" hidden="1">#REF!</definedName>
    <definedName name="BLPH20060419144957_4" hidden="1">#REF!</definedName>
    <definedName name="BLPH20060419144957_5" hidden="1">#REF!</definedName>
    <definedName name="BLPH20060419144957_6" hidden="1">#REF!</definedName>
    <definedName name="BLPH20060419144957_7" hidden="1">#REF!</definedName>
    <definedName name="BLPH20060419144957_8" hidden="1">#REF!</definedName>
    <definedName name="BLPH20060419144957_9" hidden="1">#REF!</definedName>
    <definedName name="BLPH20060419145106_1" hidden="1">#REF!</definedName>
    <definedName name="BLPH20060424143403_1" hidden="1">#REF!</definedName>
    <definedName name="BLPH20060426125828_1" hidden="1">#REF!</definedName>
    <definedName name="BLPH20060426130349_1" hidden="1">#REF!</definedName>
    <definedName name="BLPH20060502162107_1" hidden="1">#REF!</definedName>
    <definedName name="BLPH20060502162107_2" hidden="1">#REF!</definedName>
    <definedName name="BLPH20060502162107_3" hidden="1">#REF!</definedName>
    <definedName name="BLPH20060502162413_1" hidden="1">#REF!</definedName>
    <definedName name="BLPH20060502193036_1" hidden="1">#REF!</definedName>
    <definedName name="BLPH20060503125214_1" hidden="1">#REF!</definedName>
    <definedName name="BLPH20060509214545_1" hidden="1">#REF!</definedName>
    <definedName name="BLPH20060509215106_1" hidden="1">#REF!</definedName>
    <definedName name="BLPH20060509215505_1" hidden="1">#REF!</definedName>
    <definedName name="BLPH20060509215722_1" hidden="1">#REF!</definedName>
    <definedName name="BLPH20060510133535_2" hidden="1">#REF!</definedName>
    <definedName name="BLPH20060510133535_3" hidden="1">#REF!</definedName>
    <definedName name="BLPH20060510133535_4" hidden="1">#REF!</definedName>
    <definedName name="BLPH20060511150042_1" hidden="1">#REF!</definedName>
    <definedName name="BLPH20060518140850_1" hidden="1">#REF!</definedName>
    <definedName name="BLPH20060519143615_1" hidden="1">#REF!</definedName>
    <definedName name="BLPH20060524131718_1" hidden="1">#REF!</definedName>
    <definedName name="BLPH20060525132130_1" hidden="1">#REF!</definedName>
    <definedName name="BLPH20060525132217_1" hidden="1">#REF!</definedName>
    <definedName name="BLPH20060525132303_1" hidden="1">#REF!</definedName>
    <definedName name="BLPH20060602140551_1" hidden="1">#REF!</definedName>
    <definedName name="BLPH20060602141321_1" hidden="1">#REF!</definedName>
    <definedName name="BLPH20060621131533_1" hidden="1">#REF!</definedName>
    <definedName name="BLPH20060621131922_1" hidden="1">#REF!</definedName>
    <definedName name="BLPH20060621132021_1" hidden="1">#REF!</definedName>
    <definedName name="BLPH20060621132141_1" hidden="1">#REF!</definedName>
    <definedName name="BLPH20060621132417_1" hidden="1">#REF!</definedName>
    <definedName name="BLPH20060623130343_1" hidden="1">#REF!</definedName>
    <definedName name="BLPH20060802144710_1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5" hidden="1">#REF!</definedName>
    <definedName name="BLPH3" localSheetId="11" hidden="1">#REF!</definedName>
    <definedName name="BLPH3" localSheetId="7" hidden="1">'[21]Mthly Data'!#REF!</definedName>
    <definedName name="BLPH3" localSheetId="13" hidden="1">#REF!</definedName>
    <definedName name="BLPH3" localSheetId="12" hidden="1">#REF!</definedName>
    <definedName name="BLPH3" localSheetId="15" hidden="1">#REF!</definedName>
    <definedName name="BLPH3" localSheetId="14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5" hidden="1">#REF!</definedName>
    <definedName name="BLPH4" localSheetId="11" hidden="1">#REF!</definedName>
    <definedName name="blph4" localSheetId="7" hidden="1">'[21]Mthly Data'!#REF!</definedName>
    <definedName name="BLPH4" localSheetId="13" hidden="1">#REF!</definedName>
    <definedName name="BLPH4" localSheetId="12" hidden="1">#REF!</definedName>
    <definedName name="BLPH4" localSheetId="15" hidden="1">#REF!</definedName>
    <definedName name="BLPH4" localSheetId="14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2" hidden="1">#REF!</definedName>
    <definedName name="BLPH63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#REF!</definedName>
    <definedName name="BLPI3" hidden="1">#REF!</definedName>
    <definedName name="BLPI4" hidden="1">#REF!</definedName>
    <definedName name="BLPI5" hidden="1">#REF!</definedName>
    <definedName name="bnorsp">#REF!</definedName>
    <definedName name="boston" localSheetId="5" hidden="1">{"TotalGeralDespesasPorArea",#N/A,FALSE,"VinculosAccessEfetivo"}</definedName>
    <definedName name="boston" localSheetId="11" hidden="1">{"TotalGeralDespesasPorArea",#N/A,FALSE,"VinculosAccessEfetivo"}</definedName>
    <definedName name="boston" localSheetId="4" hidden="1">{"TotalGeralDespesasPorArea",#N/A,FALSE,"VinculosAccessEfetivo"}</definedName>
    <definedName name="boston" localSheetId="2" hidden="1">{"TotalGeralDespesasPorArea",#N/A,FALSE,"VinculosAccessEfetivo"}</definedName>
    <definedName name="boston" localSheetId="13" hidden="1">{"TotalGeralDespesasPorArea",#N/A,FALSE,"VinculosAccessEfetivo"}</definedName>
    <definedName name="boston" localSheetId="12" hidden="1">{"TotalGeralDespesasPorArea",#N/A,FALSE,"VinculosAccessEfetivo"}</definedName>
    <definedName name="boston" localSheetId="15" hidden="1">{"TotalGeralDespesasPorArea",#N/A,FALSE,"VinculosAccessEfetivo"}</definedName>
    <definedName name="boston" localSheetId="14" hidden="1">{"TotalGeralDespesasPorArea",#N/A,FALSE,"VinculosAccessEfetivo"}</definedName>
    <definedName name="boston" hidden="1">{"TotalGeralDespesasPorArea",#N/A,FALSE,"VinculosAccessEfetivo"}</definedName>
    <definedName name="bsursp">#REF!</definedName>
    <definedName name="C.04" localSheetId="1">#REF!</definedName>
    <definedName name="C.04" localSheetId="7">#REF!</definedName>
    <definedName name="C.04" localSheetId="2">#REF!</definedName>
    <definedName name="C.04">#REF!</definedName>
    <definedName name="C.05" localSheetId="7">#REF!</definedName>
    <definedName name="C.05" localSheetId="2">#REF!</definedName>
    <definedName name="C.05">#REF!</definedName>
    <definedName name="C.08" localSheetId="7">#REF!</definedName>
    <definedName name="C.08">#REF!</definedName>
    <definedName name="C.18" localSheetId="7">#REF!</definedName>
    <definedName name="C.18">#REF!</definedName>
    <definedName name="C_" localSheetId="7">#REF!</definedName>
    <definedName name="C_">#REF!</definedName>
    <definedName name="CABECERA" localSheetId="7">#REF!</definedName>
    <definedName name="CABECERA">#REF!</definedName>
    <definedName name="CAIXA" localSheetId="7">#REF!</definedName>
    <definedName name="CAIXA">#REF!</definedName>
    <definedName name="calendario" localSheetId="7">#REF!</definedName>
    <definedName name="calendario">#REF!</definedName>
    <definedName name="cambio" localSheetId="4">#REF!</definedName>
    <definedName name="cambio" localSheetId="1">#REF!</definedName>
    <definedName name="cambio" localSheetId="7">[22]Fatores!$C$9</definedName>
    <definedName name="cambio">#REF!</definedName>
    <definedName name="Cap" localSheetId="4">#REF!</definedName>
    <definedName name="Cap">#REF!</definedName>
    <definedName name="Capa" localSheetId="5" hidden="1">{"'Sheet1'!$A$1:$H$99"}</definedName>
    <definedName name="Capa" localSheetId="11" hidden="1">{"'Sheet1'!$A$1:$H$99"}</definedName>
    <definedName name="Capa" localSheetId="4" hidden="1">{"'Sheet1'!$A$1:$H$99"}</definedName>
    <definedName name="Capa" localSheetId="2" hidden="1">{"'Sheet1'!$A$1:$H$99"}</definedName>
    <definedName name="Capa" localSheetId="13" hidden="1">{"'Sheet1'!$A$1:$H$99"}</definedName>
    <definedName name="Capa" localSheetId="12" hidden="1">{"'Sheet1'!$A$1:$H$99"}</definedName>
    <definedName name="Capa" localSheetId="15" hidden="1">{"'Sheet1'!$A$1:$H$99"}</definedName>
    <definedName name="Capa" localSheetId="14" hidden="1">{"'Sheet1'!$A$1:$H$99"}</definedName>
    <definedName name="Capa" hidden="1">{"'Sheet1'!$A$1:$H$99"}</definedName>
    <definedName name="Capacità">#REF!</definedName>
    <definedName name="Capacità_conferita">#REF!</definedName>
    <definedName name="Capex" localSheetId="5" hidden="1">{#N/A,#N/A,TRUE,"Total Allocation";#N/A,#N/A,TRUE,"Capital Software";#N/A,#N/A,TRUE,"Misc";#N/A,#N/A,TRUE,"NAOG"}</definedName>
    <definedName name="Capex" localSheetId="11" hidden="1">{#N/A,#N/A,TRUE,"Total Allocation";#N/A,#N/A,TRUE,"Capital Software";#N/A,#N/A,TRUE,"Misc";#N/A,#N/A,TRUE,"NAOG"}</definedName>
    <definedName name="Capex" localSheetId="4" hidden="1">{#N/A,#N/A,TRUE,"Total Allocation";#N/A,#N/A,TRUE,"Capital Software";#N/A,#N/A,TRUE,"Misc";#N/A,#N/A,TRUE,"NAOG"}</definedName>
    <definedName name="Capex" localSheetId="2" hidden="1">{#N/A,#N/A,TRUE,"Total Allocation";#N/A,#N/A,TRUE,"Capital Software";#N/A,#N/A,TRUE,"Misc";#N/A,#N/A,TRUE,"NAOG"}</definedName>
    <definedName name="Capex" localSheetId="13" hidden="1">{#N/A,#N/A,TRUE,"Total Allocation";#N/A,#N/A,TRUE,"Capital Software";#N/A,#N/A,TRUE,"Misc";#N/A,#N/A,TRUE,"NAOG"}</definedName>
    <definedName name="Capex" localSheetId="12" hidden="1">{#N/A,#N/A,TRUE,"Total Allocation";#N/A,#N/A,TRUE,"Capital Software";#N/A,#N/A,TRUE,"Misc";#N/A,#N/A,TRUE,"NAOG"}</definedName>
    <definedName name="Capex" localSheetId="15" hidden="1">{#N/A,#N/A,TRUE,"Total Allocation";#N/A,#N/A,TRUE,"Capital Software";#N/A,#N/A,TRUE,"Misc";#N/A,#N/A,TRUE,"NAOG"}</definedName>
    <definedName name="Capex" localSheetId="14" hidden="1">{#N/A,#N/A,TRUE,"Total Allocation";#N/A,#N/A,TRUE,"Capital Software";#N/A,#N/A,TRUE,"Misc";#N/A,#N/A,TRUE,"NAOG"}</definedName>
    <definedName name="Capex" hidden="1">{#N/A,#N/A,TRUE,"Total Allocation";#N/A,#N/A,TRUE,"Capital Software";#N/A,#N/A,TRUE,"Misc";#N/A,#N/A,TRUE,"NAOG"}</definedName>
    <definedName name="case">#REF!</definedName>
    <definedName name="CashFlow" localSheetId="1">#REF!</definedName>
    <definedName name="CashFlow" localSheetId="7">#REF!</definedName>
    <definedName name="CashFlow" localSheetId="2">#REF!</definedName>
    <definedName name="CashFlow">#REF!</definedName>
    <definedName name="catafinancials" localSheetId="2">#REF!</definedName>
    <definedName name="catafinancials">#REF!</definedName>
    <definedName name="catavaluation">#REF!</definedName>
    <definedName name="catver" localSheetId="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BWorkbookPriority" hidden="1">-471789682</definedName>
    <definedName name="cc" localSheetId="5" hidden="1">{"'CONS'!$A$10:$N$62"}</definedName>
    <definedName name="cc" localSheetId="11" hidden="1">{"'CONS'!$A$10:$N$62"}</definedName>
    <definedName name="cc" localSheetId="4" hidden="1">{"'CONS'!$A$10:$N$62"}</definedName>
    <definedName name="cc" localSheetId="2" hidden="1">{"'CONS'!$A$10:$N$62"}</definedName>
    <definedName name="cc" localSheetId="13" hidden="1">{"'CONS'!$A$10:$N$62"}</definedName>
    <definedName name="cc" localSheetId="12" hidden="1">{"'CONS'!$A$10:$N$62"}</definedName>
    <definedName name="cc" localSheetId="15" hidden="1">{"'CONS'!$A$10:$N$62"}</definedName>
    <definedName name="cc" localSheetId="14" hidden="1">{"'CONS'!$A$10:$N$62"}</definedName>
    <definedName name="cc" hidden="1">{"'CONS'!$A$10:$N$62"}</definedName>
    <definedName name="CC_Ano">#REF!</definedName>
    <definedName name="CC_Conta_cont">#REF!</definedName>
    <definedName name="CC_mercado">#REF!</definedName>
    <definedName name="CC_Mês">#REF!</definedName>
    <definedName name="CC_Valor">#REF!</definedName>
    <definedName name="CCC" localSheetId="7" hidden="1">#REF!</definedName>
    <definedName name="CCC" hidden="1">#REF!</definedName>
    <definedName name="cd" localSheetId="5" hidden="1">{#N/A,#N/A,FALSE,"Aging Summary";#N/A,#N/A,FALSE,"Ratio Analysis";#N/A,#N/A,FALSE,"Test 120 Day Accts";#N/A,#N/A,FALSE,"Tickmarks"}</definedName>
    <definedName name="cd" localSheetId="11" hidden="1">{#N/A,#N/A,FALSE,"Aging Summary";#N/A,#N/A,FALSE,"Ratio Analysis";#N/A,#N/A,FALSE,"Test 120 Day Accts";#N/A,#N/A,FALSE,"Tickmarks"}</definedName>
    <definedName name="cd" localSheetId="4" hidden="1">{#N/A,#N/A,FALSE,"Aging Summary";#N/A,#N/A,FALSE,"Ratio Analysis";#N/A,#N/A,FALSE,"Test 120 Day Accts";#N/A,#N/A,FALSE,"Tickmarks"}</definedName>
    <definedName name="cd" localSheetId="2" hidden="1">{#N/A,#N/A,FALSE,"Aging Summary";#N/A,#N/A,FALSE,"Ratio Analysis";#N/A,#N/A,FALSE,"Test 120 Day Accts";#N/A,#N/A,FALSE,"Tickmarks"}</definedName>
    <definedName name="cd" localSheetId="13" hidden="1">{#N/A,#N/A,FALSE,"Aging Summary";#N/A,#N/A,FALSE,"Ratio Analysis";#N/A,#N/A,FALSE,"Test 120 Day Accts";#N/A,#N/A,FALSE,"Tickmarks"}</definedName>
    <definedName name="cd" localSheetId="12" hidden="1">{#N/A,#N/A,FALSE,"Aging Summary";#N/A,#N/A,FALSE,"Ratio Analysis";#N/A,#N/A,FALSE,"Test 120 Day Accts";#N/A,#N/A,FALSE,"Tickmarks"}</definedName>
    <definedName name="cd" localSheetId="15" hidden="1">{#N/A,#N/A,FALSE,"Aging Summary";#N/A,#N/A,FALSE,"Ratio Analysis";#N/A,#N/A,FALSE,"Test 120 Day Accts";#N/A,#N/A,FALSE,"Tickmarks"}</definedName>
    <definedName name="cd" localSheetId="14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I" localSheetId="7">#REF!</definedName>
    <definedName name="CDI">#REF!</definedName>
    <definedName name="CENÁRIO" localSheetId="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TRO">"C0016 - OPERATIVA NORMAL"</definedName>
    <definedName name="CIQWBGuid" hidden="1">"f5dc4994-c4e2-49f7-9bd3-2d6a3dfd6cbb"</definedName>
    <definedName name="Citygate_Inflation">#REF!</definedName>
    <definedName name="clientes" localSheetId="7" hidden="1">[1]SINTESIS!$N$7:$N$20</definedName>
    <definedName name="clientes" hidden="1">#REF!</definedName>
    <definedName name="CLIPRO" localSheetId="1">#REF!</definedName>
    <definedName name="CLIPRO" localSheetId="7">#REF!</definedName>
    <definedName name="CLIPRO" localSheetId="2">#REF!</definedName>
    <definedName name="CLIPRO">#REF!</definedName>
    <definedName name="CLITOT" localSheetId="7">#REF!</definedName>
    <definedName name="CLITOT">#REF!</definedName>
    <definedName name="CMP_Case">#REF!</definedName>
    <definedName name="CMP_Used">#REF!</definedName>
    <definedName name="Código_cliente_ano_anterior">#REF!</definedName>
    <definedName name="Codigo_clientes_pto">#REF!</definedName>
    <definedName name="cofins1" localSheetId="5" hidden="1">{"Fecha_Outubro",#N/A,FALSE,"FECHAMENTO-2002 ";"Defer_Outubro",#N/A,FALSE,"DIFERIDO";"Pis_Outubro",#N/A,FALSE,"PIS COFINS";"Iss_Outubro",#N/A,FALSE,"ISS"}</definedName>
    <definedName name="cofins1" localSheetId="11" hidden="1">{"Fecha_Outubro",#N/A,FALSE,"FECHAMENTO-2002 ";"Defer_Outubro",#N/A,FALSE,"DIFERIDO";"Pis_Outubro",#N/A,FALSE,"PIS COFINS";"Iss_Outubro",#N/A,FALSE,"ISS"}</definedName>
    <definedName name="cofins1" localSheetId="4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localSheetId="13" hidden="1">{"Fecha_Outubro",#N/A,FALSE,"FECHAMENTO-2002 ";"Defer_Outubro",#N/A,FALSE,"DIFERIDO";"Pis_Outubro",#N/A,FALSE,"PIS COFINS";"Iss_Outubro",#N/A,FALSE,"ISS"}</definedName>
    <definedName name="cofins1" localSheetId="12" hidden="1">{"Fecha_Outubro",#N/A,FALSE,"FECHAMENTO-2002 ";"Defer_Outubro",#N/A,FALSE,"DIFERIDO";"Pis_Outubro",#N/A,FALSE,"PIS COFINS";"Iss_Outubro",#N/A,FALSE,"ISS"}</definedName>
    <definedName name="cofins1" localSheetId="15" hidden="1">{"Fecha_Outubro",#N/A,FALSE,"FECHAMENTO-2002 ";"Defer_Outubro",#N/A,FALSE,"DIFERIDO";"Pis_Outubro",#N/A,FALSE,"PIS COFINS";"Iss_Outubro",#N/A,FALSE,"ISS"}</definedName>
    <definedName name="cofins1" localSheetId="14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fins2" localSheetId="5" hidden="1">{#N/A,#N/A,FALSE,"Extra2";#N/A,#N/A,FALSE,"Comp2";#N/A,#N/A,FALSE,"Ret-PL"}</definedName>
    <definedName name="cofins2" localSheetId="11" hidden="1">{#N/A,#N/A,FALSE,"Extra2";#N/A,#N/A,FALSE,"Comp2";#N/A,#N/A,FALSE,"Ret-PL"}</definedName>
    <definedName name="cofins2" localSheetId="4" hidden="1">{#N/A,#N/A,FALSE,"Extra2";#N/A,#N/A,FALSE,"Comp2";#N/A,#N/A,FALSE,"Ret-PL"}</definedName>
    <definedName name="cofins2" localSheetId="2" hidden="1">{#N/A,#N/A,FALSE,"Extra2";#N/A,#N/A,FALSE,"Comp2";#N/A,#N/A,FALSE,"Ret-PL"}</definedName>
    <definedName name="cofins2" localSheetId="13" hidden="1">{#N/A,#N/A,FALSE,"Extra2";#N/A,#N/A,FALSE,"Comp2";#N/A,#N/A,FALSE,"Ret-PL"}</definedName>
    <definedName name="cofins2" localSheetId="12" hidden="1">{#N/A,#N/A,FALSE,"Extra2";#N/A,#N/A,FALSE,"Comp2";#N/A,#N/A,FALSE,"Ret-PL"}</definedName>
    <definedName name="cofins2" localSheetId="15" hidden="1">{#N/A,#N/A,FALSE,"Extra2";#N/A,#N/A,FALSE,"Comp2";#N/A,#N/A,FALSE,"Ret-PL"}</definedName>
    <definedName name="cofins2" localSheetId="14" hidden="1">{#N/A,#N/A,FALSE,"Extra2";#N/A,#N/A,FALSE,"Comp2";#N/A,#N/A,FALSE,"Ret-PL"}</definedName>
    <definedName name="cofins2" hidden="1">{#N/A,#N/A,FALSE,"Extra2";#N/A,#N/A,FALSE,"Comp2";#N/A,#N/A,FALSE,"Ret-PL"}</definedName>
    <definedName name="COLUNA_ANO_ANTERIOR">#REF!</definedName>
    <definedName name="COLUNA_ANO_ATUAL">#REF!</definedName>
    <definedName name="coluna_final">#REF!</definedName>
    <definedName name="coluna_inicial">#REF!</definedName>
    <definedName name="com_alo_pco_mun_ceg" localSheetId="1">#REF!</definedName>
    <definedName name="com_alo_pco_mun_ceg">#REF!</definedName>
    <definedName name="com_alo_pco_mun_ceg_rio">#REF!</definedName>
    <definedName name="com_alo_pco_mun_SPS">#REF!</definedName>
    <definedName name="com_alo_res_mun_GNS">#REF!</definedName>
    <definedName name="Com_altas_pco_ceg">#REF!</definedName>
    <definedName name="Com_altas_pco_rio">#REF!</definedName>
    <definedName name="Com_altas_pco_sps">#REF!</definedName>
    <definedName name="Com_altas_res_ceg">#REF!</definedName>
    <definedName name="Com_altas_res_rio">#REF!</definedName>
    <definedName name="Com_altas_res_sps">#REF!</definedName>
    <definedName name="Com_cli_ini_vol_real_glp" localSheetId="1">#REF!</definedName>
    <definedName name="Com_cli_ini_vol_real_glp">#REF!</definedName>
    <definedName name="Com_con_unit_gn_pco" localSheetId="1">#REF!</definedName>
    <definedName name="Com_con_unit_gn_pco">#REF!</definedName>
    <definedName name="Com_q_fi_x_pro" localSheetId="1">#REF!</definedName>
    <definedName name="Com_q_fi_x_pro">#REF!</definedName>
    <definedName name="Com_tasa_pro_alt_pco" localSheetId="1">#REF!</definedName>
    <definedName name="Com_tasa_pro_alt_pco">#REF!</definedName>
    <definedName name="Com_tasa_pro_alt_res">#REF!</definedName>
    <definedName name="compras" hidden="1">3</definedName>
    <definedName name="con">#REF!</definedName>
    <definedName name="CONC.C_P" localSheetId="1">#REF!</definedName>
    <definedName name="CONC.C_P" localSheetId="7">#REF!</definedName>
    <definedName name="CONC.C_P" localSheetId="2">#REF!</definedName>
    <definedName name="CONC.C_P">#REF!</definedName>
    <definedName name="CONC.L_P" localSheetId="7">#REF!</definedName>
    <definedName name="CONC.L_P" localSheetId="2">#REF!</definedName>
    <definedName name="CONC.L_P">#REF!</definedName>
    <definedName name="conceito">#REF!</definedName>
    <definedName name="CONSMAT" localSheetId="7">#REF!</definedName>
    <definedName name="CONSMAT">#REF!</definedName>
    <definedName name="CONSO" localSheetId="7">#REF!</definedName>
    <definedName name="CONSO">#REF!</definedName>
    <definedName name="CONSOLIDACION" localSheetId="7">#REF!</definedName>
    <definedName name="CONSOLIDACION">#REF!</definedName>
    <definedName name="CONSOLIDACIÓN" localSheetId="7">#REF!</definedName>
    <definedName name="CONSOLIDACIÓN">#REF!</definedName>
    <definedName name="Consumo_mese">#REF!</definedName>
    <definedName name="Consumos2006" localSheetId="7">[1]Indicadores!$X$106,[1]Indicadores!$X$109,[1]Indicadores!$X$116,[1]Indicadores!$X$119,[1]Indicadores!$X$125,[1]Indicadores!$X$128,[1]Indicadores!$X$134,[1]Indicadores!$X$137,[1]Indicadores!$X$143,[1]Indicadores!$X$146</definedName>
    <definedName name="Consumos2006" localSheetId="2">#REF!,#REF!,#REF!,#REF!,#REF!,#REF!,#REF!,#REF!,#REF!,#REF!</definedName>
    <definedName name="Consumos2006">#REF!,#REF!,#REF!,#REF!,#REF!,#REF!,#REF!,#REF!,#REF!,#REF!</definedName>
    <definedName name="Consumos2007" localSheetId="7">[1]Indicadores!$Y$106,[1]Indicadores!$Y$109,[1]Indicadores!$Y$116,[1]Indicadores!$Y$119,[1]Indicadores!$Y$125,[1]Indicadores!$Y$128,[1]Indicadores!$Y$134,[1]Indicadores!$Y$137,[1]Indicadores!$Y$143,[1]Indicadores!$Y$146</definedName>
    <definedName name="Consumos2007">#REF!,#REF!,#REF!,#REF!,#REF!,#REF!,#REF!,#REF!,#REF!,#REF!</definedName>
    <definedName name="Consumos2008" localSheetId="7">[1]Indicadores!$Z$146,[1]Indicadores!$Z$143,[1]Indicadores!$Z$137,[1]Indicadores!$Z$134,[1]Indicadores!$Z$128,[1]Indicadores!$Z$125,[1]Indicadores!$Z$119,[1]Indicadores!$Z$116,[1]Indicadores!$Z$109,[1]Indicadores!$Z$106</definedName>
    <definedName name="Consumos2008">#REF!,#REF!,#REF!,#REF!,#REF!,#REF!,#REF!,#REF!,#REF!,#REF!</definedName>
    <definedName name="Consumos2009" localSheetId="7">[1]Indicadores!$AA$106,[1]Indicadores!$AA$109,[1]Indicadores!$AA$116,[1]Indicadores!$AA$119,[1]Indicadores!$AA$125,[1]Indicadores!$AA$128,[1]Indicadores!$AA$134,[1]Indicadores!$AA$137,[1]Indicadores!$AA$143,[1]Indicadores!$AA$146</definedName>
    <definedName name="Consumos2009">#REF!,#REF!,#REF!,#REF!,#REF!,#REF!,#REF!,#REF!,#REF!,#REF!</definedName>
    <definedName name="Consumos2010" localSheetId="7">[1]Indicadores!$AB$106,[1]Indicadores!$AB$109,[1]Indicadores!$AB$116,[1]Indicadores!$AB$119,[1]Indicadores!$AB$125,[1]Indicadores!$AB$128,[1]Indicadores!$AB$134,[1]Indicadores!$AB$137,[1]Indicadores!$AB$143,[1]Indicadores!$AB$146</definedName>
    <definedName name="Consumos2010">#REF!,#REF!,#REF!,#REF!,#REF!,#REF!,#REF!,#REF!,#REF!,#REF!</definedName>
    <definedName name="Consumos2011" localSheetId="7">[1]Indicadores!$AC$106,[1]Indicadores!$AC$109,[1]Indicadores!$AC$116,[1]Indicadores!$AC$119,[1]Indicadores!$AC$125,[1]Indicadores!$AC$128,[1]Indicadores!$AC$134,[1]Indicadores!$AC$137,[1]Indicadores!$AC$143,[1]Indicadores!$AC$146</definedName>
    <definedName name="Consumos2011">#REF!,#REF!,#REF!,#REF!,#REF!,#REF!,#REF!,#REF!,#REF!,#REF!</definedName>
    <definedName name="Consumos2012" localSheetId="7">[1]Indicadores!$AD$106,[1]Indicadores!$AD$109,[1]Indicadores!$AD$116,[1]Indicadores!$AD$119,[1]Indicadores!$AD$125,[1]Indicadores!$AD$128,[1]Indicadores!$AD$134,[1]Indicadores!$AD$137,[1]Indicadores!$AD$143,[1]Indicadores!$AD$146</definedName>
    <definedName name="Consumos2012">#REF!,#REF!,#REF!,#REF!,#REF!,#REF!,#REF!,#REF!,#REF!,#REF!</definedName>
    <definedName name="Contas01" localSheetId="1">#REF!,#REF!,#REF!,#REF!,#REF!,#REF!,#REF!,#REF!,#REF!,#REF!,#REF!,#REF!</definedName>
    <definedName name="Contas01" localSheetId="7">#REF!,#REF!,#REF!,#REF!,#REF!,#REF!,#REF!,#REF!,#REF!,#REF!,#REF!,#REF!</definedName>
    <definedName name="Contas01" localSheetId="2">#REF!,#REF!,#REF!,#REF!,#REF!,#REF!,#REF!,#REF!,#REF!,#REF!,#REF!,#REF!</definedName>
    <definedName name="Contas01">#REF!,#REF!,#REF!,#REF!,#REF!,#REF!,#REF!,#REF!,#REF!,#REF!,#REF!,#REF!</definedName>
    <definedName name="Contas02" localSheetId="7">#REF!,#REF!,#REF!,#REF!,#REF!,#REF!,#REF!,#REF!,#REF!,#REF!,#REF!,#REF!</definedName>
    <definedName name="Contas02" localSheetId="2">#REF!,#REF!,#REF!,#REF!,#REF!,#REF!,#REF!,#REF!,#REF!,#REF!,#REF!,#REF!</definedName>
    <definedName name="Contas02">#REF!,#REF!,#REF!,#REF!,#REF!,#REF!,#REF!,#REF!,#REF!,#REF!,#REF!,#REF!</definedName>
    <definedName name="Contas03" localSheetId="7">#REF!,#REF!,#REF!,#REF!,#REF!,#REF!,#REF!,#REF!,#REF!,#REF!,#REF!,#REF!</definedName>
    <definedName name="Contas03" localSheetId="2">#REF!,#REF!,#REF!,#REF!,#REF!,#REF!,#REF!,#REF!,#REF!,#REF!,#REF!,#REF!</definedName>
    <definedName name="Contas03">#REF!,#REF!,#REF!,#REF!,#REF!,#REF!,#REF!,#REF!,#REF!,#REF!,#REF!,#REF!</definedName>
    <definedName name="Contingencias_para_CAPI" localSheetId="1">#REF!</definedName>
    <definedName name="Contingencias_para_CAPI" localSheetId="7">#REF!</definedName>
    <definedName name="Contingencias_para_CAPI" localSheetId="2">#REF!</definedName>
    <definedName name="Contingencias_para_CAPI">#REF!</definedName>
    <definedName name="Cop_13_sal" localSheetId="2">#REF!</definedName>
    <definedName name="Cop_13_sal">#REF!</definedName>
    <definedName name="Cop_alo_pep_a_dire" localSheetId="2">#REF!</definedName>
    <definedName name="Cop_alo_pep_a_dire">#REF!</definedName>
    <definedName name="Cop_aplic_ajuste">#REF!</definedName>
    <definedName name="Cop_asi_otras">#REF!</definedName>
    <definedName name="Cop_asist_med_odo">#REF!</definedName>
    <definedName name="Cop_ay_trasns_est">#REF!</definedName>
    <definedName name="Cop_bonus_extra">#REF!</definedName>
    <definedName name="Cop_complem_var">#REF!</definedName>
    <definedName name="Cop_complem_var_adic">#REF!</definedName>
    <definedName name="Cop_est_tran_for_eco">#REF!</definedName>
    <definedName name="Cop_form_econo">#REF!</definedName>
    <definedName name="Cop_ganan_real">#REF!</definedName>
    <definedName name="Cop_horas_extras">#REF!</definedName>
    <definedName name="Cop_indem">#REF!</definedName>
    <definedName name="Cop_num_empl_ot_pue">#REF!</definedName>
    <definedName name="Cop_otros_gastos">#REF!</definedName>
    <definedName name="Cop_per_sal_med_otr">#REF!</definedName>
    <definedName name="Cop_planes">#REF!</definedName>
    <definedName name="Cop_planes_fondo_pen">#REF!</definedName>
    <definedName name="Cop_ppto_2010">#REF!</definedName>
    <definedName name="Cop_real_base">#REF!</definedName>
    <definedName name="Cop_real_base_08">#REF!</definedName>
    <definedName name="Cop_real_base_09">#REF!</definedName>
    <definedName name="Cop_real_rh">#REF!</definedName>
    <definedName name="Cop_recupero">#REF!</definedName>
    <definedName name="Cop_remu_consej_hs_e">#REF!</definedName>
    <definedName name="Cop_remun_consej">#REF!</definedName>
    <definedName name="Cop_seg_vida">#REF!</definedName>
    <definedName name="Cop_ss_otras_">#REF!</definedName>
    <definedName name="Cop_ss_otras_indem">#REF!</definedName>
    <definedName name="Cop_tasa_crec_aloc">#REF!</definedName>
    <definedName name="corpsp">#REF!</definedName>
    <definedName name="COSTMP" localSheetId="7">#REF!</definedName>
    <definedName name="COSTMP">#REF!</definedName>
    <definedName name="cotdia1" localSheetId="7">#REF!</definedName>
    <definedName name="cotdia1">#REF!</definedName>
    <definedName name="cotdol" localSheetId="4">#REF!</definedName>
    <definedName name="cotdol" localSheetId="1">#REF!</definedName>
    <definedName name="cotdol" localSheetId="7">[23]Input!#REF!</definedName>
    <definedName name="cotdol">#REF!</definedName>
    <definedName name="çp" localSheetId="5" hidden="1">{#N/A,#N/A,FALSE,"Dutos";#N/A,#N/A,FALSE,"Terminais"}</definedName>
    <definedName name="çp" localSheetId="11" hidden="1">{#N/A,#N/A,FALSE,"Dutos";#N/A,#N/A,FALSE,"Terminais"}</definedName>
    <definedName name="çp" localSheetId="4" hidden="1">{#N/A,#N/A,FALSE,"Dutos";#N/A,#N/A,FALSE,"Terminais"}</definedName>
    <definedName name="çp" localSheetId="2" hidden="1">{#N/A,#N/A,FALSE,"Dutos";#N/A,#N/A,FALSE,"Terminais"}</definedName>
    <definedName name="çp" localSheetId="13" hidden="1">{#N/A,#N/A,FALSE,"Dutos";#N/A,#N/A,FALSE,"Terminais"}</definedName>
    <definedName name="çp" localSheetId="12" hidden="1">{#N/A,#N/A,FALSE,"Dutos";#N/A,#N/A,FALSE,"Terminais"}</definedName>
    <definedName name="çp" localSheetId="15" hidden="1">{#N/A,#N/A,FALSE,"Dutos";#N/A,#N/A,FALSE,"Terminais"}</definedName>
    <definedName name="çp" localSheetId="14" hidden="1">{#N/A,#N/A,FALSE,"Dutos";#N/A,#N/A,FALSE,"Terminais"}</definedName>
    <definedName name="çp" hidden="1">{#N/A,#N/A,FALSE,"Dutos";#N/A,#N/A,FALSE,"Terminais"}</definedName>
    <definedName name="cpmf" localSheetId="4">#REF!</definedName>
    <definedName name="cpmf" localSheetId="1">#REF!</definedName>
    <definedName name="cpmf" localSheetId="7">[22]Fatores!$C$13</definedName>
    <definedName name="cpmf" localSheetId="2">#REF!</definedName>
    <definedName name="cpmf">#REF!</definedName>
    <definedName name="CRE" localSheetId="1">#REF!</definedName>
    <definedName name="CRE" localSheetId="7">#REF!</definedName>
    <definedName name="CRE" localSheetId="2">#REF!</definedName>
    <definedName name="CRE">#REF!</definedName>
    <definedName name="CSSL" localSheetId="5" hidden="1">{#N/A,#N/A,FALSE,"IR E CS 1997";#N/A,#N/A,FALSE,"PR ND";#N/A,#N/A,FALSE,"8191";#N/A,#N/A,FALSE,"8383";#N/A,#N/A,FALSE,"MP 1024";#N/A,#N/A,FALSE,"AD_EX_97";#N/A,#N/A,FALSE,"BD 97"}</definedName>
    <definedName name="CSSL" localSheetId="11" hidden="1">{#N/A,#N/A,FALSE,"IR E CS 1997";#N/A,#N/A,FALSE,"PR ND";#N/A,#N/A,FALSE,"8191";#N/A,#N/A,FALSE,"8383";#N/A,#N/A,FALSE,"MP 1024";#N/A,#N/A,FALSE,"AD_EX_97";#N/A,#N/A,FALSE,"BD 97"}</definedName>
    <definedName name="CSSL" localSheetId="4" hidden="1">{#N/A,#N/A,FALSE,"IR E CS 1997";#N/A,#N/A,FALSE,"PR ND";#N/A,#N/A,FALSE,"8191";#N/A,#N/A,FALSE,"8383";#N/A,#N/A,FALSE,"MP 1024";#N/A,#N/A,FALSE,"AD_EX_97";#N/A,#N/A,FALSE,"BD 97"}</definedName>
    <definedName name="CSSL" localSheetId="2" hidden="1">{#N/A,#N/A,FALSE,"IR E CS 1997";#N/A,#N/A,FALSE,"PR ND";#N/A,#N/A,FALSE,"8191";#N/A,#N/A,FALSE,"8383";#N/A,#N/A,FALSE,"MP 1024";#N/A,#N/A,FALSE,"AD_EX_97";#N/A,#N/A,FALSE,"BD 97"}</definedName>
    <definedName name="CSSL" localSheetId="13" hidden="1">{#N/A,#N/A,FALSE,"IR E CS 1997";#N/A,#N/A,FALSE,"PR ND";#N/A,#N/A,FALSE,"8191";#N/A,#N/A,FALSE,"8383";#N/A,#N/A,FALSE,"MP 1024";#N/A,#N/A,FALSE,"AD_EX_97";#N/A,#N/A,FALSE,"BD 97"}</definedName>
    <definedName name="CSSL" localSheetId="12" hidden="1">{#N/A,#N/A,FALSE,"IR E CS 1997";#N/A,#N/A,FALSE,"PR ND";#N/A,#N/A,FALSE,"8191";#N/A,#N/A,FALSE,"8383";#N/A,#N/A,FALSE,"MP 1024";#N/A,#N/A,FALSE,"AD_EX_97";#N/A,#N/A,FALSE,"BD 97"}</definedName>
    <definedName name="CSSL" localSheetId="15" hidden="1">{#N/A,#N/A,FALSE,"IR E CS 1997";#N/A,#N/A,FALSE,"PR ND";#N/A,#N/A,FALSE,"8191";#N/A,#N/A,FALSE,"8383";#N/A,#N/A,FALSE,"MP 1024";#N/A,#N/A,FALSE,"AD_EX_97";#N/A,#N/A,FALSE,"BD 97"}</definedName>
    <definedName name="CSSL" localSheetId="14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localSheetId="5" hidden="1">{#N/A,#N/A,FALSE,"IR E CS 1997";#N/A,#N/A,FALSE,"PR ND";#N/A,#N/A,FALSE,"8191";#N/A,#N/A,FALSE,"8383";#N/A,#N/A,FALSE,"MP 1024";#N/A,#N/A,FALSE,"AD_EX_97";#N/A,#N/A,FALSE,"BD 97"}</definedName>
    <definedName name="CSSL1998" localSheetId="11" hidden="1">{#N/A,#N/A,FALSE,"IR E CS 1997";#N/A,#N/A,FALSE,"PR ND";#N/A,#N/A,FALSE,"8191";#N/A,#N/A,FALSE,"8383";#N/A,#N/A,FALSE,"MP 1024";#N/A,#N/A,FALSE,"AD_EX_97";#N/A,#N/A,FALSE,"BD 97"}</definedName>
    <definedName name="CSSL1998" localSheetId="4" hidden="1">{#N/A,#N/A,FALSE,"IR E CS 1997";#N/A,#N/A,FALSE,"PR ND";#N/A,#N/A,FALSE,"8191";#N/A,#N/A,FALSE,"8383";#N/A,#N/A,FALSE,"MP 1024";#N/A,#N/A,FALSE,"AD_EX_97";#N/A,#N/A,FALSE,"BD 97"}</definedName>
    <definedName name="CSSL1998" localSheetId="2" hidden="1">{#N/A,#N/A,FALSE,"IR E CS 1997";#N/A,#N/A,FALSE,"PR ND";#N/A,#N/A,FALSE,"8191";#N/A,#N/A,FALSE,"8383";#N/A,#N/A,FALSE,"MP 1024";#N/A,#N/A,FALSE,"AD_EX_97";#N/A,#N/A,FALSE,"BD 97"}</definedName>
    <definedName name="CSSL1998" localSheetId="13" hidden="1">{#N/A,#N/A,FALSE,"IR E CS 1997";#N/A,#N/A,FALSE,"PR ND";#N/A,#N/A,FALSE,"8191";#N/A,#N/A,FALSE,"8383";#N/A,#N/A,FALSE,"MP 1024";#N/A,#N/A,FALSE,"AD_EX_97";#N/A,#N/A,FALSE,"BD 97"}</definedName>
    <definedName name="CSSL1998" localSheetId="12" hidden="1">{#N/A,#N/A,FALSE,"IR E CS 1997";#N/A,#N/A,FALSE,"PR ND";#N/A,#N/A,FALSE,"8191";#N/A,#N/A,FALSE,"8383";#N/A,#N/A,FALSE,"MP 1024";#N/A,#N/A,FALSE,"AD_EX_97";#N/A,#N/A,FALSE,"BD 97"}</definedName>
    <definedName name="CSSL1998" localSheetId="15" hidden="1">{#N/A,#N/A,FALSE,"IR E CS 1997";#N/A,#N/A,FALSE,"PR ND";#N/A,#N/A,FALSE,"8191";#N/A,#N/A,FALSE,"8383";#N/A,#N/A,FALSE,"MP 1024";#N/A,#N/A,FALSE,"AD_EX_97";#N/A,#N/A,FALSE,"BD 97"}</definedName>
    <definedName name="CSSL1998" localSheetId="14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anto">#REF!</definedName>
    <definedName name="CUENTA" localSheetId="7">#REF!</definedName>
    <definedName name="CUENTA">#REF!</definedName>
    <definedName name="CUENTAS" localSheetId="7">#REF!</definedName>
    <definedName name="CUENTAS">#REF!</definedName>
    <definedName name="currencylist">#REF!</definedName>
    <definedName name="currencyswitch">#REF!</definedName>
    <definedName name="Current" hidden="1">#REF!-1 &amp; "." &amp; MAX(1,COUNTA(INDEX(#REF!,MATCH(#REF!-1,#REF!,FALSE)):#REF!))</definedName>
    <definedName name="curvaUSDEUR" localSheetId="7">#REF!</definedName>
    <definedName name="curvaUSDEUR">#REF!</definedName>
    <definedName name="curvaUSDEURH" localSheetId="7">#REF!</definedName>
    <definedName name="curvaUSDEURH">#REF!</definedName>
    <definedName name="custo1" localSheetId="5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5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custo1" hidden="1">{#N/A,#N/A,FALSE,"Relatórios";"Vendas e Custos",#N/A,FALSE,"Vendas e Custos";"Premissas",#N/A,FALSE,"Premissas";"Projeções",#N/A,FALSE,"Projeções";"Dolar",#N/A,FALSE,"Dolar";"Original",#N/A,FALSE,"Original e UFIR"}</definedName>
    <definedName name="d" localSheetId="5" hidden="1">{"ANAR",#N/A,FALSE,"Dist total";"MARGEN",#N/A,FALSE,"Dist total";"COMENTARIO",#N/A,FALSE,"Ficha CODICE";"CONSEJO",#N/A,FALSE,"Dist p0";"uno",#N/A,FALSE,"Dist total"}</definedName>
    <definedName name="d" localSheetId="11" hidden="1">{"ANAR",#N/A,FALSE,"Dist total";"MARGEN",#N/A,FALSE,"Dist total";"COMENTARIO",#N/A,FALSE,"Ficha CODICE";"CONSEJO",#N/A,FALSE,"Dist p0";"uno",#N/A,FALSE,"Dist total"}</definedName>
    <definedName name="d" localSheetId="4" hidden="1">{"ANAR",#N/A,FALSE,"Dist total";"MARGEN",#N/A,FALSE,"Dist total";"COMENTARIO",#N/A,FALSE,"Ficha CODICE";"CONSEJO",#N/A,FALSE,"Dist p0";"uno",#N/A,FALSE,"Dist total"}</definedName>
    <definedName name="d" localSheetId="1" hidden="1">{"ANAR",#N/A,FALSE,"Dist total";"MARGEN",#N/A,FALSE,"Dist total";"COMENTARIO",#N/A,FALSE,"Ficha CODICE";"CONSEJO",#N/A,FALSE,"Dist p0";"uno",#N/A,FALSE,"Dist total"}</definedName>
    <definedName name="d" localSheetId="7" hidden="1">{"ANAR",#N/A,FALSE,"Dist total";"MARGEN",#N/A,FALSE,"Dist total";"COMENTARIO",#N/A,FALSE,"Ficha CODICE";"CONSEJO",#N/A,FALSE,"Dist p0";"uno",#N/A,FALSE,"Dist total"}</definedName>
    <definedName name="d" localSheetId="2" hidden="1">{"ANAR",#N/A,FALSE,"Dist total";"MARGEN",#N/A,FALSE,"Dist total";"COMENTARIO",#N/A,FALSE,"Ficha CODICE";"CONSEJO",#N/A,FALSE,"Dist p0";"uno",#N/A,FALSE,"Dist total"}</definedName>
    <definedName name="d" localSheetId="13" hidden="1">{"ANAR",#N/A,FALSE,"Dist total";"MARGEN",#N/A,FALSE,"Dist total";"COMENTARIO",#N/A,FALSE,"Ficha CODICE";"CONSEJO",#N/A,FALSE,"Dist p0";"uno",#N/A,FALSE,"Dist total"}</definedName>
    <definedName name="d" localSheetId="12" hidden="1">{"ANAR",#N/A,FALSE,"Dist total";"MARGEN",#N/A,FALSE,"Dist total";"COMENTARIO",#N/A,FALSE,"Ficha CODICE";"CONSEJO",#N/A,FALSE,"Dist p0";"uno",#N/A,FALSE,"Dist total"}</definedName>
    <definedName name="d" localSheetId="15" hidden="1">{"ANAR",#N/A,FALSE,"Dist total";"MARGEN",#N/A,FALSE,"Dist total";"COMENTARIO",#N/A,FALSE,"Ficha CODICE";"CONSEJO",#N/A,FALSE,"Dist p0";"uno",#N/A,FALSE,"Dist total"}</definedName>
    <definedName name="d" localSheetId="14" hidden="1">{"ANAR",#N/A,FALSE,"Dist total";"MARGEN",#N/A,FALSE,"Dist total";"COMENTARIO",#N/A,FALSE,"Ficha CODICE";"CONSEJO",#N/A,FALSE,"Dist p0";"uno",#N/A,FALSE,"Dist total"}</definedName>
    <definedName name="d" hidden="1">{"ANAR",#N/A,FALSE,"Dist total";"MARGEN",#N/A,FALSE,"Dist total";"COMENTARIO",#N/A,FALSE,"Ficha CODICE";"CONSEJO",#N/A,FALSE,"Dist p0";"uno",#N/A,FALSE,"Dist total"}</definedName>
    <definedName name="dada" hidden="1">#REF!</definedName>
    <definedName name="DADESAJUSTES10" localSheetId="2">#REF!,#REF!,#REF!,#REF!</definedName>
    <definedName name="DADESAJUSTES10">#REF!,#REF!,#REF!,#REF!</definedName>
    <definedName name="DADESAJUSTES11">#REF!,#REF!,#REF!,#REF!,#REF!,#REF!,#REF!</definedName>
    <definedName name="DADESAJUSTES12">#REF!,#REF!,#REF!,#REF!,#REF!</definedName>
    <definedName name="DADESAJUSTES13">#REF!,#REF!,#REF!</definedName>
    <definedName name="DADESAJUSTES14" localSheetId="4">#REF!,#REF!,#REF!,#REF!,#REF!,#REF!,#REF!,#REF!,#REF!,#REF!,#REF!,#REF!,#REF!,#REF!,#REF!</definedName>
    <definedName name="DADESAJUSTES14" localSheetId="2">#REF!,#REF!,#REF!,#REF!,#REF!,#REF!,#REF!,#REF!,#REF!,#REF!,#REF!,#REF!,#REF!,#REF!,#REF!</definedName>
    <definedName name="DADESAJUSTES14">#REF!,#REF!,#REF!,#REF!,#REF!,#REF!,#REF!,#REF!,#REF!,#REF!,#REF!,#REF!,#REF!,#REF!,#REF!</definedName>
    <definedName name="DADESAJUSTES15">#REF!,#REF!,#REF!,#REF!,#REF!,#REF!,#REF!</definedName>
    <definedName name="DADESAJUSTES16">#REF!,#REF!</definedName>
    <definedName name="DADESAJUSTES17">#REF!,#REF!</definedName>
    <definedName name="DADESAJUSTES18">#REF!,#REF!,#REF!</definedName>
    <definedName name="DADESAJUSTES19">#REF!,#REF!,#REF!,#REF!,#REF!,#REF!,#REF!,#REF!,#REF!,#REF!</definedName>
    <definedName name="DADESAJUSTES20">#REF!,#REF!,#REF!,#REF!,#REF!</definedName>
    <definedName name="DADESAJUSTES21">#REF!,#REF!,#REF!</definedName>
    <definedName name="DADESAJUSTES22">#REF!,#REF!,#REF!,#REF!,#REF!,#REF!</definedName>
    <definedName name="DADESAJUSTES3">#REF!,#REF!,#REF!,#REF!</definedName>
    <definedName name="DADESAJUSTES4">#REF!,#REF!,#REF!,#REF!</definedName>
    <definedName name="DADESAJUSTES5">#REF!,#REF!,#REF!</definedName>
    <definedName name="DADESAJUSTES6">#REF!,#REF!,#REF!,#REF!,#REF!,#REF!</definedName>
    <definedName name="DADESAJUSTES7">#REF!,#REF!,#REF!,#REF!,#REF!,#REF!</definedName>
    <definedName name="DADESAJUSTES8">#REF!,#REF!,#REF!,#REF!,#REF!,#REF!,#REF!</definedName>
    <definedName name="DADESREAL10">#REF!,#REF!,#REF!,#REF!</definedName>
    <definedName name="DADESREAL11">#REF!,#REF!,#REF!,#REF!,#REF!,#REF!,#REF!</definedName>
    <definedName name="DADESREAL12">#REF!,#REF!,#REF!,#REF!,#REF!</definedName>
    <definedName name="DADESREAL13">#REF!,#REF!,#REF!</definedName>
    <definedName name="DADESREAL14" localSheetId="2">#REF!,#REF!,#REF!,#REF!,#REF!,#REF!,#REF!,#REF!,#REF!,#REF!,#REF!,#REF!,#REF!,#REF!,#REF!</definedName>
    <definedName name="DADESREAL14">#REF!,#REF!,#REF!,#REF!,#REF!,#REF!,#REF!,#REF!,#REF!,#REF!,#REF!,#REF!,#REF!,#REF!,#REF!</definedName>
    <definedName name="DADESREAL15">#REF!,#REF!,#REF!,#REF!,#REF!,#REF!,#REF!</definedName>
    <definedName name="DADESREAL16">#REF!,#REF!</definedName>
    <definedName name="DADESREAL17">#REF!,#REF!</definedName>
    <definedName name="DADESREAL18">#REF!,#REF!,#REF!</definedName>
    <definedName name="DADESREAL19">#REF!,#REF!,#REF!,#REF!,#REF!,#REF!,#REF!,#REF!,#REF!,#REF!</definedName>
    <definedName name="DADESREAL20">#REF!,#REF!,#REF!,#REF!,#REF!</definedName>
    <definedName name="DADESREAL21">#REF!,#REF!,#REF!</definedName>
    <definedName name="DADESREAL22">#REF!,#REF!,#REF!,#REF!,#REF!,#REF!</definedName>
    <definedName name="DADESREAL3">#REF!,#REF!,#REF!,#REF!</definedName>
    <definedName name="DADESREAL4">#REF!,#REF!,#REF!,#REF!</definedName>
    <definedName name="DADESREAL5">#REF!,#REF!,#REF!</definedName>
    <definedName name="DADESREAL6">#REF!,#REF!,#REF!,#REF!,#REF!,#REF!</definedName>
    <definedName name="DADESREAL7">#REF!,#REF!,#REF!,#REF!,#REF!,#REF!</definedName>
    <definedName name="DADESREAL8">#REF!,#REF!,#REF!,#REF!,#REF!,#REF!,#REF!</definedName>
    <definedName name="DADESUPA10">#REF!,#REF!,#REF!,#REF!</definedName>
    <definedName name="DADESUPA11">#REF!,#REF!,#REF!,#REF!,#REF!,#REF!,#REF!</definedName>
    <definedName name="DADESUPA12">#REF!,#REF!,#REF!,#REF!,#REF!</definedName>
    <definedName name="DADESUPA13">#REF!,#REF!,#REF!</definedName>
    <definedName name="DADESUPA14" localSheetId="2">#REF!,#REF!,#REF!,#REF!,#REF!,#REF!,#REF!,#REF!,#REF!,#REF!,#REF!,#REF!,#REF!,#REF!,#REF!</definedName>
    <definedName name="DADESUPA14">#REF!,#REF!,#REF!,#REF!,#REF!,#REF!,#REF!,#REF!,#REF!,#REF!,#REF!,#REF!,#REF!,#REF!,#REF!</definedName>
    <definedName name="DADESUPA15">#REF!,#REF!,#REF!,#REF!,#REF!,#REF!,#REF!</definedName>
    <definedName name="DADESUPA16">#REF!,#REF!</definedName>
    <definedName name="DADESUPA17">#REF!,#REF!</definedName>
    <definedName name="DADESUPA18">#REF!,#REF!,#REF!</definedName>
    <definedName name="DADESUPA19">#REF!,#REF!,#REF!,#REF!,#REF!,#REF!,#REF!,#REF!,#REF!,#REF!</definedName>
    <definedName name="DADESUPA20">#REF!,#REF!,#REF!,#REF!,#REF!</definedName>
    <definedName name="DADESUPA21">#REF!,#REF!,#REF!</definedName>
    <definedName name="DADESUPA22">#REF!,#REF!,#REF!,#REF!,#REF!,#REF!</definedName>
    <definedName name="DADESUPA3">#REF!,#REF!,#REF!,#REF!</definedName>
    <definedName name="DADESUPA4">#REF!,#REF!,#REF!,#REF!</definedName>
    <definedName name="DADESUPA5">#REF!,#REF!,#REF!</definedName>
    <definedName name="DADESUPA6">#REF!,#REF!,#REF!,#REF!,#REF!,#REF!</definedName>
    <definedName name="DADESUPA7">#REF!,#REF!,#REF!,#REF!,#REF!,#REF!</definedName>
    <definedName name="DADESUPA8">#REF!,#REF!,#REF!,#REF!,#REF!,#REF!,#REF!</definedName>
    <definedName name="dadfa" localSheetId="5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1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4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5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localSheetId="14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fa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dados">#REF!</definedName>
    <definedName name="Dados_ano" localSheetId="1">#REF!</definedName>
    <definedName name="Dados_ano" localSheetId="2">#REF!</definedName>
    <definedName name="Dados_ano">#REF!</definedName>
    <definedName name="Dados_empresa" localSheetId="1">#REF!</definedName>
    <definedName name="Dados_empresa" localSheetId="2">#REF!</definedName>
    <definedName name="Dados_empresa">#REF!</definedName>
    <definedName name="Dados_Est_ANO">#REF!</definedName>
    <definedName name="Dados_Est_MERCADO">#REF!</definedName>
    <definedName name="Dados_Est_MES">#REF!</definedName>
    <definedName name="Dados_Est_SOCIEDADE">#REF!</definedName>
    <definedName name="Dados_Est_SUBMERCADO">#REF!</definedName>
    <definedName name="Dados_Est_tipo">#REF!</definedName>
    <definedName name="Dados_Est_TIPO_GAS">#REF!</definedName>
    <definedName name="Dados_Est_VALOR">#REF!</definedName>
    <definedName name="Dados_Est_VISAO">#REF!</definedName>
    <definedName name="Dados_mercado" localSheetId="1">#REF!</definedName>
    <definedName name="Dados_mercado">#REF!</definedName>
    <definedName name="Dados_mes" localSheetId="1">#REF!</definedName>
    <definedName name="Dados_mes">#REF!</definedName>
    <definedName name="Dados_Mês">#REF!</definedName>
    <definedName name="Dados_MPM_ano">#REF!</definedName>
    <definedName name="Dados_MPM_classificacao">#REF!</definedName>
    <definedName name="Dados_MPM_mercado">#REF!</definedName>
    <definedName name="Dados_MPM_mes">#REF!</definedName>
    <definedName name="Dados_MPM_sociedade">#REF!</definedName>
    <definedName name="Dados_MPM_tipo">#REF!</definedName>
    <definedName name="Dados_MPM_valor">#REF!</definedName>
    <definedName name="Dados_nome">#REF!</definedName>
    <definedName name="DADOS_OBJETO" localSheetId="1">#REF!</definedName>
    <definedName name="DADOS_OBJETO">#REF!</definedName>
    <definedName name="dados_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PTO_ano">#REF!</definedName>
    <definedName name="Dados_PTO_mercado">#REF!</definedName>
    <definedName name="Dados_pto_mercados">#REF!</definedName>
    <definedName name="Dados_PTO_mes">#REF!</definedName>
    <definedName name="Dados_PTO_objeto">#REF!</definedName>
    <definedName name="Dados_PTO_sociedade">#REF!</definedName>
    <definedName name="Dados_pto_submercado">#REF!</definedName>
    <definedName name="Dados_PTO_tipo">#REF!</definedName>
    <definedName name="Dados_PTO_valor">#REF!</definedName>
    <definedName name="Dados_PTO_volume">#REF!</definedName>
    <definedName name="Dados_rateio">#REF!</definedName>
    <definedName name="dados_reais_ano">#REF!</definedName>
    <definedName name="Dados_reais_categoria">#REF!</definedName>
    <definedName name="Dados_reais_classificacao">#REF!</definedName>
    <definedName name="Dados_reais_classificação">#REF!</definedName>
    <definedName name="dados_reais_mercado">#REF!</definedName>
    <definedName name="dados_reais_mes">#REF!</definedName>
    <definedName name="Dados_reais_nome">#REF!</definedName>
    <definedName name="dados_reais_sociedade">#REF!</definedName>
    <definedName name="Dados_reais_submercado">#REF!</definedName>
    <definedName name="Dados_reais_submercados">#REF!</definedName>
    <definedName name="dados_reais_tipo">#REF!</definedName>
    <definedName name="Dados_reais_tipo_gas">#REF!</definedName>
    <definedName name="dados_reais_valor">#REF!</definedName>
    <definedName name="dados_reais_vendas">#REF!</definedName>
    <definedName name="dados_reais_visao">#REF!</definedName>
    <definedName name="Dados_reais_visão">#REF!</definedName>
    <definedName name="Dados_Sociedade">#REF!</definedName>
    <definedName name="Dados_sub_mercado">#REF!</definedName>
    <definedName name="Dados_tipo" localSheetId="1">#REF!</definedName>
    <definedName name="Dados_tipo">#REF!</definedName>
    <definedName name="Dados_tipo_gas">#REF!</definedName>
    <definedName name="Dados_valor" localSheetId="1">#REF!</definedName>
    <definedName name="Dados_valor">#REF!</definedName>
    <definedName name="Dados_visao" localSheetId="1">#REF!</definedName>
    <definedName name="Dados_visao">#REF!</definedName>
    <definedName name="Dados_Visão">#REF!</definedName>
    <definedName name="Dados_volume_ano">#REF!</definedName>
    <definedName name="dados_volume_espanha">#REF!</definedName>
    <definedName name="dados_volume_mercado">#REF!</definedName>
    <definedName name="Dados_volume_mes">#REF!</definedName>
    <definedName name="Dados_volume_sociedade">#REF!</definedName>
    <definedName name="Dados_volume_tipo">#REF!</definedName>
    <definedName name="Dados_volume_valor">#REF!</definedName>
    <definedName name="Dados_volume_visao">#REF!</definedName>
    <definedName name="dados2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TA" localSheetId="1">#REF!</definedName>
    <definedName name="DATA" localSheetId="7">#REF!</definedName>
    <definedName name="DATA" localSheetId="2">#REF!</definedName>
    <definedName name="DATA">#REF!</definedName>
    <definedName name="Dati_Base_per_AM" localSheetId="2">#REF!</definedName>
    <definedName name="Dati_Base_per_AM">#REF!</definedName>
    <definedName name="datos" localSheetId="7" hidden="1">[7]SINTESIS!$M$7:$M$12</definedName>
    <definedName name="datos" localSheetId="2" hidden="1">#REF!</definedName>
    <definedName name="datos" hidden="1">#REF!</definedName>
    <definedName name="datos2" localSheetId="7" hidden="1">[7]SINTESIS!$N$7</definedName>
    <definedName name="datos2" hidden="1">#REF!</definedName>
    <definedName name="DB">"WIREUK"</definedName>
    <definedName name="dc" localSheetId="5" hidden="1">{#N/A,#N/A,FALSE,"Aging Summary";#N/A,#N/A,FALSE,"Ratio Analysis";#N/A,#N/A,FALSE,"Test 120 Day Accts";#N/A,#N/A,FALSE,"Tickmarks"}</definedName>
    <definedName name="dc" localSheetId="11" hidden="1">{#N/A,#N/A,FALSE,"Aging Summary";#N/A,#N/A,FALSE,"Ratio Analysis";#N/A,#N/A,FALSE,"Test 120 Day Accts";#N/A,#N/A,FALSE,"Tickmarks"}</definedName>
    <definedName name="dc" localSheetId="4" hidden="1">{#N/A,#N/A,FALSE,"Aging Summary";#N/A,#N/A,FALSE,"Ratio Analysis";#N/A,#N/A,FALSE,"Test 120 Day Accts";#N/A,#N/A,FALSE,"Tickmarks"}</definedName>
    <definedName name="dc" localSheetId="2" hidden="1">{#N/A,#N/A,FALSE,"Aging Summary";#N/A,#N/A,FALSE,"Ratio Analysis";#N/A,#N/A,FALSE,"Test 120 Day Accts";#N/A,#N/A,FALSE,"Tickmarks"}</definedName>
    <definedName name="dc" localSheetId="13" hidden="1">{#N/A,#N/A,FALSE,"Aging Summary";#N/A,#N/A,FALSE,"Ratio Analysis";#N/A,#N/A,FALSE,"Test 120 Day Accts";#N/A,#N/A,FALSE,"Tickmarks"}</definedName>
    <definedName name="dc" localSheetId="12" hidden="1">{#N/A,#N/A,FALSE,"Aging Summary";#N/A,#N/A,FALSE,"Ratio Analysis";#N/A,#N/A,FALSE,"Test 120 Day Accts";#N/A,#N/A,FALSE,"Tickmarks"}</definedName>
    <definedName name="dc" localSheetId="15" hidden="1">{#N/A,#N/A,FALSE,"Aging Summary";#N/A,#N/A,FALSE,"Ratio Analysis";#N/A,#N/A,FALSE,"Test 120 Day Accts";#N/A,#N/A,FALSE,"Tickmarks"}</definedName>
    <definedName name="dc" localSheetId="14" hidden="1">{#N/A,#N/A,FALSE,"Aging Summary";#N/A,#N/A,FALSE,"Ratio Analysis";#N/A,#N/A,FALSE,"Test 120 Day Accts";#N/A,#N/A,FALSE,"Tickmarks"}</definedName>
    <definedName name="dc" hidden="1">{#N/A,#N/A,FALSE,"Aging Summary";#N/A,#N/A,FALSE,"Ratio Analysis";#N/A,#N/A,FALSE,"Test 120 Day Accts";#N/A,#N/A,FALSE,"Tickmarks"}</definedName>
    <definedName name="DD" hidden="1">"3T83N6QL2IDEURE40EXQ3I4SV"</definedName>
    <definedName name="dddddddddddd" localSheetId="5" hidden="1">{0,#N/A,FALSE,0;0,#N/A,FALSE,0;0,#N/A,FALSE,0;0,#N/A,FALSE,0}</definedName>
    <definedName name="dddddddddddd" localSheetId="11" hidden="1">{0,#N/A,FALSE,0;0,#N/A,FALSE,0;0,#N/A,FALSE,0;0,#N/A,FALSE,0}</definedName>
    <definedName name="dddddddddddd" localSheetId="4" hidden="1">{0,#N/A,FALSE,0;0,#N/A,FALSE,0;0,#N/A,FALSE,0;0,#N/A,FALSE,0}</definedName>
    <definedName name="dddddddddddd" localSheetId="2" hidden="1">{0,#N/A,FALSE,0;0,#N/A,FALSE,0;0,#N/A,FALSE,0;0,#N/A,FALSE,0}</definedName>
    <definedName name="dddddddddddd" localSheetId="13" hidden="1">{0,#N/A,FALSE,0;0,#N/A,FALSE,0;0,#N/A,FALSE,0;0,#N/A,FALSE,0}</definedName>
    <definedName name="dddddddddddd" localSheetId="12" hidden="1">{0,#N/A,FALSE,0;0,#N/A,FALSE,0;0,#N/A,FALSE,0;0,#N/A,FALSE,0}</definedName>
    <definedName name="dddddddddddd" localSheetId="15" hidden="1">{0,#N/A,FALSE,0;0,#N/A,FALSE,0;0,#N/A,FALSE,0;0,#N/A,FALSE,0}</definedName>
    <definedName name="dddddddddddd" localSheetId="14" hidden="1">{0,#N/A,FALSE,0;0,#N/A,FALSE,0;0,#N/A,FALSE,0;0,#N/A,FALSE,0}</definedName>
    <definedName name="dddddddddddd" hidden="1">{0,#N/A,FALSE,0;0,#N/A,FALSE,0;0,#N/A,FALSE,0;0,#N/A,FALSE,0}</definedName>
    <definedName name="deee" localSheetId="5" hidden="1">{"Fecha_Setembro",#N/A,FALSE,"FECHAMENTO-2002 ";"Defer_Setembro",#N/A,FALSE,"DIFERIDO";"Pis_Setembro",#N/A,FALSE,"PIS COFINS";"Iss_Setembro",#N/A,FALSE,"ISS"}</definedName>
    <definedName name="deee" localSheetId="11" hidden="1">{"Fecha_Setembro",#N/A,FALSE,"FECHAMENTO-2002 ";"Defer_Setembro",#N/A,FALSE,"DIFERIDO";"Pis_Setembro",#N/A,FALSE,"PIS COFINS";"Iss_Setembro",#N/A,FALSE,"ISS"}</definedName>
    <definedName name="deee" localSheetId="4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localSheetId="13" hidden="1">{"Fecha_Setembro",#N/A,FALSE,"FECHAMENTO-2002 ";"Defer_Setembro",#N/A,FALSE,"DIFERIDO";"Pis_Setembro",#N/A,FALSE,"PIS COFINS";"Iss_Setembro",#N/A,FALSE,"ISS"}</definedName>
    <definedName name="deee" localSheetId="12" hidden="1">{"Fecha_Setembro",#N/A,FALSE,"FECHAMENTO-2002 ";"Defer_Setembro",#N/A,FALSE,"DIFERIDO";"Pis_Setembro",#N/A,FALSE,"PIS COFINS";"Iss_Setembro",#N/A,FALSE,"ISS"}</definedName>
    <definedName name="deee" localSheetId="15" hidden="1">{"Fecha_Setembro",#N/A,FALSE,"FECHAMENTO-2002 ";"Defer_Setembro",#N/A,FALSE,"DIFERIDO";"Pis_Setembro",#N/A,FALSE,"PIS COFINS";"Iss_Setembro",#N/A,FALSE,"ISS"}</definedName>
    <definedName name="deee" localSheetId="14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I2006" localSheetId="1">#REF!</definedName>
    <definedName name="DEFI2006" localSheetId="7">[1]Indicadores!#REF!</definedName>
    <definedName name="DEFI2006" localSheetId="2">#REF!</definedName>
    <definedName name="DEFI2006">#REF!</definedName>
    <definedName name="DEFI2007" localSheetId="7">[1]Indicadores!#REF!</definedName>
    <definedName name="DEFI2007" localSheetId="2">#REF!</definedName>
    <definedName name="DEFI2007">#REF!</definedName>
    <definedName name="DEFI2008" localSheetId="7">[1]Indicadores!#REF!</definedName>
    <definedName name="DEFI2008" localSheetId="2">#REF!</definedName>
    <definedName name="DEFI2008">#REF!</definedName>
    <definedName name="DEFI2009" localSheetId="7">[1]Indicadores!#REF!</definedName>
    <definedName name="DEFI2009">#REF!</definedName>
    <definedName name="DEFI2010" localSheetId="7">[1]Indicadores!#REF!</definedName>
    <definedName name="DEFI2010">#REF!</definedName>
    <definedName name="DEFI2011" localSheetId="7">[1]Indicadores!#REF!</definedName>
    <definedName name="DEFI2011">#REF!</definedName>
    <definedName name="DEFI2012" localSheetId="7">[1]Indicadores!#REF!</definedName>
    <definedName name="DEFI2012">#REF!</definedName>
    <definedName name="Demanda__r" localSheetId="1">#REF!</definedName>
    <definedName name="Demanda__r" localSheetId="7">#REF!</definedName>
    <definedName name="Demanda__r">#REF!</definedName>
    <definedName name="Demanda_ind_r" localSheetId="7">#REF!</definedName>
    <definedName name="Demanda_ind_r">#REF!</definedName>
    <definedName name="Demanda_ind_r_r" localSheetId="7">#REF!</definedName>
    <definedName name="Demanda_ind_r_r">#REF!</definedName>
    <definedName name="Demanda_por_NP_r" localSheetId="7">#REF!</definedName>
    <definedName name="Demanda_por_NP_r">#REF!</definedName>
    <definedName name="Descri_dos_clientes_r" localSheetId="7">#REF!</definedName>
    <definedName name="Descri_dos_clientes_r">#REF!</definedName>
    <definedName name="Descri_dos_clientes_r_r" localSheetId="7">#REF!</definedName>
    <definedName name="Descri_dos_clientes_r_r">#REF!</definedName>
    <definedName name="DESIN" localSheetId="7">#REF!</definedName>
    <definedName name="DESIN">#REF!</definedName>
    <definedName name="Detalhes01" localSheetId="1">#REF!,#REF!,#REF!,#REF!,#REF!,#REF!,#REF!,#REF!,#REF!,#REF!</definedName>
    <definedName name="Detalhes01" localSheetId="7">#REF!,#REF!,#REF!,#REF!,#REF!,#REF!,#REF!,#REF!,#REF!,#REF!</definedName>
    <definedName name="Detalhes01" localSheetId="2">#REF!,#REF!,#REF!,#REF!,#REF!,#REF!,#REF!,#REF!,#REF!,#REF!</definedName>
    <definedName name="Detalhes01">#REF!,#REF!,#REF!,#REF!,#REF!,#REF!,#REF!,#REF!,#REF!,#REF!</definedName>
    <definedName name="Detalhes02" localSheetId="7">#REF!,#REF!,#REF!,#REF!,#REF!,#REF!,#REF!,#REF!,#REF!,#REF!</definedName>
    <definedName name="Detalhes02" localSheetId="2">#REF!,#REF!,#REF!,#REF!,#REF!,#REF!,#REF!,#REF!,#REF!,#REF!</definedName>
    <definedName name="Detalhes02">#REF!,#REF!,#REF!,#REF!,#REF!,#REF!,#REF!,#REF!,#REF!,#REF!</definedName>
    <definedName name="Detalhes03" localSheetId="7">#REF!,#REF!,#REF!,#REF!,#REF!,#REF!,#REF!,#REF!,#REF!,#REF!</definedName>
    <definedName name="Detalhes03" localSheetId="2">#REF!,#REF!,#REF!,#REF!,#REF!,#REF!,#REF!,#REF!,#REF!,#REF!</definedName>
    <definedName name="Detalhes03">#REF!,#REF!,#REF!,#REF!,#REF!,#REF!,#REF!,#REF!,#REF!,#REF!</definedName>
    <definedName name="Detalhes04" localSheetId="1">#REF!,#REF!,#REF!,#REF!,#REF!</definedName>
    <definedName name="Detalhes04" localSheetId="7">#REF!,#REF!,#REF!,#REF!,#REF!</definedName>
    <definedName name="Detalhes04" localSheetId="2">#REF!,#REF!,#REF!,#REF!,#REF!</definedName>
    <definedName name="Detalhes04">#REF!,#REF!,#REF!,#REF!,#REF!</definedName>
    <definedName name="DETALLE" localSheetId="1">#REF!</definedName>
    <definedName name="DETALLE" localSheetId="7">#REF!</definedName>
    <definedName name="DETALLE" localSheetId="2">#REF!</definedName>
    <definedName name="DETALLE">#REF!</definedName>
    <definedName name="DETH" localSheetId="5" hidden="1">{#N/A,#N/A,FALSE,"Dutos";#N/A,#N/A,FALSE,"Terminais"}</definedName>
    <definedName name="DETH" localSheetId="11" hidden="1">{#N/A,#N/A,FALSE,"Dutos";#N/A,#N/A,FALSE,"Terminais"}</definedName>
    <definedName name="DETH" localSheetId="4" hidden="1">{#N/A,#N/A,FALSE,"Dutos";#N/A,#N/A,FALSE,"Terminais"}</definedName>
    <definedName name="DETH" localSheetId="2" hidden="1">{#N/A,#N/A,FALSE,"Dutos";#N/A,#N/A,FALSE,"Terminais"}</definedName>
    <definedName name="DETH" localSheetId="13" hidden="1">{#N/A,#N/A,FALSE,"Dutos";#N/A,#N/A,FALSE,"Terminais"}</definedName>
    <definedName name="DETH" localSheetId="12" hidden="1">{#N/A,#N/A,FALSE,"Dutos";#N/A,#N/A,FALSE,"Terminais"}</definedName>
    <definedName name="DETH" localSheetId="15" hidden="1">{#N/A,#N/A,FALSE,"Dutos";#N/A,#N/A,FALSE,"Terminais"}</definedName>
    <definedName name="DETH" localSheetId="14" hidden="1">{#N/A,#N/A,FALSE,"Dutos";#N/A,#N/A,FALSE,"Terminais"}</definedName>
    <definedName name="DETH" hidden="1">{#N/A,#N/A,FALSE,"Dutos";#N/A,#N/A,FALSE,"Terminais"}</definedName>
    <definedName name="DEUDA_FINANCIER" localSheetId="7">#REF!</definedName>
    <definedName name="DEUDA_FINANCIER">#REF!</definedName>
    <definedName name="DEUDA_NO_FINANC" localSheetId="7">#REF!</definedName>
    <definedName name="DEUDA_NO_FINANC">#REF!</definedName>
    <definedName name="DEUDORES" localSheetId="7">#REF!</definedName>
    <definedName name="DEUDORES">#REF!</definedName>
    <definedName name="DF_GRID_1" localSheetId="17">Mensual #REF! #REF!</definedName>
    <definedName name="DF_GRID_1" localSheetId="5">Mensual #REF! #REF!</definedName>
    <definedName name="DF_GRID_1" localSheetId="3">Mensual #REF! #REF!</definedName>
    <definedName name="DF_GRID_1" localSheetId="11">Mensual #REF! #REF!</definedName>
    <definedName name="DF_GRID_1" localSheetId="4">Mensual #REF! #REF!</definedName>
    <definedName name="DF_GRID_1" localSheetId="1">Mensual #REF! #REF!</definedName>
    <definedName name="DF_GRID_1" localSheetId="2">Mensual #REF! #REF!</definedName>
    <definedName name="DF_GRID_1" localSheetId="13">Mensual #REF! #REF!</definedName>
    <definedName name="DF_GRID_1" localSheetId="12">Mensual #REF! #REF!</definedName>
    <definedName name="DF_GRID_1" localSheetId="15">Mensual #REF! #REF!</definedName>
    <definedName name="DF_GRID_1" localSheetId="14">Mensual #REF! #REF!</definedName>
    <definedName name="DF_GRID_1">Mensual #REF! #REF!</definedName>
    <definedName name="DF_GRID_2" localSheetId="17">Mensual #REF! #REF!</definedName>
    <definedName name="DF_GRID_2" localSheetId="5">Mensual #REF! #REF!</definedName>
    <definedName name="DF_GRID_2" localSheetId="3">Mensual #REF! #REF!</definedName>
    <definedName name="DF_GRID_2" localSheetId="11">Mensual #REF! #REF!</definedName>
    <definedName name="DF_GRID_2" localSheetId="4">Mensual #REF! #REF!</definedName>
    <definedName name="DF_GRID_2" localSheetId="1">Acumulado [0]!Moneda #REF!</definedName>
    <definedName name="DF_GRID_2" localSheetId="2">Mensual #REF! #REF!</definedName>
    <definedName name="DF_GRID_2" localSheetId="13">Mensual #REF! #REF!</definedName>
    <definedName name="DF_GRID_2" localSheetId="12">Mensual #REF! #REF!</definedName>
    <definedName name="DF_GRID_2" localSheetId="15">Mensual #REF! #REF!</definedName>
    <definedName name="DF_GRID_2" localSheetId="14">Mensual #REF! #REF!</definedName>
    <definedName name="DF_GRID_2">Mensual #REF! #REF!</definedName>
    <definedName name="DF_GRID_3" localSheetId="17">Acumulado [0]!Moneda #REF!</definedName>
    <definedName name="DF_GRID_3" localSheetId="5">Acumulado [0]!Moneda #REF!</definedName>
    <definedName name="DF_GRID_3" localSheetId="3">Acumulado [0]!Moneda #REF!</definedName>
    <definedName name="DF_GRID_3" localSheetId="11">Acumulado [0]!Moneda #REF!</definedName>
    <definedName name="DF_GRID_3" localSheetId="4">Acumulado [0]!Moneda #REF!</definedName>
    <definedName name="DF_GRID_3" localSheetId="1">Acumulado [0]!Moneda #REF!</definedName>
    <definedName name="DF_GRID_3" localSheetId="2">Acumulado [0]!Moneda #REF!</definedName>
    <definedName name="DF_GRID_3" localSheetId="13">Acumulado [0]!Moneda #REF!</definedName>
    <definedName name="DF_GRID_3" localSheetId="12">Acumulado [0]!Moneda #REF!</definedName>
    <definedName name="DF_GRID_3" localSheetId="15">Acumulado [0]!Moneda #REF!</definedName>
    <definedName name="DF_GRID_3" localSheetId="14">Acumulado [0]!Moneda #REF!</definedName>
    <definedName name="DF_GRID_3">Acumulado [0]!Moneda #REF!</definedName>
    <definedName name="DF_GRID_4" localSheetId="17">Acumulado [0]!Moneda #REF!</definedName>
    <definedName name="DF_GRID_4" localSheetId="5">Acumulado [0]!Moneda #REF!</definedName>
    <definedName name="DF_GRID_4" localSheetId="3">Acumulado [0]!Moneda #REF!</definedName>
    <definedName name="DF_GRID_4" localSheetId="11">Acumulado [0]!Moneda #REF!</definedName>
    <definedName name="DF_GRID_4" localSheetId="4">Acumulado [0]!Moneda #REF!</definedName>
    <definedName name="DF_GRID_4" localSheetId="1">Acumulado [0]!Moneda #REF!</definedName>
    <definedName name="DF_GRID_4" localSheetId="2">Acumulado [0]!Moneda #REF!</definedName>
    <definedName name="DF_GRID_4" localSheetId="13">Acumulado [0]!Moneda #REF!</definedName>
    <definedName name="DF_GRID_4" localSheetId="12">Acumulado [0]!Moneda #REF!</definedName>
    <definedName name="DF_GRID_4" localSheetId="15">Acumulado [0]!Moneda #REF!</definedName>
    <definedName name="DF_GRID_4" localSheetId="14">Acumulado [0]!Moneda #REF!</definedName>
    <definedName name="DF_GRID_4">Acumulado [0]!Moneda #REF!</definedName>
    <definedName name="DF_Sheet4_GRID_1" localSheetId="17">CEG #REF!</definedName>
    <definedName name="DF_Sheet4_GRID_1" localSheetId="5">CEG #REF!</definedName>
    <definedName name="DF_Sheet4_GRID_1" localSheetId="3">CEG #REF!</definedName>
    <definedName name="DF_Sheet4_GRID_1" localSheetId="11">CEG #REF!</definedName>
    <definedName name="DF_Sheet4_GRID_1" localSheetId="4">CEG #REF!</definedName>
    <definedName name="DF_Sheet4_GRID_1" localSheetId="1">CEG #REF!</definedName>
    <definedName name="DF_Sheet4_GRID_1" localSheetId="2">CEG #REF!</definedName>
    <definedName name="DF_Sheet4_GRID_1" localSheetId="13">CEG #REF!</definedName>
    <definedName name="DF_Sheet4_GRID_1" localSheetId="12">CEG #REF!</definedName>
    <definedName name="DF_Sheet4_GRID_1" localSheetId="15">CEG #REF!</definedName>
    <definedName name="DF_Sheet4_GRID_1" localSheetId="14">CEG #REF!</definedName>
    <definedName name="DF_Sheet4_GRID_1">CEG #REF!</definedName>
    <definedName name="DF_Sheet5_Sheet4_GRID_1" localSheetId="5">[0]!gn #REF!</definedName>
    <definedName name="DF_Sheet5_Sheet4_GRID_1" localSheetId="11">[0]!gn #REF!</definedName>
    <definedName name="DF_Sheet5_Sheet4_GRID_1" localSheetId="4">Reposição!gn #REF!</definedName>
    <definedName name="DF_Sheet5_Sheet4_GRID_1" localSheetId="1">[0]!gn #REF!</definedName>
    <definedName name="DF_Sheet5_Sheet4_GRID_1" localSheetId="2">[0]!gn #REF!</definedName>
    <definedName name="DF_Sheet5_Sheet4_GRID_1" localSheetId="13">[0]!gn #REF!</definedName>
    <definedName name="DF_Sheet5_Sheet4_GRID_1" localSheetId="12">[0]!gn #REF!</definedName>
    <definedName name="DF_Sheet5_Sheet4_GRID_1" localSheetId="15">[0]!gn #REF!</definedName>
    <definedName name="DF_Sheet5_Sheet4_GRID_1" localSheetId="14">[0]!gn #REF!</definedName>
    <definedName name="DF_Sheet5_Sheet4_GRID_1">[0]!gn #REF!</definedName>
    <definedName name="DFDF" localSheetId="5" hidden="1">{#N/A,#N/A,FALSE,"Dutos";#N/A,#N/A,FALSE,"Terminais"}</definedName>
    <definedName name="DFDF" localSheetId="11" hidden="1">{#N/A,#N/A,FALSE,"Dutos";#N/A,#N/A,FALSE,"Terminais"}</definedName>
    <definedName name="DFDF" localSheetId="4" hidden="1">{#N/A,#N/A,FALSE,"Dutos";#N/A,#N/A,FALSE,"Terminais"}</definedName>
    <definedName name="DFDF" localSheetId="2" hidden="1">{#N/A,#N/A,FALSE,"Dutos";#N/A,#N/A,FALSE,"Terminais"}</definedName>
    <definedName name="DFDF" localSheetId="13" hidden="1">{#N/A,#N/A,FALSE,"Dutos";#N/A,#N/A,FALSE,"Terminais"}</definedName>
    <definedName name="DFDF" localSheetId="12" hidden="1">{#N/A,#N/A,FALSE,"Dutos";#N/A,#N/A,FALSE,"Terminais"}</definedName>
    <definedName name="DFDF" localSheetId="15" hidden="1">{#N/A,#N/A,FALSE,"Dutos";#N/A,#N/A,FALSE,"Terminais"}</definedName>
    <definedName name="DFDF" localSheetId="14" hidden="1">{#N/A,#N/A,FALSE,"Dutos";#N/A,#N/A,FALSE,"Terminais"}</definedName>
    <definedName name="DFDF" hidden="1">{#N/A,#N/A,FALSE,"Dutos";#N/A,#N/A,FALSE,"Terminais"}</definedName>
    <definedName name="dfgdfg" localSheetId="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7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gdfg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dfh" localSheetId="5" hidden="1">{#N/A,#N/A,FALSE,"Dutos";#N/A,#N/A,FALSE,"Terminais"}</definedName>
    <definedName name="dfh" localSheetId="11" hidden="1">{#N/A,#N/A,FALSE,"Dutos";#N/A,#N/A,FALSE,"Terminais"}</definedName>
    <definedName name="dfh" localSheetId="4" hidden="1">{#N/A,#N/A,FALSE,"Dutos";#N/A,#N/A,FALSE,"Terminais"}</definedName>
    <definedName name="dfh" localSheetId="2" hidden="1">{#N/A,#N/A,FALSE,"Dutos";#N/A,#N/A,FALSE,"Terminais"}</definedName>
    <definedName name="dfh" localSheetId="13" hidden="1">{#N/A,#N/A,FALSE,"Dutos";#N/A,#N/A,FALSE,"Terminais"}</definedName>
    <definedName name="dfh" localSheetId="12" hidden="1">{#N/A,#N/A,FALSE,"Dutos";#N/A,#N/A,FALSE,"Terminais"}</definedName>
    <definedName name="dfh" localSheetId="15" hidden="1">{#N/A,#N/A,FALSE,"Dutos";#N/A,#N/A,FALSE,"Terminais"}</definedName>
    <definedName name="dfh" localSheetId="14" hidden="1">{#N/A,#N/A,FALSE,"Dutos";#N/A,#N/A,FALSE,"Terminais"}</definedName>
    <definedName name="dfh" hidden="1">{#N/A,#N/A,FALSE,"Dutos";#N/A,#N/A,FALSE,"Terminais"}</definedName>
    <definedName name="DFSDF" localSheetId="5" hidden="1">{#N/A,#N/A,FALSE,"Dutos";#N/A,#N/A,FALSE,"Terminais"}</definedName>
    <definedName name="DFSDF" localSheetId="11" hidden="1">{#N/A,#N/A,FALSE,"Dutos";#N/A,#N/A,FALSE,"Terminais"}</definedName>
    <definedName name="DFSDF" localSheetId="4" hidden="1">{#N/A,#N/A,FALSE,"Dutos";#N/A,#N/A,FALSE,"Terminais"}</definedName>
    <definedName name="DFSDF" localSheetId="2" hidden="1">{#N/A,#N/A,FALSE,"Dutos";#N/A,#N/A,FALSE,"Terminais"}</definedName>
    <definedName name="DFSDF" localSheetId="13" hidden="1">{#N/A,#N/A,FALSE,"Dutos";#N/A,#N/A,FALSE,"Terminais"}</definedName>
    <definedName name="DFSDF" localSheetId="12" hidden="1">{#N/A,#N/A,FALSE,"Dutos";#N/A,#N/A,FALSE,"Terminais"}</definedName>
    <definedName name="DFSDF" localSheetId="15" hidden="1">{#N/A,#N/A,FALSE,"Dutos";#N/A,#N/A,FALSE,"Terminais"}</definedName>
    <definedName name="DFSDF" localSheetId="14" hidden="1">{#N/A,#N/A,FALSE,"Dutos";#N/A,#N/A,FALSE,"Terminais"}</definedName>
    <definedName name="DFSDF" hidden="1">{#N/A,#N/A,FALSE,"Dutos";#N/A,#N/A,FALSE,"Terminais"}</definedName>
    <definedName name="dfss" localSheetId="5" hidden="1">{"Print1",#N/A,TRUE,"P&amp;L";"Print2",#N/A,TRUE,"CashFL"}</definedName>
    <definedName name="dfss" localSheetId="11" hidden="1">{"Print1",#N/A,TRUE,"P&amp;L";"Print2",#N/A,TRUE,"CashFL"}</definedName>
    <definedName name="dfss" localSheetId="4" hidden="1">{"Print1",#N/A,TRUE,"P&amp;L";"Print2",#N/A,TRUE,"CashFL"}</definedName>
    <definedName name="dfss" localSheetId="2" hidden="1">{"Print1",#N/A,TRUE,"P&amp;L";"Print2",#N/A,TRUE,"CashFL"}</definedName>
    <definedName name="dfss" localSheetId="13" hidden="1">{"Print1",#N/A,TRUE,"P&amp;L";"Print2",#N/A,TRUE,"CashFL"}</definedName>
    <definedName name="dfss" localSheetId="12" hidden="1">{"Print1",#N/A,TRUE,"P&amp;L";"Print2",#N/A,TRUE,"CashFL"}</definedName>
    <definedName name="dfss" localSheetId="15" hidden="1">{"Print1",#N/A,TRUE,"P&amp;L";"Print2",#N/A,TRUE,"CashFL"}</definedName>
    <definedName name="dfss" localSheetId="14" hidden="1">{"Print1",#N/A,TRUE,"P&amp;L";"Print2",#N/A,TRUE,"CashFL"}</definedName>
    <definedName name="dfss" hidden="1">{"Print1",#N/A,TRUE,"P&amp;L";"Print2",#N/A,TRUE,"CashFL"}</definedName>
    <definedName name="DG" localSheetId="5" hidden="1">{#N/A,#N/A,FALSE,"Dutos";#N/A,#N/A,FALSE,"Terminais"}</definedName>
    <definedName name="DG" localSheetId="11" hidden="1">{#N/A,#N/A,FALSE,"Dutos";#N/A,#N/A,FALSE,"Terminais"}</definedName>
    <definedName name="DG" localSheetId="4" hidden="1">{#N/A,#N/A,FALSE,"Dutos";#N/A,#N/A,FALSE,"Terminais"}</definedName>
    <definedName name="DG" localSheetId="2" hidden="1">{#N/A,#N/A,FALSE,"Dutos";#N/A,#N/A,FALSE,"Terminais"}</definedName>
    <definedName name="DG" localSheetId="13" hidden="1">{#N/A,#N/A,FALSE,"Dutos";#N/A,#N/A,FALSE,"Terminais"}</definedName>
    <definedName name="DG" localSheetId="12" hidden="1">{#N/A,#N/A,FALSE,"Dutos";#N/A,#N/A,FALSE,"Terminais"}</definedName>
    <definedName name="DG" localSheetId="15" hidden="1">{#N/A,#N/A,FALSE,"Dutos";#N/A,#N/A,FALSE,"Terminais"}</definedName>
    <definedName name="DG" localSheetId="14" hidden="1">{#N/A,#N/A,FALSE,"Dutos";#N/A,#N/A,FALSE,"Terminais"}</definedName>
    <definedName name="DG" hidden="1">{#N/A,#N/A,FALSE,"Dutos";#N/A,#N/A,FALSE,"Terminais"}</definedName>
    <definedName name="di_I_medio">#REF!</definedName>
    <definedName name="diaano" localSheetId="4">#REF!</definedName>
    <definedName name="diaano" localSheetId="7">[24]Fatores!$C$12</definedName>
    <definedName name="diaano">#REF!</definedName>
    <definedName name="diames" localSheetId="4">#REF!</definedName>
    <definedName name="diames" localSheetId="7">[24]Fatores!$C$13</definedName>
    <definedName name="diames">#REF!</definedName>
    <definedName name="diario2" localSheetId="5" hidden="1">{"VERGALHÃO",#N/A,FALSE,"DIÁRIA";"CATODO",#N/A,FALSE,"DIÁRIA"}</definedName>
    <definedName name="diario2" localSheetId="11" hidden="1">{"VERGALHÃO",#N/A,FALSE,"DIÁRIA";"CATODO",#N/A,FALSE,"DIÁRIA"}</definedName>
    <definedName name="diario2" localSheetId="4" hidden="1">{"VERGALHÃO",#N/A,FALSE,"DIÁRIA";"CATODO",#N/A,FALSE,"DIÁRIA"}</definedName>
    <definedName name="diario2" localSheetId="2" hidden="1">{"VERGALHÃO",#N/A,FALSE,"DIÁRIA";"CATODO",#N/A,FALSE,"DIÁRIA"}</definedName>
    <definedName name="diario2" localSheetId="13" hidden="1">{"VERGALHÃO",#N/A,FALSE,"DIÁRIA";"CATODO",#N/A,FALSE,"DIÁRIA"}</definedName>
    <definedName name="diario2" localSheetId="12" hidden="1">{"VERGALHÃO",#N/A,FALSE,"DIÁRIA";"CATODO",#N/A,FALSE,"DIÁRIA"}</definedName>
    <definedName name="diario2" localSheetId="15" hidden="1">{"VERGALHÃO",#N/A,FALSE,"DIÁRIA";"CATODO",#N/A,FALSE,"DIÁRIA"}</definedName>
    <definedName name="diario2" localSheetId="14" hidden="1">{"VERGALHÃO",#N/A,FALSE,"DIÁRIA";"CATODO",#N/A,FALSE,"DIÁRIA"}</definedName>
    <definedName name="diario2" hidden="1">{"VERGALHÃO",#N/A,FALSE,"DIÁRIA";"CATODO",#N/A,FALSE,"DIÁRIA"}</definedName>
    <definedName name="Diciembre">#REF!</definedName>
    <definedName name="DIF._CONSOLID." localSheetId="1">#REF!</definedName>
    <definedName name="DIF._CONSOLID." localSheetId="7">#REF!</definedName>
    <definedName name="DIF._CONSOLID." localSheetId="2">#REF!</definedName>
    <definedName name="DIF._CONSOLID.">#REF!</definedName>
    <definedName name="DIFCAMBIO" localSheetId="7">#REF!</definedName>
    <definedName name="DIFCAMBIO" localSheetId="2">#REF!</definedName>
    <definedName name="DIFCAMBIO">#REF!</definedName>
    <definedName name="DIJ" hidden="1">#REF!</definedName>
    <definedName name="DIPA2006" localSheetId="7">[1]Indicadores!#REF!</definedName>
    <definedName name="DIPA2006">#REF!</definedName>
    <definedName name="DIPA2007" localSheetId="7">[1]Indicadores!#REF!</definedName>
    <definedName name="DIPA2007">#REF!</definedName>
    <definedName name="DIPA2008" localSheetId="7">[1]Indicadores!#REF!</definedName>
    <definedName name="DIPA2008">#REF!</definedName>
    <definedName name="DIPA2009" localSheetId="7">[1]Indicadores!#REF!</definedName>
    <definedName name="DIPA2009">#REF!</definedName>
    <definedName name="DIPA2010" localSheetId="7">[1]Indicadores!#REF!</definedName>
    <definedName name="DIPA2010">#REF!</definedName>
    <definedName name="DIPA2011" localSheetId="7">[1]Indicadores!#REF!</definedName>
    <definedName name="DIPA2011">#REF!</definedName>
    <definedName name="DIPA2012" localSheetId="7">[1]Indicadores!#REF!</definedName>
    <definedName name="DIPA2012">#REF!</definedName>
    <definedName name="directorioUSDEUR" localSheetId="4">#REF!</definedName>
    <definedName name="directorioUSDEUR" localSheetId="7">[25]Inputs!#REF!</definedName>
    <definedName name="directorioUSDEUR">#REF!</definedName>
    <definedName name="diretoria" localSheetId="4">#REF!</definedName>
    <definedName name="diretoria">#REF!</definedName>
    <definedName name="diretoria_cliente" localSheetId="4">#REF!</definedName>
    <definedName name="diretoria_cliente">#REF!</definedName>
    <definedName name="Dist_fact_p_r" localSheetId="1">#REF!</definedName>
    <definedName name="Dist_fact_p_r" localSheetId="7">#REF!</definedName>
    <definedName name="Dist_fact_p_r">#REF!</definedName>
    <definedName name="Dist_fact_r_r" localSheetId="7">#REF!</definedName>
    <definedName name="Dist_fact_r_r">#REF!</definedName>
    <definedName name="Dist_vol_p_r" localSheetId="7">#REF!</definedName>
    <definedName name="Dist_vol_p_r">#REF!</definedName>
    <definedName name="Dist_vol_r_r" localSheetId="7">#REF!</definedName>
    <definedName name="Dist_vol_r_r">#REF!</definedName>
    <definedName name="Distribution_opex_r" localSheetId="7">#REF!</definedName>
    <definedName name="Distribution_opex_r">#REF!</definedName>
    <definedName name="div">#REF!</definedName>
    <definedName name="DME_Dirty" hidden="1">"False"</definedName>
    <definedName name="dnhnff" localSheetId="4" hidden="1">#REF!</definedName>
    <definedName name="dnhnff" localSheetId="7" hidden="1">[26]Template!$A$8:$A$35</definedName>
    <definedName name="dnhnff" hidden="1">#REF!</definedName>
    <definedName name="DOS" localSheetId="1">#REF!</definedName>
    <definedName name="DOS" localSheetId="7">#REF!</definedName>
    <definedName name="DOS" localSheetId="2">#REF!</definedName>
    <definedName name="DOS">#REF!</definedName>
    <definedName name="Dre_alloc_cost_mat_r" localSheetId="7">#REF!</definedName>
    <definedName name="Dre_alloc_cost_mat_r" localSheetId="2">#REF!</definedName>
    <definedName name="Dre_alloc_cost_mat_r">#REF!</definedName>
    <definedName name="Dre_arf_data_r" localSheetId="7">#REF!</definedName>
    <definedName name="Dre_arf_data_r">#REF!</definedName>
    <definedName name="Dre_c_so_to_b_unit_r" localSheetId="7">#REF!</definedName>
    <definedName name="Dre_c_so_to_b_unit_r">#REF!</definedName>
    <definedName name="Dre_con_n_cus_data_r" localSheetId="7">#REF!</definedName>
    <definedName name="Dre_con_n_cus_data_r">#REF!</definedName>
    <definedName name="Dre_lev_pres_split_r" localSheetId="7">#REF!</definedName>
    <definedName name="Dre_lev_pres_split_r">#REF!</definedName>
    <definedName name="Dre_matrix_asignat_r" localSheetId="7">#REF!</definedName>
    <definedName name="Dre_matrix_asignat_r">#REF!</definedName>
    <definedName name="Dre_opex_ajustment_r" localSheetId="7">#REF!</definedName>
    <definedName name="Dre_opex_ajustment_r">#REF!</definedName>
    <definedName name="Dre_parameters_r" localSheetId="7">#REF!</definedName>
    <definedName name="Dre_parameters_r">#REF!</definedName>
    <definedName name="Dre_tcf_r" localSheetId="7">#REF!</definedName>
    <definedName name="Dre_tcf_r">#REF!</definedName>
    <definedName name="drh" localSheetId="5" hidden="1">{#N/A,#N/A,FALSE,"Dutos";#N/A,#N/A,FALSE,"Terminais"}</definedName>
    <definedName name="drh" localSheetId="11" hidden="1">{#N/A,#N/A,FALSE,"Dutos";#N/A,#N/A,FALSE,"Terminais"}</definedName>
    <definedName name="drh" localSheetId="4" hidden="1">{#N/A,#N/A,FALSE,"Dutos";#N/A,#N/A,FALSE,"Terminais"}</definedName>
    <definedName name="drh" localSheetId="2" hidden="1">{#N/A,#N/A,FALSE,"Dutos";#N/A,#N/A,FALSE,"Terminais"}</definedName>
    <definedName name="drh" localSheetId="13" hidden="1">{#N/A,#N/A,FALSE,"Dutos";#N/A,#N/A,FALSE,"Terminais"}</definedName>
    <definedName name="drh" localSheetId="12" hidden="1">{#N/A,#N/A,FALSE,"Dutos";#N/A,#N/A,FALSE,"Terminais"}</definedName>
    <definedName name="drh" localSheetId="15" hidden="1">{#N/A,#N/A,FALSE,"Dutos";#N/A,#N/A,FALSE,"Terminais"}</definedName>
    <definedName name="drh" localSheetId="14" hidden="1">{#N/A,#N/A,FALSE,"Dutos";#N/A,#N/A,FALSE,"Terminais"}</definedName>
    <definedName name="drh" hidden="1">{#N/A,#N/A,FALSE,"Dutos";#N/A,#N/A,FALSE,"Terminais"}</definedName>
    <definedName name="dryh" localSheetId="5" hidden="1">{#N/A,#N/A,FALSE,"Dutos";#N/A,#N/A,FALSE,"Terminais"}</definedName>
    <definedName name="dryh" localSheetId="11" hidden="1">{#N/A,#N/A,FALSE,"Dutos";#N/A,#N/A,FALSE,"Terminais"}</definedName>
    <definedName name="dryh" localSheetId="4" hidden="1">{#N/A,#N/A,FALSE,"Dutos";#N/A,#N/A,FALSE,"Terminais"}</definedName>
    <definedName name="dryh" localSheetId="2" hidden="1">{#N/A,#N/A,FALSE,"Dutos";#N/A,#N/A,FALSE,"Terminais"}</definedName>
    <definedName name="dryh" localSheetId="13" hidden="1">{#N/A,#N/A,FALSE,"Dutos";#N/A,#N/A,FALSE,"Terminais"}</definedName>
    <definedName name="dryh" localSheetId="12" hidden="1">{#N/A,#N/A,FALSE,"Dutos";#N/A,#N/A,FALSE,"Terminais"}</definedName>
    <definedName name="dryh" localSheetId="15" hidden="1">{#N/A,#N/A,FALSE,"Dutos";#N/A,#N/A,FALSE,"Terminais"}</definedName>
    <definedName name="dryh" localSheetId="14" hidden="1">{#N/A,#N/A,FALSE,"Dutos";#N/A,#N/A,FALSE,"Terminais"}</definedName>
    <definedName name="dryh" hidden="1">{#N/A,#N/A,FALSE,"Dutos";#N/A,#N/A,FALSE,"Terminais"}</definedName>
    <definedName name="ds" localSheetId="5" hidden="1">{"'input-data'!$B$5:$R$22"}</definedName>
    <definedName name="ds" localSheetId="11" hidden="1">{"'input-data'!$B$5:$R$22"}</definedName>
    <definedName name="ds" localSheetId="4" hidden="1">{"'input-data'!$B$5:$R$22"}</definedName>
    <definedName name="ds" localSheetId="1" hidden="1">{"'input-data'!$B$5:$R$22"}</definedName>
    <definedName name="ds" localSheetId="7" hidden="1">{"'input-data'!$B$5:$R$22"}</definedName>
    <definedName name="ds" localSheetId="2" hidden="1">{"'input-data'!$B$5:$R$22"}</definedName>
    <definedName name="ds" localSheetId="13" hidden="1">{"'input-data'!$B$5:$R$22"}</definedName>
    <definedName name="ds" localSheetId="12" hidden="1">{"'input-data'!$B$5:$R$22"}</definedName>
    <definedName name="ds" localSheetId="15" hidden="1">{"'input-data'!$B$5:$R$22"}</definedName>
    <definedName name="ds" localSheetId="14" hidden="1">{"'input-data'!$B$5:$R$22"}</definedName>
    <definedName name="ds" hidden="1">{"'input-data'!$B$5:$R$22"}</definedName>
    <definedName name="dsd" hidden="1">"CAVD7SCWJ2AXAA0RJGKFLUFZV"</definedName>
    <definedName name="DSRE" localSheetId="7" hidden="1">[5]Template!$F$8:$F$35</definedName>
    <definedName name="DSRE" hidden="1">#REF!</definedName>
    <definedName name="e" localSheetId="5" hidden="1">{"'input-data'!$B$5:$R$22"}</definedName>
    <definedName name="e" localSheetId="11" hidden="1">{"'input-data'!$B$5:$R$22"}</definedName>
    <definedName name="e" localSheetId="4" hidden="1">{"'input-data'!$B$5:$R$22"}</definedName>
    <definedName name="e" localSheetId="1" hidden="1">{"'input-data'!$B$5:$R$22"}</definedName>
    <definedName name="e" localSheetId="7" hidden="1">{"'input-data'!$B$5:$R$22"}</definedName>
    <definedName name="e" localSheetId="2" hidden="1">{"'input-data'!$B$5:$R$22"}</definedName>
    <definedName name="e" localSheetId="13" hidden="1">{"'input-data'!$B$5:$R$22"}</definedName>
    <definedName name="e" localSheetId="12" hidden="1">{"'input-data'!$B$5:$R$22"}</definedName>
    <definedName name="e" localSheetId="15" hidden="1">{"'input-data'!$B$5:$R$22"}</definedName>
    <definedName name="e" localSheetId="14" hidden="1">{"'input-data'!$B$5:$R$22"}</definedName>
    <definedName name="e" hidden="1">{"'input-data'!$B$5:$R$22"}</definedName>
    <definedName name="eaga" hidden="1">#REF!</definedName>
    <definedName name="eagaga" hidden="1">#REF!</definedName>
    <definedName name="EBITDA_x_negocios_mensual" localSheetId="7" hidden="1">[7]SINTESIS!$N$7:$N$20</definedName>
    <definedName name="EBITDA_x_negocios_mensual" hidden="1">#REF!</definedName>
    <definedName name="ebitdastep1">#REF!</definedName>
    <definedName name="ebitdastep2">#REF!</definedName>
    <definedName name="ebitdastep3">#REF!</definedName>
    <definedName name="ecapsp">#REF!</definedName>
    <definedName name="ECOFIN" localSheetId="1">#REF!</definedName>
    <definedName name="ECOFIN" localSheetId="7">#REF!</definedName>
    <definedName name="ECOFIN">#REF!</definedName>
    <definedName name="Edi" localSheetId="5" hidden="1">{#N/A,#N/A,TRUE,"transp.func._CAC";#N/A,#N/A,TRUE,"transp.func._UE";#N/A,#N/A,TRUE,"fixos-braçais-CAC";#N/A,#N/A,TRUE,"fixos-braçais-UE";#N/A,#N/A,TRUE,"Cesta_Básica_CAC";#N/A,#N/A,TRUE,"vale-refeição"}</definedName>
    <definedName name="Edi" localSheetId="11" hidden="1">{#N/A,#N/A,TRUE,"transp.func._CAC";#N/A,#N/A,TRUE,"transp.func._UE";#N/A,#N/A,TRUE,"fixos-braçais-CAC";#N/A,#N/A,TRUE,"fixos-braçais-UE";#N/A,#N/A,TRUE,"Cesta_Básica_CAC";#N/A,#N/A,TRUE,"vale-refeição"}</definedName>
    <definedName name="Edi" localSheetId="4" hidden="1">{#N/A,#N/A,TRUE,"transp.func._CAC";#N/A,#N/A,TRUE,"transp.func._UE";#N/A,#N/A,TRUE,"fixos-braçais-CAC";#N/A,#N/A,TRUE,"fixos-braçais-UE";#N/A,#N/A,TRUE,"Cesta_Básica_CAC";#N/A,#N/A,TRUE,"vale-refeição"}</definedName>
    <definedName name="Edi" localSheetId="2" hidden="1">{#N/A,#N/A,TRUE,"transp.func._CAC";#N/A,#N/A,TRUE,"transp.func._UE";#N/A,#N/A,TRUE,"fixos-braçais-CAC";#N/A,#N/A,TRUE,"fixos-braçais-UE";#N/A,#N/A,TRUE,"Cesta_Básica_CAC";#N/A,#N/A,TRUE,"vale-refeição"}</definedName>
    <definedName name="Edi" localSheetId="13" hidden="1">{#N/A,#N/A,TRUE,"transp.func._CAC";#N/A,#N/A,TRUE,"transp.func._UE";#N/A,#N/A,TRUE,"fixos-braçais-CAC";#N/A,#N/A,TRUE,"fixos-braçais-UE";#N/A,#N/A,TRUE,"Cesta_Básica_CAC";#N/A,#N/A,TRUE,"vale-refeição"}</definedName>
    <definedName name="Edi" localSheetId="12" hidden="1">{#N/A,#N/A,TRUE,"transp.func._CAC";#N/A,#N/A,TRUE,"transp.func._UE";#N/A,#N/A,TRUE,"fixos-braçais-CAC";#N/A,#N/A,TRUE,"fixos-braçais-UE";#N/A,#N/A,TRUE,"Cesta_Básica_CAC";#N/A,#N/A,TRUE,"vale-refeição"}</definedName>
    <definedName name="Edi" localSheetId="15" hidden="1">{#N/A,#N/A,TRUE,"transp.func._CAC";#N/A,#N/A,TRUE,"transp.func._UE";#N/A,#N/A,TRUE,"fixos-braçais-CAC";#N/A,#N/A,TRUE,"fixos-braçais-UE";#N/A,#N/A,TRUE,"Cesta_Básica_CAC";#N/A,#N/A,TRUE,"vale-refeição"}</definedName>
    <definedName name="Edi" localSheetId="14" hidden="1">{#N/A,#N/A,TRUE,"transp.func._CAC";#N/A,#N/A,TRUE,"transp.func._UE";#N/A,#N/A,TRUE,"fixos-braçais-CAC";#N/A,#N/A,TRUE,"fixos-braçais-UE";#N/A,#N/A,TRUE,"Cesta_Básica_CAC";#N/A,#N/A,TRUE,"vale-refeição"}</definedName>
    <definedName name="Edi" hidden="1">{#N/A,#N/A,TRUE,"transp.func._CAC";#N/A,#N/A,TRUE,"transp.func._UE";#N/A,#N/A,TRUE,"fixos-braçais-CAC";#N/A,#N/A,TRUE,"fixos-braçais-UE";#N/A,#N/A,TRUE,"Cesta_Básica_CAC";#N/A,#N/A,TRUE,"vale-refeição"}</definedName>
    <definedName name="EEFF" localSheetId="7">#REF!</definedName>
    <definedName name="EEFF">#REF!</definedName>
    <definedName name="eerte" localSheetId="4" hidden="1">#REF!</definedName>
    <definedName name="eerte" localSheetId="7" hidden="1">[26]Template!$D$8:$D$35</definedName>
    <definedName name="eerte" hidden="1">#REF!</definedName>
    <definedName name="ega" localSheetId="4" hidden="1">#REF!</definedName>
    <definedName name="ega" hidden="1">#REF!</definedName>
    <definedName name="empresa" localSheetId="4">#REF!</definedName>
    <definedName name="empresa">#REF!</definedName>
    <definedName name="Empresa_ano_anterior">#REF!</definedName>
    <definedName name="empresa_escolhida" localSheetId="1">#REF!</definedName>
    <definedName name="empresa_escolhida">#REF!</definedName>
    <definedName name="Enagas_Inflation">#REF!</definedName>
    <definedName name="ENAJ_ASOC2006" localSheetId="7">[1]Indicadores!$X$261,[1]Indicadores!$X$266</definedName>
    <definedName name="ENAJ_ASOC2006" localSheetId="2">#REF!,#REF!</definedName>
    <definedName name="ENAJ_ASOC2006">#REF!,#REF!</definedName>
    <definedName name="ENAJ_ASOC2007" localSheetId="7">[1]Indicadores!$Y$266,[1]Indicadores!$Y$261</definedName>
    <definedName name="ENAJ_ASOC2007">#REF!,#REF!</definedName>
    <definedName name="ENAJ_ASOC2008" localSheetId="7">[1]Indicadores!$Z$261,[1]Indicadores!$Z$266</definedName>
    <definedName name="ENAJ_ASOC2008">#REF!,#REF!</definedName>
    <definedName name="ENAJ_ASOC2009" localSheetId="7">[1]Indicadores!$AA$261,[1]Indicadores!$AA$266</definedName>
    <definedName name="ENAJ_ASOC2009">#REF!,#REF!</definedName>
    <definedName name="ENAJ_ASOC2010" localSheetId="7">[1]Indicadores!$AB$266,[1]Indicadores!$AB$261</definedName>
    <definedName name="ENAJ_ASOC2010">#REF!,#REF!</definedName>
    <definedName name="ENAJ_ASOC2011" localSheetId="7">[1]Indicadores!$AC$261,[1]Indicadores!$AC$266</definedName>
    <definedName name="ENAJ_ASOC2011">#REF!,#REF!</definedName>
    <definedName name="ENAJ_ASOC2012" localSheetId="7">[1]Indicadores!$AD$266,[1]Indicadores!$AD$261</definedName>
    <definedName name="ENAJ_ASOC2012">#REF!,#REF!</definedName>
    <definedName name="End_Bal" localSheetId="7">#REF!</definedName>
    <definedName name="End_Bal">#REF!</definedName>
    <definedName name="Energial" localSheetId="7">#REF!</definedName>
    <definedName name="Energial">#REF!</definedName>
    <definedName name="Enero">#REF!</definedName>
    <definedName name="ENIGMA" localSheetId="5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1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4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2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3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2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5" hidden="1">{#N/A,#N/A,TRUE,"transp.func._CAC";#N/A,#N/A,TRUE,"transp.func._UE";#N/A,#N/A,TRUE,"fixos-braçais-CAC";#N/A,#N/A,TRUE,"fixos-braçais-UE";#N/A,#N/A,TRUE,"Cesta_Básica_CAC";#N/A,#N/A,TRUE,"vale-refeição"}</definedName>
    <definedName name="ENIGMA" localSheetId="14" hidden="1">{#N/A,#N/A,TRUE,"transp.func._CAC";#N/A,#N/A,TRUE,"transp.func._UE";#N/A,#N/A,TRUE,"fixos-braçais-CAC";#N/A,#N/A,TRUE,"fixos-braçais-UE";#N/A,#N/A,TRUE,"Cesta_Básica_CAC";#N/A,#N/A,TRUE,"vale-refeição"}</definedName>
    <definedName name="ENIGMA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5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1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4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2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3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2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5" hidden="1">{#N/A,#N/A,TRUE,"transp.func._CAC";#N/A,#N/A,TRUE,"transp.func._UE";#N/A,#N/A,TRUE,"fixos-braçais-CAC";#N/A,#N/A,TRUE,"fixos-braçais-UE";#N/A,#N/A,TRUE,"Cesta_Básica_CAC";#N/A,#N/A,TRUE,"vale-refeição"}</definedName>
    <definedName name="ENIGMA2" localSheetId="14" hidden="1">{#N/A,#N/A,TRUE,"transp.func._CAC";#N/A,#N/A,TRUE,"transp.func._UE";#N/A,#N/A,TRUE,"fixos-braçais-CAC";#N/A,#N/A,TRUE,"fixos-braçais-UE";#N/A,#N/A,TRUE,"Cesta_Básica_CAC";#N/A,#N/A,TRUE,"vale-refeição"}</definedName>
    <definedName name="ENIGMA2" hidden="1">{#N/A,#N/A,TRUE,"transp.func._CAC";#N/A,#N/A,TRUE,"transp.func._UE";#N/A,#N/A,TRUE,"fixos-braçais-CAC";#N/A,#N/A,TRUE,"fixos-braçais-UE";#N/A,#N/A,TRUE,"Cesta_Básica_CAC";#N/A,#N/A,TRUE,"vale-refeição"}</definedName>
    <definedName name="ER">#REF!</definedName>
    <definedName name="es" localSheetId="7">#REF!</definedName>
    <definedName name="es">#REF!</definedName>
    <definedName name="ESCA" localSheetId="7">#REF!</definedName>
    <definedName name="ESCA">#REF!</definedName>
    <definedName name="ESPAÑA" localSheetId="7">#REF!</definedName>
    <definedName name="ESPAÑA">#REF!</definedName>
    <definedName name="ev.Calculation" hidden="1">-4135</definedName>
    <definedName name="ev.Initialized" hidden="1">FALSE</definedName>
    <definedName name="EV__LASTREFTIME__" hidden="1">39855.492349537</definedName>
    <definedName name="Evolução" localSheetId="5" hidden="1">{#N/A,#N/A,FALSE,"GP";#N/A,#N/A,FALSE,"Assinantes";#N/A,#N/A,FALSE,"Rede";#N/A,#N/A,FALSE,"Evolução";#N/A,#N/A,FALSE,"Resultado"}</definedName>
    <definedName name="Evolução" localSheetId="11" hidden="1">{#N/A,#N/A,FALSE,"GP";#N/A,#N/A,FALSE,"Assinantes";#N/A,#N/A,FALSE,"Rede";#N/A,#N/A,FALSE,"Evolução";#N/A,#N/A,FALSE,"Resultado"}</definedName>
    <definedName name="Evolução" localSheetId="4" hidden="1">{#N/A,#N/A,FALSE,"GP";#N/A,#N/A,FALSE,"Assinantes";#N/A,#N/A,FALSE,"Rede";#N/A,#N/A,FALSE,"Evolução";#N/A,#N/A,FALSE,"Resultado"}</definedName>
    <definedName name="Evolução" localSheetId="2" hidden="1">{#N/A,#N/A,FALSE,"GP";#N/A,#N/A,FALSE,"Assinantes";#N/A,#N/A,FALSE,"Rede";#N/A,#N/A,FALSE,"Evolução";#N/A,#N/A,FALSE,"Resultado"}</definedName>
    <definedName name="Evolução" localSheetId="13" hidden="1">{#N/A,#N/A,FALSE,"GP";#N/A,#N/A,FALSE,"Assinantes";#N/A,#N/A,FALSE,"Rede";#N/A,#N/A,FALSE,"Evolução";#N/A,#N/A,FALSE,"Resultado"}</definedName>
    <definedName name="Evolução" localSheetId="12" hidden="1">{#N/A,#N/A,FALSE,"GP";#N/A,#N/A,FALSE,"Assinantes";#N/A,#N/A,FALSE,"Rede";#N/A,#N/A,FALSE,"Evolução";#N/A,#N/A,FALSE,"Resultado"}</definedName>
    <definedName name="Evolução" localSheetId="15" hidden="1">{#N/A,#N/A,FALSE,"GP";#N/A,#N/A,FALSE,"Assinantes";#N/A,#N/A,FALSE,"Rede";#N/A,#N/A,FALSE,"Evolução";#N/A,#N/A,FALSE,"Resultado"}</definedName>
    <definedName name="Evolução" localSheetId="14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ch_rates">#REF!</definedName>
    <definedName name="Existing_assets_r" localSheetId="7">#REF!</definedName>
    <definedName name="Existing_assets_r">#REF!</definedName>
    <definedName name="Exship_Inflation">#REF!</definedName>
    <definedName name="EXTRA" localSheetId="7">#REF!</definedName>
    <definedName name="EXTRA">#REF!</definedName>
    <definedName name="Extra_Pay" localSheetId="7">#REF!</definedName>
    <definedName name="Extra_Pay">#REF!</definedName>
    <definedName name="EXTRAORDINARIO" localSheetId="7">#REF!</definedName>
    <definedName name="EXTRAORDINARIO">#REF!</definedName>
    <definedName name="F_c_r" localSheetId="7">#REF!</definedName>
    <definedName name="F_c_r">#REF!</definedName>
    <definedName name="F_ct_r" localSheetId="7">#REF!</definedName>
    <definedName name="F_ct_r">#REF!</definedName>
    <definedName name="FACPRO" localSheetId="1">#REF!</definedName>
    <definedName name="FACPRO" localSheetId="7">#REF!</definedName>
    <definedName name="FACPRO">#REF!</definedName>
    <definedName name="FACTOR" localSheetId="7">#REF!</definedName>
    <definedName name="FACTOR">#REF!</definedName>
    <definedName name="Factor_coinc_total_r" localSheetId="7">#REF!</definedName>
    <definedName name="Factor_coinc_total_r">#REF!</definedName>
    <definedName name="FACTORPRES">"1000"</definedName>
    <definedName name="FACTORPRESPM">"1"</definedName>
    <definedName name="fasd">#N/A</definedName>
    <definedName name="Fc__r" localSheetId="1">#REF!</definedName>
    <definedName name="Fc__r" localSheetId="7">#REF!</definedName>
    <definedName name="Fc__r" localSheetId="2">#REF!</definedName>
    <definedName name="Fc__r">#REF!</definedName>
    <definedName name="Fc_r" localSheetId="7">#REF!</definedName>
    <definedName name="Fc_r" localSheetId="2">#REF!</definedName>
    <definedName name="Fc_r">#REF!</definedName>
    <definedName name="Fct__r" localSheetId="7">#REF!</definedName>
    <definedName name="Fct__r" localSheetId="2">#REF!</definedName>
    <definedName name="Fct__r">#REF!</definedName>
    <definedName name="Fct_r" localSheetId="7">#REF!</definedName>
    <definedName name="Fct_r">#REF!</definedName>
    <definedName name="fd" localSheetId="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7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de" localSheetId="5" hidden="1">{"'input-data'!$B$5:$R$22"}</definedName>
    <definedName name="fde" localSheetId="11" hidden="1">{"'input-data'!$B$5:$R$22"}</definedName>
    <definedName name="fde" localSheetId="4" hidden="1">{"'input-data'!$B$5:$R$22"}</definedName>
    <definedName name="fde" localSheetId="1" hidden="1">{"'input-data'!$B$5:$R$22"}</definedName>
    <definedName name="fde" localSheetId="7" hidden="1">{"'input-data'!$B$5:$R$22"}</definedName>
    <definedName name="fde" localSheetId="2" hidden="1">{"'input-data'!$B$5:$R$22"}</definedName>
    <definedName name="fde" localSheetId="13" hidden="1">{"'input-data'!$B$5:$R$22"}</definedName>
    <definedName name="fde" localSheetId="12" hidden="1">{"'input-data'!$B$5:$R$22"}</definedName>
    <definedName name="fde" localSheetId="15" hidden="1">{"'input-data'!$B$5:$R$22"}</definedName>
    <definedName name="fde" localSheetId="14" hidden="1">{"'input-data'!$B$5:$R$22"}</definedName>
    <definedName name="fde" hidden="1">{"'input-data'!$B$5:$R$22"}</definedName>
    <definedName name="fdf" localSheetId="7" hidden="1">#REF!</definedName>
    <definedName name="fdf" hidden="1">#REF!</definedName>
    <definedName name="fdfdsfsdf" localSheetId="7">#REF!</definedName>
    <definedName name="fdfdsfsdf">#REF!</definedName>
    <definedName name="fdgdsfshgsdfghse" localSheetId="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f." localSheetId="5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4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7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2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3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2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5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localSheetId="14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dgf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Febrero">#REF!</definedName>
    <definedName name="FECHA" localSheetId="1">#REF!</definedName>
    <definedName name="FECHA" localSheetId="7">#REF!</definedName>
    <definedName name="FECHA" localSheetId="2">#REF!</definedName>
    <definedName name="FECHA">#REF!</definedName>
    <definedName name="FECHAS" localSheetId="7">#REF!</definedName>
    <definedName name="FECHAS" localSheetId="2">#REF!</definedName>
    <definedName name="FECHAS">#REF!</definedName>
    <definedName name="FF" localSheetId="5" hidden="1">#REF!</definedName>
    <definedName name="ff" localSheetId="11" hidden="1">{#N/A,#N/A,FALSE,"Aging Summary";#N/A,#N/A,FALSE,"Ratio Analysis";#N/A,#N/A,FALSE,"Test 120 Day Accts";#N/A,#N/A,FALSE,"Tickmarks"}</definedName>
    <definedName name="FF" localSheetId="7" hidden="1">[27]A!$B$43:$D$43</definedName>
    <definedName name="FF" localSheetId="2" hidden="1">#REF!</definedName>
    <definedName name="ff" localSheetId="13" hidden="1">{#N/A,#N/A,FALSE,"Aging Summary";#N/A,#N/A,FALSE,"Ratio Analysis";#N/A,#N/A,FALSE,"Test 120 Day Accts";#N/A,#N/A,FALSE,"Tickmarks"}</definedName>
    <definedName name="ff" localSheetId="12" hidden="1">{#N/A,#N/A,FALSE,"Aging Summary";#N/A,#N/A,FALSE,"Ratio Analysis";#N/A,#N/A,FALSE,"Test 120 Day Accts";#N/A,#N/A,FALSE,"Tickmarks"}</definedName>
    <definedName name="ff" localSheetId="15" hidden="1">{#N/A,#N/A,FALSE,"Aging Summary";#N/A,#N/A,FALSE,"Ratio Analysis";#N/A,#N/A,FALSE,"Test 120 Day Accts";#N/A,#N/A,FALSE,"Tickmarks"}</definedName>
    <definedName name="ff" localSheetId="14" hidden="1">{#N/A,#N/A,FALSE,"Aging Summary";#N/A,#N/A,FALSE,"Ratio Analysis";#N/A,#N/A,FALSE,"Test 120 Day Accts";#N/A,#N/A,FALSE,"Tickmarks"}</definedName>
    <definedName name="FF" hidden="1">#REF!</definedName>
    <definedName name="ffef" localSheetId="5" hidden="1">{#N/A,#N/A,TRUE,"Total Allocation";#N/A,#N/A,TRUE,"Capital Software";#N/A,#N/A,TRUE,"Misc";#N/A,#N/A,TRUE,"NAOG"}</definedName>
    <definedName name="ffef" localSheetId="11" hidden="1">{#N/A,#N/A,TRUE,"Total Allocation";#N/A,#N/A,TRUE,"Capital Software";#N/A,#N/A,TRUE,"Misc";#N/A,#N/A,TRUE,"NAOG"}</definedName>
    <definedName name="ffef" localSheetId="4" hidden="1">{#N/A,#N/A,TRUE,"Total Allocation";#N/A,#N/A,TRUE,"Capital Software";#N/A,#N/A,TRUE,"Misc";#N/A,#N/A,TRUE,"NAOG"}</definedName>
    <definedName name="ffef" localSheetId="2" hidden="1">{#N/A,#N/A,TRUE,"Total Allocation";#N/A,#N/A,TRUE,"Capital Software";#N/A,#N/A,TRUE,"Misc";#N/A,#N/A,TRUE,"NAOG"}</definedName>
    <definedName name="ffef" localSheetId="13" hidden="1">{#N/A,#N/A,TRUE,"Total Allocation";#N/A,#N/A,TRUE,"Capital Software";#N/A,#N/A,TRUE,"Misc";#N/A,#N/A,TRUE,"NAOG"}</definedName>
    <definedName name="ffef" localSheetId="12" hidden="1">{#N/A,#N/A,TRUE,"Total Allocation";#N/A,#N/A,TRUE,"Capital Software";#N/A,#N/A,TRUE,"Misc";#N/A,#N/A,TRUE,"NAOG"}</definedName>
    <definedName name="ffef" localSheetId="15" hidden="1">{#N/A,#N/A,TRUE,"Total Allocation";#N/A,#N/A,TRUE,"Capital Software";#N/A,#N/A,TRUE,"Misc";#N/A,#N/A,TRUE,"NAOG"}</definedName>
    <definedName name="ffef" localSheetId="14" hidden="1">{#N/A,#N/A,TRUE,"Total Allocation";#N/A,#N/A,TRUE,"Capital Software";#N/A,#N/A,TRUE,"Misc";#N/A,#N/A,TRUE,"NAOG"}</definedName>
    <definedName name="ffef" hidden="1">{#N/A,#N/A,TRUE,"Total Allocation";#N/A,#N/A,TRUE,"Capital Software";#N/A,#N/A,TRUE,"Misc";#N/A,#N/A,TRUE,"NAOG"}</definedName>
    <definedName name="fff" localSheetId="5">#REF!</definedName>
    <definedName name="FFF" localSheetId="11" hidden="1">{#N/A,#N/A,FALSE,"Dutos";#N/A,#N/A,FALSE,"Terminais"}</definedName>
    <definedName name="fff" localSheetId="1">#REF!</definedName>
    <definedName name="fff" localSheetId="7">#REF!</definedName>
    <definedName name="fff" localSheetId="2">#REF!</definedName>
    <definedName name="FFF" localSheetId="13" hidden="1">{#N/A,#N/A,FALSE,"Dutos";#N/A,#N/A,FALSE,"Terminais"}</definedName>
    <definedName name="FFF" localSheetId="12" hidden="1">{#N/A,#N/A,FALSE,"Dutos";#N/A,#N/A,FALSE,"Terminais"}</definedName>
    <definedName name="FFF" localSheetId="15" hidden="1">{#N/A,#N/A,FALSE,"Dutos";#N/A,#N/A,FALSE,"Terminais"}</definedName>
    <definedName name="FFF" localSheetId="14" hidden="1">{#N/A,#N/A,FALSE,"Dutos";#N/A,#N/A,FALSE,"Terminais"}</definedName>
    <definedName name="fff">#REF!</definedName>
    <definedName name="fg" localSheetId="7">#REF!</definedName>
    <definedName name="fg" localSheetId="2">#REF!</definedName>
    <definedName name="fg">#REF!</definedName>
    <definedName name="fgg" localSheetId="7">#REF!</definedName>
    <definedName name="fgg">#REF!</definedName>
    <definedName name="fghfghf" localSheetId="7">#REF!</definedName>
    <definedName name="fghfghf">#REF!</definedName>
    <definedName name="fghj" localSheetId="5" hidden="1">{#N/A,#N/A,FALSE,"3-Year Plan Review Schedule USD";#N/A,#N/A,FALSE,"Earning Summary USD";#N/A,#N/A,FALSE,"Assumptions USD"}</definedName>
    <definedName name="fghj" localSheetId="11" hidden="1">{#N/A,#N/A,FALSE,"3-Year Plan Review Schedule USD";#N/A,#N/A,FALSE,"Earning Summary USD";#N/A,#N/A,FALSE,"Assumptions USD"}</definedName>
    <definedName name="fghj" localSheetId="4" hidden="1">{#N/A,#N/A,FALSE,"3-Year Plan Review Schedule USD";#N/A,#N/A,FALSE,"Earning Summary USD";#N/A,#N/A,FALSE,"Assumptions USD"}</definedName>
    <definedName name="fghj" localSheetId="2" hidden="1">{#N/A,#N/A,FALSE,"3-Year Plan Review Schedule USD";#N/A,#N/A,FALSE,"Earning Summary USD";#N/A,#N/A,FALSE,"Assumptions USD"}</definedName>
    <definedName name="fghj" localSheetId="13" hidden="1">{#N/A,#N/A,FALSE,"3-Year Plan Review Schedule USD";#N/A,#N/A,FALSE,"Earning Summary USD";#N/A,#N/A,FALSE,"Assumptions USD"}</definedName>
    <definedName name="fghj" localSheetId="12" hidden="1">{#N/A,#N/A,FALSE,"3-Year Plan Review Schedule USD";#N/A,#N/A,FALSE,"Earning Summary USD";#N/A,#N/A,FALSE,"Assumptions USD"}</definedName>
    <definedName name="fghj" localSheetId="15" hidden="1">{#N/A,#N/A,FALSE,"3-Year Plan Review Schedule USD";#N/A,#N/A,FALSE,"Earning Summary USD";#N/A,#N/A,FALSE,"Assumptions USD"}</definedName>
    <definedName name="fghj" localSheetId="14" hidden="1">{#N/A,#N/A,FALSE,"3-Year Plan Review Schedule USD";#N/A,#N/A,FALSE,"Earning Summary USD";#N/A,#N/A,FALSE,"Assumptions USD"}</definedName>
    <definedName name="fghj" hidden="1">{#N/A,#N/A,FALSE,"3-Year Plan Review Schedule USD";#N/A,#N/A,FALSE,"Earning Summary USD";#N/A,#N/A,FALSE,"Assumptions USD"}</definedName>
    <definedName name="fghjjk" localSheetId="5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1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4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3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5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localSheetId="14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hjjk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FGJ" localSheetId="5" hidden="1">{#N/A,#N/A,FALSE,"Dutos";#N/A,#N/A,FALSE,"Terminais"}</definedName>
    <definedName name="FGJ" localSheetId="11" hidden="1">{#N/A,#N/A,FALSE,"Dutos";#N/A,#N/A,FALSE,"Terminais"}</definedName>
    <definedName name="FGJ" localSheetId="4" hidden="1">{#N/A,#N/A,FALSE,"Dutos";#N/A,#N/A,FALSE,"Terminais"}</definedName>
    <definedName name="FGJ" localSheetId="2" hidden="1">{#N/A,#N/A,FALSE,"Dutos";#N/A,#N/A,FALSE,"Terminais"}</definedName>
    <definedName name="FGJ" localSheetId="13" hidden="1">{#N/A,#N/A,FALSE,"Dutos";#N/A,#N/A,FALSE,"Terminais"}</definedName>
    <definedName name="FGJ" localSheetId="12" hidden="1">{#N/A,#N/A,FALSE,"Dutos";#N/A,#N/A,FALSE,"Terminais"}</definedName>
    <definedName name="FGJ" localSheetId="15" hidden="1">{#N/A,#N/A,FALSE,"Dutos";#N/A,#N/A,FALSE,"Terminais"}</definedName>
    <definedName name="FGJ" localSheetId="14" hidden="1">{#N/A,#N/A,FALSE,"Dutos";#N/A,#N/A,FALSE,"Terminais"}</definedName>
    <definedName name="FGJ" hidden="1">{#N/A,#N/A,FALSE,"Dutos";#N/A,#N/A,FALSE,"Terminais"}</definedName>
    <definedName name="FGJKF" localSheetId="5" hidden="1">{#N/A,#N/A,FALSE,"Dutos";#N/A,#N/A,FALSE,"Terminais"}</definedName>
    <definedName name="FGJKF" localSheetId="11" hidden="1">{#N/A,#N/A,FALSE,"Dutos";#N/A,#N/A,FALSE,"Terminais"}</definedName>
    <definedName name="FGJKF" localSheetId="4" hidden="1">{#N/A,#N/A,FALSE,"Dutos";#N/A,#N/A,FALSE,"Terminais"}</definedName>
    <definedName name="FGJKF" localSheetId="2" hidden="1">{#N/A,#N/A,FALSE,"Dutos";#N/A,#N/A,FALSE,"Terminais"}</definedName>
    <definedName name="FGJKF" localSheetId="13" hidden="1">{#N/A,#N/A,FALSE,"Dutos";#N/A,#N/A,FALSE,"Terminais"}</definedName>
    <definedName name="FGJKF" localSheetId="12" hidden="1">{#N/A,#N/A,FALSE,"Dutos";#N/A,#N/A,FALSE,"Terminais"}</definedName>
    <definedName name="FGJKF" localSheetId="15" hidden="1">{#N/A,#N/A,FALSE,"Dutos";#N/A,#N/A,FALSE,"Terminais"}</definedName>
    <definedName name="FGJKF" localSheetId="14" hidden="1">{#N/A,#N/A,FALSE,"Dutos";#N/A,#N/A,FALSE,"Terminais"}</definedName>
    <definedName name="FGJKF" hidden="1">{#N/A,#N/A,FALSE,"Dutos";#N/A,#N/A,FALSE,"Terminais"}</definedName>
    <definedName name="fgrth" localSheetId="5" hidden="1">{#N/A,#N/A,FALSE,"Earning Summary USD";#N/A,#N/A,FALSE,"3-Year Plan Review Schedule"}</definedName>
    <definedName name="fgrth" localSheetId="11" hidden="1">{#N/A,#N/A,FALSE,"Earning Summary USD";#N/A,#N/A,FALSE,"3-Year Plan Review Schedule"}</definedName>
    <definedName name="fgrth" localSheetId="4" hidden="1">{#N/A,#N/A,FALSE,"Earning Summary USD";#N/A,#N/A,FALSE,"3-Year Plan Review Schedule"}</definedName>
    <definedName name="fgrth" localSheetId="2" hidden="1">{#N/A,#N/A,FALSE,"Earning Summary USD";#N/A,#N/A,FALSE,"3-Year Plan Review Schedule"}</definedName>
    <definedName name="fgrth" localSheetId="13" hidden="1">{#N/A,#N/A,FALSE,"Earning Summary USD";#N/A,#N/A,FALSE,"3-Year Plan Review Schedule"}</definedName>
    <definedName name="fgrth" localSheetId="12" hidden="1">{#N/A,#N/A,FALSE,"Earning Summary USD";#N/A,#N/A,FALSE,"3-Year Plan Review Schedule"}</definedName>
    <definedName name="fgrth" localSheetId="15" hidden="1">{#N/A,#N/A,FALSE,"Earning Summary USD";#N/A,#N/A,FALSE,"3-Year Plan Review Schedule"}</definedName>
    <definedName name="fgrth" localSheetId="14" hidden="1">{#N/A,#N/A,FALSE,"Earning Summary USD";#N/A,#N/A,FALSE,"3-Year Plan Review Schedule"}</definedName>
    <definedName name="fgrth" hidden="1">{#N/A,#N/A,FALSE,"Earning Summary USD";#N/A,#N/A,FALSE,"3-Year Plan Review Schedule"}</definedName>
    <definedName name="fhk" localSheetId="5" hidden="1">{#N/A,#N/A,FALSE,"Dutos";#N/A,#N/A,FALSE,"Terminais"}</definedName>
    <definedName name="fhk" localSheetId="11" hidden="1">{#N/A,#N/A,FALSE,"Dutos";#N/A,#N/A,FALSE,"Terminais"}</definedName>
    <definedName name="fhk" localSheetId="4" hidden="1">{#N/A,#N/A,FALSE,"Dutos";#N/A,#N/A,FALSE,"Terminais"}</definedName>
    <definedName name="fhk" localSheetId="2" hidden="1">{#N/A,#N/A,FALSE,"Dutos";#N/A,#N/A,FALSE,"Terminais"}</definedName>
    <definedName name="fhk" localSheetId="13" hidden="1">{#N/A,#N/A,FALSE,"Dutos";#N/A,#N/A,FALSE,"Terminais"}</definedName>
    <definedName name="fhk" localSheetId="12" hidden="1">{#N/A,#N/A,FALSE,"Dutos";#N/A,#N/A,FALSE,"Terminais"}</definedName>
    <definedName name="fhk" localSheetId="15" hidden="1">{#N/A,#N/A,FALSE,"Dutos";#N/A,#N/A,FALSE,"Terminais"}</definedName>
    <definedName name="fhk" localSheetId="14" hidden="1">{#N/A,#N/A,FALSE,"Dutos";#N/A,#N/A,FALSE,"Terminais"}</definedName>
    <definedName name="fhk" hidden="1">{#N/A,#N/A,FALSE,"Dutos";#N/A,#N/A,FALSE,"Terminais"}</definedName>
    <definedName name="Filtro_demanda_r" localSheetId="7">#REF!</definedName>
    <definedName name="Filtro_demanda_r">#REF!</definedName>
    <definedName name="FIN.1">#REF!</definedName>
    <definedName name="FINAL" localSheetId="7">#REF!</definedName>
    <definedName name="FINAL">#REF!</definedName>
    <definedName name="FINANCIERO" localSheetId="7">#REF!</definedName>
    <definedName name="FINANCIERO">#REF!</definedName>
    <definedName name="fjjashfja" hidden="1">#REF!</definedName>
    <definedName name="FL_FIN2006" localSheetId="1">#REF!</definedName>
    <definedName name="FL_FIN2006" localSheetId="7">[1]Indicadores!#REF!</definedName>
    <definedName name="FL_FIN2006">#REF!</definedName>
    <definedName name="FL_FIN2007" localSheetId="1">#REF!</definedName>
    <definedName name="FL_FIN2007" localSheetId="7">[1]Indicadores!#REF!</definedName>
    <definedName name="FL_FIN2007">#REF!</definedName>
    <definedName name="FL_FIN2008" localSheetId="1">#REF!</definedName>
    <definedName name="FL_FIN2008" localSheetId="7">[1]Indicadores!#REF!</definedName>
    <definedName name="FL_FIN2008">#REF!</definedName>
    <definedName name="FL_FIN2009" localSheetId="1">#REF!</definedName>
    <definedName name="FL_FIN2009" localSheetId="7">[1]Indicadores!#REF!</definedName>
    <definedName name="FL_FIN2009">#REF!</definedName>
    <definedName name="FL_FIN2010" localSheetId="1">#REF!</definedName>
    <definedName name="FL_FIN2010" localSheetId="7">[1]Indicadores!#REF!</definedName>
    <definedName name="FL_FIN2010">#REF!</definedName>
    <definedName name="FL_FIN2011" localSheetId="1">#REF!</definedName>
    <definedName name="FL_FIN2011" localSheetId="7">[1]Indicadores!#REF!</definedName>
    <definedName name="FL_FIN2011">#REF!</definedName>
    <definedName name="FL_FIN2012" localSheetId="1">#REF!</definedName>
    <definedName name="FL_FIN2012" localSheetId="7">[1]Indicadores!#REF!</definedName>
    <definedName name="FL_FIN2012">#REF!</definedName>
    <definedName name="FLUJO_TESORERIA" localSheetId="7">[7]SINTESIS!$A$4:$H$80</definedName>
    <definedName name="FLUJO_TESORERIA">#REF!</definedName>
    <definedName name="FLUXO_ABRIL99" localSheetId="1">#REF!</definedName>
    <definedName name="FLUXO_ABRIL99" localSheetId="7">#REF!</definedName>
    <definedName name="FLUXO_ABRIL99">#REF!</definedName>
    <definedName name="FLUXO_DEZEMBRO99" localSheetId="7">#REF!</definedName>
    <definedName name="FLUXO_DEZEMBRO99">#REF!</definedName>
    <definedName name="FLUXO_JUNHO99" localSheetId="7">#REF!</definedName>
    <definedName name="FLUXO_JUNHO99">#REF!</definedName>
    <definedName name="FLUXO_MAIO99" localSheetId="7">#REF!</definedName>
    <definedName name="FLUXO_MAIO99">#REF!</definedName>
    <definedName name="FLUXO_SETEMBRO99" localSheetId="7">#REF!</definedName>
    <definedName name="FLUXO_SETEMBRO99">#REF!</definedName>
    <definedName name="FLUXOAGOSTO99" localSheetId="7">#REF!</definedName>
    <definedName name="FLUXOAGOSTO99">#REF!</definedName>
    <definedName name="FLUXOJUL99" localSheetId="7">#REF!</definedName>
    <definedName name="FLUXOJUL99">#REF!</definedName>
    <definedName name="FLUXONOV" localSheetId="7">#REF!</definedName>
    <definedName name="FLUXONOV">#REF!</definedName>
    <definedName name="FORMULA_TOTAL">#REF!</definedName>
    <definedName name="formule_archivio">#REF!</definedName>
    <definedName name="frdg" hidden="1">#REF!-1 &amp; "." &amp; MAX(1,COUNTA(INDEX(#REF!,MATCH(#REF!-1,#REF!,FALSE)):#REF!))</definedName>
    <definedName name="fretg" localSheetId="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7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etg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frtuj" localSheetId="5" hidden="1">{#N/A,#N/A,FALSE,"Dutos";#N/A,#N/A,FALSE,"Terminais"}</definedName>
    <definedName name="frtuj" localSheetId="11" hidden="1">{#N/A,#N/A,FALSE,"Dutos";#N/A,#N/A,FALSE,"Terminais"}</definedName>
    <definedName name="frtuj" localSheetId="4" hidden="1">{#N/A,#N/A,FALSE,"Dutos";#N/A,#N/A,FALSE,"Terminais"}</definedName>
    <definedName name="frtuj" localSheetId="2" hidden="1">{#N/A,#N/A,FALSE,"Dutos";#N/A,#N/A,FALSE,"Terminais"}</definedName>
    <definedName name="frtuj" localSheetId="13" hidden="1">{#N/A,#N/A,FALSE,"Dutos";#N/A,#N/A,FALSE,"Terminais"}</definedName>
    <definedName name="frtuj" localSheetId="12" hidden="1">{#N/A,#N/A,FALSE,"Dutos";#N/A,#N/A,FALSE,"Terminais"}</definedName>
    <definedName name="frtuj" localSheetId="15" hidden="1">{#N/A,#N/A,FALSE,"Dutos";#N/A,#N/A,FALSE,"Terminais"}</definedName>
    <definedName name="frtuj" localSheetId="14" hidden="1">{#N/A,#N/A,FALSE,"Dutos";#N/A,#N/A,FALSE,"Terminais"}</definedName>
    <definedName name="frtuj" hidden="1">{#N/A,#N/A,FALSE,"Dutos";#N/A,#N/A,FALSE,"Terminais"}</definedName>
    <definedName name="fsdf" localSheetId="7" hidden="1">#REF!</definedName>
    <definedName name="fsdf" hidden="1">#REF!</definedName>
    <definedName name="FTGU" localSheetId="5" hidden="1">{#N/A,#N/A,FALSE,"Dutos";#N/A,#N/A,FALSE,"Terminais"}</definedName>
    <definedName name="FTGU" localSheetId="11" hidden="1">{#N/A,#N/A,FALSE,"Dutos";#N/A,#N/A,FALSE,"Terminais"}</definedName>
    <definedName name="FTGU" localSheetId="4" hidden="1">{#N/A,#N/A,FALSE,"Dutos";#N/A,#N/A,FALSE,"Terminais"}</definedName>
    <definedName name="FTGU" localSheetId="2" hidden="1">{#N/A,#N/A,FALSE,"Dutos";#N/A,#N/A,FALSE,"Terminais"}</definedName>
    <definedName name="FTGU" localSheetId="13" hidden="1">{#N/A,#N/A,FALSE,"Dutos";#N/A,#N/A,FALSE,"Terminais"}</definedName>
    <definedName name="FTGU" localSheetId="12" hidden="1">{#N/A,#N/A,FALSE,"Dutos";#N/A,#N/A,FALSE,"Terminais"}</definedName>
    <definedName name="FTGU" localSheetId="15" hidden="1">{#N/A,#N/A,FALSE,"Dutos";#N/A,#N/A,FALSE,"Terminais"}</definedName>
    <definedName name="FTGU" localSheetId="14" hidden="1">{#N/A,#N/A,FALSE,"Dutos";#N/A,#N/A,FALSE,"Terminais"}</definedName>
    <definedName name="FTGU" hidden="1">{#N/A,#N/A,FALSE,"Dutos";#N/A,#N/A,FALSE,"Terminais"}</definedName>
    <definedName name="Full_Print" localSheetId="7">#REF!</definedName>
    <definedName name="Full_Print">#REF!</definedName>
    <definedName name="fx">#REF!</definedName>
    <definedName name="fyi" localSheetId="5" hidden="1">{#N/A,#N/A,FALSE,"Dutos";#N/A,#N/A,FALSE,"Terminais"}</definedName>
    <definedName name="fyi" localSheetId="11" hidden="1">{#N/A,#N/A,FALSE,"Dutos";#N/A,#N/A,FALSE,"Terminais"}</definedName>
    <definedName name="fyi" localSheetId="4" hidden="1">{#N/A,#N/A,FALSE,"Dutos";#N/A,#N/A,FALSE,"Terminais"}</definedName>
    <definedName name="fyi" localSheetId="2" hidden="1">{#N/A,#N/A,FALSE,"Dutos";#N/A,#N/A,FALSE,"Terminais"}</definedName>
    <definedName name="fyi" localSheetId="13" hidden="1">{#N/A,#N/A,FALSE,"Dutos";#N/A,#N/A,FALSE,"Terminais"}</definedName>
    <definedName name="fyi" localSheetId="12" hidden="1">{#N/A,#N/A,FALSE,"Dutos";#N/A,#N/A,FALSE,"Terminais"}</definedName>
    <definedName name="fyi" localSheetId="15" hidden="1">{#N/A,#N/A,FALSE,"Dutos";#N/A,#N/A,FALSE,"Terminais"}</definedName>
    <definedName name="fyi" localSheetId="14" hidden="1">{#N/A,#N/A,FALSE,"Dutos";#N/A,#N/A,FALSE,"Terminais"}</definedName>
    <definedName name="fyi" hidden="1">{#N/A,#N/A,FALSE,"Dutos";#N/A,#N/A,FALSE,"Terminais"}</definedName>
    <definedName name="FYK" localSheetId="5" hidden="1">{#N/A,#N/A,FALSE,"Dutos";#N/A,#N/A,FALSE,"Terminais"}</definedName>
    <definedName name="FYK" localSheetId="11" hidden="1">{#N/A,#N/A,FALSE,"Dutos";#N/A,#N/A,FALSE,"Terminais"}</definedName>
    <definedName name="FYK" localSheetId="4" hidden="1">{#N/A,#N/A,FALSE,"Dutos";#N/A,#N/A,FALSE,"Terminais"}</definedName>
    <definedName name="FYK" localSheetId="2" hidden="1">{#N/A,#N/A,FALSE,"Dutos";#N/A,#N/A,FALSE,"Terminais"}</definedName>
    <definedName name="FYK" localSheetId="13" hidden="1">{#N/A,#N/A,FALSE,"Dutos";#N/A,#N/A,FALSE,"Terminais"}</definedName>
    <definedName name="FYK" localSheetId="12" hidden="1">{#N/A,#N/A,FALSE,"Dutos";#N/A,#N/A,FALSE,"Terminais"}</definedName>
    <definedName name="FYK" localSheetId="15" hidden="1">{#N/A,#N/A,FALSE,"Dutos";#N/A,#N/A,FALSE,"Terminais"}</definedName>
    <definedName name="FYK" localSheetId="14" hidden="1">{#N/A,#N/A,FALSE,"Dutos";#N/A,#N/A,FALSE,"Terminais"}</definedName>
    <definedName name="FYK" hidden="1">{#N/A,#N/A,FALSE,"Dutos";#N/A,#N/A,FALSE,"Terminais"}</definedName>
    <definedName name="g" hidden="1">#REF!</definedName>
    <definedName name="gaegae" hidden="1">#REF!</definedName>
    <definedName name="gaga" hidden="1">#REF!</definedName>
    <definedName name="gastos" hidden="1">11</definedName>
    <definedName name="GBP" localSheetId="1">#REF!</definedName>
    <definedName name="GBP" localSheetId="7">#REF!</definedName>
    <definedName name="GBP" localSheetId="2">#REF!</definedName>
    <definedName name="GBP">#REF!</definedName>
    <definedName name="Gco_alo_rea_cli" localSheetId="2">#REF!</definedName>
    <definedName name="Gco_alo_rea_cli">#REF!</definedName>
    <definedName name="ge" localSheetId="2" hidden="1">#REF!</definedName>
    <definedName name="ge" hidden="1">#REF!</definedName>
    <definedName name="GESTION" localSheetId="7">#REF!</definedName>
    <definedName name="GESTION">#REF!</definedName>
    <definedName name="gfgg" localSheetId="7" hidden="1">#REF!</definedName>
    <definedName name="gfgg" hidden="1">#REF!</definedName>
    <definedName name="gfk" localSheetId="5" hidden="1">{#N/A,#N/A,FALSE,"Dutos";#N/A,#N/A,FALSE,"Terminais"}</definedName>
    <definedName name="gfk" localSheetId="11" hidden="1">{#N/A,#N/A,FALSE,"Dutos";#N/A,#N/A,FALSE,"Terminais"}</definedName>
    <definedName name="gfk" localSheetId="4" hidden="1">{#N/A,#N/A,FALSE,"Dutos";#N/A,#N/A,FALSE,"Terminais"}</definedName>
    <definedName name="gfk" localSheetId="2" hidden="1">{#N/A,#N/A,FALSE,"Dutos";#N/A,#N/A,FALSE,"Terminais"}</definedName>
    <definedName name="gfk" localSheetId="13" hidden="1">{#N/A,#N/A,FALSE,"Dutos";#N/A,#N/A,FALSE,"Terminais"}</definedName>
    <definedName name="gfk" localSheetId="12" hidden="1">{#N/A,#N/A,FALSE,"Dutos";#N/A,#N/A,FALSE,"Terminais"}</definedName>
    <definedName name="gfk" localSheetId="15" hidden="1">{#N/A,#N/A,FALSE,"Dutos";#N/A,#N/A,FALSE,"Terminais"}</definedName>
    <definedName name="gfk" localSheetId="14" hidden="1">{#N/A,#N/A,FALSE,"Dutos";#N/A,#N/A,FALSE,"Terminais"}</definedName>
    <definedName name="gfk" hidden="1">{#N/A,#N/A,FALSE,"Dutos";#N/A,#N/A,FALSE,"Terminais"}</definedName>
    <definedName name="ggddg" localSheetId="4" hidden="1">#REF!</definedName>
    <definedName name="ggddg" localSheetId="7" hidden="1">[26]Template!$A$8:$A$35</definedName>
    <definedName name="ggddg" hidden="1">#REF!</definedName>
    <definedName name="gger" localSheetId="4">#REF!</definedName>
    <definedName name="gger" localSheetId="1">#REF!</definedName>
    <definedName name="gger" localSheetId="7">[28]Plan1!#REF!</definedName>
    <definedName name="gger" localSheetId="2">#REF!</definedName>
    <definedName name="gger">#REF!</definedName>
    <definedName name="ghhh" localSheetId="4" hidden="1">#REF!</definedName>
    <definedName name="ghhh" localSheetId="7" hidden="1">[29]A!$B$43:$D$43</definedName>
    <definedName name="ghhh" localSheetId="2" hidden="1">#REF!</definedName>
    <definedName name="ghhh" hidden="1">#REF!</definedName>
    <definedName name="gn" localSheetId="4">#REF!</definedName>
    <definedName name="gn">#REF!</definedName>
    <definedName name="GNC_Inflation">#REF!</definedName>
    <definedName name="gnmsp">#REF!</definedName>
    <definedName name="gnsp">#REF!</definedName>
    <definedName name="greenperi">#REF!</definedName>
    <definedName name="grf" localSheetId="5" hidden="1">{"VERGALHÃO",#N/A,FALSE,"DIÁRIA";"CATODO",#N/A,FALSE,"DIÁRIA"}</definedName>
    <definedName name="grf" localSheetId="11" hidden="1">{"VERGALHÃO",#N/A,FALSE,"DIÁRIA";"CATODO",#N/A,FALSE,"DIÁRIA"}</definedName>
    <definedName name="grf" localSheetId="4" hidden="1">{"VERGALHÃO",#N/A,FALSE,"DIÁRIA";"CATODO",#N/A,FALSE,"DIÁRIA"}</definedName>
    <definedName name="grf" localSheetId="2" hidden="1">{"VERGALHÃO",#N/A,FALSE,"DIÁRIA";"CATODO",#N/A,FALSE,"DIÁRIA"}</definedName>
    <definedName name="grf" localSheetId="13" hidden="1">{"VERGALHÃO",#N/A,FALSE,"DIÁRIA";"CATODO",#N/A,FALSE,"DIÁRIA"}</definedName>
    <definedName name="grf" localSheetId="12" hidden="1">{"VERGALHÃO",#N/A,FALSE,"DIÁRIA";"CATODO",#N/A,FALSE,"DIÁRIA"}</definedName>
    <definedName name="grf" localSheetId="15" hidden="1">{"VERGALHÃO",#N/A,FALSE,"DIÁRIA";"CATODO",#N/A,FALSE,"DIÁRIA"}</definedName>
    <definedName name="grf" localSheetId="14" hidden="1">{"VERGALHÃO",#N/A,FALSE,"DIÁRIA";"CATODO",#N/A,FALSE,"DIÁRIA"}</definedName>
    <definedName name="grf" hidden="1">{"VERGALHÃO",#N/A,FALSE,"DIÁRIA";"CATODO",#N/A,FALSE,"DIÁRIA"}</definedName>
    <definedName name="grg" localSheetId="5" hidden="1">{#N/A,#N/A,FALSE,"Earning Summary USD";#N/A,#N/A,FALSE,"3-Year Plan Review Schedule"}</definedName>
    <definedName name="grg" localSheetId="11" hidden="1">{#N/A,#N/A,FALSE,"Earning Summary USD";#N/A,#N/A,FALSE,"3-Year Plan Review Schedule"}</definedName>
    <definedName name="grg" localSheetId="4" hidden="1">{#N/A,#N/A,FALSE,"Earning Summary USD";#N/A,#N/A,FALSE,"3-Year Plan Review Schedule"}</definedName>
    <definedName name="grg" localSheetId="2" hidden="1">{#N/A,#N/A,FALSE,"Earning Summary USD";#N/A,#N/A,FALSE,"3-Year Plan Review Schedule"}</definedName>
    <definedName name="grg" localSheetId="13" hidden="1">{#N/A,#N/A,FALSE,"Earning Summary USD";#N/A,#N/A,FALSE,"3-Year Plan Review Schedule"}</definedName>
    <definedName name="grg" localSheetId="12" hidden="1">{#N/A,#N/A,FALSE,"Earning Summary USD";#N/A,#N/A,FALSE,"3-Year Plan Review Schedule"}</definedName>
    <definedName name="grg" localSheetId="15" hidden="1">{#N/A,#N/A,FALSE,"Earning Summary USD";#N/A,#N/A,FALSE,"3-Year Plan Review Schedule"}</definedName>
    <definedName name="grg" localSheetId="14" hidden="1">{#N/A,#N/A,FALSE,"Earning Summary USD";#N/A,#N/A,FALSE,"3-Year Plan Review Schedule"}</definedName>
    <definedName name="grg" hidden="1">{#N/A,#N/A,FALSE,"Earning Summary USD";#N/A,#N/A,FALSE,"3-Year Plan Review Schedule"}</definedName>
    <definedName name="GrpAcct1" hidden="1">"5611"</definedName>
    <definedName name="GrpAcct2" hidden="1">"5612"</definedName>
    <definedName name="GrpLevel" hidden="1">2</definedName>
    <definedName name="GRT" localSheetId="5" hidden="1">{#N/A,#N/A,FALSE,"Dutos";#N/A,#N/A,FALSE,"Terminais"}</definedName>
    <definedName name="GRT" localSheetId="11" hidden="1">{#N/A,#N/A,FALSE,"Dutos";#N/A,#N/A,FALSE,"Terminais"}</definedName>
    <definedName name="GRT" localSheetId="4" hidden="1">{#N/A,#N/A,FALSE,"Dutos";#N/A,#N/A,FALSE,"Terminais"}</definedName>
    <definedName name="GRT" localSheetId="2" hidden="1">{#N/A,#N/A,FALSE,"Dutos";#N/A,#N/A,FALSE,"Terminais"}</definedName>
    <definedName name="GRT" localSheetId="13" hidden="1">{#N/A,#N/A,FALSE,"Dutos";#N/A,#N/A,FALSE,"Terminais"}</definedName>
    <definedName name="GRT" localSheetId="12" hidden="1">{#N/A,#N/A,FALSE,"Dutos";#N/A,#N/A,FALSE,"Terminais"}</definedName>
    <definedName name="GRT" localSheetId="15" hidden="1">{#N/A,#N/A,FALSE,"Dutos";#N/A,#N/A,FALSE,"Terminais"}</definedName>
    <definedName name="GRT" localSheetId="14" hidden="1">{#N/A,#N/A,FALSE,"Dutos";#N/A,#N/A,FALSE,"Terminais"}</definedName>
    <definedName name="GRT" hidden="1">{#N/A,#N/A,FALSE,"Dutos";#N/A,#N/A,FALSE,"Terminais"}</definedName>
    <definedName name="GRUPO_ANO_ANTERIOR">#REF!</definedName>
    <definedName name="GRUPO_ANO_ATUAL">#REF!</definedName>
    <definedName name="gsf" localSheetId="5" hidden="1">{#N/A,#N/A,FALSE,"Dutos";#N/A,#N/A,FALSE,"Terminais"}</definedName>
    <definedName name="gsf" localSheetId="11" hidden="1">{#N/A,#N/A,FALSE,"Dutos";#N/A,#N/A,FALSE,"Terminais"}</definedName>
    <definedName name="gsf" localSheetId="4" hidden="1">{#N/A,#N/A,FALSE,"Dutos";#N/A,#N/A,FALSE,"Terminais"}</definedName>
    <definedName name="gsf" localSheetId="2" hidden="1">{#N/A,#N/A,FALSE,"Dutos";#N/A,#N/A,FALSE,"Terminais"}</definedName>
    <definedName name="gsf" localSheetId="13" hidden="1">{#N/A,#N/A,FALSE,"Dutos";#N/A,#N/A,FALSE,"Terminais"}</definedName>
    <definedName name="gsf" localSheetId="12" hidden="1">{#N/A,#N/A,FALSE,"Dutos";#N/A,#N/A,FALSE,"Terminais"}</definedName>
    <definedName name="gsf" localSheetId="15" hidden="1">{#N/A,#N/A,FALSE,"Dutos";#N/A,#N/A,FALSE,"Terminais"}</definedName>
    <definedName name="gsf" localSheetId="14" hidden="1">{#N/A,#N/A,FALSE,"Dutos";#N/A,#N/A,FALSE,"Terminais"}</definedName>
    <definedName name="gsf" hidden="1">{#N/A,#N/A,FALSE,"Dutos";#N/A,#N/A,FALSE,"Terminais"}</definedName>
    <definedName name="gterer" localSheetId="4" hidden="1">#REF!</definedName>
    <definedName name="gterer" localSheetId="7" hidden="1">[26]Template!$F$8:$F$35</definedName>
    <definedName name="gterer" hidden="1">#REF!</definedName>
    <definedName name="gtree" localSheetId="4" hidden="1">#REF!</definedName>
    <definedName name="gtree" localSheetId="7" hidden="1">[29]A!$B$45:$D$45</definedName>
    <definedName name="gtree" hidden="1">#REF!</definedName>
    <definedName name="gvui" localSheetId="5" hidden="1">{#N/A,#N/A,FALSE,"Dutos";#N/A,#N/A,FALSE,"Terminais"}</definedName>
    <definedName name="gvui" localSheetId="11" hidden="1">{#N/A,#N/A,FALSE,"Dutos";#N/A,#N/A,FALSE,"Terminais"}</definedName>
    <definedName name="gvui" localSheetId="4" hidden="1">{#N/A,#N/A,FALSE,"Dutos";#N/A,#N/A,FALSE,"Terminais"}</definedName>
    <definedName name="gvui" localSheetId="2" hidden="1">{#N/A,#N/A,FALSE,"Dutos";#N/A,#N/A,FALSE,"Terminais"}</definedName>
    <definedName name="gvui" localSheetId="13" hidden="1">{#N/A,#N/A,FALSE,"Dutos";#N/A,#N/A,FALSE,"Terminais"}</definedName>
    <definedName name="gvui" localSheetId="12" hidden="1">{#N/A,#N/A,FALSE,"Dutos";#N/A,#N/A,FALSE,"Terminais"}</definedName>
    <definedName name="gvui" localSheetId="15" hidden="1">{#N/A,#N/A,FALSE,"Dutos";#N/A,#N/A,FALSE,"Terminais"}</definedName>
    <definedName name="gvui" localSheetId="14" hidden="1">{#N/A,#N/A,FALSE,"Dutos";#N/A,#N/A,FALSE,"Terminais"}</definedName>
    <definedName name="gvui" hidden="1">{#N/A,#N/A,FALSE,"Dutos";#N/A,#N/A,FALSE,"Terminais"}</definedName>
    <definedName name="h" localSheetId="1" hidden="1">#REF!</definedName>
    <definedName name="h" localSheetId="7" hidden="1">[1]SINTESIS!$M$7:$Q$20</definedName>
    <definedName name="H" localSheetId="2">#REF!</definedName>
    <definedName name="H">#REF!</definedName>
    <definedName name="header" localSheetId="1">#REF!</definedName>
    <definedName name="header" localSheetId="7">#REF!</definedName>
    <definedName name="header" localSheetId="2">#REF!</definedName>
    <definedName name="header">#REF!</definedName>
    <definedName name="Header_Row" localSheetId="7">ROW(#REF!)</definedName>
    <definedName name="Header_Row">ROW(#REF!)</definedName>
    <definedName name="Header1" hidden="1">IF(COUNTA(#REF!)=0,0,INDEX(#REF!,MATCH(ROW(#REF!),#REF!,TRUE)))+1</definedName>
    <definedName name="Header2" hidden="1">#REF!-1 &amp; "." &amp; MAX(1,COUNTA(INDEX(#REF!,MATCH(#REF!-1,#REF!,FALSE)):#REF!))</definedName>
    <definedName name="hfghfh" localSheetId="7">#REF!</definedName>
    <definedName name="hfghfh">#REF!</definedName>
    <definedName name="hgfhfgh" localSheetId="7">#REF!</definedName>
    <definedName name="hgfhfgh">#REF!</definedName>
    <definedName name="hh" localSheetId="5" hidden="1">{#N/A,#N/A,FALSE,"Dutos";#N/A,#N/A,FALSE,"Terminais"}</definedName>
    <definedName name="hh" localSheetId="11" hidden="1">{#N/A,#N/A,FALSE,"Dutos";#N/A,#N/A,FALSE,"Terminais"}</definedName>
    <definedName name="hh" localSheetId="4" hidden="1">{#N/A,#N/A,FALSE,"Dutos";#N/A,#N/A,FALSE,"Terminais"}</definedName>
    <definedName name="hh" localSheetId="2" hidden="1">{#N/A,#N/A,FALSE,"Dutos";#N/A,#N/A,FALSE,"Terminais"}</definedName>
    <definedName name="hh" localSheetId="13" hidden="1">{#N/A,#N/A,FALSE,"Dutos";#N/A,#N/A,FALSE,"Terminais"}</definedName>
    <definedName name="hh" localSheetId="12" hidden="1">{#N/A,#N/A,FALSE,"Dutos";#N/A,#N/A,FALSE,"Terminais"}</definedName>
    <definedName name="hh" localSheetId="15" hidden="1">{#N/A,#N/A,FALSE,"Dutos";#N/A,#N/A,FALSE,"Terminais"}</definedName>
    <definedName name="hh" localSheetId="14" hidden="1">{#N/A,#N/A,FALSE,"Dutos";#N/A,#N/A,FALSE,"Terminais"}</definedName>
    <definedName name="hh" hidden="1">{#N/A,#N/A,FALSE,"Dutos";#N/A,#N/A,FALSE,"Terminais"}</definedName>
    <definedName name="hhh" localSheetId="5">#REF!</definedName>
    <definedName name="hhh" localSheetId="11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7">#REF!</definedName>
    <definedName name="hhh" localSheetId="2">#REF!</definedName>
    <definedName name="hhh" localSheetId="1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1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15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14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>#REF!</definedName>
    <definedName name="hhhhh" localSheetId="5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5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hhhh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istórico" localSheetId="7">#REF!</definedName>
    <definedName name="Histórico">#REF!</definedName>
    <definedName name="hkb" localSheetId="5" hidden="1">{#N/A,#N/A,FALSE,"Dutos";#N/A,#N/A,FALSE,"Terminais"}</definedName>
    <definedName name="hkb" localSheetId="11" hidden="1">{#N/A,#N/A,FALSE,"Dutos";#N/A,#N/A,FALSE,"Terminais"}</definedName>
    <definedName name="hkb" localSheetId="4" hidden="1">{#N/A,#N/A,FALSE,"Dutos";#N/A,#N/A,FALSE,"Terminais"}</definedName>
    <definedName name="hkb" localSheetId="2" hidden="1">{#N/A,#N/A,FALSE,"Dutos";#N/A,#N/A,FALSE,"Terminais"}</definedName>
    <definedName name="hkb" localSheetId="13" hidden="1">{#N/A,#N/A,FALSE,"Dutos";#N/A,#N/A,FALSE,"Terminais"}</definedName>
    <definedName name="hkb" localSheetId="12" hidden="1">{#N/A,#N/A,FALSE,"Dutos";#N/A,#N/A,FALSE,"Terminais"}</definedName>
    <definedName name="hkb" localSheetId="15" hidden="1">{#N/A,#N/A,FALSE,"Dutos";#N/A,#N/A,FALSE,"Terminais"}</definedName>
    <definedName name="hkb" localSheetId="14" hidden="1">{#N/A,#N/A,FALSE,"Dutos";#N/A,#N/A,FALSE,"Terminais"}</definedName>
    <definedName name="hkb" hidden="1">{#N/A,#N/A,FALSE,"Dutos";#N/A,#N/A,FALSE,"Terminais"}</definedName>
    <definedName name="hola" localSheetId="5" hidden="1">{"ANAR",#N/A,FALSE,"Dist total";"MARGEN",#N/A,FALSE,"Dist total";"COMENTARIO",#N/A,FALSE,"Ficha CODICE";"CONSEJO",#N/A,FALSE,"Dist p0";"uno",#N/A,FALSE,"Dist total"}</definedName>
    <definedName name="hola" localSheetId="11" hidden="1">{"ANAR",#N/A,FALSE,"Dist total";"MARGEN",#N/A,FALSE,"Dist total";"COMENTARIO",#N/A,FALSE,"Ficha CODICE";"CONSEJO",#N/A,FALSE,"Dist p0";"uno",#N/A,FALSE,"Dist total"}</definedName>
    <definedName name="hola" localSheetId="4" hidden="1">{"ANAR",#N/A,FALSE,"Dist total";"MARGEN",#N/A,FALSE,"Dist total";"COMENTARIO",#N/A,FALSE,"Ficha CODICE";"CONSEJO",#N/A,FALSE,"Dist p0";"uno",#N/A,FALSE,"Dist total"}</definedName>
    <definedName name="hola" localSheetId="1" hidden="1">{"ANAR",#N/A,FALSE,"Dist total";"MARGEN",#N/A,FALSE,"Dist total";"COMENTARIO",#N/A,FALSE,"Ficha CODICE";"CONSEJO",#N/A,FALSE,"Dist p0";"uno",#N/A,FALSE,"Dist total"}</definedName>
    <definedName name="hola" localSheetId="7" hidden="1">{"ANAR",#N/A,FALSE,"Dist total";"MARGEN",#N/A,FALSE,"Dist total";"COMENTARIO",#N/A,FALSE,"Ficha CODICE";"CONSEJO",#N/A,FALSE,"Dist p0";"uno",#N/A,FALSE,"Dist total"}</definedName>
    <definedName name="hola" localSheetId="2" hidden="1">{"ANAR",#N/A,FALSE,"Dist total";"MARGEN",#N/A,FALSE,"Dist total";"COMENTARIO",#N/A,FALSE,"Ficha CODICE";"CONSEJO",#N/A,FALSE,"Dist p0";"uno",#N/A,FALSE,"Dist total"}</definedName>
    <definedName name="hola" localSheetId="13" hidden="1">{"ANAR",#N/A,FALSE,"Dist total";"MARGEN",#N/A,FALSE,"Dist total";"COMENTARIO",#N/A,FALSE,"Ficha CODICE";"CONSEJO",#N/A,FALSE,"Dist p0";"uno",#N/A,FALSE,"Dist total"}</definedName>
    <definedName name="hola" localSheetId="12" hidden="1">{"ANAR",#N/A,FALSE,"Dist total";"MARGEN",#N/A,FALSE,"Dist total";"COMENTARIO",#N/A,FALSE,"Ficha CODICE";"CONSEJO",#N/A,FALSE,"Dist p0";"uno",#N/A,FALSE,"Dist total"}</definedName>
    <definedName name="hola" localSheetId="15" hidden="1">{"ANAR",#N/A,FALSE,"Dist total";"MARGEN",#N/A,FALSE,"Dist total";"COMENTARIO",#N/A,FALSE,"Ficha CODICE";"CONSEJO",#N/A,FALSE,"Dist p0";"uno",#N/A,FALSE,"Dist total"}</definedName>
    <definedName name="hola" localSheetId="14" hidden="1">{"ANAR",#N/A,FALSE,"Dist total";"MARGEN",#N/A,FALSE,"Dist total";"COMENTARIO",#N/A,FALSE,"Ficha CODICE";"CONSEJO",#N/A,FALSE,"Dist p0";"uno",#N/A,FALSE,"Dist total"}</definedName>
    <definedName name="hola" hidden="1">{"ANAR",#N/A,FALSE,"Dist total";"MARGEN",#N/A,FALSE,"Dist total";"COMENTARIO",#N/A,FALSE,"Ficha CODICE";"CONSEJO",#N/A,FALSE,"Dist p0";"uno",#N/A,FALSE,"Dist total"}</definedName>
    <definedName name="HTML_CodePage" hidden="1">1252</definedName>
    <definedName name="HTML_Control" localSheetId="5" hidden="1">{"'input-data'!$B$5:$R$22"}</definedName>
    <definedName name="HTML_Control" localSheetId="11" hidden="1">{"'Sheet1'!$A$1:$H$99"}</definedName>
    <definedName name="HTML_Control" localSheetId="4" hidden="1">{"'input-data'!$B$5:$R$22"}</definedName>
    <definedName name="HTML_Control" localSheetId="1" hidden="1">{"'Sheet1'!$A$1:$G$85"}</definedName>
    <definedName name="HTML_Control" localSheetId="7" hidden="1">{"'Sheet1'!$A$1:$G$85"}</definedName>
    <definedName name="HTML_Control" localSheetId="2" hidden="1">{"'input-data'!$B$5:$R$22"}</definedName>
    <definedName name="HTML_Control" localSheetId="13" hidden="1">{"'Sheet1'!$A$1:$H$99"}</definedName>
    <definedName name="HTML_Control" localSheetId="12" hidden="1">{"'Sheet1'!$A$1:$H$99"}</definedName>
    <definedName name="HTML_Control" localSheetId="15" hidden="1">{"'Sheet1'!$A$1:$H$99"}</definedName>
    <definedName name="HTML_Control" localSheetId="14" hidden="1">{"'Sheet1'!$A$1:$H$99"}</definedName>
    <definedName name="HTML_Control" hidden="1">{"'input-data'!$B$5:$R$22"}</definedName>
    <definedName name="HTML_Control2" localSheetId="5" hidden="1">{"'RATEIO RECEITA BRUTA'!$B$77:$C$106"}</definedName>
    <definedName name="HTML_Control2" localSheetId="11" hidden="1">{"'RATEIO RECEITA BRUTA'!$B$77:$C$106"}</definedName>
    <definedName name="HTML_Control2" localSheetId="4" hidden="1">{"'RATEIO RECEITA BRUTA'!$B$77:$C$106"}</definedName>
    <definedName name="HTML_Control2" localSheetId="2" hidden="1">{"'RATEIO RECEITA BRUTA'!$B$77:$C$106"}</definedName>
    <definedName name="HTML_Control2" localSheetId="13" hidden="1">{"'RATEIO RECEITA BRUTA'!$B$77:$C$106"}</definedName>
    <definedName name="HTML_Control2" localSheetId="12" hidden="1">{"'RATEIO RECEITA BRUTA'!$B$77:$C$106"}</definedName>
    <definedName name="HTML_Control2" localSheetId="15" hidden="1">{"'RATEIO RECEITA BRUTA'!$B$77:$C$106"}</definedName>
    <definedName name="HTML_Control2" localSheetId="14" hidden="1">{"'RATEIO RECEITA BRUTA'!$B$77:$C$106"}</definedName>
    <definedName name="HTML_Control2" hidden="1">{"'RATEIO RECEITA BRUTA'!$B$77:$C$106"}</definedName>
    <definedName name="HTML_Description" hidden="1">""</definedName>
    <definedName name="HTML_Email" hidden="1">""</definedName>
    <definedName name="HTML_Header" localSheetId="5" hidden="1">"input-data"</definedName>
    <definedName name="HTML_Header" localSheetId="11" hidden="1">"Betas"</definedName>
    <definedName name="HTML_Header" localSheetId="1" hidden="1">"Sheet1"</definedName>
    <definedName name="HTML_Header" localSheetId="7" hidden="1">"Sheet1"</definedName>
    <definedName name="HTML_Header" localSheetId="13" hidden="1">"Betas"</definedName>
    <definedName name="HTML_Header" localSheetId="12" hidden="1">"Betas"</definedName>
    <definedName name="HTML_Header" localSheetId="15" hidden="1">"Betas"</definedName>
    <definedName name="HTML_Header" localSheetId="14" hidden="1">"Betas"</definedName>
    <definedName name="HTML_Header" hidden="1">"input-data"</definedName>
    <definedName name="HTML_LastUpdate" localSheetId="5" hidden="1">"05/05/2000"</definedName>
    <definedName name="HTML_LastUpdate" localSheetId="11" hidden="1">"9/3/99"</definedName>
    <definedName name="HTML_LastUpdate" localSheetId="1" hidden="1">"2/24/99"</definedName>
    <definedName name="HTML_LastUpdate" localSheetId="7" hidden="1">"2/24/99"</definedName>
    <definedName name="HTML_LastUpdate" localSheetId="13" hidden="1">"9/3/99"</definedName>
    <definedName name="HTML_LastUpdate" localSheetId="12" hidden="1">"9/3/99"</definedName>
    <definedName name="HTML_LastUpdate" localSheetId="15" hidden="1">"9/3/99"</definedName>
    <definedName name="HTML_LastUpdate" localSheetId="14" hidden="1">"9/3/99"</definedName>
    <definedName name="HTML_LastUpdate" hidden="1">"05/05/2000"</definedName>
    <definedName name="HTML_LineAfter" localSheetId="5" hidden="1">FALSE</definedName>
    <definedName name="HTML_LineAfter" localSheetId="11" hidden="1">TRUE</definedName>
    <definedName name="HTML_LineAfter" localSheetId="1" hidden="1">TRUE</definedName>
    <definedName name="HTML_LineAfter" localSheetId="7" hidden="1">TRUE</definedName>
    <definedName name="HTML_LineAfter" localSheetId="13" hidden="1">TRUE</definedName>
    <definedName name="HTML_LineAfter" localSheetId="12" hidden="1">TRUE</definedName>
    <definedName name="HTML_LineAfter" localSheetId="15" hidden="1">TRUE</definedName>
    <definedName name="HTML_LineAfter" localSheetId="14" hidden="1">TRUE</definedName>
    <definedName name="HTML_LineAfter" hidden="1">FALSE</definedName>
    <definedName name="HTML_LineBefore" localSheetId="5" hidden="1">FALSE</definedName>
    <definedName name="HTML_LineBefore" localSheetId="11" hidden="1">TRUE</definedName>
    <definedName name="HTML_LineBefore" localSheetId="1" hidden="1">TRUE</definedName>
    <definedName name="HTML_LineBefore" localSheetId="7" hidden="1">TRUE</definedName>
    <definedName name="HTML_LineBefore" localSheetId="13" hidden="1">TRUE</definedName>
    <definedName name="HTML_LineBefore" localSheetId="12" hidden="1">TRUE</definedName>
    <definedName name="HTML_LineBefore" localSheetId="15" hidden="1">TRUE</definedName>
    <definedName name="HTML_LineBefore" localSheetId="14" hidden="1">TRUE</definedName>
    <definedName name="HTML_LineBefore" hidden="1">FALSE</definedName>
    <definedName name="HTML_Name" localSheetId="5" hidden="1">"Repsol"</definedName>
    <definedName name="HTML_Name" localSheetId="11" hidden="1">"Aswath Damodaran"</definedName>
    <definedName name="HTML_Name" localSheetId="1" hidden="1">"Aswath Damodaran"</definedName>
    <definedName name="HTML_Name" localSheetId="7" hidden="1">"Aswath Damodaran"</definedName>
    <definedName name="HTML_Name" localSheetId="13" hidden="1">"Aswath Damodaran"</definedName>
    <definedName name="HTML_Name" localSheetId="12" hidden="1">"Aswath Damodaran"</definedName>
    <definedName name="HTML_Name" localSheetId="15" hidden="1">"Aswath Damodaran"</definedName>
    <definedName name="HTML_Name" localSheetId="14" hidden="1">"Aswath Damodaran"</definedName>
    <definedName name="HTML_Name" hidden="1">"Repsol"</definedName>
    <definedName name="HTML_OBDlg2" hidden="1">TRUE</definedName>
    <definedName name="HTML_OBDlg3" hidden="1">TRUE</definedName>
    <definedName name="HTML_OBDlg4" hidden="1">TRUE</definedName>
    <definedName name="HTML_OS" localSheetId="5" hidden="1">0</definedName>
    <definedName name="HTML_OS" localSheetId="11" hidden="1">1</definedName>
    <definedName name="HTML_OS" localSheetId="1" hidden="1">1</definedName>
    <definedName name="HTML_OS" localSheetId="7" hidden="1">1</definedName>
    <definedName name="HTML_OS" localSheetId="13" hidden="1">1</definedName>
    <definedName name="HTML_OS" localSheetId="12" hidden="1">1</definedName>
    <definedName name="HTML_OS" localSheetId="15" hidden="1">1</definedName>
    <definedName name="HTML_OS" localSheetId="14" hidden="1">1</definedName>
    <definedName name="HTML_OS" hidden="1">0</definedName>
    <definedName name="HTML_PathFile" localSheetId="5" hidden="1">"C:\HENDRIK.htm"</definedName>
    <definedName name="HTML_PathFile" localSheetId="11" hidden="1">"C:\TEMPO\RECEITA.htm"</definedName>
    <definedName name="HTML_PathFile" localSheetId="13" hidden="1">"C:\TEMPO\RECEITA.htm"</definedName>
    <definedName name="HTML_PathFile" localSheetId="12" hidden="1">"C:\TEMPO\RECEITA.htm"</definedName>
    <definedName name="HTML_PathFile" localSheetId="15" hidden="1">"C:\TEMPO\RECEITA.htm"</definedName>
    <definedName name="HTML_PathFile" localSheetId="14" hidden="1">"C:\TEMPO\RECEITA.htm"</definedName>
    <definedName name="HTML_PathFile" hidden="1">"C:\HENDRIK.htm"</definedName>
    <definedName name="HTML_PathFileMac" localSheetId="5" hidden="1">"Macintosh HD:HomePageStuff:New_Home_Page:datafile:histret.html"</definedName>
    <definedName name="HTML_PathFileMac" localSheetId="11" hidden="1">"Macintosh HD:HomePageStuff:New_Home_Page:datafile:betasx.html"</definedName>
    <definedName name="HTML_PathFileMac" localSheetId="13" hidden="1">"Macintosh HD:HomePageStuff:New_Home_Page:datafile:betasx.html"</definedName>
    <definedName name="HTML_PathFileMac" localSheetId="12" hidden="1">"Macintosh HD:HomePageStuff:New_Home_Page:datafile:betasx.html"</definedName>
    <definedName name="HTML_PathFileMac" localSheetId="15" hidden="1">"Macintosh HD:HomePageStuff:New_Home_Page:datafile:betasx.html"</definedName>
    <definedName name="HTML_PathFileMac" localSheetId="14" hidden="1">"Macintosh HD:HomePageStuff:New_Home_Page:datafile:betasx.html"</definedName>
    <definedName name="HTML_PathFileMac" hidden="1">"Macintosh HD:HomePageStuff:New_Home_Page:datafile:histret.html"</definedName>
    <definedName name="HTML_PathTemplate" hidden="1">"C:\Meus documentos\internet\UNA\Nota.htm"</definedName>
    <definedName name="HTML_Title" localSheetId="5" hidden="1">"PPTO_2000_def_May00_PDVSA"</definedName>
    <definedName name="HTML_Title" localSheetId="11" hidden="1">"Levered and Unlevered Betas by Industry"</definedName>
    <definedName name="HTML_Title" localSheetId="1" hidden="1">"Historical Returns on Stocks, Bonds and Bills"</definedName>
    <definedName name="HTML_Title" localSheetId="7" hidden="1">"Historical Returns on Stocks, Bonds and Bills"</definedName>
    <definedName name="HTML_Title" localSheetId="13" hidden="1">"Levered and Unlevered Betas by Industry"</definedName>
    <definedName name="HTML_Title" localSheetId="12" hidden="1">"Levered and Unlevered Betas by Industry"</definedName>
    <definedName name="HTML_Title" localSheetId="15" hidden="1">"Levered and Unlevered Betas by Industry"</definedName>
    <definedName name="HTML_Title" localSheetId="14" hidden="1">"Levered and Unlevered Betas by Industry"</definedName>
    <definedName name="HTML_Title" hidden="1">"PPTO_2000_def_May00_PDVSA"</definedName>
    <definedName name="HTML1_1" localSheetId="5" hidden="1">"[ReturnsHistorical]Sheet1!$A$1:$D$77"</definedName>
    <definedName name="HTML1_1" localSheetId="11" hidden="1">"'[関係会社区分.xls]関係会社(区分)97.3末'!$D$4:$P$15"</definedName>
    <definedName name="HTML1_1" localSheetId="13" hidden="1">"'[関係会社区分.xls]関係会社(区分)97.3末'!$D$4:$P$15"</definedName>
    <definedName name="HTML1_1" localSheetId="12" hidden="1">"'[関係会社区分.xls]関係会社(区分)97.3末'!$D$4:$P$15"</definedName>
    <definedName name="HTML1_1" localSheetId="15" hidden="1">"'[関係会社区分.xls]関係会社(区分)97.3末'!$D$4:$P$15"</definedName>
    <definedName name="HTML1_1" localSheetId="14" hidden="1">"'[関係会社区分.xls]関係会社(区分)97.3末'!$D$4:$P$15"</definedName>
    <definedName name="HTML1_1" hidden="1">"[ReturnsHistorical]Sheet1!$A$1:$D$77"</definedName>
    <definedName name="HTML1_10" hidden="1">""</definedName>
    <definedName name="HTML1_11" hidden="1">1</definedName>
    <definedName name="HTML1_12" localSheetId="5" hidden="1">"Zip 100:New_Home_Page:datafile:histret.html"</definedName>
    <definedName name="HTML1_12" localSheetId="11" hidden="1">"kaisha01.htm"</definedName>
    <definedName name="HTML1_12" localSheetId="13" hidden="1">"kaisha01.htm"</definedName>
    <definedName name="HTML1_12" localSheetId="12" hidden="1">"kaisha01.htm"</definedName>
    <definedName name="HTML1_12" localSheetId="15" hidden="1">"kaisha01.htm"</definedName>
    <definedName name="HTML1_12" localSheetId="14" hidden="1">"kaisha01.htm"</definedName>
    <definedName name="HTML1_12" hidden="1">"Zip 100:New_Home_Page:datafile:histret.html"</definedName>
    <definedName name="HTML1_2" localSheetId="5" hidden="1">1</definedName>
    <definedName name="HTML1_2" localSheetId="11" hidden="1">-4146</definedName>
    <definedName name="HTML1_2" localSheetId="13" hidden="1">-4146</definedName>
    <definedName name="HTML1_2" localSheetId="12" hidden="1">-4146</definedName>
    <definedName name="HTML1_2" localSheetId="15" hidden="1">-4146</definedName>
    <definedName name="HTML1_2" localSheetId="14" hidden="1">-4146</definedName>
    <definedName name="HTML1_2" hidden="1">1</definedName>
    <definedName name="HTML1_3" localSheetId="5" hidden="1">"ReturnsHistorical"</definedName>
    <definedName name="HTML1_3" localSheetId="11" hidden="1">"C:\WINNT\Profiles\09529\ﾃﾞｽｸﾄｯﾌﾟ\tkdab\kaisha03.htm"</definedName>
    <definedName name="HTML1_3" localSheetId="13" hidden="1">"C:\WINNT\Profiles\09529\ﾃﾞｽｸﾄｯﾌﾟ\tkdab\kaisha03.htm"</definedName>
    <definedName name="HTML1_3" localSheetId="12" hidden="1">"C:\WINNT\Profiles\09529\ﾃﾞｽｸﾄｯﾌﾟ\tkdab\kaisha03.htm"</definedName>
    <definedName name="HTML1_3" localSheetId="15" hidden="1">"C:\WINNT\Profiles\09529\ﾃﾞｽｸﾄｯﾌﾟ\tkdab\kaisha03.htm"</definedName>
    <definedName name="HTML1_3" localSheetId="14" hidden="1">"C:\WINNT\Profiles\09529\ﾃﾞｽｸﾄｯﾌﾟ\tkdab\kaisha03.htm"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10_1" hidden="1">"'[nenpyo.xls]金融収支(98･3末)'!$A$3:$K$24"</definedName>
    <definedName name="HTML10_10" hidden="1">""</definedName>
    <definedName name="HTML10_11" hidden="1">1</definedName>
    <definedName name="HTML10_12" hidden="1">"C:\WINNT\Profiles\09529\ﾃﾞｽｸﾄｯﾌﾟ\MyHTML.htm"</definedName>
    <definedName name="HTML10_2" hidden="1">1</definedName>
    <definedName name="HTML10_3" hidden="1">"nenpyo"</definedName>
    <definedName name="HTML10_4" hidden="1">"金融収支(98･3末)"</definedName>
    <definedName name="HTML10_5" hidden="1">""</definedName>
    <definedName name="HTML10_6" hidden="1">-4146</definedName>
    <definedName name="HTML10_7" hidden="1">-4146</definedName>
    <definedName name="HTML10_8" hidden="1">"98/09/03"</definedName>
    <definedName name="HTML10_9" hidden="1">"09529"</definedName>
    <definedName name="HTML11_1" hidden="1">"'[nenpyo.xls]金融収支(98･3末)'!$A$26:$K$70"</definedName>
    <definedName name="HTML11_10" hidden="1">""</definedName>
    <definedName name="HTML11_11" hidden="1">1</definedName>
    <definedName name="HTML11_12" hidden="1">"C:\WINNT\Profiles\09529\ﾃﾞｽｸﾄｯﾌﾟ\MyHTML2.htm"</definedName>
    <definedName name="HTML11_2" hidden="1">1</definedName>
    <definedName name="HTML11_3" hidden="1">"nenpyo"</definedName>
    <definedName name="HTML11_4" hidden="1">"金融収支(98･3末)"</definedName>
    <definedName name="HTML11_5" hidden="1">""</definedName>
    <definedName name="HTML11_6" hidden="1">-4146</definedName>
    <definedName name="HTML11_7" hidden="1">-4146</definedName>
    <definedName name="HTML11_8" hidden="1">"98/09/03"</definedName>
    <definedName name="HTML11_9" hidden="1">"09529"</definedName>
    <definedName name="HTML2_1" localSheetId="5" hidden="1">"[histret.xls]Sheet1!$A$1:$G$85"</definedName>
    <definedName name="HTML2_1" localSheetId="11" hidden="1">"'[関係会社区分.xls]作業用（９７・３末）'!$D$18:$G$26"</definedName>
    <definedName name="HTML2_1" localSheetId="13" hidden="1">"'[関係会社区分.xls]作業用（９７・３末）'!$D$18:$G$26"</definedName>
    <definedName name="HTML2_1" localSheetId="12" hidden="1">"'[関係会社区分.xls]作業用（９７・３末）'!$D$18:$G$26"</definedName>
    <definedName name="HTML2_1" localSheetId="15" hidden="1">"'[関係会社区分.xls]作業用（９７・３末）'!$D$18:$G$26"</definedName>
    <definedName name="HTML2_1" localSheetId="14" hidden="1">"'[関係会社区分.xls]作業用（９７・３末）'!$D$18:$G$26"</definedName>
    <definedName name="HTML2_1" hidden="1">"[histret.xls]Sheet1!$A$1:$G$85"</definedName>
    <definedName name="HTML2_10" hidden="1">""</definedName>
    <definedName name="HTML2_11" hidden="1">1</definedName>
    <definedName name="HTML2_12" localSheetId="5" hidden="1">"Macintosh HD:New_Home_Page:datafile:histret.html"</definedName>
    <definedName name="HTML2_12" localSheetId="11" hidden="1">"kaisha04.htm"</definedName>
    <definedName name="HTML2_12" localSheetId="13" hidden="1">"kaisha04.htm"</definedName>
    <definedName name="HTML2_12" localSheetId="12" hidden="1">"kaisha04.htm"</definedName>
    <definedName name="HTML2_12" localSheetId="15" hidden="1">"kaisha04.htm"</definedName>
    <definedName name="HTML2_12" localSheetId="14" hidden="1">"kaisha04.htm"</definedName>
    <definedName name="HTML2_12" hidden="1">"Macintosh HD:New_Home_Page:datafile:histret.html"</definedName>
    <definedName name="HTML2_2" localSheetId="5" hidden="1">1</definedName>
    <definedName name="HTML2_2" localSheetId="11" hidden="1">-4146</definedName>
    <definedName name="HTML2_2" localSheetId="13" hidden="1">-4146</definedName>
    <definedName name="HTML2_2" localSheetId="12" hidden="1">-4146</definedName>
    <definedName name="HTML2_2" localSheetId="15" hidden="1">-4146</definedName>
    <definedName name="HTML2_2" localSheetId="14" hidden="1">-4146</definedName>
    <definedName name="HTML2_2" hidden="1">1</definedName>
    <definedName name="HTML2_3" localSheetId="5" hidden="1">"Historical Returns"</definedName>
    <definedName name="HTML2_3" localSheetId="11" hidden="1">"C:\WINNT\Profiles\09529\ﾃﾞｽｸﾄｯﾌﾟ\tkdab\kaisha01.htm"</definedName>
    <definedName name="HTML2_3" localSheetId="13" hidden="1">"C:\WINNT\Profiles\09529\ﾃﾞｽｸﾄｯﾌﾟ\tkdab\kaisha01.htm"</definedName>
    <definedName name="HTML2_3" localSheetId="12" hidden="1">"C:\WINNT\Profiles\09529\ﾃﾞｽｸﾄｯﾌﾟ\tkdab\kaisha01.htm"</definedName>
    <definedName name="HTML2_3" localSheetId="15" hidden="1">"C:\WINNT\Profiles\09529\ﾃﾞｽｸﾄｯﾌﾟ\tkdab\kaisha01.htm"</definedName>
    <definedName name="HTML2_3" localSheetId="14" hidden="1">"C:\WINNT\Profiles\09529\ﾃﾞｽｸﾄｯﾌﾟ\tkdab\kaisha01.htm"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" hidden="1">"'[関係会社区分.xls]作業用（９７・３末）'!$D$28:$F$41"</definedName>
    <definedName name="HTML3_11" hidden="1">1</definedName>
    <definedName name="HTML3_12" hidden="1">"kaisha05.htm"</definedName>
    <definedName name="HTML3_2" hidden="1">-4146</definedName>
    <definedName name="HTML3_3" hidden="1">"C:\WINNT\Profiles\09529\ﾃﾞｽｸﾄｯﾌﾟ\tkdab\kaisha04.htm"</definedName>
    <definedName name="HTML4_1" hidden="1">"'[関係会社区分.xls]作業用（９７・３末）'!$D$43:$E$56"</definedName>
    <definedName name="HTML4_11" hidden="1">1</definedName>
    <definedName name="HTML4_12" hidden="1">"kaisha06.htm"</definedName>
    <definedName name="HTML4_2" hidden="1">-4146</definedName>
    <definedName name="HTML4_3" hidden="1">"C:\WINNT\Profiles\09529\ﾃﾞｽｸﾄｯﾌﾟ\tkdab\kaisha05.htm"</definedName>
    <definedName name="HTML5_1" hidden="1">"[nenpyo.xls]金融収支ﾗﾝｷﾝｸﾞ!$A$4:$J$70"</definedName>
    <definedName name="HTML5_10" hidden="1">""</definedName>
    <definedName name="HTML5_11" hidden="1">1</definedName>
    <definedName name="HTML5_12" hidden="1">"C:\WINNT\Profiles\09529\ﾃﾞｽｸﾄｯﾌﾟ\MyHTML.htm"</definedName>
    <definedName name="HTML5_2" hidden="1">1</definedName>
    <definedName name="HTML5_3" hidden="1">"nenpyo"</definedName>
    <definedName name="HTML5_4" hidden="1">"金融収支ﾗﾝｷﾝｸﾞ"</definedName>
    <definedName name="HTML5_5" hidden="1">""</definedName>
    <definedName name="HTML5_6" hidden="1">-4146</definedName>
    <definedName name="HTML5_7" hidden="1">-4146</definedName>
    <definedName name="HTML5_8" hidden="1">"98/09/02"</definedName>
    <definedName name="HTML5_9" hidden="1">"09529"</definedName>
    <definedName name="HTML6_1" hidden="1">"[nenpyo.xls]金融収支ﾗﾝｷﾝｸﾞ!$A$3:$J$24"</definedName>
    <definedName name="HTML6_10" hidden="1">""</definedName>
    <definedName name="HTML6_11" hidden="1">1</definedName>
    <definedName name="HTML6_12" hidden="1">"C:\WINNT\Profiles\09529\ﾃﾞｽｸﾄｯﾌﾟ\MyHTML.htm"</definedName>
    <definedName name="HTML6_2" hidden="1">1</definedName>
    <definedName name="HTML6_3" hidden="1">"nenpyo"</definedName>
    <definedName name="HTML6_4" hidden="1">"金融収支ﾗﾝｷﾝｸﾞ"</definedName>
    <definedName name="HTML6_5" hidden="1">""</definedName>
    <definedName name="HTML6_6" hidden="1">-4146</definedName>
    <definedName name="HTML6_7" hidden="1">-4146</definedName>
    <definedName name="HTML6_8" hidden="1">"98/09/02"</definedName>
    <definedName name="HTML6_9" hidden="1">"09529"</definedName>
    <definedName name="HTML7_1" hidden="1">"[nenpyo.xls]金融収支ﾗﾝｷﾝｸﾞ!$A$26:$J$71"</definedName>
    <definedName name="HTML7_10" hidden="1">""</definedName>
    <definedName name="HTML7_11" hidden="1">1</definedName>
    <definedName name="HTML7_12" hidden="1">"C:\WINNT\Profiles\09529\ﾃﾞｽｸﾄｯﾌﾟ\MyHTML2.htm"</definedName>
    <definedName name="HTML7_2" hidden="1">1</definedName>
    <definedName name="HTML7_3" hidden="1">"nenpyo"</definedName>
    <definedName name="HTML7_4" hidden="1">"金融収支ﾗﾝｷﾝｸﾞ"</definedName>
    <definedName name="HTML7_5" hidden="1">""</definedName>
    <definedName name="HTML7_6" hidden="1">-4146</definedName>
    <definedName name="HTML7_7" hidden="1">-4146</definedName>
    <definedName name="HTML7_8" hidden="1">"98/09/02"</definedName>
    <definedName name="HTML7_9" hidden="1">"09529"</definedName>
    <definedName name="HTML8_1" hidden="1">"[nenpyo.xls]金融収支!$A$3:$K$26"</definedName>
    <definedName name="HTML8_10" hidden="1">""</definedName>
    <definedName name="HTML8_11" hidden="1">1</definedName>
    <definedName name="HTML8_12" hidden="1">"C:\WINNT\Profiles\09529\ﾃﾞｽｸﾄｯﾌﾟ\MyHTML.htm"</definedName>
    <definedName name="HTML8_2" hidden="1">1</definedName>
    <definedName name="HTML8_3" hidden="1">"nenpyo"</definedName>
    <definedName name="HTML8_4" hidden="1">"金融収支"</definedName>
    <definedName name="HTML8_5" hidden="1">""</definedName>
    <definedName name="HTML8_6" hidden="1">-4146</definedName>
    <definedName name="HTML8_7" hidden="1">-4146</definedName>
    <definedName name="HTML8_8" hidden="1">"98/09/03"</definedName>
    <definedName name="HTML8_9" hidden="1">"09529"</definedName>
    <definedName name="HTML9_1" hidden="1">"[nenpyo.xls]金融収支!$A$28:$K$72"</definedName>
    <definedName name="HTML9_10" hidden="1">""</definedName>
    <definedName name="HTML9_11" hidden="1">1</definedName>
    <definedName name="HTML9_12" hidden="1">"C:\WINNT\Profiles\09529\ﾃﾞｽｸﾄｯﾌﾟ\MyHTML2.htm"</definedName>
    <definedName name="HTML9_2" hidden="1">1</definedName>
    <definedName name="HTML9_3" hidden="1">"nenpyo"</definedName>
    <definedName name="HTML9_4" hidden="1">"金融収支"</definedName>
    <definedName name="HTML9_5" hidden="1">""</definedName>
    <definedName name="HTML9_6" hidden="1">-4146</definedName>
    <definedName name="HTML9_7" hidden="1">-4146</definedName>
    <definedName name="HTML9_8" hidden="1">"98/09/03"</definedName>
    <definedName name="HTML9_9" hidden="1">"09529"</definedName>
    <definedName name="HTMLCount" localSheetId="5" hidden="1">2</definedName>
    <definedName name="HTMLCount" localSheetId="11" hidden="1">4</definedName>
    <definedName name="HTMLCount" localSheetId="13" hidden="1">4</definedName>
    <definedName name="HTMLCount" localSheetId="12" hidden="1">4</definedName>
    <definedName name="HTMLCount" localSheetId="15" hidden="1">4</definedName>
    <definedName name="HTMLCount" localSheetId="14" hidden="1">4</definedName>
    <definedName name="HTMLCount" hidden="1">2</definedName>
    <definedName name="hty" localSheetId="5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5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ty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hyjuk" localSheetId="5" hidden="1">{#N/A,#N/A,FALSE,"Cover"}</definedName>
    <definedName name="hyjuk" localSheetId="11" hidden="1">{#N/A,#N/A,FALSE,"Cover"}</definedName>
    <definedName name="hyjuk" localSheetId="4" hidden="1">{#N/A,#N/A,FALSE,"Cover"}</definedName>
    <definedName name="hyjuk" localSheetId="2" hidden="1">{#N/A,#N/A,FALSE,"Cover"}</definedName>
    <definedName name="hyjuk" localSheetId="13" hidden="1">{#N/A,#N/A,FALSE,"Cover"}</definedName>
    <definedName name="hyjuk" localSheetId="12" hidden="1">{#N/A,#N/A,FALSE,"Cover"}</definedName>
    <definedName name="hyjuk" localSheetId="15" hidden="1">{#N/A,#N/A,FALSE,"Cover"}</definedName>
    <definedName name="hyjuk" localSheetId="14" hidden="1">{#N/A,#N/A,FALSE,"Cover"}</definedName>
    <definedName name="hyjuk" hidden="1">{#N/A,#N/A,FALSE,"Cover"}</definedName>
    <definedName name="i">426.9/408.9</definedName>
    <definedName name="I_CON_EOAF" localSheetId="4">#REF!</definedName>
    <definedName name="I_CON_EOAF" localSheetId="1">#REF!</definedName>
    <definedName name="I_CON_EOAF" localSheetId="7">'[19]EECC-NOTAS H e I'!#REF!</definedName>
    <definedName name="I_CON_EOAF" localSheetId="2">#REF!</definedName>
    <definedName name="I_CON_EOAF">#REF!</definedName>
    <definedName name="I_INV_EERR" localSheetId="1">#REF!</definedName>
    <definedName name="I_INV_EERR" localSheetId="7">#REF!</definedName>
    <definedName name="I_INV_EERR" localSheetId="2">#REF!</definedName>
    <definedName name="I_INV_EERR">#REF!</definedName>
    <definedName name="I_INV_EOAF" localSheetId="7">#REF!</definedName>
    <definedName name="I_INV_EOAF" localSheetId="2">#REF!</definedName>
    <definedName name="I_INV_EOAF">#REF!</definedName>
    <definedName name="I_INV_EST_PATR" localSheetId="7">#REF!</definedName>
    <definedName name="I_INV_EST_PATR">#REF!</definedName>
    <definedName name="I_INV_EVOPN" localSheetId="7">#REF!</definedName>
    <definedName name="I_INV_EVOPN">#REF!</definedName>
    <definedName name="ic">149.5/139.5</definedName>
    <definedName name="icms" localSheetId="4">#REF!</definedName>
    <definedName name="icms" localSheetId="7">[30]ENTRADA!$B$59</definedName>
    <definedName name="icms">#REF!</definedName>
    <definedName name="icmsc" localSheetId="4">#REF!</definedName>
    <definedName name="icmsc" localSheetId="1">#REF!</definedName>
    <definedName name="icmsc" localSheetId="7">[22]Fatores!$C$10</definedName>
    <definedName name="icmsc">#REF!</definedName>
    <definedName name="icmsv" localSheetId="4">#REF!</definedName>
    <definedName name="icmsv" localSheetId="1">#REF!</definedName>
    <definedName name="icmsv" localSheetId="7">[22]Fatores!$C$11</definedName>
    <definedName name="icmsv">#REF!</definedName>
    <definedName name="IdSociedad">"E0101"</definedName>
    <definedName name="ifhiofse" localSheetId="7" hidden="1">#REF!</definedName>
    <definedName name="ifhiofse" hidden="1">#REF!</definedName>
    <definedName name="iiiyy" localSheetId="4" hidden="1">#REF!</definedName>
    <definedName name="iiiyy" localSheetId="7" hidden="1">[26]Template!$F$8:$F$35</definedName>
    <definedName name="iiiyy" hidden="1">#REF!</definedName>
    <definedName name="IKÇ" localSheetId="5" hidden="1">{#N/A,#N/A,FALSE,"Dutos";#N/A,#N/A,FALSE,"Terminais"}</definedName>
    <definedName name="IKÇ" localSheetId="11" hidden="1">{#N/A,#N/A,FALSE,"Dutos";#N/A,#N/A,FALSE,"Terminais"}</definedName>
    <definedName name="IKÇ" localSheetId="4" hidden="1">{#N/A,#N/A,FALSE,"Dutos";#N/A,#N/A,FALSE,"Terminais"}</definedName>
    <definedName name="IKÇ" localSheetId="2" hidden="1">{#N/A,#N/A,FALSE,"Dutos";#N/A,#N/A,FALSE,"Terminais"}</definedName>
    <definedName name="IKÇ" localSheetId="13" hidden="1">{#N/A,#N/A,FALSE,"Dutos";#N/A,#N/A,FALSE,"Terminais"}</definedName>
    <definedName name="IKÇ" localSheetId="12" hidden="1">{#N/A,#N/A,FALSE,"Dutos";#N/A,#N/A,FALSE,"Terminais"}</definedName>
    <definedName name="IKÇ" localSheetId="15" hidden="1">{#N/A,#N/A,FALSE,"Dutos";#N/A,#N/A,FALSE,"Terminais"}</definedName>
    <definedName name="IKÇ" localSheetId="14" hidden="1">{#N/A,#N/A,FALSE,"Dutos";#N/A,#N/A,FALSE,"Terminais"}</definedName>
    <definedName name="IKÇ" hidden="1">{#N/A,#N/A,FALSE,"Dutos";#N/A,#N/A,FALSE,"Terminais"}</definedName>
    <definedName name="IM" localSheetId="1">#REF!</definedName>
    <definedName name="IM" localSheetId="7">#REF!</definedName>
    <definedName name="IM" localSheetId="2">#REF!</definedName>
    <definedName name="IM">#REF!</definedName>
    <definedName name="impre" localSheetId="4">#REF!</definedName>
    <definedName name="impre" localSheetId="1">#REF!</definedName>
    <definedName name="impre" localSheetId="7">[16]ANUAL952!$A$1:$I$81</definedName>
    <definedName name="impre" localSheetId="2">#REF!</definedName>
    <definedName name="impre">#REF!</definedName>
    <definedName name="IMPUESTO" localSheetId="1">#REF!</definedName>
    <definedName name="IMPUESTO" localSheetId="7">#REF!</definedName>
    <definedName name="IMPUESTO" localSheetId="2">#REF!</definedName>
    <definedName name="IMPUESTO">#REF!</definedName>
    <definedName name="IMPUESTO2" localSheetId="7">#REF!</definedName>
    <definedName name="IMPUESTO2">#REF!</definedName>
    <definedName name="Ind_alo_rea_cli">#REF!</definedName>
    <definedName name="Ind_datos_cli_ceg">#REF!</definedName>
    <definedName name="Ind_datos_cli_rio">#REF!</definedName>
    <definedName name="Ind_datos_cli_sps">#REF!</definedName>
    <definedName name="Ind_proy_bajas">#REF!</definedName>
    <definedName name="INDICADORES" localSheetId="7">#REF!</definedName>
    <definedName name="INDICADORES">#REF!</definedName>
    <definedName name="inflation">#REF!</definedName>
    <definedName name="INFORMACOES">#REF!</definedName>
    <definedName name="INFORME_MENSUAL" localSheetId="7">#REF!</definedName>
    <definedName name="INFORME_MENSUAL">#REF!</definedName>
    <definedName name="INGVTAS" localSheetId="7">#REF!</definedName>
    <definedName name="INGVTAS">#REF!</definedName>
    <definedName name="Initial_existing_assets_r" localSheetId="7">#REF!</definedName>
    <definedName name="Initial_existing_assets_r">#REF!</definedName>
    <definedName name="input">#REF!</definedName>
    <definedName name="Int" localSheetId="7">#REF!</definedName>
    <definedName name="Int">#REF!</definedName>
    <definedName name="INTE2006">#REF!</definedName>
    <definedName name="INTE2007">#REF!</definedName>
    <definedName name="INTE2008">#REF!</definedName>
    <definedName name="INTE2009">#REF!</definedName>
    <definedName name="INTE2010">#REF!</definedName>
    <definedName name="INTE2011">#REF!</definedName>
    <definedName name="INTE2012">#REF!</definedName>
    <definedName name="Integra" localSheetId="7">#REF!</definedName>
    <definedName name="Integra">#REF!</definedName>
    <definedName name="Interest_Rate" localSheetId="7">#REF!</definedName>
    <definedName name="Interest_Rate">#REF!</definedName>
    <definedName name="inv_RT12cred" localSheetId="4">#REF!</definedName>
    <definedName name="inv_RT12cred" localSheetId="7">'[31]NOTAS-INV'!#REF!</definedName>
    <definedName name="inv_RT12cred">#REF!</definedName>
    <definedName name="inv_RT12deudas" localSheetId="4">#REF!</definedName>
    <definedName name="inv_RT12deudas" localSheetId="7">'[31]NOTAS-INV'!#REF!</definedName>
    <definedName name="inv_RT12deudas">#REF!</definedName>
    <definedName name="investments" localSheetId="7" hidden="1">[1]SINTESIS!$M$7:$M$12</definedName>
    <definedName name="investments" hidden="1">#REF!</definedName>
    <definedName name="INVMAT" localSheetId="1">#REF!</definedName>
    <definedName name="INVMAT" localSheetId="7">#REF!</definedName>
    <definedName name="INVMAT">#REF!</definedName>
    <definedName name="ip">27.1/27.1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localSheetId="5" hidden="1">"c116"</definedName>
    <definedName name="IQ_CASH_ACQUIRE_CF" localSheetId="11" hidden="1">"c1630"</definedName>
    <definedName name="IQ_CASH_ACQUIRE_CF" localSheetId="13" hidden="1">"c1630"</definedName>
    <definedName name="IQ_CASH_ACQUIRE_CF" localSheetId="12" hidden="1">"c1630"</definedName>
    <definedName name="IQ_CASH_ACQUIRE_CF" localSheetId="15" hidden="1">"c1630"</definedName>
    <definedName name="IQ_CASH_ACQUIRE_CF" localSheetId="14" hidden="1">"c1630"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localSheetId="5" hidden="1">"c2205"</definedName>
    <definedName name="IQ_DIV_PAYMENT_DATE" localSheetId="11" hidden="1">"c2106"</definedName>
    <definedName name="IQ_DIV_PAYMENT_DATE" localSheetId="13" hidden="1">"c2106"</definedName>
    <definedName name="IQ_DIV_PAYMENT_DATE" localSheetId="12" hidden="1">"c2106"</definedName>
    <definedName name="IQ_DIV_PAYMENT_DATE" localSheetId="15" hidden="1">"c2106"</definedName>
    <definedName name="IQ_DIV_PAYMENT_DATE" localSheetId="14" hidden="1">"c2106"</definedName>
    <definedName name="IQ_DIV_PAYMENT_DATE" hidden="1">"c2205"</definedName>
    <definedName name="IQ_DIV_RECORD_DATE" localSheetId="5" hidden="1">"c2204"</definedName>
    <definedName name="IQ_DIV_RECORD_DATE" localSheetId="11" hidden="1">"c2105"</definedName>
    <definedName name="IQ_DIV_RECORD_DATE" localSheetId="13" hidden="1">"c2105"</definedName>
    <definedName name="IQ_DIV_RECORD_DATE" localSheetId="12" hidden="1">"c2105"</definedName>
    <definedName name="IQ_DIV_RECORD_DATE" localSheetId="15" hidden="1">"c2105"</definedName>
    <definedName name="IQ_DIV_RECORD_DATE" localSheetId="14" hidden="1">"c2105"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5" hidden="1">43020.211087963</definedName>
    <definedName name="IQ_NAMES_REVISION_DATE_" localSheetId="11" hidden="1">40654.6309606481</definedName>
    <definedName name="IQ_NAMES_REVISION_DATE_" localSheetId="13" hidden="1">40654.6309606481</definedName>
    <definedName name="IQ_NAMES_REVISION_DATE_" localSheetId="12" hidden="1">40654.6309606481</definedName>
    <definedName name="IQ_NAMES_REVISION_DATE_" localSheetId="15" hidden="1">40654.6309606481</definedName>
    <definedName name="IQ_NAMES_REVISION_DATE_" localSheetId="14" hidden="1">40654.6309606481</definedName>
    <definedName name="IQ_NAMES_REVISION_DATE_" hidden="1">43020.211087963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localSheetId="5" hidden="1">"c1023"</definedName>
    <definedName name="IQ_OUTSTANDING_FILING_DATE" localSheetId="11" hidden="1">"c2127"</definedName>
    <definedName name="IQ_OUTSTANDING_FILING_DATE" localSheetId="13" hidden="1">"c2127"</definedName>
    <definedName name="IQ_OUTSTANDING_FILING_DATE" localSheetId="12" hidden="1">"c2127"</definedName>
    <definedName name="IQ_OUTSTANDING_FILING_DATE" localSheetId="15" hidden="1">"c2127"</definedName>
    <definedName name="IQ_OUTSTANDING_FILING_DATE" localSheetId="14" hidden="1">"c2127"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localSheetId="5" hidden="1">"c2903"</definedName>
    <definedName name="IQ_RETAIL_ACQUIRED_FRANCHISE_STORES" localSheetId="11" hidden="1">"c2895"</definedName>
    <definedName name="IQ_RETAIL_ACQUIRED_FRANCHISE_STORES" localSheetId="13" hidden="1">"c2895"</definedName>
    <definedName name="IQ_RETAIL_ACQUIRED_FRANCHISE_STORES" localSheetId="12" hidden="1">"c2895"</definedName>
    <definedName name="IQ_RETAIL_ACQUIRED_FRANCHISE_STORES" localSheetId="15" hidden="1">"c2895"</definedName>
    <definedName name="IQ_RETAIL_ACQUIRED_FRANCHISE_STORES" localSheetId="14" hidden="1">"c2895"</definedName>
    <definedName name="IQ_RETAIL_ACQUIRED_FRANCHISE_STORES" hidden="1">"c2903"</definedName>
    <definedName name="IQ_RETAIL_ACQUIRED_OWNED_STORES" localSheetId="5" hidden="1">"c2895"</definedName>
    <definedName name="IQ_RETAIL_ACQUIRED_OWNED_STORES" localSheetId="11" hidden="1">"c2903"</definedName>
    <definedName name="IQ_RETAIL_ACQUIRED_OWNED_STORES" localSheetId="13" hidden="1">"c2903"</definedName>
    <definedName name="IQ_RETAIL_ACQUIRED_OWNED_STORES" localSheetId="12" hidden="1">"c2903"</definedName>
    <definedName name="IQ_RETAIL_ACQUIRED_OWNED_STORES" localSheetId="15" hidden="1">"c2903"</definedName>
    <definedName name="IQ_RETAIL_ACQUIRED_OWNED_STORES" localSheetId="14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localSheetId="5" hidden="1">39198.552349537</definedName>
    <definedName name="IQ_REVISION_DATE_" localSheetId="11" hidden="1">39825.5794791667</definedName>
    <definedName name="IQ_REVISION_DATE_" localSheetId="13" hidden="1">39825.5794791667</definedName>
    <definedName name="IQ_REVISION_DATE_" localSheetId="12" hidden="1">39825.5794791667</definedName>
    <definedName name="IQ_REVISION_DATE_" localSheetId="15" hidden="1">39825.5794791667</definedName>
    <definedName name="IQ_REVISION_DATE_" localSheetId="14" hidden="1">39825.5794791667</definedName>
    <definedName name="IQ_REVISION_DATE_" hidden="1">39198.552349537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localSheetId="5" hidden="1">"c2203"</definedName>
    <definedName name="IQ_XDIV_DATE" localSheetId="11" hidden="1">"c2104"</definedName>
    <definedName name="IQ_XDIV_DATE" localSheetId="13" hidden="1">"c2104"</definedName>
    <definedName name="IQ_XDIV_DATE" localSheetId="12" hidden="1">"c2104"</definedName>
    <definedName name="IQ_XDIV_DATE" localSheetId="15" hidden="1">"c2104"</definedName>
    <definedName name="IQ_XDIV_DATE" localSheetId="14" hidden="1">"c2104"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PJ98" localSheetId="5" hidden="1">{#N/A,#N/A,FALSE,"IR E CS 1997";#N/A,#N/A,FALSE,"PR ND";#N/A,#N/A,FALSE,"8191";#N/A,#N/A,FALSE,"8383";#N/A,#N/A,FALSE,"MP 1024";#N/A,#N/A,FALSE,"AD_EX_97";#N/A,#N/A,FALSE,"BD 97"}</definedName>
    <definedName name="IRPJ98" localSheetId="11" hidden="1">{#N/A,#N/A,FALSE,"IR E CS 1997";#N/A,#N/A,FALSE,"PR ND";#N/A,#N/A,FALSE,"8191";#N/A,#N/A,FALSE,"8383";#N/A,#N/A,FALSE,"MP 1024";#N/A,#N/A,FALSE,"AD_EX_97";#N/A,#N/A,FALSE,"BD 97"}</definedName>
    <definedName name="IRPJ98" localSheetId="4" hidden="1">{#N/A,#N/A,FALSE,"IR E CS 1997";#N/A,#N/A,FALSE,"PR ND";#N/A,#N/A,FALSE,"8191";#N/A,#N/A,FALSE,"8383";#N/A,#N/A,FALSE,"MP 1024";#N/A,#N/A,FALSE,"AD_EX_97";#N/A,#N/A,FALSE,"BD 97"}</definedName>
    <definedName name="IRPJ98" localSheetId="2" hidden="1">{#N/A,#N/A,FALSE,"IR E CS 1997";#N/A,#N/A,FALSE,"PR ND";#N/A,#N/A,FALSE,"8191";#N/A,#N/A,FALSE,"8383";#N/A,#N/A,FALSE,"MP 1024";#N/A,#N/A,FALSE,"AD_EX_97";#N/A,#N/A,FALSE,"BD 97"}</definedName>
    <definedName name="IRPJ98" localSheetId="13" hidden="1">{#N/A,#N/A,FALSE,"IR E CS 1997";#N/A,#N/A,FALSE,"PR ND";#N/A,#N/A,FALSE,"8191";#N/A,#N/A,FALSE,"8383";#N/A,#N/A,FALSE,"MP 1024";#N/A,#N/A,FALSE,"AD_EX_97";#N/A,#N/A,FALSE,"BD 97"}</definedName>
    <definedName name="IRPJ98" localSheetId="12" hidden="1">{#N/A,#N/A,FALSE,"IR E CS 1997";#N/A,#N/A,FALSE,"PR ND";#N/A,#N/A,FALSE,"8191";#N/A,#N/A,FALSE,"8383";#N/A,#N/A,FALSE,"MP 1024";#N/A,#N/A,FALSE,"AD_EX_97";#N/A,#N/A,FALSE,"BD 97"}</definedName>
    <definedName name="IRPJ98" localSheetId="15" hidden="1">{#N/A,#N/A,FALSE,"IR E CS 1997";#N/A,#N/A,FALSE,"PR ND";#N/A,#N/A,FALSE,"8191";#N/A,#N/A,FALSE,"8383";#N/A,#N/A,FALSE,"MP 1024";#N/A,#N/A,FALSE,"AD_EX_97";#N/A,#N/A,FALSE,"BD 97"}</definedName>
    <definedName name="IRPJ98" localSheetId="14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ruña" localSheetId="7" hidden="1">[7]SINTESIS!$M$7:$M$12</definedName>
    <definedName name="iruña" hidden="1">#REF!</definedName>
    <definedName name="it">1</definedName>
    <definedName name="ITAÚNVG" localSheetId="1">#REF!</definedName>
    <definedName name="ITAÚNVG" localSheetId="7">#REF!</definedName>
    <definedName name="ITAÚNVG" localSheetId="2">#REF!</definedName>
    <definedName name="ITAÚNVG">#REF!</definedName>
    <definedName name="itsn">86.8/83.5</definedName>
    <definedName name="JANA" localSheetId="5" hidden="1">{"Fecha_Novembro",#N/A,FALSE,"FECHAMENTO-2002 ";"Defer_Novembro",#N/A,FALSE,"DIFERIDO";"Pis_Novembro",#N/A,FALSE,"PIS COFINS";"Iss_Novembro",#N/A,FALSE,"ISS"}</definedName>
    <definedName name="JANA" localSheetId="11" hidden="1">{"Fecha_Novembro",#N/A,FALSE,"FECHAMENTO-2002 ";"Defer_Novembro",#N/A,FALSE,"DIFERIDO";"Pis_Novembro",#N/A,FALSE,"PIS COFINS";"Iss_Novembro",#N/A,FALSE,"ISS"}</definedName>
    <definedName name="JANA" localSheetId="4" hidden="1">{"Fecha_Novembro",#N/A,FALSE,"FECHAMENTO-2002 ";"Defer_Novembro",#N/A,FALSE,"DIFERIDO";"Pis_Novembro",#N/A,FALSE,"PIS COFINS";"Iss_Novembro",#N/A,FALSE,"ISS"}</definedName>
    <definedName name="JANA" localSheetId="2" hidden="1">{"Fecha_Novembro",#N/A,FALSE,"FECHAMENTO-2002 ";"Defer_Novembro",#N/A,FALSE,"DIFERIDO";"Pis_Novembro",#N/A,FALSE,"PIS COFINS";"Iss_Novembro",#N/A,FALSE,"ISS"}</definedName>
    <definedName name="JANA" localSheetId="13" hidden="1">{"Fecha_Novembro",#N/A,FALSE,"FECHAMENTO-2002 ";"Defer_Novembro",#N/A,FALSE,"DIFERIDO";"Pis_Novembro",#N/A,FALSE,"PIS COFINS";"Iss_Novembro",#N/A,FALSE,"ISS"}</definedName>
    <definedName name="JANA" localSheetId="12" hidden="1">{"Fecha_Novembro",#N/A,FALSE,"FECHAMENTO-2002 ";"Defer_Novembro",#N/A,FALSE,"DIFERIDO";"Pis_Novembro",#N/A,FALSE,"PIS COFINS";"Iss_Novembro",#N/A,FALSE,"ISS"}</definedName>
    <definedName name="JANA" localSheetId="15" hidden="1">{"Fecha_Novembro",#N/A,FALSE,"FECHAMENTO-2002 ";"Defer_Novembro",#N/A,FALSE,"DIFERIDO";"Pis_Novembro",#N/A,FALSE,"PIS COFINS";"Iss_Novembro",#N/A,FALSE,"ISS"}</definedName>
    <definedName name="JANA" localSheetId="14" hidden="1">{"Fecha_Novembro",#N/A,FALSE,"FECHAMENTO-2002 ";"Defer_Novembro",#N/A,FALSE,"DIFERIDO";"Pis_Novembro",#N/A,FALSE,"PIS COFINS";"Iss_Novembro",#N/A,FALSE,"ISS"}</definedName>
    <definedName name="JANA" hidden="1">{"Fecha_Novembro",#N/A,FALSE,"FECHAMENTO-2002 ";"Defer_Novembro",#N/A,FALSE,"DIFERIDO";"Pis_Novembro",#N/A,FALSE,"PIS COFINS";"Iss_Novembro",#N/A,FALSE,"ISS"}</definedName>
    <definedName name="jh" localSheetId="5" hidden="1">{"Fecha_Novembro",#N/A,FALSE,"FECHAMENTO-2002 ";"Defer_Novembro",#N/A,FALSE,"DIFERIDO";"Pis_Novembro",#N/A,FALSE,"PIS COFINS";"Iss_Novembro",#N/A,FALSE,"ISS"}</definedName>
    <definedName name="jh" localSheetId="11" hidden="1">{"Fecha_Novembro",#N/A,FALSE,"FECHAMENTO-2002 ";"Defer_Novembro",#N/A,FALSE,"DIFERIDO";"Pis_Novembro",#N/A,FALSE,"PIS COFINS";"Iss_Novembro",#N/A,FALSE,"ISS"}</definedName>
    <definedName name="jh" localSheetId="4" hidden="1">{"Fecha_Novembro",#N/A,FALSE,"FECHAMENTO-2002 ";"Defer_Novembro",#N/A,FALSE,"DIFERIDO";"Pis_Novembro",#N/A,FALSE,"PIS COFINS";"Iss_Novembro",#N/A,FALSE,"ISS"}</definedName>
    <definedName name="jh" localSheetId="2" hidden="1">{"Fecha_Novembro",#N/A,FALSE,"FECHAMENTO-2002 ";"Defer_Novembro",#N/A,FALSE,"DIFERIDO";"Pis_Novembro",#N/A,FALSE,"PIS COFINS";"Iss_Novembro",#N/A,FALSE,"ISS"}</definedName>
    <definedName name="jh" localSheetId="13" hidden="1">{"Fecha_Novembro",#N/A,FALSE,"FECHAMENTO-2002 ";"Defer_Novembro",#N/A,FALSE,"DIFERIDO";"Pis_Novembro",#N/A,FALSE,"PIS COFINS";"Iss_Novembro",#N/A,FALSE,"ISS"}</definedName>
    <definedName name="jh" localSheetId="12" hidden="1">{"Fecha_Novembro",#N/A,FALSE,"FECHAMENTO-2002 ";"Defer_Novembro",#N/A,FALSE,"DIFERIDO";"Pis_Novembro",#N/A,FALSE,"PIS COFINS";"Iss_Novembro",#N/A,FALSE,"ISS"}</definedName>
    <definedName name="jh" localSheetId="15" hidden="1">{"Fecha_Novembro",#N/A,FALSE,"FECHAMENTO-2002 ";"Defer_Novembro",#N/A,FALSE,"DIFERIDO";"Pis_Novembro",#N/A,FALSE,"PIS COFINS";"Iss_Novembro",#N/A,FALSE,"ISS"}</definedName>
    <definedName name="jh" localSheetId="14" hidden="1">{"Fecha_Novembro",#N/A,FALSE,"FECHAMENTO-2002 ";"Defer_Novembro",#N/A,FALSE,"DIFERIDO";"Pis_Novembro",#N/A,FALSE,"PIS COFINS";"Iss_Novembro",#N/A,FALSE,"ISS"}</definedName>
    <definedName name="jh" hidden="1">{"Fecha_Novembro",#N/A,FALSE,"FECHAMENTO-2002 ";"Defer_Novembro",#N/A,FALSE,"DIFERIDO";"Pis_Novembro",#N/A,FALSE,"PIS COFINS";"Iss_Novembro",#N/A,FALSE,"ISS"}</definedName>
    <definedName name="jjuuu" localSheetId="4" hidden="1">#REF!</definedName>
    <definedName name="jjuuu" localSheetId="7" hidden="1">[29]A!$B$45:$D$45</definedName>
    <definedName name="jjuuu" hidden="1">#REF!</definedName>
    <definedName name="jkkli" localSheetId="5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1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4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3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5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localSheetId="14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kkli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jp" localSheetId="5" hidden="1">{"uno",#N/A,FALSE,"Dist total";"COMENTARIO",#N/A,FALSE,"Ficha CODICE"}</definedName>
    <definedName name="jp" localSheetId="11" hidden="1">{"uno",#N/A,FALSE,"Dist total";"COMENTARIO",#N/A,FALSE,"Ficha CODICE"}</definedName>
    <definedName name="jp" localSheetId="4" hidden="1">{"uno",#N/A,FALSE,"Dist total";"COMENTARIO",#N/A,FALSE,"Ficha CODICE"}</definedName>
    <definedName name="jp" localSheetId="1" hidden="1">{"uno",#N/A,FALSE,"Dist total";"COMENTARIO",#N/A,FALSE,"Ficha CODICE"}</definedName>
    <definedName name="jp" localSheetId="7" hidden="1">{"uno",#N/A,FALSE,"Dist total";"COMENTARIO",#N/A,FALSE,"Ficha CODICE"}</definedName>
    <definedName name="jp" localSheetId="2" hidden="1">{"uno",#N/A,FALSE,"Dist total";"COMENTARIO",#N/A,FALSE,"Ficha CODICE"}</definedName>
    <definedName name="jp" localSheetId="13" hidden="1">{"uno",#N/A,FALSE,"Dist total";"COMENTARIO",#N/A,FALSE,"Ficha CODICE"}</definedName>
    <definedName name="jp" localSheetId="12" hidden="1">{"uno",#N/A,FALSE,"Dist total";"COMENTARIO",#N/A,FALSE,"Ficha CODICE"}</definedName>
    <definedName name="jp" localSheetId="15" hidden="1">{"uno",#N/A,FALSE,"Dist total";"COMENTARIO",#N/A,FALSE,"Ficha CODICE"}</definedName>
    <definedName name="jp" localSheetId="14" hidden="1">{"uno",#N/A,FALSE,"Dist total";"COMENTARIO",#N/A,FALSE,"Ficha CODICE"}</definedName>
    <definedName name="jp" hidden="1">{"uno",#N/A,FALSE,"Dist total";"COMENTARIO",#N/A,FALSE,"Ficha CODICE"}</definedName>
    <definedName name="Julio">#REF!</definedName>
    <definedName name="Junio">#REF!</definedName>
    <definedName name="Justif" localSheetId="5" hidden="1">{#N/A,#N/A,FALSE,"Extra2";#N/A,#N/A,FALSE,"Comp2";#N/A,#N/A,FALSE,"Ret-PL"}</definedName>
    <definedName name="Justif" localSheetId="11" hidden="1">{#N/A,#N/A,FALSE,"Extra2";#N/A,#N/A,FALSE,"Comp2";#N/A,#N/A,FALSE,"Ret-PL"}</definedName>
    <definedName name="Justif" localSheetId="4" hidden="1">{#N/A,#N/A,FALSE,"Extra2";#N/A,#N/A,FALSE,"Comp2";#N/A,#N/A,FALSE,"Ret-PL"}</definedName>
    <definedName name="Justif" localSheetId="2" hidden="1">{#N/A,#N/A,FALSE,"Extra2";#N/A,#N/A,FALSE,"Comp2";#N/A,#N/A,FALSE,"Ret-PL"}</definedName>
    <definedName name="Justif" localSheetId="13" hidden="1">{#N/A,#N/A,FALSE,"Extra2";#N/A,#N/A,FALSE,"Comp2";#N/A,#N/A,FALSE,"Ret-PL"}</definedName>
    <definedName name="Justif" localSheetId="12" hidden="1">{#N/A,#N/A,FALSE,"Extra2";#N/A,#N/A,FALSE,"Comp2";#N/A,#N/A,FALSE,"Ret-PL"}</definedName>
    <definedName name="Justif" localSheetId="15" hidden="1">{#N/A,#N/A,FALSE,"Extra2";#N/A,#N/A,FALSE,"Comp2";#N/A,#N/A,FALSE,"Ret-PL"}</definedName>
    <definedName name="Justif" localSheetId="14" hidden="1">{#N/A,#N/A,FALSE,"Extra2";#N/A,#N/A,FALSE,"Comp2";#N/A,#N/A,FALSE,"Ret-PL"}</definedName>
    <definedName name="Justif" hidden="1">{#N/A,#N/A,FALSE,"Extra2";#N/A,#N/A,FALSE,"Comp2";#N/A,#N/A,FALSE,"Ret-PL"}</definedName>
    <definedName name="Justif_03" localSheetId="5" hidden="1">{#N/A,#N/A,FALSE,"Extra2";#N/A,#N/A,FALSE,"Comp2";#N/A,#N/A,FALSE,"Ret-PL"}</definedName>
    <definedName name="Justif_03" localSheetId="11" hidden="1">{#N/A,#N/A,FALSE,"Extra2";#N/A,#N/A,FALSE,"Comp2";#N/A,#N/A,FALSE,"Ret-PL"}</definedName>
    <definedName name="Justif_03" localSheetId="4" hidden="1">{#N/A,#N/A,FALSE,"Extra2";#N/A,#N/A,FALSE,"Comp2";#N/A,#N/A,FALSE,"Ret-PL"}</definedName>
    <definedName name="Justif_03" localSheetId="2" hidden="1">{#N/A,#N/A,FALSE,"Extra2";#N/A,#N/A,FALSE,"Comp2";#N/A,#N/A,FALSE,"Ret-PL"}</definedName>
    <definedName name="Justif_03" localSheetId="13" hidden="1">{#N/A,#N/A,FALSE,"Extra2";#N/A,#N/A,FALSE,"Comp2";#N/A,#N/A,FALSE,"Ret-PL"}</definedName>
    <definedName name="Justif_03" localSheetId="12" hidden="1">{#N/A,#N/A,FALSE,"Extra2";#N/A,#N/A,FALSE,"Comp2";#N/A,#N/A,FALSE,"Ret-PL"}</definedName>
    <definedName name="Justif_03" localSheetId="15" hidden="1">{#N/A,#N/A,FALSE,"Extra2";#N/A,#N/A,FALSE,"Comp2";#N/A,#N/A,FALSE,"Ret-PL"}</definedName>
    <definedName name="Justif_03" localSheetId="14" hidden="1">{#N/A,#N/A,FALSE,"Extra2";#N/A,#N/A,FALSE,"Comp2";#N/A,#N/A,FALSE,"Ret-PL"}</definedName>
    <definedName name="Justif_03" hidden="1">{#N/A,#N/A,FALSE,"Extra2";#N/A,#N/A,FALSE,"Comp2";#N/A,#N/A,FALSE,"Ret-PL"}</definedName>
    <definedName name="k" hidden="1">#REF!</definedName>
    <definedName name="kj" localSheetId="5" hidden="1">{#N/A,#N/A,FALSE,"RESUMO"}</definedName>
    <definedName name="kj" localSheetId="11" hidden="1">{#N/A,#N/A,FALSE,"RESUMO"}</definedName>
    <definedName name="kj" localSheetId="4" hidden="1">{#N/A,#N/A,FALSE,"RESUMO"}</definedName>
    <definedName name="kj" localSheetId="2" hidden="1">{#N/A,#N/A,FALSE,"RESUMO"}</definedName>
    <definedName name="kj" localSheetId="13" hidden="1">{#N/A,#N/A,FALSE,"RESUMO"}</definedName>
    <definedName name="kj" localSheetId="12" hidden="1">{#N/A,#N/A,FALSE,"RESUMO"}</definedName>
    <definedName name="kj" localSheetId="15" hidden="1">{#N/A,#N/A,FALSE,"RESUMO"}</definedName>
    <definedName name="kj" localSheetId="14" hidden="1">{#N/A,#N/A,FALSE,"RESUMO"}</definedName>
    <definedName name="kj" hidden="1">{#N/A,#N/A,FALSE,"RESUMO"}</definedName>
    <definedName name="KJL" localSheetId="5" hidden="1">{#N/A,#N/A,FALSE,"Dutos";#N/A,#N/A,FALSE,"Terminais"}</definedName>
    <definedName name="KJL" localSheetId="11" hidden="1">{#N/A,#N/A,FALSE,"Dutos";#N/A,#N/A,FALSE,"Terminais"}</definedName>
    <definedName name="KJL" localSheetId="4" hidden="1">{#N/A,#N/A,FALSE,"Dutos";#N/A,#N/A,FALSE,"Terminais"}</definedName>
    <definedName name="KJL" localSheetId="2" hidden="1">{#N/A,#N/A,FALSE,"Dutos";#N/A,#N/A,FALSE,"Terminais"}</definedName>
    <definedName name="KJL" localSheetId="13" hidden="1">{#N/A,#N/A,FALSE,"Dutos";#N/A,#N/A,FALSE,"Terminais"}</definedName>
    <definedName name="KJL" localSheetId="12" hidden="1">{#N/A,#N/A,FALSE,"Dutos";#N/A,#N/A,FALSE,"Terminais"}</definedName>
    <definedName name="KJL" localSheetId="15" hidden="1">{#N/A,#N/A,FALSE,"Dutos";#N/A,#N/A,FALSE,"Terminais"}</definedName>
    <definedName name="KJL" localSheetId="14" hidden="1">{#N/A,#N/A,FALSE,"Dutos";#N/A,#N/A,FALSE,"Terminais"}</definedName>
    <definedName name="KJL" hidden="1">{#N/A,#N/A,FALSE,"Dutos";#N/A,#N/A,FALSE,"Terminais"}</definedName>
    <definedName name="kkkkk" localSheetId="5" hidden="1">{"TotalGeralDespesasPorArea",#N/A,FALSE,"VinculosAccessEfetivo"}</definedName>
    <definedName name="kkkkk" localSheetId="11" hidden="1">{"TotalGeralDespesasPorArea",#N/A,FALSE,"VinculosAccessEfetivo"}</definedName>
    <definedName name="kkkkk" localSheetId="4" hidden="1">{"TotalGeralDespesasPorArea",#N/A,FALSE,"VinculosAccessEfetivo"}</definedName>
    <definedName name="kkkkk" localSheetId="2" hidden="1">{"TotalGeralDespesasPorArea",#N/A,FALSE,"VinculosAccessEfetivo"}</definedName>
    <definedName name="kkkkk" localSheetId="13" hidden="1">{"TotalGeralDespesasPorArea",#N/A,FALSE,"VinculosAccessEfetivo"}</definedName>
    <definedName name="kkkkk" localSheetId="12" hidden="1">{"TotalGeralDespesasPorArea",#N/A,FALSE,"VinculosAccessEfetivo"}</definedName>
    <definedName name="kkkkk" localSheetId="15" hidden="1">{"TotalGeralDespesasPorArea",#N/A,FALSE,"VinculosAccessEfetivo"}</definedName>
    <definedName name="kkkkk" localSheetId="14" hidden="1">{"TotalGeralDespesasPorArea",#N/A,FALSE,"VinculosAccessEfetivo"}</definedName>
    <definedName name="kkkkk" hidden="1">{"TotalGeralDespesasPorArea",#N/A,FALSE,"VinculosAccessEfetivo"}</definedName>
    <definedName name="kkkkkkkkk" localSheetId="5" hidden="1">{"Fecha_Dezembro",#N/A,FALSE,"FECHAMENTO-2002 ";"Defer_Dezermbro",#N/A,FALSE,"DIFERIDO";"Pis_Dezembro",#N/A,FALSE,"PIS COFINS";"Iss_Dezembro",#N/A,FALSE,"ISS"}</definedName>
    <definedName name="kkkkkkkkk" localSheetId="11" hidden="1">{"Fecha_Dezembro",#N/A,FALSE,"FECHAMENTO-2002 ";"Defer_Dezermbro",#N/A,FALSE,"DIFERIDO";"Pis_Dezembro",#N/A,FALSE,"PIS COFINS";"Iss_Dezembro",#N/A,FALSE,"ISS"}</definedName>
    <definedName name="kkkkkkkkk" localSheetId="4" hidden="1">{"Fecha_Dezembro",#N/A,FALSE,"FECHAMENTO-2002 ";"Defer_Dezermbro",#N/A,FALSE,"DIFERIDO";"Pis_Dezembro",#N/A,FALSE,"PIS COFINS";"Iss_Dezembro",#N/A,FALSE,"ISS"}</definedName>
    <definedName name="kkkkkkkkk" localSheetId="2" hidden="1">{"Fecha_Dezembro",#N/A,FALSE,"FECHAMENTO-2002 ";"Defer_Dezermbro",#N/A,FALSE,"DIFERIDO";"Pis_Dezembro",#N/A,FALSE,"PIS COFINS";"Iss_Dezembro",#N/A,FALSE,"ISS"}</definedName>
    <definedName name="kkkkkkkkk" localSheetId="13" hidden="1">{"Fecha_Dezembro",#N/A,FALSE,"FECHAMENTO-2002 ";"Defer_Dezermbro",#N/A,FALSE,"DIFERIDO";"Pis_Dezembro",#N/A,FALSE,"PIS COFINS";"Iss_Dezembro",#N/A,FALSE,"ISS"}</definedName>
    <definedName name="kkkkkkkkk" localSheetId="12" hidden="1">{"Fecha_Dezembro",#N/A,FALSE,"FECHAMENTO-2002 ";"Defer_Dezermbro",#N/A,FALSE,"DIFERIDO";"Pis_Dezembro",#N/A,FALSE,"PIS COFINS";"Iss_Dezembro",#N/A,FALSE,"ISS"}</definedName>
    <definedName name="kkkkkkkkk" localSheetId="15" hidden="1">{"Fecha_Dezembro",#N/A,FALSE,"FECHAMENTO-2002 ";"Defer_Dezermbro",#N/A,FALSE,"DIFERIDO";"Pis_Dezembro",#N/A,FALSE,"PIS COFINS";"Iss_Dezembro",#N/A,FALSE,"ISS"}</definedName>
    <definedName name="kkkkkkkkk" localSheetId="14" hidden="1">{"Fecha_Dezembro",#N/A,FALSE,"FECHAMENTO-2002 ";"Defer_Dezermbro",#N/A,FALSE,"DIFERIDO";"Pis_Dezembro",#N/A,FALSE,"PIS COFINS";"Iss_Dezembro",#N/A,FALSE,"ISS"}</definedName>
    <definedName name="kkkkkkkkk" hidden="1">{"Fecha_Dezembro",#N/A,FALSE,"FECHAMENTO-2002 ";"Defer_Dezermbro",#N/A,FALSE,"DIFERIDO";"Pis_Dezembro",#N/A,FALSE,"PIS COFINS";"Iss_Dezembro",#N/A,FALSE,"ISS"}</definedName>
    <definedName name="kksksksksks" hidden="1">#REF!</definedName>
    <definedName name="Last_Row">#N/A</definedName>
    <definedName name="lç" localSheetId="5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1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4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5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14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eyenda" localSheetId="1">#REF!</definedName>
    <definedName name="leyenda" localSheetId="7">#REF!</definedName>
    <definedName name="leyenda" localSheetId="2">#REF!</definedName>
    <definedName name="leyenda">#REF!</definedName>
    <definedName name="LIGHT" localSheetId="4">#REF!</definedName>
    <definedName name="LIGHT" localSheetId="1">#REF!</definedName>
    <definedName name="LIGHT" localSheetId="7">[32]Cogeração!#REF!</definedName>
    <definedName name="LIGHT" localSheetId="2">#REF!</definedName>
    <definedName name="LIGHT">#REF!</definedName>
    <definedName name="limcount" hidden="1">1</definedName>
    <definedName name="linha_variacao" localSheetId="2">#REF!</definedName>
    <definedName name="linha_variacao">#REF!</definedName>
    <definedName name="LISTA" localSheetId="1">#REF!</definedName>
    <definedName name="LISTA" localSheetId="7">#REF!</definedName>
    <definedName name="LISTA" localSheetId="2">#REF!</definedName>
    <definedName name="LISTA">#REF!</definedName>
    <definedName name="lista_mes" localSheetId="2">#REF!</definedName>
    <definedName name="lista_mes">#REF!</definedName>
    <definedName name="LIX" localSheetId="5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5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LIX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5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5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lixão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5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5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lixo" hidden="1">{#N/A,#N/A,FALSE,"Relatórios";"Vendas e Custos",#N/A,FALSE,"Vendas e Custos";"Premissas",#N/A,FALSE,"Premissas";"Projeções",#N/A,FALSE,"Projeções";"Dolar",#N/A,FALSE,"Dolar";"Original",#N/A,FALSE,"Original e UFIR"}</definedName>
    <definedName name="lixo2" localSheetId="5" hidden="1">{#N/A,#N/A,FALSE,"Dutos";#N/A,#N/A,FALSE,"Terminais"}</definedName>
    <definedName name="lixo2" localSheetId="11" hidden="1">{#N/A,#N/A,FALSE,"Dutos";#N/A,#N/A,FALSE,"Terminais"}</definedName>
    <definedName name="lixo2" localSheetId="4" hidden="1">{#N/A,#N/A,FALSE,"Dutos";#N/A,#N/A,FALSE,"Terminais"}</definedName>
    <definedName name="lixo2" localSheetId="2" hidden="1">{#N/A,#N/A,FALSE,"Dutos";#N/A,#N/A,FALSE,"Terminais"}</definedName>
    <definedName name="lixo2" localSheetId="13" hidden="1">{#N/A,#N/A,FALSE,"Dutos";#N/A,#N/A,FALSE,"Terminais"}</definedName>
    <definedName name="lixo2" localSheetId="12" hidden="1">{#N/A,#N/A,FALSE,"Dutos";#N/A,#N/A,FALSE,"Terminais"}</definedName>
    <definedName name="lixo2" localSheetId="15" hidden="1">{#N/A,#N/A,FALSE,"Dutos";#N/A,#N/A,FALSE,"Terminais"}</definedName>
    <definedName name="lixo2" localSheetId="14" hidden="1">{#N/A,#N/A,FALSE,"Dutos";#N/A,#N/A,FALSE,"Terminais"}</definedName>
    <definedName name="lixo2" hidden="1">{#N/A,#N/A,FALSE,"Dutos";#N/A,#N/A,FALSE,"Terminais"}</definedName>
    <definedName name="lixo3" localSheetId="5" hidden="1">{#N/A,#N/A,FALSE,"Dutos";#N/A,#N/A,FALSE,"Terminais"}</definedName>
    <definedName name="lixo3" localSheetId="11" hidden="1">{#N/A,#N/A,FALSE,"Dutos";#N/A,#N/A,FALSE,"Terminais"}</definedName>
    <definedName name="lixo3" localSheetId="4" hidden="1">{#N/A,#N/A,FALSE,"Dutos";#N/A,#N/A,FALSE,"Terminais"}</definedName>
    <definedName name="lixo3" localSheetId="2" hidden="1">{#N/A,#N/A,FALSE,"Dutos";#N/A,#N/A,FALSE,"Terminais"}</definedName>
    <definedName name="lixo3" localSheetId="13" hidden="1">{#N/A,#N/A,FALSE,"Dutos";#N/A,#N/A,FALSE,"Terminais"}</definedName>
    <definedName name="lixo3" localSheetId="12" hidden="1">{#N/A,#N/A,FALSE,"Dutos";#N/A,#N/A,FALSE,"Terminais"}</definedName>
    <definedName name="lixo3" localSheetId="15" hidden="1">{#N/A,#N/A,FALSE,"Dutos";#N/A,#N/A,FALSE,"Terminais"}</definedName>
    <definedName name="lixo3" localSheetId="14" hidden="1">{#N/A,#N/A,FALSE,"Dutos";#N/A,#N/A,FALSE,"Terminais"}</definedName>
    <definedName name="lixo3" hidden="1">{#N/A,#N/A,FALSE,"Dutos";#N/A,#N/A,FALSE,"Terminais"}</definedName>
    <definedName name="lk" localSheetId="7">#REF!</definedName>
    <definedName name="lk">#REF!</definedName>
    <definedName name="lll" localSheetId="5" hidden="1">{"'input-data'!$B$5:$R$22"}</definedName>
    <definedName name="lll" localSheetId="11" hidden="1">{"Fecha_Novembro",#N/A,FALSE,"FECHAMENTO-2002 ";"Defer_Novembro",#N/A,FALSE,"DIFERIDO";"Pis_Novembro",#N/A,FALSE,"PIS COFINS";"Iss_Novembro",#N/A,FALSE,"ISS"}</definedName>
    <definedName name="lll" localSheetId="4" hidden="1">{"'input-data'!$B$5:$R$22"}</definedName>
    <definedName name="lll" localSheetId="1" hidden="1">{"'input-data'!$B$5:$R$22"}</definedName>
    <definedName name="lll" localSheetId="7" hidden="1">{"'input-data'!$B$5:$R$22"}</definedName>
    <definedName name="lll" localSheetId="2" hidden="1">{"'input-data'!$B$5:$R$22"}</definedName>
    <definedName name="lll" localSheetId="13" hidden="1">{"Fecha_Novembro",#N/A,FALSE,"FECHAMENTO-2002 ";"Defer_Novembro",#N/A,FALSE,"DIFERIDO";"Pis_Novembro",#N/A,FALSE,"PIS COFINS";"Iss_Novembro",#N/A,FALSE,"ISS"}</definedName>
    <definedName name="lll" localSheetId="12" hidden="1">{"Fecha_Novembro",#N/A,FALSE,"FECHAMENTO-2002 ";"Defer_Novembro",#N/A,FALSE,"DIFERIDO";"Pis_Novembro",#N/A,FALSE,"PIS COFINS";"Iss_Novembro",#N/A,FALSE,"ISS"}</definedName>
    <definedName name="lll" localSheetId="15" hidden="1">{"Fecha_Novembro",#N/A,FALSE,"FECHAMENTO-2002 ";"Defer_Novembro",#N/A,FALSE,"DIFERIDO";"Pis_Novembro",#N/A,FALSE,"PIS COFINS";"Iss_Novembro",#N/A,FALSE,"ISS"}</definedName>
    <definedName name="lll" localSheetId="14" hidden="1">{"Fecha_Novembro",#N/A,FALSE,"FECHAMENTO-2002 ";"Defer_Novembro",#N/A,FALSE,"DIFERIDO";"Pis_Novembro",#N/A,FALSE,"PIS COFINS";"Iss_Novembro",#N/A,FALSE,"ISS"}</definedName>
    <definedName name="lll" hidden="1">{"'input-data'!$B$5:$R$22"}</definedName>
    <definedName name="Loan_Amount" localSheetId="7">#REF!</definedName>
    <definedName name="Loan_Amount">#REF!</definedName>
    <definedName name="Loan_Start" localSheetId="7">#REF!</definedName>
    <definedName name="Loan_Start">#REF!</definedName>
    <definedName name="Loan_Years" localSheetId="7">#REF!</definedName>
    <definedName name="Loan_Years">#REF!</definedName>
    <definedName name="Loiana" localSheetId="5" hidden="1">{#N/A,#N/A,FALSE,"Extra2";#N/A,#N/A,FALSE,"Comp2";#N/A,#N/A,FALSE,"Ret-PL"}</definedName>
    <definedName name="Loiana" localSheetId="11" hidden="1">{#N/A,#N/A,FALSE,"Extra2";#N/A,#N/A,FALSE,"Comp2";#N/A,#N/A,FALSE,"Ret-PL"}</definedName>
    <definedName name="Loiana" localSheetId="4" hidden="1">{#N/A,#N/A,FALSE,"Extra2";#N/A,#N/A,FALSE,"Comp2";#N/A,#N/A,FALSE,"Ret-PL"}</definedName>
    <definedName name="Loiana" localSheetId="2" hidden="1">{#N/A,#N/A,FALSE,"Extra2";#N/A,#N/A,FALSE,"Comp2";#N/A,#N/A,FALSE,"Ret-PL"}</definedName>
    <definedName name="Loiana" localSheetId="13" hidden="1">{#N/A,#N/A,FALSE,"Extra2";#N/A,#N/A,FALSE,"Comp2";#N/A,#N/A,FALSE,"Ret-PL"}</definedName>
    <definedName name="Loiana" localSheetId="12" hidden="1">{#N/A,#N/A,FALSE,"Extra2";#N/A,#N/A,FALSE,"Comp2";#N/A,#N/A,FALSE,"Ret-PL"}</definedName>
    <definedName name="Loiana" localSheetId="15" hidden="1">{#N/A,#N/A,FALSE,"Extra2";#N/A,#N/A,FALSE,"Comp2";#N/A,#N/A,FALSE,"Ret-PL"}</definedName>
    <definedName name="Loiana" localSheetId="14" hidden="1">{#N/A,#N/A,FALSE,"Extra2";#N/A,#N/A,FALSE,"Comp2";#N/A,#N/A,FALSE,"Ret-PL"}</definedName>
    <definedName name="Loiana" hidden="1">{#N/A,#N/A,FALSE,"Extra2";#N/A,#N/A,FALSE,"Comp2";#N/A,#N/A,FALSE,"Ret-PL"}</definedName>
    <definedName name="M.U_mes">#REF!</definedName>
    <definedName name="M.U_Mes_MPM">#REF!</definedName>
    <definedName name="m3_ano_anterior">#REF!</definedName>
    <definedName name="mag.eco" localSheetId="4">#REF!</definedName>
    <definedName name="mag.eco" localSheetId="7">'[33]Principales Mag. Económicas'!$A$1:$K$13</definedName>
    <definedName name="mag.eco">#REF!</definedName>
    <definedName name="marcelo" localSheetId="5" hidden="1">{#N/A,#N/A,TRUE,"Total Allocation";#N/A,#N/A,TRUE,"Capital Software";#N/A,#N/A,TRUE,"Misc";#N/A,#N/A,TRUE,"NAOG"}</definedName>
    <definedName name="marcelo" localSheetId="11" hidden="1">{#N/A,#N/A,TRUE,"Total Allocation";#N/A,#N/A,TRUE,"Capital Software";#N/A,#N/A,TRUE,"Misc";#N/A,#N/A,TRUE,"NAOG"}</definedName>
    <definedName name="marcelo" localSheetId="4" hidden="1">{#N/A,#N/A,TRUE,"Total Allocation";#N/A,#N/A,TRUE,"Capital Software";#N/A,#N/A,TRUE,"Misc";#N/A,#N/A,TRUE,"NAOG"}</definedName>
    <definedName name="marcelo" localSheetId="2" hidden="1">{#N/A,#N/A,TRUE,"Total Allocation";#N/A,#N/A,TRUE,"Capital Software";#N/A,#N/A,TRUE,"Misc";#N/A,#N/A,TRUE,"NAOG"}</definedName>
    <definedName name="marcelo" localSheetId="13" hidden="1">{#N/A,#N/A,TRUE,"Total Allocation";#N/A,#N/A,TRUE,"Capital Software";#N/A,#N/A,TRUE,"Misc";#N/A,#N/A,TRUE,"NAOG"}</definedName>
    <definedName name="marcelo" localSheetId="12" hidden="1">{#N/A,#N/A,TRUE,"Total Allocation";#N/A,#N/A,TRUE,"Capital Software";#N/A,#N/A,TRUE,"Misc";#N/A,#N/A,TRUE,"NAOG"}</definedName>
    <definedName name="marcelo" localSheetId="15" hidden="1">{#N/A,#N/A,TRUE,"Total Allocation";#N/A,#N/A,TRUE,"Capital Software";#N/A,#N/A,TRUE,"Misc";#N/A,#N/A,TRUE,"NAOG"}</definedName>
    <definedName name="marcelo" localSheetId="14" hidden="1">{#N/A,#N/A,TRUE,"Total Allocation";#N/A,#N/A,TRUE,"Capital Software";#N/A,#N/A,TRUE,"Misc";#N/A,#N/A,TRUE,"NAOG"}</definedName>
    <definedName name="marcelo" hidden="1">{#N/A,#N/A,TRUE,"Total Allocation";#N/A,#N/A,TRUE,"Capital Software";#N/A,#N/A,TRUE,"Misc";#N/A,#N/A,TRUE,"NAOG"}</definedName>
    <definedName name="MARMER" localSheetId="1">#REF!</definedName>
    <definedName name="MARMER" localSheetId="7">#REF!</definedName>
    <definedName name="MARMER" localSheetId="2">#REF!</definedName>
    <definedName name="MARMER">#REF!</definedName>
    <definedName name="MARSER" localSheetId="7">#REF!</definedName>
    <definedName name="MARSER" localSheetId="2">#REF!</definedName>
    <definedName name="MARSER">#REF!</definedName>
    <definedName name="MARVEN" localSheetId="7">#REF!</definedName>
    <definedName name="MARVEN" localSheetId="2">#REF!</definedName>
    <definedName name="MARVEN">#REF!</definedName>
    <definedName name="MARZO" localSheetId="4" hidden="1">#REF!</definedName>
    <definedName name="MARZO" localSheetId="7" hidden="1">[17]EXTRA!$E$10:$E$29</definedName>
    <definedName name="MARZO" hidden="1">#REF!</definedName>
    <definedName name="Mayo" localSheetId="4">#REF!</definedName>
    <definedName name="Mayo">#REF!</definedName>
    <definedName name="mensal" localSheetId="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rcado">#REF!</definedName>
    <definedName name="Mercado_ano_anterior">#REF!</definedName>
    <definedName name="merito1" hidden="1">#REF!</definedName>
    <definedName name="MES">#REF!</definedName>
    <definedName name="mes_ano_anterior">#REF!</definedName>
    <definedName name="mes_atual">#REF!</definedName>
    <definedName name="mes_cliente">#REF!</definedName>
    <definedName name="mes_escolhido" localSheetId="1">#REF!</definedName>
    <definedName name="mes_escolhido">#REF!</definedName>
    <definedName name="mes_PTO">#REF!</definedName>
    <definedName name="mes_vigente">#REF!</definedName>
    <definedName name="mesap">#REF!</definedName>
    <definedName name="meses">#REF!</definedName>
    <definedName name="meses2">#REF!</definedName>
    <definedName name="mhfhm" localSheetId="4" hidden="1">#REF!</definedName>
    <definedName name="mhfhm" localSheetId="7" hidden="1">[26]Template!$D$8:$D$35</definedName>
    <definedName name="mhfhm" hidden="1">#REF!</definedName>
    <definedName name="MILES" localSheetId="1">#REF!</definedName>
    <definedName name="MILES" localSheetId="7">#REF!</definedName>
    <definedName name="MILES">#REF!</definedName>
    <definedName name="mm" localSheetId="5" hidden="1">{"'CONS'!$A$10:$N$62"}</definedName>
    <definedName name="mm" localSheetId="11" hidden="1">{"'CONS'!$A$10:$N$62"}</definedName>
    <definedName name="mm" localSheetId="4" hidden="1">{"'CONS'!$A$10:$N$62"}</definedName>
    <definedName name="mm" localSheetId="2" hidden="1">{"'CONS'!$A$10:$N$62"}</definedName>
    <definedName name="mm" localSheetId="13" hidden="1">{"'CONS'!$A$10:$N$62"}</definedName>
    <definedName name="mm" localSheetId="12" hidden="1">{"'CONS'!$A$10:$N$62"}</definedName>
    <definedName name="mm" localSheetId="15" hidden="1">{"'CONS'!$A$10:$N$62"}</definedName>
    <definedName name="mm" localSheetId="14" hidden="1">{"'CONS'!$A$10:$N$62"}</definedName>
    <definedName name="mm" hidden="1">{"'CONS'!$A$10:$N$62"}</definedName>
    <definedName name="Moneda">"Pts"</definedName>
    <definedName name="monica" localSheetId="1">#REF!</definedName>
    <definedName name="monica" localSheetId="7">#REF!</definedName>
    <definedName name="monica" localSheetId="2">#REF!</definedName>
    <definedName name="monica">#REF!</definedName>
    <definedName name="monsp" localSheetId="2">#REF!</definedName>
    <definedName name="monsp">#REF!</definedName>
    <definedName name="MonthNames" localSheetId="5">{"Jan","Feb","Mar","Apr","May","Jun","Jul","Aug","Sep","Oct","Nov","Dec";"January","February","March","April","May","June","July","August","September","October","November","December"}</definedName>
    <definedName name="MonthNames" localSheetId="11">{"Jan","Feb","Mar","Apr","May","Jun","Jul","Aug","Sep","Oct","Nov","Dec";"January","February","March","April","May","June","July","August","September","October","November","December"}</definedName>
    <definedName name="MonthNames" localSheetId="4">{"Jan","Feb","Mar","Apr","May","Jun","Jul","Aug","Sep","Oct","Nov","Dec";"January","February","March","April","May","June","July","August","September","October","November","December"}</definedName>
    <definedName name="MonthNames" localSheetId="1">{"Jan","Feb","Mar","Apr","May","Jun","Jul","Aug","Sep","Oct","Nov","Dec";"January","February","March","April","May","June","July","August","September","October","November","December"}</definedName>
    <definedName name="MonthNames" localSheetId="2">{"Jan","Feb","Mar","Apr","May","Jun","Jul","Aug","Sep","Oct","Nov","Dec";"January","February","March","April","May","June","July","August","September","October","November","December"}</definedName>
    <definedName name="MonthNames" localSheetId="13">{"Jan","Feb","Mar","Apr","May","Jun","Jul","Aug","Sep","Oct","Nov","Dec";"January","February","March","April","May","June","July","August","September","October","November","December"}</definedName>
    <definedName name="MonthNames" localSheetId="12">{"Jan","Feb","Mar","Apr","May","Jun","Jul","Aug","Sep","Oct","Nov","Dec";"January","February","March","April","May","June","July","August","September","October","November","December"}</definedName>
    <definedName name="MonthNames" localSheetId="15">{"Jan","Feb","Mar","Apr","May","Jun","Jul","Aug","Sep","Oct","Nov","Dec";"January","February","March","April","May","June","July","August","September","October","November","December"}</definedName>
    <definedName name="MonthNames" localSheetId="14">{"Jan","Feb","Mar","Apr","May","Jun","Jul","Aug","Sep","Oct","Nov","Dec";"January","February","March","April","May","June","July","August","September","October","November","December"}</definedName>
    <definedName name="MonthNames">{"Jan","Feb","Mar","Apr","May","Jun","Jul","Aug","Sep","Oct","Nov","Dec";"January","February","March","April","May","June","July","August","September","October","November","December"}</definedName>
    <definedName name="Morosidade1" localSheetId="5" hidden="1">{"ANAR",#N/A,FALSE,"Dist total";"MARGEN",#N/A,FALSE,"Dist total";"COMENTARIO",#N/A,FALSE,"Ficha CODICE";"CONSEJO",#N/A,FALSE,"Dist p0";"uno",#N/A,FALSE,"Dist total"}</definedName>
    <definedName name="Morosidade1" localSheetId="11" hidden="1">{"ANAR",#N/A,FALSE,"Dist total";"MARGEN",#N/A,FALSE,"Dist total";"COMENTARIO",#N/A,FALSE,"Ficha CODICE";"CONSEJO",#N/A,FALSE,"Dist p0";"uno",#N/A,FALSE,"Dist total"}</definedName>
    <definedName name="Morosidade1" localSheetId="4" hidden="1">{"ANAR",#N/A,FALSE,"Dist total";"MARGEN",#N/A,FALSE,"Dist total";"COMENTARIO",#N/A,FALSE,"Ficha CODICE";"CONSEJO",#N/A,FALSE,"Dist p0";"uno",#N/A,FALSE,"Dist total"}</definedName>
    <definedName name="Morosidade1" localSheetId="1" hidden="1">{"ANAR",#N/A,FALSE,"Dist total";"MARGEN",#N/A,FALSE,"Dist total";"COMENTARIO",#N/A,FALSE,"Ficha CODICE";"CONSEJO",#N/A,FALSE,"Dist p0";"uno",#N/A,FALSE,"Dist total"}</definedName>
    <definedName name="Morosidade1" localSheetId="7" hidden="1">{"ANAR",#N/A,FALSE,"Dist total";"MARGEN",#N/A,FALSE,"Dist total";"COMENTARIO",#N/A,FALSE,"Ficha CODICE";"CONSEJO",#N/A,FALSE,"Dist p0";"uno",#N/A,FALSE,"Dist total"}</definedName>
    <definedName name="Morosidade1" localSheetId="2" hidden="1">{"ANAR",#N/A,FALSE,"Dist total";"MARGEN",#N/A,FALSE,"Dist total";"COMENTARIO",#N/A,FALSE,"Ficha CODICE";"CONSEJO",#N/A,FALSE,"Dist p0";"uno",#N/A,FALSE,"Dist total"}</definedName>
    <definedName name="Morosidade1" localSheetId="13" hidden="1">{"ANAR",#N/A,FALSE,"Dist total";"MARGEN",#N/A,FALSE,"Dist total";"COMENTARIO",#N/A,FALSE,"Ficha CODICE";"CONSEJO",#N/A,FALSE,"Dist p0";"uno",#N/A,FALSE,"Dist total"}</definedName>
    <definedName name="Morosidade1" localSheetId="12" hidden="1">{"ANAR",#N/A,FALSE,"Dist total";"MARGEN",#N/A,FALSE,"Dist total";"COMENTARIO",#N/A,FALSE,"Ficha CODICE";"CONSEJO",#N/A,FALSE,"Dist p0";"uno",#N/A,FALSE,"Dist total"}</definedName>
    <definedName name="Morosidade1" localSheetId="15" hidden="1">{"ANAR",#N/A,FALSE,"Dist total";"MARGEN",#N/A,FALSE,"Dist total";"COMENTARIO",#N/A,FALSE,"Ficha CODICE";"CONSEJO",#N/A,FALSE,"Dist p0";"uno",#N/A,FALSE,"Dist total"}</definedName>
    <definedName name="Morosidade1" localSheetId="14" hidden="1">{"ANAR",#N/A,FALSE,"Dist total";"MARGEN",#N/A,FALSE,"Dist total";"COMENTARIO",#N/A,FALSE,"Ficha CODICE";"CONSEJO",#N/A,FALSE,"Dist p0";"uno",#N/A,FALSE,"Dist total"}</definedName>
    <definedName name="Morosidade1" hidden="1">{"ANAR",#N/A,FALSE,"Dist total";"MARGEN",#N/A,FALSE,"Dist total";"COMENTARIO",#N/A,FALSE,"Ficha CODICE";"CONSEJO",#N/A,FALSE,"Dist p0";"uno",#N/A,FALSE,"Dist total"}</definedName>
    <definedName name="MOTIVO">#REF!</definedName>
    <definedName name="MPM_ESPANHA">#REF!</definedName>
    <definedName name="MTe." localSheetId="4">#REF!</definedName>
    <definedName name="MTe." localSheetId="1">#REF!</definedName>
    <definedName name="MTe." localSheetId="7">[28]Plan1!#REF!</definedName>
    <definedName name="MTe." localSheetId="2">#REF!</definedName>
    <definedName name="MTe.">#REF!</definedName>
    <definedName name="mtysap" localSheetId="4">#REF!</definedName>
    <definedName name="mtysap">#REF!</definedName>
    <definedName name="N">#REF!</definedName>
    <definedName name="NADA1" localSheetId="5" hidden="1">{#N/A,#N/A,TRUE,"DIÁRIA";#N/A,#N/A,TRUE,"DIÁRIA"}</definedName>
    <definedName name="NADA1" localSheetId="11" hidden="1">{#N/A,#N/A,TRUE,"DIÁRIA";#N/A,#N/A,TRUE,"DIÁRIA"}</definedName>
    <definedName name="NADA1" localSheetId="4" hidden="1">{#N/A,#N/A,TRUE,"DIÁRIA";#N/A,#N/A,TRUE,"DIÁRIA"}</definedName>
    <definedName name="NADA1" localSheetId="2" hidden="1">{#N/A,#N/A,TRUE,"DIÁRIA";#N/A,#N/A,TRUE,"DIÁRIA"}</definedName>
    <definedName name="NADA1" localSheetId="13" hidden="1">{#N/A,#N/A,TRUE,"DIÁRIA";#N/A,#N/A,TRUE,"DIÁRIA"}</definedName>
    <definedName name="NADA1" localSheetId="12" hidden="1">{#N/A,#N/A,TRUE,"DIÁRIA";#N/A,#N/A,TRUE,"DIÁRIA"}</definedName>
    <definedName name="NADA1" localSheetId="15" hidden="1">{#N/A,#N/A,TRUE,"DIÁRIA";#N/A,#N/A,TRUE,"DIÁRIA"}</definedName>
    <definedName name="NADA1" localSheetId="14" hidden="1">{#N/A,#N/A,TRUE,"DIÁRIA";#N/A,#N/A,TRUE,"DIÁRIA"}</definedName>
    <definedName name="NADA1" hidden="1">{#N/A,#N/A,TRUE,"DIÁRIA";#N/A,#N/A,TRUE,"DIÁRIA"}</definedName>
    <definedName name="Net_assets_r" localSheetId="1">#REF!</definedName>
    <definedName name="Net_assets_r" localSheetId="7">#REF!</definedName>
    <definedName name="Net_assets_r" localSheetId="2">#REF!</definedName>
    <definedName name="Net_assets_r">#REF!</definedName>
    <definedName name="netdebtebitdastep1" localSheetId="2">#REF!</definedName>
    <definedName name="netdebtebitdastep1">#REF!</definedName>
    <definedName name="netdebtstep1" localSheetId="2">#REF!</definedName>
    <definedName name="netdebtstep1">#REF!</definedName>
    <definedName name="netdebtstep2">#REF!</definedName>
    <definedName name="netdebtstep2fe">#REF!</definedName>
    <definedName name="netdebtstep3">#REF!</definedName>
    <definedName name="netebtstep3fe">#REF!</definedName>
    <definedName name="netincomestep2">#REF!</definedName>
    <definedName name="netincomestep2fe">#REF!</definedName>
    <definedName name="netincomestep3">#REF!</definedName>
    <definedName name="netincomestep3fe">#REF!</definedName>
    <definedName name="NEW" localSheetId="5" hidden="1">{"'RATEIO RECEITA BRUTA'!$B$77:$C$106"}</definedName>
    <definedName name="NEW" localSheetId="11" hidden="1">{"'RATEIO RECEITA BRUTA'!$B$77:$C$106"}</definedName>
    <definedName name="NEW" localSheetId="4" hidden="1">{"'RATEIO RECEITA BRUTA'!$B$77:$C$106"}</definedName>
    <definedName name="NEW" localSheetId="2" hidden="1">{"'RATEIO RECEITA BRUTA'!$B$77:$C$106"}</definedName>
    <definedName name="NEW" localSheetId="13" hidden="1">{"'RATEIO RECEITA BRUTA'!$B$77:$C$106"}</definedName>
    <definedName name="NEW" localSheetId="12" hidden="1">{"'RATEIO RECEITA BRUTA'!$B$77:$C$106"}</definedName>
    <definedName name="NEW" localSheetId="15" hidden="1">{"'RATEIO RECEITA BRUTA'!$B$77:$C$106"}</definedName>
    <definedName name="NEW" localSheetId="14" hidden="1">{"'RATEIO RECEITA BRUTA'!$B$77:$C$106"}</definedName>
    <definedName name="NEW" hidden="1">{"'RATEIO RECEITA BRUTA'!$B$77:$C$106"}</definedName>
    <definedName name="ngDic">#REF!</definedName>
    <definedName name="ngGen">#REF!</definedName>
    <definedName name="ni" localSheetId="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on_USA_Conversion_factor">#REF!</definedName>
    <definedName name="Normalização" localSheetId="5" hidden="1">{"CONSEJO",#N/A,FALSE,"Dist p0";"CONSEJO",#N/A,FALSE,"Ficha CODICE"}</definedName>
    <definedName name="Normalização" localSheetId="11" hidden="1">{"CONSEJO",#N/A,FALSE,"Dist p0";"CONSEJO",#N/A,FALSE,"Ficha CODICE"}</definedName>
    <definedName name="Normalização" localSheetId="4" hidden="1">{"CONSEJO",#N/A,FALSE,"Dist p0";"CONSEJO",#N/A,FALSE,"Ficha CODICE"}</definedName>
    <definedName name="Normalização" localSheetId="1" hidden="1">{"CONSEJO",#N/A,FALSE,"Dist p0";"CONSEJO",#N/A,FALSE,"Ficha CODICE"}</definedName>
    <definedName name="Normalização" localSheetId="7" hidden="1">{"CONSEJO",#N/A,FALSE,"Dist p0";"CONSEJO",#N/A,FALSE,"Ficha CODICE"}</definedName>
    <definedName name="Normalização" localSheetId="2" hidden="1">{"CONSEJO",#N/A,FALSE,"Dist p0";"CONSEJO",#N/A,FALSE,"Ficha CODICE"}</definedName>
    <definedName name="Normalização" localSheetId="13" hidden="1">{"CONSEJO",#N/A,FALSE,"Dist p0";"CONSEJO",#N/A,FALSE,"Ficha CODICE"}</definedName>
    <definedName name="Normalização" localSheetId="12" hidden="1">{"CONSEJO",#N/A,FALSE,"Dist p0";"CONSEJO",#N/A,FALSE,"Ficha CODICE"}</definedName>
    <definedName name="Normalização" localSheetId="15" hidden="1">{"CONSEJO",#N/A,FALSE,"Dist p0";"CONSEJO",#N/A,FALSE,"Ficha CODICE"}</definedName>
    <definedName name="Normalização" localSheetId="14" hidden="1">{"CONSEJO",#N/A,FALSE,"Dist p0";"CONSEJO",#N/A,FALSE,"Ficha CODICE"}</definedName>
    <definedName name="Normalização" hidden="1">{"CONSEJO",#N/A,FALSE,"Dist p0";"CONSEJO",#N/A,FALSE,"Ficha CODICE"}</definedName>
    <definedName name="Nosh">#REF!</definedName>
    <definedName name="NOVEMBRO" localSheetId="1">#REF!</definedName>
    <definedName name="NOVEMBRO" localSheetId="7">#REF!</definedName>
    <definedName name="NOVEMBRO" localSheetId="2">#REF!</definedName>
    <definedName name="NOVEMBRO">#REF!</definedName>
    <definedName name="Noviembre" localSheetId="2">#REF!</definedName>
    <definedName name="Noviembre">#REF!</definedName>
    <definedName name="novo" localSheetId="7">#REF!</definedName>
    <definedName name="novo">#REF!</definedName>
    <definedName name="NOVO_2" hidden="1">#REF!</definedName>
    <definedName name="novvo" localSheetId="4">#REF!</definedName>
    <definedName name="novvo" localSheetId="7">[34]Cogeração!#REF!</definedName>
    <definedName name="novvo">#REF!</definedName>
    <definedName name="Num_Pmt_Per_Year" localSheetId="1">#REF!</definedName>
    <definedName name="Num_Pmt_Per_Year" localSheetId="7">#REF!</definedName>
    <definedName name="Num_Pmt_Per_Year">#REF!</definedName>
    <definedName name="Number_of_Payments" localSheetId="5">MATCH(0.01,End_Bal,-1)+1</definedName>
    <definedName name="Number_of_Payments" localSheetId="11">MATCH(0.01,End_Bal,-1)+1</definedName>
    <definedName name="Number_of_Payments" localSheetId="4">MATCH(0.01,End_Bal,-1)+1</definedName>
    <definedName name="Number_of_Payments" localSheetId="1">MATCH(0.01,[0]!End_Bal,-1)+1</definedName>
    <definedName name="Number_of_Payments" localSheetId="7">#N/A</definedName>
    <definedName name="Number_of_Payments" localSheetId="2">MATCH(0.01,End_Bal,-1)+1</definedName>
    <definedName name="Number_of_Payments" localSheetId="13">MATCH(0.01,End_Bal,-1)+1</definedName>
    <definedName name="Number_of_Payments" localSheetId="12">MATCH(0.01,End_Bal,-1)+1</definedName>
    <definedName name="Number_of_Payments" localSheetId="15">MATCH(0.01,[0]!End_Bal,-1)+1</definedName>
    <definedName name="Number_of_Payments" localSheetId="14">MATCH(0.01,End_Bal,-1)+1</definedName>
    <definedName name="Number_of_Payments">MATCH(0.01,End_Bal,-1)+1</definedName>
    <definedName name="numero_cliente">#REF!</definedName>
    <definedName name="NUMERO_MES">#REF!</definedName>
    <definedName name="NumofGrpAccts" hidden="1">2</definedName>
    <definedName name="nvnvnvnv" localSheetId="5" hidden="1">{#N/A,#N/A,FALSE,"Aging Summary";#N/A,#N/A,FALSE,"Ratio Analysis";#N/A,#N/A,FALSE,"Test 120 Day Accts";#N/A,#N/A,FALSE,"Tickmarks"}</definedName>
    <definedName name="nvnvnvnv" localSheetId="11" hidden="1">{#N/A,#N/A,FALSE,"Aging Summary";#N/A,#N/A,FALSE,"Ratio Analysis";#N/A,#N/A,FALSE,"Test 120 Day Accts";#N/A,#N/A,FALSE,"Tickmarks"}</definedName>
    <definedName name="nvnvnvnv" localSheetId="4" hidden="1">{#N/A,#N/A,FALSE,"Aging Summary";#N/A,#N/A,FALSE,"Ratio Analysis";#N/A,#N/A,FALSE,"Test 120 Day Accts";#N/A,#N/A,FALSE,"Tickmarks"}</definedName>
    <definedName name="nvnvnvnv" localSheetId="2" hidden="1">{#N/A,#N/A,FALSE,"Aging Summary";#N/A,#N/A,FALSE,"Ratio Analysis";#N/A,#N/A,FALSE,"Test 120 Day Accts";#N/A,#N/A,FALSE,"Tickmarks"}</definedName>
    <definedName name="nvnvnvnv" localSheetId="13" hidden="1">{#N/A,#N/A,FALSE,"Aging Summary";#N/A,#N/A,FALSE,"Ratio Analysis";#N/A,#N/A,FALSE,"Test 120 Day Accts";#N/A,#N/A,FALSE,"Tickmarks"}</definedName>
    <definedName name="nvnvnvnv" localSheetId="12" hidden="1">{#N/A,#N/A,FALSE,"Aging Summary";#N/A,#N/A,FALSE,"Ratio Analysis";#N/A,#N/A,FALSE,"Test 120 Day Accts";#N/A,#N/A,FALSE,"Tickmarks"}</definedName>
    <definedName name="nvnvnvnv" localSheetId="15" hidden="1">{#N/A,#N/A,FALSE,"Aging Summary";#N/A,#N/A,FALSE,"Ratio Analysis";#N/A,#N/A,FALSE,"Test 120 Day Accts";#N/A,#N/A,FALSE,"Tickmarks"}</definedName>
    <definedName name="nvnvnvnv" localSheetId="14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nvosp">#REF!</definedName>
    <definedName name="OBJETIVO">"O2161 - Operativa Normal"</definedName>
    <definedName name="objeto">#REF!</definedName>
    <definedName name="OCT" localSheetId="5" hidden="1">{#N/A,#N/A,FALSE,"BL&amp;GPA";#N/A,#N/A,FALSE,"Summary";#N/A,#N/A,FALSE,"hts"}</definedName>
    <definedName name="OCT" localSheetId="11" hidden="1">{#N/A,#N/A,FALSE,"BL&amp;GPA";#N/A,#N/A,FALSE,"Summary";#N/A,#N/A,FALSE,"hts"}</definedName>
    <definedName name="OCT" localSheetId="4" hidden="1">{#N/A,#N/A,FALSE,"BL&amp;GPA";#N/A,#N/A,FALSE,"Summary";#N/A,#N/A,FALSE,"hts"}</definedName>
    <definedName name="OCT" localSheetId="2" hidden="1">{#N/A,#N/A,FALSE,"BL&amp;GPA";#N/A,#N/A,FALSE,"Summary";#N/A,#N/A,FALSE,"hts"}</definedName>
    <definedName name="OCT" localSheetId="13" hidden="1">{#N/A,#N/A,FALSE,"BL&amp;GPA";#N/A,#N/A,FALSE,"Summary";#N/A,#N/A,FALSE,"hts"}</definedName>
    <definedName name="OCT" localSheetId="12" hidden="1">{#N/A,#N/A,FALSE,"BL&amp;GPA";#N/A,#N/A,FALSE,"Summary";#N/A,#N/A,FALSE,"hts"}</definedName>
    <definedName name="OCT" localSheetId="15" hidden="1">{#N/A,#N/A,FALSE,"BL&amp;GPA";#N/A,#N/A,FALSE,"Summary";#N/A,#N/A,FALSE,"hts"}</definedName>
    <definedName name="OCT" localSheetId="14" hidden="1">{#N/A,#N/A,FALSE,"BL&amp;GPA";#N/A,#N/A,FALSE,"Summary";#N/A,#N/A,FALSE,"hts"}</definedName>
    <definedName name="OCT" hidden="1">{#N/A,#N/A,FALSE,"BL&amp;GPA";#N/A,#N/A,FALSE,"Summary";#N/A,#N/A,FALSE,"hts"}</definedName>
    <definedName name="Octubre">#REF!</definedName>
    <definedName name="OLIVIO" localSheetId="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oo" localSheetId="5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1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5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1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RA" localSheetId="1">#REF!</definedName>
    <definedName name="ORA" localSheetId="7">#REF!</definedName>
    <definedName name="ORA" localSheetId="2">#REF!</definedName>
    <definedName name="ORA">#REF!</definedName>
    <definedName name="Otros2006" localSheetId="7">[1]Indicadores!$X$200:$X$205,[1]Indicadores!$X$227:$X$228,[1]Indicadores!$X$210:$X$222,[1]Indicadores!$X$233:$X$234</definedName>
    <definedName name="Otros2006" localSheetId="2">#REF!,#REF!,#REF!,#REF!</definedName>
    <definedName name="Otros2006">#REF!,#REF!,#REF!,#REF!</definedName>
    <definedName name="Otros2007" localSheetId="7">[1]Indicadores!$Y$200:$Y$205,[1]Indicadores!$Y$227:$Y$228,[1]Indicadores!$Y$210:$Y$222,[1]Indicadores!$Y$233:$Y$234</definedName>
    <definedName name="Otros2007" localSheetId="2">#REF!,#REF!,#REF!,#REF!</definedName>
    <definedName name="Otros2007">#REF!,#REF!,#REF!,#REF!</definedName>
    <definedName name="Otros2008" localSheetId="7">[1]Indicadores!$Z$233:$Z$234,[1]Indicadores!$Z$210:$Z$222,[1]Indicadores!$Z$227:$Z$228,[1]Indicadores!$Z$200:$Z$205</definedName>
    <definedName name="Otros2008" localSheetId="2">#REF!,#REF!,#REF!,#REF!</definedName>
    <definedName name="Otros2008">#REF!,#REF!,#REF!,#REF!</definedName>
    <definedName name="Otros2009" localSheetId="7">[1]Indicadores!$AA$200:$AA$205,[1]Indicadores!$AA$227:$AA$228,[1]Indicadores!$AA$210:$AA$222,[1]Indicadores!$AA$233:$AA$234</definedName>
    <definedName name="Otros2009">#REF!,#REF!,#REF!,#REF!</definedName>
    <definedName name="Otros2010" localSheetId="7">[1]Indicadores!$AB$233:$AB$234,[1]Indicadores!$AB$210:$AB$222,[1]Indicadores!$AB$227:$AB$228,[1]Indicadores!$AB$200:$AB$205</definedName>
    <definedName name="Otros2010">#REF!,#REF!,#REF!,#REF!</definedName>
    <definedName name="Otros2011" localSheetId="7">[1]Indicadores!$AC$200:$AC$205,[1]Indicadores!$AC$227:$AC$228,[1]Indicadores!$AC$210:$AC$222,[1]Indicadores!$AC$233:$AC$234</definedName>
    <definedName name="Otros2011">#REF!,#REF!,#REF!,#REF!</definedName>
    <definedName name="Otros2012" localSheetId="7">[1]Indicadores!$AD$200:$AD$205,[1]Indicadores!$AD$227:$AD$228,[1]Indicadores!$AD$210:$AD$222,[1]Indicadores!$AD$233:$AD$234</definedName>
    <definedName name="Otros2012">#REF!,#REF!,#REF!,#REF!</definedName>
    <definedName name="ownership">#REF!</definedName>
    <definedName name="P_EFEITO_CAMBIO">#REF!</definedName>
    <definedName name="P_INFORMACOES">#REF!</definedName>
    <definedName name="P_MAJOR_PRE">#REF!</definedName>
    <definedName name="P_MES">#REF!</definedName>
    <definedName name="P_MPAII">#REF!</definedName>
    <definedName name="P_SOCIEDADE">#REF!</definedName>
    <definedName name="P_VISAO">#REF!</definedName>
    <definedName name="Pal_Workbook_GUID" hidden="1">"2CSWK892NW7M4GJIRKNBSN23"</definedName>
    <definedName name="pamplona" localSheetId="7" hidden="1">[7]SINTESIS!$M$7:$M$12</definedName>
    <definedName name="pamplona" hidden="1">#REF!</definedName>
    <definedName name="pamplonas" localSheetId="7" hidden="1">[7]SINTESIS!$N$7:$N$20</definedName>
    <definedName name="pamplonas" hidden="1">#REF!</definedName>
    <definedName name="par_ano" localSheetId="1">#REF!</definedName>
    <definedName name="par_ano" localSheetId="2">#REF!</definedName>
    <definedName name="par_ano">#REF!</definedName>
    <definedName name="Par_CC">#REF!</definedName>
    <definedName name="par_gas">#REF!</definedName>
    <definedName name="par_mes" localSheetId="1">#REF!</definedName>
    <definedName name="par_mes">#REF!</definedName>
    <definedName name="Par_Mês">#REF!</definedName>
    <definedName name="Par_Sociedade">#REF!</definedName>
    <definedName name="Par_visao">#REF!</definedName>
    <definedName name="Par_Visão">#REF!</definedName>
    <definedName name="Participacion">"Total"</definedName>
    <definedName name="Pay_Date" localSheetId="1">#REF!</definedName>
    <definedName name="Pay_Date" localSheetId="7">#REF!</definedName>
    <definedName name="Pay_Date" localSheetId="2">#REF!</definedName>
    <definedName name="Pay_Date">#REF!</definedName>
    <definedName name="Pay_Num" localSheetId="7">#REF!</definedName>
    <definedName name="Pay_Num" localSheetId="2">#REF!</definedName>
    <definedName name="Pay_Num">#REF!</definedName>
    <definedName name="Payment_Date" localSheetId="17">DATE(YEAR([0]!Loan_Start),MONTH([0]!Loan_Start)+Payment_Number,DAY([0]!Loan_Start))</definedName>
    <definedName name="Payment_Date" localSheetId="5">DATE(YEAR(Loan_Start),MONTH(Loan_Start)+Payment_Number,DAY(Loan_Start))</definedName>
    <definedName name="Payment_Date" localSheetId="3">DATE(YEAR([0]!Loan_Start),MONTH([0]!Loan_Start)+Payment_Number,DAY([0]!Loan_Start))</definedName>
    <definedName name="Payment_Date" localSheetId="11">DATE(YEAR(Loan_Start),MONTH(Loan_Start)+Payment_Number,DAY(Loan_Start))</definedName>
    <definedName name="Payment_Date" localSheetId="4">DATE(YEAR(Loan_Start),MONTH(Loan_Start)+Payment_Number,DAY(Loan_Start))</definedName>
    <definedName name="Payment_Date" localSheetId="1">DATE(YEAR([0]!Loan_Start),MONTH([0]!Loan_Start)+Payment_Number,DAY([0]!Loan_Start))</definedName>
    <definedName name="Payment_Date" localSheetId="7">DATE(YEAR('Subinvest 18-22'!Loan_Start),MONTH('Subinvest 18-22'!Loan_Start)+Payment_Number,DAY('Subinvest 18-22'!Loan_Start))</definedName>
    <definedName name="Payment_Date" localSheetId="2">DATE(YEAR(Loan_Start),MONTH(Loan_Start)+Payment_Number,DAY(Loan_Start))</definedName>
    <definedName name="Payment_Date" localSheetId="13">DATE(YEAR(Loan_Start),MONTH(Loan_Start)+Payment_Number,DAY(Loan_Start))</definedName>
    <definedName name="Payment_Date" localSheetId="12">DATE(YEAR([0]!Loan_Start),MONTH([0]!Loan_Start)+Payment_Number,DAY([0]!Loan_Start))</definedName>
    <definedName name="Payment_Date" localSheetId="15">DATE(YEAR([0]!Loan_Start),MONTH([0]!Loan_Start)+Payment_Number,DAY([0]!Loan_Start))</definedName>
    <definedName name="Payment_Date" localSheetId="14">DATE(YEAR(Loan_Start),MONTH(Loan_Start)+Payment_Number,DAY(Loan_Start))</definedName>
    <definedName name="Payment_Date">DATE(YEAR(Loan_Start),MONTH(Loan_Start)+Payment_Number,DAY(Loan_Start))</definedName>
    <definedName name="pbFileName">MID(CELL("filename"),FIND("[",CELL("FILENAME"))+1,(FIND("]",CELL("FILENAME"))) - (FIND("[",CELL("FILENAME"))+1))</definedName>
    <definedName name="pbPrinterFormat">"\\lmad0144300\P9A8C3FA on Ne00:"</definedName>
    <definedName name="PDD">#REF!</definedName>
    <definedName name="Percentuale_di_I">#REF!</definedName>
    <definedName name="PeriodoActual">"Feb"</definedName>
    <definedName name="PeriodoActualAc">"AcFeb"</definedName>
    <definedName name="pesos" localSheetId="4">#REF!</definedName>
    <definedName name="pesos" localSheetId="7">'[24]VN''s'!$C$7:$C$9</definedName>
    <definedName name="pesos">#REF!</definedName>
    <definedName name="pharma" localSheetId="4">#REF!</definedName>
    <definedName name="pharma">#REF!</definedName>
    <definedName name="piscofins" localSheetId="4">#REF!</definedName>
    <definedName name="piscofins" localSheetId="1">#REF!</definedName>
    <definedName name="piscofins" localSheetId="7">[22]Fatores!$C$12</definedName>
    <definedName name="piscofins" localSheetId="2">#REF!</definedName>
    <definedName name="piscofins">#REF!</definedName>
    <definedName name="pisconfins" localSheetId="4">#REF!</definedName>
    <definedName name="pisconfins" localSheetId="7">[24]Fatores!$C$11</definedName>
    <definedName name="pisconfins">#REF!</definedName>
    <definedName name="Ponderacion_clientes_r" localSheetId="1">#REF!</definedName>
    <definedName name="Ponderacion_clientes_r" localSheetId="7">#REF!</definedName>
    <definedName name="Ponderacion_clientes_r">#REF!</definedName>
    <definedName name="PORTADA" localSheetId="7">#REF!</definedName>
    <definedName name="PORTADA">#REF!</definedName>
    <definedName name="posicao_final">#REF!</definedName>
    <definedName name="posicao_inicial">#REF!</definedName>
    <definedName name="potencia" localSheetId="7">#REF!</definedName>
    <definedName name="potencia">#REF!</definedName>
    <definedName name="potencia1" localSheetId="7">#REF!</definedName>
    <definedName name="potencia1">#REF!</definedName>
    <definedName name="potenciaindustrial" localSheetId="7">#REF!</definedName>
    <definedName name="potenciaindustrial">#REF!</definedName>
    <definedName name="potenciaindustrial1" localSheetId="7">#REF!</definedName>
    <definedName name="potenciaindustrial1">#REF!</definedName>
    <definedName name="pp" hidden="1">#REF!</definedName>
    <definedName name="PPP" localSheetId="5" hidden="1">{#N/A,#N/A,FALSE,"Dutos";#N/A,#N/A,FALSE,"Terminais"}</definedName>
    <definedName name="PPP" localSheetId="11" hidden="1">{#N/A,#N/A,FALSE,"Dutos";#N/A,#N/A,FALSE,"Terminais"}</definedName>
    <definedName name="PPP" localSheetId="4" hidden="1">{#N/A,#N/A,FALSE,"Dutos";#N/A,#N/A,FALSE,"Terminais"}</definedName>
    <definedName name="PPP" localSheetId="2" hidden="1">{#N/A,#N/A,FALSE,"Dutos";#N/A,#N/A,FALSE,"Terminais"}</definedName>
    <definedName name="PPP" localSheetId="13" hidden="1">{#N/A,#N/A,FALSE,"Dutos";#N/A,#N/A,FALSE,"Terminais"}</definedName>
    <definedName name="PPP" localSheetId="12" hidden="1">{#N/A,#N/A,FALSE,"Dutos";#N/A,#N/A,FALSE,"Terminais"}</definedName>
    <definedName name="PPP" localSheetId="15" hidden="1">{#N/A,#N/A,FALSE,"Dutos";#N/A,#N/A,FALSE,"Terminais"}</definedName>
    <definedName name="PPP" localSheetId="14" hidden="1">{#N/A,#N/A,FALSE,"Dutos";#N/A,#N/A,FALSE,"Terminais"}</definedName>
    <definedName name="PPP" hidden="1">{#N/A,#N/A,FALSE,"Dutos";#N/A,#N/A,FALSE,"Terminais"}</definedName>
    <definedName name="PR_BALANCE" localSheetId="7">#REF!</definedName>
    <definedName name="PR_BALANCE">#REF!</definedName>
    <definedName name="PR_CASH" localSheetId="7">#REF!</definedName>
    <definedName name="PR_CASH">#REF!</definedName>
    <definedName name="PR_CUENTA" localSheetId="7">#REF!</definedName>
    <definedName name="PR_CUENTA">#REF!</definedName>
    <definedName name="PR_INDICADORES" localSheetId="7">#REF!</definedName>
    <definedName name="PR_INDICADORES">#REF!</definedName>
    <definedName name="PR_INDICADORES_CORR" localSheetId="7">#REF!</definedName>
    <definedName name="PR_INDICADORES_CORR">#REF!</definedName>
    <definedName name="Pre_crec_sect">#REF!</definedName>
    <definedName name="Pre_pro_indices" localSheetId="1">#REF!</definedName>
    <definedName name="Pre_pro_indices">#REF!</definedName>
    <definedName name="PREABR95" localSheetId="7">#REF!</definedName>
    <definedName name="PREABR95">#REF!</definedName>
    <definedName name="preciosGRAFICO" localSheetId="7">#REF!</definedName>
    <definedName name="preciosGRAFICO">#REF!</definedName>
    <definedName name="preco" localSheetId="7">#REF!</definedName>
    <definedName name="preco">#REF!</definedName>
    <definedName name="preco1" localSheetId="7">#REF!</definedName>
    <definedName name="preco1">#REF!</definedName>
    <definedName name="precogas" localSheetId="7">#REF!</definedName>
    <definedName name="precogas">#REF!</definedName>
    <definedName name="precogas1" localSheetId="7">#REF!</definedName>
    <definedName name="precogas1">#REF!</definedName>
    <definedName name="PRIMA" localSheetId="17">DATE(YEAR([0]!Loan_Start),MONTH([0]!Loan_Start)+Payment_Number,DAY([0]!Loan_Start))</definedName>
    <definedName name="PRIMA" localSheetId="5">DATE(YEAR(Loan_Start),MONTH(Loan_Start)+Payment_Number,DAY(Loan_Start))</definedName>
    <definedName name="PRIMA" localSheetId="3">DATE(YEAR([0]!Loan_Start),MONTH([0]!Loan_Start)+Payment_Number,DAY([0]!Loan_Start))</definedName>
    <definedName name="PRIMA" localSheetId="11">DATE(YEAR(Loan_Start),MONTH(Loan_Start)+Payment_Number,DAY(Loan_Start))</definedName>
    <definedName name="PRIMA" localSheetId="4">DATE(YEAR(Loan_Start),MONTH(Loan_Start)+Payment_Number,DAY(Loan_Start))</definedName>
    <definedName name="PRIMA" localSheetId="1">DATE(YEAR([0]!Loan_Start),MONTH([0]!Loan_Start)+Payment_Number,DAY([0]!Loan_Start))</definedName>
    <definedName name="PRIMA" localSheetId="7">DATE(YEAR('Subinvest 18-22'!Loan_Start),MONTH('Subinvest 18-22'!Loan_Start)+Payment_Number,DAY('Subinvest 18-22'!Loan_Start))</definedName>
    <definedName name="PRIMA" localSheetId="2">DATE(YEAR(Loan_Start),MONTH(Loan_Start)+Payment_Number,DAY(Loan_Start))</definedName>
    <definedName name="PRIMA" localSheetId="13">DATE(YEAR(Loan_Start),MONTH(Loan_Start)+Payment_Number,DAY(Loan_Start))</definedName>
    <definedName name="PRIMA" localSheetId="12">DATE(YEAR([0]!Loan_Start),MONTH([0]!Loan_Start)+Payment_Number,DAY([0]!Loan_Start))</definedName>
    <definedName name="PRIMA" localSheetId="15">DATE(YEAR([0]!Loan_Start),MONTH([0]!Loan_Start)+Payment_Number,DAY([0]!Loan_Start))</definedName>
    <definedName name="PRIMA" localSheetId="14">DATE(YEAR(Loan_Start),MONTH(Loan_Start)+Payment_Number,DAY(Loan_Start))</definedName>
    <definedName name="PRIMA">DATE(YEAR(Loan_Start),MONTH(Loan_Start)+Payment_Number,DAY(Loan_Start))</definedName>
    <definedName name="Princ" localSheetId="1">#REF!</definedName>
    <definedName name="Princ" localSheetId="7">#REF!</definedName>
    <definedName name="Princ" localSheetId="2">#REF!</definedName>
    <definedName name="Princ">#REF!</definedName>
    <definedName name="Print_Area_Reset" localSheetId="5">OFFSET(Full_Print,0,0,Last_Row)</definedName>
    <definedName name="Print_Area_Reset" localSheetId="11">OFFSET(Full_Print,0,0,Last_Row)</definedName>
    <definedName name="Print_Area_Reset" localSheetId="4">OFFSET(Full_Print,0,0,Last_Row)</definedName>
    <definedName name="Print_Area_Reset" localSheetId="1">OFFSET([0]!Full_Print,0,0,[0]!Last_Row)</definedName>
    <definedName name="Print_Area_Reset" localSheetId="7">#N/A</definedName>
    <definedName name="Print_Area_Reset" localSheetId="2">OFFSET(Full_Print,0,0,Last_Row)</definedName>
    <definedName name="Print_Area_Reset" localSheetId="13">OFFSET(Full_Print,0,0,Last_Row)</definedName>
    <definedName name="Print_Area_Reset" localSheetId="12">OFFSET(Full_Print,0,0,Last_Row)</definedName>
    <definedName name="Print_Area_Reset" localSheetId="15">OFFSET([0]!Full_Print,0,0,[0]!Last_Row)</definedName>
    <definedName name="Print_Area_Reset" localSheetId="14">OFFSET(Full_Print,0,0,Last_Row)</definedName>
    <definedName name="Print_Area_Reset">OFFSET(Full_Print,0,0,Last_Row)</definedName>
    <definedName name="Profilo" localSheetId="2">#REF!</definedName>
    <definedName name="Profilo">#REF!</definedName>
    <definedName name="Project_Name">#REF!</definedName>
    <definedName name="Projected_assets_r" localSheetId="1">#REF!</definedName>
    <definedName name="Projected_assets_r" localSheetId="7">#REF!</definedName>
    <definedName name="Projected_assets_r" localSheetId="2">#REF!</definedName>
    <definedName name="Projected_assets_r">#REF!</definedName>
    <definedName name="PROYECTO">"P.0016.2001 - Operativa Normal"</definedName>
    <definedName name="PTO_16_ano">#REF!</definedName>
    <definedName name="PTO_16_mercado">#REF!</definedName>
    <definedName name="PTO_16_mes">#REF!</definedName>
    <definedName name="PTO_16_objeto">#REF!</definedName>
    <definedName name="PTO_16_sociedade">#REF!</definedName>
    <definedName name="PTO_16_sub_mercado">#REF!</definedName>
    <definedName name="PTO_16_tipo">#REF!</definedName>
    <definedName name="PTO_16_tipo_gas">#REF!</definedName>
    <definedName name="PTO_16_valor">#REF!</definedName>
    <definedName name="PTO_16_visao">#REF!</definedName>
    <definedName name="PTO_ano" localSheetId="1">#REF!</definedName>
    <definedName name="PTO_ano">#REF!</definedName>
    <definedName name="PTO_atipico" localSheetId="1">#REF!</definedName>
    <definedName name="PTO_atipico">#REF!</definedName>
    <definedName name="PTO_empresa" localSheetId="1">#REF!</definedName>
    <definedName name="PTO_empresa">#REF!</definedName>
    <definedName name="PTO_Mercado" localSheetId="1">#REF!</definedName>
    <definedName name="PTO_Mercado">#REF!</definedName>
    <definedName name="PTO_mes" localSheetId="1">#REF!</definedName>
    <definedName name="PTO_mes">#REF!</definedName>
    <definedName name="PTO_Objeto" localSheetId="1">#REF!</definedName>
    <definedName name="PTO_Objeto">#REF!</definedName>
    <definedName name="PTO_reais_ano">#REF!</definedName>
    <definedName name="PTO_REAIS_ATIPICO">#REF!</definedName>
    <definedName name="PTO_reais_mercado">#REF!</definedName>
    <definedName name="PTO_reais_mes">#REF!</definedName>
    <definedName name="PTO_reais_sociedade">#REF!</definedName>
    <definedName name="PTO_reais_tipo">#REF!</definedName>
    <definedName name="PTO_reais_valor">#REF!</definedName>
    <definedName name="PTO_submercado" localSheetId="1">#REF!</definedName>
    <definedName name="PTO_submercado">#REF!</definedName>
    <definedName name="PTO_tipo" localSheetId="1">#REF!</definedName>
    <definedName name="PTO_tipo">#REF!</definedName>
    <definedName name="PTO_tipo_GAS" localSheetId="1">#REF!</definedName>
    <definedName name="PTO_tipo_GAS">#REF!</definedName>
    <definedName name="PTO_valor" localSheetId="1">#REF!</definedName>
    <definedName name="PTO_valor">#REF!</definedName>
    <definedName name="PTO_visao" localSheetId="1">#REF!</definedName>
    <definedName name="PTO_visao">#REF!</definedName>
    <definedName name="PUB_FileID" hidden="1">"L10003649.xls"</definedName>
    <definedName name="PUB_UserID" hidden="1">"MAYERX"</definedName>
    <definedName name="put">#REF!</definedName>
    <definedName name="q" localSheetId="5" hidden="1">{"ANAR",#N/A,FALSE,"Dist total";"MARGEN",#N/A,FALSE,"Dist total";"COMENTARIO",#N/A,FALSE,"Ficha CODICE";"CONSEJO",#N/A,FALSE,"Dist p0";"uno",#N/A,FALSE,"Dist total"}</definedName>
    <definedName name="q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localSheetId="4" hidden="1">{"ANAR",#N/A,FALSE,"Dist total";"MARGEN",#N/A,FALSE,"Dist total";"COMENTARIO",#N/A,FALSE,"Ficha CODICE";"CONSEJO",#N/A,FALSE,"Dist p0";"uno",#N/A,FALSE,"Dist total"}</definedName>
    <definedName name="q" localSheetId="1" hidden="1">{"ANAR",#N/A,FALSE,"Dist total";"MARGEN",#N/A,FALSE,"Dist total";"COMENTARIO",#N/A,FALSE,"Ficha CODICE";"CONSEJO",#N/A,FALSE,"Dist p0";"uno",#N/A,FALSE,"Dist total"}</definedName>
    <definedName name="q" localSheetId="7" hidden="1">{"ANAR",#N/A,FALSE,"Dist total";"MARGEN",#N/A,FALSE,"Dist total";"COMENTARIO",#N/A,FALSE,"Ficha CODICE";"CONSEJO",#N/A,FALSE,"Dist p0";"uno",#N/A,FALSE,"Dist total"}</definedName>
    <definedName name="q" localSheetId="2" hidden="1">{"ANAR",#N/A,FALSE,"Dist total";"MARGEN",#N/A,FALSE,"Dist total";"COMENTARIO",#N/A,FALSE,"Ficha CODICE";"CONSEJO",#N/A,FALSE,"Dist p0";"uno",#N/A,FALSE,"Dist total"}</definedName>
    <definedName name="q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localSheetId="15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q" hidden="1">{"ANAR",#N/A,FALSE,"Dist total";"MARGEN",#N/A,FALSE,"Dist total";"COMENTARIO",#N/A,FALSE,"Ficha CODICE";"CONSEJO",#N/A,FALSE,"Dist p0";"uno",#N/A,FALSE,"Dist total"}</definedName>
    <definedName name="Query_di_Output_extra">#REF!</definedName>
    <definedName name="Rango1" localSheetId="2">#REF!,#REF!,#REF!,#REF!,#REF!,#REF!,#REF!,#REF!,#REF!,#REF!,#REF!</definedName>
    <definedName name="Rango1">#REF!,#REF!,#REF!,#REF!,#REF!,#REF!,#REF!,#REF!,#REF!,#REF!,#REF!</definedName>
    <definedName name="Rango2" localSheetId="1">#REF!</definedName>
    <definedName name="Rango2" localSheetId="7">#REF!</definedName>
    <definedName name="Rango2" localSheetId="2">#REF!</definedName>
    <definedName name="Rango2">#REF!</definedName>
    <definedName name="re" localSheetId="7">#REF!</definedName>
    <definedName name="re" localSheetId="2">#REF!</definedName>
    <definedName name="re">#REF!</definedName>
    <definedName name="Reais_ano" localSheetId="2">#REF!</definedName>
    <definedName name="Reais_ano">#REF!</definedName>
    <definedName name="Reais_clientes_PTO">#REF!</definedName>
    <definedName name="Reais_mercado">#REF!</definedName>
    <definedName name="Reais_mes">#REF!</definedName>
    <definedName name="Reais_sociedade">#REF!</definedName>
    <definedName name="Reais_tipo">#REF!</definedName>
    <definedName name="Reais_valor">#REF!</definedName>
    <definedName name="Reais_visao">#REF!</definedName>
    <definedName name="RECIBIDOS" localSheetId="7">#REF!</definedName>
    <definedName name="RECIBIDOS">#REF!</definedName>
    <definedName name="RECONC._BOSTON" localSheetId="7">#REF!</definedName>
    <definedName name="RECONC._BOSTON">#REF!</definedName>
    <definedName name="RECONC._BRADESCO" localSheetId="7">#REF!</definedName>
    <definedName name="RECONC._BRADESCO">#REF!</definedName>
    <definedName name="RECONC._ITAÚ" localSheetId="7">#REF!</definedName>
    <definedName name="RECONC._ITAÚ">#REF!</definedName>
    <definedName name="RECONC._UNIBANCO" localSheetId="7">#REF!</definedName>
    <definedName name="RECONC._UNIBANCO">#REF!</definedName>
    <definedName name="RECONC.CITIBANK" localSheetId="7">#REF!</definedName>
    <definedName name="RECONC.CITIBANK">#REF!</definedName>
    <definedName name="RECONCHSBCMATRIZ" localSheetId="7">#REF!</definedName>
    <definedName name="RECONCHSBCMATRIZ">#REF!</definedName>
    <definedName name="RECONCHSBCOUTROS" localSheetId="7">#REF!</definedName>
    <definedName name="RECONCHSBCOUTROS">#REF!</definedName>
    <definedName name="redo" localSheetId="5" hidden="1">{#N/A,#N/A,FALSE,"ACQ_GRAPHS";#N/A,#N/A,FALSE,"T_1 GRAPHS";#N/A,#N/A,FALSE,"T_2 GRAPHS";#N/A,#N/A,FALSE,"COMB_GRAPHS"}</definedName>
    <definedName name="redo" localSheetId="11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2" hidden="1">{#N/A,#N/A,FALSE,"ACQ_GRAPHS";#N/A,#N/A,FALSE,"T_1 GRAPHS";#N/A,#N/A,FALSE,"T_2 GRAPHS";#N/A,#N/A,FALSE,"COMB_GRAPHS"}</definedName>
    <definedName name="redo" localSheetId="13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localSheetId="1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g_act_relacionadas1">#REF!</definedName>
    <definedName name="Reg_base_act_ceg">#REF!</definedName>
    <definedName name="Reg_base_act_ceg_rio">#REF!</definedName>
    <definedName name="Reg_base_act_gnsps">#REF!</definedName>
    <definedName name="reg_datos_generales1">#REF!</definedName>
    <definedName name="Reg_factor_de_carga">#REF!</definedName>
    <definedName name="Reg_fct">#REF!</definedName>
    <definedName name="Reg_icp">#REF!</definedName>
    <definedName name="Reg_intangible">#REF!</definedName>
    <definedName name="reg_intangible1">#REF!</definedName>
    <definedName name="Reg_nivel_de_presion">#REF!</definedName>
    <definedName name="REHUMA" localSheetId="7">#REF!</definedName>
    <definedName name="REHUMA">#REF!</definedName>
    <definedName name="RELATORIO">#REF!</definedName>
    <definedName name="RELATORIO_NUM">#REF!</definedName>
    <definedName name="relatorio2" localSheetId="5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5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hidden="1">{#N/A,#N/A,FALSE,"Relatórios";"Vendas e Custos",#N/A,FALSE,"Vendas e Custos";"Premissas",#N/A,FALSE,"Premissas";"Projeções",#N/A,FALSE,"Projeções";"Dolar",#N/A,FALSE,"Dolar";"Original",#N/A,FALSE,"Original e UFIR"}</definedName>
    <definedName name="RESINV" localSheetId="7">#REF!</definedName>
    <definedName name="RESINV">#REF!</definedName>
    <definedName name="RevBalSheet" hidden="1">#REF!</definedName>
    <definedName name="rfef" localSheetId="5" hidden="1">{#N/A,#N/A,TRUE,"Total Allocation";#N/A,#N/A,TRUE,"Capital Software";#N/A,#N/A,TRUE,"Misc";#N/A,#N/A,TRUE,"NAOG"}</definedName>
    <definedName name="rfef" localSheetId="11" hidden="1">{#N/A,#N/A,TRUE,"Total Allocation";#N/A,#N/A,TRUE,"Capital Software";#N/A,#N/A,TRUE,"Misc";#N/A,#N/A,TRUE,"NAOG"}</definedName>
    <definedName name="rfef" localSheetId="4" hidden="1">{#N/A,#N/A,TRUE,"Total Allocation";#N/A,#N/A,TRUE,"Capital Software";#N/A,#N/A,TRUE,"Misc";#N/A,#N/A,TRUE,"NAOG"}</definedName>
    <definedName name="rfef" localSheetId="2" hidden="1">{#N/A,#N/A,TRUE,"Total Allocation";#N/A,#N/A,TRUE,"Capital Software";#N/A,#N/A,TRUE,"Misc";#N/A,#N/A,TRUE,"NAOG"}</definedName>
    <definedName name="rfef" localSheetId="13" hidden="1">{#N/A,#N/A,TRUE,"Total Allocation";#N/A,#N/A,TRUE,"Capital Software";#N/A,#N/A,TRUE,"Misc";#N/A,#N/A,TRUE,"NAOG"}</definedName>
    <definedName name="rfef" localSheetId="12" hidden="1">{#N/A,#N/A,TRUE,"Total Allocation";#N/A,#N/A,TRUE,"Capital Software";#N/A,#N/A,TRUE,"Misc";#N/A,#N/A,TRUE,"NAOG"}</definedName>
    <definedName name="rfef" localSheetId="15" hidden="1">{#N/A,#N/A,TRUE,"Total Allocation";#N/A,#N/A,TRUE,"Capital Software";#N/A,#N/A,TRUE,"Misc";#N/A,#N/A,TRUE,"NAOG"}</definedName>
    <definedName name="rfef" localSheetId="14" hidden="1">{#N/A,#N/A,TRUE,"Total Allocation";#N/A,#N/A,TRUE,"Capital Software";#N/A,#N/A,TRUE,"Misc";#N/A,#N/A,TRUE,"NAOG"}</definedName>
    <definedName name="rfef" hidden="1">{#N/A,#N/A,TRUE,"Total Allocation";#N/A,#N/A,TRUE,"Capital Software";#N/A,#N/A,TRUE,"Misc";#N/A,#N/A,TRUE,"NAOG"}</definedName>
    <definedName name="rgrgrg" localSheetId="5" hidden="1">{#N/A,#N/A,TRUE,"Total Allocation";#N/A,#N/A,TRUE,"Capital Software";#N/A,#N/A,TRUE,"Misc";#N/A,#N/A,TRUE,"NAOG"}</definedName>
    <definedName name="rgrgrg" localSheetId="11" hidden="1">{#N/A,#N/A,TRUE,"Total Allocation";#N/A,#N/A,TRUE,"Capital Software";#N/A,#N/A,TRUE,"Misc";#N/A,#N/A,TRUE,"NAOG"}</definedName>
    <definedName name="rgrgrg" localSheetId="4" hidden="1">{#N/A,#N/A,TRUE,"Total Allocation";#N/A,#N/A,TRUE,"Capital Software";#N/A,#N/A,TRUE,"Misc";#N/A,#N/A,TRUE,"NAOG"}</definedName>
    <definedName name="rgrgrg" localSheetId="2" hidden="1">{#N/A,#N/A,TRUE,"Total Allocation";#N/A,#N/A,TRUE,"Capital Software";#N/A,#N/A,TRUE,"Misc";#N/A,#N/A,TRUE,"NAOG"}</definedName>
    <definedName name="rgrgrg" localSheetId="13" hidden="1">{#N/A,#N/A,TRUE,"Total Allocation";#N/A,#N/A,TRUE,"Capital Software";#N/A,#N/A,TRUE,"Misc";#N/A,#N/A,TRUE,"NAOG"}</definedName>
    <definedName name="rgrgrg" localSheetId="12" hidden="1">{#N/A,#N/A,TRUE,"Total Allocation";#N/A,#N/A,TRUE,"Capital Software";#N/A,#N/A,TRUE,"Misc";#N/A,#N/A,TRUE,"NAOG"}</definedName>
    <definedName name="rgrgrg" localSheetId="15" hidden="1">{#N/A,#N/A,TRUE,"Total Allocation";#N/A,#N/A,TRUE,"Capital Software";#N/A,#N/A,TRUE,"Misc";#N/A,#N/A,TRUE,"NAOG"}</definedName>
    <definedName name="rgrgrg" localSheetId="14" hidden="1">{#N/A,#N/A,TRUE,"Total Allocation";#N/A,#N/A,TRUE,"Capital Software";#N/A,#N/A,TRUE,"Misc";#N/A,#N/A,TRUE,"NAOG"}</definedName>
    <definedName name="rgrgrg" hidden="1">{#N/A,#N/A,TRUE,"Total Allocation";#N/A,#N/A,TRUE,"Capital Software";#N/A,#N/A,TRUE,"Misc";#N/A,#N/A,TRUE,"NAOG"}</definedName>
    <definedName name="RH" localSheetId="5" hidden="1">{#N/A,#N/A,FALSE,"Dutos";#N/A,#N/A,FALSE,"Terminais"}</definedName>
    <definedName name="RH" localSheetId="11" hidden="1">{#N/A,#N/A,FALSE,"Dutos";#N/A,#N/A,FALSE,"Terminais"}</definedName>
    <definedName name="RH" localSheetId="4" hidden="1">{#N/A,#N/A,FALSE,"Dutos";#N/A,#N/A,FALSE,"Terminais"}</definedName>
    <definedName name="RH" localSheetId="2" hidden="1">{#N/A,#N/A,FALSE,"Dutos";#N/A,#N/A,FALSE,"Terminais"}</definedName>
    <definedName name="RH" localSheetId="13" hidden="1">{#N/A,#N/A,FALSE,"Dutos";#N/A,#N/A,FALSE,"Terminais"}</definedName>
    <definedName name="RH" localSheetId="12" hidden="1">{#N/A,#N/A,FALSE,"Dutos";#N/A,#N/A,FALSE,"Terminais"}</definedName>
    <definedName name="RH" localSheetId="15" hidden="1">{#N/A,#N/A,FALSE,"Dutos";#N/A,#N/A,FALSE,"Terminais"}</definedName>
    <definedName name="RH" localSheetId="14" hidden="1">{#N/A,#N/A,FALSE,"Dutos";#N/A,#N/A,FALSE,"Terminais"}</definedName>
    <definedName name="RH" hidden="1">{#N/A,#N/A,FALSE,"Dutos";#N/A,#N/A,FALSE,"Terminais"}</definedName>
    <definedName name="Riduzion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r" localSheetId="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aa" localSheetId="5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1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4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3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5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14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rrr" hidden="1">"3T1VGQWO3XVR246DYVYTNTMTR"</definedName>
    <definedName name="RS" localSheetId="5" hidden="1">{"'input-data'!$B$5:$R$22"}</definedName>
    <definedName name="RS" localSheetId="11" hidden="1">{"'input-data'!$B$5:$R$22"}</definedName>
    <definedName name="RS" localSheetId="4" hidden="1">{"'input-data'!$B$5:$R$22"}</definedName>
    <definedName name="RS" localSheetId="1" hidden="1">{"'input-data'!$B$5:$R$22"}</definedName>
    <definedName name="RS" localSheetId="7" hidden="1">{"'input-data'!$B$5:$R$22"}</definedName>
    <definedName name="RS" localSheetId="2" hidden="1">{"'input-data'!$B$5:$R$22"}</definedName>
    <definedName name="RS" localSheetId="13" hidden="1">{"'input-data'!$B$5:$R$22"}</definedName>
    <definedName name="RS" localSheetId="12" hidden="1">{"'input-data'!$B$5:$R$22"}</definedName>
    <definedName name="RS" localSheetId="15" hidden="1">{"'input-data'!$B$5:$R$22"}</definedName>
    <definedName name="RS" localSheetId="14" hidden="1">{"'input-data'!$B$5:$R$22"}</definedName>
    <definedName name="RS" hidden="1">{"'input-data'!$B$5:$R$22"}</definedName>
    <definedName name="rtertert" localSheetId="7">#REF!</definedName>
    <definedName name="rtertert">#REF!</definedName>
    <definedName name="rtyf" localSheetId="5" hidden="1">{"ANAR",#N/A,FALSE,"Dist total";"MARGEN",#N/A,FALSE,"Dist total";"COMENTARIO",#N/A,FALSE,"Ficha CODICE";"CONSEJO",#N/A,FALSE,"Dist p0";"uno",#N/A,FALSE,"Dist total"}</definedName>
    <definedName name="rtyf" localSheetId="11" hidden="1">{"ANAR",#N/A,FALSE,"Dist total";"MARGEN",#N/A,FALSE,"Dist total";"COMENTARIO",#N/A,FALSE,"Ficha CODICE";"CONSEJO",#N/A,FALSE,"Dist p0";"uno",#N/A,FALSE,"Dist total"}</definedName>
    <definedName name="rtyf" localSheetId="4" hidden="1">{"ANAR",#N/A,FALSE,"Dist total";"MARGEN",#N/A,FALSE,"Dist total";"COMENTARIO",#N/A,FALSE,"Ficha CODICE";"CONSEJO",#N/A,FALSE,"Dist p0";"uno",#N/A,FALSE,"Dist total"}</definedName>
    <definedName name="rtyf" localSheetId="1" hidden="1">{"ANAR",#N/A,FALSE,"Dist total";"MARGEN",#N/A,FALSE,"Dist total";"COMENTARIO",#N/A,FALSE,"Ficha CODICE";"CONSEJO",#N/A,FALSE,"Dist p0";"uno",#N/A,FALSE,"Dist total"}</definedName>
    <definedName name="rtyf" localSheetId="7" hidden="1">{"ANAR",#N/A,FALSE,"Dist total";"MARGEN",#N/A,FALSE,"Dist total";"COMENTARIO",#N/A,FALSE,"Ficha CODICE";"CONSEJO",#N/A,FALSE,"Dist p0";"uno",#N/A,FALSE,"Dist total"}</definedName>
    <definedName name="rtyf" localSheetId="2" hidden="1">{"ANAR",#N/A,FALSE,"Dist total";"MARGEN",#N/A,FALSE,"Dist total";"COMENTARIO",#N/A,FALSE,"Ficha CODICE";"CONSEJO",#N/A,FALSE,"Dist p0";"uno",#N/A,FALSE,"Dist total"}</definedName>
    <definedName name="rtyf" localSheetId="13" hidden="1">{"ANAR",#N/A,FALSE,"Dist total";"MARGEN",#N/A,FALSE,"Dist total";"COMENTARIO",#N/A,FALSE,"Ficha CODICE";"CONSEJO",#N/A,FALSE,"Dist p0";"uno",#N/A,FALSE,"Dist total"}</definedName>
    <definedName name="rtyf" localSheetId="12" hidden="1">{"ANAR",#N/A,FALSE,"Dist total";"MARGEN",#N/A,FALSE,"Dist total";"COMENTARIO",#N/A,FALSE,"Ficha CODICE";"CONSEJO",#N/A,FALSE,"Dist p0";"uno",#N/A,FALSE,"Dist total"}</definedName>
    <definedName name="rtyf" localSheetId="15" hidden="1">{"ANAR",#N/A,FALSE,"Dist total";"MARGEN",#N/A,FALSE,"Dist total";"COMENTARIO",#N/A,FALSE,"Ficha CODICE";"CONSEJO",#N/A,FALSE,"Dist p0";"uno",#N/A,FALSE,"Dist total"}</definedName>
    <definedName name="rtyf" localSheetId="14" hidden="1">{"ANAR",#N/A,FALSE,"Dist total";"MARGEN",#N/A,FALSE,"Dist total";"COMENTARIO",#N/A,FALSE,"Ficha CODICE";"CONSEJO",#N/A,FALSE,"Dist p0";"uno",#N/A,FALSE,"Dist total"}</definedName>
    <definedName name="rtyf" hidden="1">{"ANAR",#N/A,FALSE,"Dist total";"MARGEN",#N/A,FALSE,"Dist total";"COMENTARIO",#N/A,FALSE,"Ficha CODICE";"CONSEJO",#N/A,FALSE,"Dist p0";"uno",#N/A,FALSE,"Dist total"}</definedName>
    <definedName name="Rwvu.CATODO." localSheetId="2" hidden="1">#REF!,#REF!,#REF!,#REF!,#REF!,#REF!</definedName>
    <definedName name="Rwvu.CATODO." hidden="1">#REF!,#REF!,#REF!,#REF!,#REF!,#REF!</definedName>
    <definedName name="Rwvu.VERGALHÃO." hidden="1">#REF!,#REF!,#REF!,#REF!,#REF!,#REF!</definedName>
    <definedName name="s" localSheetId="1" hidden="1">"8NQXBUDEZ82WGHEZ9ZK4JN6KH"</definedName>
    <definedName name="s" localSheetId="7" hidden="1">"8NQXBUDEZ82WGHEZ9ZK4JN6KH"</definedName>
    <definedName name="s" localSheetId="2">#REF!</definedName>
    <definedName name="s">#REF!</definedName>
    <definedName name="s2s55s2" localSheetId="7" hidden="1">[1]SINTESIS!$N$7:$N$20</definedName>
    <definedName name="s2s55s2" localSheetId="2" hidden="1">#REF!</definedName>
    <definedName name="s2s55s2" hidden="1">#REF!</definedName>
    <definedName name="sa" localSheetId="5" hidden="1">{"'input-data'!$B$5:$R$22"}</definedName>
    <definedName name="sa" localSheetId="11" hidden="1">{"'input-data'!$B$5:$R$22"}</definedName>
    <definedName name="sa" localSheetId="4" hidden="1">{"'input-data'!$B$5:$R$22"}</definedName>
    <definedName name="sa" localSheetId="1" hidden="1">{"'input-data'!$B$5:$R$22"}</definedName>
    <definedName name="sa" localSheetId="7" hidden="1">{"'input-data'!$B$5:$R$22"}</definedName>
    <definedName name="sa" localSheetId="2" hidden="1">{"'input-data'!$B$5:$R$22"}</definedName>
    <definedName name="sa" localSheetId="13" hidden="1">{"'input-data'!$B$5:$R$22"}</definedName>
    <definedName name="sa" localSheetId="12" hidden="1">{"'input-data'!$B$5:$R$22"}</definedName>
    <definedName name="sa" localSheetId="15" hidden="1">{"'input-data'!$B$5:$R$22"}</definedName>
    <definedName name="sa" localSheetId="14" hidden="1">{"'input-data'!$B$5:$R$22"}</definedName>
    <definedName name="sa" hidden="1">{"'input-data'!$B$5:$R$22"}</definedName>
    <definedName name="sa2s" hidden="1">#REF!</definedName>
    <definedName name="salsp">#REF!</definedName>
    <definedName name="salvador" localSheetId="7">#REF!</definedName>
    <definedName name="salvador">#REF!</definedName>
    <definedName name="sap_D0001_00000001" localSheetId="7">#REF!</definedName>
    <definedName name="sap_D0001_00000001">#REF!</definedName>
    <definedName name="sap_D0002_00000001" localSheetId="7">#REF!</definedName>
    <definedName name="sap_D0002_00000001">#REF!</definedName>
    <definedName name="sap_D0003_00000001" localSheetId="7">#REF!</definedName>
    <definedName name="sap_D0003_00000001">#REF!</definedName>
    <definedName name="sap_D0004_00000001" localSheetId="7">#REF!</definedName>
    <definedName name="sap_D0004_00000001">#REF!</definedName>
    <definedName name="sap_D0005_00000001" localSheetId="7">#REF!</definedName>
    <definedName name="sap_D0005_00000001">#REF!</definedName>
    <definedName name="sap_D0006_00000001" localSheetId="7">#REF!</definedName>
    <definedName name="sap_D0006_00000001">#REF!</definedName>
    <definedName name="sap_D0007_00000001" localSheetId="7">#REF!</definedName>
    <definedName name="sap_D0007_00000001">#REF!</definedName>
    <definedName name="sap_D0008_00000001" localSheetId="7">#REF!</definedName>
    <definedName name="sap_D0008_00000001">#REF!</definedName>
    <definedName name="sap_D0009_00000001" localSheetId="7">#REF!</definedName>
    <definedName name="sap_D0009_00000001">#REF!</definedName>
    <definedName name="sap_D0010_00000001" localSheetId="7">#REF!</definedName>
    <definedName name="sap_D0010_00000001">#REF!</definedName>
    <definedName name="sap_D0011_00000001" localSheetId="7">#REF!</definedName>
    <definedName name="sap_D0011_00000001">#REF!</definedName>
    <definedName name="sap_D0012_00000001" localSheetId="7">#REF!</definedName>
    <definedName name="sap_D0012_00000001">#REF!</definedName>
    <definedName name="sap_D0013_00000001" localSheetId="7">#REF!</definedName>
    <definedName name="sap_D0013_00000001">#REF!</definedName>
    <definedName name="sap_D0014_00000001" localSheetId="7">#REF!</definedName>
    <definedName name="sap_D0014_00000001">#REF!</definedName>
    <definedName name="sap_D0015_00000001" localSheetId="7">#REF!</definedName>
    <definedName name="sap_D0015_00000001">#REF!</definedName>
    <definedName name="sap_D0016_00000001" localSheetId="7">#REF!</definedName>
    <definedName name="sap_D0016_00000001">#REF!</definedName>
    <definedName name="sap_D0017_00000001" localSheetId="7">#REF!</definedName>
    <definedName name="sap_D0017_00000001">#REF!</definedName>
    <definedName name="sap_D0018_00000001" localSheetId="7">#REF!</definedName>
    <definedName name="sap_D0018_00000001">#REF!</definedName>
    <definedName name="sap_D0019_00000001" localSheetId="7">#REF!</definedName>
    <definedName name="sap_D0019_00000001">#REF!</definedName>
    <definedName name="sap_D0020_00000001" localSheetId="7">#REF!</definedName>
    <definedName name="sap_D0020_00000001">#REF!</definedName>
    <definedName name="sap_D0021_00000001" localSheetId="7">#REF!</definedName>
    <definedName name="sap_D0021_00000001">#REF!</definedName>
    <definedName name="sap_D0022_00000001" localSheetId="7">#REF!</definedName>
    <definedName name="sap_D0022_00000001">#REF!</definedName>
    <definedName name="sap_D0023_00000001" localSheetId="7">#REF!</definedName>
    <definedName name="sap_D0023_00000001">#REF!</definedName>
    <definedName name="sap_D0024_00000001" localSheetId="7">#REF!</definedName>
    <definedName name="sap_D0024_00000001">#REF!</definedName>
    <definedName name="sap_F0001" localSheetId="7">#REF!</definedName>
    <definedName name="sap_F0001">#REF!</definedName>
    <definedName name="sap_F0002" localSheetId="7">#REF!</definedName>
    <definedName name="sap_F0002">#REF!</definedName>
    <definedName name="sap_K0001" localSheetId="7">#REF!</definedName>
    <definedName name="sap_K0001">#REF!</definedName>
    <definedName name="sap_K0002" localSheetId="7">#REF!</definedName>
    <definedName name="sap_K0002">#REF!</definedName>
    <definedName name="sap_K0003" localSheetId="7">#REF!</definedName>
    <definedName name="sap_K0003">#REF!</definedName>
    <definedName name="sap_K0004" localSheetId="7">#REF!</definedName>
    <definedName name="sap_K0004">#REF!</definedName>
    <definedName name="sap_K0005" localSheetId="7">#REF!</definedName>
    <definedName name="sap_K0005">#REF!</definedName>
    <definedName name="sap_K0006" localSheetId="7">#REF!</definedName>
    <definedName name="sap_K0006">#REF!</definedName>
    <definedName name="sap_K0007" localSheetId="7">#REF!</definedName>
    <definedName name="sap_K0007">#REF!</definedName>
    <definedName name="sap_K0008" localSheetId="7">#REF!</definedName>
    <definedName name="sap_K0008">#REF!</definedName>
    <definedName name="sap_S0001" localSheetId="7">#REF!</definedName>
    <definedName name="sap_S0001">#REF!</definedName>
    <definedName name="sap_S0002" localSheetId="7">#REF!</definedName>
    <definedName name="sap_S0002">#REF!</definedName>
    <definedName name="sap_S0003" localSheetId="7">#REF!</definedName>
    <definedName name="sap_S0003">#REF!</definedName>
    <definedName name="sap_S0004" localSheetId="7">#REF!</definedName>
    <definedName name="sap_S0004">#REF!</definedName>
    <definedName name="sap_S0005" localSheetId="7">#REF!</definedName>
    <definedName name="sap_S0005">#REF!</definedName>
    <definedName name="sap_S0006" localSheetId="7">#REF!</definedName>
    <definedName name="sap_S0006">#REF!</definedName>
    <definedName name="sap_S0007" localSheetId="7">#REF!</definedName>
    <definedName name="sap_S0007">#REF!</definedName>
    <definedName name="sap_S0008" localSheetId="7">#REF!</definedName>
    <definedName name="sap_S0008">#REF!</definedName>
    <definedName name="sap_S0009" localSheetId="7">#REF!</definedName>
    <definedName name="sap_S0009">#REF!</definedName>
    <definedName name="sap_S0010" localSheetId="7">#REF!</definedName>
    <definedName name="sap_S0010">#REF!</definedName>
    <definedName name="sap_S0011" localSheetId="7">#REF!</definedName>
    <definedName name="sap_S0011">#REF!</definedName>
    <definedName name="sap_S0012" localSheetId="7">#REF!</definedName>
    <definedName name="sap_S0012">#REF!</definedName>
    <definedName name="sap_S0013" localSheetId="7">#REF!</definedName>
    <definedName name="sap_S0013">#REF!</definedName>
    <definedName name="sap_S0014" localSheetId="7">#REF!</definedName>
    <definedName name="sap_S0014">#REF!</definedName>
    <definedName name="sap_S0015" localSheetId="7">#REF!</definedName>
    <definedName name="sap_S0015">#REF!</definedName>
    <definedName name="sap_S0016" localSheetId="7">#REF!</definedName>
    <definedName name="sap_S0016">#REF!</definedName>
    <definedName name="sap_S0017" localSheetId="7">#REF!</definedName>
    <definedName name="sap_S0017">#REF!</definedName>
    <definedName name="sap_S0018" localSheetId="7">#REF!</definedName>
    <definedName name="sap_S0018">#REF!</definedName>
    <definedName name="sap_S0019" localSheetId="7">#REF!</definedName>
    <definedName name="sap_S0019">#REF!</definedName>
    <definedName name="sap_S0020" localSheetId="7">#REF!</definedName>
    <definedName name="sap_S0020">#REF!</definedName>
    <definedName name="sap_S0021" localSheetId="7">#REF!</definedName>
    <definedName name="sap_S0021">#REF!</definedName>
    <definedName name="sap_S0022" localSheetId="7">#REF!</definedName>
    <definedName name="sap_S0022">#REF!</definedName>
    <definedName name="sap_S0023" localSheetId="7">#REF!</definedName>
    <definedName name="sap_S0023">#REF!</definedName>
    <definedName name="sap_S0024" localSheetId="7">#REF!</definedName>
    <definedName name="sap_S0024">#REF!</definedName>
    <definedName name="sap_Z0001_00000001" localSheetId="7">#REF!</definedName>
    <definedName name="sap_Z0001_00000001">#REF!</definedName>
    <definedName name="sap_Z0002_00000001" localSheetId="7">#REF!</definedName>
    <definedName name="sap_Z0002_0000000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localSheetId="5" hidden="1">"C73"</definedName>
    <definedName name="SAPBEXsysID" localSheetId="11" hidden="1">"BWP"</definedName>
    <definedName name="SAPBEXsysID" localSheetId="13" hidden="1">"BWP"</definedName>
    <definedName name="SAPBEXsysID" localSheetId="12" hidden="1">"BWP"</definedName>
    <definedName name="SAPBEXsysID" localSheetId="15" hidden="1">"BWP"</definedName>
    <definedName name="SAPBEXsysID" localSheetId="14" hidden="1">"BWP"</definedName>
    <definedName name="SAPBEXsysID" hidden="1">"C73"</definedName>
    <definedName name="SAPBEXwbID" localSheetId="5" hidden="1">"3RZHUIKJPG5A15A8Y9G1KC057"</definedName>
    <definedName name="SAPBEXwbID" localSheetId="11" hidden="1">"44OVV3OZI2OMRWDB2C8120W7B"</definedName>
    <definedName name="SAPBEXwbID" localSheetId="13" hidden="1">"44OVV3OZI2OMRWDB2C8120W7B"</definedName>
    <definedName name="SAPBEXwbID" localSheetId="12" hidden="1">"44OVV3OZI2OMRWDB2C8120W7B"</definedName>
    <definedName name="SAPBEXwbID" localSheetId="15" hidden="1">"44OVV3OZI2OMRWDB2C8120W7B"</definedName>
    <definedName name="SAPBEXwbID" localSheetId="14" hidden="1">"44OVV3OZI2OMRWDB2C8120W7B"</definedName>
    <definedName name="SAPBEXwbID" hidden="1">"3RZHUIKJPG5A15A8Y9G1KC057"</definedName>
    <definedName name="SAPsysID" hidden="1">"708C5W7SBKP804JT78WJ0JNKI"</definedName>
    <definedName name="SAPwbID" hidden="1">"ARS"</definedName>
    <definedName name="sassp">#REF!</definedName>
    <definedName name="Sched_Pay" localSheetId="1">#REF!</definedName>
    <definedName name="Sched_Pay" localSheetId="7">#REF!</definedName>
    <definedName name="Sched_Pay" localSheetId="2">#REF!</definedName>
    <definedName name="Sched_Pay">#REF!</definedName>
    <definedName name="Scheduled_Extra_Payments" localSheetId="7">#REF!</definedName>
    <definedName name="Scheduled_Extra_Payments" localSheetId="2">#REF!</definedName>
    <definedName name="Scheduled_Extra_Payments">#REF!</definedName>
    <definedName name="Scheduled_Interest_Rate" localSheetId="7">#REF!</definedName>
    <definedName name="Scheduled_Interest_Rate">#REF!</definedName>
    <definedName name="Scheduled_Monthly_Payment" localSheetId="7">#REF!</definedName>
    <definedName name="Scheduled_Monthly_Payment">#REF!</definedName>
    <definedName name="sdasdas" hidden="1">#REF!</definedName>
    <definedName name="sdd" localSheetId="5" hidden="1">{"'input-data'!$B$5:$R$22"}</definedName>
    <definedName name="sdd" localSheetId="11" hidden="1">{"'input-data'!$B$5:$R$22"}</definedName>
    <definedName name="sdd" localSheetId="4" hidden="1">{"'input-data'!$B$5:$R$22"}</definedName>
    <definedName name="sdd" localSheetId="1" hidden="1">{"'input-data'!$B$5:$R$22"}</definedName>
    <definedName name="sdd" localSheetId="7" hidden="1">{"'input-data'!$B$5:$R$22"}</definedName>
    <definedName name="sdd" localSheetId="2" hidden="1">{"'input-data'!$B$5:$R$22"}</definedName>
    <definedName name="sdd" localSheetId="13" hidden="1">{"'input-data'!$B$5:$R$22"}</definedName>
    <definedName name="sdd" localSheetId="12" hidden="1">{"'input-data'!$B$5:$R$22"}</definedName>
    <definedName name="sdd" localSheetId="15" hidden="1">{"'input-data'!$B$5:$R$22"}</definedName>
    <definedName name="sdd" localSheetId="14" hidden="1">{"'input-data'!$B$5:$R$22"}</definedName>
    <definedName name="sdd" hidden="1">{"'input-data'!$B$5:$R$22"}</definedName>
    <definedName name="sdfg" localSheetId="5" hidden="1">{#N/A,#N/A,FALSE,"Aging Summary";#N/A,#N/A,FALSE,"Ratio Analysis";#N/A,#N/A,FALSE,"Test 120 Day Accts";#N/A,#N/A,FALSE,"Tickmarks"}</definedName>
    <definedName name="sdfg" localSheetId="11" hidden="1">{#N/A,#N/A,FALSE,"Aging Summary";#N/A,#N/A,FALSE,"Ratio Analysis";#N/A,#N/A,FALSE,"Test 120 Day Accts";#N/A,#N/A,FALSE,"Tickmarks"}</definedName>
    <definedName name="sdfg" localSheetId="4" hidden="1">{#N/A,#N/A,FALSE,"Aging Summary";#N/A,#N/A,FALSE,"Ratio Analysis";#N/A,#N/A,FALSE,"Test 120 Day Accts";#N/A,#N/A,FALSE,"Tickmarks"}</definedName>
    <definedName name="sdfg" localSheetId="2" hidden="1">{#N/A,#N/A,FALSE,"Aging Summary";#N/A,#N/A,FALSE,"Ratio Analysis";#N/A,#N/A,FALSE,"Test 120 Day Accts";#N/A,#N/A,FALSE,"Tickmarks"}</definedName>
    <definedName name="sdfg" localSheetId="13" hidden="1">{#N/A,#N/A,FALSE,"Aging Summary";#N/A,#N/A,FALSE,"Ratio Analysis";#N/A,#N/A,FALSE,"Test 120 Day Accts";#N/A,#N/A,FALSE,"Tickmarks"}</definedName>
    <definedName name="sdfg" localSheetId="12" hidden="1">{#N/A,#N/A,FALSE,"Aging Summary";#N/A,#N/A,FALSE,"Ratio Analysis";#N/A,#N/A,FALSE,"Test 120 Day Accts";#N/A,#N/A,FALSE,"Tickmarks"}</definedName>
    <definedName name="sdfg" localSheetId="15" hidden="1">{#N/A,#N/A,FALSE,"Aging Summary";#N/A,#N/A,FALSE,"Ratio Analysis";#N/A,#N/A,FALSE,"Test 120 Day Accts";#N/A,#N/A,FALSE,"Tickmarks"}</definedName>
    <definedName name="sdfg" localSheetId="14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DG" localSheetId="5" hidden="1">{#N/A,#N/A,FALSE,"Dutos";#N/A,#N/A,FALSE,"Terminais"}</definedName>
    <definedName name="SDG" localSheetId="11" hidden="1">{#N/A,#N/A,FALSE,"Dutos";#N/A,#N/A,FALSE,"Terminais"}</definedName>
    <definedName name="SDG" localSheetId="4" hidden="1">{#N/A,#N/A,FALSE,"Dutos";#N/A,#N/A,FALSE,"Terminais"}</definedName>
    <definedName name="SDG" localSheetId="2" hidden="1">{#N/A,#N/A,FALSE,"Dutos";#N/A,#N/A,FALSE,"Terminais"}</definedName>
    <definedName name="SDG" localSheetId="13" hidden="1">{#N/A,#N/A,FALSE,"Dutos";#N/A,#N/A,FALSE,"Terminais"}</definedName>
    <definedName name="SDG" localSheetId="12" hidden="1">{#N/A,#N/A,FALSE,"Dutos";#N/A,#N/A,FALSE,"Terminais"}</definedName>
    <definedName name="SDG" localSheetId="15" hidden="1">{#N/A,#N/A,FALSE,"Dutos";#N/A,#N/A,FALSE,"Terminais"}</definedName>
    <definedName name="SDG" localSheetId="14" hidden="1">{#N/A,#N/A,FALSE,"Dutos";#N/A,#N/A,FALSE,"Terminais"}</definedName>
    <definedName name="SDG" hidden="1">{#N/A,#N/A,FALSE,"Dutos";#N/A,#N/A,FALSE,"Terminais"}</definedName>
    <definedName name="Sec_x_cli_a_ba_y_cu_pco">#REF!</definedName>
    <definedName name="Sec_x_cli_a_ba_y_cu_res">#REF!</definedName>
    <definedName name="SEF" localSheetId="5" hidden="1">{#N/A,#N/A,FALSE,"Dutos";#N/A,#N/A,FALSE,"Terminais"}</definedName>
    <definedName name="SEF" localSheetId="11" hidden="1">{#N/A,#N/A,FALSE,"Dutos";#N/A,#N/A,FALSE,"Terminais"}</definedName>
    <definedName name="SEF" localSheetId="4" hidden="1">{#N/A,#N/A,FALSE,"Dutos";#N/A,#N/A,FALSE,"Terminais"}</definedName>
    <definedName name="SEF" localSheetId="2" hidden="1">{#N/A,#N/A,FALSE,"Dutos";#N/A,#N/A,FALSE,"Terminais"}</definedName>
    <definedName name="SEF" localSheetId="13" hidden="1">{#N/A,#N/A,FALSE,"Dutos";#N/A,#N/A,FALSE,"Terminais"}</definedName>
    <definedName name="SEF" localSheetId="12" hidden="1">{#N/A,#N/A,FALSE,"Dutos";#N/A,#N/A,FALSE,"Terminais"}</definedName>
    <definedName name="SEF" localSheetId="15" hidden="1">{#N/A,#N/A,FALSE,"Dutos";#N/A,#N/A,FALSE,"Terminais"}</definedName>
    <definedName name="SEF" localSheetId="14" hidden="1">{#N/A,#N/A,FALSE,"Dutos";#N/A,#N/A,FALSE,"Terminais"}</definedName>
    <definedName name="SEF" hidden="1">{#N/A,#N/A,FALSE,"Dutos";#N/A,#N/A,FALSE,"Terminais"}</definedName>
    <definedName name="Seg_a_blk_p_r" localSheetId="7">#REF!</definedName>
    <definedName name="Seg_a_blk_p_r">#REF!</definedName>
    <definedName name="Seg_a_blk_r_r" localSheetId="7">#REF!</definedName>
    <definedName name="Seg_a_blk_r_r">#REF!</definedName>
    <definedName name="Seg_a_cat_p_r" localSheetId="7">#REF!</definedName>
    <definedName name="Seg_a_cat_p_r">#REF!</definedName>
    <definedName name="Seg_a_cat_r_r" localSheetId="7">#REF!</definedName>
    <definedName name="Seg_a_cat_r_r">#REF!</definedName>
    <definedName name="Segr_np_r" localSheetId="7">#REF!</definedName>
    <definedName name="Segr_np_r">#REF!</definedName>
    <definedName name="SEGUROS" localSheetId="5">IF(Loan_Amount*Interest_Rate*Loan_Years*Loan_Start&gt;0,1,0)</definedName>
    <definedName name="SEGUROS" localSheetId="11">IF(Loan_Amount*Interest_Rate*Loan_Years*Loan_Start&gt;0,1,0)</definedName>
    <definedName name="SEGUROS" localSheetId="4">IF(Loan_Amount*Interest_Rate*Loan_Years*Loan_Start&gt;0,1,0)</definedName>
    <definedName name="SEGUROS" localSheetId="1">IF([0]!Loan_Amount*[0]!Interest_Rate*[0]!Loan_Years*[0]!Loan_Start&gt;0,1,0)</definedName>
    <definedName name="SEGUROS" localSheetId="7">#N/A</definedName>
    <definedName name="SEGUROS" localSheetId="2">IF(Loan_Amount*Interest_Rate*Loan_Years*Loan_Start&gt;0,1,0)</definedName>
    <definedName name="SEGUROS" localSheetId="13">IF(Loan_Amount*Interest_Rate*Loan_Years*Loan_Start&gt;0,1,0)</definedName>
    <definedName name="SEGUROS" localSheetId="12">IF(Loan_Amount*Interest_Rate*Loan_Years*Loan_Start&gt;0,1,0)</definedName>
    <definedName name="SEGUROS" localSheetId="15">IF([0]!Loan_Amount*[0]!Interest_Rate*[0]!Loan_Years*[0]!Loan_Start&gt;0,1,0)</definedName>
    <definedName name="SEGUROS" localSheetId="14">IF(Loan_Amount*Interest_Rate*Loan_Years*Loan_Start&gt;0,1,0)</definedName>
    <definedName name="SEGUROS">IF(Loan_Amount*Interest_Rate*Loan_Years*Loan_Start&gt;0,1,0)</definedName>
    <definedName name="seila" localSheetId="5" hidden="1">{#N/A,#N/A,FALSE,"Aging Summary";#N/A,#N/A,FALSE,"Ratio Analysis";#N/A,#N/A,FALSE,"Test 120 Day Accts";#N/A,#N/A,FALSE,"Tickmarks"}</definedName>
    <definedName name="seila" localSheetId="11" hidden="1">{#N/A,#N/A,FALSE,"Aging Summary";#N/A,#N/A,FALSE,"Ratio Analysis";#N/A,#N/A,FALSE,"Test 120 Day Accts";#N/A,#N/A,FALSE,"Tickmarks"}</definedName>
    <definedName name="seila" localSheetId="4" hidden="1">{#N/A,#N/A,FALSE,"Aging Summary";#N/A,#N/A,FALSE,"Ratio Analysis";#N/A,#N/A,FALSE,"Test 120 Day Accts";#N/A,#N/A,FALSE,"Tickmarks"}</definedName>
    <definedName name="seila" localSheetId="2" hidden="1">{#N/A,#N/A,FALSE,"Aging Summary";#N/A,#N/A,FALSE,"Ratio Analysis";#N/A,#N/A,FALSE,"Test 120 Day Accts";#N/A,#N/A,FALSE,"Tickmarks"}</definedName>
    <definedName name="seila" localSheetId="13" hidden="1">{#N/A,#N/A,FALSE,"Aging Summary";#N/A,#N/A,FALSE,"Ratio Analysis";#N/A,#N/A,FALSE,"Test 120 Day Accts";#N/A,#N/A,FALSE,"Tickmarks"}</definedName>
    <definedName name="seila" localSheetId="12" hidden="1">{#N/A,#N/A,FALSE,"Aging Summary";#N/A,#N/A,FALSE,"Ratio Analysis";#N/A,#N/A,FALSE,"Test 120 Day Accts";#N/A,#N/A,FALSE,"Tickmarks"}</definedName>
    <definedName name="seila" localSheetId="15" hidden="1">{#N/A,#N/A,FALSE,"Aging Summary";#N/A,#N/A,FALSE,"Ratio Analysis";#N/A,#N/A,FALSE,"Test 120 Day Accts";#N/A,#N/A,FALSE,"Tickmarks"}</definedName>
    <definedName name="seila" localSheetId="14" hidden="1">{#N/A,#N/A,FALSE,"Aging Summary";#N/A,#N/A,FALSE,"Ratio Analysis";#N/A,#N/A,FALSE,"Test 120 Day Accts";#N/A,#N/A,FALSE,"Tickmarks"}</definedName>
    <definedName name="seila" hidden="1">{#N/A,#N/A,FALSE,"Aging Summary";#N/A,#N/A,FALSE,"Ratio Analysis";#N/A,#N/A,FALSE,"Test 120 Day Accts";#N/A,#N/A,FALSE,"Tickmarks"}</definedName>
    <definedName name="Semanas" localSheetId="1">#REF!</definedName>
    <definedName name="Semanas" localSheetId="7">#REF!</definedName>
    <definedName name="Semanas" localSheetId="2">#REF!</definedName>
    <definedName name="Semanas">#REF!</definedName>
    <definedName name="semsap" localSheetId="2">#REF!</definedName>
    <definedName name="semsap">#REF!</definedName>
    <definedName name="sencount" hidden="1">1</definedName>
    <definedName name="Sept98" localSheetId="1">#REF!</definedName>
    <definedName name="Sept98" localSheetId="7">#REF!</definedName>
    <definedName name="Sept98" localSheetId="2">#REF!</definedName>
    <definedName name="Sept98">#REF!</definedName>
    <definedName name="Septiembre" localSheetId="2">#REF!</definedName>
    <definedName name="Septiembre">#REF!</definedName>
    <definedName name="SFHB" localSheetId="5" hidden="1">{#N/A,#N/A,FALSE,"Dutos";#N/A,#N/A,FALSE,"Terminais"}</definedName>
    <definedName name="SFHB" localSheetId="11" hidden="1">{#N/A,#N/A,FALSE,"Dutos";#N/A,#N/A,FALSE,"Terminais"}</definedName>
    <definedName name="SFHB" localSheetId="4" hidden="1">{#N/A,#N/A,FALSE,"Dutos";#N/A,#N/A,FALSE,"Terminais"}</definedName>
    <definedName name="SFHB" localSheetId="2" hidden="1">{#N/A,#N/A,FALSE,"Dutos";#N/A,#N/A,FALSE,"Terminais"}</definedName>
    <definedName name="SFHB" localSheetId="13" hidden="1">{#N/A,#N/A,FALSE,"Dutos";#N/A,#N/A,FALSE,"Terminais"}</definedName>
    <definedName name="SFHB" localSheetId="12" hidden="1">{#N/A,#N/A,FALSE,"Dutos";#N/A,#N/A,FALSE,"Terminais"}</definedName>
    <definedName name="SFHB" localSheetId="15" hidden="1">{#N/A,#N/A,FALSE,"Dutos";#N/A,#N/A,FALSE,"Terminais"}</definedName>
    <definedName name="SFHB" localSheetId="14" hidden="1">{#N/A,#N/A,FALSE,"Dutos";#N/A,#N/A,FALSE,"Terminais"}</definedName>
    <definedName name="SFHB" hidden="1">{#N/A,#N/A,FALSE,"Dutos";#N/A,#N/A,FALSE,"Terminais"}</definedName>
    <definedName name="simula2" localSheetId="5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1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5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1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5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1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5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1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nal_visao" localSheetId="1">#REF!</definedName>
    <definedName name="sinal_visao" localSheetId="2">#REF!</definedName>
    <definedName name="sinal_visao">#REF!</definedName>
    <definedName name="Sistema_de_comunicação" localSheetId="1">#REF!</definedName>
    <definedName name="Sistema_de_comunicação" localSheetId="7">#REF!</definedName>
    <definedName name="Sistema_de_comunicação" localSheetId="2">#REF!</definedName>
    <definedName name="Sistema_de_comunicação">#REF!</definedName>
    <definedName name="Sistema_mercado" localSheetId="2">#REF!</definedName>
    <definedName name="Sistema_mercado">#REF!</definedName>
    <definedName name="Sistema_mes">#REF!</definedName>
    <definedName name="Sistema_perdas">#REF!</definedName>
    <definedName name="sistema_sociedade">#REF!</definedName>
    <definedName name="sistema_tipo">#REF!</definedName>
    <definedName name="Sistema_valor">#REF!</definedName>
    <definedName name="sloc">#REF!</definedName>
    <definedName name="SOCIEDAD">"E0016 - Companhia Distribuidora de gas de Rio de Janeiro, S.A."</definedName>
    <definedName name="SOCIEDADE">#REF!</definedName>
    <definedName name="Sociedade_clientes_PTO">#REF!</definedName>
    <definedName name="SOCIETARIO" localSheetId="1">#REF!</definedName>
    <definedName name="SOCIETARIO" localSheetId="7">#REF!</definedName>
    <definedName name="SOCIETARIO" localSheetId="2">#REF!</definedName>
    <definedName name="SOCIETARIO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localSheetId="5" hidden="1">0</definedName>
    <definedName name="solver_lin" localSheetId="11" hidden="1">2</definedName>
    <definedName name="solver_lin" localSheetId="13" hidden="1">2</definedName>
    <definedName name="solver_lin" localSheetId="12" hidden="1">2</definedName>
    <definedName name="solver_lin" localSheetId="15" hidden="1">2</definedName>
    <definedName name="solver_lin" localSheetId="14" hidden="1">2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1863661</definedName>
    <definedName name="SOPORTE">#N/A</definedName>
    <definedName name="SORT" localSheetId="7" hidden="1">#REF!</definedName>
    <definedName name="SORT" hidden="1">#REF!</definedName>
    <definedName name="split">#REF!</definedName>
    <definedName name="ss" localSheetId="7" hidden="1">[1]SINTESIS!$M$7:$M$12</definedName>
    <definedName name="ss" hidden="1">#REF!</definedName>
    <definedName name="SSE" localSheetId="4">#REF!</definedName>
    <definedName name="SSE" localSheetId="1">#REF!</definedName>
    <definedName name="SSE" localSheetId="7">[28]Plan1!#REF!</definedName>
    <definedName name="SSE">#REF!</definedName>
    <definedName name="sss" localSheetId="5" hidden="1">{#N/A,#N/A,FALSE,"HONORÁRIOS"}</definedName>
    <definedName name="sss" localSheetId="11" hidden="1">{#N/A,#N/A,FALSE,"HONORÁRIOS"}</definedName>
    <definedName name="sss" localSheetId="4" hidden="1">{#N/A,#N/A,FALSE,"HONORÁRIOS"}</definedName>
    <definedName name="sss" localSheetId="2" hidden="1">{#N/A,#N/A,FALSE,"HONORÁRIOS"}</definedName>
    <definedName name="sss" localSheetId="13" hidden="1">{#N/A,#N/A,FALSE,"HONORÁRIOS"}</definedName>
    <definedName name="sss" localSheetId="12" hidden="1">{#N/A,#N/A,FALSE,"HONORÁRIOS"}</definedName>
    <definedName name="sss" localSheetId="15" hidden="1">{#N/A,#N/A,FALSE,"HONORÁRIOS"}</definedName>
    <definedName name="sss" localSheetId="14" hidden="1">{#N/A,#N/A,FALSE,"HONORÁRIOS"}</definedName>
    <definedName name="sss" hidden="1">{#N/A,#N/A,FALSE,"HONORÁRIOS"}</definedName>
    <definedName name="ssss" localSheetId="5">#REF!</definedName>
    <definedName name="ssss" localSheetId="11" hidden="1">{"Fecha_Dezembro",#N/A,FALSE,"FECHAMENTO-2002 ";"Defer_Dezermbro",#N/A,FALSE,"DIFERIDO";"Pis_Dezembro",#N/A,FALSE,"PIS COFINS";"Iss_Dezembro",#N/A,FALSE,"ISS"}</definedName>
    <definedName name="ssss" localSheetId="1">#REF!</definedName>
    <definedName name="ssss" localSheetId="7">#REF!</definedName>
    <definedName name="ssss" localSheetId="2">#REF!</definedName>
    <definedName name="ssss" localSheetId="13" hidden="1">{"Fecha_Dezembro",#N/A,FALSE,"FECHAMENTO-2002 ";"Defer_Dezermbro",#N/A,FALSE,"DIFERIDO";"Pis_Dezembro",#N/A,FALSE,"PIS COFINS";"Iss_Dezembro",#N/A,FALSE,"ISS"}</definedName>
    <definedName name="ssss" localSheetId="12" hidden="1">{"Fecha_Dezembro",#N/A,FALSE,"FECHAMENTO-2002 ";"Defer_Dezermbro",#N/A,FALSE,"DIFERIDO";"Pis_Dezembro",#N/A,FALSE,"PIS COFINS";"Iss_Dezembro",#N/A,FALSE,"ISS"}</definedName>
    <definedName name="ssss" localSheetId="15" hidden="1">{"Fecha_Dezembro",#N/A,FALSE,"FECHAMENTO-2002 ";"Defer_Dezermbro",#N/A,FALSE,"DIFERIDO";"Pis_Dezembro",#N/A,FALSE,"PIS COFINS";"Iss_Dezembro",#N/A,FALSE,"ISS"}</definedName>
    <definedName name="ssss" localSheetId="14" hidden="1">{"Fecha_Dezembro",#N/A,FALSE,"FECHAMENTO-2002 ";"Defer_Dezermbro",#N/A,FALSE,"DIFERIDO";"Pis_Dezembro",#N/A,FALSE,"PIS COFINS";"Iss_Dezembro",#N/A,FALSE,"ISS"}</definedName>
    <definedName name="ssss">#REF!</definedName>
    <definedName name="sssss" localSheetId="5" hidden="1">{"Fecha_Dezembro",#N/A,FALSE,"FECHAMENTO-2002 ";"Defer_Dezermbro",#N/A,FALSE,"DIFERIDO";"Pis_Dezembro",#N/A,FALSE,"PIS COFINS";"Iss_Dezembro",#N/A,FALSE,"ISS"}</definedName>
    <definedName name="sssss" localSheetId="11" hidden="1">{"Fecha_Dezembro",#N/A,FALSE,"FECHAMENTO-2002 ";"Defer_Dezermbro",#N/A,FALSE,"DIFERIDO";"Pis_Dezembro",#N/A,FALSE,"PIS COFINS";"Iss_Dezembro",#N/A,FALSE,"ISS"}</definedName>
    <definedName name="sssss" localSheetId="4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localSheetId="13" hidden="1">{"Fecha_Dezembro",#N/A,FALSE,"FECHAMENTO-2002 ";"Defer_Dezermbro",#N/A,FALSE,"DIFERIDO";"Pis_Dezembro",#N/A,FALSE,"PIS COFINS";"Iss_Dezembro",#N/A,FALSE,"ISS"}</definedName>
    <definedName name="sssss" localSheetId="12" hidden="1">{"Fecha_Dezembro",#N/A,FALSE,"FECHAMENTO-2002 ";"Defer_Dezermbro",#N/A,FALSE,"DIFERIDO";"Pis_Dezembro",#N/A,FALSE,"PIS COFINS";"Iss_Dezembro",#N/A,FALSE,"ISS"}</definedName>
    <definedName name="sssss" localSheetId="15" hidden="1">{"Fecha_Dezembro",#N/A,FALSE,"FECHAMENTO-2002 ";"Defer_Dezermbro",#N/A,FALSE,"DIFERIDO";"Pis_Dezembro",#N/A,FALSE,"PIS COFINS";"Iss_Dezembro",#N/A,FALSE,"ISS"}</definedName>
    <definedName name="sssss" localSheetId="14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5" hidden="1">{"Fecha_Dezembro",#N/A,FALSE,"FECHAMENTO-2002 ";"Defer_Dezermbro",#N/A,FALSE,"DIFERIDO";"Pis_Dezembro",#N/A,FALSE,"PIS COFINS";"Iss_Dezembro",#N/A,FALSE,"ISS"}</definedName>
    <definedName name="sssssss" localSheetId="11" hidden="1">{"Fecha_Dezembro",#N/A,FALSE,"FECHAMENTO-2002 ";"Defer_Dezermbro",#N/A,FALSE,"DIFERIDO";"Pis_Dezembro",#N/A,FALSE,"PIS COFINS";"Iss_Dezembro",#N/A,FALSE,"ISS"}</definedName>
    <definedName name="sssssss" localSheetId="4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localSheetId="13" hidden="1">{"Fecha_Dezembro",#N/A,FALSE,"FECHAMENTO-2002 ";"Defer_Dezermbro",#N/A,FALSE,"DIFERIDO";"Pis_Dezembro",#N/A,FALSE,"PIS COFINS";"Iss_Dezembro",#N/A,FALSE,"ISS"}</definedName>
    <definedName name="sssssss" localSheetId="12" hidden="1">{"Fecha_Dezembro",#N/A,FALSE,"FECHAMENTO-2002 ";"Defer_Dezermbro",#N/A,FALSE,"DIFERIDO";"Pis_Dezembro",#N/A,FALSE,"PIS COFINS";"Iss_Dezembro",#N/A,FALSE,"ISS"}</definedName>
    <definedName name="sssssss" localSheetId="15" hidden="1">{"Fecha_Dezembro",#N/A,FALSE,"FECHAMENTO-2002 ";"Defer_Dezermbro",#N/A,FALSE,"DIFERIDO";"Pis_Dezembro",#N/A,FALSE,"PIS COFINS";"Iss_Dezembro",#N/A,FALSE,"ISS"}</definedName>
    <definedName name="sssssss" localSheetId="14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step10">#REF!</definedName>
    <definedName name="step2">#REF!</definedName>
    <definedName name="step3">#REF!</definedName>
    <definedName name="swap1">#REF!</definedName>
    <definedName name="swap2">#REF!</definedName>
    <definedName name="swrhs" localSheetId="5" hidden="1">{#N/A,#N/A,FALSE,"Dutos";#N/A,#N/A,FALSE,"Terminais"}</definedName>
    <definedName name="swrhs" localSheetId="11" hidden="1">{#N/A,#N/A,FALSE,"Dutos";#N/A,#N/A,FALSE,"Terminais"}</definedName>
    <definedName name="swrhs" localSheetId="4" hidden="1">{#N/A,#N/A,FALSE,"Dutos";#N/A,#N/A,FALSE,"Terminais"}</definedName>
    <definedName name="swrhs" localSheetId="2" hidden="1">{#N/A,#N/A,FALSE,"Dutos";#N/A,#N/A,FALSE,"Terminais"}</definedName>
    <definedName name="swrhs" localSheetId="13" hidden="1">{#N/A,#N/A,FALSE,"Dutos";#N/A,#N/A,FALSE,"Terminais"}</definedName>
    <definedName name="swrhs" localSheetId="12" hidden="1">{#N/A,#N/A,FALSE,"Dutos";#N/A,#N/A,FALSE,"Terminais"}</definedName>
    <definedName name="swrhs" localSheetId="15" hidden="1">{#N/A,#N/A,FALSE,"Dutos";#N/A,#N/A,FALSE,"Terminais"}</definedName>
    <definedName name="swrhs" localSheetId="14" hidden="1">{#N/A,#N/A,FALSE,"Dutos";#N/A,#N/A,FALSE,"Terminais"}</definedName>
    <definedName name="swrhs" hidden="1">{#N/A,#N/A,FALSE,"Dutos";#N/A,#N/A,FALSE,"Terminais"}</definedName>
    <definedName name="Swvu.CATODO." hidden="1">#REF!</definedName>
    <definedName name="Swvu.VERGALHÃO." hidden="1">#REF!</definedName>
    <definedName name="t" localSheetId="5">#REF!</definedName>
    <definedName name="t" localSheetId="11" hidden="1">{#N/A,#N/A,FALSE,"Dutos";#N/A,#N/A,FALSE,"Terminais"}</definedName>
    <definedName name="t" localSheetId="1">#REF!</definedName>
    <definedName name="t" localSheetId="7">'[35]Operativo por sociedades'!$V$6:$W$84</definedName>
    <definedName name="t" localSheetId="2">#REF!</definedName>
    <definedName name="t" localSheetId="13" hidden="1">{#N/A,#N/A,FALSE,"Dutos";#N/A,#N/A,FALSE,"Terminais"}</definedName>
    <definedName name="t" localSheetId="12" hidden="1">{#N/A,#N/A,FALSE,"Dutos";#N/A,#N/A,FALSE,"Terminais"}</definedName>
    <definedName name="t" localSheetId="15" hidden="1">{#N/A,#N/A,FALSE,"Dutos";#N/A,#N/A,FALSE,"Terminais"}</definedName>
    <definedName name="t" localSheetId="14" hidden="1">{#N/A,#N/A,FALSE,"Dutos";#N/A,#N/A,FALSE,"Terminais"}</definedName>
    <definedName name="t">#REF!</definedName>
    <definedName name="t.ano_fisico" localSheetId="2">#REF!</definedName>
    <definedName name="t.ano_fisico">#REF!</definedName>
    <definedName name="t.ano_fisico_pto" localSheetId="2">#REF!</definedName>
    <definedName name="t.ano_fisico_pto">#REF!</definedName>
    <definedName name="t.empresa_fisico">#REF!</definedName>
    <definedName name="t.empresa_fisico_pto">#REF!</definedName>
    <definedName name="t.mes_fisico">#REF!</definedName>
    <definedName name="t.mes_fisico_pto">#REF!</definedName>
    <definedName name="t.result_fisico">#REF!</definedName>
    <definedName name="t.result_fisico_pto">#REF!</definedName>
    <definedName name="t.status_fisico">#REF!</definedName>
    <definedName name="t.status_fisico_pto">#REF!</definedName>
    <definedName name="T_social_r" localSheetId="1">#REF!</definedName>
    <definedName name="T_social_r" localSheetId="7">#REF!</definedName>
    <definedName name="T_social_r">#REF!</definedName>
    <definedName name="table1" localSheetId="4">#REF!</definedName>
    <definedName name="table1" localSheetId="7">'[24]VN''s'!$I$4:$M$27</definedName>
    <definedName name="table1">#REF!</definedName>
    <definedName name="takethat" localSheetId="4">#REF!</definedName>
    <definedName name="takethat">#REF!</definedName>
    <definedName name="TargetCo_Currency" localSheetId="4">#REF!</definedName>
    <definedName name="TargetCo_Currency">#REF!</definedName>
    <definedName name="TargetCo_leaseMethod">#REF!</definedName>
    <definedName name="TargetCo_Name">#REF!</definedName>
    <definedName name="TargetCo_year_end">#REF!</definedName>
    <definedName name="Tariffa_media">#REF!</definedName>
    <definedName name="Tariffa_Snam">#REF!</definedName>
    <definedName name="TAX">#REF!</definedName>
    <definedName name="TBdbName" hidden="1">"88D5BF544BE111D2B8C5006097494125.mdb"</definedName>
    <definedName name="tec">#REF!</definedName>
    <definedName name="Temp_04.01" localSheetId="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3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5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14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10" localSheetId="5" hidden="1">{#N/A,#N/A,FALSE,"Extra2";#N/A,#N/A,FALSE,"Comp2";#N/A,#N/A,FALSE,"Ret-PL"}</definedName>
    <definedName name="temp_10" localSheetId="11" hidden="1">{#N/A,#N/A,FALSE,"Extra2";#N/A,#N/A,FALSE,"Comp2";#N/A,#N/A,FALSE,"Ret-PL"}</definedName>
    <definedName name="temp_10" localSheetId="4" hidden="1">{#N/A,#N/A,FALSE,"Extra2";#N/A,#N/A,FALSE,"Comp2";#N/A,#N/A,FALSE,"Ret-PL"}</definedName>
    <definedName name="temp_10" localSheetId="2" hidden="1">{#N/A,#N/A,FALSE,"Extra2";#N/A,#N/A,FALSE,"Comp2";#N/A,#N/A,FALSE,"Ret-PL"}</definedName>
    <definedName name="temp_10" localSheetId="13" hidden="1">{#N/A,#N/A,FALSE,"Extra2";#N/A,#N/A,FALSE,"Comp2";#N/A,#N/A,FALSE,"Ret-PL"}</definedName>
    <definedName name="temp_10" localSheetId="12" hidden="1">{#N/A,#N/A,FALSE,"Extra2";#N/A,#N/A,FALSE,"Comp2";#N/A,#N/A,FALSE,"Ret-PL"}</definedName>
    <definedName name="temp_10" localSheetId="15" hidden="1">{#N/A,#N/A,FALSE,"Extra2";#N/A,#N/A,FALSE,"Comp2";#N/A,#N/A,FALSE,"Ret-PL"}</definedName>
    <definedName name="temp_10" localSheetId="14" hidden="1">{#N/A,#N/A,FALSE,"Extra2";#N/A,#N/A,FALSE,"Comp2";#N/A,#N/A,FALSE,"Ret-PL"}</definedName>
    <definedName name="temp_10" hidden="1">{#N/A,#N/A,FALSE,"Extra2";#N/A,#N/A,FALSE,"Comp2";#N/A,#N/A,FALSE,"Ret-PL"}</definedName>
    <definedName name="temp_12" localSheetId="5" hidden="1">{#N/A,#N/A,FALSE,"Extra2";#N/A,#N/A,FALSE,"Comp2";#N/A,#N/A,FALSE,"Ret-PL"}</definedName>
    <definedName name="temp_12" localSheetId="11" hidden="1">{#N/A,#N/A,FALSE,"Extra2";#N/A,#N/A,FALSE,"Comp2";#N/A,#N/A,FALSE,"Ret-PL"}</definedName>
    <definedName name="temp_12" localSheetId="4" hidden="1">{#N/A,#N/A,FALSE,"Extra2";#N/A,#N/A,FALSE,"Comp2";#N/A,#N/A,FALSE,"Ret-PL"}</definedName>
    <definedName name="temp_12" localSheetId="2" hidden="1">{#N/A,#N/A,FALSE,"Extra2";#N/A,#N/A,FALSE,"Comp2";#N/A,#N/A,FALSE,"Ret-PL"}</definedName>
    <definedName name="temp_12" localSheetId="13" hidden="1">{#N/A,#N/A,FALSE,"Extra2";#N/A,#N/A,FALSE,"Comp2";#N/A,#N/A,FALSE,"Ret-PL"}</definedName>
    <definedName name="temp_12" localSheetId="12" hidden="1">{#N/A,#N/A,FALSE,"Extra2";#N/A,#N/A,FALSE,"Comp2";#N/A,#N/A,FALSE,"Ret-PL"}</definedName>
    <definedName name="temp_12" localSheetId="15" hidden="1">{#N/A,#N/A,FALSE,"Extra2";#N/A,#N/A,FALSE,"Comp2";#N/A,#N/A,FALSE,"Ret-PL"}</definedName>
    <definedName name="temp_12" localSheetId="14" hidden="1">{#N/A,#N/A,FALSE,"Extra2";#N/A,#N/A,FALSE,"Comp2";#N/A,#N/A,FALSE,"Ret-PL"}</definedName>
    <definedName name="temp_12" hidden="1">{#N/A,#N/A,FALSE,"Extra2";#N/A,#N/A,FALSE,"Comp2";#N/A,#N/A,FALSE,"Ret-PL"}</definedName>
    <definedName name="Térmicas_35" localSheetId="4">#REF!</definedName>
    <definedName name="Térmicas_35" localSheetId="1">#REF!</definedName>
    <definedName name="Térmicas_35" localSheetId="7">[28]Plan1!#REF!</definedName>
    <definedName name="Térmicas_35" localSheetId="2">#REF!</definedName>
    <definedName name="Térmicas_35">#REF!</definedName>
    <definedName name="Térmicas_72" localSheetId="4">#REF!</definedName>
    <definedName name="Térmicas_72" localSheetId="1">#REF!</definedName>
    <definedName name="Térmicas_72" localSheetId="7">[28]Plan1!#REF!</definedName>
    <definedName name="Térmicas_72" localSheetId="2">#REF!</definedName>
    <definedName name="Térmicas_72">#REF!</definedName>
    <definedName name="TEST0" localSheetId="1">#REF!</definedName>
    <definedName name="TEST0" localSheetId="7">#REF!</definedName>
    <definedName name="TEST0" localSheetId="2">#REF!</definedName>
    <definedName name="TEST0">#REF!</definedName>
    <definedName name="TEST1" localSheetId="7">[15]FBL3N!$A$14:$L$1680</definedName>
    <definedName name="TEST1">#REF!</definedName>
    <definedName name="TEST2" localSheetId="1">#REF!</definedName>
    <definedName name="TEST2" localSheetId="7">[15]FBL3N!$A$1681:$L$3347</definedName>
    <definedName name="TEST2">#REF!</definedName>
    <definedName name="TEST3" localSheetId="1">#REF!</definedName>
    <definedName name="TEST3" localSheetId="7">[15]FBL3N!$A$3348:$L$5014</definedName>
    <definedName name="TEST3">#REF!</definedName>
    <definedName name="TEST4" localSheetId="1">#REF!</definedName>
    <definedName name="TEST4" localSheetId="7">[15]FBL3N!$A$5015:$L$6681</definedName>
    <definedName name="TEST4">#REF!</definedName>
    <definedName name="TEST5" localSheetId="1">#REF!</definedName>
    <definedName name="TEST5" localSheetId="7">[15]FBL3N!$A$6682:$L$8349</definedName>
    <definedName name="TEST5">#REF!</definedName>
    <definedName name="TEST6" localSheetId="1">#REF!</definedName>
    <definedName name="TEST6" localSheetId="7">[15]FBL3N!$A$8350:$L$9466</definedName>
    <definedName name="TEST6">#REF!</definedName>
    <definedName name="teste" localSheetId="5" hidden="1">{"Fecha_Dezembro",#N/A,FALSE,"FECHAMENTO-2002 ";"Defer_Dezermbro",#N/A,FALSE,"DIFERIDO";"Pis_Dezembro",#N/A,FALSE,"PIS COFINS";"Iss_Dezembro",#N/A,FALSE,"ISS"}</definedName>
    <definedName name="teste" localSheetId="11" hidden="1">{"Fecha_Dezembro",#N/A,FALSE,"FECHAMENTO-2002 ";"Defer_Dezermbro",#N/A,FALSE,"DIFERIDO";"Pis_Dezembro",#N/A,FALSE,"PIS COFINS";"Iss_Dezembro",#N/A,FALSE,"ISS"}</definedName>
    <definedName name="teste" localSheetId="4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localSheetId="13" hidden="1">{"Fecha_Dezembro",#N/A,FALSE,"FECHAMENTO-2002 ";"Defer_Dezermbro",#N/A,FALSE,"DIFERIDO";"Pis_Dezembro",#N/A,FALSE,"PIS COFINS";"Iss_Dezembro",#N/A,FALSE,"ISS"}</definedName>
    <definedName name="teste" localSheetId="12" hidden="1">{"Fecha_Dezembro",#N/A,FALSE,"FECHAMENTO-2002 ";"Defer_Dezermbro",#N/A,FALSE,"DIFERIDO";"Pis_Dezembro",#N/A,FALSE,"PIS COFINS";"Iss_Dezembro",#N/A,FALSE,"ISS"}</definedName>
    <definedName name="teste" localSheetId="15" hidden="1">{"Fecha_Dezembro",#N/A,FALSE,"FECHAMENTO-2002 ";"Defer_Dezermbro",#N/A,FALSE,"DIFERIDO";"Pis_Dezembro",#N/A,FALSE,"PIS COFINS";"Iss_Dezembro",#N/A,FALSE,"ISS"}</definedName>
    <definedName name="teste" localSheetId="14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5" hidden="1">{"Fecha_Novembro",#N/A,FALSE,"FECHAMENTO-2002 ";"Defer_Novembro",#N/A,FALSE,"DIFERIDO";"Pis_Novembro",#N/A,FALSE,"PIS COFINS";"Iss_Novembro",#N/A,FALSE,"ISS"}</definedName>
    <definedName name="teste2" localSheetId="11" hidden="1">{"Fecha_Novembro",#N/A,FALSE,"FECHAMENTO-2002 ";"Defer_Novembro",#N/A,FALSE,"DIFERIDO";"Pis_Novembro",#N/A,FALSE,"PIS COFINS";"Iss_Novembro",#N/A,FALSE,"ISS"}</definedName>
    <definedName name="teste2" localSheetId="4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localSheetId="13" hidden="1">{"Fecha_Novembro",#N/A,FALSE,"FECHAMENTO-2002 ";"Defer_Novembro",#N/A,FALSE,"DIFERIDO";"Pis_Novembro",#N/A,FALSE,"PIS COFINS";"Iss_Novembro",#N/A,FALSE,"ISS"}</definedName>
    <definedName name="teste2" localSheetId="12" hidden="1">{"Fecha_Novembro",#N/A,FALSE,"FECHAMENTO-2002 ";"Defer_Novembro",#N/A,FALSE,"DIFERIDO";"Pis_Novembro",#N/A,FALSE,"PIS COFINS";"Iss_Novembro",#N/A,FALSE,"ISS"}</definedName>
    <definedName name="teste2" localSheetId="15" hidden="1">{"Fecha_Novembro",#N/A,FALSE,"FECHAMENTO-2002 ";"Defer_Novembro",#N/A,FALSE,"DIFERIDO";"Pis_Novembro",#N/A,FALSE,"PIS COFINS";"Iss_Novembro",#N/A,FALSE,"ISS"}</definedName>
    <definedName name="teste2" localSheetId="14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5" hidden="1">{"Fecha_Outubro",#N/A,FALSE,"FECHAMENTO-2002 ";"Defer_Outubro",#N/A,FALSE,"DIFERIDO";"Pis_Outubro",#N/A,FALSE,"PIS COFINS";"Iss_Outubro",#N/A,FALSE,"ISS"}</definedName>
    <definedName name="teste3" localSheetId="11" hidden="1">{"Fecha_Outubro",#N/A,FALSE,"FECHAMENTO-2002 ";"Defer_Outubro",#N/A,FALSE,"DIFERIDO";"Pis_Outubro",#N/A,FALSE,"PIS COFINS";"Iss_Outubro",#N/A,FALSE,"ISS"}</definedName>
    <definedName name="teste3" localSheetId="4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localSheetId="13" hidden="1">{"Fecha_Outubro",#N/A,FALSE,"FECHAMENTO-2002 ";"Defer_Outubro",#N/A,FALSE,"DIFERIDO";"Pis_Outubro",#N/A,FALSE,"PIS COFINS";"Iss_Outubro",#N/A,FALSE,"ISS"}</definedName>
    <definedName name="teste3" localSheetId="12" hidden="1">{"Fecha_Outubro",#N/A,FALSE,"FECHAMENTO-2002 ";"Defer_Outubro",#N/A,FALSE,"DIFERIDO";"Pis_Outubro",#N/A,FALSE,"PIS COFINS";"Iss_Outubro",#N/A,FALSE,"ISS"}</definedName>
    <definedName name="teste3" localSheetId="15" hidden="1">{"Fecha_Outubro",#N/A,FALSE,"FECHAMENTO-2002 ";"Defer_Outubro",#N/A,FALSE,"DIFERIDO";"Pis_Outubro",#N/A,FALSE,"PIS COFINS";"Iss_Outubro",#N/A,FALSE,"ISS"}</definedName>
    <definedName name="teste3" localSheetId="14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5" hidden="1">{#N/A,#N/A,FALSE,"HONORÁRIOS"}</definedName>
    <definedName name="teste4" localSheetId="11" hidden="1">{#N/A,#N/A,FALSE,"HONORÁRIOS"}</definedName>
    <definedName name="teste4" localSheetId="4" hidden="1">{#N/A,#N/A,FALSE,"HONORÁRIOS"}</definedName>
    <definedName name="teste4" localSheetId="2" hidden="1">{#N/A,#N/A,FALSE,"HONORÁRIOS"}</definedName>
    <definedName name="teste4" localSheetId="13" hidden="1">{#N/A,#N/A,FALSE,"HONORÁRIOS"}</definedName>
    <definedName name="teste4" localSheetId="12" hidden="1">{#N/A,#N/A,FALSE,"HONORÁRIOS"}</definedName>
    <definedName name="teste4" localSheetId="15" hidden="1">{#N/A,#N/A,FALSE,"HONORÁRIOS"}</definedName>
    <definedName name="teste4" localSheetId="14" hidden="1">{#N/A,#N/A,FALSE,"HONORÁRIOS"}</definedName>
    <definedName name="teste4" hidden="1">{#N/A,#N/A,FALSE,"HONORÁRIOS"}</definedName>
    <definedName name="teste5" localSheetId="5" hidden="1">{"Fecha_Setembro",#N/A,FALSE,"FECHAMENTO-2002 ";"Defer_Setembro",#N/A,FALSE,"DIFERIDO";"Pis_Setembro",#N/A,FALSE,"PIS COFINS";"Iss_Setembro",#N/A,FALSE,"ISS"}</definedName>
    <definedName name="teste5" localSheetId="11" hidden="1">{"Fecha_Setembro",#N/A,FALSE,"FECHAMENTO-2002 ";"Defer_Setembro",#N/A,FALSE,"DIFERIDO";"Pis_Setembro",#N/A,FALSE,"PIS COFINS";"Iss_Setembro",#N/A,FALSE,"ISS"}</definedName>
    <definedName name="teste5" localSheetId="4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localSheetId="13" hidden="1">{"Fecha_Setembro",#N/A,FALSE,"FECHAMENTO-2002 ";"Defer_Setembro",#N/A,FALSE,"DIFERIDO";"Pis_Setembro",#N/A,FALSE,"PIS COFINS";"Iss_Setembro",#N/A,FALSE,"ISS"}</definedName>
    <definedName name="teste5" localSheetId="12" hidden="1">{"Fecha_Setembro",#N/A,FALSE,"FECHAMENTO-2002 ";"Defer_Setembro",#N/A,FALSE,"DIFERIDO";"Pis_Setembro",#N/A,FALSE,"PIS COFINS";"Iss_Setembro",#N/A,FALSE,"ISS"}</definedName>
    <definedName name="teste5" localSheetId="15" hidden="1">{"Fecha_Setembro",#N/A,FALSE,"FECHAMENTO-2002 ";"Defer_Setembro",#N/A,FALSE,"DIFERIDO";"Pis_Setembro",#N/A,FALSE,"PIS COFINS";"Iss_Setembro",#N/A,FALSE,"ISS"}</definedName>
    <definedName name="teste5" localSheetId="14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HKEY" localSheetId="7">[15]FBL3N!$K$13:$L$13</definedName>
    <definedName name="TESTHKEY">#REF!</definedName>
    <definedName name="TESTKEYS" localSheetId="7">[15]FBL3N!$A$14:$J$9466</definedName>
    <definedName name="TESTKEYS">#REF!</definedName>
    <definedName name="TESTVKEY" localSheetId="7">[15]FBL3N!$A$13:$J$13</definedName>
    <definedName name="TESTVKEY">#REF!</definedName>
    <definedName name="TEXTOMONEDA">"Brl"</definedName>
    <definedName name="TEXTOPRES">"k"</definedName>
    <definedName name="TEXTOPRESPM">""</definedName>
    <definedName name="TextRefCopyRangeCount" hidden="1">68</definedName>
    <definedName name="the_table" localSheetId="7">#REF!</definedName>
    <definedName name="the_table">#REF!</definedName>
    <definedName name="thy" localSheetId="5" hidden="1">{#N/A,#N/A,FALSE,"Dutos";#N/A,#N/A,FALSE,"Terminais"}</definedName>
    <definedName name="thy" localSheetId="11" hidden="1">{#N/A,#N/A,FALSE,"Dutos";#N/A,#N/A,FALSE,"Terminais"}</definedName>
    <definedName name="thy" localSheetId="4" hidden="1">{#N/A,#N/A,FALSE,"Dutos";#N/A,#N/A,FALSE,"Terminais"}</definedName>
    <definedName name="thy" localSheetId="2" hidden="1">{#N/A,#N/A,FALSE,"Dutos";#N/A,#N/A,FALSE,"Terminais"}</definedName>
    <definedName name="thy" localSheetId="13" hidden="1">{#N/A,#N/A,FALSE,"Dutos";#N/A,#N/A,FALSE,"Terminais"}</definedName>
    <definedName name="thy" localSheetId="12" hidden="1">{#N/A,#N/A,FALSE,"Dutos";#N/A,#N/A,FALSE,"Terminais"}</definedName>
    <definedName name="thy" localSheetId="15" hidden="1">{#N/A,#N/A,FALSE,"Dutos";#N/A,#N/A,FALSE,"Terminais"}</definedName>
    <definedName name="thy" localSheetId="14" hidden="1">{#N/A,#N/A,FALSE,"Dutos";#N/A,#N/A,FALSE,"Terminais"}</definedName>
    <definedName name="thy" hidden="1">{#N/A,#N/A,FALSE,"Dutos";#N/A,#N/A,FALSE,"Terminais"}</definedName>
    <definedName name="tipo">#REF!</definedName>
    <definedName name="TipoDatosReales">"Datos Reales"</definedName>
    <definedName name="TITULO" localSheetId="1">#REF!</definedName>
    <definedName name="TITULO" localSheetId="7">#REF!</definedName>
    <definedName name="TITULO" localSheetId="2">#REF!</definedName>
    <definedName name="TITULO">#REF!</definedName>
    <definedName name="_xlnm.Print_Titles" localSheetId="2">#REF!</definedName>
    <definedName name="_xlnm.Print_Titles">#REF!</definedName>
    <definedName name="TODO" localSheetId="7">#REF!</definedName>
    <definedName name="TODO" localSheetId="2">#REF!</definedName>
    <definedName name="TODO">#REF!</definedName>
    <definedName name="TODO_BDI" localSheetId="7">#REF!</definedName>
    <definedName name="TODO_BDI">#REF!</definedName>
    <definedName name="tolsp">#REF!</definedName>
    <definedName name="Total">#REF!</definedName>
    <definedName name="Total_cost_of_gas__r" localSheetId="7">#REF!</definedName>
    <definedName name="Total_cost_of_gas__r">#REF!</definedName>
    <definedName name="Total_demand_r" localSheetId="7">#REF!</definedName>
    <definedName name="Total_demand_r">#REF!</definedName>
    <definedName name="Total_Interest" localSheetId="7">#REF!</definedName>
    <definedName name="Total_Interest">#REF!</definedName>
    <definedName name="TOTAL_LINHA">#REF!</definedName>
    <definedName name="Total_Pay" localSheetId="7">#REF!</definedName>
    <definedName name="Total_Pay">#REF!</definedName>
    <definedName name="Total_Payment" localSheetId="17">Scheduled_Payment+Extra_Payment</definedName>
    <definedName name="Total_Payment" localSheetId="5">Scheduled_Payment+Extra_Payment</definedName>
    <definedName name="Total_Payment" localSheetId="3">Scheduled_Payment+Extra_Payment</definedName>
    <definedName name="Total_Payment" localSheetId="11">Scheduled_Payment+Extra_Payment</definedName>
    <definedName name="Total_Payment" localSheetId="4">Scheduled_Payment+Extra_Payment</definedName>
    <definedName name="Total_Payment" localSheetId="1">Scheduled_Payment+Extra_Payment</definedName>
    <definedName name="Total_Payment" localSheetId="7">Scheduled_Payment+Extra_Payment</definedName>
    <definedName name="Total_Payment" localSheetId="2">Scheduled_Payment+Extra_Payment</definedName>
    <definedName name="Total_Payment" localSheetId="13">Scheduled_Payment+Extra_Payment</definedName>
    <definedName name="Total_Payment" localSheetId="12">Scheduled_Payment+Extra_Payment</definedName>
    <definedName name="Total_Payment" localSheetId="15">Scheduled_Payment+Extra_Payment</definedName>
    <definedName name="Total_Payment" localSheetId="14">Scheduled_Payment+Extra_Payment</definedName>
    <definedName name="Total_Payment">Scheduled_Payment+Extra_Payment</definedName>
    <definedName name="tr" localSheetId="1">#REF!</definedName>
    <definedName name="tr" localSheetId="7">#REF!</definedName>
    <definedName name="tr" localSheetId="2">#REF!</definedName>
    <definedName name="tr">#REF!</definedName>
    <definedName name="Trace">FALSE</definedName>
    <definedName name="TRANSFERÊNCIA" localSheetId="7">#REF!</definedName>
    <definedName name="TRANSFERÊNCIA" localSheetId="2">#REF!</definedName>
    <definedName name="TRANSFERÊNCIA">#REF!</definedName>
    <definedName name="TRHRDH" localSheetId="5" hidden="1">{#N/A,#N/A,FALSE,"Dutos";#N/A,#N/A,FALSE,"Terminais"}</definedName>
    <definedName name="TRHRDH" localSheetId="11" hidden="1">{#N/A,#N/A,FALSE,"Dutos";#N/A,#N/A,FALSE,"Terminais"}</definedName>
    <definedName name="TRHRDH" localSheetId="4" hidden="1">{#N/A,#N/A,FALSE,"Dutos";#N/A,#N/A,FALSE,"Terminais"}</definedName>
    <definedName name="TRHRDH" localSheetId="2" hidden="1">{#N/A,#N/A,FALSE,"Dutos";#N/A,#N/A,FALSE,"Terminais"}</definedName>
    <definedName name="TRHRDH" localSheetId="13" hidden="1">{#N/A,#N/A,FALSE,"Dutos";#N/A,#N/A,FALSE,"Terminais"}</definedName>
    <definedName name="TRHRDH" localSheetId="12" hidden="1">{#N/A,#N/A,FALSE,"Dutos";#N/A,#N/A,FALSE,"Terminais"}</definedName>
    <definedName name="TRHRDH" localSheetId="15" hidden="1">{#N/A,#N/A,FALSE,"Dutos";#N/A,#N/A,FALSE,"Terminais"}</definedName>
    <definedName name="TRHRDH" localSheetId="14" hidden="1">{#N/A,#N/A,FALSE,"Dutos";#N/A,#N/A,FALSE,"Terminais"}</definedName>
    <definedName name="TRHRDH" hidden="1">{#N/A,#N/A,FALSE,"Dutos";#N/A,#N/A,FALSE,"Terminais"}</definedName>
    <definedName name="trimestre">#REF!</definedName>
    <definedName name="ty" localSheetId="4">#REF!</definedName>
    <definedName name="ty" localSheetId="1">#REF!</definedName>
    <definedName name="ty" localSheetId="7">[32]Cogeração!#REF!</definedName>
    <definedName name="ty" localSheetId="2">#REF!</definedName>
    <definedName name="ty">#REF!</definedName>
    <definedName name="tytytgerg" localSheetId="5" hidden="1">{#N/A,#N/A,FALSE,"monthly";#N/A,#N/A,FALSE,"fcst detail"}</definedName>
    <definedName name="tytytgerg" localSheetId="11" hidden="1">{#N/A,#N/A,FALSE,"monthly";#N/A,#N/A,FALSE,"fcst detail"}</definedName>
    <definedName name="tytytgerg" localSheetId="4" hidden="1">{#N/A,#N/A,FALSE,"monthly";#N/A,#N/A,FALSE,"fcst detail"}</definedName>
    <definedName name="tytytgerg" localSheetId="2" hidden="1">{#N/A,#N/A,FALSE,"monthly";#N/A,#N/A,FALSE,"fcst detail"}</definedName>
    <definedName name="tytytgerg" localSheetId="13" hidden="1">{#N/A,#N/A,FALSE,"monthly";#N/A,#N/A,FALSE,"fcst detail"}</definedName>
    <definedName name="tytytgerg" localSheetId="12" hidden="1">{#N/A,#N/A,FALSE,"monthly";#N/A,#N/A,FALSE,"fcst detail"}</definedName>
    <definedName name="tytytgerg" localSheetId="15" hidden="1">{#N/A,#N/A,FALSE,"monthly";#N/A,#N/A,FALSE,"fcst detail"}</definedName>
    <definedName name="tytytgerg" localSheetId="14" hidden="1">{#N/A,#N/A,FALSE,"monthly";#N/A,#N/A,FALSE,"fcst detail"}</definedName>
    <definedName name="tytytgerg" hidden="1">{#N/A,#N/A,FALSE,"monthly";#N/A,#N/A,FALSE,"fcst detail"}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O" localSheetId="1">#REF!</definedName>
    <definedName name="UNO" localSheetId="7">#REF!</definedName>
    <definedName name="UNO" localSheetId="2">#REF!</definedName>
    <definedName name="UNO">#REF!</definedName>
    <definedName name="Upside" localSheetId="2" hidden="1">#REF!-1 &amp; "." &amp; MAX(1,COUNTA(INDEX(#REF!,MATCH(#REF!-1,#REF!,FALSE)):#REF!))</definedName>
    <definedName name="Upside" hidden="1">#REF!-1 &amp; "." &amp; MAX(1,COUNTA(INDEX(#REF!,MATCH(#REF!-1,#REF!,FALSE)):#REF!))</definedName>
    <definedName name="USA_Inflation" localSheetId="2">#REF!</definedName>
    <definedName name="USA_Inflation">#REF!</definedName>
    <definedName name="usbs" localSheetId="5" hidden="1">{#N/A,#N/A,TRUE,"Total Allocation";#N/A,#N/A,TRUE,"Capital Software";#N/A,#N/A,TRUE,"Misc";#N/A,#N/A,TRUE,"NAOG"}</definedName>
    <definedName name="usbs" localSheetId="11" hidden="1">{#N/A,#N/A,TRUE,"Total Allocation";#N/A,#N/A,TRUE,"Capital Software";#N/A,#N/A,TRUE,"Misc";#N/A,#N/A,TRUE,"NAOG"}</definedName>
    <definedName name="usbs" localSheetId="4" hidden="1">{#N/A,#N/A,TRUE,"Total Allocation";#N/A,#N/A,TRUE,"Capital Software";#N/A,#N/A,TRUE,"Misc";#N/A,#N/A,TRUE,"NAOG"}</definedName>
    <definedName name="usbs" localSheetId="2" hidden="1">{#N/A,#N/A,TRUE,"Total Allocation";#N/A,#N/A,TRUE,"Capital Software";#N/A,#N/A,TRUE,"Misc";#N/A,#N/A,TRUE,"NAOG"}</definedName>
    <definedName name="usbs" localSheetId="13" hidden="1">{#N/A,#N/A,TRUE,"Total Allocation";#N/A,#N/A,TRUE,"Capital Software";#N/A,#N/A,TRUE,"Misc";#N/A,#N/A,TRUE,"NAOG"}</definedName>
    <definedName name="usbs" localSheetId="12" hidden="1">{#N/A,#N/A,TRUE,"Total Allocation";#N/A,#N/A,TRUE,"Capital Software";#N/A,#N/A,TRUE,"Misc";#N/A,#N/A,TRUE,"NAOG"}</definedName>
    <definedName name="usbs" localSheetId="15" hidden="1">{#N/A,#N/A,TRUE,"Total Allocation";#N/A,#N/A,TRUE,"Capital Software";#N/A,#N/A,TRUE,"Misc";#N/A,#N/A,TRUE,"NAOG"}</definedName>
    <definedName name="usbs" localSheetId="14" hidden="1">{#N/A,#N/A,TRUE,"Total Allocation";#N/A,#N/A,TRUE,"Capital Software";#N/A,#N/A,TRUE,"Misc";#N/A,#N/A,TRUE,"NAOG"}</definedName>
    <definedName name="usbs" hidden="1">{#N/A,#N/A,TRUE,"Total Allocation";#N/A,#N/A,TRUE,"Capital Software";#N/A,#N/A,TRUE,"Misc";#N/A,#N/A,TRUE,"NAOG"}</definedName>
    <definedName name="USD" localSheetId="7">#REF!</definedName>
    <definedName name="USD">#REF!</definedName>
    <definedName name="USMTeste2" localSheetId="5" hidden="1">{"'RATEIO RECEITA BRUTA'!$B$77:$C$106"}</definedName>
    <definedName name="USMTeste2" localSheetId="11" hidden="1">{"'RATEIO RECEITA BRUTA'!$B$77:$C$106"}</definedName>
    <definedName name="USMTeste2" localSheetId="4" hidden="1">{"'RATEIO RECEITA BRUTA'!$B$77:$C$106"}</definedName>
    <definedName name="USMTeste2" localSheetId="2" hidden="1">{"'RATEIO RECEITA BRUTA'!$B$77:$C$106"}</definedName>
    <definedName name="USMTeste2" localSheetId="13" hidden="1">{"'RATEIO RECEITA BRUTA'!$B$77:$C$106"}</definedName>
    <definedName name="USMTeste2" localSheetId="12" hidden="1">{"'RATEIO RECEITA BRUTA'!$B$77:$C$106"}</definedName>
    <definedName name="USMTeste2" localSheetId="15" hidden="1">{"'RATEIO RECEITA BRUTA'!$B$77:$C$106"}</definedName>
    <definedName name="USMTeste2" localSheetId="14" hidden="1">{"'RATEIO RECEITA BRUTA'!$B$77:$C$106"}</definedName>
    <definedName name="USMTeste2" hidden="1">{"'RATEIO RECEITA BRUTA'!$B$77:$C$106"}</definedName>
    <definedName name="USMTeste3" localSheetId="5" hidden="1">{"'RATEIO RECEITA BRUTA'!$B$77:$C$106"}</definedName>
    <definedName name="USMTeste3" localSheetId="11" hidden="1">{"'RATEIO RECEITA BRUTA'!$B$77:$C$106"}</definedName>
    <definedName name="USMTeste3" localSheetId="4" hidden="1">{"'RATEIO RECEITA BRUTA'!$B$77:$C$106"}</definedName>
    <definedName name="USMTeste3" localSheetId="2" hidden="1">{"'RATEIO RECEITA BRUTA'!$B$77:$C$106"}</definedName>
    <definedName name="USMTeste3" localSheetId="13" hidden="1">{"'RATEIO RECEITA BRUTA'!$B$77:$C$106"}</definedName>
    <definedName name="USMTeste3" localSheetId="12" hidden="1">{"'RATEIO RECEITA BRUTA'!$B$77:$C$106"}</definedName>
    <definedName name="USMTeste3" localSheetId="15" hidden="1">{"'RATEIO RECEITA BRUTA'!$B$77:$C$106"}</definedName>
    <definedName name="USMTeste3" localSheetId="14" hidden="1">{"'RATEIO RECEITA BRUTA'!$B$77:$C$106"}</definedName>
    <definedName name="USMTeste3" hidden="1">{"'RATEIO RECEITA BRUTA'!$B$77:$C$106"}</definedName>
    <definedName name="utfuktv" localSheetId="5" hidden="1">{#N/A,#N/A,FALSE,"Dutos";#N/A,#N/A,FALSE,"Terminais"}</definedName>
    <definedName name="utfuktv" localSheetId="11" hidden="1">{#N/A,#N/A,FALSE,"Dutos";#N/A,#N/A,FALSE,"Terminais"}</definedName>
    <definedName name="utfuktv" localSheetId="4" hidden="1">{#N/A,#N/A,FALSE,"Dutos";#N/A,#N/A,FALSE,"Terminais"}</definedName>
    <definedName name="utfuktv" localSheetId="2" hidden="1">{#N/A,#N/A,FALSE,"Dutos";#N/A,#N/A,FALSE,"Terminais"}</definedName>
    <definedName name="utfuktv" localSheetId="13" hidden="1">{#N/A,#N/A,FALSE,"Dutos";#N/A,#N/A,FALSE,"Terminais"}</definedName>
    <definedName name="utfuktv" localSheetId="12" hidden="1">{#N/A,#N/A,FALSE,"Dutos";#N/A,#N/A,FALSE,"Terminais"}</definedName>
    <definedName name="utfuktv" localSheetId="15" hidden="1">{#N/A,#N/A,FALSE,"Dutos";#N/A,#N/A,FALSE,"Terminais"}</definedName>
    <definedName name="utfuktv" localSheetId="14" hidden="1">{#N/A,#N/A,FALSE,"Dutos";#N/A,#N/A,FALSE,"Terminais"}</definedName>
    <definedName name="utfuktv" hidden="1">{#N/A,#N/A,FALSE,"Dutos";#N/A,#N/A,FALSE,"Terminais"}</definedName>
    <definedName name="utfutf" localSheetId="5" hidden="1">{#N/A,#N/A,FALSE,"Dutos";#N/A,#N/A,FALSE,"Terminais"}</definedName>
    <definedName name="utfutf" localSheetId="11" hidden="1">{#N/A,#N/A,FALSE,"Dutos";#N/A,#N/A,FALSE,"Terminais"}</definedName>
    <definedName name="utfutf" localSheetId="4" hidden="1">{#N/A,#N/A,FALSE,"Dutos";#N/A,#N/A,FALSE,"Terminais"}</definedName>
    <definedName name="utfutf" localSheetId="2" hidden="1">{#N/A,#N/A,FALSE,"Dutos";#N/A,#N/A,FALSE,"Terminais"}</definedName>
    <definedName name="utfutf" localSheetId="13" hidden="1">{#N/A,#N/A,FALSE,"Dutos";#N/A,#N/A,FALSE,"Terminais"}</definedName>
    <definedName name="utfutf" localSheetId="12" hidden="1">{#N/A,#N/A,FALSE,"Dutos";#N/A,#N/A,FALSE,"Terminais"}</definedName>
    <definedName name="utfutf" localSheetId="15" hidden="1">{#N/A,#N/A,FALSE,"Dutos";#N/A,#N/A,FALSE,"Terminais"}</definedName>
    <definedName name="utfutf" localSheetId="14" hidden="1">{#N/A,#N/A,FALSE,"Dutos";#N/A,#N/A,FALSE,"Terminais"}</definedName>
    <definedName name="utfutf" hidden="1">{#N/A,#N/A,FALSE,"Dutos";#N/A,#N/A,FALSE,"Terminais"}</definedName>
    <definedName name="utt" localSheetId="5" hidden="1">{"ANAR",#N/A,FALSE,"Dist total";"MARGEN",#N/A,FALSE,"Dist total";"COMENTARIO",#N/A,FALSE,"Ficha CODICE";"CONSEJO",#N/A,FALSE,"Dist p0";"uno",#N/A,FALSE,"Dist total"}</definedName>
    <definedName name="utt" localSheetId="11" hidden="1">{"ANAR",#N/A,FALSE,"Dist total";"MARGEN",#N/A,FALSE,"Dist total";"COMENTARIO",#N/A,FALSE,"Ficha CODICE";"CONSEJO",#N/A,FALSE,"Dist p0";"uno",#N/A,FALSE,"Dist total"}</definedName>
    <definedName name="utt" localSheetId="4" hidden="1">{"ANAR",#N/A,FALSE,"Dist total";"MARGEN",#N/A,FALSE,"Dist total";"COMENTARIO",#N/A,FALSE,"Ficha CODICE";"CONSEJO",#N/A,FALSE,"Dist p0";"uno",#N/A,FALSE,"Dist total"}</definedName>
    <definedName name="utt" localSheetId="1" hidden="1">{"ANAR",#N/A,FALSE,"Dist total";"MARGEN",#N/A,FALSE,"Dist total";"COMENTARIO",#N/A,FALSE,"Ficha CODICE";"CONSEJO",#N/A,FALSE,"Dist p0";"uno",#N/A,FALSE,"Dist total"}</definedName>
    <definedName name="utt" localSheetId="7" hidden="1">{"ANAR",#N/A,FALSE,"Dist total";"MARGEN",#N/A,FALSE,"Dist total";"COMENTARIO",#N/A,FALSE,"Ficha CODICE";"CONSEJO",#N/A,FALSE,"Dist p0";"uno",#N/A,FALSE,"Dist total"}</definedName>
    <definedName name="utt" localSheetId="2" hidden="1">{"ANAR",#N/A,FALSE,"Dist total";"MARGEN",#N/A,FALSE,"Dist total";"COMENTARIO",#N/A,FALSE,"Ficha CODICE";"CONSEJO",#N/A,FALSE,"Dist p0";"uno",#N/A,FALSE,"Dist total"}</definedName>
    <definedName name="utt" localSheetId="13" hidden="1">{"ANAR",#N/A,FALSE,"Dist total";"MARGEN",#N/A,FALSE,"Dist total";"COMENTARIO",#N/A,FALSE,"Ficha CODICE";"CONSEJO",#N/A,FALSE,"Dist p0";"uno",#N/A,FALSE,"Dist total"}</definedName>
    <definedName name="utt" localSheetId="12" hidden="1">{"ANAR",#N/A,FALSE,"Dist total";"MARGEN",#N/A,FALSE,"Dist total";"COMENTARIO",#N/A,FALSE,"Ficha CODICE";"CONSEJO",#N/A,FALSE,"Dist p0";"uno",#N/A,FALSE,"Dist total"}</definedName>
    <definedName name="utt" localSheetId="15" hidden="1">{"ANAR",#N/A,FALSE,"Dist total";"MARGEN",#N/A,FALSE,"Dist total";"COMENTARIO",#N/A,FALSE,"Ficha CODICE";"CONSEJO",#N/A,FALSE,"Dist p0";"uno",#N/A,FALSE,"Dist total"}</definedName>
    <definedName name="utt" localSheetId="14" hidden="1">{"ANAR",#N/A,FALSE,"Dist total";"MARGEN",#N/A,FALSE,"Dist total";"COMENTARIO",#N/A,FALSE,"Ficha CODICE";"CONSEJO",#N/A,FALSE,"Dist p0";"uno",#N/A,FALSE,"Dist total"}</definedName>
    <definedName name="utt" hidden="1">{"ANAR",#N/A,FALSE,"Dist total";"MARGEN",#N/A,FALSE,"Dist total";"COMENTARIO",#N/A,FALSE,"Ficha CODICE";"CONSEJO",#N/A,FALSE,"Dist p0";"uno",#N/A,FALSE,"Dist total"}</definedName>
    <definedName name="V_INFORMACOES">#REF!</definedName>
    <definedName name="V_IT" localSheetId="4">#REF!</definedName>
    <definedName name="V_IT" localSheetId="7">[36]D!$V$80</definedName>
    <definedName name="V_IT">#REF!</definedName>
    <definedName name="V_MES" localSheetId="4">#REF!</definedName>
    <definedName name="V_MES">#REF!</definedName>
    <definedName name="V_SOCIEDADE" localSheetId="4">#REF!</definedName>
    <definedName name="V_SOCIEDADE">#REF!</definedName>
    <definedName name="V_VISAO">#REF!</definedName>
    <definedName name="valor">#REF!</definedName>
    <definedName name="valor_cliente">#REF!</definedName>
    <definedName name="Valores01" localSheetId="1">#REF!,#REF!,#REF!,#REF!,#REF!,#REF!,#REF!,#REF!,#REF!</definedName>
    <definedName name="Valores01" localSheetId="7">#REF!,#REF!,#REF!,#REF!,#REF!,#REF!,#REF!,#REF!,#REF!</definedName>
    <definedName name="Valores01" localSheetId="2">#REF!,#REF!,#REF!,#REF!,#REF!,#REF!,#REF!,#REF!,#REF!</definedName>
    <definedName name="Valores01">#REF!,#REF!,#REF!,#REF!,#REF!,#REF!,#REF!,#REF!,#REF!</definedName>
    <definedName name="Valores02" localSheetId="1">#REF!,#REF!,#REF!,#REF!,#REF!,#REF!</definedName>
    <definedName name="Valores02" localSheetId="7">#REF!,#REF!,#REF!,#REF!,#REF!,#REF!</definedName>
    <definedName name="Valores02" localSheetId="2">#REF!,#REF!,#REF!,#REF!,#REF!,#REF!</definedName>
    <definedName name="Valores02">#REF!,#REF!,#REF!,#REF!,#REF!,#REF!</definedName>
    <definedName name="Values_Entered" localSheetId="5">IF(Loan_Amount*Interest_Rate*Loan_Years*Loan_Start&gt;0,1,0)</definedName>
    <definedName name="Values_Entered" localSheetId="11">IF(Loan_Amount*Interest_Rate*Loan_Years*Loan_Start&gt;0,1,0)</definedName>
    <definedName name="Values_Entered" localSheetId="4">IF(Loan_Amount*Interest_Rate*Loan_Years*Loan_Start&gt;0,1,0)</definedName>
    <definedName name="Values_Entered" localSheetId="1">IF([0]!Loan_Amount*[0]!Interest_Rate*[0]!Loan_Years*[0]!Loan_Start&gt;0,1,0)</definedName>
    <definedName name="Values_Entered" localSheetId="7">#N/A</definedName>
    <definedName name="Values_Entered" localSheetId="2">IF(Loan_Amount*Interest_Rate*Loan_Years*Loan_Start&gt;0,1,0)</definedName>
    <definedName name="Values_Entered" localSheetId="13">IF(Loan_Amount*Interest_Rate*Loan_Years*Loan_Start&gt;0,1,0)</definedName>
    <definedName name="Values_Entered" localSheetId="12">IF(Loan_Amount*Interest_Rate*Loan_Years*Loan_Start&gt;0,1,0)</definedName>
    <definedName name="Values_Entered" localSheetId="15">IF([0]!Loan_Amount*[0]!Interest_Rate*[0]!Loan_Years*[0]!Loan_Start&gt;0,1,0)</definedName>
    <definedName name="Values_Entered" localSheetId="14">IF(Loan_Amount*Interest_Rate*Loan_Years*Loan_Start&gt;0,1,0)</definedName>
    <definedName name="Values_Entered">IF(Loan_Amount*Interest_Rate*Loan_Years*Loan_Start&gt;0,1,0)</definedName>
    <definedName name="VANE2006" localSheetId="4">#REF!</definedName>
    <definedName name="VANE2006" localSheetId="1">#REF!</definedName>
    <definedName name="VANE2006" localSheetId="7">[1]Indicadores!#REF!</definedName>
    <definedName name="VANE2006" localSheetId="2">#REF!</definedName>
    <definedName name="VANE2006">#REF!</definedName>
    <definedName name="VANE2007" localSheetId="1">#REF!</definedName>
    <definedName name="VANE2007" localSheetId="7">[1]Indicadores!#REF!</definedName>
    <definedName name="VANE2007" localSheetId="2">#REF!</definedName>
    <definedName name="VANE2007">#REF!</definedName>
    <definedName name="VANE2008" localSheetId="1">#REF!</definedName>
    <definedName name="VANE2008" localSheetId="7">[1]Indicadores!#REF!</definedName>
    <definedName name="VANE2008" localSheetId="2">#REF!</definedName>
    <definedName name="VANE2008">#REF!</definedName>
    <definedName name="VANE2009" localSheetId="1">#REF!</definedName>
    <definedName name="VANE2009" localSheetId="7">[1]Indicadores!#REF!</definedName>
    <definedName name="VANE2009">#REF!</definedName>
    <definedName name="VANE2010" localSheetId="1">#REF!</definedName>
    <definedName name="VANE2010" localSheetId="7">[1]Indicadores!#REF!</definedName>
    <definedName name="VANE2010">#REF!</definedName>
    <definedName name="VANE2011" localSheetId="1">#REF!</definedName>
    <definedName name="VANE2011" localSheetId="7">[1]Indicadores!#REF!</definedName>
    <definedName name="VANE2011">#REF!</definedName>
    <definedName name="VANE2012" localSheetId="1">#REF!</definedName>
    <definedName name="VANE2012" localSheetId="7">[1]Indicadores!#REF!</definedName>
    <definedName name="VANE2012">#REF!</definedName>
    <definedName name="Ventas2006" localSheetId="7">[1]Indicadores!$X$104,[1]Indicadores!$X$114,[1]Indicadores!$X$123,[1]Indicadores!$X$132,[1]Indicadores!$X$141,[1]Indicadores!$X$108,[1]Indicadores!$X$118,[1]Indicadores!$X$127,[1]Indicadores!$X$145,[1]Indicadores!$X$136</definedName>
    <definedName name="Ventas2006" localSheetId="2">#REF!,#REF!,#REF!,#REF!,#REF!,#REF!,#REF!,#REF!,#REF!,#REF!</definedName>
    <definedName name="Ventas2006">#REF!,#REF!,#REF!,#REF!,#REF!,#REF!,#REF!,#REF!,#REF!,#REF!</definedName>
    <definedName name="Ventas2007" localSheetId="7">[1]Indicadores!$Y$104,[1]Indicadores!$Y$108,[1]Indicadores!$Y$114,[1]Indicadores!$Y$118,[1]Indicadores!$Y$123,[1]Indicadores!$Y$127,[1]Indicadores!$Y$132,[1]Indicadores!$Y$136,[1]Indicadores!$Y$141,[1]Indicadores!$Y$145</definedName>
    <definedName name="Ventas2007" localSheetId="2">#REF!,#REF!,#REF!,#REF!,#REF!,#REF!,#REF!,#REF!,#REF!,#REF!</definedName>
    <definedName name="Ventas2007">#REF!,#REF!,#REF!,#REF!,#REF!,#REF!,#REF!,#REF!,#REF!,#REF!</definedName>
    <definedName name="Ventas2008" localSheetId="7">[1]Indicadores!$Z$104,[1]Indicadores!$Z$108,[1]Indicadores!$Z$114,[1]Indicadores!$Z$118,[1]Indicadores!$Z$123,[1]Indicadores!$Z$127,[1]Indicadores!$Z$132,[1]Indicadores!$Z$136,[1]Indicadores!$Z$141,[1]Indicadores!$Z$145</definedName>
    <definedName name="Ventas2008" localSheetId="2">#REF!,#REF!,#REF!,#REF!,#REF!,#REF!,#REF!,#REF!,#REF!,#REF!</definedName>
    <definedName name="Ventas2008">#REF!,#REF!,#REF!,#REF!,#REF!,#REF!,#REF!,#REF!,#REF!,#REF!</definedName>
    <definedName name="Ventas2009" localSheetId="7">[1]Indicadores!$AA$104,[1]Indicadores!$AA$108,[1]Indicadores!$AA$114,[1]Indicadores!$AA$118,[1]Indicadores!$AA$123,[1]Indicadores!$AA$127,[1]Indicadores!$AA$132,[1]Indicadores!$AA$136,[1]Indicadores!$AA$141,[1]Indicadores!$AA$145</definedName>
    <definedName name="Ventas2009">#REF!,#REF!,#REF!,#REF!,#REF!,#REF!,#REF!,#REF!,#REF!,#REF!</definedName>
    <definedName name="Ventas2010" localSheetId="7">[1]Indicadores!$AB$104,[1]Indicadores!$AB$108,[1]Indicadores!$AB$114,[1]Indicadores!$AB$118,[1]Indicadores!$AB$123,[1]Indicadores!$AB$127,[1]Indicadores!$AB$132,[1]Indicadores!$AB$136,[1]Indicadores!$AB$141,[1]Indicadores!$AB$145</definedName>
    <definedName name="Ventas2010">#REF!,#REF!,#REF!,#REF!,#REF!,#REF!,#REF!,#REF!,#REF!,#REF!</definedName>
    <definedName name="Ventas2011" localSheetId="7">[1]Indicadores!$AC$104,[1]Indicadores!$AC$108,[1]Indicadores!$AC$114,[1]Indicadores!$AC$118,[1]Indicadores!$AC$123,[1]Indicadores!$AC$127,[1]Indicadores!$AC$132,[1]Indicadores!$AC$136,[1]Indicadores!$AC$141,[1]Indicadores!$AC$145</definedName>
    <definedName name="Ventas2011">#REF!,#REF!,#REF!,#REF!,#REF!,#REF!,#REF!,#REF!,#REF!,#REF!</definedName>
    <definedName name="Ventas2012" localSheetId="7">[1]Indicadores!$AD$104,[1]Indicadores!$AD$108,[1]Indicadores!$AD$114,[1]Indicadores!$AD$118,[1]Indicadores!$AD$123,[1]Indicadores!$AD$127,[1]Indicadores!$AD$132,[1]Indicadores!$AD$136,[1]Indicadores!$AD$141,[1]Indicadores!$AD$145</definedName>
    <definedName name="Ventas2012">#REF!,#REF!,#REF!,#REF!,#REF!,#REF!,#REF!,#REF!,#REF!,#REF!</definedName>
    <definedName name="VERSION">"Definitiva"</definedName>
    <definedName name="Version.WIRE">1</definedName>
    <definedName name="VGHK" localSheetId="5" hidden="1">{#N/A,#N/A,FALSE,"Dutos";#N/A,#N/A,FALSE,"Terminais"}</definedName>
    <definedName name="VGHK" localSheetId="11" hidden="1">{#N/A,#N/A,FALSE,"Dutos";#N/A,#N/A,FALSE,"Terminais"}</definedName>
    <definedName name="VGHK" localSheetId="4" hidden="1">{#N/A,#N/A,FALSE,"Dutos";#N/A,#N/A,FALSE,"Terminais"}</definedName>
    <definedName name="VGHK" localSheetId="2" hidden="1">{#N/A,#N/A,FALSE,"Dutos";#N/A,#N/A,FALSE,"Terminais"}</definedName>
    <definedName name="VGHK" localSheetId="13" hidden="1">{#N/A,#N/A,FALSE,"Dutos";#N/A,#N/A,FALSE,"Terminais"}</definedName>
    <definedName name="VGHK" localSheetId="12" hidden="1">{#N/A,#N/A,FALSE,"Dutos";#N/A,#N/A,FALSE,"Terminais"}</definedName>
    <definedName name="VGHK" localSheetId="15" hidden="1">{#N/A,#N/A,FALSE,"Dutos";#N/A,#N/A,FALSE,"Terminais"}</definedName>
    <definedName name="VGHK" localSheetId="14" hidden="1">{#N/A,#N/A,FALSE,"Dutos";#N/A,#N/A,FALSE,"Terminais"}</definedName>
    <definedName name="VGHK" hidden="1">{#N/A,#N/A,FALSE,"Dutos";#N/A,#N/A,FALSE,"Terminais"}</definedName>
    <definedName name="VGT" localSheetId="5" hidden="1">{#N/A,#N/A,FALSE,"Aging Summary";#N/A,#N/A,FALSE,"Ratio Analysis";#N/A,#N/A,FALSE,"Test 120 Day Accts";#N/A,#N/A,FALSE,"Tickmarks"}</definedName>
    <definedName name="VGT" localSheetId="11" hidden="1">{#N/A,#N/A,FALSE,"Aging Summary";#N/A,#N/A,FALSE,"Ratio Analysis";#N/A,#N/A,FALSE,"Test 120 Day Accts";#N/A,#N/A,FALSE,"Tickmarks"}</definedName>
    <definedName name="VGT" localSheetId="4" hidden="1">{#N/A,#N/A,FALSE,"Aging Summary";#N/A,#N/A,FALSE,"Ratio Analysis";#N/A,#N/A,FALSE,"Test 120 Day Accts";#N/A,#N/A,FALSE,"Tickmarks"}</definedName>
    <definedName name="VGT" localSheetId="2" hidden="1">{#N/A,#N/A,FALSE,"Aging Summary";#N/A,#N/A,FALSE,"Ratio Analysis";#N/A,#N/A,FALSE,"Test 120 Day Accts";#N/A,#N/A,FALSE,"Tickmarks"}</definedName>
    <definedName name="VGT" localSheetId="13" hidden="1">{#N/A,#N/A,FALSE,"Aging Summary";#N/A,#N/A,FALSE,"Ratio Analysis";#N/A,#N/A,FALSE,"Test 120 Day Accts";#N/A,#N/A,FALSE,"Tickmarks"}</definedName>
    <definedName name="VGT" localSheetId="12" hidden="1">{#N/A,#N/A,FALSE,"Aging Summary";#N/A,#N/A,FALSE,"Ratio Analysis";#N/A,#N/A,FALSE,"Test 120 Day Accts";#N/A,#N/A,FALSE,"Tickmarks"}</definedName>
    <definedName name="VGT" localSheetId="15" hidden="1">{#N/A,#N/A,FALSE,"Aging Summary";#N/A,#N/A,FALSE,"Ratio Analysis";#N/A,#N/A,FALSE,"Test 120 Day Accts";#N/A,#N/A,FALSE,"Tickmarks"}</definedName>
    <definedName name="VGT" localSheetId="14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olume" localSheetId="5" hidden="1">{#N/A,#N/A,FALSE,"3-Year Plan Review Schedule USD";#N/A,#N/A,FALSE,"Earning Summary USD";#N/A,#N/A,FALSE,"Assumptions USD"}</definedName>
    <definedName name="volume" localSheetId="11" hidden="1">{#N/A,#N/A,FALSE,"3-Year Plan Review Schedule USD";#N/A,#N/A,FALSE,"Earning Summary USD";#N/A,#N/A,FALSE,"Assumptions USD"}</definedName>
    <definedName name="volume" localSheetId="4" hidden="1">{#N/A,#N/A,FALSE,"3-Year Plan Review Schedule USD";#N/A,#N/A,FALSE,"Earning Summary USD";#N/A,#N/A,FALSE,"Assumptions USD"}</definedName>
    <definedName name="volume" localSheetId="2" hidden="1">{#N/A,#N/A,FALSE,"3-Year Plan Review Schedule USD";#N/A,#N/A,FALSE,"Earning Summary USD";#N/A,#N/A,FALSE,"Assumptions USD"}</definedName>
    <definedName name="volume" localSheetId="13" hidden="1">{#N/A,#N/A,FALSE,"3-Year Plan Review Schedule USD";#N/A,#N/A,FALSE,"Earning Summary USD";#N/A,#N/A,FALSE,"Assumptions USD"}</definedName>
    <definedName name="volume" localSheetId="12" hidden="1">{#N/A,#N/A,FALSE,"3-Year Plan Review Schedule USD";#N/A,#N/A,FALSE,"Earning Summary USD";#N/A,#N/A,FALSE,"Assumptions USD"}</definedName>
    <definedName name="volume" localSheetId="15" hidden="1">{#N/A,#N/A,FALSE,"3-Year Plan Review Schedule USD";#N/A,#N/A,FALSE,"Earning Summary USD";#N/A,#N/A,FALSE,"Assumptions USD"}</definedName>
    <definedName name="volume" localSheetId="14" hidden="1">{#N/A,#N/A,FALSE,"3-Year Plan Review Schedule USD";#N/A,#N/A,FALSE,"Earning Summary USD";#N/A,#N/A,FALSE,"Assumptions USD"}</definedName>
    <definedName name="volume" hidden="1">{#N/A,#N/A,FALSE,"3-Year Plan Review Schedule USD";#N/A,#N/A,FALSE,"Earning Summary USD";#N/A,#N/A,FALSE,"Assumptions USD"}</definedName>
    <definedName name="volume_ano">#REF!</definedName>
    <definedName name="volume_mercado">#REF!</definedName>
    <definedName name="volume_mes">#REF!</definedName>
    <definedName name="volume_sociedade">#REF!</definedName>
    <definedName name="volume_tipo">#REF!</definedName>
    <definedName name="volume_valor">#REF!</definedName>
    <definedName name="Volume_visao">#REF!</definedName>
    <definedName name="Volumes_04">#REF!</definedName>
    <definedName name="Volumes_05">#REF!</definedName>
    <definedName name="Volumes_06">#REF!</definedName>
    <definedName name="Volumes_07">#REF!</definedName>
    <definedName name="Volumes_08">#REF!</definedName>
    <definedName name="Volumes_for_wk_r" localSheetId="1">#REF!</definedName>
    <definedName name="Volumes_for_wk_r" localSheetId="7">#REF!</definedName>
    <definedName name="Volumes_for_wk_r">#REF!</definedName>
    <definedName name="w">#REF!</definedName>
    <definedName name="weree" localSheetId="4" hidden="1">#REF!</definedName>
    <definedName name="weree" localSheetId="7" hidden="1">[29]A!$B$43:$D$43</definedName>
    <definedName name="weree" hidden="1">#REF!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3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2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4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5" hidden="1">{#N/A,#N/A,FALSE,"BL&amp;GPA";#N/A,#N/A,FALSE,"Summary";#N/A,#N/A,FALSE,"hts"}</definedName>
    <definedName name="wrn.all." localSheetId="11" hidden="1">{#N/A,#N/A,FALSE,"BL&amp;GPA";#N/A,#N/A,FALSE,"Summary";#N/A,#N/A,FALSE,"hts"}</definedName>
    <definedName name="wrn.all." localSheetId="4" hidden="1">{#N/A,#N/A,FALSE,"BL&amp;GPA";#N/A,#N/A,FALSE,"Summary";#N/A,#N/A,FALSE,"hts"}</definedName>
    <definedName name="wrn.all." localSheetId="2" hidden="1">{#N/A,#N/A,FALSE,"BL&amp;GPA";#N/A,#N/A,FALSE,"Summary";#N/A,#N/A,FALSE,"hts"}</definedName>
    <definedName name="wrn.all." localSheetId="13" hidden="1">{#N/A,#N/A,FALSE,"BL&amp;GPA";#N/A,#N/A,FALSE,"Summary";#N/A,#N/A,FALSE,"hts"}</definedName>
    <definedName name="wrn.all." localSheetId="12" hidden="1">{#N/A,#N/A,FALSE,"BL&amp;GPA";#N/A,#N/A,FALSE,"Summary";#N/A,#N/A,FALSE,"hts"}</definedName>
    <definedName name="wrn.all." localSheetId="15" hidden="1">{#N/A,#N/A,FALSE,"BL&amp;GPA";#N/A,#N/A,FALSE,"Summary";#N/A,#N/A,FALSE,"hts"}</definedName>
    <definedName name="wrn.all." localSheetId="14" hidden="1">{#N/A,#N/A,FALSE,"BL&amp;GPA";#N/A,#N/A,FALSE,"Summary";#N/A,#N/A,FALSE,"hts"}</definedName>
    <definedName name="wrn.all." hidden="1">{#N/A,#N/A,FALSE,"BL&amp;GPA";#N/A,#N/A,FALSE,"Summary";#N/A,#N/A,FALSE,"hts"}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NALISE._.DAS._.MARGENS." localSheetId="5" hidden="1">{#N/A,#N/A,FALSE,"ANALISE MARGENS"}</definedName>
    <definedName name="wrn.ANALISE._.DAS._.MARGENS." localSheetId="11" hidden="1">{#N/A,#N/A,FALSE,"ANALISE MARGENS"}</definedName>
    <definedName name="wrn.ANALISE._.DAS._.MARGENS." localSheetId="4" hidden="1">{#N/A,#N/A,FALSE,"ANALISE MARGENS"}</definedName>
    <definedName name="wrn.ANALISE._.DAS._.MARGENS." localSheetId="1" hidden="1">{#N/A,#N/A,FALSE,"ANALISE MARGENS"}</definedName>
    <definedName name="wrn.ANALISE._.DAS._.MARGENS." localSheetId="7" hidden="1">{#N/A,#N/A,FALSE,"ANALISE MARGENS"}</definedName>
    <definedName name="wrn.ANALISE._.DAS._.MARGENS." localSheetId="2" hidden="1">{#N/A,#N/A,FALSE,"ANALISE MARGENS"}</definedName>
    <definedName name="wrn.ANALISE._.DAS._.MARGENS." localSheetId="13" hidden="1">{#N/A,#N/A,FALSE,"ANALISE MARGENS"}</definedName>
    <definedName name="wrn.ANALISE._.DAS._.MARGENS." localSheetId="12" hidden="1">{#N/A,#N/A,FALSE,"ANALISE MARGENS"}</definedName>
    <definedName name="wrn.ANALISE._.DAS._.MARGENS." localSheetId="15" hidden="1">{#N/A,#N/A,FALSE,"ANALISE MARGENS"}</definedName>
    <definedName name="wrn.ANALISE._.DAS._.MARGENS." localSheetId="14" hidden="1">{#N/A,#N/A,FALSE,"ANALISE MARGENS"}</definedName>
    <definedName name="wrn.ANALISE._.DAS._.MARGENS." hidden="1">{#N/A,#N/A,FALSE,"ANALISE MARGENS"}</definedName>
    <definedName name="wrn.ANALISIS." localSheetId="5" hidden="1">{"ANAR",#N/A,FALSE,"Dist total";"MARGEN",#N/A,FALSE,"Dist total";"COMENTARIO",#N/A,FALSE,"Ficha CODICE";"CONSEJO",#N/A,FALSE,"Dist p0";"uno",#N/A,FALSE,"Dist total"}</definedName>
    <definedName name="wrn.ANALISIS." localSheetId="11" hidden="1">{"ANAR",#N/A,FALSE,"Dist total";"MARGEN",#N/A,FALSE,"Dist total";"COMENTARIO",#N/A,FALSE,"Ficha CODICE";"CONSEJO",#N/A,FALSE,"Dist p0";"uno",#N/A,FALSE,"Dist total"}</definedName>
    <definedName name="wrn.ANALISIS." localSheetId="4" hidden="1">{"ANAR",#N/A,FALSE,"Dist total";"MARGEN",#N/A,FALSE,"Dist total";"COMENTARIO",#N/A,FALSE,"Ficha CODICE";"CONSEJO",#N/A,FALSE,"Dist p0";"uno",#N/A,FALSE,"Dist total"}</definedName>
    <definedName name="wrn.ANALISIS." localSheetId="1" hidden="1">{"ANAR",#N/A,FALSE,"Dist total";"MARGEN",#N/A,FALSE,"Dist total";"COMENTARIO",#N/A,FALSE,"Ficha CODICE";"CONSEJO",#N/A,FALSE,"Dist p0";"uno",#N/A,FALSE,"Dist total"}</definedName>
    <definedName name="wrn.ANALISIS." localSheetId="7" hidden="1">{"ANAR",#N/A,FALSE,"Dist total";"MARGEN",#N/A,FALSE,"Dist total";"COMENTARIO",#N/A,FALSE,"Ficha CODICE";"CONSEJO",#N/A,FALSE,"Dist p0";"uno",#N/A,FALSE,"Dist total"}</definedName>
    <definedName name="wrn.ANALISIS." localSheetId="2" hidden="1">{"ANAR",#N/A,FALSE,"Dist total";"MARGEN",#N/A,FALSE,"Dist total";"COMENTARIO",#N/A,FALSE,"Ficha CODICE";"CONSEJO",#N/A,FALSE,"Dist p0";"uno",#N/A,FALSE,"Dist total"}</definedName>
    <definedName name="wrn.ANALISIS." localSheetId="13" hidden="1">{"ANAR",#N/A,FALSE,"Dist total";"MARGEN",#N/A,FALSE,"Dist total";"COMENTARIO",#N/A,FALSE,"Ficha CODICE";"CONSEJO",#N/A,FALSE,"Dist p0";"uno",#N/A,FALSE,"Dist total"}</definedName>
    <definedName name="wrn.ANALISIS." localSheetId="12" hidden="1">{"ANAR",#N/A,FALSE,"Dist total";"MARGEN",#N/A,FALSE,"Dist total";"COMENTARIO",#N/A,FALSE,"Ficha CODICE";"CONSEJO",#N/A,FALSE,"Dist p0";"uno",#N/A,FALSE,"Dist total"}</definedName>
    <definedName name="wrn.ANALISIS." localSheetId="15" hidden="1">{"ANAR",#N/A,FALSE,"Dist total";"MARGEN",#N/A,FALSE,"Dist total";"COMENTARIO",#N/A,FALSE,"Ficha CODICE";"CONSEJO",#N/A,FALSE,"Dist p0";"uno",#N/A,FALSE,"Dist total"}</definedName>
    <definedName name="wrn.ANALISIS." localSheetId="14" hidden="1">{"ANAR",#N/A,FALSE,"Dist total";"MARGEN",#N/A,FALSE,"Dist total";"COMENTARIO",#N/A,FALSE,"Ficha CODICE";"CONSEJO",#N/A,FALSE,"Dist p0";"uno",#N/A,FALSE,"Dist total"}</definedName>
    <definedName name="wrn.ANALISIS." hidden="1">{"ANAR",#N/A,FALSE,"Dist total";"MARGEN",#N/A,FALSE,"Dist total";"COMENTARIO",#N/A,FALSE,"Ficha CODICE";"CONSEJO",#N/A,FALSE,"Dist p0";"uno",#N/A,FALSE,"Dist total"}</definedName>
    <definedName name="wrn.B._.P._.TDS." localSheetId="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5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14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LANÇO." localSheetId="5" hidden="1">{#N/A,#N/A,FALSE,"BALANÇO";#N/A,#N/A,FALSE,"BALANÇO"}</definedName>
    <definedName name="wrn.BALANÇO." localSheetId="11" hidden="1">{#N/A,#N/A,FALSE,"BALANÇO";#N/A,#N/A,FALSE,"BALANÇO"}</definedName>
    <definedName name="wrn.BALANÇO." localSheetId="4" hidden="1">{#N/A,#N/A,FALSE,"BALANÇO";#N/A,#N/A,FALSE,"BALANÇO"}</definedName>
    <definedName name="wrn.BALANÇO." localSheetId="1" hidden="1">{#N/A,#N/A,FALSE,"BALANÇO";#N/A,#N/A,FALSE,"BALANÇO"}</definedName>
    <definedName name="wrn.BALANÇO." localSheetId="7" hidden="1">{#N/A,#N/A,FALSE,"BALANÇO";#N/A,#N/A,FALSE,"BALANÇO"}</definedName>
    <definedName name="wrn.BALANÇO." localSheetId="2" hidden="1">{#N/A,#N/A,FALSE,"BALANÇO";#N/A,#N/A,FALSE,"BALANÇO"}</definedName>
    <definedName name="wrn.BALANÇO." localSheetId="13" hidden="1">{#N/A,#N/A,FALSE,"BALANÇO";#N/A,#N/A,FALSE,"BALANÇO"}</definedName>
    <definedName name="wrn.BALANÇO." localSheetId="12" hidden="1">{#N/A,#N/A,FALSE,"BALANÇO";#N/A,#N/A,FALSE,"BALANÇO"}</definedName>
    <definedName name="wrn.BALANÇO." localSheetId="15" hidden="1">{#N/A,#N/A,FALSE,"BALANÇO";#N/A,#N/A,FALSE,"BALANÇO"}</definedName>
    <definedName name="wrn.BALANÇO." localSheetId="14" hidden="1">{#N/A,#N/A,FALSE,"BALANÇO";#N/A,#N/A,FALSE,"BALANÇO"}</definedName>
    <definedName name="wrn.BALANÇO." hidden="1">{#N/A,#N/A,FALSE,"BALANÇO";#N/A,#N/A,FALSE,"BALANÇO"}</definedName>
    <definedName name="wrn.Board._.Pack." localSheetId="5" hidden="1">{"Board Income Statement",#N/A,FALSE,"Board Summary";"Board Balance Sheet",#N/A,FALSE,"Board Summary";"Board Cash Flow",#N/A,FALSE,"Board Summary"}</definedName>
    <definedName name="wrn.Board._.Pack." localSheetId="11" hidden="1">{"Board Income Statement",#N/A,FALSE,"Board Summary";"Board Balance Sheet",#N/A,FALSE,"Board Summary";"Board Cash Flow",#N/A,FALSE,"Board Summary"}</definedName>
    <definedName name="wrn.Board._.Pack." localSheetId="4" hidden="1">{"Board Income Statement",#N/A,FALSE,"Board Summary";"Board Balance Sheet",#N/A,FALSE,"Board Summary";"Board Cash Flow",#N/A,FALSE,"Board Summary"}</definedName>
    <definedName name="wrn.Board._.Pack." localSheetId="2" hidden="1">{"Board Income Statement",#N/A,FALSE,"Board Summary";"Board Balance Sheet",#N/A,FALSE,"Board Summary";"Board Cash Flow",#N/A,FALSE,"Board Summary"}</definedName>
    <definedName name="wrn.Board._.Pack." localSheetId="13" hidden="1">{"Board Income Statement",#N/A,FALSE,"Board Summary";"Board Balance Sheet",#N/A,FALSE,"Board Summary";"Board Cash Flow",#N/A,FALSE,"Board Summary"}</definedName>
    <definedName name="wrn.Board._.Pack." localSheetId="12" hidden="1">{"Board Income Statement",#N/A,FALSE,"Board Summary";"Board Balance Sheet",#N/A,FALSE,"Board Summary";"Board Cash Flow",#N/A,FALSE,"Board Summary"}</definedName>
    <definedName name="wrn.Board._.Pack." localSheetId="15" hidden="1">{"Board Income Statement",#N/A,FALSE,"Board Summary";"Board Balance Sheet",#N/A,FALSE,"Board Summary";"Board Cash Flow",#N/A,FALSE,"Board Summary"}</definedName>
    <definedName name="wrn.Board._.Pack." localSheetId="14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udget._.2002._.Operating._.Units." localSheetId="5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1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3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2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5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localSheetId="14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Budget._.2002._.Operating._.Units." hidden="1">{#N/A,#N/A,FALSE,"Earning Summary";#N/A,#N/A,FALSE,"csxwt hong kong";#N/A,#N/A,FALSE,"slot 292";#N/A,#N/A,FALSE,"soict";#N/A,#N/A,FALSE,"otlhk";#N/A,#N/A,FALSE,"csxwt xiamen";#N/A,#N/A,FALSE,"csxwt adelaide";#N/A,#N/A,FALSE,"csxwtg bv";#N/A,#N/A,FALSE,"csxwtg kg";#N/A,#N/A,FALSE,"haina";#N/A,#N/A,FALSE,"wcs";#N/A,#N/A,FALSE,"tmr";#N/A,#N/A,FALSE,"slo";#N/A,#N/A,FALSE,"corp";#N/A,#N/A,FALSE,"sloi";#N/A,#N/A,FALSE,"csx tml mgmt";#N/A,#N/A,FALSE,"csxwt europe";#N/A,#N/A,FALSE,"pac container";#N/A,#N/A,FALSE,"csx asia";#N/A,#N/A,FALSE,"csx orient";#N/A,#N/A,FALSE,"finman"}</definedName>
    <definedName name="wrn.cacri." localSheetId="5" hidden="1">{#N/A,#N/A,FALSE,"RESUMO"}</definedName>
    <definedName name="wrn.cacri." localSheetId="11" hidden="1">{#N/A,#N/A,FALSE,"RESUMO"}</definedName>
    <definedName name="wrn.cacri." localSheetId="4" hidden="1">{#N/A,#N/A,FALSE,"RESUMO"}</definedName>
    <definedName name="wrn.cacri." localSheetId="2" hidden="1">{#N/A,#N/A,FALSE,"RESUMO"}</definedName>
    <definedName name="wrn.cacri." localSheetId="13" hidden="1">{#N/A,#N/A,FALSE,"RESUMO"}</definedName>
    <definedName name="wrn.cacri." localSheetId="12" hidden="1">{#N/A,#N/A,FALSE,"RESUMO"}</definedName>
    <definedName name="wrn.cacri." localSheetId="15" hidden="1">{#N/A,#N/A,FALSE,"RESUMO"}</definedName>
    <definedName name="wrn.cacri." localSheetId="14" hidden="1">{#N/A,#N/A,FALSE,"RESUMO"}</definedName>
    <definedName name="wrn.cacri." hidden="1">{#N/A,#N/A,FALSE,"RESUMO"}</definedName>
    <definedName name="wrn.Capital._.Spending._.1998." localSheetId="5" hidden="1">{#N/A,#N/A,TRUE,"Total Allocation";#N/A,#N/A,TRUE,"Capital Software";#N/A,#N/A,TRUE,"Misc";#N/A,#N/A,TRUE,"NAOG"}</definedName>
    <definedName name="wrn.Capital._.Spending._.1998." localSheetId="11" hidden="1">{#N/A,#N/A,TRUE,"Total Allocation";#N/A,#N/A,TRUE,"Capital Software";#N/A,#N/A,TRUE,"Misc";#N/A,#N/A,TRUE,"NAOG"}</definedName>
    <definedName name="wrn.Capital._.Spending._.1998." localSheetId="4" hidden="1">{#N/A,#N/A,TRUE,"Total Allocation";#N/A,#N/A,TRUE,"Capital Software";#N/A,#N/A,TRUE,"Misc";#N/A,#N/A,TRUE,"NAOG"}</definedName>
    <definedName name="wrn.Capital._.Spending._.1998." localSheetId="2" hidden="1">{#N/A,#N/A,TRUE,"Total Allocation";#N/A,#N/A,TRUE,"Capital Software";#N/A,#N/A,TRUE,"Misc";#N/A,#N/A,TRUE,"NAOG"}</definedName>
    <definedName name="wrn.Capital._.Spending._.1998." localSheetId="13" hidden="1">{#N/A,#N/A,TRUE,"Total Allocation";#N/A,#N/A,TRUE,"Capital Software";#N/A,#N/A,TRUE,"Misc";#N/A,#N/A,TRUE,"NAOG"}</definedName>
    <definedName name="wrn.Capital._.Spending._.1998." localSheetId="12" hidden="1">{#N/A,#N/A,TRUE,"Total Allocation";#N/A,#N/A,TRUE,"Capital Software";#N/A,#N/A,TRUE,"Misc";#N/A,#N/A,TRUE,"NAOG"}</definedName>
    <definedName name="wrn.Capital._.Spending._.1998." localSheetId="15" hidden="1">{#N/A,#N/A,TRUE,"Total Allocation";#N/A,#N/A,TRUE,"Capital Software";#N/A,#N/A,TRUE,"Misc";#N/A,#N/A,TRUE,"NAOG"}</definedName>
    <definedName name="wrn.Capital._.Spending._.1998." localSheetId="14" hidden="1">{#N/A,#N/A,TRUE,"Total Allocation";#N/A,#N/A,TRUE,"Capital Software";#N/A,#N/A,TRUE,"Misc";#N/A,#N/A,TRUE,"NAOG"}</definedName>
    <definedName name="wrn.Capital._.Spending._.1998." hidden="1">{#N/A,#N/A,TRUE,"Total Allocation";#N/A,#N/A,TRUE,"Capital Software";#N/A,#N/A,TRUE,"Misc";#N/A,#N/A,TRUE,"NAOG"}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3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2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4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_.Flow._.Forecast._.and._.Details." localSheetId="5" hidden="1">{#N/A,#N/A,FALSE,"monthly";#N/A,#N/A,FALSE,"fcst detail"}</definedName>
    <definedName name="wrn.Cash._.Flow._.Forecast._.and._.Details." localSheetId="11" hidden="1">{#N/A,#N/A,FALSE,"monthly";#N/A,#N/A,FALSE,"fcst detail"}</definedName>
    <definedName name="wrn.Cash._.Flow._.Forecast._.and._.Details." localSheetId="4" hidden="1">{#N/A,#N/A,FALSE,"monthly";#N/A,#N/A,FALSE,"fcst detail"}</definedName>
    <definedName name="wrn.Cash._.Flow._.Forecast._.and._.Details." localSheetId="2" hidden="1">{#N/A,#N/A,FALSE,"monthly";#N/A,#N/A,FALSE,"fcst detail"}</definedName>
    <definedName name="wrn.Cash._.Flow._.Forecast._.and._.Details." localSheetId="13" hidden="1">{#N/A,#N/A,FALSE,"monthly";#N/A,#N/A,FALSE,"fcst detail"}</definedName>
    <definedName name="wrn.Cash._.Flow._.Forecast._.and._.Details." localSheetId="12" hidden="1">{#N/A,#N/A,FALSE,"monthly";#N/A,#N/A,FALSE,"fcst detail"}</definedName>
    <definedName name="wrn.Cash._.Flow._.Forecast._.and._.Details." localSheetId="15" hidden="1">{#N/A,#N/A,FALSE,"monthly";#N/A,#N/A,FALSE,"fcst detail"}</definedName>
    <definedName name="wrn.Cash._.Flow._.Forecast._.and._.Details." localSheetId="14" hidden="1">{#N/A,#N/A,FALSE,"monthly";#N/A,#N/A,FALSE,"fcst detail"}</definedName>
    <definedName name="wrn.Cash._.Flow._.Forecast._.and._.Details." hidden="1">{#N/A,#N/A,FALSE,"monthly";#N/A,#N/A,FALSE,"fcst detail"}</definedName>
    <definedName name="wrn.catbob." localSheetId="5" hidden="1">{#N/A,#N/A,FALSE,"PROGRAMAÇÃO SEMANAL";#N/A,#N/A,FALSE,"PROG. DIÁRIA -FEV"}</definedName>
    <definedName name="wrn.catbob." localSheetId="11" hidden="1">{#N/A,#N/A,FALSE,"PROGRAMAÇÃO SEMANAL";#N/A,#N/A,FALSE,"PROG. DIÁRIA -FEV"}</definedName>
    <definedName name="wrn.catbob." localSheetId="4" hidden="1">{#N/A,#N/A,FALSE,"PROGRAMAÇÃO SEMANAL";#N/A,#N/A,FALSE,"PROG. DIÁRIA -FEV"}</definedName>
    <definedName name="wrn.catbob." localSheetId="2" hidden="1">{#N/A,#N/A,FALSE,"PROGRAMAÇÃO SEMANAL";#N/A,#N/A,FALSE,"PROG. DIÁRIA -FEV"}</definedName>
    <definedName name="wrn.catbob." localSheetId="13" hidden="1">{#N/A,#N/A,FALSE,"PROGRAMAÇÃO SEMANAL";#N/A,#N/A,FALSE,"PROG. DIÁRIA -FEV"}</definedName>
    <definedName name="wrn.catbob." localSheetId="12" hidden="1">{#N/A,#N/A,FALSE,"PROGRAMAÇÃO SEMANAL";#N/A,#N/A,FALSE,"PROG. DIÁRIA -FEV"}</definedName>
    <definedName name="wrn.catbob." localSheetId="15" hidden="1">{#N/A,#N/A,FALSE,"PROGRAMAÇÃO SEMANAL";#N/A,#N/A,FALSE,"PROG. DIÁRIA -FEV"}</definedName>
    <definedName name="wrn.catbob." localSheetId="14" hidden="1">{#N/A,#N/A,FALSE,"PROGRAMAÇÃO SEMANAL";#N/A,#N/A,FALSE,"PROG. DIÁRIA -FEV"}</definedName>
    <definedName name="wrn.catbob." hidden="1">{#N/A,#N/A,FALSE,"PROGRAMAÇÃO SEMANAL";#N/A,#N/A,FALSE,"PROG. DIÁRIA -FEV"}</definedName>
    <definedName name="wrn.CATVERG." localSheetId="5" hidden="1">{"VERGALHÃO",#N/A,FALSE,"DIÁRIA";"CATODO",#N/A,FALSE,"DIÁRIA"}</definedName>
    <definedName name="wrn.CATVERG." localSheetId="11" hidden="1">{"VERGALHÃO",#N/A,FALSE,"DIÁRIA";"CATODO",#N/A,FALSE,"DIÁRIA"}</definedName>
    <definedName name="wrn.CATVERG." localSheetId="4" hidden="1">{"VERGALHÃO",#N/A,FALSE,"DIÁRIA";"CATODO",#N/A,FALSE,"DIÁRIA"}</definedName>
    <definedName name="wrn.CATVERG." localSheetId="2" hidden="1">{"VERGALHÃO",#N/A,FALSE,"DIÁRIA";"CATODO",#N/A,FALSE,"DIÁRIA"}</definedName>
    <definedName name="wrn.CATVERG." localSheetId="13" hidden="1">{"VERGALHÃO",#N/A,FALSE,"DIÁRIA";"CATODO",#N/A,FALSE,"DIÁRIA"}</definedName>
    <definedName name="wrn.CATVERG." localSheetId="12" hidden="1">{"VERGALHÃO",#N/A,FALSE,"DIÁRIA";"CATODO",#N/A,FALSE,"DIÁRIA"}</definedName>
    <definedName name="wrn.CATVERG." localSheetId="15" hidden="1">{"VERGALHÃO",#N/A,FALSE,"DIÁRIA";"CATODO",#N/A,FALSE,"DIÁRIA"}</definedName>
    <definedName name="wrn.CATVERG." localSheetId="14" hidden="1">{"VERGALHÃO",#N/A,FALSE,"DIÁRIA";"CATODO",#N/A,FALSE,"DIÁRIA"}</definedName>
    <definedName name="wrn.CATVERG." hidden="1">{"VERGALHÃO",#N/A,FALSE,"DIÁRIA";"CATODO",#N/A,FALSE,"DIÁRIA"}</definedName>
    <definedName name="wrn.Caucedo._.Financials." localSheetId="5" hidden="1">{#N/A,#N/A,FALSE,"Cover"}</definedName>
    <definedName name="wrn.Caucedo._.Financials." localSheetId="11" hidden="1">{#N/A,#N/A,FALSE,"Cover"}</definedName>
    <definedName name="wrn.Caucedo._.Financials." localSheetId="4" hidden="1">{#N/A,#N/A,FALSE,"Cover"}</definedName>
    <definedName name="wrn.Caucedo._.Financials." localSheetId="2" hidden="1">{#N/A,#N/A,FALSE,"Cover"}</definedName>
    <definedName name="wrn.Caucedo._.Financials." localSheetId="13" hidden="1">{#N/A,#N/A,FALSE,"Cover"}</definedName>
    <definedName name="wrn.Caucedo._.Financials." localSheetId="12" hidden="1">{#N/A,#N/A,FALSE,"Cover"}</definedName>
    <definedName name="wrn.Caucedo._.Financials." localSheetId="15" hidden="1">{#N/A,#N/A,FALSE,"Cover"}</definedName>
    <definedName name="wrn.Caucedo._.Financials." localSheetId="14" hidden="1">{#N/A,#N/A,FALSE,"Cover"}</definedName>
    <definedName name="wrn.Caucedo._.Financials." hidden="1">{#N/A,#N/A,FALSE,"Cover"}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11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localSheetId="13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localSheetId="1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3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2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4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SOCIAL." localSheetId="5" hidden="1">{#N/A,#N/A,FALSE,"CSOCIAL"}</definedName>
    <definedName name="wrn.CSOCIAL." localSheetId="11" hidden="1">{#N/A,#N/A,FALSE,"CSOCIAL"}</definedName>
    <definedName name="wrn.CSOCIAL." localSheetId="4" hidden="1">{#N/A,#N/A,FALSE,"CSOCIAL"}</definedName>
    <definedName name="wrn.CSOCIAL." localSheetId="2" hidden="1">{#N/A,#N/A,FALSE,"CSOCIAL"}</definedName>
    <definedName name="wrn.CSOCIAL." localSheetId="13" hidden="1">{#N/A,#N/A,FALSE,"CSOCIAL"}</definedName>
    <definedName name="wrn.CSOCIAL." localSheetId="12" hidden="1">{#N/A,#N/A,FALSE,"CSOCIAL"}</definedName>
    <definedName name="wrn.CSOCIAL." localSheetId="15" hidden="1">{#N/A,#N/A,FALSE,"CSOCIAL"}</definedName>
    <definedName name="wrn.CSOCIAL." localSheetId="14" hidden="1">{#N/A,#N/A,FALSE,"CSOCIAL"}</definedName>
    <definedName name="wrn.CSOCIAL." hidden="1">{#N/A,#N/A,FALSE,"CSOCIAL"}</definedName>
    <definedName name="wrn.CSXWT._.Budget._.2002." localSheetId="5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1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4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3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2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5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localSheetId="14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CSXWT._.Budget._.2002." hidden="1">{#N/A,#N/A,FALSE,"Earning Summary";#N/A,#N/A,FALSE,"QTR SUMM";#N/A,#N/A,FALSE,"csxwt hong kong";#N/A,#N/A,FALSE,"soict";#N/A,#N/A,FALSE,"otlhk";#N/A,#N/A,FALSE,"csxwt xiamen";#N/A,#N/A,FALSE,"csxwt adelaide";#N/A,#N/A,FALSE,"csxwtg bv";#N/A,#N/A,FALSE,"csxwtg kg";#N/A,#N/A,FALSE,"haina";#N/A,#N/A,FALSE,"wcs";#N/A,#N/A,FALSE,"tmr";#N/A,#N/A,FALSE,"ATL";#N/A,#N/A,FALSE,"CSXOT";#N/A,#N/A,FALSE,"act";#N/A,#N/A,FALSE,"ATL YANTIAN";#N/A,#N/A,FALSE,"VOS";#N/A,#N/A,FALSE,"CAUCEDO";#N/A,#N/A,FALSE,"CABELLO"}</definedName>
    <definedName name="wrn.DespesasPorArea." localSheetId="5" hidden="1">{"TotalGeralDespesasPorArea",#N/A,FALSE,"VinculosAccessEfetivo"}</definedName>
    <definedName name="wrn.DespesasPorArea." localSheetId="11" hidden="1">{"TotalGeralDespesasPorArea",#N/A,FALSE,"VinculosAccessEfetivo"}</definedName>
    <definedName name="wrn.DespesasPorArea." localSheetId="4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localSheetId="13" hidden="1">{"TotalGeralDespesasPorArea",#N/A,FALSE,"VinculosAccessEfetivo"}</definedName>
    <definedName name="wrn.DespesasPorArea." localSheetId="12" hidden="1">{"TotalGeralDespesasPorArea",#N/A,FALSE,"VinculosAccessEfetivo"}</definedName>
    <definedName name="wrn.DespesasPorArea." localSheetId="15" hidden="1">{"TotalGeralDespesasPorArea",#N/A,FALSE,"VinculosAccessEfetivo"}</definedName>
    <definedName name="wrn.DespesasPorArea." localSheetId="14" hidden="1">{"TotalGeralDespesasPorArea",#N/A,FALSE,"VinculosAccessEfetivo"}</definedName>
    <definedName name="wrn.DespesasPorArea." hidden="1">{"TotalGeralDespesasPorArea",#N/A,FALSE,"VinculosAccessEfetivo"}</definedName>
    <definedName name="wrn.Dezembro." localSheetId="5" hidden="1">{"Fecha_Dezembro",#N/A,FALSE,"FECHAMENTO-2002 ";"Defer_Dezermbro",#N/A,FALSE,"DIFERIDO";"Pis_Dezembro",#N/A,FALSE,"PIS COFINS";"Iss_Dezembro",#N/A,FALSE,"ISS"}</definedName>
    <definedName name="wrn.Dezembro." localSheetId="11" hidden="1">{"Fecha_Dezembro",#N/A,FALSE,"FECHAMENTO-2002 ";"Defer_Dezermbro",#N/A,FALSE,"DIFERIDO";"Pis_Dezembro",#N/A,FALSE,"PIS COFINS";"Iss_Dezembro",#N/A,FALSE,"ISS"}</definedName>
    <definedName name="wrn.Dezembro." localSheetId="4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localSheetId="13" hidden="1">{"Fecha_Dezembro",#N/A,FALSE,"FECHAMENTO-2002 ";"Defer_Dezermbro",#N/A,FALSE,"DIFERIDO";"Pis_Dezembro",#N/A,FALSE,"PIS COFINS";"Iss_Dezembro",#N/A,FALSE,"ISS"}</definedName>
    <definedName name="wrn.Dezembro." localSheetId="12" hidden="1">{"Fecha_Dezembro",#N/A,FALSE,"FECHAMENTO-2002 ";"Defer_Dezermbro",#N/A,FALSE,"DIFERIDO";"Pis_Dezembro",#N/A,FALSE,"PIS COFINS";"Iss_Dezembro",#N/A,FALSE,"ISS"}</definedName>
    <definedName name="wrn.Dezembro." localSheetId="15" hidden="1">{"Fecha_Dezembro",#N/A,FALSE,"FECHAMENTO-2002 ";"Defer_Dezermbro",#N/A,FALSE,"DIFERIDO";"Pis_Dezembro",#N/A,FALSE,"PIS COFINS";"Iss_Dezembro",#N/A,FALSE,"ISS"}</definedName>
    <definedName name="wrn.Dezembro." localSheetId="14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11" hidden="1">{#N/A,#N/A,TRUE,"Overview";#N/A,#N/A,TRUE,"Divest Val";#N/A,#N/A,TRUE,"sources &amp; uses";#N/A,#N/A,TRUE,"Has-Gets Divest"}</definedName>
    <definedName name="wrn.divestiture." localSheetId="4" hidden="1">{#N/A,#N/A,TRUE,"Overview";#N/A,#N/A,TRUE,"Divest Val";#N/A,#N/A,TRUE,"sources &amp; uses";#N/A,#N/A,TRUE,"Has-Gets Divest"}</definedName>
    <definedName name="wrn.divestiture." localSheetId="2" hidden="1">{#N/A,#N/A,TRUE,"Overview";#N/A,#N/A,TRUE,"Divest Val";#N/A,#N/A,TRUE,"sources &amp; uses";#N/A,#N/A,TRUE,"Has-Gets Divest"}</definedName>
    <definedName name="wrn.divestiture." localSheetId="13" hidden="1">{#N/A,#N/A,TRUE,"Overview";#N/A,#N/A,TRUE,"Divest Val";#N/A,#N/A,TRUE,"sources &amp; uses";#N/A,#N/A,TRUE,"Has-Gets Divest"}</definedName>
    <definedName name="wrn.divestiture." localSheetId="12" hidden="1">{#N/A,#N/A,TRUE,"Overview";#N/A,#N/A,TRUE,"Divest Val";#N/A,#N/A,TRUE,"sources &amp; uses";#N/A,#N/A,TRUE,"Has-Gets Divest"}</definedName>
    <definedName name="wrn.divestiture." localSheetId="15" hidden="1">{#N/A,#N/A,TRUE,"Overview";#N/A,#N/A,TRUE,"Divest Val";#N/A,#N/A,TRUE,"sources &amp; uses";#N/A,#N/A,TRUE,"Has-Gets Divest"}</definedName>
    <definedName name="wrn.divestiture." localSheetId="14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RE." localSheetId="5" hidden="1">{#N/A,#N/A,FALSE,"DEM RESULT"}</definedName>
    <definedName name="wrn.DRE." localSheetId="11" hidden="1">{#N/A,#N/A,FALSE,"DEM RESULT"}</definedName>
    <definedName name="wrn.DRE." localSheetId="4" hidden="1">{#N/A,#N/A,FALSE,"DEM RESULT"}</definedName>
    <definedName name="wrn.DRE." localSheetId="1" hidden="1">{#N/A,#N/A,FALSE,"DEM RESULT"}</definedName>
    <definedName name="wrn.DRE." localSheetId="7" hidden="1">{#N/A,#N/A,FALSE,"DEM RESULT"}</definedName>
    <definedName name="wrn.DRE." localSheetId="2" hidden="1">{#N/A,#N/A,FALSE,"DEM RESULT"}</definedName>
    <definedName name="wrn.DRE." localSheetId="13" hidden="1">{#N/A,#N/A,FALSE,"DEM RESULT"}</definedName>
    <definedName name="wrn.DRE." localSheetId="12" hidden="1">{#N/A,#N/A,FALSE,"DEM RESULT"}</definedName>
    <definedName name="wrn.DRE." localSheetId="15" hidden="1">{#N/A,#N/A,FALSE,"DEM RESULT"}</definedName>
    <definedName name="wrn.DRE." localSheetId="14" hidden="1">{#N/A,#N/A,FALSE,"DEM RESULT"}</definedName>
    <definedName name="wrn.DRE." hidden="1">{#N/A,#N/A,FALSE,"DEM RESULT"}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2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3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2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4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ECH._.IMPOSTOS." localSheetId="5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1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4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3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5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14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LUXO._.DE._.CAIXA." localSheetId="5" hidden="1">{#N/A,#N/A,FALSE,"CAIXA"}</definedName>
    <definedName name="wrn.FLUXO._.DE._.CAIXA." localSheetId="11" hidden="1">{#N/A,#N/A,FALSE,"CAIXA"}</definedName>
    <definedName name="wrn.FLUXO._.DE._.CAIXA." localSheetId="4" hidden="1">{#N/A,#N/A,FALSE,"CAIXA"}</definedName>
    <definedName name="wrn.FLUXO._.DE._.CAIXA." localSheetId="1" hidden="1">{#N/A,#N/A,FALSE,"CAIXA"}</definedName>
    <definedName name="wrn.FLUXO._.DE._.CAIXA." localSheetId="7" hidden="1">{#N/A,#N/A,FALSE,"CAIXA"}</definedName>
    <definedName name="wrn.FLUXO._.DE._.CAIXA." localSheetId="2" hidden="1">{#N/A,#N/A,FALSE,"CAIXA"}</definedName>
    <definedName name="wrn.FLUXO._.DE._.CAIXA." localSheetId="13" hidden="1">{#N/A,#N/A,FALSE,"CAIXA"}</definedName>
    <definedName name="wrn.FLUXO._.DE._.CAIXA." localSheetId="12" hidden="1">{#N/A,#N/A,FALSE,"CAIXA"}</definedName>
    <definedName name="wrn.FLUXO._.DE._.CAIXA." localSheetId="15" hidden="1">{#N/A,#N/A,FALSE,"CAIXA"}</definedName>
    <definedName name="wrn.FLUXO._.DE._.CAIXA." localSheetId="14" hidden="1">{#N/A,#N/A,FALSE,"CAIXA"}</definedName>
    <definedName name="wrn.FLUXO._.DE._.CAIXA." hidden="1">{#N/A,#N/A,FALSE,"CAIXA"}</definedName>
    <definedName name="wrn.Friendly." localSheetId="5" hidden="1">{#N/A,#N/A,TRUE,"Julio";#N/A,#N/A,TRUE,"Agosto";#N/A,#N/A,TRUE,"BHCo";#N/A,#N/A,TRUE,"Abril";#N/A,#N/A,TRUE,"Pro Forma"}</definedName>
    <definedName name="wrn.Friendly." localSheetId="11" hidden="1">{#N/A,#N/A,TRUE,"Julio";#N/A,#N/A,TRUE,"Agosto";#N/A,#N/A,TRUE,"BHCo";#N/A,#N/A,TRUE,"Abril";#N/A,#N/A,TRUE,"Pro Forma"}</definedName>
    <definedName name="wrn.Friendly." localSheetId="4" hidden="1">{#N/A,#N/A,TRUE,"Julio";#N/A,#N/A,TRUE,"Agosto";#N/A,#N/A,TRUE,"BHCo";#N/A,#N/A,TRUE,"Abril";#N/A,#N/A,TRUE,"Pro Forma"}</definedName>
    <definedName name="wrn.Friendly." localSheetId="2" hidden="1">{#N/A,#N/A,TRUE,"Julio";#N/A,#N/A,TRUE,"Agosto";#N/A,#N/A,TRUE,"BHCo";#N/A,#N/A,TRUE,"Abril";#N/A,#N/A,TRUE,"Pro Forma"}</definedName>
    <definedName name="wrn.Friendly." localSheetId="13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15" hidden="1">{#N/A,#N/A,TRUE,"Julio";#N/A,#N/A,TRUE,"Agosto";#N/A,#N/A,TRUE,"BHCo";#N/A,#N/A,TRUE,"Abril";#N/A,#N/A,TRUE,"Pro Forma"}</definedName>
    <definedName name="wrn.Friendly." localSheetId="14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Geral." localSheetId="5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1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4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3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2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5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14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RAPHS." localSheetId="5" hidden="1">{#N/A,#N/A,FALSE,"ACQ_GRAPHS";#N/A,#N/A,FALSE,"T_1 GRAPHS";#N/A,#N/A,FALSE,"T_2 GRAPHS";#N/A,#N/A,FALSE,"COMB_GRAPHS"}</definedName>
    <definedName name="wrn.GRAPHS." localSheetId="11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2" hidden="1">{#N/A,#N/A,FALSE,"ACQ_GRAPHS";#N/A,#N/A,FALSE,"T_1 GRAPHS";#N/A,#N/A,FALSE,"T_2 GRAPHS";#N/A,#N/A,FALSE,"COMB_GRAPHS"}</definedName>
    <definedName name="wrn.GRAPHS." localSheetId="13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localSheetId="1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up." localSheetId="5" hidden="1">{#N/A,#N/A,FALSE,"3-Year Plan Review Schedule USD";#N/A,#N/A,FALSE,"Earning Summary USD";#N/A,#N/A,FALSE,"Assumptions USD"}</definedName>
    <definedName name="wrn.hup." localSheetId="11" hidden="1">{#N/A,#N/A,FALSE,"3-Year Plan Review Schedule USD";#N/A,#N/A,FALSE,"Earning Summary USD";#N/A,#N/A,FALSE,"Assumptions USD"}</definedName>
    <definedName name="wrn.hup." localSheetId="4" hidden="1">{#N/A,#N/A,FALSE,"3-Year Plan Review Schedule USD";#N/A,#N/A,FALSE,"Earning Summary USD";#N/A,#N/A,FALSE,"Assumptions USD"}</definedName>
    <definedName name="wrn.hup." localSheetId="2" hidden="1">{#N/A,#N/A,FALSE,"3-Year Plan Review Schedule USD";#N/A,#N/A,FALSE,"Earning Summary USD";#N/A,#N/A,FALSE,"Assumptions USD"}</definedName>
    <definedName name="wrn.hup." localSheetId="13" hidden="1">{#N/A,#N/A,FALSE,"3-Year Plan Review Schedule USD";#N/A,#N/A,FALSE,"Earning Summary USD";#N/A,#N/A,FALSE,"Assumptions USD"}</definedName>
    <definedName name="wrn.hup." localSheetId="12" hidden="1">{#N/A,#N/A,FALSE,"3-Year Plan Review Schedule USD";#N/A,#N/A,FALSE,"Earning Summary USD";#N/A,#N/A,FALSE,"Assumptions USD"}</definedName>
    <definedName name="wrn.hup." localSheetId="15" hidden="1">{#N/A,#N/A,FALSE,"3-Year Plan Review Schedule USD";#N/A,#N/A,FALSE,"Earning Summary USD";#N/A,#N/A,FALSE,"Assumptions USD"}</definedName>
    <definedName name="wrn.hup." localSheetId="14" hidden="1">{#N/A,#N/A,FALSE,"3-Year Plan Review Schedule USD";#N/A,#N/A,FALSE,"Earning Summary USD";#N/A,#N/A,FALSE,"Assumptions USD"}</definedName>
    <definedName name="wrn.hup." hidden="1">{#N/A,#N/A,FALSE,"3-Year Plan Review Schedule USD";#N/A,#N/A,FALSE,"Earning Summary USD";#N/A,#N/A,FALSE,"Assumptions USD"}</definedName>
    <definedName name="wrn.imp.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localSheetId="14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ostos." localSheetId="5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1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4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2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3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2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5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14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RENDA." localSheetId="5" hidden="1">{#N/A,#N/A,FALSE,"IRENDA"}</definedName>
    <definedName name="wrn.IRENDA." localSheetId="11" hidden="1">{#N/A,#N/A,FALSE,"IRENDA"}</definedName>
    <definedName name="wrn.IRENDA." localSheetId="4" hidden="1">{#N/A,#N/A,FALSE,"IRENDA"}</definedName>
    <definedName name="wrn.IRENDA." localSheetId="2" hidden="1">{#N/A,#N/A,FALSE,"IRENDA"}</definedName>
    <definedName name="wrn.IRENDA." localSheetId="13" hidden="1">{#N/A,#N/A,FALSE,"IRENDA"}</definedName>
    <definedName name="wrn.IRENDA." localSheetId="12" hidden="1">{#N/A,#N/A,FALSE,"IRENDA"}</definedName>
    <definedName name="wrn.IRENDA." localSheetId="15" hidden="1">{#N/A,#N/A,FALSE,"IRENDA"}</definedName>
    <definedName name="wrn.IRENDA." localSheetId="14" hidden="1">{#N/A,#N/A,FALSE,"IRENDA"}</definedName>
    <definedName name="wrn.IRENDA." hidden="1">{#N/A,#N/A,FALSE,"IRENDA"}</definedName>
    <definedName name="wrn.Mgmt._.Report._.Operating._.Units." localSheetId="5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1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4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3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2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5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localSheetId="14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Mgmt._.Report._.Operating._.Units." hidden="1">{#N/A,#N/A,TRUE,"SUMMARY";#N/A,#N/A,TRUE,"MO";#N/A,#N/A,TRUE,"csxwt hong kong";#N/A,#N/A,TRUE,"soict";#N/A,#N/A,TRUE,"csxwtg bv";#N/A,#N/A,TRUE,"csxwt xiamen";#N/A,#N/A,TRUE,"csxwt adelaide";#N/A,#N/A,TRUE,"otlhk";#N/A,#N/A,TRUE,"haina";#N/A,#N/A,TRUE,"wcs";#N/A,#N/A,TRUE,"ATL";#N/A,#N/A,TRUE,"ATLY";#N/A,#N/A,TRUE,"act";#N/A,#N/A,TRUE,"tmr";#N/A,#N/A,TRUE,"VOS";#N/A,#N/A,TRUE,"CABELLO";#N/A,#N/A,TRUE,"CSXOT";#N/A,#N/A,TRUE,"csxwtg kg ";#N/A,#N/A,TRUE,"wcs shanghai";#N/A,#N/A,TRUE,"csxwt dominicana";#N/A,#N/A,TRUE,"corp";#N/A,#N/A,TRUE,"elim"}</definedName>
    <definedName name="wrn.Novembro." localSheetId="5" hidden="1">{"Fecha_Novembro",#N/A,FALSE,"FECHAMENTO-2002 ";"Defer_Novembro",#N/A,FALSE,"DIFERIDO";"Pis_Novembro",#N/A,FALSE,"PIS COFINS";"Iss_Novembro",#N/A,FALSE,"ISS"}</definedName>
    <definedName name="wrn.Novembro." localSheetId="11" hidden="1">{"Fecha_Novembro",#N/A,FALSE,"FECHAMENTO-2002 ";"Defer_Novembro",#N/A,FALSE,"DIFERIDO";"Pis_Novembro",#N/A,FALSE,"PIS COFINS";"Iss_Novembro",#N/A,FALSE,"ISS"}</definedName>
    <definedName name="wrn.Novembro." localSheetId="4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localSheetId="13" hidden="1">{"Fecha_Novembro",#N/A,FALSE,"FECHAMENTO-2002 ";"Defer_Novembro",#N/A,FALSE,"DIFERIDO";"Pis_Novembro",#N/A,FALSE,"PIS COFINS";"Iss_Novembro",#N/A,FALSE,"ISS"}</definedName>
    <definedName name="wrn.Novembro." localSheetId="12" hidden="1">{"Fecha_Novembro",#N/A,FALSE,"FECHAMENTO-2002 ";"Defer_Novembro",#N/A,FALSE,"DIFERIDO";"Pis_Novembro",#N/A,FALSE,"PIS COFINS";"Iss_Novembro",#N/A,FALSE,"ISS"}</definedName>
    <definedName name="wrn.Novembro." localSheetId="15" hidden="1">{"Fecha_Novembro",#N/A,FALSE,"FECHAMENTO-2002 ";"Defer_Novembro",#N/A,FALSE,"DIFERIDO";"Pis_Novembro",#N/A,FALSE,"PIS COFINS";"Iss_Novembro",#N/A,FALSE,"ISS"}</definedName>
    <definedName name="wrn.Novembro." localSheetId="14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look._.for._.US._.Domestic._.Paging." localSheetId="5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2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3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2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5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ubro." localSheetId="5" hidden="1">{"Fecha_Outubro",#N/A,FALSE,"FECHAMENTO-2002 ";"Defer_Outubro",#N/A,FALSE,"DIFERIDO";"Pis_Outubro",#N/A,FALSE,"PIS COFINS";"Iss_Outubro",#N/A,FALSE,"ISS"}</definedName>
    <definedName name="wrn.Outubro." localSheetId="11" hidden="1">{"Fecha_Outubro",#N/A,FALSE,"FECHAMENTO-2002 ";"Defer_Outubro",#N/A,FALSE,"DIFERIDO";"Pis_Outubro",#N/A,FALSE,"PIS COFINS";"Iss_Outubro",#N/A,FALSE,"ISS"}</definedName>
    <definedName name="wrn.Outubro." localSheetId="4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localSheetId="13" hidden="1">{"Fecha_Outubro",#N/A,FALSE,"FECHAMENTO-2002 ";"Defer_Outubro",#N/A,FALSE,"DIFERIDO";"Pis_Outubro",#N/A,FALSE,"PIS COFINS";"Iss_Outubro",#N/A,FALSE,"ISS"}</definedName>
    <definedName name="wrn.Outubro." localSheetId="12" hidden="1">{"Fecha_Outubro",#N/A,FALSE,"FECHAMENTO-2002 ";"Defer_Outubro",#N/A,FALSE,"DIFERIDO";"Pis_Outubro",#N/A,FALSE,"PIS COFINS";"Iss_Outubro",#N/A,FALSE,"ISS"}</definedName>
    <definedName name="wrn.Outubro." localSheetId="15" hidden="1">{"Fecha_Outubro",#N/A,FALSE,"FECHAMENTO-2002 ";"Defer_Outubro",#N/A,FALSE,"DIFERIDO";"Pis_Outubro",#N/A,FALSE,"PIS COFINS";"Iss_Outubro",#N/A,FALSE,"ISS"}</definedName>
    <definedName name="wrn.Outubro." localSheetId="14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ARA._.EL._.CONSEJO." localSheetId="5" hidden="1">{"CONSEJO",#N/A,FALSE,"Dist p0";"CONSEJO",#N/A,FALSE,"Ficha CODICE"}</definedName>
    <definedName name="wrn.PARA._.EL._.CONSEJO." localSheetId="11" hidden="1">{"CONSEJO",#N/A,FALSE,"Dist p0";"CONSEJO",#N/A,FALSE,"Ficha CODICE"}</definedName>
    <definedName name="wrn.PARA._.EL._.CONSEJO." localSheetId="4" hidden="1">{"CONSEJO",#N/A,FALSE,"Dist p0";"CONSEJO",#N/A,FALSE,"Ficha CODICE"}</definedName>
    <definedName name="wrn.PARA._.EL._.CONSEJO." localSheetId="1" hidden="1">{"CONSEJO",#N/A,FALSE,"Dist p0";"CONSEJO",#N/A,FALSE,"Ficha CODICE"}</definedName>
    <definedName name="wrn.PARA._.EL._.CONSEJO." localSheetId="7" hidden="1">{"CONSEJO",#N/A,FALSE,"Dist p0";"CONSEJO",#N/A,FALSE,"Ficha CODICE"}</definedName>
    <definedName name="wrn.PARA._.EL._.CONSEJO." localSheetId="2" hidden="1">{"CONSEJO",#N/A,FALSE,"Dist p0";"CONSEJO",#N/A,FALSE,"Ficha CODICE"}</definedName>
    <definedName name="wrn.PARA._.EL._.CONSEJO." localSheetId="13" hidden="1">{"CONSEJO",#N/A,FALSE,"Dist p0";"CONSEJO",#N/A,FALSE,"Ficha CODICE"}</definedName>
    <definedName name="wrn.PARA._.EL._.CONSEJO." localSheetId="12" hidden="1">{"CONSEJO",#N/A,FALSE,"Dist p0";"CONSEJO",#N/A,FALSE,"Ficha CODICE"}</definedName>
    <definedName name="wrn.PARA._.EL._.CONSEJO." localSheetId="15" hidden="1">{"CONSEJO",#N/A,FALSE,"Dist p0";"CONSEJO",#N/A,FALSE,"Ficha CODICE"}</definedName>
    <definedName name="wrn.PARA._.EL._.CONSEJO." localSheetId="14" hidden="1">{"CONSEJO",#N/A,FALSE,"Dist p0";"CONSEJO",#N/A,FALSE,"Ficha CODICE"}</definedName>
    <definedName name="wrn.PARA._.EL._.CONSEJO." hidden="1">{"CONSEJO",#N/A,FALSE,"Dist p0";"CONSEJO",#N/A,FALSE,"Ficha CODICE"}</definedName>
    <definedName name="wrn.PARA._.LA._.CARTA." localSheetId="5" hidden="1">{"uno",#N/A,FALSE,"Dist total";"COMENTARIO",#N/A,FALSE,"Ficha CODICE"}</definedName>
    <definedName name="wrn.PARA._.LA._.CARTA." localSheetId="11" hidden="1">{"uno",#N/A,FALSE,"Dist total";"COMENTARIO",#N/A,FALSE,"Ficha CODICE"}</definedName>
    <definedName name="wrn.PARA._.LA._.CARTA." localSheetId="4" hidden="1">{"uno",#N/A,FALSE,"Dist total";"COMENTARIO",#N/A,FALSE,"Ficha CODICE"}</definedName>
    <definedName name="wrn.PARA._.LA._.CARTA." localSheetId="1" hidden="1">{"uno",#N/A,FALSE,"Dist total";"COMENTARIO",#N/A,FALSE,"Ficha CODICE"}</definedName>
    <definedName name="wrn.PARA._.LA._.CARTA." localSheetId="7" hidden="1">{"uno",#N/A,FALSE,"Dist total";"COMENTARIO",#N/A,FALSE,"Ficha CODICE"}</definedName>
    <definedName name="wrn.PARA._.LA._.CARTA." localSheetId="2" hidden="1">{"uno",#N/A,FALSE,"Dist total";"COMENTARIO",#N/A,FALSE,"Ficha CODICE"}</definedName>
    <definedName name="wrn.PARA._.LA._.CARTA." localSheetId="13" hidden="1">{"uno",#N/A,FALSE,"Dist total";"COMENTARIO",#N/A,FALSE,"Ficha CODICE"}</definedName>
    <definedName name="wrn.PARA._.LA._.CARTA." localSheetId="12" hidden="1">{"uno",#N/A,FALSE,"Dist total";"COMENTARIO",#N/A,FALSE,"Ficha CODICE"}</definedName>
    <definedName name="wrn.PARA._.LA._.CARTA." localSheetId="15" hidden="1">{"uno",#N/A,FALSE,"Dist total";"COMENTARIO",#N/A,FALSE,"Ficha CODICE"}</definedName>
    <definedName name="wrn.PARA._.LA._.CARTA." localSheetId="14" hidden="1">{"uno",#N/A,FALSE,"Dist total";"COMENTARIO",#N/A,FALSE,"Ficha CODICE"}</definedName>
    <definedName name="wrn.PARA._.LA._.CARTA." hidden="1">{"uno",#N/A,FALSE,"Dist total";"COMENTARIO",#N/A,FALSE,"Ficha CODICE"}</definedName>
    <definedName name="wrn.PIS." localSheetId="5" hidden="1">{#N/A,#N/A,FALSE,"PIS"}</definedName>
    <definedName name="wrn.PIS." localSheetId="11" hidden="1">{#N/A,#N/A,FALSE,"PIS"}</definedName>
    <definedName name="wrn.PIS." localSheetId="4" hidden="1">{#N/A,#N/A,FALSE,"PIS"}</definedName>
    <definedName name="wrn.PIS." localSheetId="2" hidden="1">{#N/A,#N/A,FALSE,"PIS"}</definedName>
    <definedName name="wrn.PIS." localSheetId="13" hidden="1">{#N/A,#N/A,FALSE,"PIS"}</definedName>
    <definedName name="wrn.PIS." localSheetId="12" hidden="1">{#N/A,#N/A,FALSE,"PIS"}</definedName>
    <definedName name="wrn.PIS." localSheetId="15" hidden="1">{#N/A,#N/A,FALSE,"PIS"}</definedName>
    <definedName name="wrn.PIS." localSheetId="14" hidden="1">{#N/A,#N/A,FALSE,"PIS"}</definedName>
    <definedName name="wrn.PIS." hidden="1">{#N/A,#N/A,FALSE,"PIS"}</definedName>
    <definedName name="wrn.PL." localSheetId="5" hidden="1">{"20 Years",#N/A,FALSE,"P&amp;Ls";"2001",#N/A,FALSE,"P&amp;Ls"}</definedName>
    <definedName name="wrn.PL." localSheetId="11" hidden="1">{"20 Years",#N/A,FALSE,"P&amp;Ls";"2001",#N/A,FALSE,"P&amp;Ls"}</definedName>
    <definedName name="wrn.PL." localSheetId="4" hidden="1">{"20 Years",#N/A,FALSE,"P&amp;Ls";"2001",#N/A,FALSE,"P&amp;Ls"}</definedName>
    <definedName name="wrn.PL." localSheetId="2" hidden="1">{"20 Years",#N/A,FALSE,"P&amp;Ls";"2001",#N/A,FALSE,"P&amp;Ls"}</definedName>
    <definedName name="wrn.PL." localSheetId="13" hidden="1">{"20 Years",#N/A,FALSE,"P&amp;Ls";"2001",#N/A,FALSE,"P&amp;Ls"}</definedName>
    <definedName name="wrn.PL." localSheetId="12" hidden="1">{"20 Years",#N/A,FALSE,"P&amp;Ls";"2001",#N/A,FALSE,"P&amp;Ls"}</definedName>
    <definedName name="wrn.PL." localSheetId="15" hidden="1">{"20 Years",#N/A,FALSE,"P&amp;Ls";"2001",#N/A,FALSE,"P&amp;Ls"}</definedName>
    <definedName name="wrn.PL." localSheetId="14" hidden="1">{"20 Years",#N/A,FALSE,"P&amp;Ls";"2001",#N/A,FALSE,"P&amp;Ls"}</definedName>
    <definedName name="wrn.PL." hidden="1">{"20 Years",#N/A,FALSE,"P&amp;Ls";"2001",#N/A,FALSE,"P&amp;Ls"}</definedName>
    <definedName name="wrn.prices." localSheetId="5" hidden="1">{#N/A,#N/A,TRUE,"BANAMEX";#N/A,#N/A,TRUE,"CGT";#N/A,#N/A,TRUE,"ALFA";#N/A,#N/A,TRUE,"ICA (2)"}</definedName>
    <definedName name="wrn.prices." localSheetId="11" hidden="1">{#N/A,#N/A,TRUE,"BANAMEX";#N/A,#N/A,TRUE,"CGT";#N/A,#N/A,TRUE,"ALFA";#N/A,#N/A,TRUE,"ICA (2)"}</definedName>
    <definedName name="wrn.prices." localSheetId="4" hidden="1">{#N/A,#N/A,TRUE,"BANAMEX";#N/A,#N/A,TRUE,"CGT";#N/A,#N/A,TRUE,"ALFA";#N/A,#N/A,TRUE,"ICA (2)"}</definedName>
    <definedName name="wrn.prices." localSheetId="2" hidden="1">{#N/A,#N/A,TRUE,"BANAMEX";#N/A,#N/A,TRUE,"CGT";#N/A,#N/A,TRUE,"ALFA";#N/A,#N/A,TRUE,"ICA (2)"}</definedName>
    <definedName name="wrn.prices." localSheetId="13" hidden="1">{#N/A,#N/A,TRUE,"BANAMEX";#N/A,#N/A,TRUE,"CGT";#N/A,#N/A,TRUE,"ALFA";#N/A,#N/A,TRUE,"ICA (2)"}</definedName>
    <definedName name="wrn.prices." localSheetId="12" hidden="1">{#N/A,#N/A,TRUE,"BANAMEX";#N/A,#N/A,TRUE,"CGT";#N/A,#N/A,TRUE,"ALFA";#N/A,#N/A,TRUE,"ICA (2)"}</definedName>
    <definedName name="wrn.prices." localSheetId="15" hidden="1">{#N/A,#N/A,TRUE,"BANAMEX";#N/A,#N/A,TRUE,"CGT";#N/A,#N/A,TRUE,"ALFA";#N/A,#N/A,TRUE,"ICA (2)"}</definedName>
    <definedName name="wrn.prices." localSheetId="14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." localSheetId="5" hidden="1">{"vi1",#N/A,FALSE,"Financial Statements";"vi2",#N/A,FALSE,"Financial Statements";#N/A,#N/A,FALSE,"DCF"}</definedName>
    <definedName name="wrn.Print." localSheetId="11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2" hidden="1">{"vi1",#N/A,FALSE,"Financial Statements";"vi2",#N/A,FALSE,"Financial Statements";#N/A,#N/A,FALSE,"DCF"}</definedName>
    <definedName name="wrn.Print." localSheetId="13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localSheetId="14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rept.." localSheetId="5" hidden="1">{#N/A,#N/A,FALSE,"GP";#N/A,#N/A,FALSE,"Summary"}</definedName>
    <definedName name="wrn.print._.rept.." localSheetId="11" hidden="1">{#N/A,#N/A,FALSE,"GP";#N/A,#N/A,FALSE,"Summary"}</definedName>
    <definedName name="wrn.print._.rept.." localSheetId="4" hidden="1">{#N/A,#N/A,FALSE,"GP";#N/A,#N/A,FALSE,"Summary"}</definedName>
    <definedName name="wrn.print._.rept.." localSheetId="2" hidden="1">{#N/A,#N/A,FALSE,"GP";#N/A,#N/A,FALSE,"Summary"}</definedName>
    <definedName name="wrn.print._.rept.." localSheetId="13" hidden="1">{#N/A,#N/A,FALSE,"GP";#N/A,#N/A,FALSE,"Summary"}</definedName>
    <definedName name="wrn.print._.rept.." localSheetId="12" hidden="1">{#N/A,#N/A,FALSE,"GP";#N/A,#N/A,FALSE,"Summary"}</definedName>
    <definedName name="wrn.print._.rept.." localSheetId="15" hidden="1">{#N/A,#N/A,FALSE,"GP";#N/A,#N/A,FALSE,"Summary"}</definedName>
    <definedName name="wrn.print._.rept.." localSheetId="14" hidden="1">{#N/A,#N/A,FALSE,"GP";#N/A,#N/A,FALSE,"Summary"}</definedName>
    <definedName name="wrn.print._.rept.." hidden="1">{#N/A,#N/A,FALSE,"GP";#N/A,#N/A,FALSE,"Summary"}</definedName>
    <definedName name="wrn.Print1." localSheetId="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7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OGRAMAÇÃO._.DIÁRIA._.DE._.COBRE._.ELETROLITICO." localSheetId="5" hidden="1">{#N/A,#N/A,TRUE,"DIÁRIA";#N/A,#N/A,TRUE,"DIÁRIA"}</definedName>
    <definedName name="wrn.PROGRAMAÇÃO._.DIÁRIA._.DE._.COBRE._.ELETROLITICO." localSheetId="11" hidden="1">{#N/A,#N/A,TRUE,"DIÁRIA";#N/A,#N/A,TRUE,"DIÁRIA"}</definedName>
    <definedName name="wrn.PROGRAMAÇÃO._.DIÁRIA._.DE._.COBRE._.ELETROLITICO." localSheetId="4" hidden="1">{#N/A,#N/A,TRUE,"DIÁRIA";#N/A,#N/A,TRUE,"DIÁRIA"}</definedName>
    <definedName name="wrn.PROGRAMAÇÃO._.DIÁRIA._.DE._.COBRE._.ELETROLITICO." localSheetId="2" hidden="1">{#N/A,#N/A,TRUE,"DIÁRIA";#N/A,#N/A,TRUE,"DIÁRIA"}</definedName>
    <definedName name="wrn.PROGRAMAÇÃO._.DIÁRIA._.DE._.COBRE._.ELETROLITICO." localSheetId="13" hidden="1">{#N/A,#N/A,TRUE,"DIÁRIA";#N/A,#N/A,TRUE,"DIÁRIA"}</definedName>
    <definedName name="wrn.PROGRAMAÇÃO._.DIÁRIA._.DE._.COBRE._.ELETROLITICO." localSheetId="12" hidden="1">{#N/A,#N/A,TRUE,"DIÁRIA";#N/A,#N/A,TRUE,"DIÁRIA"}</definedName>
    <definedName name="wrn.PROGRAMAÇÃO._.DIÁRIA._.DE._.COBRE._.ELETROLITICO." localSheetId="15" hidden="1">{#N/A,#N/A,TRUE,"DIÁRIA";#N/A,#N/A,TRUE,"DIÁRIA"}</definedName>
    <definedName name="wrn.PROGRAMAÇÃO._.DIÁRIA._.DE._.COBRE._.ELETROLITICO." localSheetId="14" hidden="1">{#N/A,#N/A,TRUE,"DIÁRIA";#N/A,#N/A,TRUE,"DIÁRIA"}</definedName>
    <definedName name="wrn.PROGRAMAÇÃO._.DIÁRIA._.DE._.COBRE._.ELETROLITICO." hidden="1">{#N/A,#N/A,TRUE,"DIÁRIA";#N/A,#N/A,TRUE,"DIÁRIA"}</definedName>
    <definedName name="wrn.PROVIR97." localSheetId="5" hidden="1">{#N/A,#N/A,FALSE,"IR E CS 1997";#N/A,#N/A,FALSE,"PR ND";#N/A,#N/A,FALSE,"8191";#N/A,#N/A,FALSE,"8383";#N/A,#N/A,FALSE,"MP 1024";#N/A,#N/A,FALSE,"AD_EX_97";#N/A,#N/A,FALSE,"BD 97"}</definedName>
    <definedName name="wrn.PROVIR97." localSheetId="11" hidden="1">{#N/A,#N/A,FALSE,"IR E CS 1997";#N/A,#N/A,FALSE,"PR ND";#N/A,#N/A,FALSE,"8191";#N/A,#N/A,FALSE,"8383";#N/A,#N/A,FALSE,"MP 1024";#N/A,#N/A,FALSE,"AD_EX_97";#N/A,#N/A,FALSE,"BD 97"}</definedName>
    <definedName name="wrn.PROVIR97." localSheetId="4" hidden="1">{#N/A,#N/A,FALSE,"IR E CS 1997";#N/A,#N/A,FALSE,"PR ND";#N/A,#N/A,FALSE,"8191";#N/A,#N/A,FALSE,"8383";#N/A,#N/A,FALSE,"MP 1024";#N/A,#N/A,FALSE,"AD_EX_97";#N/A,#N/A,FALSE,"BD 97"}</definedName>
    <definedName name="wrn.PROVIR97." localSheetId="2" hidden="1">{#N/A,#N/A,FALSE,"IR E CS 1997";#N/A,#N/A,FALSE,"PR ND";#N/A,#N/A,FALSE,"8191";#N/A,#N/A,FALSE,"8383";#N/A,#N/A,FALSE,"MP 1024";#N/A,#N/A,FALSE,"AD_EX_97";#N/A,#N/A,FALSE,"BD 97"}</definedName>
    <definedName name="wrn.PROVIR97." localSheetId="13" hidden="1">{#N/A,#N/A,FALSE,"IR E CS 1997";#N/A,#N/A,FALSE,"PR ND";#N/A,#N/A,FALSE,"8191";#N/A,#N/A,FALSE,"8383";#N/A,#N/A,FALSE,"MP 1024";#N/A,#N/A,FALSE,"AD_EX_97";#N/A,#N/A,FALSE,"BD 97"}</definedName>
    <definedName name="wrn.PROVIR97." localSheetId="12" hidden="1">{#N/A,#N/A,FALSE,"IR E CS 1997";#N/A,#N/A,FALSE,"PR ND";#N/A,#N/A,FALSE,"8191";#N/A,#N/A,FALSE,"8383";#N/A,#N/A,FALSE,"MP 1024";#N/A,#N/A,FALSE,"AD_EX_97";#N/A,#N/A,FALSE,"BD 97"}</definedName>
    <definedName name="wrn.PROVIR97." localSheetId="15" hidden="1">{#N/A,#N/A,FALSE,"IR E CS 1997";#N/A,#N/A,FALSE,"PR ND";#N/A,#N/A,FALSE,"8191";#N/A,#N/A,FALSE,"8383";#N/A,#N/A,FALSE,"MP 1024";#N/A,#N/A,FALSE,"AD_EX_97";#N/A,#N/A,FALSE,"BD 97"}</definedName>
    <definedName name="wrn.PROVIR97." localSheetId="14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TEIO." localSheetId="5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1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4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2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3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2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5" hidden="1">{#N/A,#N/A,TRUE,"transp.func._CAC";#N/A,#N/A,TRUE,"transp.func._UE";#N/A,#N/A,TRUE,"fixos-braçais-CAC";#N/A,#N/A,TRUE,"fixos-braçais-UE";#N/A,#N/A,TRUE,"Cesta_Básica_CAC";#N/A,#N/A,TRUE,"vale-refeição"}</definedName>
    <definedName name="wrn.RATEIO." localSheetId="14" hidden="1">{#N/A,#N/A,TRUE,"transp.func._CAC";#N/A,#N/A,TRUE,"transp.func._UE";#N/A,#N/A,TRUE,"fixos-braçais-CAC";#N/A,#N/A,TRUE,"fixos-braçais-UE";#N/A,#N/A,TRUE,"Cesta_Básica_CAC";#N/A,#N/A,TRUE,"vale-refeição"}</definedName>
    <definedName name="wrn.RATEIO.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5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1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4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2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3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2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5" hidden="1">{#N/A,#N/A,TRUE,"transp.func._CAC";#N/A,#N/A,TRUE,"transp.func._UE";#N/A,#N/A,TRUE,"fixos-braçais-CAC";#N/A,#N/A,TRUE,"fixos-braçais-UE";#N/A,#N/A,TRUE,"Cesta_Básica_CAC";#N/A,#N/A,TRUE,"vale-refeição"}</definedName>
    <definedName name="wrn.RATEIO2" localSheetId="14" hidden="1">{#N/A,#N/A,TRUE,"transp.func._CAC";#N/A,#N/A,TRUE,"transp.func._UE";#N/A,#N/A,TRUE,"fixos-braçais-CAC";#N/A,#N/A,TRUE,"fixos-braçais-UE";#N/A,#N/A,TRUE,"Cesta_Básica_CAC";#N/A,#N/A,TRUE,"vale-refeição"}</definedName>
    <definedName name="wrn.RATEIO2" hidden="1">{#N/A,#N/A,TRUE,"transp.func._CAC";#N/A,#N/A,TRUE,"transp.func._UE";#N/A,#N/A,TRUE,"fixos-braçais-CAC";#N/A,#N/A,TRUE,"fixos-braçais-UE";#N/A,#N/A,TRUE,"Cesta_Básica_CAC";#N/A,#N/A,TRUE,"vale-refeição"}</definedName>
    <definedName name="wrn.RECEITA." localSheetId="5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1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4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5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localSheetId="14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.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5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1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4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3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5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localSheetId="14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CEITA2" hidden="1">{#N/A,#N/A,FALSE,"Açucar97";#N/A,#N/A,FALSE,"Carburante97";#N/A,#N/A,FALSE,"Exp97-açúcar";#N/A,#N/A,FALSE,"Neutro97";#N/A,#N/A,FALSE,"Industrial97";#N/A,#N/A,FALSE,"Refinado97";#N/A,#N/A,FALSE,"Álcool_Adquirido";#N/A,#N/A,FALSE,"Export97-Álcool -US$-R$";#N/A,#N/A,FALSE,"CPV_RECEITA"}</definedName>
    <definedName name="wrn.REL_IR_97." localSheetId="5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1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4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2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3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2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5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14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ÓRIO._.CONTÁBIL." localSheetId="5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1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4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2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3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2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5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14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Resumido." localSheetId="5" hidden="1">{#N/A,#N/A,FALSE,"GP";#N/A,#N/A,FALSE,"Assinantes";#N/A,#N/A,FALSE,"Rede";#N/A,#N/A,FALSE,"Evolução";#N/A,#N/A,FALSE,"Resultado"}</definedName>
    <definedName name="wrn.Relatório._.Resumido." localSheetId="11" hidden="1">{#N/A,#N/A,FALSE,"GP";#N/A,#N/A,FALSE,"Assinantes";#N/A,#N/A,FALSE,"Rede";#N/A,#N/A,FALSE,"Evolução";#N/A,#N/A,FALSE,"Resultado"}</definedName>
    <definedName name="wrn.Relatório._.Resumido." localSheetId="4" hidden="1">{#N/A,#N/A,FALSE,"GP";#N/A,#N/A,FALSE,"Assinantes";#N/A,#N/A,FALSE,"Rede";#N/A,#N/A,FALSE,"Evolução";#N/A,#N/A,FALSE,"Resultado"}</definedName>
    <definedName name="wrn.Relatório._.Resumido." localSheetId="2" hidden="1">{#N/A,#N/A,FALSE,"GP";#N/A,#N/A,FALSE,"Assinantes";#N/A,#N/A,FALSE,"Rede";#N/A,#N/A,FALSE,"Evolução";#N/A,#N/A,FALSE,"Resultado"}</definedName>
    <definedName name="wrn.Relatório._.Resumido." localSheetId="13" hidden="1">{#N/A,#N/A,FALSE,"GP";#N/A,#N/A,FALSE,"Assinantes";#N/A,#N/A,FALSE,"Rede";#N/A,#N/A,FALSE,"Evolução";#N/A,#N/A,FALSE,"Resultado"}</definedName>
    <definedName name="wrn.Relatório._.Resumido." localSheetId="12" hidden="1">{#N/A,#N/A,FALSE,"GP";#N/A,#N/A,FALSE,"Assinantes";#N/A,#N/A,FALSE,"Rede";#N/A,#N/A,FALSE,"Evolução";#N/A,#N/A,FALSE,"Resultado"}</definedName>
    <definedName name="wrn.Relatório._.Resumido." localSheetId="15" hidden="1">{#N/A,#N/A,FALSE,"GP";#N/A,#N/A,FALSE,"Assinantes";#N/A,#N/A,FALSE,"Rede";#N/A,#N/A,FALSE,"Evolução";#N/A,#N/A,FALSE,"Resultado"}</definedName>
    <definedName name="wrn.Relatório._.Resumido." localSheetId="14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port1." localSheetId="5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1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4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7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2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localSheetId="13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5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14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SUMO." localSheetId="5" hidden="1">{#N/A,#N/A,FALSE,"HONORÁRIOS"}</definedName>
    <definedName name="wrn.RESUMO." localSheetId="11" hidden="1">{#N/A,#N/A,FALSE,"HONORÁRIOS"}</definedName>
    <definedName name="wrn.RESUMO." localSheetId="4" hidden="1">{#N/A,#N/A,FALSE,"HONORÁRIOS"}</definedName>
    <definedName name="wrn.RESUMO." localSheetId="2" hidden="1">{#N/A,#N/A,FALSE,"HONORÁRIOS"}</definedName>
    <definedName name="wrn.RESUMO." localSheetId="13" hidden="1">{#N/A,#N/A,FALSE,"HONORÁRIOS"}</definedName>
    <definedName name="wrn.RESUMO." localSheetId="12" hidden="1">{#N/A,#N/A,FALSE,"HONORÁRIOS"}</definedName>
    <definedName name="wrn.RESUMO." localSheetId="15" hidden="1">{#N/A,#N/A,FALSE,"HONORÁRIOS"}</definedName>
    <definedName name="wrn.RESUMO." localSheetId="14" hidden="1">{#N/A,#N/A,FALSE,"HONORÁRIOS"}</definedName>
    <definedName name="wrn.RESUMO." hidden="1">{#N/A,#N/A,FALSE,"HONORÁRIOS"}</definedName>
    <definedName name="wrn.Scenario._.Summary." localSheetId="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3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2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4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tembro." localSheetId="5" hidden="1">{"Fecha_Setembro",#N/A,FALSE,"FECHAMENTO-2002 ";"Defer_Setembro",#N/A,FALSE,"DIFERIDO";"Pis_Setembro",#N/A,FALSE,"PIS COFINS";"Iss_Setembro",#N/A,FALSE,"ISS"}</definedName>
    <definedName name="wrn.Setembro." localSheetId="11" hidden="1">{"Fecha_Setembro",#N/A,FALSE,"FECHAMENTO-2002 ";"Defer_Setembro",#N/A,FALSE,"DIFERIDO";"Pis_Setembro",#N/A,FALSE,"PIS COFINS";"Iss_Setembro",#N/A,FALSE,"ISS"}</definedName>
    <definedName name="wrn.Setembro." localSheetId="4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localSheetId="13" hidden="1">{"Fecha_Setembro",#N/A,FALSE,"FECHAMENTO-2002 ";"Defer_Setembro",#N/A,FALSE,"DIFERIDO";"Pis_Setembro",#N/A,FALSE,"PIS COFINS";"Iss_Setembro",#N/A,FALSE,"ISS"}</definedName>
    <definedName name="wrn.Setembro." localSheetId="12" hidden="1">{"Fecha_Setembro",#N/A,FALSE,"FECHAMENTO-2002 ";"Defer_Setembro",#N/A,FALSE,"DIFERIDO";"Pis_Setembro",#N/A,FALSE,"PIS COFINS";"Iss_Setembro",#N/A,FALSE,"ISS"}</definedName>
    <definedName name="wrn.Setembro." localSheetId="15" hidden="1">{"Fecha_Setembro",#N/A,FALSE,"FECHAMENTO-2002 ";"Defer_Setembro",#N/A,FALSE,"DIFERIDO";"Pis_Setembro",#N/A,FALSE,"PIS COFINS";"Iss_Setembro",#N/A,FALSE,"ISS"}</definedName>
    <definedName name="wrn.Setembro." localSheetId="14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UMÁRIO._.DE._.PRODUÇÃO." localSheetId="5" hidden="1">{"CABEÇALHO",#N/A,FALSE,"DADOS";"area oeste",#N/A,FALSE,"DADOS";"CABEÇALHO",#N/A,FALSE,"DADOS";"area leste",#N/A,FALSE,"DADOS"}</definedName>
    <definedName name="wrn.SUMÁRIO._.DE._.PRODUÇÃO." localSheetId="11" hidden="1">{"CABEÇALHO",#N/A,FALSE,"DADOS";"area oeste",#N/A,FALSE,"DADOS";"CABEÇALHO",#N/A,FALSE,"DADOS";"area leste",#N/A,FALSE,"DADOS"}</definedName>
    <definedName name="wrn.SUMÁRIO._.DE._.PRODUÇÃO." localSheetId="4" hidden="1">{"CABEÇALHO",#N/A,FALSE,"DADOS";"area oeste",#N/A,FALSE,"DADOS";"CABEÇALHO",#N/A,FALSE,"DADOS";"area leste",#N/A,FALSE,"DADOS"}</definedName>
    <definedName name="wrn.SUMÁRIO._.DE._.PRODUÇÃO." localSheetId="2" hidden="1">{"CABEÇALHO",#N/A,FALSE,"DADOS";"area oeste",#N/A,FALSE,"DADOS";"CABEÇALHO",#N/A,FALSE,"DADOS";"area leste",#N/A,FALSE,"DADOS"}</definedName>
    <definedName name="wrn.SUMÁRIO._.DE._.PRODUÇÃO." localSheetId="13" hidden="1">{"CABEÇALHO",#N/A,FALSE,"DADOS";"area oeste",#N/A,FALSE,"DADOS";"CABEÇALHO",#N/A,FALSE,"DADOS";"area leste",#N/A,FALSE,"DADOS"}</definedName>
    <definedName name="wrn.SUMÁRIO._.DE._.PRODUÇÃO." localSheetId="12" hidden="1">{"CABEÇALHO",#N/A,FALSE,"DADOS";"area oeste",#N/A,FALSE,"DADOS";"CABEÇALHO",#N/A,FALSE,"DADOS";"area leste",#N/A,FALSE,"DADOS"}</definedName>
    <definedName name="wrn.SUMÁRIO._.DE._.PRODUÇÃO." localSheetId="15" hidden="1">{"CABEÇALHO",#N/A,FALSE,"DADOS";"area oeste",#N/A,FALSE,"DADOS";"CABEÇALHO",#N/A,FALSE,"DADOS";"area leste",#N/A,FALSE,"DADOS"}</definedName>
    <definedName name="wrn.SUMÁRIO._.DE._.PRODUÇÃO." localSheetId="14" hidden="1">{"CABEÇALHO",#N/A,FALSE,"DADOS";"area oeste",#N/A,FALSE,"DADOS";"CABEÇALHO",#N/A,FALSE,"DADOS";"area leste",#N/A,FALSE,"DADOS"}</definedName>
    <definedName name="wrn.SUMÁRIO._.DE._.PRODUÇÃO." hidden="1">{"CABEÇALHO",#N/A,FALSE,"DADOS";"area oeste",#N/A,FALSE,"DADOS";"CABEÇALHO",#N/A,FALSE,"DADOS";"area leste",#N/A,FALSE,"DADOS"}</definedName>
    <definedName name="wrn.totalcomp." localSheetId="5" hidden="1">{"comp1",#N/A,FALSE,"COMPS";"footnotes",#N/A,FALSE,"COMPS"}</definedName>
    <definedName name="wrn.totalcomp." localSheetId="11" hidden="1">{"comp1",#N/A,FALSE,"COMPS";"footnotes",#N/A,FALSE,"COMPS"}</definedName>
    <definedName name="wrn.totalcomp." localSheetId="4" hidden="1">{"comp1",#N/A,FALSE,"COMPS";"footnotes",#N/A,FALSE,"COMPS"}</definedName>
    <definedName name="wrn.totalcomp." localSheetId="2" hidden="1">{"comp1",#N/A,FALSE,"COMPS";"footnotes",#N/A,FALSE,"COMPS"}</definedName>
    <definedName name="wrn.totalcomp." localSheetId="13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15" hidden="1">{"comp1",#N/A,FALSE,"COMPS";"footnotes",#N/A,FALSE,"COMPS"}</definedName>
    <definedName name="wrn.totalcomp." localSheetId="14" hidden="1">{"comp1",#N/A,FALSE,"COMPS";"footnotes",#N/A,FALSE,"COMPS"}</definedName>
    <definedName name="wrn.totalcomp." hidden="1">{"comp1",#N/A,FALSE,"COMPS";"footnotes",#N/A,FALSE,"COMPS"}</definedName>
    <definedName name="wrn.USD._.overzichten." localSheetId="5" hidden="1">{#N/A,#N/A,FALSE,"Earning Summary USD";#N/A,#N/A,FALSE,"3-Year Plan Review Schedule"}</definedName>
    <definedName name="wrn.USD._.overzichten." localSheetId="11" hidden="1">{#N/A,#N/A,FALSE,"Earning Summary USD";#N/A,#N/A,FALSE,"3-Year Plan Review Schedule"}</definedName>
    <definedName name="wrn.USD._.overzichten." localSheetId="4" hidden="1">{#N/A,#N/A,FALSE,"Earning Summary USD";#N/A,#N/A,FALSE,"3-Year Plan Review Schedule"}</definedName>
    <definedName name="wrn.USD._.overzichten." localSheetId="2" hidden="1">{#N/A,#N/A,FALSE,"Earning Summary USD";#N/A,#N/A,FALSE,"3-Year Plan Review Schedule"}</definedName>
    <definedName name="wrn.USD._.overzichten." localSheetId="13" hidden="1">{#N/A,#N/A,FALSE,"Earning Summary USD";#N/A,#N/A,FALSE,"3-Year Plan Review Schedule"}</definedName>
    <definedName name="wrn.USD._.overzichten." localSheetId="12" hidden="1">{#N/A,#N/A,FALSE,"Earning Summary USD";#N/A,#N/A,FALSE,"3-Year Plan Review Schedule"}</definedName>
    <definedName name="wrn.USD._.overzichten." localSheetId="15" hidden="1">{#N/A,#N/A,FALSE,"Earning Summary USD";#N/A,#N/A,FALSE,"3-Year Plan Review Schedule"}</definedName>
    <definedName name="wrn.USD._.overzichten." localSheetId="14" hidden="1">{#N/A,#N/A,FALSE,"Earning Summary USD";#N/A,#N/A,FALSE,"3-Year Plan Review Schedule"}</definedName>
    <definedName name="wrn.USD._.overzichten." hidden="1">{#N/A,#N/A,FALSE,"Earning Summary USD";#N/A,#N/A,FALSE,"3-Year Plan Review Schedule"}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11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localSheetId="13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localSheetId="1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ERG." localSheetId="5" hidden="1">{#N/A,#N/A,FALSE,"PROG. DIÁRIA DE VERGALHÃO";"CABEÇA",#N/A,FALSE,"PROG. DIÁRIA DE VERGALHÃO";"CORPO",#N/A,FALSE,"PROG. DIÁRIA DE VERGALHÃO"}</definedName>
    <definedName name="wrn.VERG." localSheetId="11" hidden="1">{#N/A,#N/A,FALSE,"PROG. DIÁRIA DE VERGALHÃO";"CABEÇA",#N/A,FALSE,"PROG. DIÁRIA DE VERGALHÃO";"CORPO",#N/A,FALSE,"PROG. DIÁRIA DE VERGALHÃO"}</definedName>
    <definedName name="wrn.VERG." localSheetId="4" hidden="1">{#N/A,#N/A,FALSE,"PROG. DIÁRIA DE VERGALHÃO";"CABEÇA",#N/A,FALSE,"PROG. DIÁRIA DE VERGALHÃO";"CORPO",#N/A,FALSE,"PROG. DIÁRIA DE VERGALHÃO"}</definedName>
    <definedName name="wrn.VERG." localSheetId="2" hidden="1">{#N/A,#N/A,FALSE,"PROG. DIÁRIA DE VERGALHÃO";"CABEÇA",#N/A,FALSE,"PROG. DIÁRIA DE VERGALHÃO";"CORPO",#N/A,FALSE,"PROG. DIÁRIA DE VERGALHÃO"}</definedName>
    <definedName name="wrn.VERG." localSheetId="13" hidden="1">{#N/A,#N/A,FALSE,"PROG. DIÁRIA DE VERGALHÃO";"CABEÇA",#N/A,FALSE,"PROG. DIÁRIA DE VERGALHÃO";"CORPO",#N/A,FALSE,"PROG. DIÁRIA DE VERGALHÃO"}</definedName>
    <definedName name="wrn.VERG." localSheetId="12" hidden="1">{#N/A,#N/A,FALSE,"PROG. DIÁRIA DE VERGALHÃO";"CABEÇA",#N/A,FALSE,"PROG. DIÁRIA DE VERGALHÃO";"CORPO",#N/A,FALSE,"PROG. DIÁRIA DE VERGALHÃO"}</definedName>
    <definedName name="wrn.VERG." localSheetId="15" hidden="1">{#N/A,#N/A,FALSE,"PROG. DIÁRIA DE VERGALHÃO";"CABEÇA",#N/A,FALSE,"PROG. DIÁRIA DE VERGALHÃO";"CORPO",#N/A,FALSE,"PROG. DIÁRIA DE VERGALHÃO"}</definedName>
    <definedName name="wrn.VERG." localSheetId="14" hidden="1">{#N/A,#N/A,FALSE,"PROG. DIÁRIA DE VERGALHÃO";"CABEÇA",#N/A,FALSE,"PROG. DIÁRIA DE VERGALHÃO";"CORPO",#N/A,FALSE,"PROG. DIÁRIA DE VERGALHÃO"}</definedName>
    <definedName name="wrn.VERG." hidden="1">{#N/A,#N/A,FALSE,"PROG. DIÁRIA DE VERGALHÃO";"CABEÇA",#N/A,FALSE,"PROG. DIÁRIA DE VERGALHÃO";"CORPO",#N/A,FALSE,"PROG. DIÁRIA DE VERGALHÃO"}</definedName>
    <definedName name="wrn.Whole._.Pack." localSheetId="5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4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2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3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2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5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4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vu.CATODO." localSheetId="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1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3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5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14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VERGALHÃO." localSheetId="5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1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3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5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14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ww" localSheetId="5" hidden="1">{"CABEÇALHO",#N/A,FALSE,"DADOS";"area oeste",#N/A,FALSE,"DADOS";"CABEÇALHO",#N/A,FALSE,"DADOS";"area leste",#N/A,FALSE,"DADOS"}</definedName>
    <definedName name="www" localSheetId="11" hidden="1">{"CABEÇALHO",#N/A,FALSE,"DADOS";"area oeste",#N/A,FALSE,"DADOS";"CABEÇALHO",#N/A,FALSE,"DADOS";"area leste",#N/A,FALSE,"DADOS"}</definedName>
    <definedName name="www" localSheetId="4" hidden="1">{"CABEÇALHO",#N/A,FALSE,"DADOS";"area oeste",#N/A,FALSE,"DADOS";"CABEÇALHO",#N/A,FALSE,"DADOS";"area leste",#N/A,FALSE,"DADOS"}</definedName>
    <definedName name="www" localSheetId="2" hidden="1">{"CABEÇALHO",#N/A,FALSE,"DADOS";"area oeste",#N/A,FALSE,"DADOS";"CABEÇALHO",#N/A,FALSE,"DADOS";"area leste",#N/A,FALSE,"DADOS"}</definedName>
    <definedName name="www" localSheetId="13" hidden="1">{"CABEÇALHO",#N/A,FALSE,"DADOS";"area oeste",#N/A,FALSE,"DADOS";"CABEÇALHO",#N/A,FALSE,"DADOS";"area leste",#N/A,FALSE,"DADOS"}</definedName>
    <definedName name="www" localSheetId="12" hidden="1">{"CABEÇALHO",#N/A,FALSE,"DADOS";"area oeste",#N/A,FALSE,"DADOS";"CABEÇALHO",#N/A,FALSE,"DADOS";"area leste",#N/A,FALSE,"DADOS"}</definedName>
    <definedName name="www" localSheetId="15" hidden="1">{"CABEÇALHO",#N/A,FALSE,"DADOS";"area oeste",#N/A,FALSE,"DADOS";"CABEÇALHO",#N/A,FALSE,"DADOS";"area leste",#N/A,FALSE,"DADOS"}</definedName>
    <definedName name="www" localSheetId="14" hidden="1">{"CABEÇALHO",#N/A,FALSE,"DADOS";"area oeste",#N/A,FALSE,"DADOS";"CABEÇALHO",#N/A,FALSE,"DADOS";"area leste",#N/A,FALSE,"DADOS"}</definedName>
    <definedName name="www" hidden="1">{"CABEÇALHO",#N/A,FALSE,"DADOS";"area oeste",#N/A,FALSE,"DADOS";"CABEÇALHO",#N/A,FALSE,"DADOS";"area leste",#N/A,FALSE,"DADOS"}</definedName>
    <definedName name="x" localSheetId="1" hidden="1">{"CONSEJO",#N/A,FALSE,"Dist p0";"CONSEJO",#N/A,FALSE,"Ficha CODICE"}</definedName>
    <definedName name="x" localSheetId="7" hidden="1">{"CONSEJO",#N/A,FALSE,"Dist p0";"CONSEJO",#N/A,FALSE,"Ficha CODICE"}</definedName>
    <definedName name="X" localSheetId="2">#REF!</definedName>
    <definedName name="X">#REF!</definedName>
    <definedName name="XPER" localSheetId="4">#REF!</definedName>
    <definedName name="XPER" localSheetId="7">[36]E!$B$165</definedName>
    <definedName name="XPER" localSheetId="2">#REF!</definedName>
    <definedName name="XPER">#REF!</definedName>
    <definedName name="XREF_COLUMN_1" localSheetId="4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6" hidden="1">#REF!</definedName>
    <definedName name="XRefCopy27" hidden="1">#REF!</definedName>
    <definedName name="XRefCopy28" hidden="1">#REF!</definedName>
    <definedName name="XRefCopy29" hidden="1">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2" hidden="1">#REF!</definedName>
    <definedName name="XRefCopy32Row" hidden="1">#REF!</definedName>
    <definedName name="XRefCopy33" hidden="1">#REF!</definedName>
    <definedName name="XRefCopy34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Row" hidden="1">#REF!</definedName>
    <definedName name="XRefCopy4Row" hidden="1">#REF!</definedName>
    <definedName name="XRefCopy5" hidden="1">#REF!</definedName>
    <definedName name="XRefCopy56" hidden="1">#REF!</definedName>
    <definedName name="XRefCopy57" hidden="1">#REF!</definedName>
    <definedName name="XRefCopy58" hidden="1">#REF!</definedName>
    <definedName name="XRefCopy5Row" hidden="1">#REF!</definedName>
    <definedName name="XRefCopy6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8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Row" hidden="1">#REF!</definedName>
    <definedName name="XRefPaste35Row" hidden="1">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#REF!</definedName>
    <definedName name="XRefPaste4" hidden="1">#REF!</definedName>
    <definedName name="XRefPaste40Row" hidden="1">#REF!</definedName>
    <definedName name="XRefPaste41Row" hidden="1">#REF!</definedName>
    <definedName name="XRefPaste42Row" hidden="1">#REF!</definedName>
    <definedName name="XRefPaste43Row" hidden="1">#REF!</definedName>
    <definedName name="XRefPaste44Row" hidden="1">#REF!</definedName>
    <definedName name="XRefPaste45Row" hidden="1">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Row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#REF!</definedName>
    <definedName name="XRefPasteRangeCount" hidden="1">1</definedName>
    <definedName name="xx" localSheetId="5" hidden="1">{"uno",#N/A,FALSE,"Dist total";"COMENTARIO",#N/A,FALSE,"Ficha CODICE"}</definedName>
    <definedName name="xx" localSheetId="11" hidden="1">{"uno",#N/A,FALSE,"Dist total";"COMENTARIO",#N/A,FALSE,"Ficha CODICE"}</definedName>
    <definedName name="xx" localSheetId="4" hidden="1">{"uno",#N/A,FALSE,"Dist total";"COMENTARIO",#N/A,FALSE,"Ficha CODICE"}</definedName>
    <definedName name="xx" localSheetId="1" hidden="1">{"uno",#N/A,FALSE,"Dist total";"COMENTARIO",#N/A,FALSE,"Ficha CODICE"}</definedName>
    <definedName name="xx" localSheetId="7" hidden="1">{"uno",#N/A,FALSE,"Dist total";"COMENTARIO",#N/A,FALSE,"Ficha CODICE"}</definedName>
    <definedName name="xx" localSheetId="2" hidden="1">{"uno",#N/A,FALSE,"Dist total";"COMENTARIO",#N/A,FALSE,"Ficha CODICE"}</definedName>
    <definedName name="xx" localSheetId="13" hidden="1">{"uno",#N/A,FALSE,"Dist total";"COMENTARIO",#N/A,FALSE,"Ficha CODICE"}</definedName>
    <definedName name="xx" localSheetId="12" hidden="1">{"uno",#N/A,FALSE,"Dist total";"COMENTARIO",#N/A,FALSE,"Ficha CODICE"}</definedName>
    <definedName name="xx" localSheetId="15" hidden="1">{"uno",#N/A,FALSE,"Dist total";"COMENTARIO",#N/A,FALSE,"Ficha CODICE"}</definedName>
    <definedName name="xx" localSheetId="14" hidden="1">{"uno",#N/A,FALSE,"Dist total";"COMENTARIO",#N/A,FALSE,"Ficha CODICE"}</definedName>
    <definedName name="xx" hidden="1">{"uno",#N/A,FALSE,"Dist total";"COMENTARIO",#N/A,FALSE,"Ficha CODICE"}</definedName>
    <definedName name="XXX" localSheetId="1">#REF!</definedName>
    <definedName name="XXX" localSheetId="7">#REF!</definedName>
    <definedName name="XXX" localSheetId="2">#REF!</definedName>
    <definedName name="XXX">#REF!</definedName>
    <definedName name="xxxx" localSheetId="2" hidden="1">#REF!</definedName>
    <definedName name="xxxx" hidden="1">#REF!</definedName>
    <definedName name="y" localSheetId="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7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5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localSheetId="14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YCXGFJDX" hidden="1">#REF!</definedName>
    <definedName name="ygk" localSheetId="7" hidden="1">[5]Template!$A$8:$A$35</definedName>
    <definedName name="ygk" hidden="1">#REF!</definedName>
    <definedName name="YIKGYK" localSheetId="5" hidden="1">{#N/A,#N/A,FALSE,"Dutos";#N/A,#N/A,FALSE,"Terminais"}</definedName>
    <definedName name="YIKGYK" localSheetId="11" hidden="1">{#N/A,#N/A,FALSE,"Dutos";#N/A,#N/A,FALSE,"Terminais"}</definedName>
    <definedName name="YIKGYK" localSheetId="4" hidden="1">{#N/A,#N/A,FALSE,"Dutos";#N/A,#N/A,FALSE,"Terminais"}</definedName>
    <definedName name="YIKGYK" localSheetId="2" hidden="1">{#N/A,#N/A,FALSE,"Dutos";#N/A,#N/A,FALSE,"Terminais"}</definedName>
    <definedName name="YIKGYK" localSheetId="13" hidden="1">{#N/A,#N/A,FALSE,"Dutos";#N/A,#N/A,FALSE,"Terminais"}</definedName>
    <definedName name="YIKGYK" localSheetId="12" hidden="1">{#N/A,#N/A,FALSE,"Dutos";#N/A,#N/A,FALSE,"Terminais"}</definedName>
    <definedName name="YIKGYK" localSheetId="15" hidden="1">{#N/A,#N/A,FALSE,"Dutos";#N/A,#N/A,FALSE,"Terminais"}</definedName>
    <definedName name="YIKGYK" localSheetId="14" hidden="1">{#N/A,#N/A,FALSE,"Dutos";#N/A,#N/A,FALSE,"Terminais"}</definedName>
    <definedName name="YIKGYK" hidden="1">{#N/A,#N/A,FALSE,"Dutos";#N/A,#N/A,FALSE,"Terminais"}</definedName>
    <definedName name="ytdud" localSheetId="5" hidden="1">{#N/A,#N/A,FALSE,"Dutos";#N/A,#N/A,FALSE,"Terminais"}</definedName>
    <definedName name="ytdud" localSheetId="11" hidden="1">{#N/A,#N/A,FALSE,"Dutos";#N/A,#N/A,FALSE,"Terminais"}</definedName>
    <definedName name="ytdud" localSheetId="4" hidden="1">{#N/A,#N/A,FALSE,"Dutos";#N/A,#N/A,FALSE,"Terminais"}</definedName>
    <definedName name="ytdud" localSheetId="2" hidden="1">{#N/A,#N/A,FALSE,"Dutos";#N/A,#N/A,FALSE,"Terminais"}</definedName>
    <definedName name="ytdud" localSheetId="13" hidden="1">{#N/A,#N/A,FALSE,"Dutos";#N/A,#N/A,FALSE,"Terminais"}</definedName>
    <definedName name="ytdud" localSheetId="12" hidden="1">{#N/A,#N/A,FALSE,"Dutos";#N/A,#N/A,FALSE,"Terminais"}</definedName>
    <definedName name="ytdud" localSheetId="15" hidden="1">{#N/A,#N/A,FALSE,"Dutos";#N/A,#N/A,FALSE,"Terminais"}</definedName>
    <definedName name="ytdud" localSheetId="14" hidden="1">{#N/A,#N/A,FALSE,"Dutos";#N/A,#N/A,FALSE,"Terminais"}</definedName>
    <definedName name="ytdud" hidden="1">{#N/A,#N/A,FALSE,"Dutos";#N/A,#N/A,FALSE,"Terminais"}</definedName>
    <definedName name="YTJ" localSheetId="5" hidden="1">{#N/A,#N/A,FALSE,"Dutos";#N/A,#N/A,FALSE,"Terminais"}</definedName>
    <definedName name="YTJ" localSheetId="11" hidden="1">{#N/A,#N/A,FALSE,"Dutos";#N/A,#N/A,FALSE,"Terminais"}</definedName>
    <definedName name="YTJ" localSheetId="4" hidden="1">{#N/A,#N/A,FALSE,"Dutos";#N/A,#N/A,FALSE,"Terminais"}</definedName>
    <definedName name="YTJ" localSheetId="2" hidden="1">{#N/A,#N/A,FALSE,"Dutos";#N/A,#N/A,FALSE,"Terminais"}</definedName>
    <definedName name="YTJ" localSheetId="13" hidden="1">{#N/A,#N/A,FALSE,"Dutos";#N/A,#N/A,FALSE,"Terminais"}</definedName>
    <definedName name="YTJ" localSheetId="12" hidden="1">{#N/A,#N/A,FALSE,"Dutos";#N/A,#N/A,FALSE,"Terminais"}</definedName>
    <definedName name="YTJ" localSheetId="15" hidden="1">{#N/A,#N/A,FALSE,"Dutos";#N/A,#N/A,FALSE,"Terminais"}</definedName>
    <definedName name="YTJ" localSheetId="14" hidden="1">{#N/A,#N/A,FALSE,"Dutos";#N/A,#N/A,FALSE,"Terminais"}</definedName>
    <definedName name="YTJ" hidden="1">{#N/A,#N/A,FALSE,"Dutos";#N/A,#N/A,FALSE,"Terminais"}</definedName>
    <definedName name="yy" localSheetId="5" hidden="1">{"Fecha_Novembro",#N/A,FALSE,"FECHAMENTO-2002 ";"Defer_Novembro",#N/A,FALSE,"DIFERIDO";"Pis_Novembro",#N/A,FALSE,"PIS COFINS";"Iss_Novembro",#N/A,FALSE,"ISS"}</definedName>
    <definedName name="yy" localSheetId="11" hidden="1">{"Fecha_Novembro",#N/A,FALSE,"FECHAMENTO-2002 ";"Defer_Novembro",#N/A,FALSE,"DIFERIDO";"Pis_Novembro",#N/A,FALSE,"PIS COFINS";"Iss_Novembro",#N/A,FALSE,"ISS"}</definedName>
    <definedName name="yy" localSheetId="4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localSheetId="13" hidden="1">{"Fecha_Novembro",#N/A,FALSE,"FECHAMENTO-2002 ";"Defer_Novembro",#N/A,FALSE,"DIFERIDO";"Pis_Novembro",#N/A,FALSE,"PIS COFINS";"Iss_Novembro",#N/A,FALSE,"ISS"}</definedName>
    <definedName name="yy" localSheetId="12" hidden="1">{"Fecha_Novembro",#N/A,FALSE,"FECHAMENTO-2002 ";"Defer_Novembro",#N/A,FALSE,"DIFERIDO";"Pis_Novembro",#N/A,FALSE,"PIS COFINS";"Iss_Novembro",#N/A,FALSE,"ISS"}</definedName>
    <definedName name="yy" localSheetId="15" hidden="1">{"Fecha_Novembro",#N/A,FALSE,"FECHAMENTO-2002 ";"Defer_Novembro",#N/A,FALSE,"DIFERIDO";"Pis_Novembro",#N/A,FALSE,"PIS COFINS";"Iss_Novembro",#N/A,FALSE,"ISS"}</definedName>
    <definedName name="yy" localSheetId="14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5" hidden="1">{"Fecha_Novembro",#N/A,FALSE,"FECHAMENTO-2002 ";"Defer_Novembro",#N/A,FALSE,"DIFERIDO";"Pis_Novembro",#N/A,FALSE,"PIS COFINS";"Iss_Novembro",#N/A,FALSE,"ISS"}</definedName>
    <definedName name="yyy" localSheetId="11" hidden="1">{"Fecha_Novembro",#N/A,FALSE,"FECHAMENTO-2002 ";"Defer_Novembro",#N/A,FALSE,"DIFERIDO";"Pis_Novembro",#N/A,FALSE,"PIS COFINS";"Iss_Novembro",#N/A,FALSE,"ISS"}</definedName>
    <definedName name="yyy" localSheetId="4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localSheetId="13" hidden="1">{"Fecha_Novembro",#N/A,FALSE,"FECHAMENTO-2002 ";"Defer_Novembro",#N/A,FALSE,"DIFERIDO";"Pis_Novembro",#N/A,FALSE,"PIS COFINS";"Iss_Novembro",#N/A,FALSE,"ISS"}</definedName>
    <definedName name="yyy" localSheetId="12" hidden="1">{"Fecha_Novembro",#N/A,FALSE,"FECHAMENTO-2002 ";"Defer_Novembro",#N/A,FALSE,"DIFERIDO";"Pis_Novembro",#N/A,FALSE,"PIS COFINS";"Iss_Novembro",#N/A,FALSE,"ISS"}</definedName>
    <definedName name="yyy" localSheetId="15" hidden="1">{"Fecha_Novembro",#N/A,FALSE,"FECHAMENTO-2002 ";"Defer_Novembro",#N/A,FALSE,"DIFERIDO";"Pis_Novembro",#N/A,FALSE,"PIS COFINS";"Iss_Novembro",#N/A,FALSE,"ISS"}</definedName>
    <definedName name="yyy" localSheetId="14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5" hidden="1">{"Fecha_Outubro",#N/A,FALSE,"FECHAMENTO-2002 ";"Defer_Outubro",#N/A,FALSE,"DIFERIDO";"Pis_Outubro",#N/A,FALSE,"PIS COFINS";"Iss_Outubro",#N/A,FALSE,"ISS"}</definedName>
    <definedName name="yyyyy" localSheetId="11" hidden="1">{"Fecha_Outubro",#N/A,FALSE,"FECHAMENTO-2002 ";"Defer_Outubro",#N/A,FALSE,"DIFERIDO";"Pis_Outubro",#N/A,FALSE,"PIS COFINS";"Iss_Outubro",#N/A,FALSE,"ISS"}</definedName>
    <definedName name="yyyyy" localSheetId="4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localSheetId="13" hidden="1">{"Fecha_Outubro",#N/A,FALSE,"FECHAMENTO-2002 ";"Defer_Outubro",#N/A,FALSE,"DIFERIDO";"Pis_Outubro",#N/A,FALSE,"PIS COFINS";"Iss_Outubro",#N/A,FALSE,"ISS"}</definedName>
    <definedName name="yyyyy" localSheetId="12" hidden="1">{"Fecha_Outubro",#N/A,FALSE,"FECHAMENTO-2002 ";"Defer_Outubro",#N/A,FALSE,"DIFERIDO";"Pis_Outubro",#N/A,FALSE,"PIS COFINS";"Iss_Outubro",#N/A,FALSE,"ISS"}</definedName>
    <definedName name="yyyyy" localSheetId="15" hidden="1">{"Fecha_Outubro",#N/A,FALSE,"FECHAMENTO-2002 ";"Defer_Outubro",#N/A,FALSE,"DIFERIDO";"Pis_Outubro",#N/A,FALSE,"PIS COFINS";"Iss_Outubro",#N/A,FALSE,"ISS"}</definedName>
    <definedName name="yyyyy" localSheetId="14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5" hidden="1">{"Fecha_Setembro",#N/A,FALSE,"FECHAMENTO-2002 ";"Defer_Setembro",#N/A,FALSE,"DIFERIDO";"Pis_Setembro",#N/A,FALSE,"PIS COFINS";"Iss_Setembro",#N/A,FALSE,"ISS"}</definedName>
    <definedName name="yyyyyy" localSheetId="11" hidden="1">{"Fecha_Setembro",#N/A,FALSE,"FECHAMENTO-2002 ";"Defer_Setembro",#N/A,FALSE,"DIFERIDO";"Pis_Setembro",#N/A,FALSE,"PIS COFINS";"Iss_Setembro",#N/A,FALSE,"ISS"}</definedName>
    <definedName name="yyyyyy" localSheetId="4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localSheetId="13" hidden="1">{"Fecha_Setembro",#N/A,FALSE,"FECHAMENTO-2002 ";"Defer_Setembro",#N/A,FALSE,"DIFERIDO";"Pis_Setembro",#N/A,FALSE,"PIS COFINS";"Iss_Setembro",#N/A,FALSE,"ISS"}</definedName>
    <definedName name="yyyyyy" localSheetId="12" hidden="1">{"Fecha_Setembro",#N/A,FALSE,"FECHAMENTO-2002 ";"Defer_Setembro",#N/A,FALSE,"DIFERIDO";"Pis_Setembro",#N/A,FALSE,"PIS COFINS";"Iss_Setembro",#N/A,FALSE,"ISS"}</definedName>
    <definedName name="yyyyyy" localSheetId="15" hidden="1">{"Fecha_Setembro",#N/A,FALSE,"FECHAMENTO-2002 ";"Defer_Setembro",#N/A,FALSE,"DIFERIDO";"Pis_Setembro",#N/A,FALSE,"PIS COFINS";"Iss_Setembro",#N/A,FALSE,"ISS"}</definedName>
    <definedName name="yyyyyy" localSheetId="14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5" hidden="1">{#N/A,#N/A,FALSE,"HONORÁRIOS"}</definedName>
    <definedName name="yyyyyyy" localSheetId="11" hidden="1">{#N/A,#N/A,FALSE,"HONORÁRIOS"}</definedName>
    <definedName name="yyyyyyy" localSheetId="4" hidden="1">{#N/A,#N/A,FALSE,"HONORÁRIOS"}</definedName>
    <definedName name="yyyyyyy" localSheetId="2" hidden="1">{#N/A,#N/A,FALSE,"HONORÁRIOS"}</definedName>
    <definedName name="yyyyyyy" localSheetId="13" hidden="1">{#N/A,#N/A,FALSE,"HONORÁRIOS"}</definedName>
    <definedName name="yyyyyyy" localSheetId="12" hidden="1">{#N/A,#N/A,FALSE,"HONORÁRIOS"}</definedName>
    <definedName name="yyyyyyy" localSheetId="15" hidden="1">{#N/A,#N/A,FALSE,"HONORÁRIOS"}</definedName>
    <definedName name="yyyyyyy" localSheetId="14" hidden="1">{#N/A,#N/A,FALSE,"HONORÁRIOS"}</definedName>
    <definedName name="yyyyyyy" hidden="1">{#N/A,#N/A,FALSE,"HONORÁRIOS"}</definedName>
    <definedName name="yyyyyyyy" localSheetId="5" hidden="1">{"Fecha_Dezembro",#N/A,FALSE,"FECHAMENTO-2002 ";"Defer_Dezermbro",#N/A,FALSE,"DIFERIDO";"Pis_Dezembro",#N/A,FALSE,"PIS COFINS";"Iss_Dezembro",#N/A,FALSE,"ISS"}</definedName>
    <definedName name="yyyyyyyy" localSheetId="11" hidden="1">{"Fecha_Dezembro",#N/A,FALSE,"FECHAMENTO-2002 ";"Defer_Dezermbro",#N/A,FALSE,"DIFERIDO";"Pis_Dezembro",#N/A,FALSE,"PIS COFINS";"Iss_Dezembro",#N/A,FALSE,"ISS"}</definedName>
    <definedName name="yyyyyyyy" localSheetId="4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localSheetId="13" hidden="1">{"Fecha_Dezembro",#N/A,FALSE,"FECHAMENTO-2002 ";"Defer_Dezermbro",#N/A,FALSE,"DIFERIDO";"Pis_Dezembro",#N/A,FALSE,"PIS COFINS";"Iss_Dezembro",#N/A,FALSE,"ISS"}</definedName>
    <definedName name="yyyyyyyy" localSheetId="12" hidden="1">{"Fecha_Dezembro",#N/A,FALSE,"FECHAMENTO-2002 ";"Defer_Dezermbro",#N/A,FALSE,"DIFERIDO";"Pis_Dezembro",#N/A,FALSE,"PIS COFINS";"Iss_Dezembro",#N/A,FALSE,"ISS"}</definedName>
    <definedName name="yyyyyyyy" localSheetId="15" hidden="1">{"Fecha_Dezembro",#N/A,FALSE,"FECHAMENTO-2002 ";"Defer_Dezermbro",#N/A,FALSE,"DIFERIDO";"Pis_Dezembro",#N/A,FALSE,"PIS COFINS";"Iss_Dezembro",#N/A,FALSE,"ISS"}</definedName>
    <definedName name="yyyyyyyy" localSheetId="14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5" hidden="1">{"Fecha_Dezembro",#N/A,FALSE,"FECHAMENTO-2002 ";"Defer_Dezermbro",#N/A,FALSE,"DIFERIDO";"Pis_Dezembro",#N/A,FALSE,"PIS COFINS";"Iss_Dezembro",#N/A,FALSE,"ISS"}</definedName>
    <definedName name="yyyyyyyyyyyyyyyy" localSheetId="11" hidden="1">{"Fecha_Dezembro",#N/A,FALSE,"FECHAMENTO-2002 ";"Defer_Dezermbro",#N/A,FALSE,"DIFERIDO";"Pis_Dezembro",#N/A,FALSE,"PIS COFINS";"Iss_Dezembro",#N/A,FALSE,"ISS"}</definedName>
    <definedName name="yyyyyyyyyyyyyyyy" localSheetId="4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localSheetId="13" hidden="1">{"Fecha_Dezembro",#N/A,FALSE,"FECHAMENTO-2002 ";"Defer_Dezermbro",#N/A,FALSE,"DIFERIDO";"Pis_Dezembro",#N/A,FALSE,"PIS COFINS";"Iss_Dezembro",#N/A,FALSE,"ISS"}</definedName>
    <definedName name="yyyyyyyyyyyyyyyy" localSheetId="12" hidden="1">{"Fecha_Dezembro",#N/A,FALSE,"FECHAMENTO-2002 ";"Defer_Dezermbro",#N/A,FALSE,"DIFERIDO";"Pis_Dezembro",#N/A,FALSE,"PIS COFINS";"Iss_Dezembro",#N/A,FALSE,"ISS"}</definedName>
    <definedName name="yyyyyyyyyyyyyyyy" localSheetId="15" hidden="1">{"Fecha_Dezembro",#N/A,FALSE,"FECHAMENTO-2002 ";"Defer_Dezermbro",#N/A,FALSE,"DIFERIDO";"Pis_Dezembro",#N/A,FALSE,"PIS COFINS";"Iss_Dezembro",#N/A,FALSE,"ISS"}</definedName>
    <definedName name="yyyyyyyyyyyyyyyy" localSheetId="14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5" hidden="1">{"Fecha_Dezembro",#N/A,FALSE,"FECHAMENTO-2002 ";"Defer_Dezermbro",#N/A,FALSE,"DIFERIDO";"Pis_Dezembro",#N/A,FALSE,"PIS COFINS";"Iss_Dezembro",#N/A,FALSE,"ISS"}</definedName>
    <definedName name="yyyyyyyyyyyyyyyyyyy" localSheetId="11" hidden="1">{"Fecha_Dezembro",#N/A,FALSE,"FECHAMENTO-2002 ";"Defer_Dezermbro",#N/A,FALSE,"DIFERIDO";"Pis_Dezembro",#N/A,FALSE,"PIS COFINS";"Iss_Dezembro",#N/A,FALSE,"ISS"}</definedName>
    <definedName name="yyyyyyyyyyyyyyyyyyy" localSheetId="4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localSheetId="13" hidden="1">{"Fecha_Dezembro",#N/A,FALSE,"FECHAMENTO-2002 ";"Defer_Dezermbro",#N/A,FALSE,"DIFERIDO";"Pis_Dezembro",#N/A,FALSE,"PIS COFINS";"Iss_Dezembro",#N/A,FALSE,"ISS"}</definedName>
    <definedName name="yyyyyyyyyyyyyyyyyyy" localSheetId="12" hidden="1">{"Fecha_Dezembro",#N/A,FALSE,"FECHAMENTO-2002 ";"Defer_Dezermbro",#N/A,FALSE,"DIFERIDO";"Pis_Dezembro",#N/A,FALSE,"PIS COFINS";"Iss_Dezembro",#N/A,FALSE,"ISS"}</definedName>
    <definedName name="yyyyyyyyyyyyyyyyyyy" localSheetId="15" hidden="1">{"Fecha_Dezembro",#N/A,FALSE,"FECHAMENTO-2002 ";"Defer_Dezermbro",#N/A,FALSE,"DIFERIDO";"Pis_Dezembro",#N/A,FALSE,"PIS COFINS";"Iss_Dezembro",#N/A,FALSE,"ISS"}</definedName>
    <definedName name="yyyyyyyyyyyyyyyyyyy" localSheetId="14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z" localSheetId="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z" localSheetId="7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Z" localSheetId="2">#REF!</definedName>
    <definedName name="Z">#REF!</definedName>
    <definedName name="Z_00E9FB25_752C_11D1_95EF_0000E8CF5EB3_.wvu.Cols" localSheetId="2" hidden="1">#REF!</definedName>
    <definedName name="Z_00E9FB25_752C_11D1_95EF_0000E8CF5EB3_.wvu.Cols" hidden="1">#REF!</definedName>
    <definedName name="Z_00E9FB26_752C_11D1_95EF_0000E8CF5EB3_.wvu.Cols" hidden="1">#REF!</definedName>
    <definedName name="Z_00E9FB27_752C_11D1_95EF_0000E8CF5EB3_.wvu.Cols" hidden="1">#REF!</definedName>
    <definedName name="Z_00E9FB28_752C_11D1_95EF_0000E8CF5EB3_.wvu.Cols" hidden="1">#REF!</definedName>
    <definedName name="Z_00E9FB29_752C_11D1_95EF_0000E8CF5EB3_.wvu.Cols" hidden="1">#REF!</definedName>
    <definedName name="Z_00E9FB2A_752C_11D1_95EF_0000E8CF5EB3_.wvu.Cols" hidden="1">#REF!</definedName>
    <definedName name="Z_0226D2AF_D2B4_11D1_90EF_0000E8CF30B3_.wvu.Cols" hidden="1">#REF!</definedName>
    <definedName name="Z_0226D2B0_D2B4_11D1_90EF_0000E8CF30B3_.wvu.Cols" hidden="1">#REF!</definedName>
    <definedName name="Z_08D00FEF_D43A_11D1_90EF_0000E8CF30B3_.wvu.Cols" hidden="1">#REF!</definedName>
    <definedName name="Z_08D00FF0_D43A_11D1_90EF_0000E8CF30B3_.wvu.Cols" hidden="1">#REF!</definedName>
    <definedName name="Z_094CCD8D_DF24_11D1_90EF_0000E8CF30B3_.wvu.Cols" hidden="1">#REF!</definedName>
    <definedName name="Z_094CCD8F_DF24_11D1_90EF_0000E8CF30B3_.wvu.Cols" hidden="1">#REF!</definedName>
    <definedName name="Z_1194CCEB_BE3A_11D1_95F0_0000E8CF5EB3_.wvu.Cols" localSheetId="2" hidden="1">#REF!,#REF!,#REF!</definedName>
    <definedName name="Z_1194CCEB_BE3A_11D1_95F0_0000E8CF5EB3_.wvu.Cols" hidden="1">#REF!,#REF!,#REF!</definedName>
    <definedName name="Z_1194CCEC_BE3A_11D1_95F0_0000E8CF5EB3_.wvu.Cols" hidden="1">#REF!,#REF!,#REF!</definedName>
    <definedName name="Z_1194CD1A_BE3A_11D1_95F0_0000E8CF5EB3_.wvu.Cols" hidden="1">#REF!,#REF!,#REF!</definedName>
    <definedName name="Z_1194CD1B_BE3A_11D1_95F0_0000E8CF5EB3_.wvu.Cols" hidden="1">#REF!,#REF!,#REF!</definedName>
    <definedName name="Z_16209B87_DA8B_11D1_95F0_0000E8CF5EB3_.wvu.Cols" hidden="1">#REF!</definedName>
    <definedName name="Z_16209B88_DA8B_11D1_95F0_0000E8CF5EB3_.wvu.Cols" hidden="1">#REF!</definedName>
    <definedName name="Z_16C1858A_C3EA_11D1_95F0_0000E8CF5EB3_.wvu.Cols" hidden="1">#REF!,#REF!,#REF!</definedName>
    <definedName name="Z_16C1858B_C3EA_11D1_95F0_0000E8CF5EB3_.wvu.Cols" hidden="1">#REF!,#REF!,#REF!</definedName>
    <definedName name="Z_1AE43106_6FD3_11D1_95EF_0000E8CF5EB3_.wvu.Cols" hidden="1">#REF!</definedName>
    <definedName name="Z_1AE43107_6FD3_11D1_95EF_0000E8CF5EB3_.wvu.Cols" hidden="1">#REF!</definedName>
    <definedName name="Z_1AE43108_6FD3_11D1_95EF_0000E8CF5EB3_.wvu.Cols" hidden="1">#REF!</definedName>
    <definedName name="Z_1AE43109_6FD3_11D1_95EF_0000E8CF5EB3_.wvu.Cols" hidden="1">#REF!</definedName>
    <definedName name="Z_1AE4310A_6FD3_11D1_95EF_0000E8CF5EB3_.wvu.Cols" hidden="1">#REF!</definedName>
    <definedName name="Z_1AE4310B_6FD3_11D1_95EF_0000E8CF5EB3_.wvu.Cols" hidden="1">#REF!</definedName>
    <definedName name="Z_28558E5F_DE84_11D1_90EF_0000E8CF30B3_.wvu.Cols" hidden="1">#REF!</definedName>
    <definedName name="Z_28558E61_DE84_11D1_90EF_0000E8CF30B3_.wvu.Cols" hidden="1">#REF!</definedName>
    <definedName name="Z_2BA5AE37_867C_11D1_95EF_0000E8CF5EB3_.wvu.Cols" hidden="1">#REF!</definedName>
    <definedName name="Z_2BA5AE38_867C_11D1_95EF_0000E8CF5EB3_.wvu.Cols" hidden="1">#REF!</definedName>
    <definedName name="Z_2BA5AE39_867C_11D1_95EF_0000E8CF5EB3_.wvu.Cols" hidden="1">#REF!</definedName>
    <definedName name="Z_2BA5AE3A_867C_11D1_95EF_0000E8CF5EB3_.wvu.Cols" hidden="1">#REF!</definedName>
    <definedName name="Z_2BA5AE3B_867C_11D1_95EF_0000E8CF5EB3_.wvu.Cols" hidden="1">#REF!</definedName>
    <definedName name="Z_2BA5AE3C_867C_11D1_95EF_0000E8CF5EB3_.wvu.Cols" hidden="1">#REF!</definedName>
    <definedName name="Z_2E234CCD_CD53_11D1_95F0_0000E8CF5EB3_.wvu.Cols" hidden="1">#REF!,#REF!</definedName>
    <definedName name="Z_2E234CCE_CD53_11D1_95F0_0000E8CF5EB3_.wvu.Cols" hidden="1">#REF!,#REF!</definedName>
    <definedName name="Z_36EB8841_7874_11D1_95EF_0000E8CF5EB3_.wvu.Cols" hidden="1">#REF!</definedName>
    <definedName name="Z_36EB8842_7874_11D1_95EF_0000E8CF5EB3_.wvu.Cols" hidden="1">#REF!</definedName>
    <definedName name="Z_36EB8843_7874_11D1_95EF_0000E8CF5EB3_.wvu.Cols" hidden="1">#REF!</definedName>
    <definedName name="Z_36EB8844_7874_11D1_95EF_0000E8CF5EB3_.wvu.Cols" hidden="1">#REF!</definedName>
    <definedName name="Z_36EB8845_7874_11D1_95EF_0000E8CF5EB3_.wvu.Cols" hidden="1">#REF!</definedName>
    <definedName name="Z_36EB8846_7874_11D1_95EF_0000E8CF5EB3_.wvu.Cols" hidden="1">#REF!</definedName>
    <definedName name="Z_384F6556_CF6C_11D1_90EF_0000E8CF30B3_.wvu.Cols" hidden="1">#REF!,#REF!</definedName>
    <definedName name="Z_384F6557_CF6C_11D1_90EF_0000E8CF30B3_.wvu.Cols" hidden="1">#REF!,#REF!</definedName>
    <definedName name="Z_3A8BECB3_81B4_11D1_95EF_0000E8CF5EB3_.wvu.Cols" hidden="1">#REF!</definedName>
    <definedName name="Z_3A8BECB4_81B4_11D1_95EF_0000E8CF5EB3_.wvu.Cols" hidden="1">#REF!</definedName>
    <definedName name="Z_3A8BECB5_81B4_11D1_95EF_0000E8CF5EB3_.wvu.Cols" hidden="1">#REF!</definedName>
    <definedName name="Z_3A8BECB6_81B4_11D1_95EF_0000E8CF5EB3_.wvu.Cols" hidden="1">#REF!</definedName>
    <definedName name="Z_3A8BECB7_81B4_11D1_95EF_0000E8CF5EB3_.wvu.Cols" hidden="1">#REF!</definedName>
    <definedName name="Z_3A8BECB8_81B4_11D1_95EF_0000E8CF5EB3_.wvu.Cols" hidden="1">#REF!</definedName>
    <definedName name="Z_3BAA8BE3_6B0B_11D1_95EF_0000E8CF5EB3_.wvu.Cols" hidden="1">#REF!</definedName>
    <definedName name="Z_3BAA8BE4_6B0B_11D1_95EF_0000E8CF5EB3_.wvu.Cols" hidden="1">#REF!</definedName>
    <definedName name="Z_3BAA8BE5_6B0B_11D1_95EF_0000E8CF5EB3_.wvu.Cols" hidden="1">#REF!</definedName>
    <definedName name="Z_3BAA8BE6_6B0B_11D1_95EF_0000E8CF5EB3_.wvu.Cols" hidden="1">#REF!</definedName>
    <definedName name="Z_3BAA8BE7_6B0B_11D1_95EF_0000E8CF5EB3_.wvu.Cols" hidden="1">#REF!</definedName>
    <definedName name="Z_3BAA8BE8_6B0B_11D1_95EF_0000E8CF5EB3_.wvu.Cols" hidden="1">#REF!</definedName>
    <definedName name="Z_3BE15160_7B74_11D1_95EF_0000E8CF5EB3_.wvu.Cols" hidden="1">#REF!</definedName>
    <definedName name="Z_3BE15161_7B74_11D1_95EF_0000E8CF5EB3_.wvu.Cols" hidden="1">#REF!</definedName>
    <definedName name="Z_3BE15162_7B74_11D1_95EF_0000E8CF5EB3_.wvu.Cols" hidden="1">#REF!</definedName>
    <definedName name="Z_3BE15163_7B74_11D1_95EF_0000E8CF5EB3_.wvu.Cols" hidden="1">#REF!</definedName>
    <definedName name="Z_3BE15164_7B74_11D1_95EF_0000E8CF5EB3_.wvu.Cols" hidden="1">#REF!</definedName>
    <definedName name="Z_3BE15165_7B74_11D1_95EF_0000E8CF5EB3_.wvu.Cols" hidden="1">#REF!</definedName>
    <definedName name="Z_3BF18F2D_D50E_11D1_95F0_0000E8CF5EB3_.wvu.Cols" hidden="1">#REF!</definedName>
    <definedName name="Z_3BF18F2E_D50E_11D1_95F0_0000E8CF5EB3_.wvu.Cols" hidden="1">#REF!</definedName>
    <definedName name="Z_3DC7E54C_6637_11D1_95EE_0000E8CF5EB3_.wvu.Cols" hidden="1">#REF!</definedName>
    <definedName name="Z_3DC7E54D_6637_11D1_95EE_0000E8CF5EB3_.wvu.Cols" hidden="1">#REF!</definedName>
    <definedName name="Z_3DC7E54E_6637_11D1_95EE_0000E8CF5EB3_.wvu.Cols" hidden="1">#REF!</definedName>
    <definedName name="Z_3DC7E54F_6637_11D1_95EE_0000E8CF5EB3_.wvu.Cols" hidden="1">#REF!</definedName>
    <definedName name="Z_3DC7E550_6637_11D1_95EE_0000E8CF5EB3_.wvu.Cols" hidden="1">#REF!</definedName>
    <definedName name="Z_3DC7E551_6637_11D1_95EE_0000E8CF5EB3_.wvu.Cols" hidden="1">#REF!</definedName>
    <definedName name="Z_3DC7E556_6637_11D1_95EE_0000E8CF5EB3_.wvu.Cols" hidden="1">#REF!</definedName>
    <definedName name="Z_3DC7E557_6637_11D1_95EE_0000E8CF5EB3_.wvu.Cols" hidden="1">#REF!</definedName>
    <definedName name="Z_3DC7E558_6637_11D1_95EE_0000E8CF5EB3_.wvu.Cols" hidden="1">#REF!</definedName>
    <definedName name="Z_3DC7E559_6637_11D1_95EE_0000E8CF5EB3_.wvu.Cols" hidden="1">#REF!</definedName>
    <definedName name="Z_3DC7E55A_6637_11D1_95EE_0000E8CF5EB3_.wvu.Cols" hidden="1">#REF!</definedName>
    <definedName name="Z_3DC7E55B_6637_11D1_95EE_0000E8CF5EB3_.wvu.Cols" hidden="1">#REF!</definedName>
    <definedName name="Z_4071A92C_6FA6_11D1_95EF_0000E8CF5EB3_.wvu.Cols" hidden="1">#REF!</definedName>
    <definedName name="Z_4071A92D_6FA6_11D1_95EF_0000E8CF5EB3_.wvu.Cols" hidden="1">#REF!</definedName>
    <definedName name="Z_4071A92E_6FA6_11D1_95EF_0000E8CF5EB3_.wvu.Cols" hidden="1">#REF!</definedName>
    <definedName name="Z_4071A92F_6FA6_11D1_95EF_0000E8CF5EB3_.wvu.Cols" hidden="1">#REF!</definedName>
    <definedName name="Z_4071A930_6FA6_11D1_95EF_0000E8CF5EB3_.wvu.Cols" hidden="1">#REF!</definedName>
    <definedName name="Z_4071A931_6FA6_11D1_95EF_0000E8CF5EB3_.wvu.Cols" hidden="1">#REF!</definedName>
    <definedName name="Z_43431AB6_BF38_11D1_95F0_0000E8CF5EB3_.wvu.Cols" hidden="1">#REF!,#REF!,#REF!</definedName>
    <definedName name="Z_43431AB7_BF38_11D1_95F0_0000E8CF5EB3_.wvu.Cols" hidden="1">#REF!,#REF!,#REF!</definedName>
    <definedName name="Z_448A1304_7B98_11D1_95EF_0000E8CF5EB3_.wvu.Cols" hidden="1">#REF!</definedName>
    <definedName name="Z_448A1305_7B98_11D1_95EF_0000E8CF5EB3_.wvu.Cols" hidden="1">#REF!</definedName>
    <definedName name="Z_448A1306_7B98_11D1_95EF_0000E8CF5EB3_.wvu.Cols" hidden="1">#REF!</definedName>
    <definedName name="Z_448A1307_7B98_11D1_95EF_0000E8CF5EB3_.wvu.Cols" hidden="1">#REF!</definedName>
    <definedName name="Z_448A1308_7B98_11D1_95EF_0000E8CF5EB3_.wvu.Cols" hidden="1">#REF!</definedName>
    <definedName name="Z_448A1309_7B98_11D1_95EF_0000E8CF5EB3_.wvu.Cols" hidden="1">#REF!</definedName>
    <definedName name="Z_459BA523_7147_11D1_95EF_0000E8CF5EB3_.wvu.Cols" hidden="1">#REF!</definedName>
    <definedName name="Z_459BA524_7147_11D1_95EF_0000E8CF5EB3_.wvu.Cols" hidden="1">#REF!</definedName>
    <definedName name="Z_459BA525_7147_11D1_95EF_0000E8CF5EB3_.wvu.Cols" hidden="1">#REF!</definedName>
    <definedName name="Z_459BA526_7147_11D1_95EF_0000E8CF5EB3_.wvu.Cols" hidden="1">#REF!</definedName>
    <definedName name="Z_459BA527_7147_11D1_95EF_0000E8CF5EB3_.wvu.Cols" hidden="1">#REF!</definedName>
    <definedName name="Z_459BA528_7147_11D1_95EF_0000E8CF5EB3_.wvu.Cols" hidden="1">#REF!</definedName>
    <definedName name="Z_49865222_8335_11D1_95EF_0000E8CF5EB3_.wvu.Cols" hidden="1">#REF!</definedName>
    <definedName name="Z_49865223_8335_11D1_95EF_0000E8CF5EB3_.wvu.Cols" hidden="1">#REF!</definedName>
    <definedName name="Z_49865224_8335_11D1_95EF_0000E8CF5EB3_.wvu.Cols" hidden="1">#REF!</definedName>
    <definedName name="Z_49865225_8335_11D1_95EF_0000E8CF5EB3_.wvu.Cols" hidden="1">#REF!</definedName>
    <definedName name="Z_49865226_8335_11D1_95EF_0000E8CF5EB3_.wvu.Cols" hidden="1">#REF!</definedName>
    <definedName name="Z_49865227_8335_11D1_95EF_0000E8CF5EB3_.wvu.Cols" hidden="1">#REF!</definedName>
    <definedName name="Z_4986522A_8335_11D1_95EF_0000E8CF5EB3_.wvu.Cols" hidden="1">#REF!</definedName>
    <definedName name="Z_4986522B_8335_11D1_95EF_0000E8CF5EB3_.wvu.Cols" hidden="1">#REF!</definedName>
    <definedName name="Z_4986522C_8335_11D1_95EF_0000E8CF5EB3_.wvu.Cols" hidden="1">#REF!</definedName>
    <definedName name="Z_4986522D_8335_11D1_95EF_0000E8CF5EB3_.wvu.Cols" hidden="1">#REF!</definedName>
    <definedName name="Z_4986522E_8335_11D1_95EF_0000E8CF5EB3_.wvu.Cols" hidden="1">#REF!</definedName>
    <definedName name="Z_4986522F_8335_11D1_95EF_0000E8CF5EB3_.wvu.Cols" hidden="1">#REF!</definedName>
    <definedName name="Z_4B96B585_DDA7_11D1_90EF_0000E8CF30B3_.wvu.Cols" hidden="1">#REF!</definedName>
    <definedName name="Z_4B96B586_DDA7_11D1_90EF_0000E8CF30B3_.wvu.Cols" hidden="1">#REF!</definedName>
    <definedName name="Z_4C49C3C0_DDA5_11D1_9882_0080ADB6C79E_.wvu.Cols" hidden="1">#REF!</definedName>
    <definedName name="Z_4C49C3C1_DDA5_11D1_9882_0080ADB6C79E_.wvu.Cols" hidden="1">#REF!</definedName>
    <definedName name="Z_4D922D4E_7A9B_11D1_95EF_0000E8CF5EB3_.wvu.Cols" hidden="1">#REF!</definedName>
    <definedName name="Z_4D922D4F_7A9B_11D1_95EF_0000E8CF5EB3_.wvu.Cols" hidden="1">#REF!</definedName>
    <definedName name="Z_4D922D50_7A9B_11D1_95EF_0000E8CF5EB3_.wvu.Cols" hidden="1">#REF!</definedName>
    <definedName name="Z_4D922D51_7A9B_11D1_95EF_0000E8CF5EB3_.wvu.Cols" hidden="1">#REF!</definedName>
    <definedName name="Z_4D922D52_7A9B_11D1_95EF_0000E8CF5EB3_.wvu.Cols" hidden="1">#REF!</definedName>
    <definedName name="Z_4D922D53_7A9B_11D1_95EF_0000E8CF5EB3_.wvu.Cols" hidden="1">#REF!</definedName>
    <definedName name="Z_4D922D5A_7A9B_11D1_95EF_0000E8CF5EB3_.wvu.Cols" hidden="1">#REF!</definedName>
    <definedName name="Z_4D922D5B_7A9B_11D1_95EF_0000E8CF5EB3_.wvu.Cols" hidden="1">#REF!</definedName>
    <definedName name="Z_4D922D5C_7A9B_11D1_95EF_0000E8CF5EB3_.wvu.Cols" hidden="1">#REF!</definedName>
    <definedName name="Z_4D922D5D_7A9B_11D1_95EF_0000E8CF5EB3_.wvu.Cols" hidden="1">#REF!</definedName>
    <definedName name="Z_4D922D5E_7A9B_11D1_95EF_0000E8CF5EB3_.wvu.Cols" hidden="1">#REF!</definedName>
    <definedName name="Z_4D922D5F_7A9B_11D1_95EF_0000E8CF5EB3_.wvu.Cols" hidden="1">#REF!</definedName>
    <definedName name="Z_523334C1_81E0_11D1_95EF_0000E8CF5EB3_.wvu.Cols" hidden="1">#REF!</definedName>
    <definedName name="Z_523334C2_81E0_11D1_95EF_0000E8CF5EB3_.wvu.Cols" hidden="1">#REF!</definedName>
    <definedName name="Z_523334C3_81E0_11D1_95EF_0000E8CF5EB3_.wvu.Cols" hidden="1">#REF!</definedName>
    <definedName name="Z_523334C4_81E0_11D1_95EF_0000E8CF5EB3_.wvu.Cols" hidden="1">#REF!</definedName>
    <definedName name="Z_523334C5_81E0_11D1_95EF_0000E8CF5EB3_.wvu.Cols" hidden="1">#REF!</definedName>
    <definedName name="Z_523334C6_81E0_11D1_95EF_0000E8CF5EB3_.wvu.Cols" hidden="1">#REF!</definedName>
    <definedName name="Z_529A4463_5C17_11D1_95EE_0000E8CF5EB3_.wvu.Cols" hidden="1">#REF!</definedName>
    <definedName name="Z_529A4464_5C17_11D1_95EE_0000E8CF5EB3_.wvu.Cols" hidden="1">#REF!</definedName>
    <definedName name="Z_529A4465_5C17_11D1_95EE_0000E8CF5EB3_.wvu.Cols" hidden="1">#REF!</definedName>
    <definedName name="Z_529A4466_5C17_11D1_95EE_0000E8CF5EB3_.wvu.Cols" hidden="1">#REF!</definedName>
    <definedName name="Z_529A4467_5C17_11D1_95EE_0000E8CF5EB3_.wvu.Cols" hidden="1">#REF!</definedName>
    <definedName name="Z_529A4468_5C17_11D1_95EE_0000E8CF5EB3_.wvu.Cols" hidden="1">#REF!</definedName>
    <definedName name="Z_55697985_624B_11D1_95EE_0000E8CF5EB3_.wvu.Cols" hidden="1">#REF!</definedName>
    <definedName name="Z_55697986_624B_11D1_95EE_0000E8CF5EB3_.wvu.Cols" hidden="1">#REF!</definedName>
    <definedName name="Z_55697987_624B_11D1_95EE_0000E8CF5EB3_.wvu.Cols" hidden="1">#REF!</definedName>
    <definedName name="Z_55697988_624B_11D1_95EE_0000E8CF5EB3_.wvu.Cols" hidden="1">#REF!</definedName>
    <definedName name="Z_55697989_624B_11D1_95EE_0000E8CF5EB3_.wvu.Cols" hidden="1">#REF!</definedName>
    <definedName name="Z_5569798A_624B_11D1_95EE_0000E8CF5EB3_.wvu.Cols" hidden="1">#REF!</definedName>
    <definedName name="Z_55697993_624B_11D1_95EE_0000E8CF5EB3_.wvu.Cols" hidden="1">#REF!</definedName>
    <definedName name="Z_55697994_624B_11D1_95EE_0000E8CF5EB3_.wvu.Cols" hidden="1">#REF!</definedName>
    <definedName name="Z_55697995_624B_11D1_95EE_0000E8CF5EB3_.wvu.Cols" hidden="1">#REF!</definedName>
    <definedName name="Z_55697996_624B_11D1_95EE_0000E8CF5EB3_.wvu.Cols" hidden="1">#REF!</definedName>
    <definedName name="Z_55697997_624B_11D1_95EE_0000E8CF5EB3_.wvu.Cols" hidden="1">#REF!</definedName>
    <definedName name="Z_55697998_624B_11D1_95EE_0000E8CF5EB3_.wvu.Cols" hidden="1">#REF!</definedName>
    <definedName name="Z_57D2C26C_D38B_11D1_95F0_0000E8CF5EB3_.wvu.Cols" hidden="1">#REF!</definedName>
    <definedName name="Z_57D2C26D_D38B_11D1_95F0_0000E8CF5EB3_.wvu.Cols" hidden="1">#REF!</definedName>
    <definedName name="Z_6059E06F_CEF4_11D1_95F0_0000E8CF5EB3_.wvu.Cols" hidden="1">#REF!,#REF!</definedName>
    <definedName name="Z_6059E070_CEF4_11D1_95F0_0000E8CF5EB3_.wvu.Cols" hidden="1">#REF!,#REF!</definedName>
    <definedName name="Z_61D826C6_8036_11D1_95EF_0000E8CF5EB3_.wvu.Cols" hidden="1">#REF!</definedName>
    <definedName name="Z_61D826C7_8036_11D1_95EF_0000E8CF5EB3_.wvu.Cols" hidden="1">#REF!</definedName>
    <definedName name="Z_61D826C8_8036_11D1_95EF_0000E8CF5EB3_.wvu.Cols" hidden="1">#REF!</definedName>
    <definedName name="Z_61D826C9_8036_11D1_95EF_0000E8CF5EB3_.wvu.Cols" hidden="1">#REF!</definedName>
    <definedName name="Z_61D826CA_8036_11D1_95EF_0000E8CF5EB3_.wvu.Cols" hidden="1">#REF!</definedName>
    <definedName name="Z_61D826CB_8036_11D1_95EF_0000E8CF5EB3_.wvu.Cols" hidden="1">#REF!</definedName>
    <definedName name="Z_63E2B82F_CB06_11D1_95F0_0000E8CF5EB3_.wvu.Cols" hidden="1">#REF!,#REF!</definedName>
    <definedName name="Z_63E2B830_CB06_11D1_95F0_0000E8CF5EB3_.wvu.Cols" hidden="1">#REF!,#REF!</definedName>
    <definedName name="Z_64792E2F_D4FE_11D1_90EF_0000E8CF30B3_.wvu.Cols" hidden="1">#REF!</definedName>
    <definedName name="Z_64792E30_D4FE_11D1_90EF_0000E8CF30B3_.wvu.Cols" hidden="1">#REF!</definedName>
    <definedName name="Z_64792E41_D4FE_11D1_90EF_0000E8CF30B3_.wvu.Cols" hidden="1">#REF!</definedName>
    <definedName name="Z_64792E42_D4FE_11D1_90EF_0000E8CF30B3_.wvu.Cols" hidden="1">#REF!</definedName>
    <definedName name="Z_68F8E669_80EA_11D1_95EF_0000E8CF5EB3_.wvu.Cols" hidden="1">#REF!</definedName>
    <definedName name="Z_68F8E66A_80EA_11D1_95EF_0000E8CF5EB3_.wvu.Cols" hidden="1">#REF!</definedName>
    <definedName name="Z_68F8E66B_80EA_11D1_95EF_0000E8CF5EB3_.wvu.Cols" hidden="1">#REF!</definedName>
    <definedName name="Z_68F8E66C_80EA_11D1_95EF_0000E8CF5EB3_.wvu.Cols" hidden="1">#REF!</definedName>
    <definedName name="Z_68F8E66D_80EA_11D1_95EF_0000E8CF5EB3_.wvu.Cols" hidden="1">#REF!</definedName>
    <definedName name="Z_68F8E66E_80EA_11D1_95EF_0000E8CF5EB3_.wvu.Cols" hidden="1">#REF!</definedName>
    <definedName name="Z_68F8E671_80EA_11D1_95EF_0000E8CF5EB3_.wvu.Cols" hidden="1">#REF!</definedName>
    <definedName name="Z_68F8E672_80EA_11D1_95EF_0000E8CF5EB3_.wvu.Cols" hidden="1">#REF!</definedName>
    <definedName name="Z_68F8E673_80EA_11D1_95EF_0000E8CF5EB3_.wvu.Cols" hidden="1">#REF!</definedName>
    <definedName name="Z_68F8E674_80EA_11D1_95EF_0000E8CF5EB3_.wvu.Cols" hidden="1">#REF!</definedName>
    <definedName name="Z_68F8E675_80EA_11D1_95EF_0000E8CF5EB3_.wvu.Cols" hidden="1">#REF!</definedName>
    <definedName name="Z_68F8E676_80EA_11D1_95EF_0000E8CF5EB3_.wvu.Cols" hidden="1">#REF!</definedName>
    <definedName name="Z_68F8E684_80EA_11D1_95EF_0000E8CF5EB3_.wvu.Cols" hidden="1">#REF!</definedName>
    <definedName name="Z_68F8E685_80EA_11D1_95EF_0000E8CF5EB3_.wvu.Cols" hidden="1">#REF!</definedName>
    <definedName name="Z_68F8E686_80EA_11D1_95EF_0000E8CF5EB3_.wvu.Cols" hidden="1">#REF!</definedName>
    <definedName name="Z_68F8E687_80EA_11D1_95EF_0000E8CF5EB3_.wvu.Cols" hidden="1">#REF!</definedName>
    <definedName name="Z_68F8E688_80EA_11D1_95EF_0000E8CF5EB3_.wvu.Cols" hidden="1">#REF!</definedName>
    <definedName name="Z_68F8E689_80EA_11D1_95EF_0000E8CF5EB3_.wvu.Cols" hidden="1">#REF!</definedName>
    <definedName name="Z_68F8E690_80EA_11D1_95EF_0000E8CF5EB3_.wvu.Cols" hidden="1">#REF!</definedName>
    <definedName name="Z_68F8E691_80EA_11D1_95EF_0000E8CF5EB3_.wvu.Cols" hidden="1">#REF!</definedName>
    <definedName name="Z_68F8E692_80EA_11D1_95EF_0000E8CF5EB3_.wvu.Cols" hidden="1">#REF!</definedName>
    <definedName name="Z_68F8E693_80EA_11D1_95EF_0000E8CF5EB3_.wvu.Cols" hidden="1">#REF!</definedName>
    <definedName name="Z_68F8E694_80EA_11D1_95EF_0000E8CF5EB3_.wvu.Cols" hidden="1">#REF!</definedName>
    <definedName name="Z_68F8E695_80EA_11D1_95EF_0000E8CF5EB3_.wvu.Cols" hidden="1">#REF!</definedName>
    <definedName name="Z_69A25E07_E3FB_11D1_95F1_0000E8CF5EB3_.wvu.Cols" hidden="1">#REF!</definedName>
    <definedName name="Z_69A25E09_E3FB_11D1_95F1_0000E8CF5EB3_.wvu.Cols" hidden="1">#REF!</definedName>
    <definedName name="Z_6DE1FBA0_7BA2_11D1_95EF_0000E8CF5EB3_.wvu.Cols" hidden="1">#REF!</definedName>
    <definedName name="Z_6DE1FBA1_7BA2_11D1_95EF_0000E8CF5EB3_.wvu.Cols" hidden="1">#REF!</definedName>
    <definedName name="Z_6DE1FBA2_7BA2_11D1_95EF_0000E8CF5EB3_.wvu.Cols" hidden="1">#REF!</definedName>
    <definedName name="Z_6DE1FBA3_7BA2_11D1_95EF_0000E8CF5EB3_.wvu.Cols" hidden="1">#REF!</definedName>
    <definedName name="Z_6DE1FBA4_7BA2_11D1_95EF_0000E8CF5EB3_.wvu.Cols" hidden="1">#REF!</definedName>
    <definedName name="Z_6DE1FBA5_7BA2_11D1_95EF_0000E8CF5EB3_.wvu.Cols" hidden="1">#REF!</definedName>
    <definedName name="Z_752FA8E1_90F5_11D1_87A7_004F4900BD69_.wvu.Cols" hidden="1">#REF!</definedName>
    <definedName name="Z_752FA8E2_90F5_11D1_87A7_004F4900BD69_.wvu.Cols" hidden="1">#REF!</definedName>
    <definedName name="Z_752FA8E3_90F5_11D1_87A7_004F4900BD69_.wvu.Cols" hidden="1">#REF!</definedName>
    <definedName name="Z_752FA8E4_90F5_11D1_87A7_004F4900BD69_.wvu.Cols" hidden="1">#REF!</definedName>
    <definedName name="Z_752FA8E5_90F5_11D1_87A7_004F4900BD69_.wvu.Cols" hidden="1">#REF!</definedName>
    <definedName name="Z_752FA8E6_90F5_11D1_87A7_004F4900BD69_.wvu.Cols" hidden="1">#REF!</definedName>
    <definedName name="Z_762F0B76_CADE_11D1_95F0_0000E8CF5EB3_.wvu.Cols" hidden="1">#REF!,#REF!,#REF!</definedName>
    <definedName name="Z_762F0B77_CADE_11D1_95F0_0000E8CF5EB3_.wvu.Cols" hidden="1">#REF!,#REF!,#REF!</definedName>
    <definedName name="Z_7CCED72E_DE82_11D1_95F0_0000E8CF5EB3_.wvu.Cols" hidden="1">#REF!</definedName>
    <definedName name="Z_7CCED730_DE82_11D1_95F0_0000E8CF5EB3_.wvu.Cols" hidden="1">#REF!</definedName>
    <definedName name="Z_7CCED751_DE82_11D1_95F0_0000E8CF5EB3_.wvu.Cols" hidden="1">#REF!</definedName>
    <definedName name="Z_7CCED753_DE82_11D1_95F0_0000E8CF5EB3_.wvu.Cols" hidden="1">#REF!</definedName>
    <definedName name="Z_803E3EE0_7C3C_11D1_95EF_0000E8CF5EB3_.wvu.Cols" hidden="1">#REF!</definedName>
    <definedName name="Z_803E3EE1_7C3C_11D1_95EF_0000E8CF5EB3_.wvu.Cols" hidden="1">#REF!</definedName>
    <definedName name="Z_803E3EE2_7C3C_11D1_95EF_0000E8CF5EB3_.wvu.Cols" hidden="1">#REF!</definedName>
    <definedName name="Z_803E3EE3_7C3C_11D1_95EF_0000E8CF5EB3_.wvu.Cols" hidden="1">#REF!</definedName>
    <definedName name="Z_803E3EE4_7C3C_11D1_95EF_0000E8CF5EB3_.wvu.Cols" hidden="1">#REF!</definedName>
    <definedName name="Z_803E3EE5_7C3C_11D1_95EF_0000E8CF5EB3_.wvu.Cols" hidden="1">#REF!</definedName>
    <definedName name="Z_80C466CF_866C_11D1_95EF_0000E8CF5EB3_.wvu.Cols" hidden="1">#REF!</definedName>
    <definedName name="Z_80C466D0_866C_11D1_95EF_0000E8CF5EB3_.wvu.Cols" hidden="1">#REF!</definedName>
    <definedName name="Z_80C466D1_866C_11D1_95EF_0000E8CF5EB3_.wvu.Cols" hidden="1">#REF!</definedName>
    <definedName name="Z_80C466D2_866C_11D1_95EF_0000E8CF5EB3_.wvu.Cols" hidden="1">#REF!</definedName>
    <definedName name="Z_80C466D3_866C_11D1_95EF_0000E8CF5EB3_.wvu.Cols" hidden="1">#REF!</definedName>
    <definedName name="Z_80C466D4_866C_11D1_95EF_0000E8CF5EB3_.wvu.Cols" hidden="1">#REF!</definedName>
    <definedName name="Z_8380F64B_B762_11D1_87A7_004F4900BD69_.wvu.Cols" hidden="1">#REF!</definedName>
    <definedName name="Z_8380F64C_B762_11D1_87A7_004F4900BD69_.wvu.Cols" hidden="1">#REF!</definedName>
    <definedName name="Z_8B4D7DD6_75EF_11D1_95EF_0000E8CF5EB3_.wvu.Cols" hidden="1">#REF!</definedName>
    <definedName name="Z_8B4D7DD7_75EF_11D1_95EF_0000E8CF5EB3_.wvu.Cols" hidden="1">#REF!</definedName>
    <definedName name="Z_8B4D7DD8_75EF_11D1_95EF_0000E8CF5EB3_.wvu.Cols" hidden="1">#REF!</definedName>
    <definedName name="Z_8B4D7DD9_75EF_11D1_95EF_0000E8CF5EB3_.wvu.Cols" hidden="1">#REF!</definedName>
    <definedName name="Z_8B4D7DDA_75EF_11D1_95EF_0000E8CF5EB3_.wvu.Cols" hidden="1">#REF!</definedName>
    <definedName name="Z_8B4D7DDB_75EF_11D1_95EF_0000E8CF5EB3_.wvu.Cols" hidden="1">#REF!</definedName>
    <definedName name="Z_8B5C4971_BCAD_11D1_95F0_0000E8CF5EB3_.wvu.Cols" hidden="1">#REF!</definedName>
    <definedName name="Z_8B5C4972_BCAD_11D1_95F0_0000E8CF5EB3_.wvu.Cols" hidden="1">#REF!</definedName>
    <definedName name="Z_8DA6F443_64A7_11D1_95EE_0000E8CF5EB3_.wvu.Cols" hidden="1">#REF!</definedName>
    <definedName name="Z_8DA6F444_64A7_11D1_95EE_0000E8CF5EB3_.wvu.Cols" hidden="1">#REF!</definedName>
    <definedName name="Z_8DA6F445_64A7_11D1_95EE_0000E8CF5EB3_.wvu.Cols" hidden="1">#REF!</definedName>
    <definedName name="Z_8DA6F446_64A7_11D1_95EE_0000E8CF5EB3_.wvu.Cols" hidden="1">#REF!</definedName>
    <definedName name="Z_8DA6F447_64A7_11D1_95EE_0000E8CF5EB3_.wvu.Cols" hidden="1">#REF!</definedName>
    <definedName name="Z_8DA6F448_64A7_11D1_95EE_0000E8CF5EB3_.wvu.Cols" hidden="1">#REF!</definedName>
    <definedName name="Z_8DB8540F_D5CB_11D1_90EF_0000E8CF30B3_.wvu.Cols" hidden="1">#REF!,#REF!</definedName>
    <definedName name="Z_8DB85410_D5CB_11D1_90EF_0000E8CF30B3_.wvu.Cols" hidden="1">#REF!,#REF!</definedName>
    <definedName name="Z_96A675C8_5B5E_11D1_95EE_0000E8CF5EB3_.wvu.Cols" hidden="1">#REF!</definedName>
    <definedName name="Z_96A675C9_5B5E_11D1_95EE_0000E8CF5EB3_.wvu.Cols" hidden="1">#REF!</definedName>
    <definedName name="Z_96A675CA_5B5E_11D1_95EE_0000E8CF5EB3_.wvu.Cols" hidden="1">#REF!</definedName>
    <definedName name="Z_96A675CB_5B5E_11D1_95EE_0000E8CF5EB3_.wvu.Cols" hidden="1">#REF!</definedName>
    <definedName name="Z_96A675CC_5B5E_11D1_95EE_0000E8CF5EB3_.wvu.Cols" hidden="1">#REF!</definedName>
    <definedName name="Z_96A675CD_5B5E_11D1_95EE_0000E8CF5EB3_.wvu.Cols" hidden="1">#REF!</definedName>
    <definedName name="Z_999996AD_CF83_11D1_95F0_0000E8CF5EB3_.wvu.Cols" hidden="1">#REF!,#REF!</definedName>
    <definedName name="Z_999996AE_CF83_11D1_95F0_0000E8CF5EB3_.wvu.Cols" hidden="1">#REF!,#REF!</definedName>
    <definedName name="Z_9A632E83_7079_11D1_95EF_0000E8CF5EB3_.wvu.Cols" hidden="1">#REF!</definedName>
    <definedName name="Z_9A632E84_7079_11D1_95EF_0000E8CF5EB3_.wvu.Cols" hidden="1">#REF!</definedName>
    <definedName name="Z_9A632E85_7079_11D1_95EF_0000E8CF5EB3_.wvu.Cols" hidden="1">#REF!</definedName>
    <definedName name="Z_9A632E86_7079_11D1_95EF_0000E8CF5EB3_.wvu.Cols" hidden="1">#REF!</definedName>
    <definedName name="Z_9A632E87_7079_11D1_95EF_0000E8CF5EB3_.wvu.Cols" hidden="1">#REF!</definedName>
    <definedName name="Z_9A632E88_7079_11D1_95EF_0000E8CF5EB3_.wvu.Cols" hidden="1">#REF!</definedName>
    <definedName name="Z_A07EB2A3_6B18_11D1_95EF_0000E8CF5EB3_.wvu.Cols" hidden="1">#REF!</definedName>
    <definedName name="Z_A07EB2A4_6B18_11D1_95EF_0000E8CF5EB3_.wvu.Cols" hidden="1">#REF!</definedName>
    <definedName name="Z_A07EB2A5_6B18_11D1_95EF_0000E8CF5EB3_.wvu.Cols" hidden="1">#REF!</definedName>
    <definedName name="Z_A07EB2A6_6B18_11D1_95EF_0000E8CF5EB3_.wvu.Cols" hidden="1">#REF!</definedName>
    <definedName name="Z_A07EB2A7_6B18_11D1_95EF_0000E8CF5EB3_.wvu.Cols" hidden="1">#REF!</definedName>
    <definedName name="Z_A07EB2A8_6B18_11D1_95EF_0000E8CF5EB3_.wvu.Cols" hidden="1">#REF!</definedName>
    <definedName name="Z_A0C8221C_DE77_11D1_87A7_004F4900BD69_.wvu.Cols" hidden="1">#REF!</definedName>
    <definedName name="Z_A0C8221E_DE77_11D1_87A7_004F4900BD69_.wvu.Cols" hidden="1">#REF!</definedName>
    <definedName name="Z_A0DA1AF2_C7A3_11D1_90EF_0000E8CF30B3_.wvu.Cols" hidden="1">#REF!,#REF!,#REF!</definedName>
    <definedName name="Z_A0DA1AF3_C7A3_11D1_90EF_0000E8CF30B3_.wvu.Cols" hidden="1">#REF!,#REF!,#REF!</definedName>
    <definedName name="Z_A92053D7_DDA7_11D1_95F0_0000E8CF5EB3_.wvu.Cols" hidden="1">#REF!</definedName>
    <definedName name="Z_A92053D8_DDA7_11D1_95F0_0000E8CF5EB3_.wvu.Cols" hidden="1">#REF!</definedName>
    <definedName name="Z_A96F5981_85A5_11D1_95EF_0000E8CF5EB3_.wvu.Cols" hidden="1">#REF!</definedName>
    <definedName name="Z_A96F5982_85A5_11D1_95EF_0000E8CF5EB3_.wvu.Cols" hidden="1">#REF!</definedName>
    <definedName name="Z_A96F5983_85A5_11D1_95EF_0000E8CF5EB3_.wvu.Cols" hidden="1">#REF!</definedName>
    <definedName name="Z_A96F5984_85A5_11D1_95EF_0000E8CF5EB3_.wvu.Cols" hidden="1">#REF!</definedName>
    <definedName name="Z_A96F5985_85A5_11D1_95EF_0000E8CF5EB3_.wvu.Cols" hidden="1">#REF!</definedName>
    <definedName name="Z_A96F5986_85A5_11D1_95EF_0000E8CF5EB3_.wvu.Cols" hidden="1">#REF!</definedName>
    <definedName name="Z_ABB53F00_800C_11D1_95EF_0000E8CF5EB3_.wvu.Cols" hidden="1">#REF!</definedName>
    <definedName name="Z_ABB53F01_800C_11D1_95EF_0000E8CF5EB3_.wvu.Cols" hidden="1">#REF!</definedName>
    <definedName name="Z_ABB53F02_800C_11D1_95EF_0000E8CF5EB3_.wvu.Cols" hidden="1">#REF!</definedName>
    <definedName name="Z_ABB53F03_800C_11D1_95EF_0000E8CF5EB3_.wvu.Cols" hidden="1">#REF!</definedName>
    <definedName name="Z_ABB53F04_800C_11D1_95EF_0000E8CF5EB3_.wvu.Cols" hidden="1">#REF!</definedName>
    <definedName name="Z_ABB53F05_800C_11D1_95EF_0000E8CF5EB3_.wvu.Cols" hidden="1">#REF!</definedName>
    <definedName name="Z_ABB53F2A_800C_11D1_95EF_0000E8CF5EB3_.wvu.Cols" hidden="1">#REF!</definedName>
    <definedName name="Z_ABB53F2B_800C_11D1_95EF_0000E8CF5EB3_.wvu.Cols" hidden="1">#REF!</definedName>
    <definedName name="Z_ABB53F2C_800C_11D1_95EF_0000E8CF5EB3_.wvu.Cols" hidden="1">#REF!</definedName>
    <definedName name="Z_ABB53F2D_800C_11D1_95EF_0000E8CF5EB3_.wvu.Cols" hidden="1">#REF!</definedName>
    <definedName name="Z_ABB53F2E_800C_11D1_95EF_0000E8CF5EB3_.wvu.Cols" hidden="1">#REF!</definedName>
    <definedName name="Z_ABB53F2F_800C_11D1_95EF_0000E8CF5EB3_.wvu.Cols" hidden="1">#REF!</definedName>
    <definedName name="Z_AMORT_BUSO_94" localSheetId="4">#REF!</definedName>
    <definedName name="Z_AMORT_BUSO_94" localSheetId="1">#REF!</definedName>
    <definedName name="Z_AMORT_BUSO_94" localSheetId="7">[37]ban!$AL$102</definedName>
    <definedName name="Z_AMORT_BUSO_94">#REF!</definedName>
    <definedName name="Z_AMORT_INTG_94" localSheetId="4">#REF!</definedName>
    <definedName name="Z_AMORT_INTG_94" localSheetId="1">#REF!</definedName>
    <definedName name="Z_AMORT_INTG_94" localSheetId="7">[37]ban!$AL$104</definedName>
    <definedName name="Z_AMORT_INTG_94">#REF!</definedName>
    <definedName name="Z_B3C82448_C2F1_11D1_95F0_0000E8CF5EB3_.wvu.Cols" localSheetId="4" hidden="1">#REF!,#REF!,#REF!</definedName>
    <definedName name="Z_B3C82448_C2F1_11D1_95F0_0000E8CF5EB3_.wvu.Cols" hidden="1">#REF!,#REF!,#REF!</definedName>
    <definedName name="Z_B3C82449_C2F1_11D1_95F0_0000E8CF5EB3_.wvu.Cols" hidden="1">#REF!,#REF!,#REF!</definedName>
    <definedName name="Z_B3C824DA_C2F1_11D1_95F0_0000E8CF5EB3_.wvu.Cols" hidden="1">#REF!,#REF!,#REF!</definedName>
    <definedName name="Z_B3C824DB_C2F1_11D1_95F0_0000E8CF5EB3_.wvu.Cols" hidden="1">#REF!,#REF!,#REF!</definedName>
    <definedName name="Z_BA557D03_D9F3_11D1_95F0_0000E8CF5EB3_.wvu.Cols" hidden="1">#REF!</definedName>
    <definedName name="Z_BA557D04_D9F3_11D1_95F0_0000E8CF5EB3_.wvu.Cols" hidden="1">#REF!</definedName>
    <definedName name="Z_C1BE4248_CEBC_11D1_90EF_0000E8CF30B3_.wvu.Cols" hidden="1">#REF!,#REF!</definedName>
    <definedName name="Z_C1BE4249_CEBC_11D1_90EF_0000E8CF30B3_.wvu.Cols" hidden="1">#REF!,#REF!</definedName>
    <definedName name="Z_C3E8EC9F_E4C4_11D1_90EF_0000E8CF30B3_.wvu.Cols" hidden="1">#REF!</definedName>
    <definedName name="Z_C3E8ECA1_E4C4_11D1_90EF_0000E8CF30B3_.wvu.Cols" hidden="1">#REF!</definedName>
    <definedName name="Z_C5885BF0_8E54_11D1_95F0_0000E8CF5EB3_.wvu.Cols" hidden="1">#REF!</definedName>
    <definedName name="Z_C5885BF1_8E54_11D1_95F0_0000E8CF5EB3_.wvu.Cols" hidden="1">#REF!</definedName>
    <definedName name="Z_C5885BF2_8E54_11D1_95F0_0000E8CF5EB3_.wvu.Cols" hidden="1">#REF!</definedName>
    <definedName name="Z_C5885BF3_8E54_11D1_95F0_0000E8CF5EB3_.wvu.Cols" hidden="1">#REF!</definedName>
    <definedName name="Z_C5885BF4_8E54_11D1_95F0_0000E8CF5EB3_.wvu.Cols" hidden="1">#REF!</definedName>
    <definedName name="Z_C5885BF5_8E54_11D1_95F0_0000E8CF5EB3_.wvu.Cols" hidden="1">#REF!</definedName>
    <definedName name="Z_C647E50C_6185_11D1_95EE_0000E8CF5EB3_.wvu.Cols" hidden="1">#REF!</definedName>
    <definedName name="Z_C647E50D_6185_11D1_95EE_0000E8CF5EB3_.wvu.Cols" hidden="1">#REF!</definedName>
    <definedName name="Z_C647E50E_6185_11D1_95EE_0000E8CF5EB3_.wvu.Cols" hidden="1">#REF!</definedName>
    <definedName name="Z_C647E50F_6185_11D1_95EE_0000E8CF5EB3_.wvu.Cols" hidden="1">#REF!</definedName>
    <definedName name="Z_C647E510_6185_11D1_95EE_0000E8CF5EB3_.wvu.Cols" hidden="1">#REF!</definedName>
    <definedName name="Z_C647E511_6185_11D1_95EE_0000E8CF5EB3_.wvu.Cols" hidden="1">#REF!</definedName>
    <definedName name="Z_C7AF9E84_6BD0_11D1_95EF_0000E8CF5EB3_.wvu.Cols" hidden="1">#REF!</definedName>
    <definedName name="Z_C7AF9E85_6BD0_11D1_95EF_0000E8CF5EB3_.wvu.Cols" hidden="1">#REF!</definedName>
    <definedName name="Z_C7AF9E86_6BD0_11D1_95EF_0000E8CF5EB3_.wvu.Cols" hidden="1">#REF!</definedName>
    <definedName name="Z_C7AF9E87_6BD0_11D1_95EF_0000E8CF5EB3_.wvu.Cols" hidden="1">#REF!</definedName>
    <definedName name="Z_C7AF9E88_6BD0_11D1_95EF_0000E8CF5EB3_.wvu.Cols" hidden="1">#REF!</definedName>
    <definedName name="Z_C7AF9E89_6BD0_11D1_95EF_0000E8CF5EB3_.wvu.Cols" hidden="1">#REF!</definedName>
    <definedName name="Z_C7D31B48_6CB0_11D1_95EF_0000E8CF5EB3_.wvu.Cols" hidden="1">#REF!</definedName>
    <definedName name="Z_C7D31B49_6CB0_11D1_95EF_0000E8CF5EB3_.wvu.Cols" hidden="1">#REF!</definedName>
    <definedName name="Z_C7D31B4A_6CB0_11D1_95EF_0000E8CF5EB3_.wvu.Cols" hidden="1">#REF!</definedName>
    <definedName name="Z_C7D31B4B_6CB0_11D1_95EF_0000E8CF5EB3_.wvu.Cols" hidden="1">#REF!</definedName>
    <definedName name="Z_C7D31B4C_6CB0_11D1_95EF_0000E8CF5EB3_.wvu.Cols" hidden="1">#REF!</definedName>
    <definedName name="Z_C7D31B4D_6CB0_11D1_95EF_0000E8CF5EB3_.wvu.Cols" hidden="1">#REF!</definedName>
    <definedName name="Z_CCF8952C_C87F_11D1_95F0_0000E8CF5EB3_.wvu.Cols" hidden="1">#REF!,#REF!,#REF!</definedName>
    <definedName name="Z_CCF8952D_C87F_11D1_95F0_0000E8CF5EB3_.wvu.Cols" hidden="1">#REF!,#REF!,#REF!</definedName>
    <definedName name="Z_CD2CD206_E586_11D1_95F1_0000E8CF5EB3_.wvu.Cols" hidden="1">#REF!</definedName>
    <definedName name="Z_CD2CD208_E586_11D1_95F1_0000E8CF5EB3_.wvu.Cols" hidden="1">#REF!</definedName>
    <definedName name="Z_CD2CD284_E586_11D1_95F1_0000E8CF5EB3_.wvu.Cols" hidden="1">#REF!</definedName>
    <definedName name="Z_CD2CD286_E586_11D1_95F1_0000E8CF5EB3_.wvu.Cols" hidden="1">#REF!</definedName>
    <definedName name="Z_CDA3734B_BD8B_11D1_95F0_0000E8CF5EB3_.wvu.Cols" hidden="1">#REF!</definedName>
    <definedName name="Z_CDA3734C_BD8B_11D1_95F0_0000E8CF5EB3_.wvu.Cols" hidden="1">#REF!</definedName>
    <definedName name="Z_CON_MAT_94" localSheetId="4">#REF!</definedName>
    <definedName name="Z_CON_MAT_94" localSheetId="1">#REF!</definedName>
    <definedName name="Z_CON_MAT_94" localSheetId="7">[37]ban!$AL$107</definedName>
    <definedName name="Z_CON_MAT_94">#REF!</definedName>
    <definedName name="Z_CTO_VTAs_95" localSheetId="4">#REF!</definedName>
    <definedName name="Z_CTO_VTAs_95" localSheetId="1">#REF!</definedName>
    <definedName name="Z_CTO_VTAs_95" localSheetId="7">[38]BAN!$S$39</definedName>
    <definedName name="Z_CTO_VTAs_95">#REF!</definedName>
    <definedName name="Z_D1A89944_76E9_11D1_95EF_0000E8CF5EB3_.wvu.Cols" localSheetId="4" hidden="1">#REF!</definedName>
    <definedName name="Z_D1A89944_76E9_11D1_95EF_0000E8CF5EB3_.wvu.Cols" hidden="1">#REF!</definedName>
    <definedName name="Z_D1A89945_76E9_11D1_95EF_0000E8CF5EB3_.wvu.Cols" localSheetId="4" hidden="1">#REF!</definedName>
    <definedName name="Z_D1A89945_76E9_11D1_95EF_0000E8CF5EB3_.wvu.Cols" hidden="1">#REF!</definedName>
    <definedName name="Z_D1A89946_76E9_11D1_95EF_0000E8CF5EB3_.wvu.Cols" hidden="1">#REF!</definedName>
    <definedName name="Z_D1A89947_76E9_11D1_95EF_0000E8CF5EB3_.wvu.Cols" hidden="1">#REF!</definedName>
    <definedName name="Z_D1A89948_76E9_11D1_95EF_0000E8CF5EB3_.wvu.Cols" hidden="1">#REF!</definedName>
    <definedName name="Z_D1A89949_76E9_11D1_95EF_0000E8CF5EB3_.wvu.Cols" hidden="1">#REF!</definedName>
    <definedName name="Z_D2A792BE_97BF_11D1_95F0_0000E8CF5EB3_.wvu.PrintArea" hidden="1">#REF!</definedName>
    <definedName name="Z_D4F4ECEB_72C5_11D1_95EF_0000E8CF5EB3_.wvu.Cols" hidden="1">#REF!</definedName>
    <definedName name="Z_D4F4ECEC_72C5_11D1_95EF_0000E8CF5EB3_.wvu.Cols" hidden="1">#REF!</definedName>
    <definedName name="Z_D4F4ECED_72C5_11D1_95EF_0000E8CF5EB3_.wvu.Cols" hidden="1">#REF!</definedName>
    <definedName name="Z_D4F4ECEE_72C5_11D1_95EF_0000E8CF5EB3_.wvu.Cols" hidden="1">#REF!</definedName>
    <definedName name="Z_D4F4ECEF_72C5_11D1_95EF_0000E8CF5EB3_.wvu.Cols" hidden="1">#REF!</definedName>
    <definedName name="Z_D4F4ECF0_72C5_11D1_95EF_0000E8CF5EB3_.wvu.Cols" hidden="1">#REF!</definedName>
    <definedName name="Z_DCAFEA5A_5F25_11D1_95EE_0000E8CF5EB3_.wvu.Cols" hidden="1">#REF!</definedName>
    <definedName name="Z_DCAFEA5B_5F25_11D1_95EE_0000E8CF5EB3_.wvu.Cols" hidden="1">#REF!</definedName>
    <definedName name="Z_DCAFEA5C_5F25_11D1_95EE_0000E8CF5EB3_.wvu.Cols" hidden="1">#REF!</definedName>
    <definedName name="Z_DCAFEA5D_5F25_11D1_95EE_0000E8CF5EB3_.wvu.Cols" hidden="1">#REF!</definedName>
    <definedName name="Z_DCAFEA5E_5F25_11D1_95EE_0000E8CF5EB3_.wvu.Cols" hidden="1">#REF!</definedName>
    <definedName name="Z_DCAFEA5F_5F25_11D1_95EE_0000E8CF5EB3_.wvu.Cols" hidden="1">#REF!</definedName>
    <definedName name="Z_DF1123AA_C3BE_11D1_90EF_0000E8CF30B3_.wvu.Cols" hidden="1">#REF!,#REF!,#REF!</definedName>
    <definedName name="Z_DF1123AB_C3BE_11D1_90EF_0000E8CF30B3_.wvu.Cols" hidden="1">#REF!,#REF!,#REF!</definedName>
    <definedName name="z_dif_buso_95">#REF!</definedName>
    <definedName name="Z_E2BB55AF_CFA0_11D1_95F0_0000E8CF5EB3_.wvu.Cols" hidden="1">#REF!,#REF!</definedName>
    <definedName name="Z_E2BB55B0_CFA0_11D1_95F0_0000E8CF5EB3_.wvu.Cols" hidden="1">#REF!,#REF!</definedName>
    <definedName name="Z_E4793014_6278_11D1_95EE_0000E8CF5EB3_.wvu.Cols" hidden="1">#REF!</definedName>
    <definedName name="Z_E4793015_6278_11D1_95EE_0000E8CF5EB3_.wvu.Cols" hidden="1">#REF!</definedName>
    <definedName name="Z_E4793016_6278_11D1_95EE_0000E8CF5EB3_.wvu.Cols" hidden="1">#REF!</definedName>
    <definedName name="Z_E4793017_6278_11D1_95EE_0000E8CF5EB3_.wvu.Cols" hidden="1">#REF!</definedName>
    <definedName name="Z_E4793018_6278_11D1_95EE_0000E8CF5EB3_.wvu.Cols" hidden="1">#REF!</definedName>
    <definedName name="Z_E4793019_6278_11D1_95EE_0000E8CF5EB3_.wvu.Cols" hidden="1">#REF!</definedName>
    <definedName name="Z_E4B3B3B0_6703_11D1_95EE_0000E8CF5EB3_.wvu.Cols" hidden="1">#REF!</definedName>
    <definedName name="Z_E4B3B3B1_6703_11D1_95EE_0000E8CF5EB3_.wvu.Cols" hidden="1">#REF!</definedName>
    <definedName name="Z_E4B3B3B2_6703_11D1_95EE_0000E8CF5EB3_.wvu.Cols" hidden="1">#REF!</definedName>
    <definedName name="Z_E4B3B3B3_6703_11D1_95EE_0000E8CF5EB3_.wvu.Cols" hidden="1">#REF!</definedName>
    <definedName name="Z_E4B3B3B4_6703_11D1_95EE_0000E8CF5EB3_.wvu.Cols" hidden="1">#REF!</definedName>
    <definedName name="Z_E4B3B3B5_6703_11D1_95EE_0000E8CF5EB3_.wvu.Cols" hidden="1">#REF!</definedName>
    <definedName name="Z_E7A8650C_C250_11D1_95F0_0000E8CF5EB3_.wvu.Cols" hidden="1">#REF!,#REF!,#REF!</definedName>
    <definedName name="Z_E7A8650D_C250_11D1_95F0_0000E8CF5EB3_.wvu.Cols" hidden="1">#REF!,#REF!,#REF!</definedName>
    <definedName name="Z_EA535761_8732_11D1_95EF_0000E8CF5EB3_.wvu.Cols" hidden="1">#REF!</definedName>
    <definedName name="Z_EA535762_8732_11D1_95EF_0000E8CF5EB3_.wvu.Cols" hidden="1">#REF!</definedName>
    <definedName name="Z_EA535763_8732_11D1_95EF_0000E8CF5EB3_.wvu.Cols" hidden="1">#REF!</definedName>
    <definedName name="Z_EA535764_8732_11D1_95EF_0000E8CF5EB3_.wvu.Cols" hidden="1">#REF!</definedName>
    <definedName name="Z_EA535765_8732_11D1_95EF_0000E8CF5EB3_.wvu.Cols" hidden="1">#REF!</definedName>
    <definedName name="Z_EA535766_8732_11D1_95EF_0000E8CF5EB3_.wvu.Cols" hidden="1">#REF!</definedName>
    <definedName name="Z_EA535769_8732_11D1_95EF_0000E8CF5EB3_.wvu.Cols" hidden="1">#REF!</definedName>
    <definedName name="Z_EA53576A_8732_11D1_95EF_0000E8CF5EB3_.wvu.Cols" hidden="1">#REF!</definedName>
    <definedName name="Z_EA53576B_8732_11D1_95EF_0000E8CF5EB3_.wvu.Cols" hidden="1">#REF!</definedName>
    <definedName name="Z_EA53576C_8732_11D1_95EF_0000E8CF5EB3_.wvu.Cols" hidden="1">#REF!</definedName>
    <definedName name="Z_EA53576D_8732_11D1_95EF_0000E8CF5EB3_.wvu.Cols" hidden="1">#REF!</definedName>
    <definedName name="Z_EA53576E_8732_11D1_95EF_0000E8CF5EB3_.wvu.Cols" hidden="1">#REF!</definedName>
    <definedName name="Z_EF47245B_DF36_11D1_9882_0080ADB6C79E_.wvu.Cols" hidden="1">#REF!</definedName>
    <definedName name="Z_EF47245D_DF36_11D1_9882_0080ADB6C79E_.wvu.Cols" hidden="1">#REF!</definedName>
    <definedName name="Z_EF49ADA1_626D_4B25_B4EE_2ED781FC9DF3_.wvu.Rows" hidden="1">#REF!,#REF!</definedName>
    <definedName name="Z_EOAF_VR_BUSO" localSheetId="4">#REF!</definedName>
    <definedName name="Z_EOAF_VR_BUSO" localSheetId="1">#REF!</definedName>
    <definedName name="Z_EOAF_VR_BUSO" localSheetId="7">[37]ban!$AJ$108</definedName>
    <definedName name="Z_EOAF_VR_BUSO" localSheetId="2">#REF!</definedName>
    <definedName name="Z_EOAF_VR_BUSO">#REF!</definedName>
    <definedName name="Z_F1160D70_C47F_11D1_90EF_0000E8CF30B3_.wvu.Cols" localSheetId="4" hidden="1">#REF!,#REF!,#REF!</definedName>
    <definedName name="Z_F1160D70_C47F_11D1_90EF_0000E8CF30B3_.wvu.Cols" localSheetId="2" hidden="1">#REF!,#REF!,#REF!</definedName>
    <definedName name="Z_F1160D70_C47F_11D1_90EF_0000E8CF30B3_.wvu.Cols" hidden="1">#REF!,#REF!,#REF!</definedName>
    <definedName name="Z_F1160D71_C47F_11D1_90EF_0000E8CF30B3_.wvu.Cols" localSheetId="2" hidden="1">#REF!,#REF!,#REF!</definedName>
    <definedName name="Z_F1160D71_C47F_11D1_90EF_0000E8CF30B3_.wvu.Cols" hidden="1">#REF!,#REF!,#REF!</definedName>
    <definedName name="Z_F90B6743_659D_11D1_95EE_0000E8CF5EB3_.wvu.Cols" hidden="1">#REF!</definedName>
    <definedName name="Z_F90B6744_659D_11D1_95EE_0000E8CF5EB3_.wvu.Cols" hidden="1">#REF!</definedName>
    <definedName name="Z_F90B6745_659D_11D1_95EE_0000E8CF5EB3_.wvu.Cols" hidden="1">#REF!</definedName>
    <definedName name="Z_F90B6746_659D_11D1_95EE_0000E8CF5EB3_.wvu.Cols" hidden="1">#REF!</definedName>
    <definedName name="Z_F90B6747_659D_11D1_95EE_0000E8CF5EB3_.wvu.Cols" hidden="1">#REF!</definedName>
    <definedName name="Z_F90B6748_659D_11D1_95EE_0000E8CF5EB3_.wvu.Cols" hidden="1">#REF!</definedName>
    <definedName name="Z_F913CCE4_7856_11D1_95EF_0000E8CF5EB3_.wvu.Cols" hidden="1">#REF!</definedName>
    <definedName name="Z_F913CCE5_7856_11D1_95EF_0000E8CF5EB3_.wvu.Cols" hidden="1">#REF!</definedName>
    <definedName name="Z_F913CCE6_7856_11D1_95EF_0000E8CF5EB3_.wvu.Cols" hidden="1">#REF!</definedName>
    <definedName name="Z_F913CCE7_7856_11D1_95EF_0000E8CF5EB3_.wvu.Cols" hidden="1">#REF!</definedName>
    <definedName name="Z_F913CCE8_7856_11D1_95EF_0000E8CF5EB3_.wvu.Cols" hidden="1">#REF!</definedName>
    <definedName name="Z_F913CCE9_7856_11D1_95EF_0000E8CF5EB3_.wvu.Cols" hidden="1">#REF!</definedName>
    <definedName name="Z_F93CD385_71FE_11D1_95EF_0000E8CF5EB3_.wvu.Cols" hidden="1">#REF!</definedName>
    <definedName name="Z_F93CD386_71FE_11D1_95EF_0000E8CF5EB3_.wvu.Cols" hidden="1">#REF!</definedName>
    <definedName name="Z_F93CD387_71FE_11D1_95EF_0000E8CF5EB3_.wvu.Cols" hidden="1">#REF!</definedName>
    <definedName name="Z_F93CD388_71FE_11D1_95EF_0000E8CF5EB3_.wvu.Cols" hidden="1">#REF!</definedName>
    <definedName name="Z_F93CD389_71FE_11D1_95EF_0000E8CF5EB3_.wvu.Cols" hidden="1">#REF!</definedName>
    <definedName name="Z_F93CD38A_71FE_11D1_95EF_0000E8CF5EB3_.wvu.Cols" hidden="1">#REF!</definedName>
    <definedName name="Z_FD318841_88F2_11D1_95EF_0000E8CF5EB3_.wvu.Cols" hidden="1">#REF!</definedName>
    <definedName name="Z_FD318842_88F2_11D1_95EF_0000E8CF5EB3_.wvu.Cols" hidden="1">#REF!</definedName>
    <definedName name="Z_FD318843_88F2_11D1_95EF_0000E8CF5EB3_.wvu.Cols" hidden="1">#REF!</definedName>
    <definedName name="Z_FD318844_88F2_11D1_95EF_0000E8CF5EB3_.wvu.Cols" hidden="1">#REF!</definedName>
    <definedName name="Z_FD318845_88F2_11D1_95EF_0000E8CF5EB3_.wvu.Cols" hidden="1">#REF!</definedName>
    <definedName name="Z_FD318846_88F2_11D1_95EF_0000E8CF5EB3_.wvu.Cols" hidden="1">#REF!</definedName>
    <definedName name="Z_FFDCDCC3_6D54_11D1_95EF_0000E8CF5EB3_.wvu.Cols" hidden="1">#REF!</definedName>
    <definedName name="Z_FFDCDCC4_6D54_11D1_95EF_0000E8CF5EB3_.wvu.Cols" hidden="1">#REF!</definedName>
    <definedName name="Z_FFDCDCC5_6D54_11D1_95EF_0000E8CF5EB3_.wvu.Cols" hidden="1">#REF!</definedName>
    <definedName name="Z_FFDCDCC6_6D54_11D1_95EF_0000E8CF5EB3_.wvu.Cols" hidden="1">#REF!</definedName>
    <definedName name="Z_FFDCDCC7_6D54_11D1_95EF_0000E8CF5EB3_.wvu.Cols" hidden="1">#REF!</definedName>
    <definedName name="Z_FFDCDCC8_6D54_11D1_95EF_0000E8CF5EB3_.wvu.Cols" hidden="1">#REF!</definedName>
    <definedName name="Z_FFDCDCD8_6D54_11D1_95EF_0000E8CF5EB3_.wvu.Cols" hidden="1">#REF!</definedName>
    <definedName name="Z_FFDCDCD9_6D54_11D1_95EF_0000E8CF5EB3_.wvu.Cols" hidden="1">#REF!</definedName>
    <definedName name="Z_FFDCDCDA_6D54_11D1_95EF_0000E8CF5EB3_.wvu.Cols" hidden="1">#REF!</definedName>
    <definedName name="Z_FFDCDCDB_6D54_11D1_95EF_0000E8CF5EB3_.wvu.Cols" hidden="1">#REF!</definedName>
    <definedName name="Z_FFDCDCDC_6D54_11D1_95EF_0000E8CF5EB3_.wvu.Cols" hidden="1">#REF!</definedName>
    <definedName name="Z_FFDCDCDD_6D54_11D1_95EF_0000E8CF5EB3_.wvu.Cols" hidden="1">#REF!</definedName>
    <definedName name="Z_PREV_INC_94" localSheetId="4">#REF!</definedName>
    <definedName name="Z_PREV_INC_94" localSheetId="1">#REF!</definedName>
    <definedName name="Z_PREV_INC_94" localSheetId="7">[37]ban!$AL$105</definedName>
    <definedName name="Z_PREV_INC_94">#REF!</definedName>
    <definedName name="zd" localSheetId="7" hidden="1">[7]SINTESIS!$M$7:$M$12</definedName>
    <definedName name="zd" hidden="1">#REF!</definedName>
    <definedName name="ZSHSHSH" localSheetId="5" hidden="1">{#N/A,#N/A,FALSE,"Dutos";#N/A,#N/A,FALSE,"Terminais"}</definedName>
    <definedName name="ZSHSHSH" localSheetId="11" hidden="1">{#N/A,#N/A,FALSE,"Dutos";#N/A,#N/A,FALSE,"Terminais"}</definedName>
    <definedName name="ZSHSHSH" localSheetId="4" hidden="1">{#N/A,#N/A,FALSE,"Dutos";#N/A,#N/A,FALSE,"Terminais"}</definedName>
    <definedName name="ZSHSHSH" localSheetId="2" hidden="1">{#N/A,#N/A,FALSE,"Dutos";#N/A,#N/A,FALSE,"Terminais"}</definedName>
    <definedName name="ZSHSHSH" localSheetId="13" hidden="1">{#N/A,#N/A,FALSE,"Dutos";#N/A,#N/A,FALSE,"Terminais"}</definedName>
    <definedName name="ZSHSHSH" localSheetId="12" hidden="1">{#N/A,#N/A,FALSE,"Dutos";#N/A,#N/A,FALSE,"Terminais"}</definedName>
    <definedName name="ZSHSHSH" localSheetId="15" hidden="1">{#N/A,#N/A,FALSE,"Dutos";#N/A,#N/A,FALSE,"Terminais"}</definedName>
    <definedName name="ZSHSHSH" localSheetId="14" hidden="1">{#N/A,#N/A,FALSE,"Dutos";#N/A,#N/A,FALSE,"Terminais"}</definedName>
    <definedName name="ZSHSHSH" hidden="1">{#N/A,#N/A,FALSE,"Dutos";#N/A,#N/A,FALSE,"Terminais"}</definedName>
    <definedName name="ZZ" localSheetId="1">#REF!</definedName>
    <definedName name="ZZ" localSheetId="7">#REF!</definedName>
    <definedName name="ZZ" localSheetId="2">#REF!</definedName>
    <definedName name="Z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9" i="38" l="1"/>
  <c r="E49" i="38"/>
  <c r="F49" i="38"/>
  <c r="G49" i="38"/>
  <c r="D50" i="38"/>
  <c r="E50" i="38"/>
  <c r="F50" i="38"/>
  <c r="G50" i="38"/>
  <c r="D51" i="38"/>
  <c r="E51" i="38"/>
  <c r="F51" i="38"/>
  <c r="G51" i="38"/>
  <c r="D52" i="38"/>
  <c r="E52" i="38"/>
  <c r="F52" i="38"/>
  <c r="G52" i="38"/>
  <c r="D53" i="38"/>
  <c r="E53" i="38"/>
  <c r="F53" i="38"/>
  <c r="D54" i="38"/>
  <c r="E54" i="38"/>
  <c r="F54" i="38"/>
  <c r="G54" i="38"/>
  <c r="C49" i="38"/>
  <c r="C51" i="38"/>
  <c r="C53" i="38"/>
  <c r="H38" i="38"/>
  <c r="I6" i="67" l="1"/>
  <c r="I6" i="60" l="1"/>
  <c r="N147" i="74"/>
  <c r="N146" i="74"/>
  <c r="N145" i="74"/>
  <c r="N144" i="74"/>
  <c r="N143" i="74"/>
  <c r="N142" i="74"/>
  <c r="N141" i="74"/>
  <c r="N140" i="74"/>
  <c r="N139" i="74"/>
  <c r="N138" i="74"/>
  <c r="N137" i="74"/>
  <c r="N136" i="74"/>
  <c r="N135" i="74"/>
  <c r="N134" i="74"/>
  <c r="N133" i="74"/>
  <c r="N132" i="74"/>
  <c r="N131" i="74"/>
  <c r="N130" i="74"/>
  <c r="N129" i="74"/>
  <c r="N128" i="74"/>
  <c r="N127" i="74"/>
  <c r="N126" i="74"/>
  <c r="N125" i="74"/>
  <c r="N124" i="74"/>
  <c r="N123" i="74"/>
  <c r="N122" i="74"/>
  <c r="N121" i="74"/>
  <c r="N120" i="74"/>
  <c r="N119" i="74"/>
  <c r="N118" i="74"/>
  <c r="N117" i="74"/>
  <c r="N116" i="74"/>
  <c r="N115" i="74"/>
  <c r="N114" i="74"/>
  <c r="N113" i="74"/>
  <c r="N112" i="74"/>
  <c r="N111" i="74"/>
  <c r="N110" i="74"/>
  <c r="N109" i="74"/>
  <c r="N108" i="74"/>
  <c r="N107" i="74"/>
  <c r="N106" i="74"/>
  <c r="N105" i="74"/>
  <c r="N104" i="74"/>
  <c r="N103" i="74"/>
  <c r="N102" i="74"/>
  <c r="N101" i="74"/>
  <c r="N100" i="74"/>
  <c r="N99" i="74"/>
  <c r="N98" i="74"/>
  <c r="N97" i="74"/>
  <c r="N96" i="74"/>
  <c r="N95" i="74"/>
  <c r="N94" i="74"/>
  <c r="N93" i="74"/>
  <c r="N92" i="74"/>
  <c r="N91" i="74"/>
  <c r="N90" i="74"/>
  <c r="N89" i="74"/>
  <c r="N88" i="74"/>
  <c r="N87" i="74"/>
  <c r="N86" i="74"/>
  <c r="N85" i="74"/>
  <c r="N84" i="74"/>
  <c r="N83" i="74"/>
  <c r="N82" i="74"/>
  <c r="N81" i="74"/>
  <c r="N80" i="74"/>
  <c r="N79" i="74"/>
  <c r="N78" i="74"/>
  <c r="N77" i="74"/>
  <c r="N76" i="74"/>
  <c r="N75" i="74"/>
  <c r="N74" i="74"/>
  <c r="N73" i="74"/>
  <c r="N72" i="74"/>
  <c r="N71" i="74"/>
  <c r="N70" i="74"/>
  <c r="N69" i="74"/>
  <c r="N68" i="74"/>
  <c r="N67" i="74"/>
  <c r="N66" i="74"/>
  <c r="N65" i="74"/>
  <c r="N64" i="74"/>
  <c r="N63" i="74"/>
  <c r="N62" i="74"/>
  <c r="N61" i="74"/>
  <c r="N60" i="74"/>
  <c r="N59" i="74"/>
  <c r="N58" i="74"/>
  <c r="N57" i="74"/>
  <c r="N56" i="74"/>
  <c r="N55" i="74"/>
  <c r="N54" i="74"/>
  <c r="N53" i="74"/>
  <c r="N52" i="74"/>
  <c r="N51" i="74"/>
  <c r="N50" i="74"/>
  <c r="N49" i="74"/>
  <c r="N48" i="74"/>
  <c r="N47" i="74"/>
  <c r="N46" i="74"/>
  <c r="N45" i="74"/>
  <c r="N44" i="74"/>
  <c r="N43" i="74"/>
  <c r="N42" i="74"/>
  <c r="N41" i="74"/>
  <c r="N40" i="74"/>
  <c r="N39" i="74"/>
  <c r="N38" i="74"/>
  <c r="N37" i="74"/>
  <c r="N36" i="74"/>
  <c r="N35" i="74"/>
  <c r="N34" i="74"/>
  <c r="N33" i="74"/>
  <c r="N32" i="74"/>
  <c r="N31" i="74"/>
  <c r="N30" i="74"/>
  <c r="N29" i="74"/>
  <c r="N28" i="74"/>
  <c r="N27" i="74"/>
  <c r="N26" i="74"/>
  <c r="N25" i="74"/>
  <c r="N24" i="74"/>
  <c r="N23" i="74"/>
  <c r="N22" i="74"/>
  <c r="N21" i="74"/>
  <c r="N20" i="74"/>
  <c r="N19" i="74"/>
  <c r="N18" i="74"/>
  <c r="N17" i="74"/>
  <c r="N16" i="74"/>
  <c r="N15" i="74"/>
  <c r="N14" i="74"/>
  <c r="N13" i="74"/>
  <c r="N12" i="74"/>
  <c r="N11" i="74"/>
  <c r="N10" i="74"/>
  <c r="N9" i="74"/>
  <c r="N8" i="74"/>
  <c r="N7" i="74"/>
  <c r="N6" i="74"/>
  <c r="N5" i="74"/>
  <c r="N4" i="74"/>
  <c r="N3" i="74"/>
  <c r="AE147" i="73"/>
  <c r="AE146" i="73"/>
  <c r="AE145" i="73"/>
  <c r="AE144" i="73"/>
  <c r="AE143" i="73"/>
  <c r="AE142" i="73"/>
  <c r="AE141" i="73"/>
  <c r="AE140" i="73"/>
  <c r="AE139" i="73"/>
  <c r="AE138" i="73"/>
  <c r="AE137" i="73"/>
  <c r="AE136" i="73"/>
  <c r="AE135" i="73"/>
  <c r="AE134" i="73"/>
  <c r="AE133" i="73"/>
  <c r="AE132" i="73"/>
  <c r="AE131" i="73"/>
  <c r="AE130" i="73"/>
  <c r="AE129" i="73"/>
  <c r="AE128" i="73"/>
  <c r="AE127" i="73"/>
  <c r="AE126" i="73"/>
  <c r="AE125" i="73"/>
  <c r="AE124" i="73"/>
  <c r="AE123" i="73"/>
  <c r="AE122" i="73"/>
  <c r="AE121" i="73"/>
  <c r="AE120" i="73"/>
  <c r="AE119" i="73"/>
  <c r="AE118" i="73"/>
  <c r="AE117" i="73"/>
  <c r="AE116" i="73"/>
  <c r="AE115" i="73"/>
  <c r="AE114" i="73"/>
  <c r="AE113" i="73"/>
  <c r="AE112" i="73"/>
  <c r="AE111" i="73"/>
  <c r="AE110" i="73"/>
  <c r="AE109" i="73"/>
  <c r="AE108" i="73"/>
  <c r="AE107" i="73"/>
  <c r="AE106" i="73"/>
  <c r="AE105" i="73"/>
  <c r="AE104" i="73"/>
  <c r="AE103" i="73"/>
  <c r="AE102" i="73"/>
  <c r="AE101" i="73"/>
  <c r="AE100" i="73"/>
  <c r="AE99" i="73"/>
  <c r="AE98" i="73"/>
  <c r="AE97" i="73"/>
  <c r="AE96" i="73"/>
  <c r="AE95" i="73"/>
  <c r="AE94" i="73"/>
  <c r="AE93" i="73"/>
  <c r="AE92" i="73"/>
  <c r="AE91" i="73"/>
  <c r="AE90" i="73"/>
  <c r="AE89" i="73"/>
  <c r="AE88" i="73"/>
  <c r="AE87" i="73"/>
  <c r="AE86" i="73"/>
  <c r="AE85" i="73"/>
  <c r="AE84" i="73"/>
  <c r="AE83" i="73"/>
  <c r="AE82" i="73"/>
  <c r="AE81" i="73"/>
  <c r="AE80" i="73"/>
  <c r="AE79" i="73"/>
  <c r="AE78" i="73"/>
  <c r="AE77" i="73"/>
  <c r="AE76" i="73"/>
  <c r="AE75" i="73"/>
  <c r="AE74" i="73"/>
  <c r="AE73" i="73"/>
  <c r="AE72" i="73"/>
  <c r="AE71" i="73"/>
  <c r="AE70" i="73"/>
  <c r="AE69" i="73"/>
  <c r="AE68" i="73"/>
  <c r="AE67" i="73"/>
  <c r="AE66" i="73"/>
  <c r="AE65" i="73"/>
  <c r="AE64" i="73"/>
  <c r="AE63" i="73"/>
  <c r="AE62" i="73"/>
  <c r="AE61" i="73"/>
  <c r="AE60" i="73"/>
  <c r="AE59" i="73"/>
  <c r="AE58" i="73"/>
  <c r="AE57" i="73"/>
  <c r="AE56" i="73"/>
  <c r="AE55" i="73"/>
  <c r="AE54" i="73"/>
  <c r="AE53" i="73"/>
  <c r="AE52" i="73"/>
  <c r="AE51" i="73"/>
  <c r="AE50" i="73"/>
  <c r="AE49" i="73"/>
  <c r="AE48" i="73"/>
  <c r="AE47" i="73"/>
  <c r="AE46" i="73"/>
  <c r="AE45" i="73"/>
  <c r="AE44" i="73"/>
  <c r="AE43" i="73"/>
  <c r="AE42" i="73"/>
  <c r="AE41" i="73"/>
  <c r="AE40" i="73"/>
  <c r="AE39" i="73"/>
  <c r="AE38" i="73"/>
  <c r="AE37" i="73"/>
  <c r="AE36" i="73"/>
  <c r="AE35" i="73"/>
  <c r="AE34" i="73"/>
  <c r="AE33" i="73"/>
  <c r="AE32" i="73"/>
  <c r="AE31" i="73"/>
  <c r="AE30" i="73"/>
  <c r="AE29" i="73"/>
  <c r="AE28" i="73"/>
  <c r="AE27" i="73"/>
  <c r="AE26" i="73"/>
  <c r="AE25" i="73"/>
  <c r="AE24" i="73"/>
  <c r="AE23" i="73"/>
  <c r="AE22" i="73"/>
  <c r="AE21" i="73"/>
  <c r="AE20" i="73"/>
  <c r="AE19" i="73"/>
  <c r="AE18" i="73"/>
  <c r="AE17" i="73"/>
  <c r="AE16" i="73"/>
  <c r="AE15" i="73"/>
  <c r="AE14" i="73"/>
  <c r="AE13" i="73"/>
  <c r="AE12" i="73"/>
  <c r="AE11" i="73"/>
  <c r="AE10" i="73"/>
  <c r="AE9" i="73"/>
  <c r="AE8" i="73"/>
  <c r="AE7" i="73"/>
  <c r="AE6" i="73"/>
  <c r="AE5" i="73"/>
  <c r="AE4" i="73"/>
  <c r="AE3" i="73"/>
  <c r="R148" i="73"/>
  <c r="Q148" i="73"/>
  <c r="P148" i="73"/>
  <c r="O148" i="73"/>
  <c r="N148" i="73"/>
  <c r="M148" i="73"/>
  <c r="M147" i="73"/>
  <c r="M146" i="73"/>
  <c r="M145" i="73"/>
  <c r="M144" i="73"/>
  <c r="M143" i="73"/>
  <c r="M142" i="73"/>
  <c r="M141" i="73"/>
  <c r="M140" i="73"/>
  <c r="M139" i="73"/>
  <c r="M138" i="73"/>
  <c r="M137" i="73"/>
  <c r="M136" i="73"/>
  <c r="M135" i="73"/>
  <c r="M134" i="73"/>
  <c r="M133" i="73"/>
  <c r="M132" i="73"/>
  <c r="M131" i="73"/>
  <c r="M130" i="73"/>
  <c r="M129" i="73"/>
  <c r="M128" i="73"/>
  <c r="M127" i="73"/>
  <c r="M126" i="73"/>
  <c r="M125" i="73"/>
  <c r="M124" i="73"/>
  <c r="M123" i="73"/>
  <c r="M122" i="73"/>
  <c r="M121" i="73"/>
  <c r="M120" i="73"/>
  <c r="M119" i="73"/>
  <c r="M118" i="73"/>
  <c r="M117" i="73"/>
  <c r="M116" i="73"/>
  <c r="M115" i="73"/>
  <c r="M114" i="73"/>
  <c r="M113" i="73"/>
  <c r="M112" i="73"/>
  <c r="M111" i="73"/>
  <c r="M110" i="73"/>
  <c r="M109" i="73"/>
  <c r="M108" i="73"/>
  <c r="M107" i="73"/>
  <c r="M106" i="73"/>
  <c r="M105" i="73"/>
  <c r="M104" i="73"/>
  <c r="M103" i="73"/>
  <c r="M102" i="73"/>
  <c r="M101" i="73"/>
  <c r="M100" i="73"/>
  <c r="M99" i="73"/>
  <c r="M98" i="73"/>
  <c r="M97" i="73"/>
  <c r="M96" i="73"/>
  <c r="M95" i="73"/>
  <c r="M94" i="73"/>
  <c r="M93" i="73"/>
  <c r="M92" i="73"/>
  <c r="M91" i="73"/>
  <c r="M90" i="73"/>
  <c r="M89" i="73"/>
  <c r="M88" i="73"/>
  <c r="M87" i="73"/>
  <c r="M86" i="73"/>
  <c r="M85" i="73"/>
  <c r="M84" i="73"/>
  <c r="M83" i="73"/>
  <c r="M82" i="73"/>
  <c r="M81" i="73"/>
  <c r="M80" i="73"/>
  <c r="M79" i="73"/>
  <c r="M78" i="73"/>
  <c r="M77" i="73"/>
  <c r="M76" i="73"/>
  <c r="M75" i="73"/>
  <c r="M74" i="73"/>
  <c r="M73" i="73"/>
  <c r="M72" i="73"/>
  <c r="M71" i="73"/>
  <c r="M70" i="73"/>
  <c r="M69" i="73"/>
  <c r="M68" i="73"/>
  <c r="M67" i="73"/>
  <c r="M66" i="73"/>
  <c r="M65" i="73"/>
  <c r="M64" i="73"/>
  <c r="M63" i="73"/>
  <c r="M62" i="73"/>
  <c r="M61" i="73"/>
  <c r="M60" i="73"/>
  <c r="M59" i="73"/>
  <c r="M58" i="73"/>
  <c r="M57" i="73"/>
  <c r="M56" i="73"/>
  <c r="M55" i="73"/>
  <c r="M54" i="73"/>
  <c r="M53" i="73"/>
  <c r="M52" i="73"/>
  <c r="M51" i="73"/>
  <c r="M50" i="73"/>
  <c r="M49" i="73"/>
  <c r="M48" i="73"/>
  <c r="M47" i="73"/>
  <c r="M46" i="73"/>
  <c r="M45" i="73"/>
  <c r="M44" i="73"/>
  <c r="M43" i="73"/>
  <c r="M42" i="73"/>
  <c r="M41" i="73"/>
  <c r="M40" i="73"/>
  <c r="M39" i="73"/>
  <c r="M38" i="73"/>
  <c r="M37" i="73"/>
  <c r="M36" i="73"/>
  <c r="M35" i="73"/>
  <c r="M34" i="73"/>
  <c r="M33" i="73"/>
  <c r="M32" i="73"/>
  <c r="M31" i="73"/>
  <c r="M30" i="73"/>
  <c r="M29" i="73"/>
  <c r="M28" i="73"/>
  <c r="M27" i="73"/>
  <c r="M26" i="73"/>
  <c r="M25" i="73"/>
  <c r="M24" i="73"/>
  <c r="M23" i="73"/>
  <c r="M22" i="73"/>
  <c r="M21" i="73"/>
  <c r="M20" i="73"/>
  <c r="M19" i="73"/>
  <c r="M18" i="73"/>
  <c r="M17" i="73"/>
  <c r="M16" i="73"/>
  <c r="M15" i="73"/>
  <c r="M14" i="73"/>
  <c r="M13" i="73"/>
  <c r="M12" i="73"/>
  <c r="M11" i="73"/>
  <c r="M10" i="73"/>
  <c r="M9" i="73"/>
  <c r="M8" i="73"/>
  <c r="M7" i="73"/>
  <c r="M6" i="73"/>
  <c r="M5" i="73"/>
  <c r="M4" i="73"/>
  <c r="M3" i="73"/>
  <c r="C6" i="62"/>
  <c r="H6" i="38" l="1"/>
  <c r="N330" i="77" l="1"/>
  <c r="O330" i="77" s="1"/>
  <c r="L330" i="77" s="1"/>
  <c r="N329" i="77"/>
  <c r="O329" i="77" s="1"/>
  <c r="L329" i="77" s="1"/>
  <c r="C21" i="82"/>
  <c r="E10" i="82"/>
  <c r="E8" i="82"/>
  <c r="E7" i="82"/>
  <c r="H6" i="82"/>
  <c r="E19" i="82" s="1"/>
  <c r="E6" i="82"/>
  <c r="E5" i="82"/>
  <c r="E21" i="82" l="1"/>
  <c r="C19" i="38" s="1"/>
  <c r="C50" i="38" s="1"/>
  <c r="E14" i="82"/>
  <c r="E15" i="82"/>
  <c r="E16" i="82"/>
  <c r="E17" i="82"/>
  <c r="AF6" i="83" l="1"/>
  <c r="AE7" i="83"/>
  <c r="AG7" i="83" s="1"/>
  <c r="AH7" i="83" s="1"/>
  <c r="AE8" i="83"/>
  <c r="AE9" i="83"/>
  <c r="AG9" i="83" s="1"/>
  <c r="AH9" i="83" s="1"/>
  <c r="AE10" i="83"/>
  <c r="AE11" i="83"/>
  <c r="AG11" i="83" s="1"/>
  <c r="AH11" i="83" s="1"/>
  <c r="AE12" i="83"/>
  <c r="AG12" i="83" s="1"/>
  <c r="AH12" i="83" s="1"/>
  <c r="AE13" i="83"/>
  <c r="AE14" i="83"/>
  <c r="AG14" i="83" s="1"/>
  <c r="AH14" i="83" s="1"/>
  <c r="AE15" i="83"/>
  <c r="AG15" i="83" s="1"/>
  <c r="AH15" i="83" s="1"/>
  <c r="AE16" i="83"/>
  <c r="AE17" i="83"/>
  <c r="AG17" i="83" s="1"/>
  <c r="AH17" i="83" s="1"/>
  <c r="AE18" i="83"/>
  <c r="AE19" i="83"/>
  <c r="AE20" i="83"/>
  <c r="AG20" i="83" s="1"/>
  <c r="AH20" i="83" s="1"/>
  <c r="AE21" i="83"/>
  <c r="AG21" i="83" s="1"/>
  <c r="AH21" i="83" s="1"/>
  <c r="AE22" i="83"/>
  <c r="AG22" i="83" s="1"/>
  <c r="AH22" i="83" s="1"/>
  <c r="AE23" i="83"/>
  <c r="AG23" i="83" s="1"/>
  <c r="AH23" i="83" s="1"/>
  <c r="AE24" i="83"/>
  <c r="AE25" i="83"/>
  <c r="AE26" i="83"/>
  <c r="AE27" i="83"/>
  <c r="AE28" i="83"/>
  <c r="AG28" i="83" s="1"/>
  <c r="AH28" i="83" s="1"/>
  <c r="AE29" i="83"/>
  <c r="AG29" i="83" s="1"/>
  <c r="AE30" i="83"/>
  <c r="AG30" i="83" s="1"/>
  <c r="AH30" i="83" s="1"/>
  <c r="AE31" i="83"/>
  <c r="AG31" i="83" s="1"/>
  <c r="AH31" i="83" s="1"/>
  <c r="AE32" i="83"/>
  <c r="AE33" i="83"/>
  <c r="AG33" i="83" s="1"/>
  <c r="AH33" i="83" s="1"/>
  <c r="AE34" i="83"/>
  <c r="AE35" i="83"/>
  <c r="AG35" i="83" s="1"/>
  <c r="AH35" i="83" s="1"/>
  <c r="AE36" i="83"/>
  <c r="AG36" i="83" s="1"/>
  <c r="AH36" i="83" s="1"/>
  <c r="AE37" i="83"/>
  <c r="AG37" i="83" s="1"/>
  <c r="AE38" i="83"/>
  <c r="AG38" i="83" s="1"/>
  <c r="AH38" i="83" s="1"/>
  <c r="AE39" i="83"/>
  <c r="AG39" i="83" s="1"/>
  <c r="AH39" i="83" s="1"/>
  <c r="AE40" i="83"/>
  <c r="AE41" i="83"/>
  <c r="AG41" i="83" s="1"/>
  <c r="AH41" i="83" s="1"/>
  <c r="AE42" i="83"/>
  <c r="AE43" i="83"/>
  <c r="AG43" i="83" s="1"/>
  <c r="AH43" i="83" s="1"/>
  <c r="AE44" i="83"/>
  <c r="AG44" i="83" s="1"/>
  <c r="AH44" i="83" s="1"/>
  <c r="AE45" i="83"/>
  <c r="AG45" i="83" s="1"/>
  <c r="AE46" i="83"/>
  <c r="AE47" i="83"/>
  <c r="AG47" i="83" s="1"/>
  <c r="AE48" i="83"/>
  <c r="AE49" i="83"/>
  <c r="AE50" i="83"/>
  <c r="AE51" i="83"/>
  <c r="AG51" i="83"/>
  <c r="AH51" i="83" s="1"/>
  <c r="AE52" i="83"/>
  <c r="AE53" i="83"/>
  <c r="AG53" i="83" s="1"/>
  <c r="AH53" i="83" s="1"/>
  <c r="AE54" i="83"/>
  <c r="AG54" i="83" s="1"/>
  <c r="AH54" i="83" s="1"/>
  <c r="AE55" i="83"/>
  <c r="AG55" i="83" s="1"/>
  <c r="AH55" i="83" s="1"/>
  <c r="AE56" i="83"/>
  <c r="AE57" i="83"/>
  <c r="AG57" i="83" s="1"/>
  <c r="AH57" i="83" s="1"/>
  <c r="AE58" i="83"/>
  <c r="AE59" i="83"/>
  <c r="AE60" i="83"/>
  <c r="AG60" i="83" s="1"/>
  <c r="AH60" i="83" s="1"/>
  <c r="AE61" i="83"/>
  <c r="AG61" i="83" s="1"/>
  <c r="AE62" i="83"/>
  <c r="AG62" i="83" s="1"/>
  <c r="AH62" i="83" s="1"/>
  <c r="AE63" i="83"/>
  <c r="AG63" i="83" s="1"/>
  <c r="AE64" i="83"/>
  <c r="AE65" i="83"/>
  <c r="AG65" i="83" s="1"/>
  <c r="AH65" i="83" s="1"/>
  <c r="AE66" i="83"/>
  <c r="AE67" i="83"/>
  <c r="AG67" i="83" s="1"/>
  <c r="AE68" i="83"/>
  <c r="AE69" i="83"/>
  <c r="AG69" i="83" s="1"/>
  <c r="AH69" i="83" s="1"/>
  <c r="AE70" i="83"/>
  <c r="AG70" i="83" s="1"/>
  <c r="AH70" i="83" s="1"/>
  <c r="AE71" i="83"/>
  <c r="AG71" i="83" s="1"/>
  <c r="AH71" i="83" s="1"/>
  <c r="AE72" i="83"/>
  <c r="AK72" i="83"/>
  <c r="AE73" i="83"/>
  <c r="AK73" i="83"/>
  <c r="AE74" i="83"/>
  <c r="AK74" i="83"/>
  <c r="AE75" i="83"/>
  <c r="AG75" i="83" s="1"/>
  <c r="AH75" i="83" s="1"/>
  <c r="AE76" i="83"/>
  <c r="AG76" i="83" s="1"/>
  <c r="AH76" i="83"/>
  <c r="AE77" i="83"/>
  <c r="AE78" i="83"/>
  <c r="AG78" i="83" s="1"/>
  <c r="AH78" i="83" s="1"/>
  <c r="AE79" i="83"/>
  <c r="AG79" i="83"/>
  <c r="AE80" i="83"/>
  <c r="AE81" i="83"/>
  <c r="AG81" i="83" s="1"/>
  <c r="AJ81" i="83" s="1"/>
  <c r="AE82" i="83"/>
  <c r="AE83" i="83"/>
  <c r="AG83" i="83" s="1"/>
  <c r="AE84" i="83"/>
  <c r="AE85" i="83"/>
  <c r="AE86" i="83"/>
  <c r="AG86" i="83" s="1"/>
  <c r="AH86" i="83" s="1"/>
  <c r="AE87" i="83"/>
  <c r="AG87" i="83" s="1"/>
  <c r="AH87" i="83" s="1"/>
  <c r="AE88" i="83"/>
  <c r="AE89" i="83"/>
  <c r="AG89" i="83" s="1"/>
  <c r="AE90" i="83"/>
  <c r="AE91" i="83"/>
  <c r="AE92" i="83"/>
  <c r="AG92" i="83" s="1"/>
  <c r="AH92" i="83" s="1"/>
  <c r="AE93" i="83"/>
  <c r="AG93" i="83" s="1"/>
  <c r="AE94" i="83"/>
  <c r="AG94" i="83" s="1"/>
  <c r="AH94" i="83" s="1"/>
  <c r="AE95" i="83"/>
  <c r="AG95" i="83" s="1"/>
  <c r="AE96" i="83"/>
  <c r="AE97" i="83"/>
  <c r="AG97" i="83" s="1"/>
  <c r="AE98" i="83"/>
  <c r="AE99" i="83"/>
  <c r="AG99" i="83" s="1"/>
  <c r="AH99" i="83" s="1"/>
  <c r="AE100" i="83"/>
  <c r="AE101" i="83"/>
  <c r="AE102" i="83"/>
  <c r="AG102" i="83" s="1"/>
  <c r="AH102" i="83" s="1"/>
  <c r="AE103" i="83"/>
  <c r="AG103" i="83" s="1"/>
  <c r="AH103" i="83" s="1"/>
  <c r="AE104" i="83"/>
  <c r="AE105" i="83"/>
  <c r="AE106" i="83"/>
  <c r="AE107" i="83"/>
  <c r="AE108" i="83"/>
  <c r="AG108" i="83" s="1"/>
  <c r="AH108" i="83" s="1"/>
  <c r="AE109" i="83"/>
  <c r="AG109" i="83" s="1"/>
  <c r="AH109" i="83" s="1"/>
  <c r="AE110" i="83"/>
  <c r="AG110" i="83" s="1"/>
  <c r="AH110" i="83" s="1"/>
  <c r="AE111" i="83"/>
  <c r="AG111" i="83" s="1"/>
  <c r="AE112" i="83"/>
  <c r="AE113" i="83"/>
  <c r="AG113" i="83" s="1"/>
  <c r="AJ113" i="83" s="1"/>
  <c r="AE114" i="83"/>
  <c r="AE115" i="83"/>
  <c r="AG115" i="83"/>
  <c r="AH115" i="83" s="1"/>
  <c r="AE116" i="83"/>
  <c r="AE117" i="83"/>
  <c r="AG117" i="83" s="1"/>
  <c r="AE118" i="83"/>
  <c r="AG118" i="83" s="1"/>
  <c r="AH118" i="83" s="1"/>
  <c r="AE119" i="83"/>
  <c r="AG119" i="83"/>
  <c r="AH119" i="83" s="1"/>
  <c r="AE120" i="83"/>
  <c r="AE121" i="83"/>
  <c r="AG121" i="83"/>
  <c r="AE122" i="83"/>
  <c r="AE123" i="83"/>
  <c r="AG123" i="83" s="1"/>
  <c r="AH123" i="83" s="1"/>
  <c r="AE124" i="83"/>
  <c r="AG124" i="83" s="1"/>
  <c r="AH124" i="83" s="1"/>
  <c r="AE125" i="83"/>
  <c r="AG125" i="83" s="1"/>
  <c r="AH125" i="83" s="1"/>
  <c r="AE126" i="83"/>
  <c r="AG126" i="83" s="1"/>
  <c r="AH126" i="83" s="1"/>
  <c r="AE127" i="83"/>
  <c r="AG127" i="83" s="1"/>
  <c r="AE128" i="83"/>
  <c r="AE129" i="83"/>
  <c r="AG129" i="83" s="1"/>
  <c r="AE130" i="83"/>
  <c r="AE131" i="83"/>
  <c r="AG131" i="83" s="1"/>
  <c r="AH131" i="83" s="1"/>
  <c r="AE132" i="83"/>
  <c r="AE133" i="83"/>
  <c r="AG133" i="83" s="1"/>
  <c r="AE134" i="83"/>
  <c r="AG134" i="83" s="1"/>
  <c r="AH134" i="83" s="1"/>
  <c r="AE135" i="83"/>
  <c r="AE136" i="83"/>
  <c r="AE137" i="83"/>
  <c r="AG137" i="83"/>
  <c r="AH137" i="83" s="1"/>
  <c r="AE138" i="83"/>
  <c r="AE139" i="83"/>
  <c r="AG139" i="83"/>
  <c r="AH139" i="83" s="1"/>
  <c r="AE140" i="83"/>
  <c r="AE141" i="83"/>
  <c r="AG141" i="83" s="1"/>
  <c r="AE142" i="83"/>
  <c r="AG142" i="83" s="1"/>
  <c r="AH142" i="83" s="1"/>
  <c r="AE143" i="83"/>
  <c r="AG143" i="83" s="1"/>
  <c r="AH143" i="83" s="1"/>
  <c r="AE144" i="83"/>
  <c r="AG144" i="83" s="1"/>
  <c r="AH144" i="83" s="1"/>
  <c r="AE145" i="83"/>
  <c r="AE146" i="83"/>
  <c r="AE147" i="83"/>
  <c r="AG147" i="83" s="1"/>
  <c r="AE148" i="83"/>
  <c r="AG148" i="83" s="1"/>
  <c r="AH148" i="83" s="1"/>
  <c r="AE149" i="83"/>
  <c r="AG149" i="83" s="1"/>
  <c r="AH149" i="83" s="1"/>
  <c r="AE150" i="83"/>
  <c r="AG150" i="83"/>
  <c r="AH150" i="83" s="1"/>
  <c r="AE151" i="83"/>
  <c r="AG151" i="83" s="1"/>
  <c r="AH151" i="83" s="1"/>
  <c r="AE152" i="83"/>
  <c r="AE153" i="83"/>
  <c r="AG153" i="83" s="1"/>
  <c r="AE154" i="83"/>
  <c r="AG154" i="83" s="1"/>
  <c r="AH154" i="83" s="1"/>
  <c r="AE155" i="83"/>
  <c r="AE156" i="83"/>
  <c r="AG156" i="83" s="1"/>
  <c r="AH156" i="83" s="1"/>
  <c r="AE157" i="83"/>
  <c r="AG157" i="83" s="1"/>
  <c r="AH157" i="83" s="1"/>
  <c r="AE158" i="83"/>
  <c r="AG158" i="83" s="1"/>
  <c r="AH158" i="83" s="1"/>
  <c r="AE159" i="83"/>
  <c r="AG159" i="83" s="1"/>
  <c r="AH159" i="83" s="1"/>
  <c r="AE160" i="83"/>
  <c r="AG160" i="83" s="1"/>
  <c r="AH160" i="83" s="1"/>
  <c r="AE161" i="83"/>
  <c r="AG161" i="83" s="1"/>
  <c r="AH161" i="83" s="1"/>
  <c r="AE162" i="83"/>
  <c r="AE163" i="83"/>
  <c r="AG163" i="83" s="1"/>
  <c r="AH163" i="83" s="1"/>
  <c r="AE164" i="83"/>
  <c r="AG164" i="83" s="1"/>
  <c r="AH164" i="83" s="1"/>
  <c r="AJ164" i="83"/>
  <c r="AE165" i="83"/>
  <c r="AG165" i="83" s="1"/>
  <c r="AH165" i="83" s="1"/>
  <c r="AE166" i="83"/>
  <c r="AG166" i="83" s="1"/>
  <c r="AH166" i="83" s="1"/>
  <c r="AE167" i="83"/>
  <c r="AG167" i="83" s="1"/>
  <c r="AH167" i="83" s="1"/>
  <c r="AE168" i="83"/>
  <c r="AG168" i="83" s="1"/>
  <c r="AE169" i="83"/>
  <c r="AG169" i="83" s="1"/>
  <c r="AE170" i="83"/>
  <c r="AG170" i="83" s="1"/>
  <c r="AH170" i="83" s="1"/>
  <c r="AE171" i="83"/>
  <c r="AE172" i="83"/>
  <c r="AG172" i="83" s="1"/>
  <c r="AH172" i="83" s="1"/>
  <c r="AE173" i="83"/>
  <c r="AG173" i="83" s="1"/>
  <c r="AE174" i="83"/>
  <c r="AG174" i="83" s="1"/>
  <c r="AE175" i="83"/>
  <c r="AG175" i="83" s="1"/>
  <c r="AH175" i="83" s="1"/>
  <c r="AE176" i="83"/>
  <c r="AG176" i="83" s="1"/>
  <c r="AH176" i="83" s="1"/>
  <c r="AE177" i="83"/>
  <c r="AG177" i="83" s="1"/>
  <c r="AH177" i="83" s="1"/>
  <c r="AE178" i="83"/>
  <c r="AE179" i="83"/>
  <c r="AG179" i="83" s="1"/>
  <c r="AJ179" i="83" s="1"/>
  <c r="AE180" i="83"/>
  <c r="AG180" i="83" s="1"/>
  <c r="AE181" i="83"/>
  <c r="AG181" i="83" s="1"/>
  <c r="AH181" i="83" s="1"/>
  <c r="AE182" i="83"/>
  <c r="AG182" i="83" s="1"/>
  <c r="AH182" i="83" s="1"/>
  <c r="AE183" i="83"/>
  <c r="AG183" i="83" s="1"/>
  <c r="AH183" i="83" s="1"/>
  <c r="AE184" i="83"/>
  <c r="AG184" i="83" s="1"/>
  <c r="AH184" i="83" s="1"/>
  <c r="AE185" i="83"/>
  <c r="AE186" i="83"/>
  <c r="AE187" i="83"/>
  <c r="AG187" i="83" s="1"/>
  <c r="AH187" i="83" s="1"/>
  <c r="AE188" i="83"/>
  <c r="AG188" i="83" s="1"/>
  <c r="AH188" i="83" s="1"/>
  <c r="AE189" i="83"/>
  <c r="AE190" i="83"/>
  <c r="AG190" i="83"/>
  <c r="AH190" i="83" s="1"/>
  <c r="AE191" i="83"/>
  <c r="AE192" i="83"/>
  <c r="AG192" i="83" s="1"/>
  <c r="AH192" i="83" s="1"/>
  <c r="AE193" i="83"/>
  <c r="AG193" i="83" s="1"/>
  <c r="AH193" i="83" s="1"/>
  <c r="AE194" i="83"/>
  <c r="AE195" i="83"/>
  <c r="AG195" i="83" s="1"/>
  <c r="AH195" i="83" s="1"/>
  <c r="AE196" i="83"/>
  <c r="AE197" i="83"/>
  <c r="AG197" i="83" s="1"/>
  <c r="AH197" i="83" s="1"/>
  <c r="AE198" i="83"/>
  <c r="AG198" i="83" s="1"/>
  <c r="AH198" i="83" s="1"/>
  <c r="AE199" i="83"/>
  <c r="AG199" i="83" s="1"/>
  <c r="AH199" i="83" s="1"/>
  <c r="AE200" i="83"/>
  <c r="AG200" i="83" s="1"/>
  <c r="AH200" i="83" s="1"/>
  <c r="AE201" i="83"/>
  <c r="AG201" i="83" s="1"/>
  <c r="AH201" i="83"/>
  <c r="AE202" i="83"/>
  <c r="AE203" i="83"/>
  <c r="AG203" i="83" s="1"/>
  <c r="AE204" i="83"/>
  <c r="AG204" i="83" s="1"/>
  <c r="AH204" i="83" s="1"/>
  <c r="AE205" i="83"/>
  <c r="AG205" i="83" s="1"/>
  <c r="AH205" i="83" s="1"/>
  <c r="AE206" i="83"/>
  <c r="AG206" i="83" s="1"/>
  <c r="AE207" i="83"/>
  <c r="AG207" i="83" s="1"/>
  <c r="AH207" i="83" s="1"/>
  <c r="AE208" i="83"/>
  <c r="AE209" i="83"/>
  <c r="AE210" i="83"/>
  <c r="AE211" i="83"/>
  <c r="AG211" i="83" s="1"/>
  <c r="AE212" i="83"/>
  <c r="AE213" i="83"/>
  <c r="AG213" i="83" s="1"/>
  <c r="AH213" i="83" s="1"/>
  <c r="AE214" i="83"/>
  <c r="AG214" i="83" s="1"/>
  <c r="AJ214" i="83" s="1"/>
  <c r="AE215" i="83"/>
  <c r="AG215" i="83" s="1"/>
  <c r="AH215" i="83" s="1"/>
  <c r="AE216" i="83"/>
  <c r="AG216" i="83"/>
  <c r="AH216" i="83" s="1"/>
  <c r="AE217" i="83"/>
  <c r="AG217" i="83" s="1"/>
  <c r="AH217" i="83" s="1"/>
  <c r="AE218" i="83"/>
  <c r="AE219" i="83"/>
  <c r="AG219" i="83" s="1"/>
  <c r="AH219" i="83" s="1"/>
  <c r="AE220" i="83"/>
  <c r="AG220" i="83" s="1"/>
  <c r="AH220" i="83" s="1"/>
  <c r="AE221" i="83"/>
  <c r="AG221" i="83" s="1"/>
  <c r="AH221" i="83" s="1"/>
  <c r="AE222" i="83"/>
  <c r="AG222" i="83" s="1"/>
  <c r="AH222" i="83" s="1"/>
  <c r="AE223" i="83"/>
  <c r="AG223" i="83" s="1"/>
  <c r="AH223" i="83" s="1"/>
  <c r="AE224" i="83"/>
  <c r="AG224" i="83" s="1"/>
  <c r="AH224" i="83" s="1"/>
  <c r="AE225" i="83"/>
  <c r="AG225" i="83" s="1"/>
  <c r="AH225" i="83" s="1"/>
  <c r="AE226" i="83"/>
  <c r="AE227" i="83"/>
  <c r="AE228" i="83"/>
  <c r="AG228" i="83" s="1"/>
  <c r="AH228" i="83" s="1"/>
  <c r="AE229" i="83"/>
  <c r="AE230" i="83"/>
  <c r="AG230" i="83" s="1"/>
  <c r="AH230" i="83" s="1"/>
  <c r="AE231" i="83"/>
  <c r="AG231" i="83" s="1"/>
  <c r="AE232" i="83"/>
  <c r="AG232" i="83" s="1"/>
  <c r="AH232" i="83" s="1"/>
  <c r="AE233" i="83"/>
  <c r="AG233" i="83"/>
  <c r="AH233" i="83" s="1"/>
  <c r="AE234" i="83"/>
  <c r="AE235" i="83"/>
  <c r="AG235" i="83" s="1"/>
  <c r="AH235" i="83" s="1"/>
  <c r="AE236" i="83"/>
  <c r="AG236" i="83" s="1"/>
  <c r="AH236" i="83" s="1"/>
  <c r="AE237" i="83"/>
  <c r="AE238" i="83"/>
  <c r="AG238" i="83" s="1"/>
  <c r="AE239" i="83"/>
  <c r="AG239" i="83" s="1"/>
  <c r="AE240" i="83"/>
  <c r="AG240" i="83" s="1"/>
  <c r="AH240" i="83" s="1"/>
  <c r="AE241" i="83"/>
  <c r="AG241" i="83" s="1"/>
  <c r="AE242" i="83"/>
  <c r="AE243" i="83"/>
  <c r="AG243" i="83" s="1"/>
  <c r="AE244" i="83"/>
  <c r="AG244" i="83" s="1"/>
  <c r="AH244" i="83" s="1"/>
  <c r="AE245" i="83"/>
  <c r="AG245" i="83" s="1"/>
  <c r="AJ245" i="83" s="1"/>
  <c r="AE246" i="83"/>
  <c r="AG246" i="83" s="1"/>
  <c r="AH246" i="83" s="1"/>
  <c r="AE247" i="83"/>
  <c r="AE248" i="83"/>
  <c r="AE249" i="83"/>
  <c r="AG249" i="83" s="1"/>
  <c r="AE250" i="83"/>
  <c r="AG250" i="83" s="1"/>
  <c r="AH250" i="83" s="1"/>
  <c r="AE251" i="83"/>
  <c r="AG251" i="83" s="1"/>
  <c r="AH251" i="83" s="1"/>
  <c r="AE252" i="83"/>
  <c r="AG252" i="83" s="1"/>
  <c r="AH252" i="83" s="1"/>
  <c r="AE253" i="83"/>
  <c r="AG253" i="83" s="1"/>
  <c r="AJ253" i="83" s="1"/>
  <c r="AE254" i="83"/>
  <c r="AG254" i="83" s="1"/>
  <c r="AH254" i="83" s="1"/>
  <c r="AE255" i="83"/>
  <c r="AE256" i="83"/>
  <c r="AG256" i="83" s="1"/>
  <c r="AH256" i="83" s="1"/>
  <c r="AE257" i="83"/>
  <c r="AG257" i="83" s="1"/>
  <c r="AE258" i="83"/>
  <c r="AG258" i="83" s="1"/>
  <c r="AH258" i="83" s="1"/>
  <c r="AE259" i="83"/>
  <c r="AG259" i="83" s="1"/>
  <c r="AH259" i="83" s="1"/>
  <c r="AE260" i="83"/>
  <c r="AG260" i="83" s="1"/>
  <c r="AH260" i="83" s="1"/>
  <c r="AE261" i="83"/>
  <c r="AG261" i="83" s="1"/>
  <c r="AJ261" i="83" s="1"/>
  <c r="AE262" i="83"/>
  <c r="AG262" i="83" s="1"/>
  <c r="AE263" i="83"/>
  <c r="AE264" i="83"/>
  <c r="AG264" i="83" s="1"/>
  <c r="AH264" i="83" s="1"/>
  <c r="AE265" i="83"/>
  <c r="AG265" i="83" s="1"/>
  <c r="AE266" i="83"/>
  <c r="AG266" i="83" s="1"/>
  <c r="AH266" i="83" s="1"/>
  <c r="AE267" i="83"/>
  <c r="AG267" i="83"/>
  <c r="AH267" i="83" s="1"/>
  <c r="AE268" i="83"/>
  <c r="AG268" i="83" s="1"/>
  <c r="AH268" i="83" s="1"/>
  <c r="AE269" i="83"/>
  <c r="AG269" i="83" s="1"/>
  <c r="AJ269" i="83" s="1"/>
  <c r="AE270" i="83"/>
  <c r="AG270" i="83" s="1"/>
  <c r="AH270" i="83" s="1"/>
  <c r="AE271" i="83"/>
  <c r="AE272" i="83"/>
  <c r="AG272" i="83" s="1"/>
  <c r="AH272" i="83" s="1"/>
  <c r="AE273" i="83"/>
  <c r="AG273" i="83" s="1"/>
  <c r="AE274" i="83"/>
  <c r="AG274" i="83" s="1"/>
  <c r="AH274" i="83" s="1"/>
  <c r="AE275" i="83"/>
  <c r="AG275" i="83" s="1"/>
  <c r="AE276" i="83"/>
  <c r="AG276" i="83" s="1"/>
  <c r="AH276" i="83" s="1"/>
  <c r="AE277" i="83"/>
  <c r="AG277" i="83" s="1"/>
  <c r="AE278" i="83"/>
  <c r="AG278" i="83" s="1"/>
  <c r="AJ278" i="83" s="1"/>
  <c r="AE279" i="83"/>
  <c r="AE280" i="83"/>
  <c r="AE281" i="83"/>
  <c r="AG281" i="83" s="1"/>
  <c r="AE282" i="83"/>
  <c r="AG282" i="83" s="1"/>
  <c r="AH282" i="83" s="1"/>
  <c r="AE283" i="83"/>
  <c r="AG283" i="83" s="1"/>
  <c r="AE284" i="83"/>
  <c r="AG284" i="83" s="1"/>
  <c r="AH284" i="83" s="1"/>
  <c r="AE285" i="83"/>
  <c r="AG285" i="83"/>
  <c r="AE286" i="83"/>
  <c r="AG286" i="83" s="1"/>
  <c r="AJ286" i="83" s="1"/>
  <c r="AE287" i="83"/>
  <c r="AE288" i="83"/>
  <c r="AG288" i="83" s="1"/>
  <c r="AH288" i="83" s="1"/>
  <c r="AE289" i="83"/>
  <c r="AE290" i="83"/>
  <c r="AG290" i="83" s="1"/>
  <c r="AH290" i="83" s="1"/>
  <c r="AE291" i="83"/>
  <c r="AG291" i="83" s="1"/>
  <c r="AH291" i="83" s="1"/>
  <c r="AE292" i="83"/>
  <c r="AG292" i="83" s="1"/>
  <c r="AH292" i="83" s="1"/>
  <c r="AE293" i="83"/>
  <c r="AG293" i="83" s="1"/>
  <c r="AE294" i="83"/>
  <c r="AG294" i="83" s="1"/>
  <c r="AJ294" i="83" s="1"/>
  <c r="AE295" i="83"/>
  <c r="AE296" i="83"/>
  <c r="AE297" i="83"/>
  <c r="AG297" i="83" s="1"/>
  <c r="AE298" i="83"/>
  <c r="AG298" i="83" s="1"/>
  <c r="AH298" i="83" s="1"/>
  <c r="AE299" i="83"/>
  <c r="AG299" i="83" s="1"/>
  <c r="AE300" i="83"/>
  <c r="AG300" i="83" s="1"/>
  <c r="AE301" i="83"/>
  <c r="AG301" i="83" s="1"/>
  <c r="AE302" i="83"/>
  <c r="AG302" i="83" s="1"/>
  <c r="AJ302" i="83" s="1"/>
  <c r="AE303" i="83"/>
  <c r="AE304" i="83"/>
  <c r="AG304" i="83" s="1"/>
  <c r="AH304" i="83" s="1"/>
  <c r="AE305" i="83"/>
  <c r="AG305" i="83" s="1"/>
  <c r="AH305" i="83" s="1"/>
  <c r="AE306" i="83"/>
  <c r="AG306" i="83" s="1"/>
  <c r="AH306" i="83" s="1"/>
  <c r="AE307" i="83"/>
  <c r="AG307" i="83"/>
  <c r="AH307" i="83" s="1"/>
  <c r="AE308" i="83"/>
  <c r="AG308" i="83" s="1"/>
  <c r="AE309" i="83"/>
  <c r="AG309" i="83" s="1"/>
  <c r="AE310" i="83"/>
  <c r="AG310" i="83" s="1"/>
  <c r="AE311" i="83"/>
  <c r="AE312" i="83"/>
  <c r="AG312" i="83" s="1"/>
  <c r="AH312" i="83" s="1"/>
  <c r="AE313" i="83"/>
  <c r="AG313" i="83" s="1"/>
  <c r="AH313" i="83" s="1"/>
  <c r="AE314" i="83"/>
  <c r="AG314" i="83"/>
  <c r="AH314" i="83" s="1"/>
  <c r="AE315" i="83"/>
  <c r="AG315" i="83"/>
  <c r="AH315" i="83" s="1"/>
  <c r="AE316" i="83"/>
  <c r="AG316" i="83" s="1"/>
  <c r="AH316" i="83" s="1"/>
  <c r="AJ316" i="83"/>
  <c r="AK316" i="83" s="1"/>
  <c r="AE317" i="83"/>
  <c r="AG317" i="83" s="1"/>
  <c r="AE318" i="83"/>
  <c r="AG318" i="83" s="1"/>
  <c r="AJ318" i="83" s="1"/>
  <c r="AE319" i="83"/>
  <c r="AG319" i="83" s="1"/>
  <c r="AH319" i="83" s="1"/>
  <c r="AE320" i="83"/>
  <c r="AE321" i="83"/>
  <c r="AE322" i="83"/>
  <c r="AG322" i="83" s="1"/>
  <c r="AH322" i="83" s="1"/>
  <c r="AE323" i="83"/>
  <c r="AG323" i="83" s="1"/>
  <c r="AH323" i="83" s="1"/>
  <c r="AE324" i="83"/>
  <c r="AG324" i="83" s="1"/>
  <c r="AH324" i="83" s="1"/>
  <c r="AE325" i="83"/>
  <c r="AG325" i="83" s="1"/>
  <c r="AH325" i="83" s="1"/>
  <c r="AE326" i="83"/>
  <c r="AG326" i="83" s="1"/>
  <c r="AE327" i="83"/>
  <c r="AG327" i="83" s="1"/>
  <c r="AH327" i="83" s="1"/>
  <c r="AE328" i="83"/>
  <c r="AG328" i="83" s="1"/>
  <c r="AH328" i="83" s="1"/>
  <c r="AE329" i="83"/>
  <c r="AG329" i="83" s="1"/>
  <c r="AJ329" i="83" s="1"/>
  <c r="AE330" i="83"/>
  <c r="AG330" i="83" s="1"/>
  <c r="AH330" i="83" s="1"/>
  <c r="AE331" i="83"/>
  <c r="AE332" i="83"/>
  <c r="AE333" i="83"/>
  <c r="AE334" i="83"/>
  <c r="AG334" i="83" s="1"/>
  <c r="AH334" i="83" s="1"/>
  <c r="AE335" i="83"/>
  <c r="AG335" i="83" s="1"/>
  <c r="AH335" i="83" s="1"/>
  <c r="AE336" i="83"/>
  <c r="AG336" i="83"/>
  <c r="AH336" i="83" s="1"/>
  <c r="AE337" i="83"/>
  <c r="AG337" i="83" s="1"/>
  <c r="AH337" i="83" s="1"/>
  <c r="AE338" i="83"/>
  <c r="AG338" i="83" s="1"/>
  <c r="AH338" i="83" s="1"/>
  <c r="AE339" i="83"/>
  <c r="AE340" i="83"/>
  <c r="AG340" i="83" s="1"/>
  <c r="AH340" i="83" s="1"/>
  <c r="AE341" i="83"/>
  <c r="AE342" i="83"/>
  <c r="AE343" i="83"/>
  <c r="AE344" i="83"/>
  <c r="AE345" i="83"/>
  <c r="AG345" i="83" s="1"/>
  <c r="AH345" i="83" s="1"/>
  <c r="AE346" i="83"/>
  <c r="AG346" i="83" s="1"/>
  <c r="AH346" i="83" s="1"/>
  <c r="AE347" i="83"/>
  <c r="AG347" i="83" s="1"/>
  <c r="AH347" i="83" s="1"/>
  <c r="AE348" i="83"/>
  <c r="AG348" i="83" s="1"/>
  <c r="AH348" i="83" s="1"/>
  <c r="AE349" i="83"/>
  <c r="AG349" i="83" s="1"/>
  <c r="AE350" i="83"/>
  <c r="AG350" i="83" s="1"/>
  <c r="AE351" i="83"/>
  <c r="AG351" i="83" s="1"/>
  <c r="AH351" i="83" s="1"/>
  <c r="AE352" i="83"/>
  <c r="AE353" i="83"/>
  <c r="AG353" i="83" s="1"/>
  <c r="AH353" i="83" s="1"/>
  <c r="AJ353" i="83"/>
  <c r="AE354" i="83"/>
  <c r="AG354" i="83" s="1"/>
  <c r="AH354" i="83" s="1"/>
  <c r="AE355" i="83"/>
  <c r="AG355" i="83" s="1"/>
  <c r="AH355" i="83" s="1"/>
  <c r="AE356" i="83"/>
  <c r="AG356" i="83" s="1"/>
  <c r="AH356" i="83" s="1"/>
  <c r="AE357" i="83"/>
  <c r="AG357" i="83" s="1"/>
  <c r="AH357" i="83" s="1"/>
  <c r="AE358" i="83"/>
  <c r="AG358" i="83" s="1"/>
  <c r="AH358" i="83" s="1"/>
  <c r="AE359" i="83"/>
  <c r="AE360" i="83"/>
  <c r="AE361" i="83"/>
  <c r="AG361" i="83" s="1"/>
  <c r="AH361" i="83" s="1"/>
  <c r="AE362" i="83"/>
  <c r="AG362" i="83" s="1"/>
  <c r="AE363" i="83"/>
  <c r="AG363" i="83" s="1"/>
  <c r="AH363" i="83" s="1"/>
  <c r="AE364" i="83"/>
  <c r="AG364" i="83" s="1"/>
  <c r="AH364" i="83" s="1"/>
  <c r="AE365" i="83"/>
  <c r="AE366" i="83"/>
  <c r="AE367" i="83"/>
  <c r="AG367" i="83" s="1"/>
  <c r="AE368" i="83"/>
  <c r="AG368" i="83" s="1"/>
  <c r="AE369" i="83"/>
  <c r="AG369" i="83" s="1"/>
  <c r="AH369" i="83" s="1"/>
  <c r="AE370" i="83"/>
  <c r="AE371" i="83"/>
  <c r="AG371" i="83" s="1"/>
  <c r="AH371" i="83" s="1"/>
  <c r="AE372" i="83"/>
  <c r="AG372" i="83" s="1"/>
  <c r="AH372" i="83" s="1"/>
  <c r="AE373" i="83"/>
  <c r="AG373" i="83"/>
  <c r="AH373" i="83" s="1"/>
  <c r="AJ373" i="83"/>
  <c r="AE374" i="83"/>
  <c r="AE375" i="83"/>
  <c r="AE376" i="83"/>
  <c r="AG376" i="83" s="1"/>
  <c r="AE377" i="83"/>
  <c r="AG377" i="83"/>
  <c r="AH377" i="83" s="1"/>
  <c r="AE378" i="83"/>
  <c r="AG378" i="83"/>
  <c r="AH378" i="83" s="1"/>
  <c r="AE379" i="83"/>
  <c r="AG379" i="83" s="1"/>
  <c r="AH379" i="83" s="1"/>
  <c r="AE380" i="83"/>
  <c r="AG380" i="83" s="1"/>
  <c r="AH380" i="83" s="1"/>
  <c r="AE381" i="83"/>
  <c r="AG381" i="83"/>
  <c r="AH381" i="83" s="1"/>
  <c r="AE382" i="83"/>
  <c r="AE383" i="83"/>
  <c r="AG383" i="83" s="1"/>
  <c r="AH383" i="83" s="1"/>
  <c r="AE384" i="83"/>
  <c r="AG384" i="83" s="1"/>
  <c r="AE385" i="83"/>
  <c r="AG385" i="83" s="1"/>
  <c r="AH385" i="83" s="1"/>
  <c r="AE386" i="83"/>
  <c r="AG386" i="83" s="1"/>
  <c r="AH386" i="83" s="1"/>
  <c r="AE387" i="83"/>
  <c r="AG387" i="83" s="1"/>
  <c r="AH387" i="83" s="1"/>
  <c r="AE388" i="83"/>
  <c r="AE389" i="83"/>
  <c r="AG389" i="83" s="1"/>
  <c r="AE390" i="83"/>
  <c r="AE391" i="83"/>
  <c r="AE392" i="83"/>
  <c r="AG392" i="83" s="1"/>
  <c r="AE393" i="83"/>
  <c r="AG393" i="83" s="1"/>
  <c r="AH393" i="83" s="1"/>
  <c r="AE394" i="83"/>
  <c r="AG394" i="83" s="1"/>
  <c r="AE395" i="83"/>
  <c r="AG395" i="83" s="1"/>
  <c r="AH395" i="83" s="1"/>
  <c r="AE396" i="83"/>
  <c r="AE397" i="83"/>
  <c r="AG397" i="83" s="1"/>
  <c r="AH397" i="83" s="1"/>
  <c r="AE398" i="83"/>
  <c r="AE399" i="83"/>
  <c r="AJ399" i="83" s="1"/>
  <c r="AG399" i="83"/>
  <c r="AH399" i="83" s="1"/>
  <c r="AE400" i="83"/>
  <c r="AG400" i="83" s="1"/>
  <c r="AE401" i="83"/>
  <c r="AG401" i="83" s="1"/>
  <c r="AH401" i="83" s="1"/>
  <c r="AE402" i="83"/>
  <c r="AG402" i="83" s="1"/>
  <c r="AH402" i="83" s="1"/>
  <c r="AE403" i="83"/>
  <c r="AG403" i="83" s="1"/>
  <c r="AH403" i="83" s="1"/>
  <c r="AE404" i="83"/>
  <c r="AG404" i="83"/>
  <c r="AH404" i="83" s="1"/>
  <c r="AE405" i="83"/>
  <c r="AG405" i="83" s="1"/>
  <c r="AH405" i="83" s="1"/>
  <c r="AJ405" i="83"/>
  <c r="AK405" i="83" s="1"/>
  <c r="AE406" i="83"/>
  <c r="AE407" i="83"/>
  <c r="AG407" i="83" s="1"/>
  <c r="AH407" i="83" s="1"/>
  <c r="AE408" i="83"/>
  <c r="AG408" i="83" s="1"/>
  <c r="AE409" i="83"/>
  <c r="AG409" i="83" s="1"/>
  <c r="AH409" i="83" s="1"/>
  <c r="AE410" i="83"/>
  <c r="AG410" i="83" s="1"/>
  <c r="AH410" i="83" s="1"/>
  <c r="AE411" i="83"/>
  <c r="AG411" i="83" s="1"/>
  <c r="AH411" i="83" s="1"/>
  <c r="AE412" i="83"/>
  <c r="AG412" i="83" s="1"/>
  <c r="AH412" i="83" s="1"/>
  <c r="AE413" i="83"/>
  <c r="AE414" i="83"/>
  <c r="AE415" i="83"/>
  <c r="AG415" i="83"/>
  <c r="AH415" i="83" s="1"/>
  <c r="AE416" i="83"/>
  <c r="AG416" i="83" s="1"/>
  <c r="AE417" i="83"/>
  <c r="AG417" i="83" s="1"/>
  <c r="AH417" i="83" s="1"/>
  <c r="AE418" i="83"/>
  <c r="AE419" i="83"/>
  <c r="AG419" i="83" s="1"/>
  <c r="AH419" i="83" s="1"/>
  <c r="AE420" i="83"/>
  <c r="AG420" i="83" s="1"/>
  <c r="AH420" i="83" s="1"/>
  <c r="AE421" i="83"/>
  <c r="AG421" i="83" s="1"/>
  <c r="AH421" i="83" s="1"/>
  <c r="AE422" i="83"/>
  <c r="AE423" i="83"/>
  <c r="AG423" i="83" s="1"/>
  <c r="AE424" i="83"/>
  <c r="AG424" i="83" s="1"/>
  <c r="AE425" i="83"/>
  <c r="AG425" i="83" s="1"/>
  <c r="AH425" i="83" s="1"/>
  <c r="AE426" i="83"/>
  <c r="AG426" i="83" s="1"/>
  <c r="AH426" i="83" s="1"/>
  <c r="AE427" i="83"/>
  <c r="AG427" i="83" s="1"/>
  <c r="AH427" i="83" s="1"/>
  <c r="AE428" i="83"/>
  <c r="AG428" i="83" s="1"/>
  <c r="AH428" i="83" s="1"/>
  <c r="AE429" i="83"/>
  <c r="AG429" i="83" s="1"/>
  <c r="AE430" i="83"/>
  <c r="AE431" i="83"/>
  <c r="AG431" i="83" s="1"/>
  <c r="AH431" i="83" s="1"/>
  <c r="AE432" i="83"/>
  <c r="AG432" i="83" s="1"/>
  <c r="AH432" i="83" s="1"/>
  <c r="AE433" i="83"/>
  <c r="AG433" i="83" s="1"/>
  <c r="AH433" i="83" s="1"/>
  <c r="AE434" i="83"/>
  <c r="AG434" i="83" s="1"/>
  <c r="AE435" i="83"/>
  <c r="AG435" i="83" s="1"/>
  <c r="AH435" i="83" s="1"/>
  <c r="AE436" i="83"/>
  <c r="AG436" i="83" s="1"/>
  <c r="AH436" i="83" s="1"/>
  <c r="AE437" i="83"/>
  <c r="AG437" i="83" s="1"/>
  <c r="AH437" i="83" s="1"/>
  <c r="AE438" i="83"/>
  <c r="AE439" i="83"/>
  <c r="AG439" i="83" s="1"/>
  <c r="AH439" i="83" s="1"/>
  <c r="AE440" i="83"/>
  <c r="AG440" i="83" s="1"/>
  <c r="AH440" i="83" s="1"/>
  <c r="AE441" i="83"/>
  <c r="AG441" i="83" s="1"/>
  <c r="AH441" i="83" s="1"/>
  <c r="AE442" i="83"/>
  <c r="AG442" i="83" s="1"/>
  <c r="AH442" i="83" s="1"/>
  <c r="AJ442" i="83"/>
  <c r="AK442" i="83" s="1"/>
  <c r="AE443" i="83"/>
  <c r="AG443" i="83" s="1"/>
  <c r="AH443" i="83" s="1"/>
  <c r="AE444" i="83"/>
  <c r="AG444" i="83" s="1"/>
  <c r="AH444" i="83" s="1"/>
  <c r="AE445" i="83"/>
  <c r="AG445" i="83" s="1"/>
  <c r="AH445" i="83" s="1"/>
  <c r="AJ445" i="83"/>
  <c r="AE446" i="83"/>
  <c r="AE447" i="83"/>
  <c r="AE448" i="83"/>
  <c r="AG448" i="83" s="1"/>
  <c r="AH448" i="83" s="1"/>
  <c r="AJ448" i="83"/>
  <c r="AK448" i="83" s="1"/>
  <c r="AE449" i="83"/>
  <c r="AE450" i="83"/>
  <c r="AE451" i="83"/>
  <c r="AG451" i="83" s="1"/>
  <c r="AH451" i="83" s="1"/>
  <c r="AK451" i="83"/>
  <c r="AE452" i="83"/>
  <c r="AK452" i="83"/>
  <c r="AE453" i="83"/>
  <c r="AG453" i="83" s="1"/>
  <c r="AH453" i="83"/>
  <c r="AJ453" i="83"/>
  <c r="AE454" i="83"/>
  <c r="AE455" i="83"/>
  <c r="AG455" i="83" s="1"/>
  <c r="AE456" i="83"/>
  <c r="AG456" i="83" s="1"/>
  <c r="AH456" i="83" s="1"/>
  <c r="AE457" i="83"/>
  <c r="AE458" i="83"/>
  <c r="AG458" i="83" s="1"/>
  <c r="AE459" i="83"/>
  <c r="AG459" i="83" s="1"/>
  <c r="AH459" i="83" s="1"/>
  <c r="AE460" i="83"/>
  <c r="AG460" i="83" s="1"/>
  <c r="AH460" i="83" s="1"/>
  <c r="AE461" i="83"/>
  <c r="AG461" i="83" s="1"/>
  <c r="AH461" i="83" s="1"/>
  <c r="AE462" i="83"/>
  <c r="AE463" i="83"/>
  <c r="AG463" i="83" s="1"/>
  <c r="AE464" i="83"/>
  <c r="AG464" i="83" s="1"/>
  <c r="AH464" i="83" s="1"/>
  <c r="AE465" i="83"/>
  <c r="AE466" i="83"/>
  <c r="AE467" i="83"/>
  <c r="AG467" i="83" s="1"/>
  <c r="AH467" i="83" s="1"/>
  <c r="AE468" i="83"/>
  <c r="AG468" i="83" s="1"/>
  <c r="AH468" i="83" s="1"/>
  <c r="AE469" i="83"/>
  <c r="AE470" i="83"/>
  <c r="AE471" i="83"/>
  <c r="AG471" i="83" s="1"/>
  <c r="AE472" i="83"/>
  <c r="AE473" i="83"/>
  <c r="AE474" i="83"/>
  <c r="AG474" i="83" s="1"/>
  <c r="AH474" i="83" s="1"/>
  <c r="AE475" i="83"/>
  <c r="AG475" i="83" s="1"/>
  <c r="AH475" i="83" s="1"/>
  <c r="AE476" i="83"/>
  <c r="AG476" i="83" s="1"/>
  <c r="AH476" i="83" s="1"/>
  <c r="AE477" i="83"/>
  <c r="AG477" i="83" s="1"/>
  <c r="AH477" i="83"/>
  <c r="AE478" i="83"/>
  <c r="AE479" i="83"/>
  <c r="AG479" i="83" s="1"/>
  <c r="AH479" i="83" s="1"/>
  <c r="AE480" i="83"/>
  <c r="AG480" i="83" s="1"/>
  <c r="AH480" i="83" s="1"/>
  <c r="AJ480" i="83"/>
  <c r="AK480" i="83" s="1"/>
  <c r="AE481" i="83"/>
  <c r="AG481" i="83" s="1"/>
  <c r="AH481" i="83" s="1"/>
  <c r="AE482" i="83"/>
  <c r="AE483" i="83"/>
  <c r="AG483" i="83" s="1"/>
  <c r="AH483" i="83" s="1"/>
  <c r="AE484" i="83"/>
  <c r="AG484" i="83" s="1"/>
  <c r="AH484" i="83" s="1"/>
  <c r="AE485" i="83"/>
  <c r="AG485" i="83" s="1"/>
  <c r="AH485" i="83" s="1"/>
  <c r="AE486" i="83"/>
  <c r="AG486" i="83" s="1"/>
  <c r="AH486" i="83" s="1"/>
  <c r="AE487" i="83"/>
  <c r="AE488" i="83"/>
  <c r="AG488" i="83" s="1"/>
  <c r="AH488" i="83" s="1"/>
  <c r="AE489" i="83"/>
  <c r="AE490" i="83"/>
  <c r="AG490" i="83" s="1"/>
  <c r="AE491" i="83"/>
  <c r="AG491" i="83" s="1"/>
  <c r="AH491" i="83" s="1"/>
  <c r="AE492" i="83"/>
  <c r="AG492" i="83" s="1"/>
  <c r="AH492" i="83" s="1"/>
  <c r="AE493" i="83"/>
  <c r="AE494" i="83"/>
  <c r="AG494" i="83" s="1"/>
  <c r="AH494" i="83" s="1"/>
  <c r="AE495" i="83"/>
  <c r="AG495" i="83" s="1"/>
  <c r="AH495" i="83" s="1"/>
  <c r="AE496" i="83"/>
  <c r="AG496" i="83" s="1"/>
  <c r="AH496" i="83" s="1"/>
  <c r="AE497" i="83"/>
  <c r="AG497" i="83" s="1"/>
  <c r="AH497" i="83" s="1"/>
  <c r="AE498" i="83"/>
  <c r="AE499" i="83"/>
  <c r="AE500" i="83"/>
  <c r="AG500" i="83"/>
  <c r="AH500" i="83" s="1"/>
  <c r="AE501" i="83"/>
  <c r="AG501" i="83" s="1"/>
  <c r="AJ501" i="83" s="1"/>
  <c r="AE502" i="83"/>
  <c r="AE503" i="83"/>
  <c r="AG503" i="83" s="1"/>
  <c r="AH503" i="83" s="1"/>
  <c r="AE504" i="83"/>
  <c r="AG504" i="83" s="1"/>
  <c r="AE505" i="83"/>
  <c r="AG505" i="83" s="1"/>
  <c r="AH505" i="83" s="1"/>
  <c r="AE506" i="83"/>
  <c r="AG506" i="83" s="1"/>
  <c r="AH506" i="83" s="1"/>
  <c r="AJ506" i="83"/>
  <c r="AK506" i="83" s="1"/>
  <c r="AE507" i="83"/>
  <c r="AG507" i="83" s="1"/>
  <c r="AH507" i="83" s="1"/>
  <c r="AE508" i="83"/>
  <c r="AG508" i="83" s="1"/>
  <c r="AH508" i="83" s="1"/>
  <c r="AE509" i="83"/>
  <c r="AG509" i="83"/>
  <c r="AH509" i="83" s="1"/>
  <c r="AE510" i="83"/>
  <c r="AE511" i="83"/>
  <c r="AG511" i="83" s="1"/>
  <c r="AH511" i="83" s="1"/>
  <c r="AE512" i="83"/>
  <c r="AG512" i="83" s="1"/>
  <c r="AE513" i="83"/>
  <c r="AG513" i="83" s="1"/>
  <c r="AH513" i="83" s="1"/>
  <c r="AE514" i="83"/>
  <c r="AE515" i="83"/>
  <c r="AG515" i="83" s="1"/>
  <c r="AH515" i="83" s="1"/>
  <c r="AE516" i="83"/>
  <c r="AG516" i="83" s="1"/>
  <c r="AH516" i="83" s="1"/>
  <c r="AE517" i="83"/>
  <c r="AG517" i="83"/>
  <c r="AH517" i="83" s="1"/>
  <c r="AE518" i="83"/>
  <c r="AE519" i="83"/>
  <c r="AG519" i="83" s="1"/>
  <c r="AH519" i="83"/>
  <c r="AE520" i="83"/>
  <c r="AG520" i="83" s="1"/>
  <c r="AH520" i="83" s="1"/>
  <c r="AE521" i="83"/>
  <c r="AG521" i="83" s="1"/>
  <c r="AH521" i="83" s="1"/>
  <c r="AE522" i="83"/>
  <c r="AG522" i="83"/>
  <c r="AH522" i="83" s="1"/>
  <c r="AE523" i="83"/>
  <c r="AG523" i="83" s="1"/>
  <c r="AH523" i="83" s="1"/>
  <c r="AE524" i="83"/>
  <c r="AG524" i="83"/>
  <c r="AH524" i="83" s="1"/>
  <c r="AE525" i="83"/>
  <c r="AG525" i="83" s="1"/>
  <c r="AH525" i="83" s="1"/>
  <c r="AE526" i="83"/>
  <c r="AE527" i="83"/>
  <c r="AG527" i="83" s="1"/>
  <c r="AH527" i="83" s="1"/>
  <c r="AE528" i="83"/>
  <c r="AG528" i="83" s="1"/>
  <c r="AH528" i="83" s="1"/>
  <c r="AE529" i="83"/>
  <c r="AE530" i="83"/>
  <c r="AE531" i="83"/>
  <c r="AG531" i="83" s="1"/>
  <c r="AH531" i="83" s="1"/>
  <c r="AE532" i="83"/>
  <c r="AG532" i="83" s="1"/>
  <c r="AH532" i="83" s="1"/>
  <c r="AE533" i="83"/>
  <c r="AG533" i="83" s="1"/>
  <c r="AH533" i="83" s="1"/>
  <c r="AE534" i="83"/>
  <c r="AE535" i="83"/>
  <c r="AE536" i="83"/>
  <c r="AG536" i="83" s="1"/>
  <c r="AE537" i="83"/>
  <c r="AG537" i="83" s="1"/>
  <c r="AH537" i="83" s="1"/>
  <c r="AE538" i="83"/>
  <c r="AG538" i="83" s="1"/>
  <c r="AH538" i="83" s="1"/>
  <c r="AE539" i="83"/>
  <c r="AG539" i="83" s="1"/>
  <c r="AH539" i="83" s="1"/>
  <c r="AE540" i="83"/>
  <c r="AE541" i="83"/>
  <c r="AG541" i="83" s="1"/>
  <c r="AH541" i="83" s="1"/>
  <c r="AE542" i="83"/>
  <c r="AE543" i="83"/>
  <c r="AG543" i="83" s="1"/>
  <c r="AH543" i="83" s="1"/>
  <c r="AE544" i="83"/>
  <c r="AE545" i="83"/>
  <c r="AG545" i="83" s="1"/>
  <c r="AH545" i="83" s="1"/>
  <c r="AE546" i="83"/>
  <c r="AG546" i="83" s="1"/>
  <c r="AH546" i="83" s="1"/>
  <c r="AJ546" i="83"/>
  <c r="AE547" i="83"/>
  <c r="AG547" i="83" s="1"/>
  <c r="AH547" i="83" s="1"/>
  <c r="AE548" i="83"/>
  <c r="AG548" i="83"/>
  <c r="AH548" i="83" s="1"/>
  <c r="AE549" i="83"/>
  <c r="AE550" i="83"/>
  <c r="AE551" i="83"/>
  <c r="AG551" i="83"/>
  <c r="AH551" i="83" s="1"/>
  <c r="AE552" i="83"/>
  <c r="AG552" i="83" s="1"/>
  <c r="AH552" i="83" s="1"/>
  <c r="AE553" i="83"/>
  <c r="AG553" i="83"/>
  <c r="AH553" i="83" s="1"/>
  <c r="AE554" i="83"/>
  <c r="AE555" i="83"/>
  <c r="AG555" i="83" s="1"/>
  <c r="AH555" i="83" s="1"/>
  <c r="AE556" i="83"/>
  <c r="AG556" i="83"/>
  <c r="AH556" i="83" s="1"/>
  <c r="AE557" i="83"/>
  <c r="AG557" i="83" s="1"/>
  <c r="AE558" i="83"/>
  <c r="AE559" i="83"/>
  <c r="AG559" i="83" s="1"/>
  <c r="AH559" i="83" s="1"/>
  <c r="AE560" i="83"/>
  <c r="AG560" i="83" s="1"/>
  <c r="AH560" i="83" s="1"/>
  <c r="AE561" i="83"/>
  <c r="AE562" i="83"/>
  <c r="AG562" i="83" s="1"/>
  <c r="AH562" i="83" s="1"/>
  <c r="AE563" i="83"/>
  <c r="AG563" i="83" s="1"/>
  <c r="AH563" i="83" s="1"/>
  <c r="AE564" i="83"/>
  <c r="AG564" i="83" s="1"/>
  <c r="AH564" i="83" s="1"/>
  <c r="AE565" i="83"/>
  <c r="AE566" i="83"/>
  <c r="AE567" i="83"/>
  <c r="AG567" i="83" s="1"/>
  <c r="AH567" i="83" s="1"/>
  <c r="AE568" i="83"/>
  <c r="AE569" i="83"/>
  <c r="AG569" i="83" s="1"/>
  <c r="AH569" i="83" s="1"/>
  <c r="AE570" i="83"/>
  <c r="AJ570" i="83" s="1"/>
  <c r="AK570" i="83" s="1"/>
  <c r="AG570" i="83"/>
  <c r="AH570" i="83" s="1"/>
  <c r="AE571" i="83"/>
  <c r="AG571" i="83" s="1"/>
  <c r="AH571" i="83" s="1"/>
  <c r="AE572" i="83"/>
  <c r="AE573" i="83"/>
  <c r="AE574" i="83"/>
  <c r="AE575" i="83"/>
  <c r="AG575" i="83" s="1"/>
  <c r="AH575" i="83" s="1"/>
  <c r="AE576" i="83"/>
  <c r="AE577" i="83"/>
  <c r="AG577" i="83" s="1"/>
  <c r="AH577" i="83" s="1"/>
  <c r="AE578" i="83"/>
  <c r="AG578" i="83"/>
  <c r="AE579" i="83"/>
  <c r="AG579" i="83" s="1"/>
  <c r="AH579" i="83" s="1"/>
  <c r="AE580" i="83"/>
  <c r="AG580" i="83" s="1"/>
  <c r="AH580" i="83" s="1"/>
  <c r="AE581" i="83"/>
  <c r="AG581" i="83" s="1"/>
  <c r="AH581" i="83" s="1"/>
  <c r="AE582" i="83"/>
  <c r="AE583" i="83"/>
  <c r="AG583" i="83"/>
  <c r="AH583" i="83" s="1"/>
  <c r="AJ583" i="83"/>
  <c r="AK583" i="83" s="1"/>
  <c r="AE584" i="83"/>
  <c r="AG584" i="83" s="1"/>
  <c r="AH584" i="83" s="1"/>
  <c r="AE585" i="83"/>
  <c r="AG585" i="83" s="1"/>
  <c r="AH585" i="83" s="1"/>
  <c r="AE586" i="83"/>
  <c r="AG586" i="83" s="1"/>
  <c r="AH586" i="83" s="1"/>
  <c r="AE587" i="83"/>
  <c r="AG587" i="83" s="1"/>
  <c r="AH587" i="83" s="1"/>
  <c r="AE588" i="83"/>
  <c r="AG588" i="83" s="1"/>
  <c r="AH588" i="83" s="1"/>
  <c r="AE589" i="83"/>
  <c r="AG589" i="83" s="1"/>
  <c r="AH589" i="83" s="1"/>
  <c r="AE590" i="83"/>
  <c r="AE591" i="83"/>
  <c r="AG591" i="83" s="1"/>
  <c r="AE592" i="83"/>
  <c r="AG592" i="83" s="1"/>
  <c r="AH592" i="83" s="1"/>
  <c r="AJ592" i="83"/>
  <c r="AE593" i="83"/>
  <c r="AE594" i="83"/>
  <c r="AG594" i="83" s="1"/>
  <c r="AH594" i="83" s="1"/>
  <c r="AE595" i="83"/>
  <c r="AG595" i="83" s="1"/>
  <c r="AH595" i="83" s="1"/>
  <c r="AE596" i="83"/>
  <c r="AE597" i="83"/>
  <c r="AE598" i="83"/>
  <c r="AE599" i="83"/>
  <c r="AG599" i="83" s="1"/>
  <c r="AH599" i="83" s="1"/>
  <c r="AE600" i="83"/>
  <c r="AG600" i="83" s="1"/>
  <c r="AH600" i="83" s="1"/>
  <c r="AE601" i="83"/>
  <c r="AG601" i="83" s="1"/>
  <c r="AH601" i="83" s="1"/>
  <c r="AE602" i="83"/>
  <c r="AG602" i="83"/>
  <c r="AH602" i="83"/>
  <c r="AE603" i="83"/>
  <c r="AG603" i="83" s="1"/>
  <c r="AH603" i="83" s="1"/>
  <c r="AE604" i="83"/>
  <c r="AG604" i="83" s="1"/>
  <c r="AH604" i="83" s="1"/>
  <c r="AE605" i="83"/>
  <c r="AE606" i="83"/>
  <c r="AE607" i="83"/>
  <c r="AG607" i="83" s="1"/>
  <c r="AH607" i="83" s="1"/>
  <c r="AE608" i="83"/>
  <c r="AG608" i="83" s="1"/>
  <c r="AH608" i="83" s="1"/>
  <c r="AE609" i="83"/>
  <c r="AG609" i="83" s="1"/>
  <c r="AH609" i="83" s="1"/>
  <c r="AE610" i="83"/>
  <c r="AG610" i="83" s="1"/>
  <c r="AJ610" i="83" s="1"/>
  <c r="AE611" i="83"/>
  <c r="AG611" i="83" s="1"/>
  <c r="AH611" i="83" s="1"/>
  <c r="AE612" i="83"/>
  <c r="AG612" i="83" s="1"/>
  <c r="AH612" i="83" s="1"/>
  <c r="AE613" i="83"/>
  <c r="AG613" i="83" s="1"/>
  <c r="AH613" i="83" s="1"/>
  <c r="AE614" i="83"/>
  <c r="AE615" i="83"/>
  <c r="AG615" i="83" s="1"/>
  <c r="AH615" i="83" s="1"/>
  <c r="AE616" i="83"/>
  <c r="AE617" i="83"/>
  <c r="AG617" i="83" s="1"/>
  <c r="AH617" i="83" s="1"/>
  <c r="AE618" i="83"/>
  <c r="AG618" i="83" s="1"/>
  <c r="AH618" i="83" s="1"/>
  <c r="AE619" i="83"/>
  <c r="AG619" i="83" s="1"/>
  <c r="AH619" i="83" s="1"/>
  <c r="AE620" i="83"/>
  <c r="AE621" i="83"/>
  <c r="AE622" i="83"/>
  <c r="AE623" i="83"/>
  <c r="AG623" i="83" s="1"/>
  <c r="AH623" i="83" s="1"/>
  <c r="AE624" i="83"/>
  <c r="AE625" i="83"/>
  <c r="AG625" i="83" s="1"/>
  <c r="AH625" i="83" s="1"/>
  <c r="AE626" i="83"/>
  <c r="AG626" i="83"/>
  <c r="AE627" i="83"/>
  <c r="AG627" i="83" s="1"/>
  <c r="AH627" i="83" s="1"/>
  <c r="AE628" i="83"/>
  <c r="AG628" i="83" s="1"/>
  <c r="AH628" i="83" s="1"/>
  <c r="AE629" i="83"/>
  <c r="AE630" i="83"/>
  <c r="AE631" i="83"/>
  <c r="AG631" i="83" s="1"/>
  <c r="AE632" i="83"/>
  <c r="AG632" i="83"/>
  <c r="AH632" i="83" s="1"/>
  <c r="AE633" i="83"/>
  <c r="AG633" i="83" s="1"/>
  <c r="AH633" i="83" s="1"/>
  <c r="AE634" i="83"/>
  <c r="AG634" i="83" s="1"/>
  <c r="AE635" i="83"/>
  <c r="AG635" i="83" s="1"/>
  <c r="AH635" i="83" s="1"/>
  <c r="AE636" i="83"/>
  <c r="AG636" i="83" s="1"/>
  <c r="AH636" i="83" s="1"/>
  <c r="AE637" i="83"/>
  <c r="AG637" i="83"/>
  <c r="AH637" i="83" s="1"/>
  <c r="AE638" i="83"/>
  <c r="AE639" i="83"/>
  <c r="AE640" i="83"/>
  <c r="AG640" i="83" s="1"/>
  <c r="AK640" i="83"/>
  <c r="AE641" i="83"/>
  <c r="AE642" i="83"/>
  <c r="AG642" i="83"/>
  <c r="AH642" i="83" s="1"/>
  <c r="AE643" i="83"/>
  <c r="AG643" i="83" s="1"/>
  <c r="AH643" i="83" s="1"/>
  <c r="AE644" i="83"/>
  <c r="AG644" i="83" s="1"/>
  <c r="AH644" i="83" s="1"/>
  <c r="AE645" i="83"/>
  <c r="AG645" i="83"/>
  <c r="AH645" i="83" s="1"/>
  <c r="AE646" i="83"/>
  <c r="AE647" i="83"/>
  <c r="AG647" i="83" s="1"/>
  <c r="AH647" i="83" s="1"/>
  <c r="AE648" i="83"/>
  <c r="AG648" i="83" s="1"/>
  <c r="AH648" i="83" s="1"/>
  <c r="AE649" i="83"/>
  <c r="AG649" i="83" s="1"/>
  <c r="AH649" i="83" s="1"/>
  <c r="AE650" i="83"/>
  <c r="AG650" i="83"/>
  <c r="AH650" i="83" s="1"/>
  <c r="AK650" i="83"/>
  <c r="AE651" i="83"/>
  <c r="AG651" i="83"/>
  <c r="AH651" i="83" s="1"/>
  <c r="AK651" i="83"/>
  <c r="AE652" i="83"/>
  <c r="AG652" i="83"/>
  <c r="AH652" i="83" s="1"/>
  <c r="AK652" i="83"/>
  <c r="AE653" i="83"/>
  <c r="AG653" i="83"/>
  <c r="AH653" i="83" s="1"/>
  <c r="AJ653" i="83"/>
  <c r="AK653" i="83"/>
  <c r="AE654" i="83"/>
  <c r="AG654" i="83"/>
  <c r="AH654" i="83" s="1"/>
  <c r="AK654" i="83"/>
  <c r="AE655" i="83"/>
  <c r="AG655" i="83"/>
  <c r="AH655" i="83" s="1"/>
  <c r="AK655" i="83"/>
  <c r="AE656" i="83"/>
  <c r="AG656" i="83"/>
  <c r="AH656" i="83" s="1"/>
  <c r="AK656" i="83"/>
  <c r="AE657" i="83"/>
  <c r="AG657" i="83"/>
  <c r="AH657" i="83" s="1"/>
  <c r="AK657" i="83"/>
  <c r="AE658" i="83"/>
  <c r="AG658" i="83"/>
  <c r="AH658" i="83" s="1"/>
  <c r="AK658" i="83"/>
  <c r="AE659" i="83"/>
  <c r="AG659" i="83" s="1"/>
  <c r="AH659" i="83" s="1"/>
  <c r="AE660" i="83"/>
  <c r="AE661" i="83"/>
  <c r="AG661" i="83"/>
  <c r="AJ661" i="83" s="1"/>
  <c r="AK661" i="83" s="1"/>
  <c r="AH661" i="83"/>
  <c r="AE662" i="83"/>
  <c r="AG662" i="83"/>
  <c r="AH662" i="83" s="1"/>
  <c r="AE663" i="83"/>
  <c r="AG663" i="83" s="1"/>
  <c r="AE664" i="83"/>
  <c r="AG664" i="83" s="1"/>
  <c r="AE665" i="83"/>
  <c r="AG665" i="83" s="1"/>
  <c r="AH665" i="83"/>
  <c r="AE666" i="83"/>
  <c r="AG666" i="83" s="1"/>
  <c r="AE667" i="83"/>
  <c r="AG667" i="83" s="1"/>
  <c r="AH667" i="83" s="1"/>
  <c r="AE668" i="83"/>
  <c r="AG668" i="83" s="1"/>
  <c r="AE669" i="83"/>
  <c r="AE670" i="83"/>
  <c r="AG670" i="83" s="1"/>
  <c r="AH670" i="83" s="1"/>
  <c r="AE671" i="83"/>
  <c r="AG671" i="83" s="1"/>
  <c r="AH671" i="83" s="1"/>
  <c r="AE672" i="83"/>
  <c r="AG672" i="83" s="1"/>
  <c r="AJ672" i="83" s="1"/>
  <c r="AE673" i="83"/>
  <c r="AG673" i="83" s="1"/>
  <c r="AH673" i="83" s="1"/>
  <c r="AE674" i="83"/>
  <c r="AG674" i="83" s="1"/>
  <c r="AH674" i="83" s="1"/>
  <c r="AE675" i="83"/>
  <c r="AE676" i="83"/>
  <c r="AG676" i="83" s="1"/>
  <c r="AE677" i="83"/>
  <c r="AE678" i="83"/>
  <c r="AE679" i="83"/>
  <c r="AG679" i="83" s="1"/>
  <c r="AH679" i="83" s="1"/>
  <c r="AE680" i="83"/>
  <c r="AG680" i="83" s="1"/>
  <c r="AJ680" i="83" s="1"/>
  <c r="AH680" i="83"/>
  <c r="AE681" i="83"/>
  <c r="AG681" i="83" s="1"/>
  <c r="AH681" i="83" s="1"/>
  <c r="AE682" i="83"/>
  <c r="AG682" i="83" s="1"/>
  <c r="AH682" i="83" s="1"/>
  <c r="AE683" i="83"/>
  <c r="AG683" i="83" s="1"/>
  <c r="AH683" i="83" s="1"/>
  <c r="AE684" i="83"/>
  <c r="AE685" i="83"/>
  <c r="AG685" i="83" s="1"/>
  <c r="AE686" i="83"/>
  <c r="AG686" i="83" s="1"/>
  <c r="AH686" i="83" s="1"/>
  <c r="AE687" i="83"/>
  <c r="AG687" i="83"/>
  <c r="AE688" i="83"/>
  <c r="AE689" i="83"/>
  <c r="AG689" i="83" s="1"/>
  <c r="AH689" i="83" s="1"/>
  <c r="AE690" i="83"/>
  <c r="AG690" i="83" s="1"/>
  <c r="AE691" i="83"/>
  <c r="AG691" i="83" s="1"/>
  <c r="AE692" i="83"/>
  <c r="AG692" i="83" s="1"/>
  <c r="AH692" i="83" s="1"/>
  <c r="AE693" i="83"/>
  <c r="AG693" i="83" s="1"/>
  <c r="AH693" i="83" s="1"/>
  <c r="AE694" i="83"/>
  <c r="AE695" i="83"/>
  <c r="AE696" i="83"/>
  <c r="AG696" i="83" s="1"/>
  <c r="AH696" i="83" s="1"/>
  <c r="AE697" i="83"/>
  <c r="AG697" i="83" s="1"/>
  <c r="AH697" i="83" s="1"/>
  <c r="AE698" i="83"/>
  <c r="AG698" i="83" s="1"/>
  <c r="AE699" i="83"/>
  <c r="AG699" i="83" s="1"/>
  <c r="AE700" i="83"/>
  <c r="AG700" i="83" s="1"/>
  <c r="AH700" i="83" s="1"/>
  <c r="AE701" i="83"/>
  <c r="AG701" i="83" s="1"/>
  <c r="AH701" i="83" s="1"/>
  <c r="AE702" i="83"/>
  <c r="AE703" i="83"/>
  <c r="AG703" i="83" s="1"/>
  <c r="AH703" i="83" s="1"/>
  <c r="AE704" i="83"/>
  <c r="AG704" i="83" s="1"/>
  <c r="AH704" i="83" s="1"/>
  <c r="AE705" i="83"/>
  <c r="AG705" i="83" s="1"/>
  <c r="AH705" i="83" s="1"/>
  <c r="AE706" i="83"/>
  <c r="AG706" i="83" s="1"/>
  <c r="AE707" i="83"/>
  <c r="AG707" i="83" s="1"/>
  <c r="AE708" i="83"/>
  <c r="AE709" i="83"/>
  <c r="AG709" i="83"/>
  <c r="AH709" i="83" s="1"/>
  <c r="AE710" i="83"/>
  <c r="AE711" i="83"/>
  <c r="AG711" i="83"/>
  <c r="AE712" i="83"/>
  <c r="AG712" i="83" s="1"/>
  <c r="AH712" i="83" s="1"/>
  <c r="AE713" i="83"/>
  <c r="AE714" i="83"/>
  <c r="AG714" i="83" s="1"/>
  <c r="AE715" i="83"/>
  <c r="AG715" i="83" s="1"/>
  <c r="AE716" i="83"/>
  <c r="AG716" i="83"/>
  <c r="AH716" i="83" s="1"/>
  <c r="AE717" i="83"/>
  <c r="AG717" i="83" s="1"/>
  <c r="AH717" i="83" s="1"/>
  <c r="AE718" i="83"/>
  <c r="AE719" i="83"/>
  <c r="AG719" i="83" s="1"/>
  <c r="AH719" i="83" s="1"/>
  <c r="AE720" i="83"/>
  <c r="AG720" i="83" s="1"/>
  <c r="AH720" i="83" s="1"/>
  <c r="AE721" i="83"/>
  <c r="AG721" i="83"/>
  <c r="AH721" i="83" s="1"/>
  <c r="AE722" i="83"/>
  <c r="AG722" i="83" s="1"/>
  <c r="AE723" i="83"/>
  <c r="AG723" i="83" s="1"/>
  <c r="AE724" i="83"/>
  <c r="AG724" i="83" s="1"/>
  <c r="AH724" i="83" s="1"/>
  <c r="AE725" i="83"/>
  <c r="AG725" i="83" s="1"/>
  <c r="AH725" i="83" s="1"/>
  <c r="AE726" i="83"/>
  <c r="AE727" i="83"/>
  <c r="AE728" i="83"/>
  <c r="AG728" i="83" s="1"/>
  <c r="AH728" i="83" s="1"/>
  <c r="AE729" i="83"/>
  <c r="AG729" i="83" s="1"/>
  <c r="AH729" i="83" s="1"/>
  <c r="AE730" i="83"/>
  <c r="AG730" i="83" s="1"/>
  <c r="AH730" i="83" s="1"/>
  <c r="AE731" i="83"/>
  <c r="AG731" i="83" s="1"/>
  <c r="AE732" i="83"/>
  <c r="AG732" i="83" s="1"/>
  <c r="AH732" i="83" s="1"/>
  <c r="AE733" i="83"/>
  <c r="AG733" i="83" s="1"/>
  <c r="AH733" i="83" s="1"/>
  <c r="AE734" i="83"/>
  <c r="AE735" i="83"/>
  <c r="AG735" i="83" s="1"/>
  <c r="AH735" i="83" s="1"/>
  <c r="AE736" i="83"/>
  <c r="AG736" i="83" s="1"/>
  <c r="AH736" i="83" s="1"/>
  <c r="AE737" i="83"/>
  <c r="AG737" i="83" s="1"/>
  <c r="AH737" i="83" s="1"/>
  <c r="AE738" i="83"/>
  <c r="AG738" i="83" s="1"/>
  <c r="AH738" i="83" s="1"/>
  <c r="AE739" i="83"/>
  <c r="AG739" i="83" s="1"/>
  <c r="AH739" i="83" s="1"/>
  <c r="AE740" i="83"/>
  <c r="AG740" i="83" s="1"/>
  <c r="AH740" i="83" s="1"/>
  <c r="AE741" i="83"/>
  <c r="AG741" i="83" s="1"/>
  <c r="AE742" i="83"/>
  <c r="AE743" i="83"/>
  <c r="AG743" i="83" s="1"/>
  <c r="AH743" i="83" s="1"/>
  <c r="AE744" i="83"/>
  <c r="AG744" i="83" s="1"/>
  <c r="AH744" i="83" s="1"/>
  <c r="AE745" i="83"/>
  <c r="AG745" i="83"/>
  <c r="AH745" i="83" s="1"/>
  <c r="AE746" i="83"/>
  <c r="AE747" i="83"/>
  <c r="AK747" i="83"/>
  <c r="AE748" i="83"/>
  <c r="AG748" i="83" s="1"/>
  <c r="AH748" i="83" s="1"/>
  <c r="AK748" i="83"/>
  <c r="AE749" i="83"/>
  <c r="AG749" i="83" s="1"/>
  <c r="AH749" i="83" s="1"/>
  <c r="AK749" i="83"/>
  <c r="AE750" i="83"/>
  <c r="AK750" i="83"/>
  <c r="AE751" i="83"/>
  <c r="AG751" i="83" s="1"/>
  <c r="AH751" i="83" s="1"/>
  <c r="AK751" i="83"/>
  <c r="AE752" i="83"/>
  <c r="AG752" i="83" s="1"/>
  <c r="AH752" i="83" s="1"/>
  <c r="AE753" i="83"/>
  <c r="AE754" i="83"/>
  <c r="AE755" i="83"/>
  <c r="AG755" i="83" s="1"/>
  <c r="AH755" i="83" s="1"/>
  <c r="AE756" i="83"/>
  <c r="AE757" i="83"/>
  <c r="AG757" i="83" s="1"/>
  <c r="AH757" i="83" s="1"/>
  <c r="AE758" i="83"/>
  <c r="AE759" i="83"/>
  <c r="AG759" i="83" s="1"/>
  <c r="AH759" i="83" s="1"/>
  <c r="AE760" i="83"/>
  <c r="AG760" i="83" s="1"/>
  <c r="AH760" i="83" s="1"/>
  <c r="AE761" i="83"/>
  <c r="AE762" i="83"/>
  <c r="AE763" i="83"/>
  <c r="AG763" i="83" s="1"/>
  <c r="AH763" i="83" s="1"/>
  <c r="AE764" i="83"/>
  <c r="AE765" i="83"/>
  <c r="AG765" i="83" s="1"/>
  <c r="AH765" i="83" s="1"/>
  <c r="AE766" i="83"/>
  <c r="AE767" i="83"/>
  <c r="AG767" i="83" s="1"/>
  <c r="AH767" i="83" s="1"/>
  <c r="AE768" i="83"/>
  <c r="AG768" i="83" s="1"/>
  <c r="AH768" i="83"/>
  <c r="AE769" i="83"/>
  <c r="AE770" i="83"/>
  <c r="AG770" i="83" s="1"/>
  <c r="AH770" i="83" s="1"/>
  <c r="AE771" i="83"/>
  <c r="AG771" i="83" s="1"/>
  <c r="AH771" i="83" s="1"/>
  <c r="AE772" i="83"/>
  <c r="AE773" i="83"/>
  <c r="AG773" i="83"/>
  <c r="AH773" i="83" s="1"/>
  <c r="AE774" i="83"/>
  <c r="AE775" i="83"/>
  <c r="AG775" i="83" s="1"/>
  <c r="AH775" i="83" s="1"/>
  <c r="AE776" i="83"/>
  <c r="AG776" i="83" s="1"/>
  <c r="AH776" i="83" s="1"/>
  <c r="AE777" i="83"/>
  <c r="AE778" i="83"/>
  <c r="AG778" i="83" s="1"/>
  <c r="AH778" i="83" s="1"/>
  <c r="AE779" i="83"/>
  <c r="AE780" i="83"/>
  <c r="AE781" i="83"/>
  <c r="AG781" i="83" s="1"/>
  <c r="AH781" i="83" s="1"/>
  <c r="AE782" i="83"/>
  <c r="AE783" i="83"/>
  <c r="AJ783" i="83" s="1"/>
  <c r="AG783" i="83"/>
  <c r="AH783" i="83" s="1"/>
  <c r="AE784" i="83"/>
  <c r="AG784" i="83" s="1"/>
  <c r="AH784" i="83" s="1"/>
  <c r="AE785" i="83"/>
  <c r="AE786" i="83"/>
  <c r="AE787" i="83"/>
  <c r="AE788" i="83"/>
  <c r="AE789" i="83"/>
  <c r="AE790" i="83"/>
  <c r="AE791" i="83"/>
  <c r="AG791" i="83" s="1"/>
  <c r="AH791" i="83" s="1"/>
  <c r="AE792" i="83"/>
  <c r="AG792" i="83" s="1"/>
  <c r="AH792" i="83" s="1"/>
  <c r="AE793" i="83"/>
  <c r="AG793" i="83" s="1"/>
  <c r="AH793" i="83" s="1"/>
  <c r="AE794" i="83"/>
  <c r="AE795" i="83"/>
  <c r="AG795" i="83" s="1"/>
  <c r="AH795" i="83" s="1"/>
  <c r="AE796" i="83"/>
  <c r="AG796" i="83"/>
  <c r="AH796" i="83" s="1"/>
  <c r="AE797" i="83"/>
  <c r="AG797" i="83" s="1"/>
  <c r="AH797" i="83" s="1"/>
  <c r="AE798" i="83"/>
  <c r="AG798" i="83" s="1"/>
  <c r="AH798" i="83" s="1"/>
  <c r="AE799" i="83"/>
  <c r="AG799" i="83" s="1"/>
  <c r="AH799" i="83" s="1"/>
  <c r="AE800" i="83"/>
  <c r="AE801" i="83"/>
  <c r="AG801" i="83" s="1"/>
  <c r="AH801" i="83" s="1"/>
  <c r="AE802" i="83"/>
  <c r="AE803" i="83"/>
  <c r="AG803" i="83" s="1"/>
  <c r="AH803" i="83" s="1"/>
  <c r="AE804" i="83"/>
  <c r="AG804" i="83" s="1"/>
  <c r="AH804" i="83" s="1"/>
  <c r="AE805" i="83"/>
  <c r="AG805" i="83" s="1"/>
  <c r="AH805" i="83" s="1"/>
  <c r="AE806" i="83"/>
  <c r="AG806" i="83" s="1"/>
  <c r="AH806" i="83" s="1"/>
  <c r="AE807" i="83"/>
  <c r="AG807" i="83" s="1"/>
  <c r="AH807" i="83" s="1"/>
  <c r="AE808" i="83"/>
  <c r="AE809" i="83"/>
  <c r="AG809" i="83" s="1"/>
  <c r="AH809" i="83" s="1"/>
  <c r="AE810" i="83"/>
  <c r="AE811" i="83"/>
  <c r="AG811" i="83" s="1"/>
  <c r="AH811" i="83" s="1"/>
  <c r="AE812" i="83"/>
  <c r="AE813" i="83"/>
  <c r="AG813" i="83" s="1"/>
  <c r="AH813" i="83" s="1"/>
  <c r="AE814" i="83"/>
  <c r="AE815" i="83"/>
  <c r="AE816" i="83"/>
  <c r="AG816" i="83" s="1"/>
  <c r="AE817" i="83"/>
  <c r="AE818" i="83"/>
  <c r="AG818" i="83" s="1"/>
  <c r="AH818" i="83" s="1"/>
  <c r="AE819" i="83"/>
  <c r="AG819" i="83" s="1"/>
  <c r="AE820" i="83"/>
  <c r="AE821" i="83"/>
  <c r="AG821" i="83" s="1"/>
  <c r="AH821" i="83" s="1"/>
  <c r="AE822" i="83"/>
  <c r="AE823" i="83"/>
  <c r="AG823" i="83" s="1"/>
  <c r="AE824" i="83"/>
  <c r="AG824" i="83" s="1"/>
  <c r="AE825" i="83"/>
  <c r="AG825" i="83" s="1"/>
  <c r="AH825" i="83" s="1"/>
  <c r="AE826" i="83"/>
  <c r="AG826" i="83" s="1"/>
  <c r="AH826" i="83" s="1"/>
  <c r="AE827" i="83"/>
  <c r="AG827" i="83" s="1"/>
  <c r="AE828" i="83"/>
  <c r="AG828" i="83" s="1"/>
  <c r="AH828" i="83" s="1"/>
  <c r="AE829" i="83"/>
  <c r="AG829" i="83" s="1"/>
  <c r="AH829" i="83" s="1"/>
  <c r="AE830" i="83"/>
  <c r="AE831" i="83"/>
  <c r="AE832" i="83"/>
  <c r="AG832" i="83" s="1"/>
  <c r="AE833" i="83"/>
  <c r="AG833" i="83" s="1"/>
  <c r="AH833" i="83" s="1"/>
  <c r="AE834" i="83"/>
  <c r="AG834" i="83" s="1"/>
  <c r="AH834" i="83" s="1"/>
  <c r="AE835" i="83"/>
  <c r="AG835" i="83" s="1"/>
  <c r="AE836" i="83"/>
  <c r="AG836" i="83" s="1"/>
  <c r="AH836" i="83" s="1"/>
  <c r="AE837" i="83"/>
  <c r="AG837" i="83" s="1"/>
  <c r="AH837" i="83" s="1"/>
  <c r="AE838" i="83"/>
  <c r="AE839" i="83"/>
  <c r="AE840" i="83"/>
  <c r="AE841" i="83"/>
  <c r="AE842" i="83"/>
  <c r="AG842" i="83" s="1"/>
  <c r="AH842" i="83" s="1"/>
  <c r="AE843" i="83"/>
  <c r="AG843" i="83" s="1"/>
  <c r="AE844" i="83"/>
  <c r="AG844" i="83" s="1"/>
  <c r="AH844" i="83" s="1"/>
  <c r="AE845" i="83"/>
  <c r="AG845" i="83" s="1"/>
  <c r="AH845" i="83" s="1"/>
  <c r="AE846" i="83"/>
  <c r="AE847" i="83"/>
  <c r="AG847" i="83" s="1"/>
  <c r="AH847" i="83" s="1"/>
  <c r="AE848" i="83"/>
  <c r="AG848" i="83" s="1"/>
  <c r="AE849" i="83"/>
  <c r="AG849" i="83" s="1"/>
  <c r="AH849" i="83" s="1"/>
  <c r="AE850" i="83"/>
  <c r="AG850" i="83" s="1"/>
  <c r="AH850" i="83" s="1"/>
  <c r="AE851" i="83"/>
  <c r="AG851" i="83" s="1"/>
  <c r="AE852" i="83"/>
  <c r="AG852" i="83" s="1"/>
  <c r="AH852" i="83" s="1"/>
  <c r="AE853" i="83"/>
  <c r="AG853" i="83" s="1"/>
  <c r="AH853" i="83" s="1"/>
  <c r="AE854" i="83"/>
  <c r="AE855" i="83"/>
  <c r="AG855" i="83" s="1"/>
  <c r="AH855" i="83" s="1"/>
  <c r="AE856" i="83"/>
  <c r="AG856" i="83" s="1"/>
  <c r="AE857" i="83"/>
  <c r="AG857" i="83" s="1"/>
  <c r="AH857" i="83" s="1"/>
  <c r="AE858" i="83"/>
  <c r="AG858" i="83" s="1"/>
  <c r="AH858" i="83" s="1"/>
  <c r="AE859" i="83"/>
  <c r="AG859" i="83" s="1"/>
  <c r="AE860" i="83"/>
  <c r="AG860" i="83" s="1"/>
  <c r="AH860" i="83" s="1"/>
  <c r="AE861" i="83"/>
  <c r="AG861" i="83" s="1"/>
  <c r="AH861" i="83" s="1"/>
  <c r="AE862" i="83"/>
  <c r="AE863" i="83"/>
  <c r="AG863" i="83" s="1"/>
  <c r="AH863" i="83" s="1"/>
  <c r="AJ863" i="83"/>
  <c r="AE864" i="83"/>
  <c r="AG864" i="83" s="1"/>
  <c r="AE865" i="83"/>
  <c r="AG865" i="83" s="1"/>
  <c r="AH865" i="83" s="1"/>
  <c r="AE866" i="83"/>
  <c r="AG866" i="83" s="1"/>
  <c r="AH866" i="83" s="1"/>
  <c r="AE867" i="83"/>
  <c r="AG867" i="83" s="1"/>
  <c r="AE868" i="83"/>
  <c r="AG868" i="83" s="1"/>
  <c r="AH868" i="83" s="1"/>
  <c r="AE869" i="83"/>
  <c r="AG869" i="83" s="1"/>
  <c r="AH869" i="83" s="1"/>
  <c r="AE870" i="83"/>
  <c r="AE871" i="83"/>
  <c r="AG871" i="83" s="1"/>
  <c r="AH871" i="83" s="1"/>
  <c r="AE872" i="83"/>
  <c r="AG872" i="83" s="1"/>
  <c r="AH872" i="83" s="1"/>
  <c r="AE873" i="83"/>
  <c r="AG873" i="83" s="1"/>
  <c r="AH873" i="83" s="1"/>
  <c r="AE874" i="83"/>
  <c r="AG874" i="83" s="1"/>
  <c r="AH874" i="83" s="1"/>
  <c r="AE875" i="83"/>
  <c r="AG875" i="83" s="1"/>
  <c r="AE876" i="83"/>
  <c r="AG876" i="83"/>
  <c r="AH876" i="83" s="1"/>
  <c r="AE877" i="83"/>
  <c r="AG877" i="83" s="1"/>
  <c r="AH877" i="83" s="1"/>
  <c r="AE878" i="83"/>
  <c r="AE879" i="83"/>
  <c r="AG879" i="83" s="1"/>
  <c r="AH879" i="83" s="1"/>
  <c r="AE880" i="83"/>
  <c r="AG880" i="83" s="1"/>
  <c r="AE881" i="83"/>
  <c r="AG881" i="83" s="1"/>
  <c r="AH881" i="83" s="1"/>
  <c r="AE882" i="83"/>
  <c r="AG882" i="83" s="1"/>
  <c r="AE883" i="83"/>
  <c r="AG883" i="83" s="1"/>
  <c r="AE884" i="83"/>
  <c r="AG884" i="83" s="1"/>
  <c r="AH884" i="83" s="1"/>
  <c r="AE885" i="83"/>
  <c r="AG885" i="83" s="1"/>
  <c r="AH885" i="83" s="1"/>
  <c r="AE886" i="83"/>
  <c r="AE887" i="83"/>
  <c r="AG887" i="83" s="1"/>
  <c r="AH887" i="83" s="1"/>
  <c r="AE888" i="83"/>
  <c r="AG888" i="83" s="1"/>
  <c r="AE889" i="83"/>
  <c r="AE890" i="83"/>
  <c r="AG890" i="83" s="1"/>
  <c r="AH890" i="83" s="1"/>
  <c r="AE891" i="83"/>
  <c r="AG891" i="83" s="1"/>
  <c r="AE892" i="83"/>
  <c r="AG892" i="83" s="1"/>
  <c r="AH892" i="83" s="1"/>
  <c r="AE893" i="83"/>
  <c r="AG893" i="83"/>
  <c r="AH893" i="83" s="1"/>
  <c r="AE894" i="83"/>
  <c r="AE895" i="83"/>
  <c r="AG895" i="83"/>
  <c r="AH895" i="83" s="1"/>
  <c r="AE896" i="83"/>
  <c r="AG896" i="83" s="1"/>
  <c r="AE897" i="83"/>
  <c r="AG897" i="83" s="1"/>
  <c r="AH897" i="83" s="1"/>
  <c r="AE898" i="83"/>
  <c r="AG898" i="83" s="1"/>
  <c r="AH898" i="83" s="1"/>
  <c r="AE899" i="83"/>
  <c r="AG899" i="83" s="1"/>
  <c r="AE900" i="83"/>
  <c r="AG900" i="83" s="1"/>
  <c r="AH900" i="83" s="1"/>
  <c r="AE901" i="83"/>
  <c r="AG901" i="83" s="1"/>
  <c r="AH901" i="83" s="1"/>
  <c r="AE902" i="83"/>
  <c r="AE903" i="83"/>
  <c r="AE904" i="83"/>
  <c r="AG904" i="83" s="1"/>
  <c r="AJ904" i="83" s="1"/>
  <c r="AE905" i="83"/>
  <c r="AG905" i="83" s="1"/>
  <c r="AH905" i="83" s="1"/>
  <c r="AE906" i="83"/>
  <c r="AG906" i="83" s="1"/>
  <c r="AH906" i="83" s="1"/>
  <c r="AE907" i="83"/>
  <c r="AG907" i="83" s="1"/>
  <c r="AH907" i="83" s="1"/>
  <c r="AE908" i="83"/>
  <c r="AG908" i="83" s="1"/>
  <c r="AH908" i="83" s="1"/>
  <c r="AE909" i="83"/>
  <c r="AG909" i="83"/>
  <c r="AE910" i="83"/>
  <c r="AE911" i="83"/>
  <c r="AG911" i="83" s="1"/>
  <c r="AH911" i="83" s="1"/>
  <c r="AE912" i="83"/>
  <c r="AG912" i="83" s="1"/>
  <c r="AE913" i="83"/>
  <c r="AG913" i="83" s="1"/>
  <c r="AH913" i="83" s="1"/>
  <c r="AE914" i="83"/>
  <c r="AG914" i="83" s="1"/>
  <c r="AH914" i="83" s="1"/>
  <c r="AE915" i="83"/>
  <c r="AG915" i="83" s="1"/>
  <c r="AH915" i="83" s="1"/>
  <c r="AE916" i="83"/>
  <c r="AG916" i="83" s="1"/>
  <c r="AH916" i="83" s="1"/>
  <c r="AE917" i="83"/>
  <c r="AG917" i="83" s="1"/>
  <c r="AE918" i="83"/>
  <c r="AE919" i="83"/>
  <c r="AG919" i="83" s="1"/>
  <c r="AH919" i="83" s="1"/>
  <c r="AE920" i="83"/>
  <c r="AG920" i="83" s="1"/>
  <c r="AJ920" i="83" s="1"/>
  <c r="AE921" i="83"/>
  <c r="AG921" i="83" s="1"/>
  <c r="AH921" i="83" s="1"/>
  <c r="AE922" i="83"/>
  <c r="AG922" i="83" s="1"/>
  <c r="AH922" i="83" s="1"/>
  <c r="AE923" i="83"/>
  <c r="AG923" i="83" s="1"/>
  <c r="AH923" i="83" s="1"/>
  <c r="AE924" i="83"/>
  <c r="AG924" i="83" s="1"/>
  <c r="AH924" i="83" s="1"/>
  <c r="AE925" i="83"/>
  <c r="AG925" i="83" s="1"/>
  <c r="AE926" i="83"/>
  <c r="AE927" i="83"/>
  <c r="AG927" i="83" s="1"/>
  <c r="AH927" i="83" s="1"/>
  <c r="AE928" i="83"/>
  <c r="AG928" i="83" s="1"/>
  <c r="AJ928" i="83" s="1"/>
  <c r="AE929" i="83"/>
  <c r="AG929" i="83" s="1"/>
  <c r="AH929" i="83" s="1"/>
  <c r="AE930" i="83"/>
  <c r="AG930" i="83" s="1"/>
  <c r="AH930" i="83" s="1"/>
  <c r="AE931" i="83"/>
  <c r="AG931" i="83" s="1"/>
  <c r="AH931" i="83" s="1"/>
  <c r="AE932" i="83"/>
  <c r="AG932" i="83" s="1"/>
  <c r="AH932" i="83" s="1"/>
  <c r="AE933" i="83"/>
  <c r="AG933" i="83" s="1"/>
  <c r="AE934" i="83"/>
  <c r="AE935" i="83"/>
  <c r="AG935" i="83" s="1"/>
  <c r="AE936" i="83"/>
  <c r="AG936" i="83" s="1"/>
  <c r="AJ936" i="83" s="1"/>
  <c r="AE937" i="83"/>
  <c r="AE938" i="83"/>
  <c r="AG938" i="83" s="1"/>
  <c r="AH938" i="83" s="1"/>
  <c r="AE939" i="83"/>
  <c r="AG939" i="83" s="1"/>
  <c r="AH939" i="83" s="1"/>
  <c r="AE940" i="83"/>
  <c r="AG940" i="83" s="1"/>
  <c r="AH940" i="83" s="1"/>
  <c r="AE941" i="83"/>
  <c r="AG941" i="83" s="1"/>
  <c r="AE942" i="83"/>
  <c r="AE943" i="83"/>
  <c r="AG943" i="83" s="1"/>
  <c r="AH943" i="83" s="1"/>
  <c r="AJ943" i="83"/>
  <c r="AE944" i="83"/>
  <c r="AG944" i="83" s="1"/>
  <c r="AJ944" i="83" s="1"/>
  <c r="AE945" i="83"/>
  <c r="AG945" i="83" s="1"/>
  <c r="AH945" i="83" s="1"/>
  <c r="AE946" i="83"/>
  <c r="AE947" i="83"/>
  <c r="AG947" i="83" s="1"/>
  <c r="AH947" i="83" s="1"/>
  <c r="AE948" i="83"/>
  <c r="AG948" i="83" s="1"/>
  <c r="AH948" i="83"/>
  <c r="AE949" i="83"/>
  <c r="AG949" i="83" s="1"/>
  <c r="AE950" i="83"/>
  <c r="AE951" i="83"/>
  <c r="AG951" i="83" s="1"/>
  <c r="AH951" i="83" s="1"/>
  <c r="AE952" i="83"/>
  <c r="AG952" i="83" s="1"/>
  <c r="AJ952" i="83" s="1"/>
  <c r="AE953" i="83"/>
  <c r="AG953" i="83" s="1"/>
  <c r="AH953" i="83" s="1"/>
  <c r="AE954" i="83"/>
  <c r="AG954" i="83" s="1"/>
  <c r="AH954" i="83" s="1"/>
  <c r="AE955" i="83"/>
  <c r="AG955" i="83" s="1"/>
  <c r="AE956" i="83"/>
  <c r="AG956" i="83" s="1"/>
  <c r="AH956" i="83" s="1"/>
  <c r="AE957" i="83"/>
  <c r="AG957" i="83" s="1"/>
  <c r="AE958" i="83"/>
  <c r="AE959" i="83"/>
  <c r="AG959" i="83" s="1"/>
  <c r="AH959" i="83" s="1"/>
  <c r="AK959" i="83"/>
  <c r="AE960" i="83"/>
  <c r="AG960" i="83" s="1"/>
  <c r="AJ960" i="83" s="1"/>
  <c r="AE961" i="83"/>
  <c r="AE962" i="83"/>
  <c r="AG962" i="83" s="1"/>
  <c r="AH962" i="83" s="1"/>
  <c r="AE963" i="83"/>
  <c r="AE964" i="83"/>
  <c r="AG964" i="83" s="1"/>
  <c r="AH964" i="83" s="1"/>
  <c r="AE965" i="83"/>
  <c r="AG965" i="83" s="1"/>
  <c r="AE966" i="83"/>
  <c r="AE967" i="83"/>
  <c r="AE968" i="83"/>
  <c r="AG968" i="83" s="1"/>
  <c r="AJ968" i="83" s="1"/>
  <c r="AE969" i="83"/>
  <c r="AG969" i="83" s="1"/>
  <c r="AH969" i="83" s="1"/>
  <c r="AE970" i="83"/>
  <c r="AE971" i="83"/>
  <c r="AG971" i="83" s="1"/>
  <c r="AH971" i="83" s="1"/>
  <c r="AE972" i="83"/>
  <c r="AG972" i="83" s="1"/>
  <c r="AH972" i="83" s="1"/>
  <c r="AE973" i="83"/>
  <c r="AG973" i="83" s="1"/>
  <c r="AK973" i="83"/>
  <c r="AE974" i="83"/>
  <c r="AK974" i="83"/>
  <c r="AE975" i="83"/>
  <c r="AE976" i="83"/>
  <c r="AG976" i="83" s="1"/>
  <c r="AJ976" i="83" s="1"/>
  <c r="AE977" i="83"/>
  <c r="AG977" i="83" s="1"/>
  <c r="AH977" i="83" s="1"/>
  <c r="AK977" i="83"/>
  <c r="AE978" i="83"/>
  <c r="AG978" i="83" s="1"/>
  <c r="AH978" i="83" s="1"/>
  <c r="AK978" i="83"/>
  <c r="AE979" i="83"/>
  <c r="AG979" i="83" s="1"/>
  <c r="AH979" i="83" s="1"/>
  <c r="AE980" i="83"/>
  <c r="AE981" i="83"/>
  <c r="AG981" i="83" s="1"/>
  <c r="AE982" i="83"/>
  <c r="AE983" i="83"/>
  <c r="AG983" i="83" s="1"/>
  <c r="AH983" i="83" s="1"/>
  <c r="AE984" i="83"/>
  <c r="AG984" i="83" s="1"/>
  <c r="AJ984" i="83" s="1"/>
  <c r="AE985" i="83"/>
  <c r="AG985" i="83" s="1"/>
  <c r="AH985" i="83" s="1"/>
  <c r="AE986" i="83"/>
  <c r="AG986" i="83" s="1"/>
  <c r="AE987" i="83"/>
  <c r="AG987" i="83" s="1"/>
  <c r="AH987" i="83" s="1"/>
  <c r="AE988" i="83"/>
  <c r="AG988" i="83" s="1"/>
  <c r="AH988" i="83" s="1"/>
  <c r="AE989" i="83"/>
  <c r="AG989" i="83" s="1"/>
  <c r="AE990" i="83"/>
  <c r="AE991" i="83"/>
  <c r="AG991" i="83" s="1"/>
  <c r="AE992" i="83"/>
  <c r="AG992" i="83"/>
  <c r="AH992" i="83" s="1"/>
  <c r="AE993" i="83"/>
  <c r="AG993" i="83" s="1"/>
  <c r="AH993" i="83" s="1"/>
  <c r="AE994" i="83"/>
  <c r="AG994" i="83" s="1"/>
  <c r="AH994" i="83" s="1"/>
  <c r="AE995" i="83"/>
  <c r="AE996" i="83"/>
  <c r="AE997" i="83"/>
  <c r="AE998" i="83"/>
  <c r="AE999" i="83"/>
  <c r="AG999" i="83" s="1"/>
  <c r="AH999" i="83" s="1"/>
  <c r="AE1000" i="83"/>
  <c r="AG1000" i="83" s="1"/>
  <c r="AE1001" i="83"/>
  <c r="AG1001" i="83" s="1"/>
  <c r="AH1001" i="83" s="1"/>
  <c r="AE1002" i="83"/>
  <c r="AG1002" i="83" s="1"/>
  <c r="AH1002" i="83" s="1"/>
  <c r="AE1003" i="83"/>
  <c r="AG1003" i="83" s="1"/>
  <c r="AH1003" i="83" s="1"/>
  <c r="AJ1003" i="83"/>
  <c r="AK1003" i="83" s="1"/>
  <c r="AE1004" i="83"/>
  <c r="AG1004" i="83" s="1"/>
  <c r="AH1004" i="83" s="1"/>
  <c r="AE1005" i="83"/>
  <c r="AG1005" i="83" s="1"/>
  <c r="AH1005" i="83" s="1"/>
  <c r="AE1006" i="83"/>
  <c r="AE1007" i="83"/>
  <c r="AG1007" i="83" s="1"/>
  <c r="AH1007" i="83" s="1"/>
  <c r="AE1008" i="83"/>
  <c r="AG1008" i="83" s="1"/>
  <c r="AH1008" i="83" s="1"/>
  <c r="AE1009" i="83"/>
  <c r="AG1009" i="83" s="1"/>
  <c r="AH1009" i="83" s="1"/>
  <c r="AE1010" i="83"/>
  <c r="AG1010" i="83" s="1"/>
  <c r="AH1010" i="83" s="1"/>
  <c r="AE1011" i="83"/>
  <c r="AG1011" i="83" s="1"/>
  <c r="AH1011" i="83" s="1"/>
  <c r="AE1012" i="83"/>
  <c r="AE1013" i="83"/>
  <c r="AE1014" i="83"/>
  <c r="AE1015" i="83"/>
  <c r="AG1015" i="83" s="1"/>
  <c r="AH1015" i="83" s="1"/>
  <c r="AE1016" i="83"/>
  <c r="AG1016" i="83" s="1"/>
  <c r="AJ1016" i="83" s="1"/>
  <c r="AE1017" i="83"/>
  <c r="AG1017" i="83" s="1"/>
  <c r="AH1017" i="83" s="1"/>
  <c r="AE1018" i="83"/>
  <c r="AG1018" i="83" s="1"/>
  <c r="AH1018" i="83" s="1"/>
  <c r="AE1019" i="83"/>
  <c r="AG1019" i="83" s="1"/>
  <c r="AH1019" i="83" s="1"/>
  <c r="AE1020" i="83"/>
  <c r="AG1020" i="83" s="1"/>
  <c r="AH1020" i="83" s="1"/>
  <c r="AE1021" i="83"/>
  <c r="AG1021" i="83" s="1"/>
  <c r="AH1021" i="83" s="1"/>
  <c r="AE1022" i="83"/>
  <c r="AE1023" i="83"/>
  <c r="AG1023" i="83" s="1"/>
  <c r="AH1023" i="83" s="1"/>
  <c r="AE1024" i="83"/>
  <c r="AG1024" i="83" s="1"/>
  <c r="AH1024" i="83" s="1"/>
  <c r="AK1024" i="83"/>
  <c r="AE1025" i="83"/>
  <c r="AG1025" i="83" s="1"/>
  <c r="AH1025" i="83" s="1"/>
  <c r="AK1025" i="83"/>
  <c r="AE1026" i="83"/>
  <c r="AG1026" i="83" s="1"/>
  <c r="AH1026" i="83" s="1"/>
  <c r="AE1027" i="83"/>
  <c r="AG1027" i="83" s="1"/>
  <c r="AH1027" i="83" s="1"/>
  <c r="AE1028" i="83"/>
  <c r="AG1028" i="83" s="1"/>
  <c r="AH1028" i="83" s="1"/>
  <c r="AE1029" i="83"/>
  <c r="AG1029" i="83" s="1"/>
  <c r="AH1029" i="83" s="1"/>
  <c r="AE1030" i="83"/>
  <c r="AE1031" i="83"/>
  <c r="AG1031" i="83" s="1"/>
  <c r="AK1031" i="83"/>
  <c r="AE1032" i="83"/>
  <c r="AG1032" i="83" s="1"/>
  <c r="AH1032" i="83" s="1"/>
  <c r="AE1033" i="83"/>
  <c r="AG1033" i="83" s="1"/>
  <c r="AH1033" i="83" s="1"/>
  <c r="AE1034" i="83"/>
  <c r="AG1034" i="83" s="1"/>
  <c r="AH1034" i="83" s="1"/>
  <c r="AE1035" i="83"/>
  <c r="AG1035" i="83" s="1"/>
  <c r="AH1035" i="83" s="1"/>
  <c r="AE1036" i="83"/>
  <c r="AG1036" i="83" s="1"/>
  <c r="AH1036" i="83" s="1"/>
  <c r="AE1037" i="83"/>
  <c r="AG1037" i="83" s="1"/>
  <c r="AH1037" i="83" s="1"/>
  <c r="AE1038" i="83"/>
  <c r="AE1039" i="83"/>
  <c r="AG1039" i="83" s="1"/>
  <c r="AH1039" i="83" s="1"/>
  <c r="AK1039" i="83"/>
  <c r="AE1040" i="83"/>
  <c r="AG1040" i="83" s="1"/>
  <c r="AH1040" i="83"/>
  <c r="AK1040" i="83"/>
  <c r="AE1041" i="83"/>
  <c r="AG1041" i="83" s="1"/>
  <c r="AH1041" i="83" s="1"/>
  <c r="AE1042" i="83"/>
  <c r="AG1042" i="83" s="1"/>
  <c r="AE1043" i="83"/>
  <c r="AG1043" i="83" s="1"/>
  <c r="AH1043" i="83" s="1"/>
  <c r="AK1043" i="83"/>
  <c r="AE1044" i="83"/>
  <c r="AG1044" i="83" s="1"/>
  <c r="AH1044" i="83" s="1"/>
  <c r="AE1045" i="83"/>
  <c r="AG1045" i="83" s="1"/>
  <c r="AE1046" i="83"/>
  <c r="AK1046" i="83"/>
  <c r="AE1047" i="83"/>
  <c r="AG1047" i="83" s="1"/>
  <c r="AE1048" i="83"/>
  <c r="AG1048" i="83" s="1"/>
  <c r="AH1048" i="83" s="1"/>
  <c r="AE1049" i="83"/>
  <c r="AG1049" i="83" s="1"/>
  <c r="AH1049" i="83" s="1"/>
  <c r="AE1050" i="83"/>
  <c r="AE1051" i="83"/>
  <c r="AE1052" i="83"/>
  <c r="AE1053" i="83"/>
  <c r="AG1053" i="83" s="1"/>
  <c r="AH1053" i="83" s="1"/>
  <c r="AE1054" i="83"/>
  <c r="AE1055" i="83"/>
  <c r="AG1055" i="83" s="1"/>
  <c r="AH1055" i="83" s="1"/>
  <c r="AE1056" i="83"/>
  <c r="AG1056" i="83" s="1"/>
  <c r="AH1056" i="83" s="1"/>
  <c r="AE1057" i="83"/>
  <c r="AG1057" i="83" s="1"/>
  <c r="AH1057" i="83" s="1"/>
  <c r="AE1058" i="83"/>
  <c r="AG1058" i="83" s="1"/>
  <c r="AH1058" i="83" s="1"/>
  <c r="AE1059" i="83"/>
  <c r="AG1059" i="83" s="1"/>
  <c r="AH1059" i="83" s="1"/>
  <c r="AE1060" i="83"/>
  <c r="AG1060" i="83" s="1"/>
  <c r="AH1060" i="83" s="1"/>
  <c r="AJ1060" i="83"/>
  <c r="AK1060" i="83" s="1"/>
  <c r="AE1061" i="83"/>
  <c r="AG1061" i="83" s="1"/>
  <c r="AH1061" i="83" s="1"/>
  <c r="AE1062" i="83"/>
  <c r="AG1062" i="83" s="1"/>
  <c r="AH1062" i="83" s="1"/>
  <c r="AE1063" i="83"/>
  <c r="AG1063" i="83" s="1"/>
  <c r="AH1063" i="83" s="1"/>
  <c r="AE1064" i="83"/>
  <c r="AG1064" i="83" s="1"/>
  <c r="AE1065" i="83"/>
  <c r="AG1065" i="83" s="1"/>
  <c r="AH1065" i="83" s="1"/>
  <c r="AE1066" i="83"/>
  <c r="AG1066" i="83" s="1"/>
  <c r="AE1067" i="83"/>
  <c r="AG1067" i="83" s="1"/>
  <c r="AH1067" i="83" s="1"/>
  <c r="AE1068" i="83"/>
  <c r="AG1068" i="83" s="1"/>
  <c r="AE1069" i="83"/>
  <c r="AG1069" i="83" s="1"/>
  <c r="AH1069" i="83" s="1"/>
  <c r="AE1070" i="83"/>
  <c r="AG1070" i="83"/>
  <c r="AH1070" i="83" s="1"/>
  <c r="AE1071" i="83"/>
  <c r="AG1071" i="83" s="1"/>
  <c r="AH1071" i="83" s="1"/>
  <c r="AE1072" i="83"/>
  <c r="AG1072" i="83"/>
  <c r="AE1073" i="83"/>
  <c r="AG1073" i="83" s="1"/>
  <c r="AE1074" i="83"/>
  <c r="AG1074" i="83" s="1"/>
  <c r="AH1074" i="83" s="1"/>
  <c r="AE1075" i="83"/>
  <c r="AG1075" i="83" s="1"/>
  <c r="AE1076" i="83"/>
  <c r="AG1076" i="83" s="1"/>
  <c r="AH1076" i="83" s="1"/>
  <c r="AE1077" i="83"/>
  <c r="AE1078" i="83"/>
  <c r="AG1078" i="83" s="1"/>
  <c r="AH1078" i="83" s="1"/>
  <c r="AE1079" i="83"/>
  <c r="AG1079" i="83" s="1"/>
  <c r="AH1079" i="83" s="1"/>
  <c r="AK1079" i="83"/>
  <c r="AE1080" i="83"/>
  <c r="AK1080" i="83"/>
  <c r="AE1081" i="83"/>
  <c r="AG1081" i="83" s="1"/>
  <c r="AE1082" i="83"/>
  <c r="AG1082" i="83" s="1"/>
  <c r="AH1082" i="83" s="1"/>
  <c r="AE1083" i="83"/>
  <c r="AG1083" i="83" s="1"/>
  <c r="AJ1083" i="83" s="1"/>
  <c r="AK1083" i="83"/>
  <c r="AE1084" i="83"/>
  <c r="AG1084" i="83" s="1"/>
  <c r="AH1084" i="83" s="1"/>
  <c r="AK1084" i="83"/>
  <c r="AE1085" i="83"/>
  <c r="AE1086" i="83"/>
  <c r="AE1087" i="83"/>
  <c r="AG1087" i="83" s="1"/>
  <c r="AH1087" i="83" s="1"/>
  <c r="AE1088" i="83"/>
  <c r="AG1088" i="83"/>
  <c r="AH1088" i="83" s="1"/>
  <c r="AK1088" i="83"/>
  <c r="AE1089" i="83"/>
  <c r="AG1089" i="83" s="1"/>
  <c r="AK1089" i="83"/>
  <c r="AE1090" i="83"/>
  <c r="AG1090" i="83" s="1"/>
  <c r="AH1090" i="83" s="1"/>
  <c r="AK1090" i="83"/>
  <c r="AE1091" i="83"/>
  <c r="AG1091" i="83" s="1"/>
  <c r="AE1092" i="83"/>
  <c r="AG1092" i="83" s="1"/>
  <c r="AH1092" i="83" s="1"/>
  <c r="AE1093" i="83"/>
  <c r="AE1094" i="83"/>
  <c r="AG1094" i="83" s="1"/>
  <c r="AJ1094" i="83" s="1"/>
  <c r="AE1095" i="83"/>
  <c r="AG1095" i="83" s="1"/>
  <c r="AH1095" i="83" s="1"/>
  <c r="AE1096" i="83"/>
  <c r="AE1097" i="83"/>
  <c r="AG1097" i="83" s="1"/>
  <c r="AE1098" i="83"/>
  <c r="AG1098" i="83" s="1"/>
  <c r="AH1098" i="83" s="1"/>
  <c r="AK1098" i="83"/>
  <c r="AE1099" i="83"/>
  <c r="AG1099" i="83" s="1"/>
  <c r="AJ1099" i="83" s="1"/>
  <c r="AK1099" i="83"/>
  <c r="AE1100" i="83"/>
  <c r="AG1100" i="83" s="1"/>
  <c r="AH1100" i="83" s="1"/>
  <c r="AK1100" i="83"/>
  <c r="AE1101" i="83"/>
  <c r="AK1101" i="83"/>
  <c r="AE1102" i="83"/>
  <c r="AG1102" i="83" s="1"/>
  <c r="AH1102" i="83" s="1"/>
  <c r="AE1103" i="83"/>
  <c r="AG1103" i="83" s="1"/>
  <c r="AH1103" i="83" s="1"/>
  <c r="AK1103" i="83"/>
  <c r="AE1104" i="83"/>
  <c r="AG1104" i="83" s="1"/>
  <c r="AH1104" i="83" s="1"/>
  <c r="AK1104" i="83"/>
  <c r="AE1105" i="83"/>
  <c r="AG1105" i="83" s="1"/>
  <c r="AH1105" i="83" s="1"/>
  <c r="AE1106" i="83"/>
  <c r="AG1106" i="83" s="1"/>
  <c r="AH1106" i="83" s="1"/>
  <c r="AE1107" i="83"/>
  <c r="AG1107" i="83"/>
  <c r="AJ1107" i="83" s="1"/>
  <c r="AE1108" i="83"/>
  <c r="AG1108" i="83" s="1"/>
  <c r="AH1108" i="83" s="1"/>
  <c r="AE1109" i="83"/>
  <c r="AE1110" i="83"/>
  <c r="AG1110" i="83" s="1"/>
  <c r="AH1110" i="83" s="1"/>
  <c r="AE1111" i="83"/>
  <c r="AG1111" i="83" s="1"/>
  <c r="AH1111" i="83" s="1"/>
  <c r="AE1112" i="83"/>
  <c r="AG1112" i="83" s="1"/>
  <c r="AH1112" i="83" s="1"/>
  <c r="AE1113" i="83"/>
  <c r="AG1113" i="83" s="1"/>
  <c r="AH1113" i="83" s="1"/>
  <c r="AE1114" i="83"/>
  <c r="AG1114" i="83" s="1"/>
  <c r="AH1114" i="83" s="1"/>
  <c r="AE1115" i="83"/>
  <c r="AG1115" i="83" s="1"/>
  <c r="AE1116" i="83"/>
  <c r="AG1116" i="83" s="1"/>
  <c r="AH1116" i="83" s="1"/>
  <c r="AE1117" i="83"/>
  <c r="AE1118" i="83"/>
  <c r="AE1119" i="83"/>
  <c r="AG1119" i="83" s="1"/>
  <c r="AH1119" i="83" s="1"/>
  <c r="AE1120" i="83"/>
  <c r="AG1120" i="83" s="1"/>
  <c r="AH1120" i="83" s="1"/>
  <c r="AE1121" i="83"/>
  <c r="AG1121" i="83"/>
  <c r="AH1121" i="83" s="1"/>
  <c r="AE1122" i="83"/>
  <c r="AG1122" i="83" s="1"/>
  <c r="AH1122" i="83" s="1"/>
  <c r="AE1123" i="83"/>
  <c r="AG1123" i="83" s="1"/>
  <c r="AJ1123" i="83" s="1"/>
  <c r="AE1124" i="83"/>
  <c r="AG1124" i="83" s="1"/>
  <c r="AH1124" i="83" s="1"/>
  <c r="AE1125" i="83"/>
  <c r="AE1126" i="83"/>
  <c r="AG1126" i="83" s="1"/>
  <c r="AH1126" i="83" s="1"/>
  <c r="AJ1126" i="83"/>
  <c r="AK1126" i="83" s="1"/>
  <c r="AE1127" i="83"/>
  <c r="AG1127" i="83" s="1"/>
  <c r="AH1127" i="83" s="1"/>
  <c r="AE1128" i="83"/>
  <c r="AG1128" i="83" s="1"/>
  <c r="AH1128" i="83" s="1"/>
  <c r="AE1129" i="83"/>
  <c r="AG1129" i="83" s="1"/>
  <c r="AH1129" i="83" s="1"/>
  <c r="AE1130" i="83"/>
  <c r="AG1130" i="83" s="1"/>
  <c r="AH1130" i="83" s="1"/>
  <c r="AE1131" i="83"/>
  <c r="AG1131" i="83" s="1"/>
  <c r="AE1132" i="83"/>
  <c r="AG1132" i="83" s="1"/>
  <c r="AH1132" i="83" s="1"/>
  <c r="AE1133" i="83"/>
  <c r="AE1134" i="83"/>
  <c r="AE1135" i="83"/>
  <c r="AG1135" i="83" s="1"/>
  <c r="AH1135" i="83" s="1"/>
  <c r="AE1136" i="83"/>
  <c r="AG1136" i="83" s="1"/>
  <c r="AH1136" i="83" s="1"/>
  <c r="AE1137" i="83"/>
  <c r="AG1137" i="83" s="1"/>
  <c r="AH1137" i="83" s="1"/>
  <c r="AE1138" i="83"/>
  <c r="AG1138" i="83" s="1"/>
  <c r="AH1138" i="83" s="1"/>
  <c r="AE1139" i="83"/>
  <c r="AG1139" i="83" s="1"/>
  <c r="AE1140" i="83"/>
  <c r="AG1140" i="83" s="1"/>
  <c r="AH1140" i="83" s="1"/>
  <c r="AE1141" i="83"/>
  <c r="AE1142" i="83"/>
  <c r="AE1143" i="83"/>
  <c r="AG1143" i="83" s="1"/>
  <c r="AH1143" i="83" s="1"/>
  <c r="AE1144" i="83"/>
  <c r="AG1144" i="83" s="1"/>
  <c r="AH1144" i="83" s="1"/>
  <c r="AE1145" i="83"/>
  <c r="AG1145" i="83" s="1"/>
  <c r="AH1145" i="83" s="1"/>
  <c r="AE1146" i="83"/>
  <c r="AG1146" i="83" s="1"/>
  <c r="AH1146" i="83" s="1"/>
  <c r="AE1147" i="83"/>
  <c r="AG1147" i="83" s="1"/>
  <c r="AE1148" i="83"/>
  <c r="AG1148" i="83" s="1"/>
  <c r="AH1148" i="83" s="1"/>
  <c r="AE1149" i="83"/>
  <c r="AE1150" i="83"/>
  <c r="AG1150" i="83" s="1"/>
  <c r="AH1150" i="83" s="1"/>
  <c r="AE1151" i="83"/>
  <c r="AG1151" i="83" s="1"/>
  <c r="AH1151" i="83" s="1"/>
  <c r="AE1152" i="83"/>
  <c r="AE1153" i="83"/>
  <c r="AG1153" i="83" s="1"/>
  <c r="AH1153" i="83" s="1"/>
  <c r="AE1154" i="83"/>
  <c r="AG1154" i="83" s="1"/>
  <c r="AH1154" i="83" s="1"/>
  <c r="AE1155" i="83"/>
  <c r="AG1155" i="83" s="1"/>
  <c r="AE1156" i="83"/>
  <c r="AG1156" i="83" s="1"/>
  <c r="AH1156" i="83" s="1"/>
  <c r="AE1157" i="83"/>
  <c r="AE1158" i="83"/>
  <c r="AE1159" i="83"/>
  <c r="AG1159" i="83" s="1"/>
  <c r="AH1159" i="83" s="1"/>
  <c r="AE1160" i="83"/>
  <c r="AG1160" i="83"/>
  <c r="AH1160" i="83" s="1"/>
  <c r="AE1161" i="83"/>
  <c r="AG1161" i="83" s="1"/>
  <c r="AE1162" i="83"/>
  <c r="AG1162" i="83" s="1"/>
  <c r="AH1162" i="83" s="1"/>
  <c r="AE1163" i="83"/>
  <c r="AG1163" i="83" s="1"/>
  <c r="AE1164" i="83"/>
  <c r="AG1164" i="83" s="1"/>
  <c r="AH1164" i="83" s="1"/>
  <c r="AE1165" i="83"/>
  <c r="AE1166" i="83"/>
  <c r="AE1167" i="83"/>
  <c r="AG1167" i="83" s="1"/>
  <c r="AH1167" i="83" s="1"/>
  <c r="AE1168" i="83"/>
  <c r="AG1168" i="83" s="1"/>
  <c r="AH1168" i="83" s="1"/>
  <c r="AE1169" i="83"/>
  <c r="AE1170" i="83"/>
  <c r="AG1170" i="83" s="1"/>
  <c r="AH1170" i="83" s="1"/>
  <c r="AE1171" i="83"/>
  <c r="AG1171" i="83" s="1"/>
  <c r="AJ1171" i="83" s="1"/>
  <c r="AE1172" i="83"/>
  <c r="AG1172" i="83" s="1"/>
  <c r="AH1172" i="83" s="1"/>
  <c r="AE1173" i="83"/>
  <c r="AE1174" i="83"/>
  <c r="AE1175" i="83"/>
  <c r="AG1175" i="83" s="1"/>
  <c r="AE1176" i="83"/>
  <c r="AE1177" i="83"/>
  <c r="AG1177" i="83" s="1"/>
  <c r="AH1177" i="83" s="1"/>
  <c r="AE1178" i="83"/>
  <c r="AG1178" i="83" s="1"/>
  <c r="AH1178" i="83" s="1"/>
  <c r="AE1179" i="83"/>
  <c r="AG1179" i="83" s="1"/>
  <c r="AE1180" i="83"/>
  <c r="AE1181" i="83"/>
  <c r="AG1181" i="83" s="1"/>
  <c r="AH1181" i="83" s="1"/>
  <c r="AE1182" i="83"/>
  <c r="AE1183" i="83"/>
  <c r="AG1183" i="83"/>
  <c r="AE1184" i="83"/>
  <c r="AG1184" i="83" s="1"/>
  <c r="AH1184" i="83" s="1"/>
  <c r="AE1185" i="83"/>
  <c r="AG1185" i="83" s="1"/>
  <c r="AE1186" i="83"/>
  <c r="AG1186" i="83" s="1"/>
  <c r="AH1186" i="83" s="1"/>
  <c r="AE1187" i="83"/>
  <c r="AG1187" i="83" s="1"/>
  <c r="AE1188" i="83"/>
  <c r="AE1189" i="83"/>
  <c r="AG1189" i="83" s="1"/>
  <c r="AH1189" i="83" s="1"/>
  <c r="AE1190" i="83"/>
  <c r="AG1190" i="83" s="1"/>
  <c r="AH1190" i="83" s="1"/>
  <c r="AE1191" i="83"/>
  <c r="AG1191" i="83" s="1"/>
  <c r="AE1192" i="83"/>
  <c r="AE1193" i="83"/>
  <c r="AG1193" i="83" s="1"/>
  <c r="AH1193" i="83" s="1"/>
  <c r="AE1194" i="83"/>
  <c r="AG1194" i="83" s="1"/>
  <c r="AH1194" i="83" s="1"/>
  <c r="AE1195" i="83"/>
  <c r="AG1195" i="83"/>
  <c r="AE1196" i="83"/>
  <c r="AE1197" i="83"/>
  <c r="AG1197" i="83" s="1"/>
  <c r="AH1197" i="83" s="1"/>
  <c r="AE1198" i="83"/>
  <c r="AG1198" i="83" s="1"/>
  <c r="AE1199" i="83"/>
  <c r="AG1199" i="83" s="1"/>
  <c r="AE1200" i="83"/>
  <c r="AG1200" i="83" s="1"/>
  <c r="AH1200" i="83" s="1"/>
  <c r="AE1201" i="83"/>
  <c r="AG1201" i="83"/>
  <c r="AH1201" i="83" s="1"/>
  <c r="AE1202" i="83"/>
  <c r="AG1202" i="83" s="1"/>
  <c r="AH1202" i="83" s="1"/>
  <c r="AE1203" i="83"/>
  <c r="AG1203" i="83" s="1"/>
  <c r="AE1204" i="83"/>
  <c r="AE1205" i="83"/>
  <c r="AG1205" i="83" s="1"/>
  <c r="AH1205" i="83" s="1"/>
  <c r="AE1206" i="83"/>
  <c r="AE1207" i="83"/>
  <c r="AG1207" i="83" s="1"/>
  <c r="AE1208" i="83"/>
  <c r="AG1208" i="83" s="1"/>
  <c r="AH1208" i="83" s="1"/>
  <c r="AE1209" i="83"/>
  <c r="AG1209" i="83" s="1"/>
  <c r="AE1210" i="83"/>
  <c r="AE1211" i="83"/>
  <c r="AE1212" i="83"/>
  <c r="AE1213" i="83"/>
  <c r="AG1213" i="83" s="1"/>
  <c r="AH1213" i="83" s="1"/>
  <c r="AE1214" i="83"/>
  <c r="AE1215" i="83"/>
  <c r="AG1215" i="83" s="1"/>
  <c r="AE1216" i="83"/>
  <c r="AG1216" i="83" s="1"/>
  <c r="AH1216" i="83" s="1"/>
  <c r="AE1217" i="83"/>
  <c r="AG1217" i="83" s="1"/>
  <c r="AH1217" i="83" s="1"/>
  <c r="AE1218" i="83"/>
  <c r="AE1219" i="83"/>
  <c r="AG1219" i="83" s="1"/>
  <c r="AH1219" i="83" s="1"/>
  <c r="AE1220" i="83"/>
  <c r="AE1221" i="83"/>
  <c r="AE1222" i="83"/>
  <c r="AG1222" i="83" s="1"/>
  <c r="AH1222" i="83" s="1"/>
  <c r="AE1223" i="83"/>
  <c r="AG1223" i="83"/>
  <c r="AH1223" i="83" s="1"/>
  <c r="AE1224" i="83"/>
  <c r="AG1224" i="83" s="1"/>
  <c r="AH1224" i="83" s="1"/>
  <c r="AE1225" i="83"/>
  <c r="AE1226" i="83"/>
  <c r="AE1227" i="83"/>
  <c r="AG1227" i="83" s="1"/>
  <c r="AE1228" i="83"/>
  <c r="AE1229" i="83"/>
  <c r="AG1229" i="83" s="1"/>
  <c r="AH1229" i="83" s="1"/>
  <c r="AE1230" i="83"/>
  <c r="AE1231" i="83"/>
  <c r="AG1231" i="83" s="1"/>
  <c r="AH1231" i="83" s="1"/>
  <c r="AE1232" i="83"/>
  <c r="AE1233" i="83"/>
  <c r="AG1233" i="83" s="1"/>
  <c r="AE1234" i="83"/>
  <c r="AE1235" i="83"/>
  <c r="AG1235" i="83" s="1"/>
  <c r="AH1235" i="83" s="1"/>
  <c r="AE1236" i="83"/>
  <c r="AE1237" i="83"/>
  <c r="AE1238" i="83"/>
  <c r="AG1238" i="83" s="1"/>
  <c r="AH1238" i="83" s="1"/>
  <c r="AE1239" i="83"/>
  <c r="AG1239" i="83" s="1"/>
  <c r="AH1239" i="83" s="1"/>
  <c r="AE1240" i="83"/>
  <c r="AG1240" i="83" s="1"/>
  <c r="AH1240" i="83" s="1"/>
  <c r="AE1241" i="83"/>
  <c r="AE1242" i="83"/>
  <c r="AE1243" i="83"/>
  <c r="AG1243" i="83" s="1"/>
  <c r="AE1244" i="83"/>
  <c r="AE1245" i="83"/>
  <c r="AG1245" i="83" s="1"/>
  <c r="AH1245" i="83" s="1"/>
  <c r="AE1246" i="83"/>
  <c r="AE1247" i="83"/>
  <c r="AG1247" i="83" s="1"/>
  <c r="AH1247" i="83" s="1"/>
  <c r="AE1248" i="83"/>
  <c r="AE1249" i="83"/>
  <c r="AG1249" i="83" s="1"/>
  <c r="AH1249" i="83" s="1"/>
  <c r="AE1250" i="83"/>
  <c r="AE1251" i="83"/>
  <c r="AG1251" i="83" s="1"/>
  <c r="AH1251" i="83" s="1"/>
  <c r="AE1252" i="83"/>
  <c r="AE1253" i="83"/>
  <c r="AE1254" i="83"/>
  <c r="AG1254" i="83" s="1"/>
  <c r="AH1254" i="83" s="1"/>
  <c r="AE1255" i="83"/>
  <c r="AG1255" i="83" s="1"/>
  <c r="AH1255" i="83" s="1"/>
  <c r="AE1256" i="83"/>
  <c r="AG1256" i="83" s="1"/>
  <c r="AH1256" i="83" s="1"/>
  <c r="AE1257" i="83"/>
  <c r="AG1257" i="83" s="1"/>
  <c r="AH1257" i="83" s="1"/>
  <c r="AE1258" i="83"/>
  <c r="AE1259" i="83"/>
  <c r="AG1259" i="83"/>
  <c r="AE1260" i="83"/>
  <c r="AE1261" i="83"/>
  <c r="AG1261" i="83" s="1"/>
  <c r="AH1261" i="83" s="1"/>
  <c r="AE1262" i="83"/>
  <c r="AG1262" i="83" s="1"/>
  <c r="AH1262" i="83" s="1"/>
  <c r="AE1263" i="83"/>
  <c r="AG1263" i="83" s="1"/>
  <c r="AH1263" i="83" s="1"/>
  <c r="AE1264" i="83"/>
  <c r="AE1265" i="83"/>
  <c r="AE1266" i="83"/>
  <c r="AE1267" i="83"/>
  <c r="AG1267" i="83" s="1"/>
  <c r="AH1267" i="83" s="1"/>
  <c r="AE1268" i="83"/>
  <c r="AE1269" i="83"/>
  <c r="AG1269" i="83" s="1"/>
  <c r="AH1269" i="83" s="1"/>
  <c r="AE1270" i="83"/>
  <c r="AE1271" i="83"/>
  <c r="AE1272" i="83"/>
  <c r="AG1272" i="83" s="1"/>
  <c r="AH1272" i="83" s="1"/>
  <c r="AE1273" i="83"/>
  <c r="AG1273" i="83" s="1"/>
  <c r="AH1273" i="83" s="1"/>
  <c r="AE1274" i="83"/>
  <c r="AE1275" i="83"/>
  <c r="AG1275" i="83" s="1"/>
  <c r="AE1276" i="83"/>
  <c r="AE1277" i="83"/>
  <c r="AG1277" i="83" s="1"/>
  <c r="AH1277" i="83" s="1"/>
  <c r="AE1278" i="83"/>
  <c r="AG1278" i="83" s="1"/>
  <c r="AH1278" i="83"/>
  <c r="AJ1278" i="83"/>
  <c r="AE1279" i="83"/>
  <c r="AG1279" i="83" s="1"/>
  <c r="AH1279" i="83" s="1"/>
  <c r="AE1280" i="83"/>
  <c r="AE1281" i="83"/>
  <c r="AE1282" i="83"/>
  <c r="AE1283" i="83"/>
  <c r="AE1284" i="83"/>
  <c r="AE1285" i="83"/>
  <c r="AG1285" i="83" s="1"/>
  <c r="AH1285" i="83" s="1"/>
  <c r="AE1286" i="83"/>
  <c r="AG1286" i="83" s="1"/>
  <c r="AH1286" i="83" s="1"/>
  <c r="AE1287" i="83"/>
  <c r="AG1287" i="83" s="1"/>
  <c r="AH1287" i="83" s="1"/>
  <c r="AJ1287" i="83"/>
  <c r="AK1287" i="83" s="1"/>
  <c r="AE1288" i="83"/>
  <c r="AG1288" i="83" s="1"/>
  <c r="AH1288" i="83" s="1"/>
  <c r="AE1289" i="83"/>
  <c r="AG1289" i="83" s="1"/>
  <c r="AH1289" i="83" s="1"/>
  <c r="AE1290" i="83"/>
  <c r="AE1291" i="83"/>
  <c r="AE1292" i="83"/>
  <c r="AG1292" i="83" s="1"/>
  <c r="AH1292" i="83" s="1"/>
  <c r="AE1293" i="83"/>
  <c r="AE1294" i="83"/>
  <c r="AG1294" i="83" s="1"/>
  <c r="AH1294" i="83" s="1"/>
  <c r="AE1295" i="83"/>
  <c r="AG1295" i="83" s="1"/>
  <c r="AE1296" i="83"/>
  <c r="AG1296" i="83"/>
  <c r="AE1297" i="83"/>
  <c r="AE1298" i="83"/>
  <c r="AG1298" i="83" s="1"/>
  <c r="AE1299" i="83"/>
  <c r="AE1300" i="83"/>
  <c r="AG1300" i="83" s="1"/>
  <c r="AH1300" i="83" s="1"/>
  <c r="AE1301" i="83"/>
  <c r="AG1301" i="83"/>
  <c r="AH1301" i="83" s="1"/>
  <c r="AE1302" i="83"/>
  <c r="AG1302" i="83" s="1"/>
  <c r="AH1302" i="83" s="1"/>
  <c r="AE1303" i="83"/>
  <c r="AG1303" i="83" s="1"/>
  <c r="AE1304" i="83"/>
  <c r="AG1304" i="83" s="1"/>
  <c r="AE1305" i="83"/>
  <c r="AE1306" i="83"/>
  <c r="AG1306" i="83" s="1"/>
  <c r="AE1307" i="83"/>
  <c r="AE1308" i="83"/>
  <c r="AG1308" i="83" s="1"/>
  <c r="AH1308" i="83" s="1"/>
  <c r="AE1309" i="83"/>
  <c r="AG1309" i="83" s="1"/>
  <c r="AH1309" i="83" s="1"/>
  <c r="AE1310" i="83"/>
  <c r="AG1310" i="83"/>
  <c r="AH1310" i="83" s="1"/>
  <c r="AE1311" i="83"/>
  <c r="AG1311" i="83" s="1"/>
  <c r="AE1312" i="83"/>
  <c r="AG1312" i="83" s="1"/>
  <c r="AE1313" i="83"/>
  <c r="AE1314" i="83"/>
  <c r="AG1314" i="83" s="1"/>
  <c r="AE1315" i="83"/>
  <c r="AE1316" i="83"/>
  <c r="AG1316" i="83" s="1"/>
  <c r="AH1316" i="83" s="1"/>
  <c r="AE1317" i="83"/>
  <c r="AG1317" i="83" s="1"/>
  <c r="AH1317" i="83" s="1"/>
  <c r="AE1318" i="83"/>
  <c r="AG1318" i="83" s="1"/>
  <c r="AH1318" i="83" s="1"/>
  <c r="AE1319" i="83"/>
  <c r="AG1319" i="83" s="1"/>
  <c r="AE1320" i="83"/>
  <c r="AG1320" i="83" s="1"/>
  <c r="AE1321" i="83"/>
  <c r="AE1322" i="83"/>
  <c r="AG1322" i="83" s="1"/>
  <c r="AH1322" i="83" s="1"/>
  <c r="AE1323" i="83"/>
  <c r="AE1324" i="83"/>
  <c r="AG1324" i="83" s="1"/>
  <c r="AH1324" i="83" s="1"/>
  <c r="AJ1324" i="83"/>
  <c r="AE1325" i="83"/>
  <c r="AE1326" i="83"/>
  <c r="AG1326" i="83" s="1"/>
  <c r="AH1326" i="83" s="1"/>
  <c r="AE1327" i="83"/>
  <c r="AG1327" i="83" s="1"/>
  <c r="AE1328" i="83"/>
  <c r="AG1328" i="83" s="1"/>
  <c r="AJ1328" i="83" s="1"/>
  <c r="AE1329" i="83"/>
  <c r="AE1330" i="83"/>
  <c r="AG1330" i="83" s="1"/>
  <c r="AH1330" i="83" s="1"/>
  <c r="AE1331" i="83"/>
  <c r="AE1332" i="83"/>
  <c r="AE1333" i="83"/>
  <c r="AG1333" i="83" s="1"/>
  <c r="AH1333" i="83" s="1"/>
  <c r="AE1334" i="83"/>
  <c r="AG1334" i="83" s="1"/>
  <c r="AH1334" i="83" s="1"/>
  <c r="AE1335" i="83"/>
  <c r="AG1335" i="83" s="1"/>
  <c r="AE1336" i="83"/>
  <c r="AG1336" i="83"/>
  <c r="AJ1336" i="83" s="1"/>
  <c r="AE1337" i="83"/>
  <c r="AE1338" i="83"/>
  <c r="AG1338" i="83" s="1"/>
  <c r="AH1338" i="83" s="1"/>
  <c r="AE1339" i="83"/>
  <c r="AE1340" i="83"/>
  <c r="AG1340" i="83" s="1"/>
  <c r="AH1340" i="83" s="1"/>
  <c r="AE1341" i="83"/>
  <c r="AE1342" i="83"/>
  <c r="AG1342" i="83" s="1"/>
  <c r="AH1342" i="83" s="1"/>
  <c r="AE1343" i="83"/>
  <c r="AG1343" i="83" s="1"/>
  <c r="AE1344" i="83"/>
  <c r="AG1344" i="83"/>
  <c r="AJ1344" i="83" s="1"/>
  <c r="AE1345" i="83"/>
  <c r="AK1345" i="83"/>
  <c r="AE1346" i="83"/>
  <c r="AG1346" i="83" s="1"/>
  <c r="AH1346" i="83" s="1"/>
  <c r="AK1346" i="83"/>
  <c r="AE1347" i="83"/>
  <c r="AK1347" i="83"/>
  <c r="AE1348" i="83"/>
  <c r="AG1348" i="83"/>
  <c r="AH1348" i="83" s="1"/>
  <c r="AE1349" i="83"/>
  <c r="AG1349" i="83" s="1"/>
  <c r="AH1349" i="83" s="1"/>
  <c r="AE1350" i="83"/>
  <c r="AG1350" i="83" s="1"/>
  <c r="AH1350" i="83" s="1"/>
  <c r="AE1351" i="83"/>
  <c r="AG1351" i="83" s="1"/>
  <c r="AE1352" i="83"/>
  <c r="AG1352" i="83" s="1"/>
  <c r="AE1353" i="83"/>
  <c r="AG1353" i="83" s="1"/>
  <c r="AH1353" i="83" s="1"/>
  <c r="AE1354" i="83"/>
  <c r="AG1354" i="83" s="1"/>
  <c r="AH1354" i="83" s="1"/>
  <c r="AE1355" i="83"/>
  <c r="AE1356" i="83"/>
  <c r="AG1356" i="83" s="1"/>
  <c r="AH1356" i="83" s="1"/>
  <c r="AE1357" i="83"/>
  <c r="AG1357" i="83" s="1"/>
  <c r="AH1357" i="83" s="1"/>
  <c r="AE1358" i="83"/>
  <c r="AE1359" i="83"/>
  <c r="AG1359" i="83" s="1"/>
  <c r="AE1360" i="83"/>
  <c r="AG1360" i="83" s="1"/>
  <c r="AE1361" i="83"/>
  <c r="AG1361" i="83" s="1"/>
  <c r="AH1361" i="83" s="1"/>
  <c r="AE1362" i="83"/>
  <c r="AG1362" i="83" s="1"/>
  <c r="AH1362" i="83" s="1"/>
  <c r="AE1363" i="83"/>
  <c r="AE1364" i="83"/>
  <c r="AE1365" i="83"/>
  <c r="AG1365" i="83" s="1"/>
  <c r="AH1365" i="83" s="1"/>
  <c r="AE1366" i="83"/>
  <c r="AG1366" i="83" s="1"/>
  <c r="AH1366" i="83" s="1"/>
  <c r="AE1367" i="83"/>
  <c r="AG1367" i="83" s="1"/>
  <c r="AE1368" i="83"/>
  <c r="AG1368" i="83"/>
  <c r="AJ1368" i="83" s="1"/>
  <c r="AE1369" i="83"/>
  <c r="AG1369" i="83"/>
  <c r="AH1369" i="83" s="1"/>
  <c r="AE1370" i="83"/>
  <c r="AG1370" i="83" s="1"/>
  <c r="AH1370" i="83" s="1"/>
  <c r="AE1371" i="83"/>
  <c r="AK1371" i="83"/>
  <c r="AE1372" i="83"/>
  <c r="AG1372" i="83" s="1"/>
  <c r="AH1372" i="83" s="1"/>
  <c r="AE1373" i="83"/>
  <c r="AG1373" i="83"/>
  <c r="AH1373" i="83" s="1"/>
  <c r="AE1374" i="83"/>
  <c r="AG1374" i="83" s="1"/>
  <c r="AH1374" i="83" s="1"/>
  <c r="AE1375" i="83"/>
  <c r="AG1375" i="83" s="1"/>
  <c r="AE1376" i="83"/>
  <c r="AG1376" i="83"/>
  <c r="AE1377" i="83"/>
  <c r="AG1377" i="83" s="1"/>
  <c r="AH1377" i="83" s="1"/>
  <c r="AE1378" i="83"/>
  <c r="AG1378" i="83" s="1"/>
  <c r="AH1378" i="83" s="1"/>
  <c r="AK1378" i="83"/>
  <c r="AE1379" i="83"/>
  <c r="AK1379" i="83"/>
  <c r="AE1380" i="83"/>
  <c r="AG1380" i="83" s="1"/>
  <c r="AH1380" i="83" s="1"/>
  <c r="AK1380" i="83"/>
  <c r="AE1381" i="83"/>
  <c r="AE1382" i="83"/>
  <c r="AG1382" i="83" s="1"/>
  <c r="AH1382" i="83" s="1"/>
  <c r="AE1383" i="83"/>
  <c r="AG1383" i="83" s="1"/>
  <c r="AE1384" i="83"/>
  <c r="AG1384" i="83"/>
  <c r="AE1385" i="83"/>
  <c r="AG1385" i="83" s="1"/>
  <c r="AH1385" i="83" s="1"/>
  <c r="AE1386" i="83"/>
  <c r="AG1386" i="83" s="1"/>
  <c r="AH1386" i="83" s="1"/>
  <c r="AE1387" i="83"/>
  <c r="AE1388" i="83"/>
  <c r="AG1388" i="83" s="1"/>
  <c r="AH1388" i="83" s="1"/>
  <c r="AE1389" i="83"/>
  <c r="AG1389" i="83"/>
  <c r="AH1389" i="83" s="1"/>
  <c r="AE1390" i="83"/>
  <c r="AE1391" i="83"/>
  <c r="AG1391" i="83" s="1"/>
  <c r="AE1392" i="83"/>
  <c r="AE1393" i="83"/>
  <c r="AG1393" i="83" s="1"/>
  <c r="AH1393" i="83" s="1"/>
  <c r="AE1394" i="83"/>
  <c r="AG1394" i="83" s="1"/>
  <c r="AH1394" i="83" s="1"/>
  <c r="AE1395" i="83"/>
  <c r="AE1396" i="83"/>
  <c r="AG1396" i="83" s="1"/>
  <c r="AH1396" i="83" s="1"/>
  <c r="AK1396" i="83"/>
  <c r="AE1397" i="83"/>
  <c r="AG1397" i="83" s="1"/>
  <c r="AH1397" i="83" s="1"/>
  <c r="AE1398" i="83"/>
  <c r="AG1398" i="83" s="1"/>
  <c r="AH1398" i="83" s="1"/>
  <c r="AE1399" i="83"/>
  <c r="AG1399" i="83" s="1"/>
  <c r="AE1400" i="83"/>
  <c r="AG1400" i="83" s="1"/>
  <c r="AH1400" i="83" s="1"/>
  <c r="AE1401" i="83"/>
  <c r="AG1401" i="83" s="1"/>
  <c r="AH1401" i="83" s="1"/>
  <c r="AE1402" i="83"/>
  <c r="AG1402" i="83" s="1"/>
  <c r="AH1402" i="83" s="1"/>
  <c r="AE1403" i="83"/>
  <c r="AE1404" i="83"/>
  <c r="AG1404" i="83" s="1"/>
  <c r="AH1404" i="83" s="1"/>
  <c r="AE1405" i="83"/>
  <c r="AG1405" i="83" s="1"/>
  <c r="AH1405" i="83" s="1"/>
  <c r="AE1406" i="83"/>
  <c r="AG1406" i="83" s="1"/>
  <c r="AH1406" i="83" s="1"/>
  <c r="AE1407" i="83"/>
  <c r="AG1407" i="83" s="1"/>
  <c r="AK1407" i="83"/>
  <c r="AE1408" i="83"/>
  <c r="AK1408" i="83"/>
  <c r="AE1409" i="83"/>
  <c r="AG1409" i="83" s="1"/>
  <c r="AH1409" i="83" s="1"/>
  <c r="AK1409" i="83"/>
  <c r="AE1410" i="83"/>
  <c r="AG1410" i="83" s="1"/>
  <c r="AH1410" i="83" s="1"/>
  <c r="AK1410" i="83"/>
  <c r="AE1411" i="83"/>
  <c r="AK1411" i="83"/>
  <c r="AE1412" i="83"/>
  <c r="AG1412" i="83" s="1"/>
  <c r="AJ1412" i="83" s="1"/>
  <c r="AE1413" i="83"/>
  <c r="AG1413" i="83" s="1"/>
  <c r="AH1413" i="83" s="1"/>
  <c r="AK1413" i="83"/>
  <c r="AE1414" i="83"/>
  <c r="AG1414" i="83" s="1"/>
  <c r="AH1414" i="83" s="1"/>
  <c r="AE1415" i="83"/>
  <c r="AG1415" i="83" s="1"/>
  <c r="AE1416" i="83"/>
  <c r="AG1416" i="83" s="1"/>
  <c r="AE1417" i="83"/>
  <c r="AG1417" i="83" s="1"/>
  <c r="AH1417" i="83" s="1"/>
  <c r="AE1418" i="83"/>
  <c r="AE1419" i="83"/>
  <c r="AG1419" i="83" s="1"/>
  <c r="AH1419" i="83" s="1"/>
  <c r="AE1420" i="83"/>
  <c r="AG1420" i="83" s="1"/>
  <c r="AH1420" i="83" s="1"/>
  <c r="AE1421" i="83"/>
  <c r="AG1421" i="83" s="1"/>
  <c r="AH1421" i="83" s="1"/>
  <c r="AE1422" i="83"/>
  <c r="AG1422" i="83" s="1"/>
  <c r="AH1422" i="83" s="1"/>
  <c r="AE1423" i="83"/>
  <c r="AE1424" i="83"/>
  <c r="AG1424" i="83" s="1"/>
  <c r="AH1424" i="83" s="1"/>
  <c r="AE1425" i="83"/>
  <c r="AG1425" i="83"/>
  <c r="AH1425" i="83"/>
  <c r="AE1426" i="83"/>
  <c r="AG1426" i="83" s="1"/>
  <c r="AH1426" i="83" s="1"/>
  <c r="AE1427" i="83"/>
  <c r="AE1428" i="83"/>
  <c r="AG1428" i="83" s="1"/>
  <c r="AH1428" i="83" s="1"/>
  <c r="AE1429" i="83"/>
  <c r="AG1429" i="83" s="1"/>
  <c r="AH1429" i="83" s="1"/>
  <c r="AE1430" i="83"/>
  <c r="AG1430" i="83" s="1"/>
  <c r="AH1430" i="83" s="1"/>
  <c r="AE1431" i="83"/>
  <c r="AE1432" i="83"/>
  <c r="AG1432" i="83" s="1"/>
  <c r="AH1432" i="83" s="1"/>
  <c r="AE1433" i="83"/>
  <c r="AG1433" i="83" s="1"/>
  <c r="AH1433" i="83" s="1"/>
  <c r="AE1434" i="83"/>
  <c r="AG1434" i="83" s="1"/>
  <c r="AH1434" i="83" s="1"/>
  <c r="AE1435" i="83"/>
  <c r="AE1436" i="83"/>
  <c r="AG1436" i="83" s="1"/>
  <c r="AE1437" i="83"/>
  <c r="AG1437" i="83" s="1"/>
  <c r="AH1437" i="83" s="1"/>
  <c r="AE1438" i="83"/>
  <c r="AG1438" i="83" s="1"/>
  <c r="AH1438" i="83" s="1"/>
  <c r="AE1439" i="83"/>
  <c r="AG1439" i="83" s="1"/>
  <c r="AH1439" i="83" s="1"/>
  <c r="AE1440" i="83"/>
  <c r="AG1440" i="83" s="1"/>
  <c r="AH1440" i="83" s="1"/>
  <c r="AE1441" i="83"/>
  <c r="AG1441" i="83" s="1"/>
  <c r="AH1441" i="83" s="1"/>
  <c r="AE1442" i="83"/>
  <c r="AG1442" i="83" s="1"/>
  <c r="AH1442" i="83" s="1"/>
  <c r="AE1443" i="83"/>
  <c r="AG1443" i="83" s="1"/>
  <c r="AH1443" i="83" s="1"/>
  <c r="AE1444" i="83"/>
  <c r="AG1444" i="83" s="1"/>
  <c r="AH1444" i="83" s="1"/>
  <c r="AE1445" i="83"/>
  <c r="AE1446" i="83"/>
  <c r="AG1446" i="83" s="1"/>
  <c r="AH1446" i="83" s="1"/>
  <c r="AE1447" i="83"/>
  <c r="AE1448" i="83"/>
  <c r="AG1448" i="83" s="1"/>
  <c r="AH1448" i="83" s="1"/>
  <c r="AE1449" i="83"/>
  <c r="AG1449" i="83" s="1"/>
  <c r="AH1449" i="83" s="1"/>
  <c r="AE1450" i="83"/>
  <c r="AE1451" i="83"/>
  <c r="AE1452" i="83"/>
  <c r="AG1452" i="83" s="1"/>
  <c r="AH1452" i="83" s="1"/>
  <c r="AE1453" i="83"/>
  <c r="AG1453" i="83" s="1"/>
  <c r="AH1453" i="83" s="1"/>
  <c r="AE1454" i="83"/>
  <c r="AG1454" i="83" s="1"/>
  <c r="AH1454" i="83" s="1"/>
  <c r="AE1455" i="83"/>
  <c r="AG1455" i="83" s="1"/>
  <c r="AH1455" i="83" s="1"/>
  <c r="AE1456" i="83"/>
  <c r="AG1456" i="83" s="1"/>
  <c r="AH1456" i="83" s="1"/>
  <c r="AE1457" i="83"/>
  <c r="AG1457" i="83" s="1"/>
  <c r="AH1457" i="83" s="1"/>
  <c r="AE1458" i="83"/>
  <c r="AG1458" i="83" s="1"/>
  <c r="AH1458" i="83" s="1"/>
  <c r="AE1459" i="83"/>
  <c r="AG1459" i="83" s="1"/>
  <c r="AH1459" i="83" s="1"/>
  <c r="AE1460" i="83"/>
  <c r="AG1460" i="83" s="1"/>
  <c r="AH1460" i="83" s="1"/>
  <c r="AE1461" i="83"/>
  <c r="AG1461" i="83" s="1"/>
  <c r="AH1461" i="83" s="1"/>
  <c r="AE1462" i="83"/>
  <c r="AE1463" i="83"/>
  <c r="AG1463" i="83" s="1"/>
  <c r="AH1463" i="83" s="1"/>
  <c r="AE1464" i="83"/>
  <c r="AG1464" i="83" s="1"/>
  <c r="AH1464" i="83" s="1"/>
  <c r="AE1465" i="83"/>
  <c r="AG1465" i="83" s="1"/>
  <c r="AH1465" i="83" s="1"/>
  <c r="AE1466" i="83"/>
  <c r="AG1466" i="83" s="1"/>
  <c r="AH1466" i="83" s="1"/>
  <c r="AE1467" i="83"/>
  <c r="AE1468" i="83"/>
  <c r="AG1468" i="83" s="1"/>
  <c r="AH1468" i="83" s="1"/>
  <c r="AE1469" i="83"/>
  <c r="AG1469" i="83" s="1"/>
  <c r="AH1469" i="83" s="1"/>
  <c r="AE1470" i="83"/>
  <c r="AG1470" i="83" s="1"/>
  <c r="AH1470" i="83" s="1"/>
  <c r="AE1471" i="83"/>
  <c r="AG1471" i="83" s="1"/>
  <c r="AH1471" i="83" s="1"/>
  <c r="AE1472" i="83"/>
  <c r="AG1472" i="83" s="1"/>
  <c r="AH1472" i="83" s="1"/>
  <c r="AE1473" i="83"/>
  <c r="AG1473" i="83" s="1"/>
  <c r="AH1473" i="83" s="1"/>
  <c r="AE1474" i="83"/>
  <c r="AG1474" i="83" s="1"/>
  <c r="AE1475" i="83"/>
  <c r="AG1475" i="83" s="1"/>
  <c r="AH1475" i="83" s="1"/>
  <c r="AE1476" i="83"/>
  <c r="AE1477" i="83"/>
  <c r="AG1477" i="83" s="1"/>
  <c r="AH1477" i="83" s="1"/>
  <c r="AE1478" i="83"/>
  <c r="AG1478" i="83" s="1"/>
  <c r="AH1478" i="83" s="1"/>
  <c r="AE1479" i="83"/>
  <c r="AG1479" i="83" s="1"/>
  <c r="AH1479" i="83" s="1"/>
  <c r="AE1480" i="83"/>
  <c r="AG1480" i="83" s="1"/>
  <c r="AH1480" i="83" s="1"/>
  <c r="AE1481" i="83"/>
  <c r="AE1482" i="83"/>
  <c r="AG1482" i="83" s="1"/>
  <c r="AH1482" i="83" s="1"/>
  <c r="AE1483" i="83"/>
  <c r="AE1484" i="83"/>
  <c r="AG1484" i="83" s="1"/>
  <c r="AH1484" i="83" s="1"/>
  <c r="AE1485" i="83"/>
  <c r="AG1485" i="83" s="1"/>
  <c r="AH1485" i="83" s="1"/>
  <c r="AE1486" i="83"/>
  <c r="AG1486" i="83" s="1"/>
  <c r="AH1486" i="83" s="1"/>
  <c r="AE1487" i="83"/>
  <c r="AG1487" i="83" s="1"/>
  <c r="AH1487" i="83" s="1"/>
  <c r="AE1488" i="83"/>
  <c r="AE1489" i="83"/>
  <c r="AG1489" i="83" s="1"/>
  <c r="AH1489" i="83" s="1"/>
  <c r="AE1490" i="83"/>
  <c r="AG1490" i="83" s="1"/>
  <c r="AH1490" i="83" s="1"/>
  <c r="AE1491" i="83"/>
  <c r="AG1491" i="83" s="1"/>
  <c r="AH1491" i="83" s="1"/>
  <c r="AE1492" i="83"/>
  <c r="AG1492" i="83" s="1"/>
  <c r="AH1492" i="83" s="1"/>
  <c r="AE1493" i="83"/>
  <c r="AG1493" i="83" s="1"/>
  <c r="AH1493" i="83" s="1"/>
  <c r="AE1494" i="83"/>
  <c r="AE1495" i="83"/>
  <c r="AG1495" i="83" s="1"/>
  <c r="AH1495" i="83" s="1"/>
  <c r="AJ1495" i="83"/>
  <c r="AK1495" i="83" s="1"/>
  <c r="AE1496" i="83"/>
  <c r="AE1497" i="83"/>
  <c r="AG1497" i="83" s="1"/>
  <c r="AH1497" i="83" s="1"/>
  <c r="AE1498" i="83"/>
  <c r="AG1498" i="83" s="1"/>
  <c r="AH1498" i="83" s="1"/>
  <c r="AE1499" i="83"/>
  <c r="AG1499" i="83" s="1"/>
  <c r="AH1499" i="83" s="1"/>
  <c r="AE1500" i="83"/>
  <c r="AG1500" i="83"/>
  <c r="AH1500" i="83" s="1"/>
  <c r="AE1501" i="83"/>
  <c r="AG1501" i="83" s="1"/>
  <c r="AH1501" i="83" s="1"/>
  <c r="AE1502" i="83"/>
  <c r="AG1502" i="83" s="1"/>
  <c r="AH1502" i="83" s="1"/>
  <c r="AE1503" i="83"/>
  <c r="AE1504" i="83"/>
  <c r="AG1504" i="83" s="1"/>
  <c r="AH1504" i="83" s="1"/>
  <c r="AE1505" i="83"/>
  <c r="AE1506" i="83"/>
  <c r="AG1506" i="83" s="1"/>
  <c r="AE1507" i="83"/>
  <c r="AG1507" i="83" s="1"/>
  <c r="AH1507" i="83" s="1"/>
  <c r="AE1508" i="83"/>
  <c r="AG1508" i="83" s="1"/>
  <c r="AE1509" i="83"/>
  <c r="AE1510" i="83"/>
  <c r="AG1510" i="83" s="1"/>
  <c r="AH1510" i="83" s="1"/>
  <c r="AE1511" i="83"/>
  <c r="AG1511" i="83" s="1"/>
  <c r="AH1511" i="83" s="1"/>
  <c r="AE1512" i="83"/>
  <c r="AG1512" i="83" s="1"/>
  <c r="AH1512" i="83" s="1"/>
  <c r="AE1513" i="83"/>
  <c r="AG1513" i="83" s="1"/>
  <c r="AH1513" i="83" s="1"/>
  <c r="AE1514" i="83"/>
  <c r="AE1515" i="83"/>
  <c r="AG1515" i="83" s="1"/>
  <c r="AH1515" i="83" s="1"/>
  <c r="AJ1515" i="83"/>
  <c r="AK1515" i="83" s="1"/>
  <c r="AE1516" i="83"/>
  <c r="AG1516" i="83" s="1"/>
  <c r="AE1517" i="83"/>
  <c r="AG1517" i="83" s="1"/>
  <c r="AH1517" i="83" s="1"/>
  <c r="AE1518" i="83"/>
  <c r="AG1518" i="83" s="1"/>
  <c r="AH1518" i="83" s="1"/>
  <c r="AE1519" i="83"/>
  <c r="AG1519" i="83" s="1"/>
  <c r="AH1519" i="83" s="1"/>
  <c r="AE1520" i="83"/>
  <c r="AE1521" i="83"/>
  <c r="AG1521" i="83" s="1"/>
  <c r="AH1521" i="83" s="1"/>
  <c r="AE1522" i="83"/>
  <c r="AG1522" i="83" s="1"/>
  <c r="AH1522" i="83" s="1"/>
  <c r="AE1523" i="83"/>
  <c r="AG1523" i="83" s="1"/>
  <c r="AH1523" i="83" s="1"/>
  <c r="AE1524" i="83"/>
  <c r="AG1524" i="83" s="1"/>
  <c r="AH1524" i="83" s="1"/>
  <c r="AE1525" i="83"/>
  <c r="AG1525" i="83" s="1"/>
  <c r="AH1525" i="83" s="1"/>
  <c r="AE1526" i="83"/>
  <c r="AG1526" i="83" s="1"/>
  <c r="AH1526" i="83" s="1"/>
  <c r="AE1527" i="83"/>
  <c r="AG1527" i="83" s="1"/>
  <c r="AH1527" i="83" s="1"/>
  <c r="AE1528" i="83"/>
  <c r="AG1528" i="83" s="1"/>
  <c r="AH1528" i="83" s="1"/>
  <c r="AE1529" i="83"/>
  <c r="AG1529" i="83" s="1"/>
  <c r="AH1529" i="83" s="1"/>
  <c r="AE1530" i="83"/>
  <c r="AG1530" i="83" s="1"/>
  <c r="AH1530" i="83" s="1"/>
  <c r="AE1531" i="83"/>
  <c r="AG1531" i="83" s="1"/>
  <c r="AH1531" i="83" s="1"/>
  <c r="AE1532" i="83"/>
  <c r="AG1532" i="83" s="1"/>
  <c r="AH1532" i="83" s="1"/>
  <c r="AE1533" i="83"/>
  <c r="AG1533" i="83" s="1"/>
  <c r="AH1533" i="83" s="1"/>
  <c r="AE1534" i="83"/>
  <c r="AE1535" i="83"/>
  <c r="AE1536" i="83"/>
  <c r="AG1536" i="83" s="1"/>
  <c r="AH1536" i="83" s="1"/>
  <c r="AE1537" i="83"/>
  <c r="AG1537" i="83" s="1"/>
  <c r="AH1537" i="83" s="1"/>
  <c r="AE1538" i="83"/>
  <c r="AG1538" i="83" s="1"/>
  <c r="AE1539" i="83"/>
  <c r="AE1540" i="83"/>
  <c r="AG1540" i="83" s="1"/>
  <c r="AE1541" i="83"/>
  <c r="AG1541" i="83" s="1"/>
  <c r="AH1541" i="83" s="1"/>
  <c r="AE1542" i="83"/>
  <c r="AG1542" i="83" s="1"/>
  <c r="AE1543" i="83"/>
  <c r="AE1544" i="83"/>
  <c r="AG1544" i="83" s="1"/>
  <c r="AE1545" i="83"/>
  <c r="AG1545" i="83" s="1"/>
  <c r="AH1545" i="83" s="1"/>
  <c r="AE1546" i="83"/>
  <c r="AG1546" i="83" s="1"/>
  <c r="AE1547" i="83"/>
  <c r="AG1547" i="83" s="1"/>
  <c r="AH1547" i="83" s="1"/>
  <c r="AE1548" i="83"/>
  <c r="AG1548" i="83" s="1"/>
  <c r="AE1549" i="83"/>
  <c r="AG1549" i="83" s="1"/>
  <c r="AH1549" i="83" s="1"/>
  <c r="AE1550" i="83"/>
  <c r="AG1550" i="83" s="1"/>
  <c r="AE1551" i="83"/>
  <c r="AG1551" i="83" s="1"/>
  <c r="AH1551" i="83" s="1"/>
  <c r="AE1552" i="83"/>
  <c r="AG1552" i="83" s="1"/>
  <c r="AE1553" i="83"/>
  <c r="AG1553" i="83" s="1"/>
  <c r="AH1553" i="83" s="1"/>
  <c r="AE1554" i="83"/>
  <c r="AG1554" i="83" s="1"/>
  <c r="AE1555" i="83"/>
  <c r="AG1555" i="83" s="1"/>
  <c r="AH1555" i="83" s="1"/>
  <c r="AE1556" i="83"/>
  <c r="AG1556" i="83"/>
  <c r="AE1557" i="83"/>
  <c r="AG1557" i="83" s="1"/>
  <c r="AH1557" i="83" s="1"/>
  <c r="AE1558" i="83"/>
  <c r="AG1558" i="83" s="1"/>
  <c r="AE1559" i="83"/>
  <c r="AG1559" i="83" s="1"/>
  <c r="AH1559" i="83" s="1"/>
  <c r="AE1560" i="83"/>
  <c r="AG1560" i="83" s="1"/>
  <c r="AE1561" i="83"/>
  <c r="AG1561" i="83" s="1"/>
  <c r="AH1561" i="83" s="1"/>
  <c r="AE1562" i="83"/>
  <c r="AG1562" i="83" s="1"/>
  <c r="AE1563" i="83"/>
  <c r="AG1563" i="83" s="1"/>
  <c r="AH1563" i="83" s="1"/>
  <c r="AE1564" i="83"/>
  <c r="AG1564" i="83" s="1"/>
  <c r="AE1565" i="83"/>
  <c r="AG1565" i="83" s="1"/>
  <c r="AH1565" i="83" s="1"/>
  <c r="AE1566" i="83"/>
  <c r="AE1567" i="83"/>
  <c r="AG1567" i="83" s="1"/>
  <c r="AH1567" i="83" s="1"/>
  <c r="AE1568" i="83"/>
  <c r="AG1568" i="83" s="1"/>
  <c r="AH1568" i="83" s="1"/>
  <c r="AE1569" i="83"/>
  <c r="AG1569" i="83" s="1"/>
  <c r="AH1569" i="83" s="1"/>
  <c r="AE1570" i="83"/>
  <c r="AG1570" i="83" s="1"/>
  <c r="AE1571" i="83"/>
  <c r="AG1571" i="83" s="1"/>
  <c r="AE1572" i="83"/>
  <c r="AG1572" i="83" s="1"/>
  <c r="AH1572" i="83" s="1"/>
  <c r="AE1573" i="83"/>
  <c r="AG1573" i="83" s="1"/>
  <c r="AH1573" i="83" s="1"/>
  <c r="AE1574" i="83"/>
  <c r="AG1574" i="83" s="1"/>
  <c r="AJ1574" i="83" s="1"/>
  <c r="AE1575" i="83"/>
  <c r="AG1575" i="83" s="1"/>
  <c r="AH1575" i="83" s="1"/>
  <c r="AE1576" i="83"/>
  <c r="AE1577" i="83"/>
  <c r="AG1577" i="83" s="1"/>
  <c r="AH1577" i="83" s="1"/>
  <c r="AE1578" i="83"/>
  <c r="AG1578" i="83" s="1"/>
  <c r="AE1579" i="83"/>
  <c r="AG1579" i="83" s="1"/>
  <c r="AE1580" i="83"/>
  <c r="AG1580" i="83" s="1"/>
  <c r="AH1580" i="83" s="1"/>
  <c r="AE1581" i="83"/>
  <c r="AG1581" i="83" s="1"/>
  <c r="AH1581" i="83" s="1"/>
  <c r="AE1582" i="83"/>
  <c r="AG1582" i="83" s="1"/>
  <c r="AJ1582" i="83" s="1"/>
  <c r="AE1583" i="83"/>
  <c r="AG1583" i="83" s="1"/>
  <c r="AH1583" i="83" s="1"/>
  <c r="AE1584" i="83"/>
  <c r="AE1585" i="83"/>
  <c r="AG1585" i="83" s="1"/>
  <c r="AH1585" i="83" s="1"/>
  <c r="AE1586" i="83"/>
  <c r="AG1586" i="83" s="1"/>
  <c r="AE1587" i="83"/>
  <c r="AG1587" i="83" s="1"/>
  <c r="AE1588" i="83"/>
  <c r="AG1588" i="83"/>
  <c r="AH1588" i="83" s="1"/>
  <c r="AE1589" i="83"/>
  <c r="AG1589" i="83" s="1"/>
  <c r="AH1589" i="83" s="1"/>
  <c r="AE1590" i="83"/>
  <c r="AG1590" i="83" s="1"/>
  <c r="AJ1590" i="83" s="1"/>
  <c r="AE1591" i="83"/>
  <c r="AG1591" i="83" s="1"/>
  <c r="AH1591" i="83" s="1"/>
  <c r="AE1592" i="83"/>
  <c r="AE1593" i="83"/>
  <c r="AG1593" i="83" s="1"/>
  <c r="AE1594" i="83"/>
  <c r="AG1594" i="83" s="1"/>
  <c r="AE1595" i="83"/>
  <c r="AG1595" i="83" s="1"/>
  <c r="AE1596" i="83"/>
  <c r="AG1596" i="83" s="1"/>
  <c r="AE1597" i="83"/>
  <c r="AG1597" i="83" s="1"/>
  <c r="AH1597" i="83" s="1"/>
  <c r="AE1598" i="83"/>
  <c r="AG1598" i="83" s="1"/>
  <c r="AJ1598" i="83" s="1"/>
  <c r="AE1599" i="83"/>
  <c r="AG1599" i="83" s="1"/>
  <c r="AH1599" i="83" s="1"/>
  <c r="AE1600" i="83"/>
  <c r="AE1601" i="83"/>
  <c r="AG1601" i="83" s="1"/>
  <c r="AH1601" i="83" s="1"/>
  <c r="AE1602" i="83"/>
  <c r="AG1602" i="83" s="1"/>
  <c r="AH1602" i="83" s="1"/>
  <c r="AE1603" i="83"/>
  <c r="AG1603" i="83" s="1"/>
  <c r="AE1604" i="83"/>
  <c r="AG1604" i="83"/>
  <c r="AE1605" i="83"/>
  <c r="AG1605" i="83" s="1"/>
  <c r="AH1605" i="83" s="1"/>
  <c r="AE1606" i="83"/>
  <c r="AG1606" i="83" s="1"/>
  <c r="AJ1606" i="83" s="1"/>
  <c r="AE1607" i="83"/>
  <c r="AG1607" i="83" s="1"/>
  <c r="AH1607" i="83" s="1"/>
  <c r="AE1608" i="83"/>
  <c r="AE1609" i="83"/>
  <c r="AG1609" i="83" s="1"/>
  <c r="AH1609" i="83" s="1"/>
  <c r="AJ1609" i="83"/>
  <c r="AK1609" i="83" s="1"/>
  <c r="AE1610" i="83"/>
  <c r="AG1610" i="83" s="1"/>
  <c r="AH1610" i="83" s="1"/>
  <c r="AE1611" i="83"/>
  <c r="AG1611" i="83" s="1"/>
  <c r="AE1612" i="83"/>
  <c r="AG1612" i="83" s="1"/>
  <c r="AE1613" i="83"/>
  <c r="AG1613" i="83" s="1"/>
  <c r="AH1613" i="83" s="1"/>
  <c r="AE1614" i="83"/>
  <c r="AG1614" i="83" s="1"/>
  <c r="AJ1614" i="83" s="1"/>
  <c r="AE1615" i="83"/>
  <c r="AG1615" i="83" s="1"/>
  <c r="AH1615" i="83" s="1"/>
  <c r="AE1616" i="83"/>
  <c r="AE1617" i="83"/>
  <c r="AG1617" i="83" s="1"/>
  <c r="AH1617" i="83" s="1"/>
  <c r="AE1618" i="83"/>
  <c r="AG1618" i="83" s="1"/>
  <c r="AH1618" i="83" s="1"/>
  <c r="AE1619" i="83"/>
  <c r="AG1619" i="83" s="1"/>
  <c r="AE1620" i="83"/>
  <c r="AG1620" i="83"/>
  <c r="AE1621" i="83"/>
  <c r="AG1621" i="83" s="1"/>
  <c r="AH1621" i="83" s="1"/>
  <c r="AE1622" i="83"/>
  <c r="AG1622" i="83" s="1"/>
  <c r="AH1622" i="83" s="1"/>
  <c r="AE1623" i="83"/>
  <c r="AG1623" i="83" s="1"/>
  <c r="AH1623" i="83"/>
  <c r="AE1624" i="83"/>
  <c r="AE1625" i="83"/>
  <c r="AG1625" i="83" s="1"/>
  <c r="AH1625" i="83" s="1"/>
  <c r="AE1626" i="83"/>
  <c r="AG1626" i="83" s="1"/>
  <c r="AH1626" i="83" s="1"/>
  <c r="AE1627" i="83"/>
  <c r="AG1627" i="83" s="1"/>
  <c r="AE1628" i="83"/>
  <c r="AG1628" i="83" s="1"/>
  <c r="AE1629" i="83"/>
  <c r="AE1630" i="83"/>
  <c r="AG1630" i="83" s="1"/>
  <c r="AH1630" i="83"/>
  <c r="AJ1630" i="83"/>
  <c r="AE1631" i="83"/>
  <c r="AG1631" i="83" s="1"/>
  <c r="AH1631" i="83" s="1"/>
  <c r="AE1632" i="83"/>
  <c r="AG1632" i="83" s="1"/>
  <c r="AH1632" i="83" s="1"/>
  <c r="AE1633" i="83"/>
  <c r="AE1634" i="83"/>
  <c r="AG1634" i="83" s="1"/>
  <c r="AH1634" i="83" s="1"/>
  <c r="AE1635" i="83"/>
  <c r="AG1635" i="83" s="1"/>
  <c r="AE1636" i="83"/>
  <c r="AG1636" i="83" s="1"/>
  <c r="AE1637" i="83"/>
  <c r="AE1638" i="83"/>
  <c r="AG1638" i="83" s="1"/>
  <c r="AE1639" i="83"/>
  <c r="AG1639" i="83" s="1"/>
  <c r="AH1639" i="83" s="1"/>
  <c r="AE1640" i="83"/>
  <c r="AG1640" i="83" s="1"/>
  <c r="AH1640" i="83" s="1"/>
  <c r="AE1641" i="83"/>
  <c r="AG1641" i="83" s="1"/>
  <c r="AH1641" i="83" s="1"/>
  <c r="AE1642" i="83"/>
  <c r="AE1643" i="83"/>
  <c r="AG1643" i="83" s="1"/>
  <c r="AJ1643" i="83" s="1"/>
  <c r="AE1644" i="83"/>
  <c r="AG1644" i="83" s="1"/>
  <c r="AE1645" i="83"/>
  <c r="AE1646" i="83"/>
  <c r="AG1646" i="83" s="1"/>
  <c r="AH1646" i="83" s="1"/>
  <c r="AE1647" i="83"/>
  <c r="AG1647" i="83" s="1"/>
  <c r="AH1647" i="83" s="1"/>
  <c r="AE1648" i="83"/>
  <c r="AG1648" i="83" s="1"/>
  <c r="AH1648" i="83" s="1"/>
  <c r="AE1649" i="83"/>
  <c r="AG1649" i="83" s="1"/>
  <c r="AH1649" i="83" s="1"/>
  <c r="AE1650" i="83"/>
  <c r="AG1650" i="83" s="1"/>
  <c r="AH1650" i="83" s="1"/>
  <c r="AE1651" i="83"/>
  <c r="AG1651" i="83" s="1"/>
  <c r="AE1652" i="83"/>
  <c r="AG1652" i="83" s="1"/>
  <c r="AE1653" i="83"/>
  <c r="AE1654" i="83"/>
  <c r="AG1654" i="83" s="1"/>
  <c r="AH1654" i="83" s="1"/>
  <c r="AE1655" i="83"/>
  <c r="AG1655" i="83" s="1"/>
  <c r="AH1655" i="83" s="1"/>
  <c r="AE1656" i="83"/>
  <c r="AG1656" i="83" s="1"/>
  <c r="AH1656" i="83" s="1"/>
  <c r="AE1657" i="83"/>
  <c r="AG1657" i="83" s="1"/>
  <c r="AH1657" i="83" s="1"/>
  <c r="AE1658" i="83"/>
  <c r="AG1658" i="83" s="1"/>
  <c r="AH1658" i="83" s="1"/>
  <c r="AE1659" i="83"/>
  <c r="AG1659" i="83" s="1"/>
  <c r="AJ1659" i="83" s="1"/>
  <c r="AE1660" i="83"/>
  <c r="AG1660" i="83" s="1"/>
  <c r="AE1661" i="83"/>
  <c r="AE1662" i="83"/>
  <c r="AG1662" i="83" s="1"/>
  <c r="AH1662" i="83"/>
  <c r="AE1663" i="83"/>
  <c r="AG1663" i="83" s="1"/>
  <c r="AH1663" i="83" s="1"/>
  <c r="AE1664" i="83"/>
  <c r="AG1664" i="83" s="1"/>
  <c r="AH1664" i="83" s="1"/>
  <c r="AE1665" i="83"/>
  <c r="AG1665" i="83" s="1"/>
  <c r="AH1665" i="83" s="1"/>
  <c r="AE1666" i="83"/>
  <c r="AG1666" i="83" s="1"/>
  <c r="AH1666" i="83" s="1"/>
  <c r="AJ1666" i="83"/>
  <c r="AK1666" i="83" s="1"/>
  <c r="AE1667" i="83"/>
  <c r="AG1667" i="83" s="1"/>
  <c r="AJ1667" i="83" s="1"/>
  <c r="AE1668" i="83"/>
  <c r="AG1668" i="83" s="1"/>
  <c r="AE1669" i="83"/>
  <c r="AE1670" i="83"/>
  <c r="AG1670" i="83" s="1"/>
  <c r="AH1670" i="83" s="1"/>
  <c r="AE1671" i="83"/>
  <c r="AG1671" i="83" s="1"/>
  <c r="AH1671" i="83" s="1"/>
  <c r="AE1672" i="83"/>
  <c r="AG1672" i="83" s="1"/>
  <c r="AH1672" i="83" s="1"/>
  <c r="AE1673" i="83"/>
  <c r="AE1674" i="83"/>
  <c r="AE1675" i="83"/>
  <c r="AG1675" i="83" s="1"/>
  <c r="AE1676" i="83"/>
  <c r="AG1676" i="83" s="1"/>
  <c r="AE1677" i="83"/>
  <c r="AE1678" i="83"/>
  <c r="AG1678" i="83"/>
  <c r="AH1678" i="83" s="1"/>
  <c r="AE1679" i="83"/>
  <c r="AG1679" i="83" s="1"/>
  <c r="AH1679" i="83" s="1"/>
  <c r="AE1680" i="83"/>
  <c r="AG1680" i="83" s="1"/>
  <c r="AH1680" i="83" s="1"/>
  <c r="AE1681" i="83"/>
  <c r="AG1681" i="83" s="1"/>
  <c r="AH1681" i="83" s="1"/>
  <c r="AE1682" i="83"/>
  <c r="AG1682" i="83" s="1"/>
  <c r="AE1683" i="83"/>
  <c r="AG1683" i="83" s="1"/>
  <c r="AJ1683" i="83" s="1"/>
  <c r="AE1684" i="83"/>
  <c r="AG1684" i="83" s="1"/>
  <c r="AE1685" i="83"/>
  <c r="AE1686" i="83"/>
  <c r="AE1687" i="83"/>
  <c r="AG1687" i="83" s="1"/>
  <c r="AH1687" i="83" s="1"/>
  <c r="AE1688" i="83"/>
  <c r="AE1689" i="83"/>
  <c r="AG1689" i="83" s="1"/>
  <c r="AH1689" i="83" s="1"/>
  <c r="AE1690" i="83"/>
  <c r="AG1690" i="83" s="1"/>
  <c r="AH1690" i="83" s="1"/>
  <c r="AE1691" i="83"/>
  <c r="AG1691" i="83" s="1"/>
  <c r="AE1692" i="83"/>
  <c r="AG1692" i="83" s="1"/>
  <c r="AE1693" i="83"/>
  <c r="AG1693" i="83" s="1"/>
  <c r="AH1693" i="83" s="1"/>
  <c r="AE1694" i="83"/>
  <c r="AG1694" i="83" s="1"/>
  <c r="AH1694" i="83" s="1"/>
  <c r="AE1695" i="83"/>
  <c r="AG1695" i="83" s="1"/>
  <c r="AH1695" i="83" s="1"/>
  <c r="AE1696" i="83"/>
  <c r="AE1697" i="83"/>
  <c r="AG1697" i="83" s="1"/>
  <c r="AH1697" i="83" s="1"/>
  <c r="AE1698" i="83"/>
  <c r="AG1698" i="83" s="1"/>
  <c r="AH1698" i="83" s="1"/>
  <c r="AE1699" i="83"/>
  <c r="AE1700" i="83"/>
  <c r="AG1700" i="83" s="1"/>
  <c r="AE1701" i="83"/>
  <c r="AG1701" i="83" s="1"/>
  <c r="AH1701" i="83" s="1"/>
  <c r="AE1702" i="83"/>
  <c r="AG1702" i="83" s="1"/>
  <c r="AH1702" i="83" s="1"/>
  <c r="AE1703" i="83"/>
  <c r="AG1703" i="83" s="1"/>
  <c r="AJ1703" i="83" s="1"/>
  <c r="AE1704" i="83"/>
  <c r="AG1704" i="83" s="1"/>
  <c r="AH1704" i="83" s="1"/>
  <c r="AE1705" i="83"/>
  <c r="AG1705" i="83" s="1"/>
  <c r="AH1705" i="83" s="1"/>
  <c r="AE1706" i="83"/>
  <c r="AG1706" i="83" s="1"/>
  <c r="AH1706" i="83" s="1"/>
  <c r="AE1707" i="83"/>
  <c r="AG1707" i="83" s="1"/>
  <c r="AH1707" i="83" s="1"/>
  <c r="AE1708" i="83"/>
  <c r="AG1708" i="83" s="1"/>
  <c r="AE1709" i="83"/>
  <c r="AE1710" i="83"/>
  <c r="AG1710" i="83" s="1"/>
  <c r="AH1710" i="83" s="1"/>
  <c r="AE1711" i="83"/>
  <c r="AG1711" i="83" s="1"/>
  <c r="AE1712" i="83"/>
  <c r="AG1712" i="83" s="1"/>
  <c r="AH1712" i="83" s="1"/>
  <c r="AE1713" i="83"/>
  <c r="AG1713" i="83" s="1"/>
  <c r="AH1713" i="83" s="1"/>
  <c r="AE1714" i="83"/>
  <c r="AE1715" i="83"/>
  <c r="AG1715" i="83" s="1"/>
  <c r="AE1716" i="83"/>
  <c r="AG1716" i="83" s="1"/>
  <c r="AE1717" i="83"/>
  <c r="AG1717" i="83" s="1"/>
  <c r="AH1717" i="83" s="1"/>
  <c r="AE1718" i="83"/>
  <c r="AG1718" i="83" s="1"/>
  <c r="AH1718" i="83" s="1"/>
  <c r="AE1719" i="83"/>
  <c r="AG1719" i="83" s="1"/>
  <c r="AJ1719" i="83" s="1"/>
  <c r="AE1720" i="83"/>
  <c r="AG1720" i="83" s="1"/>
  <c r="AH1720" i="83" s="1"/>
  <c r="AE1721" i="83"/>
  <c r="AG1721" i="83" s="1"/>
  <c r="AH1721" i="83" s="1"/>
  <c r="AE1722" i="83"/>
  <c r="AG1722" i="83" s="1"/>
  <c r="AH1722" i="83" s="1"/>
  <c r="AE1723" i="83"/>
  <c r="AG1723" i="83" s="1"/>
  <c r="AH1723" i="83" s="1"/>
  <c r="AJ1723" i="83"/>
  <c r="AK1723" i="83" s="1"/>
  <c r="AE1724" i="83"/>
  <c r="AG1724" i="83" s="1"/>
  <c r="AH1724" i="83" s="1"/>
  <c r="AE1725" i="83"/>
  <c r="AG1725" i="83" s="1"/>
  <c r="AH1725" i="83" s="1"/>
  <c r="AE1726" i="83"/>
  <c r="AG1726" i="83" s="1"/>
  <c r="AE1727" i="83"/>
  <c r="AG1727" i="83" s="1"/>
  <c r="AE1728" i="83"/>
  <c r="AE1729" i="83"/>
  <c r="AG1729" i="83" s="1"/>
  <c r="AH1729" i="83" s="1"/>
  <c r="AE1730" i="83"/>
  <c r="AE1731" i="83"/>
  <c r="AG1731" i="83" s="1"/>
  <c r="AH1731" i="83" s="1"/>
  <c r="AE1732" i="83"/>
  <c r="AE1733" i="83"/>
  <c r="AG1733" i="83" s="1"/>
  <c r="AH1733" i="83" s="1"/>
  <c r="AE1734" i="83"/>
  <c r="AG1734" i="83" s="1"/>
  <c r="AH1734" i="83" s="1"/>
  <c r="AE1735" i="83"/>
  <c r="AG1735" i="83" s="1"/>
  <c r="AJ1735" i="83" s="1"/>
  <c r="AH1735" i="83"/>
  <c r="AE1736" i="83"/>
  <c r="AG1736" i="83" s="1"/>
  <c r="AH1736" i="83" s="1"/>
  <c r="AE1737" i="83"/>
  <c r="AG1737" i="83" s="1"/>
  <c r="AH1737" i="83" s="1"/>
  <c r="AE1738" i="83"/>
  <c r="AE1739" i="83"/>
  <c r="AG1739" i="83" s="1"/>
  <c r="AH1739" i="83" s="1"/>
  <c r="AE1740" i="83"/>
  <c r="AG1740" i="83" s="1"/>
  <c r="AJ1740" i="83" s="1"/>
  <c r="AE1741" i="83"/>
  <c r="AG1741" i="83" s="1"/>
  <c r="AH1741" i="83" s="1"/>
  <c r="AE1742" i="83"/>
  <c r="AG1742" i="83" s="1"/>
  <c r="AH1742" i="83" s="1"/>
  <c r="AE1743" i="83"/>
  <c r="AG1743" i="83" s="1"/>
  <c r="AJ1743" i="83" s="1"/>
  <c r="AE1744" i="83"/>
  <c r="AG1744" i="83"/>
  <c r="AH1744" i="83" s="1"/>
  <c r="AE1745" i="83"/>
  <c r="AG1745" i="83" s="1"/>
  <c r="AH1745" i="83" s="1"/>
  <c r="AE1746" i="83"/>
  <c r="AG1746" i="83" s="1"/>
  <c r="AH1746" i="83" s="1"/>
  <c r="AE1747" i="83"/>
  <c r="AG1747" i="83" s="1"/>
  <c r="AH1747" i="83" s="1"/>
  <c r="AE1748" i="83"/>
  <c r="AG1748" i="83" s="1"/>
  <c r="AH1748" i="83" s="1"/>
  <c r="AE1749" i="83"/>
  <c r="AG1749" i="83" s="1"/>
  <c r="AH1749" i="83" s="1"/>
  <c r="AE1750" i="83"/>
  <c r="AG1750" i="83" s="1"/>
  <c r="AH1750" i="83" s="1"/>
  <c r="AE1751" i="83"/>
  <c r="AG1751" i="83" s="1"/>
  <c r="AJ1751" i="83" s="1"/>
  <c r="AE1752" i="83"/>
  <c r="AG1752" i="83" s="1"/>
  <c r="AH1752" i="83" s="1"/>
  <c r="AE1753" i="83"/>
  <c r="AG1753" i="83" s="1"/>
  <c r="AH1753" i="83" s="1"/>
  <c r="AE1754" i="83"/>
  <c r="AG1754" i="83" s="1"/>
  <c r="AH1754" i="83" s="1"/>
  <c r="AE1755" i="83"/>
  <c r="AG1755" i="83" s="1"/>
  <c r="AH1755" i="83" s="1"/>
  <c r="AE1756" i="83"/>
  <c r="AG1756" i="83" s="1"/>
  <c r="AH1756" i="83" s="1"/>
  <c r="AE1757" i="83"/>
  <c r="AG1757" i="83" s="1"/>
  <c r="AH1757" i="83" s="1"/>
  <c r="AE1758" i="83"/>
  <c r="AG1758" i="83" s="1"/>
  <c r="AH1758" i="83" s="1"/>
  <c r="AE1759" i="83"/>
  <c r="AG1759" i="83" s="1"/>
  <c r="AE1760" i="83"/>
  <c r="AG1760" i="83" s="1"/>
  <c r="AH1760" i="83" s="1"/>
  <c r="AE1761" i="83"/>
  <c r="AE1762" i="83"/>
  <c r="AG1762" i="83" s="1"/>
  <c r="AH1762" i="83" s="1"/>
  <c r="AE1763" i="83"/>
  <c r="AG1763" i="83" s="1"/>
  <c r="AH1763" i="83" s="1"/>
  <c r="AE1764" i="83"/>
  <c r="AG1764" i="83" s="1"/>
  <c r="AH1764" i="83" s="1"/>
  <c r="AE1765" i="83"/>
  <c r="AG1765" i="83" s="1"/>
  <c r="AH1765" i="83" s="1"/>
  <c r="AE1766" i="83"/>
  <c r="AG1766" i="83" s="1"/>
  <c r="AH1766" i="83" s="1"/>
  <c r="AE1767" i="83"/>
  <c r="AG1767" i="83" s="1"/>
  <c r="AE1768" i="83"/>
  <c r="AG1768" i="83" s="1"/>
  <c r="AH1768" i="83" s="1"/>
  <c r="AE1769" i="83"/>
  <c r="AG1769" i="83"/>
  <c r="AH1769" i="83" s="1"/>
  <c r="AE1770" i="83"/>
  <c r="AG1770" i="83" s="1"/>
  <c r="AE1771" i="83"/>
  <c r="AE1772" i="83"/>
  <c r="AG1772" i="83" s="1"/>
  <c r="AH1772" i="83" s="1"/>
  <c r="AE1773" i="83"/>
  <c r="AG1773" i="83" s="1"/>
  <c r="AH1773" i="83" s="1"/>
  <c r="AE1774" i="83"/>
  <c r="AG1774" i="83"/>
  <c r="AH1774" i="83" s="1"/>
  <c r="AE1775" i="83"/>
  <c r="AG1775" i="83" s="1"/>
  <c r="AH1775" i="83" s="1"/>
  <c r="AE1776" i="83"/>
  <c r="AG1776" i="83"/>
  <c r="AH1776" i="83" s="1"/>
  <c r="AE1777" i="83"/>
  <c r="AG1777" i="83" s="1"/>
  <c r="AE1778" i="83"/>
  <c r="AG1778" i="83" s="1"/>
  <c r="AH1778" i="83" s="1"/>
  <c r="AE1779" i="83"/>
  <c r="AE1780" i="83"/>
  <c r="AG1780" i="83" s="1"/>
  <c r="AH1780" i="83" s="1"/>
  <c r="AE1781" i="83"/>
  <c r="AE1782" i="83"/>
  <c r="AG1782" i="83" s="1"/>
  <c r="AH1782" i="83" s="1"/>
  <c r="AE1783" i="83"/>
  <c r="AG1783" i="83"/>
  <c r="AH1783" i="83" s="1"/>
  <c r="AE1784" i="83"/>
  <c r="AG1784" i="83"/>
  <c r="AH1784" i="83" s="1"/>
  <c r="AE1785" i="83"/>
  <c r="AG1785" i="83" s="1"/>
  <c r="AH1785" i="83" s="1"/>
  <c r="AJ1785" i="83"/>
  <c r="AK1785" i="83" s="1"/>
  <c r="AE1786" i="83"/>
  <c r="AG1786" i="83"/>
  <c r="AH1786" i="83" s="1"/>
  <c r="AE1787" i="83"/>
  <c r="AG1787" i="83" s="1"/>
  <c r="AH1787" i="83" s="1"/>
  <c r="AE1788" i="83"/>
  <c r="AG1788" i="83" s="1"/>
  <c r="AH1788" i="83" s="1"/>
  <c r="AE1789" i="83"/>
  <c r="AE1790" i="83"/>
  <c r="AG1790" i="83" s="1"/>
  <c r="AH1790" i="83" s="1"/>
  <c r="AE1791" i="83"/>
  <c r="AG1791" i="83" s="1"/>
  <c r="AH1791" i="83" s="1"/>
  <c r="AE1792" i="83"/>
  <c r="AE1793" i="83"/>
  <c r="AG1793" i="83" s="1"/>
  <c r="AH1793" i="83" s="1"/>
  <c r="AE1794" i="83"/>
  <c r="AG1794" i="83" s="1"/>
  <c r="AH1794" i="83" s="1"/>
  <c r="AE1795" i="83"/>
  <c r="AG1795" i="83" s="1"/>
  <c r="AH1795" i="83" s="1"/>
  <c r="AE1796" i="83"/>
  <c r="AG1796" i="83" s="1"/>
  <c r="AH1796" i="83" s="1"/>
  <c r="AE1797" i="83"/>
  <c r="AE1798" i="83"/>
  <c r="AG1798" i="83" s="1"/>
  <c r="AE1799" i="83"/>
  <c r="AG1799" i="83" s="1"/>
  <c r="AH1799" i="83" s="1"/>
  <c r="AE1800" i="83"/>
  <c r="AG1800" i="83" s="1"/>
  <c r="AH1800" i="83" s="1"/>
  <c r="AE1801" i="83"/>
  <c r="AG1801" i="83" s="1"/>
  <c r="AH1801" i="83" s="1"/>
  <c r="AE1802" i="83"/>
  <c r="AE1803" i="83"/>
  <c r="AE1804" i="83"/>
  <c r="AG1804" i="83" s="1"/>
  <c r="AH1804" i="83" s="1"/>
  <c r="AE1805" i="83"/>
  <c r="AE1806" i="83"/>
  <c r="AE1807" i="83"/>
  <c r="AE1808" i="83"/>
  <c r="AG1808" i="83" s="1"/>
  <c r="AH1808" i="83" s="1"/>
  <c r="AE1809" i="83"/>
  <c r="AG1809" i="83"/>
  <c r="AH1809" i="83" s="1"/>
  <c r="AE1810" i="83"/>
  <c r="AG1810" i="83" s="1"/>
  <c r="AH1810" i="83" s="1"/>
  <c r="AE1811" i="83"/>
  <c r="AE1812" i="83"/>
  <c r="AG1812" i="83" s="1"/>
  <c r="AH1812" i="83" s="1"/>
  <c r="AE1813" i="83"/>
  <c r="AE1814" i="83"/>
  <c r="AE1815" i="83"/>
  <c r="AG1815" i="83" s="1"/>
  <c r="AH1815" i="83" s="1"/>
  <c r="AE1816" i="83"/>
  <c r="AG1816" i="83" s="1"/>
  <c r="AH1816" i="83" s="1"/>
  <c r="AE1817" i="83"/>
  <c r="AG1817" i="83" s="1"/>
  <c r="AH1817" i="83" s="1"/>
  <c r="AE1818" i="83"/>
  <c r="AG1818" i="83"/>
  <c r="AH1818" i="83" s="1"/>
  <c r="AE1819" i="83"/>
  <c r="AG1819" i="83" s="1"/>
  <c r="AH1819" i="83" s="1"/>
  <c r="AE1820" i="83"/>
  <c r="AG1820" i="83" s="1"/>
  <c r="AH1820" i="83" s="1"/>
  <c r="AE1821" i="83"/>
  <c r="AE1822" i="83"/>
  <c r="AG1822" i="83" s="1"/>
  <c r="AH1822" i="83" s="1"/>
  <c r="AE1823" i="83"/>
  <c r="AG1823" i="83" s="1"/>
  <c r="AH1823" i="83" s="1"/>
  <c r="AE1824" i="83"/>
  <c r="AG1824" i="83" s="1"/>
  <c r="AH1824" i="83" s="1"/>
  <c r="AE1825" i="83"/>
  <c r="AG1825" i="83" s="1"/>
  <c r="AH1825" i="83"/>
  <c r="AE1826" i="83"/>
  <c r="AG1826" i="83" s="1"/>
  <c r="AH1826" i="83" s="1"/>
  <c r="AE1827" i="83"/>
  <c r="AE1828" i="83"/>
  <c r="AG1828" i="83" s="1"/>
  <c r="AH1828" i="83" s="1"/>
  <c r="AE1829" i="83"/>
  <c r="AE1830" i="83"/>
  <c r="AG1830" i="83" s="1"/>
  <c r="AE1831" i="83"/>
  <c r="AE1832" i="83"/>
  <c r="AG1832" i="83" s="1"/>
  <c r="AH1832" i="83" s="1"/>
  <c r="AE1833" i="83"/>
  <c r="AG1833" i="83" s="1"/>
  <c r="AH1833" i="83" s="1"/>
  <c r="AE1834" i="83"/>
  <c r="AE1835" i="83"/>
  <c r="AG1835" i="83"/>
  <c r="AH1835" i="83" s="1"/>
  <c r="AE1836" i="83"/>
  <c r="AG1836" i="83" s="1"/>
  <c r="AH1836" i="83" s="1"/>
  <c r="AE1837" i="83"/>
  <c r="AE1838" i="83"/>
  <c r="AE1839" i="83"/>
  <c r="AE1840" i="83"/>
  <c r="AG1840" i="83" s="1"/>
  <c r="AH1840" i="83" s="1"/>
  <c r="AE1841" i="83"/>
  <c r="AG1841" i="83" s="1"/>
  <c r="AE1842" i="83"/>
  <c r="AG1842" i="83" s="1"/>
  <c r="AH1842" i="83" s="1"/>
  <c r="AE1843" i="83"/>
  <c r="AE1844" i="83"/>
  <c r="AG1844" i="83" s="1"/>
  <c r="AH1844" i="83" s="1"/>
  <c r="AE1845" i="83"/>
  <c r="AE1846" i="83"/>
  <c r="AG1846" i="83" s="1"/>
  <c r="AH1846" i="83" s="1"/>
  <c r="AE1847" i="83"/>
  <c r="AG1847" i="83" s="1"/>
  <c r="AH1847" i="83" s="1"/>
  <c r="AE1848" i="83"/>
  <c r="AG1848" i="83" s="1"/>
  <c r="AH1848" i="83" s="1"/>
  <c r="AE1849" i="83"/>
  <c r="AG1849" i="83" s="1"/>
  <c r="AE1850" i="83"/>
  <c r="AG1850" i="83"/>
  <c r="AH1850" i="83" s="1"/>
  <c r="AE1851" i="83"/>
  <c r="AG1851" i="83" s="1"/>
  <c r="AH1851" i="83" s="1"/>
  <c r="AE1852" i="83"/>
  <c r="AG1852" i="83" s="1"/>
  <c r="AH1852" i="83" s="1"/>
  <c r="AE1853" i="83"/>
  <c r="AE1854" i="83"/>
  <c r="AG1854" i="83"/>
  <c r="AJ1854" i="83" s="1"/>
  <c r="AE1855" i="83"/>
  <c r="AG1855" i="83" s="1"/>
  <c r="AH1855" i="83" s="1"/>
  <c r="AE1856" i="83"/>
  <c r="AE1857" i="83"/>
  <c r="AG1857" i="83"/>
  <c r="AH1857" i="83" s="1"/>
  <c r="AE1858" i="83"/>
  <c r="AG1858" i="83" s="1"/>
  <c r="AH1858" i="83" s="1"/>
  <c r="AE1859" i="83"/>
  <c r="AE1860" i="83"/>
  <c r="AG1860" i="83" s="1"/>
  <c r="AH1860" i="83" s="1"/>
  <c r="AE1861" i="83"/>
  <c r="AE1862" i="83"/>
  <c r="AG1862" i="83" s="1"/>
  <c r="AE1863" i="83"/>
  <c r="AG1863" i="83"/>
  <c r="AH1863" i="83" s="1"/>
  <c r="AE1864" i="83"/>
  <c r="AG1864" i="83" s="1"/>
  <c r="AH1864" i="83" s="1"/>
  <c r="AE1865" i="83"/>
  <c r="AG1865" i="83" s="1"/>
  <c r="AH1865" i="83" s="1"/>
  <c r="AE1866" i="83"/>
  <c r="AE1867" i="83"/>
  <c r="AG1867" i="83" s="1"/>
  <c r="AH1867" i="83" s="1"/>
  <c r="AE1868" i="83"/>
  <c r="AG1868" i="83" s="1"/>
  <c r="AH1868" i="83" s="1"/>
  <c r="AE1869" i="83"/>
  <c r="AE1870" i="83"/>
  <c r="AE1871" i="83"/>
  <c r="AE1872" i="83"/>
  <c r="AG1872" i="83" s="1"/>
  <c r="AH1872" i="83" s="1"/>
  <c r="AE1873" i="83"/>
  <c r="AG1873" i="83" s="1"/>
  <c r="AH1873" i="83" s="1"/>
  <c r="AE1874" i="83"/>
  <c r="AG1874" i="83" s="1"/>
  <c r="AH1874" i="83" s="1"/>
  <c r="AE1875" i="83"/>
  <c r="AE1876" i="83"/>
  <c r="AG1876" i="83" s="1"/>
  <c r="AH1876" i="83" s="1"/>
  <c r="AE1877" i="83"/>
  <c r="AE1878" i="83"/>
  <c r="AG1878" i="83" s="1"/>
  <c r="AH1878" i="83" s="1"/>
  <c r="AJ1878" i="83"/>
  <c r="AK1878" i="83" s="1"/>
  <c r="AE1879" i="83"/>
  <c r="AG1879" i="83" s="1"/>
  <c r="AH1879" i="83" s="1"/>
  <c r="AE1880" i="83"/>
  <c r="AE1881" i="83"/>
  <c r="AG1881" i="83" s="1"/>
  <c r="AE1882" i="83"/>
  <c r="AG1882" i="83" s="1"/>
  <c r="AH1882" i="83" s="1"/>
  <c r="AE1883" i="83"/>
  <c r="AG1883" i="83" s="1"/>
  <c r="AH1883" i="83" s="1"/>
  <c r="AE1884" i="83"/>
  <c r="AG1884" i="83"/>
  <c r="AH1884" i="83" s="1"/>
  <c r="AE1885" i="83"/>
  <c r="AE1886" i="83"/>
  <c r="AG1886" i="83" s="1"/>
  <c r="AH1886" i="83" s="1"/>
  <c r="AE1887" i="83"/>
  <c r="AG1887" i="83"/>
  <c r="AH1887" i="83" s="1"/>
  <c r="AE1888" i="83"/>
  <c r="AE1889" i="83"/>
  <c r="AG1889" i="83" s="1"/>
  <c r="AE1890" i="83"/>
  <c r="AG1890" i="83" s="1"/>
  <c r="AE1891" i="83"/>
  <c r="AG1891" i="83" s="1"/>
  <c r="AH1891" i="83" s="1"/>
  <c r="AE1892" i="83"/>
  <c r="AG1892" i="83" s="1"/>
  <c r="AH1892" i="83" s="1"/>
  <c r="AE1893" i="83"/>
  <c r="AE1894" i="83"/>
  <c r="AE1895" i="83"/>
  <c r="AE1896" i="83"/>
  <c r="AG1896" i="83" s="1"/>
  <c r="AH1896" i="83" s="1"/>
  <c r="AE1897" i="83"/>
  <c r="AG1897" i="83" s="1"/>
  <c r="AH1897" i="83" s="1"/>
  <c r="AE1898" i="83"/>
  <c r="AG1898" i="83" s="1"/>
  <c r="AH1898" i="83" s="1"/>
  <c r="AE1899" i="83"/>
  <c r="AG1899" i="83" s="1"/>
  <c r="AH1899" i="83" s="1"/>
  <c r="AE1900" i="83"/>
  <c r="AG1900" i="83" s="1"/>
  <c r="AH1900" i="83" s="1"/>
  <c r="AE1901" i="83"/>
  <c r="AE1902" i="83"/>
  <c r="AG1902" i="83" s="1"/>
  <c r="AJ1902" i="83" s="1"/>
  <c r="AE1903" i="83"/>
  <c r="AG1903" i="83" s="1"/>
  <c r="AH1903" i="83" s="1"/>
  <c r="AE1904" i="83"/>
  <c r="AG1904" i="83" s="1"/>
  <c r="AH1904" i="83" s="1"/>
  <c r="AE1905" i="83"/>
  <c r="AE1906" i="83"/>
  <c r="AG1906" i="83" s="1"/>
  <c r="AH1906" i="83" s="1"/>
  <c r="AE1907" i="83"/>
  <c r="AG1907" i="83"/>
  <c r="AH1907" i="83" s="1"/>
  <c r="AE1908" i="83"/>
  <c r="AG1908" i="83" s="1"/>
  <c r="AH1908" i="83" s="1"/>
  <c r="AE1909" i="83"/>
  <c r="AE1910" i="83"/>
  <c r="AG1910" i="83" s="1"/>
  <c r="AE1911" i="83"/>
  <c r="AE1912" i="83"/>
  <c r="AG1912" i="83" s="1"/>
  <c r="AH1912" i="83" s="1"/>
  <c r="AE1913" i="83"/>
  <c r="AE1914" i="83"/>
  <c r="AG1914" i="83" s="1"/>
  <c r="AE1915" i="83"/>
  <c r="AG1915" i="83" s="1"/>
  <c r="AH1915" i="83" s="1"/>
  <c r="AE1916" i="83"/>
  <c r="AG1916" i="83" s="1"/>
  <c r="AH1916" i="83" s="1"/>
  <c r="AE1917" i="83"/>
  <c r="AE1918" i="83"/>
  <c r="AE1919" i="83"/>
  <c r="AE1920" i="83"/>
  <c r="AG1920" i="83" s="1"/>
  <c r="AH1920" i="83" s="1"/>
  <c r="AE1921" i="83"/>
  <c r="AG1921" i="83" s="1"/>
  <c r="AH1921" i="83" s="1"/>
  <c r="AE1922" i="83"/>
  <c r="AG1922" i="83"/>
  <c r="AH1922" i="83" s="1"/>
  <c r="AE1923" i="83"/>
  <c r="AG1923" i="83" s="1"/>
  <c r="AH1923" i="83" s="1"/>
  <c r="AE1924" i="83"/>
  <c r="AG1924" i="83" s="1"/>
  <c r="AH1924" i="83" s="1"/>
  <c r="AE1925" i="83"/>
  <c r="AE1926" i="83"/>
  <c r="AE1927" i="83"/>
  <c r="AG1927" i="83" s="1"/>
  <c r="AH1927" i="83"/>
  <c r="AE1928" i="83"/>
  <c r="AG1928" i="83" s="1"/>
  <c r="AH1928" i="83" s="1"/>
  <c r="AE1929" i="83"/>
  <c r="AE1930" i="83"/>
  <c r="AG1930" i="83"/>
  <c r="AJ1930" i="83" s="1"/>
  <c r="AH1930" i="83"/>
  <c r="AE1931" i="83"/>
  <c r="AG1931" i="83" s="1"/>
  <c r="AH1931" i="83" s="1"/>
  <c r="AE1932" i="83"/>
  <c r="AE1933" i="83"/>
  <c r="AE1934" i="83"/>
  <c r="AG1934" i="83" s="1"/>
  <c r="AH1934" i="83" s="1"/>
  <c r="AE1935" i="83"/>
  <c r="AE1936" i="83"/>
  <c r="AG1936" i="83" s="1"/>
  <c r="AH1936" i="83" s="1"/>
  <c r="AE1937" i="83"/>
  <c r="AE1938" i="83"/>
  <c r="AG1938" i="83"/>
  <c r="AH1938" i="83" s="1"/>
  <c r="AE1939" i="83"/>
  <c r="AG1939" i="83" s="1"/>
  <c r="AH1939" i="83" s="1"/>
  <c r="AE1940" i="83"/>
  <c r="AG1940" i="83" s="1"/>
  <c r="AH1940" i="83" s="1"/>
  <c r="AE1941" i="83"/>
  <c r="AE1942" i="83"/>
  <c r="AG1942" i="83" s="1"/>
  <c r="AE1943" i="83"/>
  <c r="AG1943" i="83" s="1"/>
  <c r="AH1943" i="83" s="1"/>
  <c r="AE1944" i="83"/>
  <c r="AG1944" i="83" s="1"/>
  <c r="AH1944" i="83" s="1"/>
  <c r="AE1945" i="83"/>
  <c r="AG1945" i="83" s="1"/>
  <c r="AH1945" i="83" s="1"/>
  <c r="AE1946" i="83"/>
  <c r="AE1947" i="83"/>
  <c r="AG1947" i="83" s="1"/>
  <c r="AH1947" i="83" s="1"/>
  <c r="AE1948" i="83"/>
  <c r="AG1948" i="83"/>
  <c r="AH1948" i="83" s="1"/>
  <c r="AE1949" i="83"/>
  <c r="AE1950" i="83"/>
  <c r="AG1950" i="83" s="1"/>
  <c r="AE1951" i="83"/>
  <c r="AG1951" i="83" s="1"/>
  <c r="AH1951" i="83" s="1"/>
  <c r="AE1952" i="83"/>
  <c r="AG1952" i="83" s="1"/>
  <c r="AH1952" i="83" s="1"/>
  <c r="AE1953" i="83"/>
  <c r="AG1953" i="83" s="1"/>
  <c r="AH1953" i="83" s="1"/>
  <c r="AJ1953" i="83"/>
  <c r="AE1954" i="83"/>
  <c r="AG1954" i="83" s="1"/>
  <c r="AH1954" i="83" s="1"/>
  <c r="AE1955" i="83"/>
  <c r="AG1955" i="83" s="1"/>
  <c r="AH1955" i="83" s="1"/>
  <c r="AE1956" i="83"/>
  <c r="AG1956" i="83" s="1"/>
  <c r="AE1957" i="83"/>
  <c r="AE1958" i="83"/>
  <c r="AG1958" i="83" s="1"/>
  <c r="AH1958" i="83" s="1"/>
  <c r="AE1959" i="83"/>
  <c r="AE1960" i="83"/>
  <c r="AG1960" i="83" s="1"/>
  <c r="AH1960" i="83" s="1"/>
  <c r="AE1961" i="83"/>
  <c r="AE1962" i="83"/>
  <c r="AG1962" i="83" s="1"/>
  <c r="AH1962" i="83" s="1"/>
  <c r="AE1963" i="83"/>
  <c r="AG1963" i="83" s="1"/>
  <c r="AH1963" i="83" s="1"/>
  <c r="AE1964" i="83"/>
  <c r="AG1964" i="83"/>
  <c r="AE1965" i="83"/>
  <c r="AE1966" i="83"/>
  <c r="AE1967" i="83"/>
  <c r="AG1967" i="83"/>
  <c r="AH1967" i="83"/>
  <c r="AE1968" i="83"/>
  <c r="AG1968" i="83" s="1"/>
  <c r="AH1968" i="83" s="1"/>
  <c r="AE1969" i="83"/>
  <c r="AG1969" i="83" s="1"/>
  <c r="AH1969" i="83"/>
  <c r="AE1970" i="83"/>
  <c r="AG1970" i="83"/>
  <c r="AJ1970" i="83" s="1"/>
  <c r="AE1971" i="83"/>
  <c r="AG1971" i="83" s="1"/>
  <c r="AH1971" i="83" s="1"/>
  <c r="AE1972" i="83"/>
  <c r="AG1972" i="83" s="1"/>
  <c r="AH1972" i="83" s="1"/>
  <c r="AE1973" i="83"/>
  <c r="AE1974" i="83"/>
  <c r="AE1975" i="83"/>
  <c r="AG1975" i="83" s="1"/>
  <c r="AH1975" i="83" s="1"/>
  <c r="AE1976" i="83"/>
  <c r="AE1977" i="83"/>
  <c r="AG1977" i="83" s="1"/>
  <c r="AH1977" i="83" s="1"/>
  <c r="AE1978" i="83"/>
  <c r="AG1978" i="83"/>
  <c r="AH1978" i="83" s="1"/>
  <c r="AE1979" i="83"/>
  <c r="AG1979" i="83" s="1"/>
  <c r="AH1979" i="83" s="1"/>
  <c r="AE1980" i="83"/>
  <c r="AG1980" i="83" s="1"/>
  <c r="AH1980" i="83" s="1"/>
  <c r="AE1981" i="83"/>
  <c r="AE1982" i="83"/>
  <c r="AG1982" i="83" s="1"/>
  <c r="AH1982" i="83" s="1"/>
  <c r="AE1983" i="83"/>
  <c r="AG1983" i="83"/>
  <c r="AH1983" i="83" s="1"/>
  <c r="AE1984" i="83"/>
  <c r="AG1984" i="83" s="1"/>
  <c r="AH1984" i="83" s="1"/>
  <c r="AE1985" i="83"/>
  <c r="AG1985" i="83" s="1"/>
  <c r="AH1985" i="83" s="1"/>
  <c r="AE1986" i="83"/>
  <c r="AG1986" i="83" s="1"/>
  <c r="AH1986" i="83" s="1"/>
  <c r="AE1987" i="83"/>
  <c r="AG1987" i="83" s="1"/>
  <c r="AH1987" i="83" s="1"/>
  <c r="AE1988" i="83"/>
  <c r="AG1988" i="83" s="1"/>
  <c r="AH1988" i="83" s="1"/>
  <c r="AE1989" i="83"/>
  <c r="AE1990" i="83"/>
  <c r="AG1990" i="83"/>
  <c r="AJ1990" i="83" s="1"/>
  <c r="AE1991" i="83"/>
  <c r="AG1991" i="83"/>
  <c r="AH1991" i="83" s="1"/>
  <c r="AE1992" i="83"/>
  <c r="AG1992" i="83" s="1"/>
  <c r="AH1992" i="83" s="1"/>
  <c r="AE1993" i="83"/>
  <c r="AG1993" i="83" s="1"/>
  <c r="AH1993" i="83" s="1"/>
  <c r="AE1994" i="83"/>
  <c r="AG1994" i="83" s="1"/>
  <c r="AH1994" i="83" s="1"/>
  <c r="AE1995" i="83"/>
  <c r="AG1995" i="83" s="1"/>
  <c r="AH1995" i="83" s="1"/>
  <c r="AE1996" i="83"/>
  <c r="AG1996" i="83" s="1"/>
  <c r="AH1996" i="83" s="1"/>
  <c r="AE1997" i="83"/>
  <c r="AE1998" i="83"/>
  <c r="AG1998" i="83" s="1"/>
  <c r="AE1999" i="83"/>
  <c r="AE2000" i="83"/>
  <c r="AE2001" i="83"/>
  <c r="AE2002" i="83"/>
  <c r="AG2002" i="83" s="1"/>
  <c r="AE2003" i="83"/>
  <c r="AE2004" i="83"/>
  <c r="AE2005" i="83"/>
  <c r="AE2006" i="83"/>
  <c r="AG2006" i="83" s="1"/>
  <c r="AJ2006" i="83" s="1"/>
  <c r="AE2007" i="83"/>
  <c r="AE2008" i="83"/>
  <c r="AG2008" i="83" s="1"/>
  <c r="AH2008" i="83" s="1"/>
  <c r="AE2009" i="83"/>
  <c r="AE2010" i="83"/>
  <c r="AE2011" i="83"/>
  <c r="AG2011" i="83"/>
  <c r="AH2011" i="83" s="1"/>
  <c r="AE2012" i="83"/>
  <c r="AE2013" i="83"/>
  <c r="AG2013" i="83" s="1"/>
  <c r="AE2014" i="83"/>
  <c r="AE2015" i="83"/>
  <c r="AG2015" i="83" s="1"/>
  <c r="AH2015" i="83" s="1"/>
  <c r="AE2016" i="83"/>
  <c r="AG2016" i="83" s="1"/>
  <c r="AH2016" i="83" s="1"/>
  <c r="AE2017" i="83"/>
  <c r="AG2017" i="83" s="1"/>
  <c r="AE2018" i="83"/>
  <c r="AG2018" i="83"/>
  <c r="AH2018" i="83" s="1"/>
  <c r="AE2019" i="83"/>
  <c r="AG2019" i="83" s="1"/>
  <c r="AH2019" i="83" s="1"/>
  <c r="AE2020" i="83"/>
  <c r="AE2021" i="83"/>
  <c r="AG2021" i="83" s="1"/>
  <c r="AE2022" i="83"/>
  <c r="AE2023" i="83"/>
  <c r="AE2024" i="83"/>
  <c r="AG2024" i="83" s="1"/>
  <c r="AH2024" i="83" s="1"/>
  <c r="AE2025" i="83"/>
  <c r="AG2025" i="83" s="1"/>
  <c r="AE2026" i="83"/>
  <c r="AG2026" i="83"/>
  <c r="AJ2026" i="83" s="1"/>
  <c r="AE2027" i="83"/>
  <c r="AG2027" i="83" s="1"/>
  <c r="AH2027" i="83" s="1"/>
  <c r="AE2028" i="83"/>
  <c r="AE2029" i="83"/>
  <c r="AG2029" i="83" s="1"/>
  <c r="AH2029" i="83" s="1"/>
  <c r="AE2030" i="83"/>
  <c r="AE2031" i="83"/>
  <c r="AG2031" i="83" s="1"/>
  <c r="AH2031" i="83" s="1"/>
  <c r="AE2032" i="83"/>
  <c r="AG2032" i="83" s="1"/>
  <c r="AH2032" i="83" s="1"/>
  <c r="AE2033" i="83"/>
  <c r="AG2033" i="83" s="1"/>
  <c r="AE2034" i="83"/>
  <c r="AG2034" i="83" s="1"/>
  <c r="AH2034" i="83" s="1"/>
  <c r="AE2035" i="83"/>
  <c r="AG2035" i="83" s="1"/>
  <c r="AE2036" i="83"/>
  <c r="AE2037" i="83"/>
  <c r="AG2037" i="83" s="1"/>
  <c r="AH2037" i="83" s="1"/>
  <c r="AE2038" i="83"/>
  <c r="AE2039" i="83"/>
  <c r="AG2039" i="83"/>
  <c r="AH2039" i="83" s="1"/>
  <c r="AE2040" i="83"/>
  <c r="AG2040" i="83"/>
  <c r="AH2040" i="83" s="1"/>
  <c r="AE2041" i="83"/>
  <c r="AG2041" i="83" s="1"/>
  <c r="AE2042" i="83"/>
  <c r="AE2043" i="83"/>
  <c r="AG2043" i="83"/>
  <c r="AE2044" i="83"/>
  <c r="AE2045" i="83"/>
  <c r="AG2045" i="83" s="1"/>
  <c r="AH2045" i="83" s="1"/>
  <c r="AE2046" i="83"/>
  <c r="AE2047" i="83"/>
  <c r="AG2047" i="83" s="1"/>
  <c r="AH2047" i="83" s="1"/>
  <c r="AE2048" i="83"/>
  <c r="AG2048" i="83" s="1"/>
  <c r="AH2048" i="83" s="1"/>
  <c r="AE2049" i="83"/>
  <c r="AG2049" i="83" s="1"/>
  <c r="AE2050" i="83"/>
  <c r="AE2051" i="83"/>
  <c r="AG2051" i="83"/>
  <c r="AJ2051" i="83" s="1"/>
  <c r="AE2052" i="83"/>
  <c r="AE2053" i="83"/>
  <c r="AG2053" i="83" s="1"/>
  <c r="AH2053" i="83" s="1"/>
  <c r="AE2054" i="83"/>
  <c r="AE2055" i="83"/>
  <c r="AG2055" i="83" s="1"/>
  <c r="AH2055" i="83" s="1"/>
  <c r="AE2056" i="83"/>
  <c r="AG2056" i="83" s="1"/>
  <c r="AH2056" i="83" s="1"/>
  <c r="AE2057" i="83"/>
  <c r="AG2057" i="83" s="1"/>
  <c r="AE2058" i="83"/>
  <c r="AG2058" i="83"/>
  <c r="AH2058" i="83" s="1"/>
  <c r="AE2059" i="83"/>
  <c r="AG2059" i="83" s="1"/>
  <c r="AH2059" i="83" s="1"/>
  <c r="AE2060" i="83"/>
  <c r="AE2061" i="83"/>
  <c r="AG2061" i="83" s="1"/>
  <c r="AH2061" i="83" s="1"/>
  <c r="AE2062" i="83"/>
  <c r="AE2063" i="83"/>
  <c r="AG2063" i="83" s="1"/>
  <c r="AH2063" i="83" s="1"/>
  <c r="AE2064" i="83"/>
  <c r="AG2064" i="83" s="1"/>
  <c r="AH2064" i="83" s="1"/>
  <c r="AE2065" i="83"/>
  <c r="AG2065" i="83" s="1"/>
  <c r="AE2066" i="83"/>
  <c r="AG2066" i="83" s="1"/>
  <c r="AH2066" i="83" s="1"/>
  <c r="AE2067" i="83"/>
  <c r="AG2067" i="83" s="1"/>
  <c r="AH2067" i="83" s="1"/>
  <c r="AE2068" i="83"/>
  <c r="AE2069" i="83"/>
  <c r="AG2069" i="83" s="1"/>
  <c r="AH2069" i="83" s="1"/>
  <c r="AE2070" i="83"/>
  <c r="AE2071" i="83"/>
  <c r="AG2071" i="83" s="1"/>
  <c r="AH2071" i="83" s="1"/>
  <c r="AE2072" i="83"/>
  <c r="AG2072" i="83" s="1"/>
  <c r="AH2072" i="83" s="1"/>
  <c r="AE2073" i="83"/>
  <c r="AG2073" i="83" s="1"/>
  <c r="AE2074" i="83"/>
  <c r="AG2074" i="83" s="1"/>
  <c r="AJ2074" i="83" s="1"/>
  <c r="AE2075" i="83"/>
  <c r="AG2075" i="83"/>
  <c r="AH2075" i="83" s="1"/>
  <c r="AE2076" i="83"/>
  <c r="AE2077" i="83"/>
  <c r="AG2077" i="83" s="1"/>
  <c r="AH2077" i="83" s="1"/>
  <c r="AE2078" i="83"/>
  <c r="AE2079" i="83"/>
  <c r="AE2080" i="83"/>
  <c r="AG2080" i="83" s="1"/>
  <c r="AH2080" i="83" s="1"/>
  <c r="AE2081" i="83"/>
  <c r="AG2081" i="83" s="1"/>
  <c r="AE2082" i="83"/>
  <c r="AG2082" i="83" s="1"/>
  <c r="AH2082" i="83" s="1"/>
  <c r="AE2083" i="83"/>
  <c r="AG2083" i="83" s="1"/>
  <c r="AH2083" i="83" s="1"/>
  <c r="AE2084" i="83"/>
  <c r="AE2085" i="83"/>
  <c r="AG2085" i="83" s="1"/>
  <c r="AH2085" i="83" s="1"/>
  <c r="AE2086" i="83"/>
  <c r="AE2087" i="83"/>
  <c r="AG2087" i="83" s="1"/>
  <c r="AH2087" i="83" s="1"/>
  <c r="AE2088" i="83"/>
  <c r="AG2088" i="83" s="1"/>
  <c r="AH2088" i="83" s="1"/>
  <c r="AE2089" i="83"/>
  <c r="AG2089" i="83"/>
  <c r="AE2090" i="83"/>
  <c r="AE2091" i="83"/>
  <c r="AG2091" i="83" s="1"/>
  <c r="AE2092" i="83"/>
  <c r="AE2093" i="83"/>
  <c r="AG2093" i="83"/>
  <c r="AH2093" i="83" s="1"/>
  <c r="AE2094" i="83"/>
  <c r="AE2095" i="83"/>
  <c r="AG2095" i="83"/>
  <c r="AJ2095" i="83" s="1"/>
  <c r="AE2096" i="83"/>
  <c r="AG2096" i="83" s="1"/>
  <c r="AH2096" i="83" s="1"/>
  <c r="AE2097" i="83"/>
  <c r="AG2097" i="83" s="1"/>
  <c r="AE2098" i="83"/>
  <c r="AE2099" i="83"/>
  <c r="AG2099" i="83" s="1"/>
  <c r="AH2099" i="83" s="1"/>
  <c r="AE2100" i="83"/>
  <c r="AG2100" i="83" s="1"/>
  <c r="AH2100" i="83" s="1"/>
  <c r="AE2101" i="83"/>
  <c r="AG2101" i="83" s="1"/>
  <c r="AE2102" i="83"/>
  <c r="AE2103" i="83"/>
  <c r="AG2103" i="83" s="1"/>
  <c r="AH2103" i="83" s="1"/>
  <c r="AE2104" i="83"/>
  <c r="AG2104" i="83" s="1"/>
  <c r="AH2104" i="83" s="1"/>
  <c r="AE2105" i="83"/>
  <c r="AG2105" i="83"/>
  <c r="AE2106" i="83"/>
  <c r="AE2107" i="83"/>
  <c r="AG2107" i="83" s="1"/>
  <c r="AH2107" i="83" s="1"/>
  <c r="AE2108" i="83"/>
  <c r="AE2109" i="83"/>
  <c r="AG2109" i="83" s="1"/>
  <c r="AE2110" i="83"/>
  <c r="AE2111" i="83"/>
  <c r="AG2111" i="83" s="1"/>
  <c r="AH2111" i="83" s="1"/>
  <c r="AE2112" i="83"/>
  <c r="AG2112" i="83" s="1"/>
  <c r="AH2112" i="83" s="1"/>
  <c r="AE2113" i="83"/>
  <c r="AG2113" i="83" s="1"/>
  <c r="AE2114" i="83"/>
  <c r="AE2115" i="83"/>
  <c r="AE2116" i="83"/>
  <c r="AE2117" i="83"/>
  <c r="AG2117" i="83" s="1"/>
  <c r="AE2118" i="83"/>
  <c r="AE2119" i="83"/>
  <c r="AG2119" i="83"/>
  <c r="AH2119" i="83" s="1"/>
  <c r="AJ2119" i="83"/>
  <c r="AK2119" i="83" s="1"/>
  <c r="AE2120" i="83"/>
  <c r="AG2120" i="83" s="1"/>
  <c r="AH2120" i="83" s="1"/>
  <c r="AE2121" i="83"/>
  <c r="AG2121" i="83" s="1"/>
  <c r="AE2122" i="83"/>
  <c r="AE2123" i="83"/>
  <c r="AE2124" i="83"/>
  <c r="AE2125" i="83"/>
  <c r="AG2125" i="83"/>
  <c r="AE2126" i="83"/>
  <c r="AE2127" i="83"/>
  <c r="AG2127" i="83" s="1"/>
  <c r="AH2127" i="83" s="1"/>
  <c r="AE2128" i="83"/>
  <c r="AG2128" i="83" s="1"/>
  <c r="AH2128" i="83" s="1"/>
  <c r="AE2129" i="83"/>
  <c r="AG2129" i="83" s="1"/>
  <c r="AE2130" i="83"/>
  <c r="AE2131" i="83"/>
  <c r="AE2132" i="83"/>
  <c r="AE2133" i="83"/>
  <c r="AG2133" i="83" s="1"/>
  <c r="AE2134" i="83"/>
  <c r="AE2135" i="83"/>
  <c r="AG2135" i="83" s="1"/>
  <c r="AH2135" i="83" s="1"/>
  <c r="AE2136" i="83"/>
  <c r="AG2136" i="83" s="1"/>
  <c r="AH2136" i="83" s="1"/>
  <c r="AE2137" i="83"/>
  <c r="AG2137" i="83" s="1"/>
  <c r="AE2138" i="83"/>
  <c r="AE2139" i="83"/>
  <c r="AG2139" i="83" s="1"/>
  <c r="AE2140" i="83"/>
  <c r="AE2141" i="83"/>
  <c r="AG2141" i="83" s="1"/>
  <c r="AE2142" i="83"/>
  <c r="AE2143" i="83"/>
  <c r="AG2143" i="83" s="1"/>
  <c r="AE2144" i="83"/>
  <c r="AG2144" i="83" s="1"/>
  <c r="AH2144" i="83" s="1"/>
  <c r="AE2145" i="83"/>
  <c r="AG2145" i="83" s="1"/>
  <c r="AE2146" i="83"/>
  <c r="AE2147" i="83"/>
  <c r="AG2147" i="83" s="1"/>
  <c r="AH2147" i="83" s="1"/>
  <c r="AE2148" i="83"/>
  <c r="AE2149" i="83"/>
  <c r="AG2149" i="83" s="1"/>
  <c r="AE2150" i="83"/>
  <c r="AE2151" i="83"/>
  <c r="AE2152" i="83"/>
  <c r="AG2152" i="83" s="1"/>
  <c r="AH2152" i="83" s="1"/>
  <c r="AE2153" i="83"/>
  <c r="AG2153" i="83" s="1"/>
  <c r="AE2154" i="83"/>
  <c r="AE2155" i="83"/>
  <c r="AG2155" i="83" s="1"/>
  <c r="AH2155" i="83" s="1"/>
  <c r="AE2156" i="83"/>
  <c r="AE2157" i="83"/>
  <c r="AG2157" i="83" s="1"/>
  <c r="AE2158" i="83"/>
  <c r="AE2159" i="83"/>
  <c r="AG2159" i="83" s="1"/>
  <c r="AH2159" i="83" s="1"/>
  <c r="AE2160" i="83"/>
  <c r="AG2160" i="83" s="1"/>
  <c r="AH2160" i="83" s="1"/>
  <c r="AE2161" i="83"/>
  <c r="AG2161" i="83" s="1"/>
  <c r="AE2162" i="83"/>
  <c r="AE2163" i="83"/>
  <c r="AG2163" i="83" s="1"/>
  <c r="AH2163" i="83" s="1"/>
  <c r="AE2164" i="83"/>
  <c r="AE2165" i="83"/>
  <c r="AG2165" i="83" s="1"/>
  <c r="AE2166" i="83"/>
  <c r="AE2167" i="83"/>
  <c r="AE2168" i="83"/>
  <c r="AG2168" i="83" s="1"/>
  <c r="AH2168" i="83" s="1"/>
  <c r="AE2169" i="83"/>
  <c r="AG2169" i="83" s="1"/>
  <c r="AE2170" i="83"/>
  <c r="AE2171" i="83"/>
  <c r="AG2171" i="83"/>
  <c r="AH2171" i="83" s="1"/>
  <c r="AE2172" i="83"/>
  <c r="AE2173" i="83"/>
  <c r="AG2173" i="83" s="1"/>
  <c r="AE2174" i="83"/>
  <c r="AE2175" i="83"/>
  <c r="AG2175" i="83" s="1"/>
  <c r="AH2175" i="83" s="1"/>
  <c r="AE2176" i="83"/>
  <c r="AG2176" i="83" s="1"/>
  <c r="AH2176" i="83" s="1"/>
  <c r="AE2177" i="83"/>
  <c r="AG2177" i="83" s="1"/>
  <c r="AE2178" i="83"/>
  <c r="AE2179" i="83"/>
  <c r="AE2180" i="83"/>
  <c r="AE2181" i="83"/>
  <c r="AG2181" i="83" s="1"/>
  <c r="AE2182" i="83"/>
  <c r="AE2183" i="83"/>
  <c r="AG2183" i="83" s="1"/>
  <c r="AH2183" i="83" s="1"/>
  <c r="AK2183" i="83"/>
  <c r="AE2184" i="83"/>
  <c r="AG2184" i="83" s="1"/>
  <c r="AH2184" i="83"/>
  <c r="AK2184" i="83"/>
  <c r="AE2185" i="83"/>
  <c r="AG2185" i="83" s="1"/>
  <c r="AE2186" i="83"/>
  <c r="AE2187" i="83"/>
  <c r="AG2187" i="83" s="1"/>
  <c r="AE2188" i="83"/>
  <c r="AE2189" i="83"/>
  <c r="AG2189" i="83"/>
  <c r="AE2190" i="83"/>
  <c r="AE2191" i="83"/>
  <c r="AG2191" i="83" s="1"/>
  <c r="AH2191" i="83" s="1"/>
  <c r="AE2192" i="83"/>
  <c r="AG2192" i="83" s="1"/>
  <c r="AH2192" i="83" s="1"/>
  <c r="AE2193" i="83"/>
  <c r="AG2193" i="83" s="1"/>
  <c r="AE2194" i="83"/>
  <c r="AK2194" i="83"/>
  <c r="AE2195" i="83"/>
  <c r="AG2195" i="83" s="1"/>
  <c r="AE2196" i="83"/>
  <c r="AE2197" i="83"/>
  <c r="AG2197" i="83" s="1"/>
  <c r="AE2198" i="83"/>
  <c r="AE2199" i="83"/>
  <c r="AG2199" i="83" s="1"/>
  <c r="AH2199" i="83" s="1"/>
  <c r="AE2200" i="83"/>
  <c r="AG2200" i="83" s="1"/>
  <c r="AH2200" i="83" s="1"/>
  <c r="AK2200" i="83"/>
  <c r="AE2201" i="83"/>
  <c r="AG2201" i="83" s="1"/>
  <c r="AK2201" i="83"/>
  <c r="AE2202" i="83"/>
  <c r="AK2202" i="83"/>
  <c r="AE2203" i="83"/>
  <c r="AG2203" i="83" s="1"/>
  <c r="AH2203" i="83" s="1"/>
  <c r="AK2203" i="83"/>
  <c r="AE2204" i="83"/>
  <c r="AK2204" i="83"/>
  <c r="AE2205" i="83"/>
  <c r="AG2205" i="83" s="1"/>
  <c r="AK2205" i="83"/>
  <c r="AE2206" i="83"/>
  <c r="AK2206" i="83"/>
  <c r="AE2207" i="83"/>
  <c r="AG2207" i="83"/>
  <c r="AH2207" i="83" s="1"/>
  <c r="AE2208" i="83"/>
  <c r="AG2208" i="83" s="1"/>
  <c r="AH2208" i="83" s="1"/>
  <c r="AE2209" i="83"/>
  <c r="AG2209" i="83" s="1"/>
  <c r="AE2210" i="83"/>
  <c r="AE2211" i="83"/>
  <c r="AG2211" i="83" s="1"/>
  <c r="AK2211" i="83"/>
  <c r="AE2212" i="83"/>
  <c r="AK2212" i="83"/>
  <c r="AE2213" i="83"/>
  <c r="AG2213" i="83"/>
  <c r="AK2213" i="83"/>
  <c r="AE2214" i="83"/>
  <c r="AE2215" i="83"/>
  <c r="AG2215" i="83" s="1"/>
  <c r="AH2215" i="83" s="1"/>
  <c r="AE2216" i="83"/>
  <c r="AG2216" i="83" s="1"/>
  <c r="AH2216" i="83" s="1"/>
  <c r="AK2216" i="83"/>
  <c r="AE2217" i="83"/>
  <c r="AG2217" i="83"/>
  <c r="AK2217" i="83"/>
  <c r="AE2218" i="83"/>
  <c r="AK2218" i="83"/>
  <c r="AE2219" i="83"/>
  <c r="AG2219" i="83" s="1"/>
  <c r="AH2219" i="83" s="1"/>
  <c r="AE2220" i="83"/>
  <c r="AK2220" i="83"/>
  <c r="AE2221" i="83"/>
  <c r="AG2221" i="83" s="1"/>
  <c r="AK2221" i="83"/>
  <c r="AE2222" i="83"/>
  <c r="AE2223" i="83"/>
  <c r="AG2223" i="83" s="1"/>
  <c r="AH2223" i="83" s="1"/>
  <c r="AE2224" i="83"/>
  <c r="AG2224" i="83" s="1"/>
  <c r="AH2224" i="83"/>
  <c r="AE2225" i="83"/>
  <c r="AG2225" i="83" s="1"/>
  <c r="AE2226" i="83"/>
  <c r="AE2227" i="83"/>
  <c r="AG2227" i="83" s="1"/>
  <c r="AH2227" i="83" s="1"/>
  <c r="AE2228" i="83"/>
  <c r="AE2229" i="83"/>
  <c r="AG2229" i="83" s="1"/>
  <c r="AE2230" i="83"/>
  <c r="AE2231" i="83"/>
  <c r="AG2231" i="83" s="1"/>
  <c r="AH2231" i="83" s="1"/>
  <c r="AE2232" i="83"/>
  <c r="AG2232" i="83" s="1"/>
  <c r="AH2232" i="83" s="1"/>
  <c r="AE2233" i="83"/>
  <c r="AG2233" i="83" s="1"/>
  <c r="AE2234" i="83"/>
  <c r="AE2235" i="83"/>
  <c r="AG2235" i="83" s="1"/>
  <c r="AH2235" i="83" s="1"/>
  <c r="AE2236" i="83"/>
  <c r="AE2237" i="83"/>
  <c r="AG2237" i="83"/>
  <c r="AE2238" i="83"/>
  <c r="AE2239" i="83"/>
  <c r="AG2239" i="83" s="1"/>
  <c r="AH2239" i="83" s="1"/>
  <c r="AE2240" i="83"/>
  <c r="AG2240" i="83" s="1"/>
  <c r="AH2240" i="83"/>
  <c r="AE2241" i="83"/>
  <c r="AG2241" i="83"/>
  <c r="AE2242" i="83"/>
  <c r="AE2243" i="83"/>
  <c r="AE2244" i="83"/>
  <c r="AE2245" i="83"/>
  <c r="AG2245" i="83" s="1"/>
  <c r="AE2246" i="83"/>
  <c r="AE2247" i="83"/>
  <c r="AG2247" i="83"/>
  <c r="AH2247" i="83" s="1"/>
  <c r="AE2248" i="83"/>
  <c r="AG2248" i="83" s="1"/>
  <c r="AH2248" i="83" s="1"/>
  <c r="AE2249" i="83"/>
  <c r="AG2249" i="83" s="1"/>
  <c r="AE2250" i="83"/>
  <c r="AE2251" i="83"/>
  <c r="AG2251" i="83"/>
  <c r="AH2251" i="83" s="1"/>
  <c r="AE2252" i="83"/>
  <c r="AE2253" i="83"/>
  <c r="AG2253" i="83" s="1"/>
  <c r="AE2254" i="83"/>
  <c r="AE2255" i="83"/>
  <c r="AG2255" i="83" s="1"/>
  <c r="AE2256" i="83"/>
  <c r="AE2257" i="83"/>
  <c r="AE2258" i="83"/>
  <c r="AE2259" i="83"/>
  <c r="AE2260" i="83"/>
  <c r="AE2261" i="83"/>
  <c r="AG2261" i="83" s="1"/>
  <c r="AE2262" i="83"/>
  <c r="AE2263" i="83"/>
  <c r="AG2263" i="83" s="1"/>
  <c r="AH2263" i="83" s="1"/>
  <c r="AE2264" i="83"/>
  <c r="AE2265" i="83"/>
  <c r="AG2265" i="83" s="1"/>
  <c r="AH2265" i="83" s="1"/>
  <c r="AE2266" i="83"/>
  <c r="AE2267" i="83"/>
  <c r="AG2267" i="83" s="1"/>
  <c r="AE2268" i="83"/>
  <c r="AE2269" i="83"/>
  <c r="AG2269" i="83" s="1"/>
  <c r="AE2270" i="83"/>
  <c r="AE2271" i="83"/>
  <c r="AG2271" i="83" s="1"/>
  <c r="AH2271" i="83" s="1"/>
  <c r="AE2272" i="83"/>
  <c r="AE2273" i="83"/>
  <c r="AG2273" i="83" s="1"/>
  <c r="AH2273" i="83" s="1"/>
  <c r="AJ2273" i="83"/>
  <c r="AK2273" i="83" s="1"/>
  <c r="AE2274" i="83"/>
  <c r="AE2275" i="83"/>
  <c r="AG2275" i="83" s="1"/>
  <c r="AH2275" i="83" s="1"/>
  <c r="AE2276" i="83"/>
  <c r="AE2277" i="83"/>
  <c r="AG2277" i="83" s="1"/>
  <c r="AE2278" i="83"/>
  <c r="AE2279" i="83"/>
  <c r="AG2279" i="83" s="1"/>
  <c r="AH2279" i="83" s="1"/>
  <c r="AE2280" i="83"/>
  <c r="AE2281" i="83"/>
  <c r="AG2281" i="83" s="1"/>
  <c r="AH2281" i="83" s="1"/>
  <c r="AE2282" i="83"/>
  <c r="AE2283" i="83"/>
  <c r="AG2283" i="83" s="1"/>
  <c r="AH2283" i="83" s="1"/>
  <c r="AE2284" i="83"/>
  <c r="AE2285" i="83"/>
  <c r="AG2285" i="83" s="1"/>
  <c r="AE2286" i="83"/>
  <c r="AE2287" i="83"/>
  <c r="AG2287" i="83" s="1"/>
  <c r="AH2287" i="83" s="1"/>
  <c r="AE2288" i="83"/>
  <c r="AE2289" i="83"/>
  <c r="AG2289" i="83" s="1"/>
  <c r="AE2290" i="83"/>
  <c r="AE2291" i="83"/>
  <c r="AG2291" i="83" s="1"/>
  <c r="AH2291" i="83" s="1"/>
  <c r="AE2292" i="83"/>
  <c r="AE2293" i="83"/>
  <c r="AG2293" i="83" s="1"/>
  <c r="AE2294" i="83"/>
  <c r="AE2295" i="83"/>
  <c r="AG2295" i="83"/>
  <c r="AH2295" i="83" s="1"/>
  <c r="AE2296" i="83"/>
  <c r="AE2297" i="83"/>
  <c r="AG2297" i="83" s="1"/>
  <c r="AE2298" i="83"/>
  <c r="AE2299" i="83"/>
  <c r="AG2299" i="83" s="1"/>
  <c r="AH2299" i="83" s="1"/>
  <c r="AE2300" i="83"/>
  <c r="AE2301" i="83"/>
  <c r="AG2301" i="83" s="1"/>
  <c r="AE2302" i="83"/>
  <c r="AE2303" i="83"/>
  <c r="AG2303" i="83"/>
  <c r="AH2303" i="83" s="1"/>
  <c r="AE2304" i="83"/>
  <c r="AE2305" i="83"/>
  <c r="AG2305" i="83" s="1"/>
  <c r="AE2306" i="83"/>
  <c r="AE2307" i="83"/>
  <c r="AG2307" i="83" s="1"/>
  <c r="AH2307" i="83" s="1"/>
  <c r="AE2308" i="83"/>
  <c r="AE2309" i="83"/>
  <c r="AG2309" i="83" s="1"/>
  <c r="AE2310" i="83"/>
  <c r="AE2311" i="83"/>
  <c r="AG2311" i="83" s="1"/>
  <c r="AH2311" i="83" s="1"/>
  <c r="AE2312" i="83"/>
  <c r="AE2313" i="83"/>
  <c r="AG2313" i="83" s="1"/>
  <c r="AH2313" i="83" s="1"/>
  <c r="AE2314" i="83"/>
  <c r="AE2315" i="83"/>
  <c r="AE2316" i="83"/>
  <c r="AE2317" i="83"/>
  <c r="AG2317" i="83" s="1"/>
  <c r="AE2318" i="83"/>
  <c r="AE2319" i="83"/>
  <c r="AG2319" i="83" s="1"/>
  <c r="AH2319" i="83" s="1"/>
  <c r="AE2320" i="83"/>
  <c r="AE2321" i="83"/>
  <c r="AG2321" i="83" s="1"/>
  <c r="AH2321" i="83" s="1"/>
  <c r="AE2322" i="83"/>
  <c r="AE2323" i="83"/>
  <c r="AG2323" i="83" s="1"/>
  <c r="AH2323" i="83" s="1"/>
  <c r="AE2324" i="83"/>
  <c r="AE2325" i="83"/>
  <c r="AG2325" i="83"/>
  <c r="AE2326" i="83"/>
  <c r="AE2327" i="83"/>
  <c r="AG2327" i="83" s="1"/>
  <c r="AH2327" i="83" s="1"/>
  <c r="AE2328" i="83"/>
  <c r="AE2329" i="83"/>
  <c r="AG2329" i="83" s="1"/>
  <c r="AH2329" i="83" s="1"/>
  <c r="AE2330" i="83"/>
  <c r="AG2330" i="83" s="1"/>
  <c r="AH2330" i="83" s="1"/>
  <c r="AJ2330" i="83"/>
  <c r="AE2331" i="83"/>
  <c r="AG2331" i="83" s="1"/>
  <c r="AH2331" i="83" s="1"/>
  <c r="AE2332" i="83"/>
  <c r="AG2332" i="83" s="1"/>
  <c r="AH2332" i="83" s="1"/>
  <c r="AE2333" i="83"/>
  <c r="AG2333" i="83" s="1"/>
  <c r="AH2333" i="83" s="1"/>
  <c r="AE2334" i="83"/>
  <c r="AE2335" i="83"/>
  <c r="AG2335" i="83" s="1"/>
  <c r="AH2335" i="83" s="1"/>
  <c r="AE2336" i="83"/>
  <c r="AE2337" i="83"/>
  <c r="AG2337" i="83" s="1"/>
  <c r="AH2337" i="83" s="1"/>
  <c r="AE2338" i="83"/>
  <c r="AG2338" i="83" s="1"/>
  <c r="AH2338" i="83"/>
  <c r="AE2339" i="83"/>
  <c r="AG2339" i="83" s="1"/>
  <c r="AH2339" i="83" s="1"/>
  <c r="AE2340" i="83"/>
  <c r="AE2341" i="83"/>
  <c r="AG2341" i="83" s="1"/>
  <c r="AH2341" i="83" s="1"/>
  <c r="AE2342" i="83"/>
  <c r="AE2343" i="83"/>
  <c r="AG2343" i="83"/>
  <c r="AH2343" i="83" s="1"/>
  <c r="AE2344" i="83"/>
  <c r="AE2345" i="83"/>
  <c r="AG2345" i="83" s="1"/>
  <c r="AE2346" i="83"/>
  <c r="AG2346" i="83" s="1"/>
  <c r="AH2346" i="83" s="1"/>
  <c r="AJ2346" i="83"/>
  <c r="AK2346" i="83" s="1"/>
  <c r="AE2347" i="83"/>
  <c r="AG2347" i="83" s="1"/>
  <c r="AH2347" i="83" s="1"/>
  <c r="AE2348" i="83"/>
  <c r="AG2348" i="83" s="1"/>
  <c r="AH2348" i="83" s="1"/>
  <c r="AE2349" i="83"/>
  <c r="AG2349" i="83" s="1"/>
  <c r="AE2350" i="83"/>
  <c r="AG2350" i="83" s="1"/>
  <c r="AH2350" i="83" s="1"/>
  <c r="AE2351" i="83"/>
  <c r="AG2351" i="83" s="1"/>
  <c r="AE2352" i="83"/>
  <c r="AE2353" i="83"/>
  <c r="AG2353" i="83" s="1"/>
  <c r="AH2353" i="83" s="1"/>
  <c r="AE2354" i="83"/>
  <c r="AE2355" i="83"/>
  <c r="AG2355" i="83" s="1"/>
  <c r="AH2355" i="83" s="1"/>
  <c r="AE2356" i="83"/>
  <c r="AG2356" i="83"/>
  <c r="AH2356" i="83" s="1"/>
  <c r="AE2357" i="83"/>
  <c r="AG2357" i="83" s="1"/>
  <c r="AH2357" i="83" s="1"/>
  <c r="AE2358" i="83"/>
  <c r="AE2359" i="83"/>
  <c r="AG2359" i="83" s="1"/>
  <c r="AH2359" i="83" s="1"/>
  <c r="AE2360" i="83"/>
  <c r="AG2360" i="83" s="1"/>
  <c r="AE2361" i="83"/>
  <c r="AE2362" i="83"/>
  <c r="AG2362" i="83" s="1"/>
  <c r="AH2362" i="83" s="1"/>
  <c r="AE2363" i="83"/>
  <c r="AG2363" i="83" s="1"/>
  <c r="AE2364" i="83"/>
  <c r="AG2364" i="83" s="1"/>
  <c r="AH2364" i="83" s="1"/>
  <c r="AE2365" i="83"/>
  <c r="AE2366" i="83"/>
  <c r="AG2366" i="83" s="1"/>
  <c r="AH2366" i="83" s="1"/>
  <c r="AE2367" i="83"/>
  <c r="AG2367" i="83" s="1"/>
  <c r="AE2368" i="83"/>
  <c r="AG2368" i="83" s="1"/>
  <c r="AH2368" i="83" s="1"/>
  <c r="AE2369" i="83"/>
  <c r="AG2369" i="83" s="1"/>
  <c r="AH2369" i="83" s="1"/>
  <c r="AE2370" i="83"/>
  <c r="AE2371" i="83"/>
  <c r="AG2371" i="83" s="1"/>
  <c r="AH2371" i="83" s="1"/>
  <c r="AE2372" i="83"/>
  <c r="AG2372" i="83" s="1"/>
  <c r="AH2372" i="83" s="1"/>
  <c r="AE2373" i="83"/>
  <c r="AG2373" i="83" s="1"/>
  <c r="AH2373" i="83" s="1"/>
  <c r="AE2374" i="83"/>
  <c r="AG2374" i="83" s="1"/>
  <c r="AH2374" i="83" s="1"/>
  <c r="AE2375" i="83"/>
  <c r="AG2375" i="83" s="1"/>
  <c r="AH2375" i="83" s="1"/>
  <c r="AE2376" i="83"/>
  <c r="AG2376" i="83" s="1"/>
  <c r="AE2377" i="83"/>
  <c r="AE2378" i="83"/>
  <c r="AG2378" i="83" s="1"/>
  <c r="AH2378" i="83" s="1"/>
  <c r="AE2379" i="83"/>
  <c r="AG2379" i="83"/>
  <c r="AJ2379" i="83" s="1"/>
  <c r="AE2380" i="83"/>
  <c r="AG2380" i="83" s="1"/>
  <c r="AH2380" i="83" s="1"/>
  <c r="AE2381" i="83"/>
  <c r="AG2381" i="83" s="1"/>
  <c r="AE2382" i="83"/>
  <c r="AG2382" i="83" s="1"/>
  <c r="AH2382" i="83"/>
  <c r="AE2383" i="83"/>
  <c r="AG2383" i="83" s="1"/>
  <c r="AE2384" i="83"/>
  <c r="AG2384" i="83" s="1"/>
  <c r="AH2384" i="83" s="1"/>
  <c r="AE2385" i="83"/>
  <c r="AG2385" i="83" s="1"/>
  <c r="AH2385" i="83" s="1"/>
  <c r="AE2386" i="83"/>
  <c r="AE2387" i="83"/>
  <c r="AG2387" i="83"/>
  <c r="AH2387" i="83" s="1"/>
  <c r="AE2388" i="83"/>
  <c r="AG2388" i="83" s="1"/>
  <c r="AH2388" i="83" s="1"/>
  <c r="AE2389" i="83"/>
  <c r="AG2389" i="83" s="1"/>
  <c r="AH2389" i="83" s="1"/>
  <c r="AE2390" i="83"/>
  <c r="AG2390" i="83" s="1"/>
  <c r="AH2390" i="83" s="1"/>
  <c r="AE2391" i="83"/>
  <c r="AG2391" i="83"/>
  <c r="AH2391" i="83" s="1"/>
  <c r="AE2392" i="83"/>
  <c r="AG2392" i="83" s="1"/>
  <c r="AE2393" i="83"/>
  <c r="AE2394" i="83"/>
  <c r="AG2394" i="83" s="1"/>
  <c r="AH2394" i="83" s="1"/>
  <c r="AE2395" i="83"/>
  <c r="AG2395" i="83"/>
  <c r="AH2395" i="83" s="1"/>
  <c r="AE2396" i="83"/>
  <c r="AG2396" i="83" s="1"/>
  <c r="AH2396" i="83" s="1"/>
  <c r="AE2397" i="83"/>
  <c r="AG2397" i="83" s="1"/>
  <c r="AH2397" i="83" s="1"/>
  <c r="AE2398" i="83"/>
  <c r="AG2398" i="83" s="1"/>
  <c r="AH2398" i="83"/>
  <c r="AE2399" i="83"/>
  <c r="AG2399" i="83" s="1"/>
  <c r="AE2400" i="83"/>
  <c r="AG2400" i="83" s="1"/>
  <c r="AH2400" i="83" s="1"/>
  <c r="AE2401" i="83"/>
  <c r="AG2401" i="83"/>
  <c r="AH2401" i="83" s="1"/>
  <c r="AE2402" i="83"/>
  <c r="AE2403" i="83"/>
  <c r="AE2404" i="83"/>
  <c r="AG2404" i="83" s="1"/>
  <c r="AH2404" i="83" s="1"/>
  <c r="AE2405" i="83"/>
  <c r="AG2405" i="83" s="1"/>
  <c r="AH2405" i="83" s="1"/>
  <c r="AE2406" i="83"/>
  <c r="AG2406" i="83" s="1"/>
  <c r="AH2406" i="83" s="1"/>
  <c r="AE2407" i="83"/>
  <c r="AG2407" i="83" s="1"/>
  <c r="AE2408" i="83"/>
  <c r="AG2408" i="83" s="1"/>
  <c r="AH2408" i="83" s="1"/>
  <c r="AE2409" i="83"/>
  <c r="AG2409" i="83" s="1"/>
  <c r="AE2410" i="83"/>
  <c r="AE2411" i="83"/>
  <c r="AG2411" i="83" s="1"/>
  <c r="AH2411" i="83" s="1"/>
  <c r="AE2412" i="83"/>
  <c r="AG2412" i="83" s="1"/>
  <c r="AH2412" i="83" s="1"/>
  <c r="AE2413" i="83"/>
  <c r="AG2413" i="83" s="1"/>
  <c r="AH2413" i="83" s="1"/>
  <c r="AE2414" i="83"/>
  <c r="AG2414" i="83"/>
  <c r="AH2414" i="83" s="1"/>
  <c r="AE2415" i="83"/>
  <c r="AG2415" i="83" s="1"/>
  <c r="AH2415" i="83" s="1"/>
  <c r="AE2416" i="83"/>
  <c r="AG2416" i="83" s="1"/>
  <c r="AH2416" i="83" s="1"/>
  <c r="AE2417" i="83"/>
  <c r="AG2417" i="83" s="1"/>
  <c r="AE2418" i="83"/>
  <c r="AE2419" i="83"/>
  <c r="AG2419" i="83" s="1"/>
  <c r="AH2419" i="83" s="1"/>
  <c r="AE2420" i="83"/>
  <c r="AG2420" i="83" s="1"/>
  <c r="AE2421" i="83"/>
  <c r="AG2421" i="83" s="1"/>
  <c r="AH2421" i="83" s="1"/>
  <c r="AE2422" i="83"/>
  <c r="AG2422" i="83" s="1"/>
  <c r="AH2422" i="83" s="1"/>
  <c r="AE2423" i="83"/>
  <c r="AG2423" i="83" s="1"/>
  <c r="AH2423" i="83" s="1"/>
  <c r="AE2424" i="83"/>
  <c r="AG2424" i="83" s="1"/>
  <c r="AH2424" i="83" s="1"/>
  <c r="AE2425" i="83"/>
  <c r="AG2425" i="83" s="1"/>
  <c r="AH2425" i="83" s="1"/>
  <c r="AE2426" i="83"/>
  <c r="AE2427" i="83"/>
  <c r="AG2427" i="83" s="1"/>
  <c r="AH2427" i="83" s="1"/>
  <c r="AJ2427" i="83"/>
  <c r="AK2427" i="83" s="1"/>
  <c r="AE2428" i="83"/>
  <c r="AG2428" i="83" s="1"/>
  <c r="AH2428" i="83" s="1"/>
  <c r="AE2429" i="83"/>
  <c r="AG2429" i="83" s="1"/>
  <c r="AH2429" i="83" s="1"/>
  <c r="AE2430" i="83"/>
  <c r="AG2430" i="83"/>
  <c r="AH2430" i="83" s="1"/>
  <c r="AE2431" i="83"/>
  <c r="AG2431" i="83" s="1"/>
  <c r="AE2432" i="83"/>
  <c r="AG2432" i="83" s="1"/>
  <c r="AH2432" i="83" s="1"/>
  <c r="AE2433" i="83"/>
  <c r="AG2433" i="83" s="1"/>
  <c r="AH2433" i="83" s="1"/>
  <c r="AE2434" i="83"/>
  <c r="AE2435" i="83"/>
  <c r="AG2435" i="83" s="1"/>
  <c r="AH2435" i="83" s="1"/>
  <c r="AE2436" i="83"/>
  <c r="AG2436" i="83"/>
  <c r="AH2436" i="83" s="1"/>
  <c r="AE2437" i="83"/>
  <c r="AG2437" i="83" s="1"/>
  <c r="AH2437" i="83" s="1"/>
  <c r="AE2438" i="83"/>
  <c r="AG2438" i="83" s="1"/>
  <c r="AH2438" i="83" s="1"/>
  <c r="AE2439" i="83"/>
  <c r="AG2439" i="83" s="1"/>
  <c r="AH2439" i="83" s="1"/>
  <c r="AE2440" i="83"/>
  <c r="AG2440" i="83" s="1"/>
  <c r="AH2440" i="83" s="1"/>
  <c r="AE2441" i="83"/>
  <c r="AG2441" i="83" s="1"/>
  <c r="AH2441" i="83" s="1"/>
  <c r="AE2442" i="83"/>
  <c r="AE2443" i="83"/>
  <c r="AG2443" i="83" s="1"/>
  <c r="AH2443" i="83" s="1"/>
  <c r="AE2444" i="83"/>
  <c r="AG2444" i="83" s="1"/>
  <c r="AE2445" i="83"/>
  <c r="AG2445" i="83" s="1"/>
  <c r="AH2445" i="83" s="1"/>
  <c r="AE2446" i="83"/>
  <c r="AG2446" i="83" s="1"/>
  <c r="AH2446" i="83" s="1"/>
  <c r="AE2447" i="83"/>
  <c r="AG2447" i="83"/>
  <c r="AH2447" i="83" s="1"/>
  <c r="AE2448" i="83"/>
  <c r="AG2448" i="83" s="1"/>
  <c r="AH2448" i="83" s="1"/>
  <c r="AE2449" i="83"/>
  <c r="AG2449" i="83" s="1"/>
  <c r="AE2450" i="83"/>
  <c r="AE2451" i="83"/>
  <c r="AG2451" i="83" s="1"/>
  <c r="AH2451" i="83" s="1"/>
  <c r="AE2452" i="83"/>
  <c r="AG2452" i="83" s="1"/>
  <c r="AH2452" i="83" s="1"/>
  <c r="AJ2452" i="83"/>
  <c r="AE2453" i="83"/>
  <c r="AE2454" i="83"/>
  <c r="AG2454" i="83" s="1"/>
  <c r="AE2455" i="83"/>
  <c r="AG2455" i="83" s="1"/>
  <c r="AE2456" i="83"/>
  <c r="AG2456" i="83" s="1"/>
  <c r="AH2456" i="83" s="1"/>
  <c r="AE2457" i="83"/>
  <c r="AG2457" i="83" s="1"/>
  <c r="AH2457" i="83" s="1"/>
  <c r="AE2458" i="83"/>
  <c r="AE2459" i="83"/>
  <c r="AG2459" i="83" s="1"/>
  <c r="AH2459" i="83" s="1"/>
  <c r="AJ2459" i="83"/>
  <c r="AK2459" i="83" s="1"/>
  <c r="AE2460" i="83"/>
  <c r="AG2460" i="83"/>
  <c r="AH2460" i="83" s="1"/>
  <c r="AE2461" i="83"/>
  <c r="AG2461" i="83"/>
  <c r="AH2461" i="83" s="1"/>
  <c r="AE2462" i="83"/>
  <c r="AG2462" i="83" s="1"/>
  <c r="AE2463" i="83"/>
  <c r="AG2463" i="83" s="1"/>
  <c r="AE2464" i="83"/>
  <c r="AG2464" i="83" s="1"/>
  <c r="AH2464" i="83"/>
  <c r="AE2465" i="83"/>
  <c r="AG2465" i="83" s="1"/>
  <c r="AH2465" i="83" s="1"/>
  <c r="AE2466" i="83"/>
  <c r="AE2467" i="83"/>
  <c r="AG2467" i="83" s="1"/>
  <c r="AH2467" i="83" s="1"/>
  <c r="AE2468" i="83"/>
  <c r="AG2468" i="83" s="1"/>
  <c r="AE2469" i="83"/>
  <c r="AG2469" i="83"/>
  <c r="AH2469" i="83" s="1"/>
  <c r="AE2470" i="83"/>
  <c r="AG2470" i="83" s="1"/>
  <c r="AE2471" i="83"/>
  <c r="AG2471" i="83" s="1"/>
  <c r="AH2471" i="83" s="1"/>
  <c r="AE2472" i="83"/>
  <c r="AG2472" i="83" s="1"/>
  <c r="AH2472" i="83" s="1"/>
  <c r="AE2473" i="83"/>
  <c r="AG2473" i="83" s="1"/>
  <c r="AE2474" i="83"/>
  <c r="AE2475" i="83"/>
  <c r="AG2475" i="83" s="1"/>
  <c r="AH2475" i="83" s="1"/>
  <c r="AE2476" i="83"/>
  <c r="AG2476" i="83" s="1"/>
  <c r="AH2476" i="83" s="1"/>
  <c r="AE2477" i="83"/>
  <c r="AG2477" i="83" s="1"/>
  <c r="AH2477" i="83" s="1"/>
  <c r="AE2478" i="83"/>
  <c r="AG2478" i="83"/>
  <c r="AE2479" i="83"/>
  <c r="AG2479" i="83"/>
  <c r="AH2479" i="83" s="1"/>
  <c r="AE2480" i="83"/>
  <c r="AG2480" i="83" s="1"/>
  <c r="AH2480" i="83" s="1"/>
  <c r="AE2481" i="83"/>
  <c r="AJ2481" i="83" s="1"/>
  <c r="AG2481" i="83"/>
  <c r="AH2481" i="83" s="1"/>
  <c r="AE2482" i="83"/>
  <c r="AE2483" i="83"/>
  <c r="AG2483" i="83" s="1"/>
  <c r="AH2483" i="83" s="1"/>
  <c r="AJ2483" i="83"/>
  <c r="AK2483" i="83" s="1"/>
  <c r="AE2484" i="83"/>
  <c r="AG2484" i="83" s="1"/>
  <c r="AE2485" i="83"/>
  <c r="AG2485" i="83" s="1"/>
  <c r="AH2485" i="83" s="1"/>
  <c r="AE2486" i="83"/>
  <c r="AG2486" i="83" s="1"/>
  <c r="AE2487" i="83"/>
  <c r="AG2487" i="83" s="1"/>
  <c r="AH2487" i="83" s="1"/>
  <c r="AE2488" i="83"/>
  <c r="AG2488" i="83" s="1"/>
  <c r="AH2488" i="83" s="1"/>
  <c r="AE2489" i="83"/>
  <c r="AG2489" i="83" s="1"/>
  <c r="AH2489" i="83" s="1"/>
  <c r="AE2490" i="83"/>
  <c r="AE2491" i="83"/>
  <c r="AG2491" i="83" s="1"/>
  <c r="AH2491" i="83" s="1"/>
  <c r="AE2492" i="83"/>
  <c r="AG2492" i="83" s="1"/>
  <c r="AH2492" i="83" s="1"/>
  <c r="AE2493" i="83"/>
  <c r="AG2493" i="83" s="1"/>
  <c r="AH2493" i="83" s="1"/>
  <c r="AE2494" i="83"/>
  <c r="AG2494" i="83" s="1"/>
  <c r="AE2495" i="83"/>
  <c r="AG2495" i="83" s="1"/>
  <c r="AE2496" i="83"/>
  <c r="AG2496" i="83" s="1"/>
  <c r="AH2496" i="83" s="1"/>
  <c r="AE2497" i="83"/>
  <c r="AG2497" i="83" s="1"/>
  <c r="AH2497" i="83"/>
  <c r="AE2498" i="83"/>
  <c r="AE2499" i="83"/>
  <c r="AG2499" i="83" s="1"/>
  <c r="AH2499" i="83" s="1"/>
  <c r="AE2500" i="83"/>
  <c r="AG2500" i="83" s="1"/>
  <c r="AH2500" i="83" s="1"/>
  <c r="AE2501" i="83"/>
  <c r="AG2501" i="83" s="1"/>
  <c r="AH2501" i="83" s="1"/>
  <c r="AE2502" i="83"/>
  <c r="AG2502" i="83" s="1"/>
  <c r="AE2503" i="83"/>
  <c r="AG2503" i="83" s="1"/>
  <c r="AH2503" i="83" s="1"/>
  <c r="AE2504" i="83"/>
  <c r="AG2504" i="83" s="1"/>
  <c r="AH2504" i="83"/>
  <c r="AE2505" i="83"/>
  <c r="AE2506" i="83"/>
  <c r="AE2507" i="83"/>
  <c r="AG2507" i="83" s="1"/>
  <c r="AH2507" i="83" s="1"/>
  <c r="AE2508" i="83"/>
  <c r="AG2508" i="83"/>
  <c r="AH2508" i="83" s="1"/>
  <c r="AE2509" i="83"/>
  <c r="AG2509" i="83"/>
  <c r="AH2509" i="83" s="1"/>
  <c r="AE2510" i="83"/>
  <c r="AG2510" i="83" s="1"/>
  <c r="AE2511" i="83"/>
  <c r="AG2511" i="83" s="1"/>
  <c r="AH2511" i="83" s="1"/>
  <c r="AE2512" i="83"/>
  <c r="AG2512" i="83" s="1"/>
  <c r="AH2512" i="83" s="1"/>
  <c r="AE2513" i="83"/>
  <c r="AE2514" i="83"/>
  <c r="AE2515" i="83"/>
  <c r="AG2515" i="83" s="1"/>
  <c r="AH2515" i="83" s="1"/>
  <c r="AE2516" i="83"/>
  <c r="AG2516" i="83" s="1"/>
  <c r="AH2516" i="83" s="1"/>
  <c r="AE2517" i="83"/>
  <c r="AG2517" i="83" s="1"/>
  <c r="AH2517" i="83" s="1"/>
  <c r="AE2518" i="83"/>
  <c r="AG2518" i="83"/>
  <c r="AE2519" i="83"/>
  <c r="AG2519" i="83"/>
  <c r="AH2519" i="83" s="1"/>
  <c r="AE2520" i="83"/>
  <c r="AG2520" i="83" s="1"/>
  <c r="AH2520" i="83" s="1"/>
  <c r="AE2521" i="83"/>
  <c r="AE2522" i="83"/>
  <c r="AE2523" i="83"/>
  <c r="AG2523" i="83" s="1"/>
  <c r="AH2523" i="83" s="1"/>
  <c r="AE2524" i="83"/>
  <c r="AG2524" i="83"/>
  <c r="AH2524" i="83" s="1"/>
  <c r="AE2525" i="83"/>
  <c r="AG2525" i="83" s="1"/>
  <c r="AH2525" i="83" s="1"/>
  <c r="AE2526" i="83"/>
  <c r="AG2526" i="83" s="1"/>
  <c r="AE2527" i="83"/>
  <c r="AG2527" i="83" s="1"/>
  <c r="AH2527" i="83" s="1"/>
  <c r="AE2528" i="83"/>
  <c r="AG2528" i="83" s="1"/>
  <c r="AH2528" i="83" s="1"/>
  <c r="AE2529" i="83"/>
  <c r="AG2529" i="83" s="1"/>
  <c r="AH2529" i="83" s="1"/>
  <c r="AE2530" i="83"/>
  <c r="AE2531" i="83"/>
  <c r="AG2531" i="83" s="1"/>
  <c r="AH2531" i="83" s="1"/>
  <c r="AE2532" i="83"/>
  <c r="AG2532" i="83"/>
  <c r="AH2532" i="83" s="1"/>
  <c r="AJ2532" i="83"/>
  <c r="AE2533" i="83"/>
  <c r="AG2533" i="83" s="1"/>
  <c r="AH2533" i="83" s="1"/>
  <c r="AE2534" i="83"/>
  <c r="AG2534" i="83" s="1"/>
  <c r="AE2535" i="83"/>
  <c r="AG2535" i="83" s="1"/>
  <c r="AE2536" i="83"/>
  <c r="AG2536" i="83" s="1"/>
  <c r="AH2536" i="83" s="1"/>
  <c r="AE2537" i="83"/>
  <c r="AG2537" i="83" s="1"/>
  <c r="AH2537" i="83" s="1"/>
  <c r="AE2538" i="83"/>
  <c r="AE2539" i="83"/>
  <c r="AG2539" i="83" s="1"/>
  <c r="AH2539" i="83" s="1"/>
  <c r="AE2540" i="83"/>
  <c r="AG2540" i="83" s="1"/>
  <c r="AH2540" i="83" s="1"/>
  <c r="AE2541" i="83"/>
  <c r="AG2541" i="83"/>
  <c r="AH2541" i="83" s="1"/>
  <c r="AE2542" i="83"/>
  <c r="AG2542" i="83" s="1"/>
  <c r="AE2543" i="83"/>
  <c r="AG2543" i="83" s="1"/>
  <c r="AH2543" i="83" s="1"/>
  <c r="AJ2543" i="83"/>
  <c r="AK2543" i="83" s="1"/>
  <c r="AE2544" i="83"/>
  <c r="AG2544" i="83" s="1"/>
  <c r="AH2544" i="83" s="1"/>
  <c r="AE2545" i="83"/>
  <c r="AG2545" i="83" s="1"/>
  <c r="AE2546" i="83"/>
  <c r="AE2547" i="83"/>
  <c r="AG2547" i="83" s="1"/>
  <c r="AH2547" i="83" s="1"/>
  <c r="AE2548" i="83"/>
  <c r="AG2548" i="83"/>
  <c r="AH2548" i="83"/>
  <c r="AE2549" i="83"/>
  <c r="AG2549" i="83" s="1"/>
  <c r="AH2549" i="83" s="1"/>
  <c r="AE2550" i="83"/>
  <c r="AG2550" i="83" s="1"/>
  <c r="AE2551" i="83"/>
  <c r="AG2551" i="83"/>
  <c r="AH2551" i="83" s="1"/>
  <c r="AE2552" i="83"/>
  <c r="AE2553" i="83"/>
  <c r="AG2553" i="83" s="1"/>
  <c r="AH2553" i="83" s="1"/>
  <c r="AE2554" i="83"/>
  <c r="AE2555" i="83"/>
  <c r="AG2555" i="83" s="1"/>
  <c r="AE2556" i="83"/>
  <c r="AG2556" i="83"/>
  <c r="AH2556" i="83" s="1"/>
  <c r="AJ2556" i="83"/>
  <c r="AK2556" i="83" s="1"/>
  <c r="AE2557" i="83"/>
  <c r="AG2557" i="83"/>
  <c r="AH2557" i="83" s="1"/>
  <c r="AE2558" i="83"/>
  <c r="AG2558" i="83"/>
  <c r="AJ2558" i="83" s="1"/>
  <c r="AE2559" i="83"/>
  <c r="AG2559" i="83"/>
  <c r="AH2559" i="83" s="1"/>
  <c r="AE2560" i="83"/>
  <c r="AE2561" i="83"/>
  <c r="AG2561" i="83"/>
  <c r="AH2561" i="83"/>
  <c r="AJ2561" i="83"/>
  <c r="AE2562" i="83"/>
  <c r="AE2563" i="83"/>
  <c r="AG2563" i="83" s="1"/>
  <c r="AH2563" i="83" s="1"/>
  <c r="AE2564" i="83"/>
  <c r="AG2564" i="83"/>
  <c r="AH2564" i="83" s="1"/>
  <c r="AE2565" i="83"/>
  <c r="AG2565" i="83"/>
  <c r="AH2565" i="83" s="1"/>
  <c r="AE2566" i="83"/>
  <c r="AG2566" i="83" s="1"/>
  <c r="AE2567" i="83"/>
  <c r="AG2567" i="83" s="1"/>
  <c r="AH2567" i="83" s="1"/>
  <c r="AE2568" i="83"/>
  <c r="AE2569" i="83"/>
  <c r="AE2570" i="83"/>
  <c r="AE2571" i="83"/>
  <c r="AG2571" i="83" s="1"/>
  <c r="AH2571" i="83" s="1"/>
  <c r="AE2572" i="83"/>
  <c r="AG2572" i="83" s="1"/>
  <c r="AH2572" i="83" s="1"/>
  <c r="AE2573" i="83"/>
  <c r="AG2573" i="83"/>
  <c r="AH2573" i="83" s="1"/>
  <c r="AE2574" i="83"/>
  <c r="AG2574" i="83"/>
  <c r="AJ2574" i="83" s="1"/>
  <c r="AE2575" i="83"/>
  <c r="AG2575" i="83" s="1"/>
  <c r="AH2575" i="83" s="1"/>
  <c r="AE2576" i="83"/>
  <c r="AE2577" i="83"/>
  <c r="AG2577" i="83" s="1"/>
  <c r="AH2577" i="83" s="1"/>
  <c r="AE2578" i="83"/>
  <c r="AE2579" i="83"/>
  <c r="AG2579" i="83" s="1"/>
  <c r="AE2580" i="83"/>
  <c r="AG2580" i="83"/>
  <c r="AH2580" i="83" s="1"/>
  <c r="AE2581" i="83"/>
  <c r="AG2581" i="83"/>
  <c r="AH2581" i="83" s="1"/>
  <c r="AE2582" i="83"/>
  <c r="AG2582" i="83" s="1"/>
  <c r="AJ2582" i="83" s="1"/>
  <c r="AE2583" i="83"/>
  <c r="AG2583" i="83" s="1"/>
  <c r="AH2583" i="83" s="1"/>
  <c r="AE2584" i="83"/>
  <c r="AE2585" i="83"/>
  <c r="AG2585" i="83"/>
  <c r="AH2585" i="83"/>
  <c r="AE2586" i="83"/>
  <c r="AE2587" i="83"/>
  <c r="AG2587" i="83" s="1"/>
  <c r="AH2587" i="83" s="1"/>
  <c r="AE2588" i="83"/>
  <c r="AG2588" i="83" s="1"/>
  <c r="AH2588" i="83" s="1"/>
  <c r="AE2589" i="83"/>
  <c r="AG2589" i="83" s="1"/>
  <c r="AH2589" i="83" s="1"/>
  <c r="AE2590" i="83"/>
  <c r="AG2590" i="83" s="1"/>
  <c r="AJ2590" i="83" s="1"/>
  <c r="AE2591" i="83"/>
  <c r="AJ2591" i="83" s="1"/>
  <c r="AK2591" i="83" s="1"/>
  <c r="AG2591" i="83"/>
  <c r="AH2591" i="83" s="1"/>
  <c r="AE2592" i="83"/>
  <c r="AE2593" i="83"/>
  <c r="AG2593" i="83" s="1"/>
  <c r="AH2593" i="83"/>
  <c r="AJ2593" i="83"/>
  <c r="AE2594" i="83"/>
  <c r="AE2595" i="83"/>
  <c r="AG2595" i="83" s="1"/>
  <c r="AE2596" i="83"/>
  <c r="AG2596" i="83" s="1"/>
  <c r="AH2596" i="83" s="1"/>
  <c r="AE2597" i="83"/>
  <c r="AG2597" i="83" s="1"/>
  <c r="AH2597" i="83" s="1"/>
  <c r="AE2598" i="83"/>
  <c r="AG2598" i="83"/>
  <c r="AJ2598" i="83" s="1"/>
  <c r="AE2599" i="83"/>
  <c r="AG2599" i="83" s="1"/>
  <c r="AE2600" i="83"/>
  <c r="AE2601" i="83"/>
  <c r="AG2601" i="83"/>
  <c r="AH2601" i="83" s="1"/>
  <c r="AE2602" i="83"/>
  <c r="AE2603" i="83"/>
  <c r="AG2603" i="83"/>
  <c r="AH2603" i="83" s="1"/>
  <c r="AE2604" i="83"/>
  <c r="AG2604" i="83" s="1"/>
  <c r="AH2604" i="83" s="1"/>
  <c r="AE2605" i="83"/>
  <c r="AG2605" i="83" s="1"/>
  <c r="AH2605" i="83" s="1"/>
  <c r="AK2605" i="83"/>
  <c r="AE2606" i="83"/>
  <c r="AG2606" i="83" s="1"/>
  <c r="AK2606" i="83"/>
  <c r="AE2607" i="83"/>
  <c r="AG2607" i="83" s="1"/>
  <c r="AK2607" i="83"/>
  <c r="AE2608" i="83"/>
  <c r="AE2609" i="83"/>
  <c r="AG2609" i="83"/>
  <c r="AH2609" i="83" s="1"/>
  <c r="AJ2609" i="83"/>
  <c r="AE2610" i="83"/>
  <c r="AE2611" i="83"/>
  <c r="AG2611" i="83" s="1"/>
  <c r="AE2612" i="83"/>
  <c r="AG2612" i="83" s="1"/>
  <c r="AH2612" i="83" s="1"/>
  <c r="AE2613" i="83"/>
  <c r="AG2613" i="83" s="1"/>
  <c r="AH2613" i="83" s="1"/>
  <c r="AK2613" i="83"/>
  <c r="AE2614" i="83"/>
  <c r="AG2614" i="83"/>
  <c r="AJ2614" i="83" s="1"/>
  <c r="AE2615" i="83"/>
  <c r="AG2615" i="83" s="1"/>
  <c r="AE2616" i="83"/>
  <c r="AE2617" i="83"/>
  <c r="AG2617" i="83" s="1"/>
  <c r="AH2617" i="83" s="1"/>
  <c r="AE2618" i="83"/>
  <c r="AE2619" i="83"/>
  <c r="AG2619" i="83" s="1"/>
  <c r="AH2619" i="83" s="1"/>
  <c r="AE2620" i="83"/>
  <c r="AG2620" i="83" s="1"/>
  <c r="AH2620" i="83" s="1"/>
  <c r="AE2621" i="83"/>
  <c r="AG2621" i="83"/>
  <c r="AH2621" i="83" s="1"/>
  <c r="AE2622" i="83"/>
  <c r="AG2622" i="83" s="1"/>
  <c r="AJ2622" i="83" s="1"/>
  <c r="AE2623" i="83"/>
  <c r="AG2623" i="83" s="1"/>
  <c r="AH2623" i="83" s="1"/>
  <c r="AE2624" i="83"/>
  <c r="AG2624" i="83" s="1"/>
  <c r="AH2624" i="83" s="1"/>
  <c r="AE2625" i="83"/>
  <c r="AG2625" i="83" s="1"/>
  <c r="AH2625" i="83" s="1"/>
  <c r="AE2626" i="83"/>
  <c r="AK2626" i="83"/>
  <c r="AE2627" i="83"/>
  <c r="AG2627" i="83" s="1"/>
  <c r="AK2627" i="83"/>
  <c r="C110" i="63"/>
  <c r="AJ2606" i="83" l="1"/>
  <c r="AH2606" i="83"/>
  <c r="AH2297" i="83"/>
  <c r="AJ2297" i="83"/>
  <c r="AK2297" i="83" s="1"/>
  <c r="AH394" i="83"/>
  <c r="AJ394" i="83"/>
  <c r="AJ239" i="83"/>
  <c r="AH239" i="83"/>
  <c r="AJ1436" i="83"/>
  <c r="AH1436" i="83"/>
  <c r="AH2305" i="83"/>
  <c r="AJ2305" i="83"/>
  <c r="AK2305" i="83" s="1"/>
  <c r="AJ180" i="83"/>
  <c r="AH180" i="83"/>
  <c r="AH1638" i="83"/>
  <c r="AJ1638" i="83"/>
  <c r="AK1638" i="83" s="1"/>
  <c r="AH816" i="83"/>
  <c r="AJ816" i="83"/>
  <c r="AH2420" i="83"/>
  <c r="AJ2420" i="83"/>
  <c r="AH1233" i="83"/>
  <c r="AJ1233" i="83"/>
  <c r="AK1233" i="83" s="1"/>
  <c r="AJ2603" i="83"/>
  <c r="AK2603" i="83" s="1"/>
  <c r="AJ2580" i="83"/>
  <c r="AJ2443" i="83"/>
  <c r="AK2443" i="83" s="1"/>
  <c r="AJ1863" i="83"/>
  <c r="AK1863" i="83" s="1"/>
  <c r="AH1667" i="83"/>
  <c r="AJ1308" i="83"/>
  <c r="AJ1251" i="83"/>
  <c r="AJ1213" i="83"/>
  <c r="AK1213" i="83" s="1"/>
  <c r="AH984" i="83"/>
  <c r="AJ927" i="83"/>
  <c r="AJ887" i="83"/>
  <c r="AK887" i="83" s="1"/>
  <c r="AJ402" i="83"/>
  <c r="AK402" i="83" s="1"/>
  <c r="AJ383" i="83"/>
  <c r="AK383" i="83" s="1"/>
  <c r="AJ159" i="83"/>
  <c r="AK159" i="83" s="1"/>
  <c r="AH2026" i="83"/>
  <c r="AK2026" i="83" s="1"/>
  <c r="AJ1940" i="83"/>
  <c r="AK1940" i="83" s="1"/>
  <c r="AH1854" i="83"/>
  <c r="AK1854" i="83" s="1"/>
  <c r="AJ1706" i="83"/>
  <c r="AK1706" i="83" s="1"/>
  <c r="AJ1697" i="83"/>
  <c r="AK1697" i="83" s="1"/>
  <c r="AJ1601" i="83"/>
  <c r="AK1601" i="83" s="1"/>
  <c r="AH1094" i="83"/>
  <c r="AJ730" i="83"/>
  <c r="AK730" i="83" s="1"/>
  <c r="AJ519" i="83"/>
  <c r="AJ99" i="83"/>
  <c r="AK99" i="83" s="1"/>
  <c r="AJ76" i="83"/>
  <c r="AK76" i="83" s="1"/>
  <c r="AJ2436" i="83"/>
  <c r="AK2436" i="83" s="1"/>
  <c r="AJ2441" i="83"/>
  <c r="AJ2247" i="83"/>
  <c r="AK2247" i="83" s="1"/>
  <c r="AJ2191" i="83"/>
  <c r="AJ656" i="83"/>
  <c r="AJ632" i="83"/>
  <c r="AJ2548" i="83"/>
  <c r="AK2548" i="83" s="1"/>
  <c r="AJ2585" i="83"/>
  <c r="AK2585" i="83" s="1"/>
  <c r="AJ2523" i="83"/>
  <c r="AK2523" i="83" s="1"/>
  <c r="AJ2491" i="83"/>
  <c r="AK2491" i="83" s="1"/>
  <c r="AJ2465" i="83"/>
  <c r="AK2465" i="83" s="1"/>
  <c r="AJ2199" i="83"/>
  <c r="AK2199" i="83" s="1"/>
  <c r="AH1751" i="83"/>
  <c r="AH1743" i="83"/>
  <c r="AK1743" i="83" s="1"/>
  <c r="AJ1665" i="83"/>
  <c r="AK1665" i="83" s="1"/>
  <c r="AJ1657" i="83"/>
  <c r="AK1657" i="83" s="1"/>
  <c r="AJ1380" i="83"/>
  <c r="AJ1286" i="83"/>
  <c r="AJ1189" i="83"/>
  <c r="AK1189" i="83" s="1"/>
  <c r="AJ533" i="83"/>
  <c r="AJ2115" i="83"/>
  <c r="AK2115" i="83" s="1"/>
  <c r="AJ616" i="83"/>
  <c r="AK616" i="83" s="1"/>
  <c r="AJ2460" i="83"/>
  <c r="AJ2619" i="83"/>
  <c r="AK2619" i="83" s="1"/>
  <c r="AJ2507" i="83"/>
  <c r="AK2507" i="83" s="1"/>
  <c r="AJ2329" i="83"/>
  <c r="AK2329" i="83" s="1"/>
  <c r="AJ1078" i="83"/>
  <c r="AK164" i="83"/>
  <c r="AH2598" i="83"/>
  <c r="AK2598" i="83" s="1"/>
  <c r="AJ2575" i="83"/>
  <c r="AK2575" i="83" s="1"/>
  <c r="AH2379" i="83"/>
  <c r="AH2051" i="83"/>
  <c r="AJ1945" i="83"/>
  <c r="AK1945" i="83" s="1"/>
  <c r="AJ1822" i="83"/>
  <c r="AK1822" i="83" s="1"/>
  <c r="AJ1702" i="83"/>
  <c r="AH1123" i="83"/>
  <c r="AJ674" i="83"/>
  <c r="AJ655" i="83"/>
  <c r="AJ645" i="83"/>
  <c r="AK453" i="83"/>
  <c r="AJ264" i="83"/>
  <c r="AJ201" i="83"/>
  <c r="AK201" i="83" s="1"/>
  <c r="AJ2625" i="83"/>
  <c r="AK2625" i="83" s="1"/>
  <c r="AJ2335" i="83"/>
  <c r="AJ1626" i="83"/>
  <c r="AK1626" i="83" s="1"/>
  <c r="AJ1396" i="83"/>
  <c r="AJ971" i="83"/>
  <c r="AK971" i="83" s="1"/>
  <c r="AH960" i="83"/>
  <c r="AJ770" i="83"/>
  <c r="AJ474" i="83"/>
  <c r="AK474" i="83" s="1"/>
  <c r="AJ2513" i="83"/>
  <c r="AH2614" i="83"/>
  <c r="AK2614" i="83" s="1"/>
  <c r="AG2521" i="83"/>
  <c r="AH2521" i="83" s="1"/>
  <c r="AG2513" i="83"/>
  <c r="AH2513" i="83" s="1"/>
  <c r="AJ2497" i="83"/>
  <c r="AK2497" i="83" s="1"/>
  <c r="AJ2447" i="83"/>
  <c r="AK2447" i="83" s="1"/>
  <c r="AJ2307" i="83"/>
  <c r="AK2307" i="83" s="1"/>
  <c r="AG2115" i="83"/>
  <c r="AH2115" i="83" s="1"/>
  <c r="AG2000" i="83"/>
  <c r="AH2000" i="83" s="1"/>
  <c r="AJ1934" i="83"/>
  <c r="AK1934" i="83" s="1"/>
  <c r="AH1740" i="83"/>
  <c r="AJ1662" i="83"/>
  <c r="AK1662" i="83" s="1"/>
  <c r="AJ1255" i="83"/>
  <c r="AK1255" i="83" s="1"/>
  <c r="AJ978" i="83"/>
  <c r="AJ651" i="83"/>
  <c r="AJ551" i="83"/>
  <c r="AJ358" i="83"/>
  <c r="AK358" i="83" s="1"/>
  <c r="AG73" i="83"/>
  <c r="AH73" i="83" s="1"/>
  <c r="AJ2395" i="83"/>
  <c r="AK2395" i="83" s="1"/>
  <c r="AJ2171" i="83"/>
  <c r="AH2095" i="83"/>
  <c r="AJ2066" i="83"/>
  <c r="AK2066" i="83" s="1"/>
  <c r="AH1719" i="83"/>
  <c r="AJ1262" i="83"/>
  <c r="AK1262" i="83" s="1"/>
  <c r="AJ1027" i="83"/>
  <c r="AK1027" i="83" s="1"/>
  <c r="AH928" i="83"/>
  <c r="AH672" i="83"/>
  <c r="AJ650" i="83"/>
  <c r="AG616" i="83"/>
  <c r="AH616" i="83" s="1"/>
  <c r="AJ2495" i="83"/>
  <c r="AH2495" i="83"/>
  <c r="AH2607" i="83"/>
  <c r="AJ2607" i="83"/>
  <c r="AH2484" i="83"/>
  <c r="AJ2484" i="83"/>
  <c r="AH2455" i="83"/>
  <c r="AJ2455" i="83"/>
  <c r="AH2615" i="83"/>
  <c r="AJ2615" i="83"/>
  <c r="AK2615" i="83" s="1"/>
  <c r="AJ2550" i="83"/>
  <c r="AH2550" i="83"/>
  <c r="AH2407" i="83"/>
  <c r="AJ2407" i="83"/>
  <c r="AH1956" i="83"/>
  <c r="AJ1956" i="83"/>
  <c r="AK1956" i="83" s="1"/>
  <c r="AJ2449" i="83"/>
  <c r="AH2449" i="83"/>
  <c r="AH2091" i="83"/>
  <c r="AJ2091" i="83"/>
  <c r="AK2622" i="83"/>
  <c r="AH2473" i="83"/>
  <c r="AJ2473" i="83"/>
  <c r="AJ2431" i="83"/>
  <c r="AH2431" i="83"/>
  <c r="AH2139" i="83"/>
  <c r="AJ2139" i="83"/>
  <c r="AH2143" i="83"/>
  <c r="AJ2143" i="83"/>
  <c r="AH1849" i="83"/>
  <c r="AJ1849" i="83"/>
  <c r="AH2187" i="83"/>
  <c r="AJ2187" i="83"/>
  <c r="AK2187" i="83" s="1"/>
  <c r="AG621" i="83"/>
  <c r="AH621" i="83" s="1"/>
  <c r="AG1543" i="83"/>
  <c r="AH1543" i="83" s="1"/>
  <c r="AJ1543" i="83"/>
  <c r="AJ1384" i="83"/>
  <c r="AH1384" i="83"/>
  <c r="AG695" i="83"/>
  <c r="AH695" i="83" s="1"/>
  <c r="AJ301" i="83"/>
  <c r="AH301" i="83"/>
  <c r="AG1913" i="83"/>
  <c r="AH1913" i="83" s="1"/>
  <c r="AJ2567" i="83"/>
  <c r="AK2567" i="83" s="1"/>
  <c r="AJ2321" i="83"/>
  <c r="AK2321" i="83" s="1"/>
  <c r="AJ2135" i="83"/>
  <c r="AK2135" i="83" s="1"/>
  <c r="AH1990" i="83"/>
  <c r="AK1990" i="83" s="1"/>
  <c r="AG1929" i="83"/>
  <c r="AH1929" i="83" s="1"/>
  <c r="AJ1929" i="83"/>
  <c r="AK1929" i="83" s="1"/>
  <c r="AJ1857" i="83"/>
  <c r="AK1857" i="83" s="1"/>
  <c r="AJ1790" i="83"/>
  <c r="AK1790" i="83" s="1"/>
  <c r="AJ1767" i="83"/>
  <c r="AK1767" i="83" s="1"/>
  <c r="AH1767" i="83"/>
  <c r="AG1332" i="83"/>
  <c r="AH1332" i="83" s="1"/>
  <c r="AG1265" i="83"/>
  <c r="AH1265" i="83" s="1"/>
  <c r="AJ1177" i="83"/>
  <c r="AJ1147" i="83"/>
  <c r="AH1147" i="83"/>
  <c r="AG840" i="83"/>
  <c r="AH840" i="83" s="1"/>
  <c r="AG787" i="83"/>
  <c r="AH787" i="83" s="1"/>
  <c r="AJ787" i="83"/>
  <c r="AK787" i="83" s="1"/>
  <c r="AJ759" i="83"/>
  <c r="AK759" i="83" s="1"/>
  <c r="AK533" i="83"/>
  <c r="AH429" i="83"/>
  <c r="AJ429" i="83"/>
  <c r="AG342" i="83"/>
  <c r="AH342" i="83" s="1"/>
  <c r="AG196" i="83"/>
  <c r="AH196" i="83" s="1"/>
  <c r="AG49" i="83"/>
  <c r="AH49" i="83" s="1"/>
  <c r="AJ49" i="83"/>
  <c r="AG669" i="83"/>
  <c r="AH669" i="83" s="1"/>
  <c r="AJ669" i="83"/>
  <c r="AK669" i="83" s="1"/>
  <c r="AJ1718" i="83"/>
  <c r="AK1718" i="83" s="1"/>
  <c r="AG789" i="83"/>
  <c r="AH789" i="83" s="1"/>
  <c r="AJ2263" i="83"/>
  <c r="AK2263" i="83" s="1"/>
  <c r="AJ1982" i="83"/>
  <c r="AK1982" i="83" s="1"/>
  <c r="AJ1817" i="83"/>
  <c r="AK1817" i="83" s="1"/>
  <c r="AJ1809" i="83"/>
  <c r="AK1809" i="83" s="1"/>
  <c r="AK1630" i="83"/>
  <c r="AG967" i="83"/>
  <c r="AH967" i="83" s="1"/>
  <c r="AJ967" i="83"/>
  <c r="AK967" i="83" s="1"/>
  <c r="AG786" i="83"/>
  <c r="AH786" i="83" s="1"/>
  <c r="AG185" i="83"/>
  <c r="AH185" i="83" s="1"/>
  <c r="AG1118" i="83"/>
  <c r="AH1118" i="83" s="1"/>
  <c r="AJ1734" i="83"/>
  <c r="AK1734" i="83" s="1"/>
  <c r="AG1392" i="83"/>
  <c r="AH1392" i="83" s="1"/>
  <c r="AJ1195" i="83"/>
  <c r="AH1195" i="83"/>
  <c r="AH935" i="83"/>
  <c r="AJ935" i="83"/>
  <c r="AK935" i="83" s="1"/>
  <c r="AG498" i="83"/>
  <c r="AH498" i="83" s="1"/>
  <c r="AG466" i="83"/>
  <c r="AH466" i="83" s="1"/>
  <c r="AK2460" i="83"/>
  <c r="AJ2553" i="83"/>
  <c r="AK2553" i="83" s="1"/>
  <c r="AJ2412" i="83"/>
  <c r="AJ1882" i="83"/>
  <c r="AK1882" i="83" s="1"/>
  <c r="AJ1512" i="83"/>
  <c r="AJ1460" i="83"/>
  <c r="AG1166" i="83"/>
  <c r="AH1166" i="83" s="1"/>
  <c r="AH626" i="83"/>
  <c r="AJ626" i="83"/>
  <c r="AJ2601" i="83"/>
  <c r="AK2601" i="83" s="1"/>
  <c r="AG779" i="83"/>
  <c r="AH779" i="83" s="1"/>
  <c r="AJ779" i="83"/>
  <c r="AK779" i="83" s="1"/>
  <c r="AK2580" i="83"/>
  <c r="AJ2500" i="83"/>
  <c r="AK2500" i="83" s="1"/>
  <c r="AJ2524" i="83"/>
  <c r="AK2524" i="83" s="1"/>
  <c r="AJ2489" i="83"/>
  <c r="AJ2476" i="83"/>
  <c r="AK2476" i="83" s="1"/>
  <c r="AJ2471" i="83"/>
  <c r="AK2471" i="83" s="1"/>
  <c r="AJ2411" i="83"/>
  <c r="AK2411" i="83" s="1"/>
  <c r="AJ2207" i="83"/>
  <c r="AK2207" i="83" s="1"/>
  <c r="AH2074" i="83"/>
  <c r="AK2074" i="83" s="1"/>
  <c r="AJ1994" i="83"/>
  <c r="AK1994" i="83" s="1"/>
  <c r="AG1408" i="83"/>
  <c r="AH1408" i="83" s="1"/>
  <c r="AJ1408" i="83"/>
  <c r="AH1328" i="83"/>
  <c r="AG1281" i="83"/>
  <c r="AH1281" i="83" s="1"/>
  <c r="AJ1281" i="83"/>
  <c r="AK1281" i="83" s="1"/>
  <c r="AG1271" i="83"/>
  <c r="AH1271" i="83" s="1"/>
  <c r="AJ1056" i="83"/>
  <c r="AJ992" i="83"/>
  <c r="AK992" i="83" s="1"/>
  <c r="AH711" i="83"/>
  <c r="AJ711" i="83"/>
  <c r="AK672" i="83"/>
  <c r="AK551" i="83"/>
  <c r="AJ285" i="83"/>
  <c r="AH285" i="83"/>
  <c r="AG105" i="83"/>
  <c r="AH105" i="83" s="1"/>
  <c r="AJ105" i="83"/>
  <c r="AJ1759" i="83"/>
  <c r="AH1759" i="83"/>
  <c r="AJ2503" i="83"/>
  <c r="AK2503" i="83" s="1"/>
  <c r="AK2481" i="83"/>
  <c r="AK2452" i="83"/>
  <c r="AJ2423" i="83"/>
  <c r="AK2423" i="83" s="1"/>
  <c r="AJ2219" i="83"/>
  <c r="AK2219" i="83" s="1"/>
  <c r="AJ1654" i="83"/>
  <c r="AG1520" i="83"/>
  <c r="AH1520" i="83" s="1"/>
  <c r="AJ1520" i="83"/>
  <c r="AG1174" i="83"/>
  <c r="AH1174" i="83" s="1"/>
  <c r="AJ1174" i="83"/>
  <c r="AK1174" i="83" s="1"/>
  <c r="AJ1000" i="83"/>
  <c r="AH1000" i="83"/>
  <c r="AG815" i="83"/>
  <c r="AH815" i="83" s="1"/>
  <c r="AG605" i="83"/>
  <c r="AH605" i="83" s="1"/>
  <c r="AG597" i="83"/>
  <c r="AH597" i="83" s="1"/>
  <c r="AH578" i="83"/>
  <c r="AJ578" i="83"/>
  <c r="AJ326" i="83"/>
  <c r="AH326" i="83"/>
  <c r="AG997" i="83"/>
  <c r="AH997" i="83" s="1"/>
  <c r="AK2609" i="83"/>
  <c r="AJ2583" i="83"/>
  <c r="AK2583" i="83" s="1"/>
  <c r="AJ2551" i="83"/>
  <c r="AK2551" i="83" s="1"/>
  <c r="AJ2516" i="83"/>
  <c r="AK2516" i="83" s="1"/>
  <c r="AJ2511" i="83"/>
  <c r="AK2511" i="83" s="1"/>
  <c r="AJ2428" i="83"/>
  <c r="AK2428" i="83" s="1"/>
  <c r="AJ2404" i="83"/>
  <c r="AK2404" i="83" s="1"/>
  <c r="AJ2283" i="83"/>
  <c r="AK2283" i="83" s="1"/>
  <c r="AJ2275" i="83"/>
  <c r="AK2275" i="83" s="1"/>
  <c r="AJ1986" i="83"/>
  <c r="AK1986" i="83" s="1"/>
  <c r="AJ1962" i="83"/>
  <c r="AK1962" i="83" s="1"/>
  <c r="AG1814" i="83"/>
  <c r="AH1814" i="83" s="1"/>
  <c r="AJ1618" i="83"/>
  <c r="AK1618" i="83" s="1"/>
  <c r="AJ1448" i="83"/>
  <c r="AH1412" i="83"/>
  <c r="AK1412" i="83" s="1"/>
  <c r="AH1336" i="83"/>
  <c r="AG1142" i="83"/>
  <c r="AH1142" i="83" s="1"/>
  <c r="AJ1142" i="83"/>
  <c r="AK1142" i="83" s="1"/>
  <c r="AG624" i="83"/>
  <c r="AH624" i="83" s="1"/>
  <c r="AJ624" i="83"/>
  <c r="AG568" i="83"/>
  <c r="AH568" i="83" s="1"/>
  <c r="AJ1938" i="83"/>
  <c r="AK1938" i="83" s="1"/>
  <c r="AG554" i="83"/>
  <c r="AH554" i="83" s="1"/>
  <c r="AJ2415" i="83"/>
  <c r="AK2415" i="83" s="1"/>
  <c r="AJ2291" i="83"/>
  <c r="AK2291" i="83" s="1"/>
  <c r="AJ2231" i="83"/>
  <c r="AK2231" i="83" s="1"/>
  <c r="AJ2223" i="83"/>
  <c r="AK2223" i="83" s="1"/>
  <c r="AJ2055" i="83"/>
  <c r="AK2055" i="83" s="1"/>
  <c r="AJ2031" i="83"/>
  <c r="AK2031" i="83" s="1"/>
  <c r="AJ1886" i="83"/>
  <c r="AK1886" i="83" s="1"/>
  <c r="AJ1846" i="83"/>
  <c r="AK1846" i="83" s="1"/>
  <c r="AJ1793" i="83"/>
  <c r="AH1508" i="83"/>
  <c r="AJ1508" i="83"/>
  <c r="AG1182" i="83"/>
  <c r="AH1182" i="83" s="1"/>
  <c r="AG747" i="83"/>
  <c r="AH747" i="83" s="1"/>
  <c r="AJ747" i="83"/>
  <c r="AG678" i="83"/>
  <c r="AH678" i="83" s="1"/>
  <c r="AH640" i="83"/>
  <c r="AJ640" i="83"/>
  <c r="AH231" i="83"/>
  <c r="AJ231" i="83"/>
  <c r="AK231" i="83" s="1"/>
  <c r="AG1642" i="83"/>
  <c r="AH1642" i="83" s="1"/>
  <c r="AJ1642" i="83"/>
  <c r="AK1642" i="83" s="1"/>
  <c r="AG1230" i="83"/>
  <c r="AH1230" i="83" s="1"/>
  <c r="AJ2617" i="83"/>
  <c r="AK2617" i="83" s="1"/>
  <c r="AJ2487" i="83"/>
  <c r="AK2487" i="83" s="1"/>
  <c r="AH2622" i="83"/>
  <c r="AJ2588" i="83"/>
  <c r="AK2588" i="83" s="1"/>
  <c r="AG2569" i="83"/>
  <c r="AH2569" i="83" s="1"/>
  <c r="AJ2457" i="83"/>
  <c r="AK2457" i="83" s="1"/>
  <c r="AG2315" i="83"/>
  <c r="AH2315" i="83" s="1"/>
  <c r="AG2179" i="83"/>
  <c r="AH2179" i="83" s="1"/>
  <c r="AJ2163" i="83"/>
  <c r="AK2163" i="83" s="1"/>
  <c r="AJ1978" i="83"/>
  <c r="AK1978" i="83" s="1"/>
  <c r="AG1946" i="83"/>
  <c r="AH1946" i="83" s="1"/>
  <c r="AG1905" i="83"/>
  <c r="AH1905" i="83" s="1"/>
  <c r="AJ1825" i="83"/>
  <c r="AJ1536" i="83"/>
  <c r="AJ1527" i="83"/>
  <c r="AG1447" i="83"/>
  <c r="AH1447" i="83" s="1"/>
  <c r="AJ1420" i="83"/>
  <c r="AK1420" i="83" s="1"/>
  <c r="AJ1296" i="83"/>
  <c r="AH1296" i="83"/>
  <c r="AH1171" i="83"/>
  <c r="AK1171" i="83" s="1"/>
  <c r="AJ855" i="83"/>
  <c r="AK855" i="83" s="1"/>
  <c r="AH687" i="83"/>
  <c r="AJ687" i="83"/>
  <c r="AJ584" i="83"/>
  <c r="AK584" i="83" s="1"/>
  <c r="AJ520" i="83"/>
  <c r="AG472" i="83"/>
  <c r="AH472" i="83" s="1"/>
  <c r="AJ230" i="83"/>
  <c r="AK230" i="83" s="1"/>
  <c r="AK286" i="83"/>
  <c r="AK214" i="83"/>
  <c r="AJ77" i="83"/>
  <c r="AK77" i="83" s="1"/>
  <c r="AJ1289" i="83"/>
  <c r="AK1289" i="83" s="1"/>
  <c r="AJ1217" i="83"/>
  <c r="AK1217" i="83" s="1"/>
  <c r="AJ1201" i="83"/>
  <c r="AK1201" i="83" s="1"/>
  <c r="AK816" i="83"/>
  <c r="AJ608" i="83"/>
  <c r="AK608" i="83" s="1"/>
  <c r="AJ575" i="83"/>
  <c r="AK575" i="83" s="1"/>
  <c r="AJ562" i="83"/>
  <c r="AK562" i="83" s="1"/>
  <c r="AJ541" i="83"/>
  <c r="AJ12" i="83"/>
  <c r="AK12" i="83" s="1"/>
  <c r="AK1702" i="83"/>
  <c r="AJ954" i="83"/>
  <c r="AK954" i="83" s="1"/>
  <c r="AJ775" i="83"/>
  <c r="AK775" i="83" s="1"/>
  <c r="AJ437" i="83"/>
  <c r="AK437" i="83" s="1"/>
  <c r="AJ217" i="83"/>
  <c r="AK217" i="83" s="1"/>
  <c r="AJ163" i="83"/>
  <c r="AK163" i="83" s="1"/>
  <c r="AJ157" i="83"/>
  <c r="AJ148" i="83"/>
  <c r="AK148" i="83" s="1"/>
  <c r="AJ884" i="83"/>
  <c r="AJ193" i="83"/>
  <c r="AJ1681" i="83"/>
  <c r="AK1681" i="83" s="1"/>
  <c r="AJ1617" i="83"/>
  <c r="AK1617" i="83" s="1"/>
  <c r="AH1598" i="83"/>
  <c r="AK1598" i="83" s="1"/>
  <c r="AJ1559" i="83"/>
  <c r="AK1559" i="83" s="1"/>
  <c r="AJ874" i="83"/>
  <c r="AK874" i="83" s="1"/>
  <c r="AJ743" i="83"/>
  <c r="AK743" i="83" s="1"/>
  <c r="AJ586" i="83"/>
  <c r="AK586" i="83" s="1"/>
  <c r="AJ525" i="83"/>
  <c r="AK525" i="83" s="1"/>
  <c r="AJ407" i="83"/>
  <c r="AK407" i="83" s="1"/>
  <c r="AJ355" i="83"/>
  <c r="AK355" i="83" s="1"/>
  <c r="AJ119" i="83"/>
  <c r="AK119" i="83" s="1"/>
  <c r="AJ17" i="83"/>
  <c r="AJ560" i="83"/>
  <c r="AJ538" i="83"/>
  <c r="AK538" i="83" s="1"/>
  <c r="AJ496" i="83"/>
  <c r="AK496" i="83" s="1"/>
  <c r="AJ477" i="83"/>
  <c r="AK477" i="83" s="1"/>
  <c r="AJ215" i="83"/>
  <c r="AK215" i="83" s="1"/>
  <c r="AJ36" i="83"/>
  <c r="AK36" i="83" s="1"/>
  <c r="AK645" i="83"/>
  <c r="AJ552" i="83"/>
  <c r="AK552" i="83" s="1"/>
  <c r="AJ484" i="83"/>
  <c r="AJ259" i="83"/>
  <c r="AK259" i="83" s="1"/>
  <c r="AJ251" i="83"/>
  <c r="AK251" i="83" s="1"/>
  <c r="AJ222" i="83"/>
  <c r="AK222" i="83" s="1"/>
  <c r="AJ166" i="83"/>
  <c r="AK166" i="83" s="1"/>
  <c r="AJ125" i="83"/>
  <c r="AK125" i="83" s="1"/>
  <c r="AJ65" i="83"/>
  <c r="AK770" i="83"/>
  <c r="AJ671" i="83"/>
  <c r="AK671" i="83" s="1"/>
  <c r="AJ658" i="83"/>
  <c r="AK519" i="83"/>
  <c r="AK353" i="83"/>
  <c r="AH286" i="83"/>
  <c r="AH278" i="83"/>
  <c r="AH214" i="83"/>
  <c r="AJ165" i="83"/>
  <c r="AG77" i="83"/>
  <c r="AH77" i="83" s="1"/>
  <c r="AJ2468" i="83"/>
  <c r="AH2468" i="83"/>
  <c r="AH2289" i="83"/>
  <c r="AJ2289" i="83"/>
  <c r="AJ2535" i="83"/>
  <c r="AH2535" i="83"/>
  <c r="AH2255" i="83"/>
  <c r="AJ2255" i="83"/>
  <c r="AJ2363" i="83"/>
  <c r="AH2363" i="83"/>
  <c r="AJ2566" i="83"/>
  <c r="AH2566" i="83"/>
  <c r="AH2611" i="83"/>
  <c r="AJ2611" i="83"/>
  <c r="AH2444" i="83"/>
  <c r="AJ2444" i="83"/>
  <c r="AK2444" i="83" s="1"/>
  <c r="AH2599" i="83"/>
  <c r="AJ2599" i="83"/>
  <c r="AH2349" i="83"/>
  <c r="AJ2349" i="83"/>
  <c r="AH2545" i="83"/>
  <c r="AJ2545" i="83"/>
  <c r="AJ2463" i="83"/>
  <c r="AH2463" i="83"/>
  <c r="AH2381" i="83"/>
  <c r="AJ2381" i="83"/>
  <c r="AK2381" i="83" s="1"/>
  <c r="AH2267" i="83"/>
  <c r="AJ2267" i="83"/>
  <c r="AH1161" i="83"/>
  <c r="AJ1161" i="83"/>
  <c r="AJ2043" i="83"/>
  <c r="AH2043" i="83"/>
  <c r="AJ2557" i="83"/>
  <c r="AK2557" i="83" s="1"/>
  <c r="AJ2527" i="83"/>
  <c r="AK2527" i="83" s="1"/>
  <c r="AJ2433" i="83"/>
  <c r="AK2433" i="83" s="1"/>
  <c r="AJ2368" i="83"/>
  <c r="AK2368" i="83" s="1"/>
  <c r="AJ2215" i="83"/>
  <c r="AK2215" i="83" s="1"/>
  <c r="AJ2203" i="83"/>
  <c r="AJ2058" i="83"/>
  <c r="AK2058" i="83" s="1"/>
  <c r="AG2042" i="83"/>
  <c r="AH2042" i="83" s="1"/>
  <c r="AG1911" i="83"/>
  <c r="AH1911" i="83" s="1"/>
  <c r="AJ1895" i="83"/>
  <c r="AK1895" i="83" s="1"/>
  <c r="AG1895" i="83"/>
  <c r="AH1895" i="83" s="1"/>
  <c r="AJ1873" i="83"/>
  <c r="AK1873" i="83" s="1"/>
  <c r="AH1777" i="83"/>
  <c r="AJ1777" i="83"/>
  <c r="AJ1727" i="83"/>
  <c r="AH1727" i="83"/>
  <c r="AG1633" i="83"/>
  <c r="AH1633" i="83" s="1"/>
  <c r="AH1209" i="83"/>
  <c r="AJ1209" i="83"/>
  <c r="AJ1168" i="83"/>
  <c r="AK1168" i="83" s="1"/>
  <c r="AJ2107" i="83"/>
  <c r="AK2107" i="83" s="1"/>
  <c r="AK2532" i="83"/>
  <c r="AJ2508" i="83"/>
  <c r="AK2508" i="83" s="1"/>
  <c r="AK2441" i="83"/>
  <c r="AJ2375" i="83"/>
  <c r="AK2375" i="83" s="1"/>
  <c r="AJ2499" i="83"/>
  <c r="AK2499" i="83" s="1"/>
  <c r="AJ2387" i="83"/>
  <c r="AK2387" i="83" s="1"/>
  <c r="AJ2374" i="83"/>
  <c r="AK2374" i="83" s="1"/>
  <c r="AG2050" i="83"/>
  <c r="AH2050" i="83" s="1"/>
  <c r="AH2006" i="83"/>
  <c r="AK2006" i="83" s="1"/>
  <c r="AJ1998" i="83"/>
  <c r="AH1998" i="83"/>
  <c r="AJ1954" i="83"/>
  <c r="AK1954" i="83" s="1"/>
  <c r="AG1932" i="83"/>
  <c r="AH1932" i="83" s="1"/>
  <c r="AH1910" i="83"/>
  <c r="AJ1910" i="83"/>
  <c r="AH1902" i="83"/>
  <c r="AG1838" i="83"/>
  <c r="AH1838" i="83" s="1"/>
  <c r="AJ1838" i="83"/>
  <c r="AK1838" i="83" s="1"/>
  <c r="AJ1325" i="83"/>
  <c r="AK1325" i="83" s="1"/>
  <c r="AG1325" i="83"/>
  <c r="AH1325" i="83" s="1"/>
  <c r="AJ1068" i="83"/>
  <c r="AH1068" i="83"/>
  <c r="AJ2035" i="83"/>
  <c r="AH2035" i="83"/>
  <c r="AJ2437" i="83"/>
  <c r="AK2437" i="83" s="1"/>
  <c r="AG2352" i="83"/>
  <c r="AH2352" i="83" s="1"/>
  <c r="AJ2323" i="83"/>
  <c r="AK2323" i="83" s="1"/>
  <c r="AJ2239" i="83"/>
  <c r="AK2239" i="83" s="1"/>
  <c r="AG2090" i="83"/>
  <c r="AH2090" i="83" s="1"/>
  <c r="AG1961" i="83"/>
  <c r="AH1961" i="83" s="1"/>
  <c r="AG1926" i="83"/>
  <c r="AH1926" i="83" s="1"/>
  <c r="AG1803" i="83"/>
  <c r="AH1803" i="83" s="1"/>
  <c r="AJ1433" i="83"/>
  <c r="AJ980" i="83"/>
  <c r="AK980" i="83" s="1"/>
  <c r="AG980" i="83"/>
  <c r="AH980" i="83" s="1"/>
  <c r="AG1674" i="83"/>
  <c r="AH1674" i="83" s="1"/>
  <c r="AG2358" i="83"/>
  <c r="AH2358" i="83" s="1"/>
  <c r="AJ2358" i="83"/>
  <c r="AK2358" i="83" s="1"/>
  <c r="AJ2299" i="83"/>
  <c r="AK2299" i="83" s="1"/>
  <c r="AH2195" i="83"/>
  <c r="AK2195" i="83" s="1"/>
  <c r="AJ2195" i="83"/>
  <c r="AH1862" i="83"/>
  <c r="AJ1862" i="83"/>
  <c r="AG1827" i="83"/>
  <c r="AH1827" i="83" s="1"/>
  <c r="AJ1802" i="83"/>
  <c r="AK1802" i="83" s="1"/>
  <c r="AG1802" i="83"/>
  <c r="AH1802" i="83" s="1"/>
  <c r="AG1761" i="83"/>
  <c r="AH1761" i="83" s="1"/>
  <c r="AJ1440" i="83"/>
  <c r="AG1364" i="83"/>
  <c r="AH1364" i="83" s="1"/>
  <c r="AJ1304" i="83"/>
  <c r="AH1304" i="83"/>
  <c r="AG2084" i="83"/>
  <c r="AH2084" i="83" s="1"/>
  <c r="AG1831" i="83"/>
  <c r="AH1831" i="83" s="1"/>
  <c r="AJ1651" i="83"/>
  <c r="AH1651" i="83"/>
  <c r="AK1651" i="83" s="1"/>
  <c r="AJ2155" i="83"/>
  <c r="AG1806" i="83"/>
  <c r="AH1806" i="83" s="1"/>
  <c r="AJ2565" i="83"/>
  <c r="AK2565" i="83" s="1"/>
  <c r="AG2365" i="83"/>
  <c r="AH2365" i="83" s="1"/>
  <c r="AJ2175" i="83"/>
  <c r="AK2175" i="83" s="1"/>
  <c r="AJ2159" i="83"/>
  <c r="AK2159" i="83" s="1"/>
  <c r="AG2151" i="83"/>
  <c r="AH2151" i="83" s="1"/>
  <c r="AJ2127" i="83"/>
  <c r="AK2127" i="83" s="1"/>
  <c r="AJ2103" i="83"/>
  <c r="AK2103" i="83" s="1"/>
  <c r="AK2095" i="83"/>
  <c r="AJ1916" i="83"/>
  <c r="AK1916" i="83" s="1"/>
  <c r="AJ1843" i="83"/>
  <c r="AK1843" i="83" s="1"/>
  <c r="AG1843" i="83"/>
  <c r="AH1843" i="83" s="1"/>
  <c r="AG1539" i="83"/>
  <c r="AH1539" i="83" s="1"/>
  <c r="AJ1539" i="83"/>
  <c r="AK1539" i="83" s="1"/>
  <c r="AK1286" i="83"/>
  <c r="AJ1115" i="83"/>
  <c r="AH1115" i="83"/>
  <c r="AJ2581" i="83"/>
  <c r="AK2581" i="83" s="1"/>
  <c r="AJ2519" i="83"/>
  <c r="AK2519" i="83" s="1"/>
  <c r="AJ1865" i="83"/>
  <c r="AK1865" i="83" s="1"/>
  <c r="AJ2339" i="83"/>
  <c r="AK2339" i="83" s="1"/>
  <c r="AK1719" i="83"/>
  <c r="AJ2479" i="83"/>
  <c r="AK2479" i="83" s="1"/>
  <c r="AG2167" i="83"/>
  <c r="AH2167" i="83" s="1"/>
  <c r="AG2079" i="83"/>
  <c r="AH2079" i="83" s="1"/>
  <c r="AJ2071" i="83"/>
  <c r="AG2023" i="83"/>
  <c r="AH2023" i="83" s="1"/>
  <c r="AG2004" i="83"/>
  <c r="AH2004" i="83" s="1"/>
  <c r="AG1966" i="83"/>
  <c r="AH1966" i="83" s="1"/>
  <c r="AH1416" i="83"/>
  <c r="AJ1416" i="83"/>
  <c r="AG831" i="83"/>
  <c r="AH831" i="83" s="1"/>
  <c r="AG2092" i="83"/>
  <c r="AH2092" i="83" s="1"/>
  <c r="AJ1942" i="83"/>
  <c r="AK1942" i="83" s="1"/>
  <c r="AH1942" i="83"/>
  <c r="AJ2517" i="83"/>
  <c r="AK2517" i="83" s="1"/>
  <c r="AJ2559" i="83"/>
  <c r="AK2559" i="83" s="1"/>
  <c r="AJ2540" i="83"/>
  <c r="AK2540" i="83" s="1"/>
  <c r="AJ2529" i="83"/>
  <c r="AK2529" i="83" s="1"/>
  <c r="AJ2492" i="83"/>
  <c r="AK2492" i="83" s="1"/>
  <c r="AJ2313" i="83"/>
  <c r="AK2313" i="83" s="1"/>
  <c r="AJ2047" i="83"/>
  <c r="AK2047" i="83" s="1"/>
  <c r="AJ2039" i="83"/>
  <c r="AK2039" i="83" s="1"/>
  <c r="AK1930" i="83"/>
  <c r="AJ1891" i="83"/>
  <c r="AK1891" i="83" s="1"/>
  <c r="AG1732" i="83"/>
  <c r="AH1732" i="83" s="1"/>
  <c r="AJ1715" i="83"/>
  <c r="AH1715" i="83"/>
  <c r="AG1686" i="83"/>
  <c r="AH1686" i="83" s="1"/>
  <c r="AG1488" i="83"/>
  <c r="AH1488" i="83" s="1"/>
  <c r="AG1214" i="83"/>
  <c r="AH1214" i="83" s="1"/>
  <c r="AJ1214" i="83"/>
  <c r="AK1214" i="83" s="1"/>
  <c r="AJ1179" i="83"/>
  <c r="AH1179" i="83"/>
  <c r="AJ2505" i="83"/>
  <c r="AG2123" i="83"/>
  <c r="AH2123" i="83" s="1"/>
  <c r="AG1875" i="83"/>
  <c r="AH1875" i="83" s="1"/>
  <c r="AJ1376" i="83"/>
  <c r="AH1376" i="83"/>
  <c r="AJ2333" i="83"/>
  <c r="AK2333" i="83" s="1"/>
  <c r="AG2257" i="83"/>
  <c r="AH2257" i="83" s="1"/>
  <c r="AJ2541" i="83"/>
  <c r="AK2541" i="83" s="1"/>
  <c r="AJ2623" i="83"/>
  <c r="AK2623" i="83" s="1"/>
  <c r="AJ2572" i="83"/>
  <c r="AK2572" i="83" s="1"/>
  <c r="AJ2605" i="83"/>
  <c r="AJ2564" i="83"/>
  <c r="AK2564" i="83" s="1"/>
  <c r="AJ2525" i="83"/>
  <c r="AK2525" i="83" s="1"/>
  <c r="AJ2439" i="83"/>
  <c r="AK2439" i="83" s="1"/>
  <c r="AJ2435" i="83"/>
  <c r="AK2435" i="83" s="1"/>
  <c r="AJ2425" i="83"/>
  <c r="AK2425" i="83" s="1"/>
  <c r="AJ2390" i="83"/>
  <c r="AK2390" i="83" s="1"/>
  <c r="AJ2371" i="83"/>
  <c r="AG2243" i="83"/>
  <c r="AH2243" i="83" s="1"/>
  <c r="AJ2235" i="83"/>
  <c r="AK2235" i="83" s="1"/>
  <c r="AJ2087" i="83"/>
  <c r="AK2087" i="83" s="1"/>
  <c r="AJ2002" i="83"/>
  <c r="AH2002" i="83"/>
  <c r="AG1859" i="83"/>
  <c r="AH1859" i="83" s="1"/>
  <c r="AJ1352" i="83"/>
  <c r="AH1352" i="83"/>
  <c r="AJ1320" i="83"/>
  <c r="AH1320" i="83"/>
  <c r="AK1094" i="83"/>
  <c r="AG2010" i="83"/>
  <c r="AH2010" i="83" s="1"/>
  <c r="AJ2613" i="83"/>
  <c r="AJ1528" i="83"/>
  <c r="AK1528" i="83" s="1"/>
  <c r="AH1830" i="83"/>
  <c r="AJ1830" i="83"/>
  <c r="AJ2537" i="83"/>
  <c r="AK2537" i="83" s="1"/>
  <c r="AJ2621" i="83"/>
  <c r="AK2621" i="83" s="1"/>
  <c r="AJ2577" i="83"/>
  <c r="AH2558" i="83"/>
  <c r="AK2558" i="83" s="1"/>
  <c r="AG2505" i="83"/>
  <c r="AH2505" i="83" s="1"/>
  <c r="AJ2501" i="83"/>
  <c r="AK2501" i="83" s="1"/>
  <c r="AG2453" i="83"/>
  <c r="AH2453" i="83" s="1"/>
  <c r="AG2403" i="83"/>
  <c r="AH2403" i="83" s="1"/>
  <c r="AJ2384" i="83"/>
  <c r="AK2384" i="83" s="1"/>
  <c r="AJ2355" i="83"/>
  <c r="AK2355" i="83" s="1"/>
  <c r="AJ2281" i="83"/>
  <c r="AK2281" i="83" s="1"/>
  <c r="AG2259" i="83"/>
  <c r="AH2259" i="83" s="1"/>
  <c r="AJ2227" i="83"/>
  <c r="AH2211" i="83"/>
  <c r="AJ2211" i="83"/>
  <c r="AJ2147" i="83"/>
  <c r="AK2147" i="83" s="1"/>
  <c r="AH1970" i="83"/>
  <c r="AK1970" i="83" s="1"/>
  <c r="AJ1943" i="83"/>
  <c r="AK1943" i="83" s="1"/>
  <c r="AG1935" i="83"/>
  <c r="AH1935" i="83" s="1"/>
  <c r="AH1914" i="83"/>
  <c r="AJ1914" i="83"/>
  <c r="AK1914" i="83" s="1"/>
  <c r="AJ1898" i="83"/>
  <c r="AK1898" i="83" s="1"/>
  <c r="AH1841" i="83"/>
  <c r="AJ1841" i="83"/>
  <c r="AH1798" i="83"/>
  <c r="AJ1798" i="83"/>
  <c r="AG1779" i="83"/>
  <c r="AH1779" i="83" s="1"/>
  <c r="AG1496" i="83"/>
  <c r="AH1496" i="83" s="1"/>
  <c r="AJ1360" i="83"/>
  <c r="AH1360" i="83"/>
  <c r="AG1134" i="83"/>
  <c r="AH1134" i="83" s="1"/>
  <c r="AJ2082" i="83"/>
  <c r="AK2082" i="83" s="1"/>
  <c r="AJ2063" i="83"/>
  <c r="AK2063" i="83" s="1"/>
  <c r="AK2051" i="83"/>
  <c r="AJ2015" i="83"/>
  <c r="AK2015" i="83" s="1"/>
  <c r="AJ2008" i="83"/>
  <c r="AK2008" i="83" s="1"/>
  <c r="AJ1996" i="83"/>
  <c r="AK1996" i="83" s="1"/>
  <c r="AG1959" i="83"/>
  <c r="AH1959" i="83" s="1"/>
  <c r="AK1953" i="83"/>
  <c r="AJ1922" i="83"/>
  <c r="AK1922" i="83" s="1"/>
  <c r="AH1890" i="83"/>
  <c r="AJ1890" i="83"/>
  <c r="AK1890" i="83" s="1"/>
  <c r="AJ1747" i="83"/>
  <c r="AK1747" i="83" s="1"/>
  <c r="AK1740" i="83"/>
  <c r="AJ1726" i="83"/>
  <c r="AH1726" i="83"/>
  <c r="AJ1381" i="83"/>
  <c r="AK1381" i="83" s="1"/>
  <c r="AG1381" i="83"/>
  <c r="AH1381" i="83" s="1"/>
  <c r="AJ1239" i="83"/>
  <c r="AK1239" i="83" s="1"/>
  <c r="AJ1018" i="83"/>
  <c r="AK1018" i="83" s="1"/>
  <c r="AK943" i="83"/>
  <c r="AG370" i="83"/>
  <c r="AH370" i="83" s="1"/>
  <c r="AJ370" i="83"/>
  <c r="AK370" i="83" s="1"/>
  <c r="AG212" i="83"/>
  <c r="AH212" i="83" s="1"/>
  <c r="AG85" i="83"/>
  <c r="AH85" i="83" s="1"/>
  <c r="AG13" i="83"/>
  <c r="AH13" i="83" s="1"/>
  <c r="AJ2099" i="83"/>
  <c r="AJ1991" i="83"/>
  <c r="AK1991" i="83" s="1"/>
  <c r="AJ1958" i="83"/>
  <c r="AJ1858" i="83"/>
  <c r="AK1858" i="83" s="1"/>
  <c r="AJ1801" i="83"/>
  <c r="AK1801" i="83" s="1"/>
  <c r="AG1535" i="83"/>
  <c r="AH1535" i="83" s="1"/>
  <c r="AJ1535" i="83"/>
  <c r="AK1535" i="83" s="1"/>
  <c r="AG1476" i="83"/>
  <c r="AH1476" i="83" s="1"/>
  <c r="AG1445" i="83"/>
  <c r="AH1445" i="83" s="1"/>
  <c r="AJ1285" i="83"/>
  <c r="AK1285" i="83" s="1"/>
  <c r="AJ1131" i="83"/>
  <c r="AH1131" i="83"/>
  <c r="AG975" i="83"/>
  <c r="AH975" i="83" s="1"/>
  <c r="AG2131" i="83"/>
  <c r="AH2131" i="83" s="1"/>
  <c r="AJ2111" i="83"/>
  <c r="AJ2034" i="83"/>
  <c r="AK2034" i="83" s="1"/>
  <c r="AJ1975" i="83"/>
  <c r="AK1975" i="83" s="1"/>
  <c r="AG1937" i="83"/>
  <c r="AH1937" i="83" s="1"/>
  <c r="AJ1921" i="83"/>
  <c r="AK1921" i="83" s="1"/>
  <c r="AJ1903" i="83"/>
  <c r="AK1903" i="83" s="1"/>
  <c r="AG1871" i="83"/>
  <c r="AH1871" i="83" s="1"/>
  <c r="AJ1794" i="83"/>
  <c r="AK1794" i="83" s="1"/>
  <c r="AJ1772" i="83"/>
  <c r="AK1772" i="83" s="1"/>
  <c r="AJ1766" i="83"/>
  <c r="AK1766" i="83" s="1"/>
  <c r="AJ1444" i="83"/>
  <c r="AK1444" i="83" s="1"/>
  <c r="AJ1357" i="83"/>
  <c r="AG1290" i="83"/>
  <c r="AH1290" i="83" s="1"/>
  <c r="AJ1290" i="83"/>
  <c r="AK1290" i="83" s="1"/>
  <c r="AG1246" i="83"/>
  <c r="AH1246" i="83" s="1"/>
  <c r="AJ1113" i="83"/>
  <c r="AK1113" i="83" s="1"/>
  <c r="AJ1047" i="83"/>
  <c r="AH1047" i="83"/>
  <c r="AJ951" i="83"/>
  <c r="AK951" i="83" s="1"/>
  <c r="AH823" i="83"/>
  <c r="AJ823" i="83"/>
  <c r="AG1974" i="83"/>
  <c r="AH1974" i="83" s="1"/>
  <c r="AJ1908" i="83"/>
  <c r="AK1908" i="83" s="1"/>
  <c r="AG1888" i="83"/>
  <c r="AH1888" i="83" s="1"/>
  <c r="AJ1883" i="83"/>
  <c r="AK1883" i="83" s="1"/>
  <c r="AG1870" i="83"/>
  <c r="AH1870" i="83" s="1"/>
  <c r="AJ1835" i="83"/>
  <c r="AJ1823" i="83"/>
  <c r="AK1823" i="83" s="1"/>
  <c r="AJ1818" i="83"/>
  <c r="AK1818" i="83" s="1"/>
  <c r="AK1793" i="83"/>
  <c r="AJ1675" i="83"/>
  <c r="AH1675" i="83"/>
  <c r="AK1675" i="83" s="1"/>
  <c r="AJ1646" i="83"/>
  <c r="AK1646" i="83" s="1"/>
  <c r="AJ1417" i="83"/>
  <c r="AK1417" i="83" s="1"/>
  <c r="AJ1356" i="83"/>
  <c r="AK1356" i="83" s="1"/>
  <c r="AJ1317" i="83"/>
  <c r="AK1317" i="83" s="1"/>
  <c r="AJ1245" i="83"/>
  <c r="AK1245" i="83" s="1"/>
  <c r="AJ1139" i="83"/>
  <c r="AH1139" i="83"/>
  <c r="AG1834" i="83"/>
  <c r="AH1834" i="83" s="1"/>
  <c r="AG1807" i="83"/>
  <c r="AH1807" i="83" s="1"/>
  <c r="AJ1799" i="83"/>
  <c r="AK1799" i="83" s="1"/>
  <c r="AG1738" i="83"/>
  <c r="AH1738" i="83" s="1"/>
  <c r="AG1509" i="83"/>
  <c r="AH1509" i="83" s="1"/>
  <c r="AJ1061" i="83"/>
  <c r="AK1061" i="83" s="1"/>
  <c r="AJ1029" i="83"/>
  <c r="AK1029" i="83" s="1"/>
  <c r="AG540" i="83"/>
  <c r="AH540" i="83" s="1"/>
  <c r="AJ2397" i="83"/>
  <c r="AK2379" i="83"/>
  <c r="AJ2359" i="83"/>
  <c r="AK2359" i="83" s="1"/>
  <c r="AJ2032" i="83"/>
  <c r="AK2032" i="83" s="1"/>
  <c r="AJ2018" i="83"/>
  <c r="AK2018" i="83" s="1"/>
  <c r="AJ1988" i="83"/>
  <c r="AK1988" i="83" s="1"/>
  <c r="AG1919" i="83"/>
  <c r="AH1919" i="83" s="1"/>
  <c r="AJ1907" i="83"/>
  <c r="AK1907" i="83" s="1"/>
  <c r="AG1894" i="83"/>
  <c r="AH1894" i="83" s="1"/>
  <c r="AJ1887" i="83"/>
  <c r="AK1887" i="83" s="1"/>
  <c r="AG1856" i="83"/>
  <c r="AH1856" i="83" s="1"/>
  <c r="AJ1850" i="83"/>
  <c r="AK1850" i="83" s="1"/>
  <c r="AJ1833" i="83"/>
  <c r="AK1833" i="83" s="1"/>
  <c r="AG1811" i="83"/>
  <c r="AH1811" i="83" s="1"/>
  <c r="AJ1782" i="83"/>
  <c r="AK1782" i="83" s="1"/>
  <c r="AH1770" i="83"/>
  <c r="AJ1770" i="83"/>
  <c r="AJ1456" i="83"/>
  <c r="AK1456" i="83" s="1"/>
  <c r="AJ1428" i="83"/>
  <c r="AK1428" i="83" s="1"/>
  <c r="AJ1422" i="83"/>
  <c r="AK1422" i="83" s="1"/>
  <c r="AJ1187" i="83"/>
  <c r="AH1187" i="83"/>
  <c r="AJ1155" i="83"/>
  <c r="AH1155" i="83"/>
  <c r="AG839" i="83"/>
  <c r="AH839" i="83" s="1"/>
  <c r="AH664" i="83"/>
  <c r="AJ664" i="83"/>
  <c r="AJ2461" i="83"/>
  <c r="AK2461" i="83" s="1"/>
  <c r="AJ2391" i="83"/>
  <c r="AK2391" i="83" s="1"/>
  <c r="AJ2265" i="83"/>
  <c r="AK2265" i="83" s="1"/>
  <c r="AJ1993" i="83"/>
  <c r="AK1993" i="83" s="1"/>
  <c r="AJ1967" i="83"/>
  <c r="AK1967" i="83" s="1"/>
  <c r="AG1918" i="83"/>
  <c r="AH1918" i="83" s="1"/>
  <c r="AJ1906" i="83"/>
  <c r="AK1906" i="83" s="1"/>
  <c r="AG1792" i="83"/>
  <c r="AH1792" i="83" s="1"/>
  <c r="AG1699" i="83"/>
  <c r="AH1699" i="83" s="1"/>
  <c r="AJ1398" i="83"/>
  <c r="AK1398" i="83" s="1"/>
  <c r="AJ1340" i="83"/>
  <c r="AK1340" i="83" s="1"/>
  <c r="AJ1257" i="83"/>
  <c r="AK1257" i="83" s="1"/>
  <c r="AJ1219" i="83"/>
  <c r="AJ1203" i="83"/>
  <c r="AH1203" i="83"/>
  <c r="AJ1075" i="83"/>
  <c r="AH1075" i="83"/>
  <c r="AG995" i="83"/>
  <c r="AH995" i="83" s="1"/>
  <c r="AJ2048" i="83"/>
  <c r="AK2048" i="83" s="1"/>
  <c r="AJ1939" i="83"/>
  <c r="AJ1924" i="83"/>
  <c r="AK1924" i="83" s="1"/>
  <c r="AJ1867" i="83"/>
  <c r="AK1867" i="83" s="1"/>
  <c r="AJ1855" i="83"/>
  <c r="AK1855" i="83" s="1"/>
  <c r="AJ1826" i="83"/>
  <c r="AK1826" i="83" s="1"/>
  <c r="AG1730" i="83"/>
  <c r="AH1730" i="83" s="1"/>
  <c r="AJ1635" i="83"/>
  <c r="AH1635" i="83"/>
  <c r="AK1635" i="83" s="1"/>
  <c r="AJ1312" i="83"/>
  <c r="AK1312" i="83" s="1"/>
  <c r="AH1312" i="83"/>
  <c r="AG1225" i="83"/>
  <c r="AH1225" i="83" s="1"/>
  <c r="AJ1066" i="83"/>
  <c r="AH1066" i="83"/>
  <c r="AJ2183" i="83"/>
  <c r="AJ1983" i="83"/>
  <c r="AK1983" i="83" s="1"/>
  <c r="AJ1892" i="83"/>
  <c r="AK1892" i="83" s="1"/>
  <c r="AG1880" i="83"/>
  <c r="AH1880" i="83" s="1"/>
  <c r="AG1866" i="83"/>
  <c r="AH1866" i="83" s="1"/>
  <c r="AG1839" i="83"/>
  <c r="AH1839" i="83" s="1"/>
  <c r="AK1825" i="83"/>
  <c r="AK1735" i="83"/>
  <c r="AJ1404" i="83"/>
  <c r="AK1404" i="83" s="1"/>
  <c r="AH1185" i="83"/>
  <c r="AJ1185" i="83"/>
  <c r="AK1185" i="83" s="1"/>
  <c r="AG1169" i="83"/>
  <c r="AH1169" i="83" s="1"/>
  <c r="AJ1169" i="83"/>
  <c r="AK1169" i="83" s="1"/>
  <c r="AJ1088" i="83"/>
  <c r="AG1051" i="83"/>
  <c r="AH1051" i="83" s="1"/>
  <c r="AJ1872" i="83"/>
  <c r="AK1872" i="83" s="1"/>
  <c r="AJ1840" i="83"/>
  <c r="AK1840" i="83" s="1"/>
  <c r="AJ1808" i="83"/>
  <c r="AK1808" i="83" s="1"/>
  <c r="AJ1776" i="83"/>
  <c r="AK1776" i="83" s="1"/>
  <c r="AK1759" i="83"/>
  <c r="AJ1753" i="83"/>
  <c r="AJ1731" i="83"/>
  <c r="AK1731" i="83" s="1"/>
  <c r="AJ1690" i="83"/>
  <c r="AK1690" i="83" s="1"/>
  <c r="AJ1678" i="83"/>
  <c r="AK1678" i="83" s="1"/>
  <c r="AJ1602" i="83"/>
  <c r="AK1602" i="83" s="1"/>
  <c r="AH1574" i="83"/>
  <c r="AK1574" i="83" s="1"/>
  <c r="AJ1551" i="83"/>
  <c r="AK1551" i="83" s="1"/>
  <c r="AJ1533" i="83"/>
  <c r="AK1533" i="83" s="1"/>
  <c r="AJ1501" i="83"/>
  <c r="AK1501" i="83" s="1"/>
  <c r="AJ1487" i="83"/>
  <c r="AK1487" i="83" s="1"/>
  <c r="AJ1480" i="83"/>
  <c r="AK1480" i="83" s="1"/>
  <c r="AJ1468" i="83"/>
  <c r="AJ1461" i="83"/>
  <c r="AJ1449" i="83"/>
  <c r="AJ1432" i="83"/>
  <c r="AJ1397" i="83"/>
  <c r="AJ1369" i="83"/>
  <c r="AK1369" i="83" s="1"/>
  <c r="AJ1316" i="83"/>
  <c r="AK1316" i="83" s="1"/>
  <c r="AG1283" i="83"/>
  <c r="AH1283" i="83" s="1"/>
  <c r="AJ1193" i="83"/>
  <c r="AK1193" i="83" s="1"/>
  <c r="AJ1145" i="83"/>
  <c r="AK1145" i="83" s="1"/>
  <c r="AJ1105" i="83"/>
  <c r="AK1105" i="83" s="1"/>
  <c r="AH1016" i="83"/>
  <c r="AK1016" i="83" s="1"/>
  <c r="AG903" i="83"/>
  <c r="AH903" i="83" s="1"/>
  <c r="AG514" i="83"/>
  <c r="AH514" i="83" s="1"/>
  <c r="AJ514" i="83"/>
  <c r="AK514" i="83" s="1"/>
  <c r="AG418" i="83"/>
  <c r="AH418" i="83" s="1"/>
  <c r="AH283" i="83"/>
  <c r="AJ283" i="83"/>
  <c r="AJ1915" i="83"/>
  <c r="AK1915" i="83" s="1"/>
  <c r="AJ1713" i="83"/>
  <c r="AK1713" i="83" s="1"/>
  <c r="AH1683" i="83"/>
  <c r="AK1683" i="83" s="1"/>
  <c r="AJ1649" i="83"/>
  <c r="AK1649" i="83" s="1"/>
  <c r="AJ1610" i="83"/>
  <c r="AK1610" i="83" s="1"/>
  <c r="AH1582" i="83"/>
  <c r="AJ1507" i="83"/>
  <c r="AK1507" i="83" s="1"/>
  <c r="AJ1500" i="83"/>
  <c r="AK1500" i="83" s="1"/>
  <c r="AK1448" i="83"/>
  <c r="AJ1374" i="83"/>
  <c r="AK1374" i="83" s="1"/>
  <c r="AH1368" i="83"/>
  <c r="AK1368" i="83" s="1"/>
  <c r="AH1344" i="83"/>
  <c r="AK1344" i="83" s="1"/>
  <c r="AJ1309" i="83"/>
  <c r="AK1309" i="83" s="1"/>
  <c r="AG1270" i="83"/>
  <c r="AH1270" i="83" s="1"/>
  <c r="AJ1249" i="83"/>
  <c r="AK1249" i="83" s="1"/>
  <c r="AG1237" i="83"/>
  <c r="AH1237" i="83" s="1"/>
  <c r="AJ1223" i="83"/>
  <c r="AK1223" i="83" s="1"/>
  <c r="AG1206" i="83"/>
  <c r="AH1206" i="83" s="1"/>
  <c r="AG1152" i="83"/>
  <c r="AH1152" i="83" s="1"/>
  <c r="AH1099" i="83"/>
  <c r="AG1080" i="83"/>
  <c r="AH1080" i="83" s="1"/>
  <c r="AJ1021" i="83"/>
  <c r="AK1021" i="83" s="1"/>
  <c r="AJ911" i="83"/>
  <c r="AK911" i="83" s="1"/>
  <c r="AJ559" i="83"/>
  <c r="AK546" i="83"/>
  <c r="AH121" i="83"/>
  <c r="AJ121" i="83"/>
  <c r="AK121" i="83" s="1"/>
  <c r="AG1390" i="83"/>
  <c r="AH1390" i="83" s="1"/>
  <c r="AG1086" i="83"/>
  <c r="AH1086" i="83" s="1"/>
  <c r="AJ1034" i="83"/>
  <c r="AK1034" i="83" s="1"/>
  <c r="AG713" i="83"/>
  <c r="AH713" i="83" s="1"/>
  <c r="AJ705" i="83"/>
  <c r="AK705" i="83" s="1"/>
  <c r="AJ310" i="83"/>
  <c r="AH310" i="83"/>
  <c r="AH262" i="83"/>
  <c r="AJ262" i="83"/>
  <c r="AK262" i="83" s="1"/>
  <c r="AJ1923" i="83"/>
  <c r="AJ1900" i="83"/>
  <c r="AK1900" i="83" s="1"/>
  <c r="AJ1848" i="83"/>
  <c r="AK1848" i="83" s="1"/>
  <c r="AJ1784" i="83"/>
  <c r="AK1784" i="83" s="1"/>
  <c r="AK1751" i="83"/>
  <c r="AJ1745" i="83"/>
  <c r="AK1745" i="83" s="1"/>
  <c r="AJ1694" i="83"/>
  <c r="AK1694" i="83" s="1"/>
  <c r="AJ1472" i="83"/>
  <c r="AJ1453" i="83"/>
  <c r="AK1453" i="83" s="1"/>
  <c r="AK1384" i="83"/>
  <c r="AJ1373" i="83"/>
  <c r="AJ1361" i="83"/>
  <c r="AK1361" i="83" s="1"/>
  <c r="AJ1349" i="83"/>
  <c r="AK1349" i="83" s="1"/>
  <c r="AK1336" i="83"/>
  <c r="AG1293" i="83"/>
  <c r="AH1293" i="83" s="1"/>
  <c r="AJ1269" i="83"/>
  <c r="AK1269" i="83" s="1"/>
  <c r="AJ1235" i="83"/>
  <c r="AK1235" i="83" s="1"/>
  <c r="AG1211" i="83"/>
  <c r="AH1211" i="83" s="1"/>
  <c r="AJ1211" i="83"/>
  <c r="AK1211" i="83" s="1"/>
  <c r="AJ1137" i="83"/>
  <c r="AK1137" i="83" s="1"/>
  <c r="AJ1040" i="83"/>
  <c r="AJ719" i="83"/>
  <c r="AK719" i="83" s="1"/>
  <c r="AG530" i="83"/>
  <c r="AH530" i="83" s="1"/>
  <c r="AJ2100" i="83"/>
  <c r="AK2100" i="83" s="1"/>
  <c r="AJ1951" i="83"/>
  <c r="AK1951" i="83" s="1"/>
  <c r="AJ1927" i="83"/>
  <c r="AK1927" i="83" s="1"/>
  <c r="AJ1884" i="83"/>
  <c r="AK1884" i="83" s="1"/>
  <c r="AJ1774" i="83"/>
  <c r="AK1774" i="83" s="1"/>
  <c r="AJ1739" i="83"/>
  <c r="AK1739" i="83" s="1"/>
  <c r="AJ1670" i="83"/>
  <c r="AK1670" i="83" s="1"/>
  <c r="AJ1484" i="83"/>
  <c r="AK1484" i="83" s="1"/>
  <c r="AJ1465" i="83"/>
  <c r="AK1465" i="83" s="1"/>
  <c r="AJ1452" i="83"/>
  <c r="AJ1389" i="83"/>
  <c r="AJ1372" i="83"/>
  <c r="AK1372" i="83" s="1"/>
  <c r="AJ1348" i="83"/>
  <c r="AK1348" i="83" s="1"/>
  <c r="AJ1292" i="83"/>
  <c r="AK1292" i="83" s="1"/>
  <c r="AJ1273" i="83"/>
  <c r="AK1273" i="83" s="1"/>
  <c r="AG1241" i="83"/>
  <c r="AH1241" i="83" s="1"/>
  <c r="AJ1241" i="83"/>
  <c r="AK1241" i="83" s="1"/>
  <c r="AG1158" i="83"/>
  <c r="AH1158" i="83" s="1"/>
  <c r="AJ1150" i="83"/>
  <c r="AK1150" i="83" s="1"/>
  <c r="AJ1110" i="83"/>
  <c r="AK1110" i="83" s="1"/>
  <c r="AJ1091" i="83"/>
  <c r="AH1091" i="83"/>
  <c r="AH1064" i="83"/>
  <c r="AJ1064" i="83"/>
  <c r="AK1064" i="83" s="1"/>
  <c r="AG1013" i="83"/>
  <c r="AH1013" i="83" s="1"/>
  <c r="AJ964" i="83"/>
  <c r="AK964" i="83" s="1"/>
  <c r="AG727" i="83"/>
  <c r="AH727" i="83" s="1"/>
  <c r="AG469" i="83"/>
  <c r="AH469" i="83" s="1"/>
  <c r="AH458" i="83"/>
  <c r="AJ458" i="83"/>
  <c r="AG450" i="83"/>
  <c r="AH450" i="83" s="1"/>
  <c r="AJ450" i="83"/>
  <c r="AK450" i="83" s="1"/>
  <c r="AJ317" i="83"/>
  <c r="AH317" i="83"/>
  <c r="AJ2056" i="83"/>
  <c r="AK2056" i="83" s="1"/>
  <c r="AJ2040" i="83"/>
  <c r="AK2040" i="83" s="1"/>
  <c r="AJ1931" i="83"/>
  <c r="AK1931" i="83" s="1"/>
  <c r="AJ1879" i="83"/>
  <c r="AK1879" i="83" s="1"/>
  <c r="AJ1874" i="83"/>
  <c r="AK1874" i="83" s="1"/>
  <c r="AJ1851" i="83"/>
  <c r="AK1851" i="83" s="1"/>
  <c r="AJ1847" i="83"/>
  <c r="AJ1842" i="83"/>
  <c r="AK1842" i="83" s="1"/>
  <c r="AJ1819" i="83"/>
  <c r="AJ1815" i="83"/>
  <c r="AJ1810" i="83"/>
  <c r="AK1810" i="83" s="1"/>
  <c r="AJ1787" i="83"/>
  <c r="AK1787" i="83" s="1"/>
  <c r="AJ1783" i="83"/>
  <c r="AK1783" i="83" s="1"/>
  <c r="AJ1778" i="83"/>
  <c r="AK1778" i="83" s="1"/>
  <c r="AJ1763" i="83"/>
  <c r="AK1763" i="83" s="1"/>
  <c r="AJ1744" i="83"/>
  <c r="AK1744" i="83" s="1"/>
  <c r="AJ1722" i="83"/>
  <c r="AK1722" i="83" s="1"/>
  <c r="AJ1710" i="83"/>
  <c r="AK1710" i="83" s="1"/>
  <c r="AJ1622" i="83"/>
  <c r="AJ1563" i="83"/>
  <c r="AJ1504" i="83"/>
  <c r="AJ1477" i="83"/>
  <c r="AK1477" i="83" s="1"/>
  <c r="AJ1464" i="83"/>
  <c r="AJ1388" i="83"/>
  <c r="AK1388" i="83" s="1"/>
  <c r="AJ1300" i="83"/>
  <c r="AK1300" i="83" s="1"/>
  <c r="AJ1267" i="83"/>
  <c r="AK1267" i="83" s="1"/>
  <c r="AJ1121" i="83"/>
  <c r="AK1121" i="83" s="1"/>
  <c r="AK1078" i="83"/>
  <c r="AJ1058" i="83"/>
  <c r="AK1058" i="83" s="1"/>
  <c r="AJ1032" i="83"/>
  <c r="AK1032" i="83" s="1"/>
  <c r="AG963" i="83"/>
  <c r="AH963" i="83" s="1"/>
  <c r="AJ749" i="83"/>
  <c r="AG576" i="83"/>
  <c r="AH576" i="83" s="1"/>
  <c r="AH501" i="83"/>
  <c r="AK501" i="83" s="1"/>
  <c r="AG344" i="83"/>
  <c r="AH344" i="83" s="1"/>
  <c r="AJ1517" i="83"/>
  <c r="AK1517" i="83" s="1"/>
  <c r="AG1221" i="83"/>
  <c r="AH1221" i="83" s="1"/>
  <c r="AJ1163" i="83"/>
  <c r="AH1163" i="83"/>
  <c r="AJ991" i="83"/>
  <c r="AH991" i="83"/>
  <c r="AG762" i="83"/>
  <c r="AH762" i="83" s="1"/>
  <c r="AG754" i="83"/>
  <c r="AH754" i="83" s="1"/>
  <c r="AG535" i="83"/>
  <c r="AH535" i="83" s="1"/>
  <c r="AH1703" i="83"/>
  <c r="AK1703" i="83" s="1"/>
  <c r="AJ1658" i="83"/>
  <c r="AK1658" i="83" s="1"/>
  <c r="AJ1547" i="83"/>
  <c r="AK1547" i="83" s="1"/>
  <c r="AJ1405" i="83"/>
  <c r="AK1405" i="83" s="1"/>
  <c r="AJ1400" i="83"/>
  <c r="AK1400" i="83" s="1"/>
  <c r="AJ1377" i="83"/>
  <c r="AK1377" i="83" s="1"/>
  <c r="AG1341" i="83"/>
  <c r="AH1341" i="83" s="1"/>
  <c r="AG1253" i="83"/>
  <c r="AH1253" i="83" s="1"/>
  <c r="AJ1240" i="83"/>
  <c r="AK1240" i="83" s="1"/>
  <c r="AH1107" i="83"/>
  <c r="AK1107" i="83" s="1"/>
  <c r="AG1096" i="83"/>
  <c r="AH1096" i="83" s="1"/>
  <c r="AH1083" i="83"/>
  <c r="AJ1011" i="83"/>
  <c r="AK1011" i="83" s="1"/>
  <c r="AH936" i="83"/>
  <c r="AJ930" i="83"/>
  <c r="AK930" i="83" s="1"/>
  <c r="AJ858" i="83"/>
  <c r="AK858" i="83" s="1"/>
  <c r="AJ852" i="83"/>
  <c r="AK852" i="83" s="1"/>
  <c r="AK592" i="83"/>
  <c r="AG493" i="83"/>
  <c r="AH493" i="83" s="1"/>
  <c r="AJ493" i="83"/>
  <c r="AK493" i="83" s="1"/>
  <c r="AG360" i="83"/>
  <c r="AH360" i="83" s="1"/>
  <c r="AJ1795" i="83"/>
  <c r="AK1795" i="83" s="1"/>
  <c r="AJ1791" i="83"/>
  <c r="AK1791" i="83" s="1"/>
  <c r="AJ1786" i="83"/>
  <c r="AK1786" i="83" s="1"/>
  <c r="AJ1755" i="83"/>
  <c r="AK1755" i="83" s="1"/>
  <c r="AJ1457" i="83"/>
  <c r="AG1451" i="83"/>
  <c r="AH1451" i="83" s="1"/>
  <c r="AJ1424" i="83"/>
  <c r="AJ1413" i="83"/>
  <c r="AJ1409" i="83"/>
  <c r="AJ1393" i="83"/>
  <c r="AK1393" i="83" s="1"/>
  <c r="AJ1365" i="83"/>
  <c r="AK1365" i="83" s="1"/>
  <c r="AG1358" i="83"/>
  <c r="AH1358" i="83" s="1"/>
  <c r="AJ1333" i="83"/>
  <c r="AK1333" i="83" s="1"/>
  <c r="AK1278" i="83"/>
  <c r="AG1176" i="83"/>
  <c r="AH1176" i="83" s="1"/>
  <c r="AG639" i="83"/>
  <c r="AH639" i="83" s="1"/>
  <c r="AK632" i="83"/>
  <c r="AJ581" i="83"/>
  <c r="AK581" i="83" s="1"/>
  <c r="AJ871" i="83"/>
  <c r="AK871" i="83" s="1"/>
  <c r="AJ850" i="83"/>
  <c r="AK850" i="83" s="1"/>
  <c r="AG688" i="83"/>
  <c r="AH688" i="83" s="1"/>
  <c r="AK680" i="83"/>
  <c r="AH557" i="83"/>
  <c r="AJ557" i="83"/>
  <c r="AJ513" i="83"/>
  <c r="AK513" i="83" s="1"/>
  <c r="AH299" i="83"/>
  <c r="AJ299" i="83"/>
  <c r="AG289" i="83"/>
  <c r="AH289" i="83" s="1"/>
  <c r="AJ289" i="83"/>
  <c r="AK289" i="83" s="1"/>
  <c r="AJ246" i="83"/>
  <c r="AK246" i="83" s="1"/>
  <c r="AK193" i="83"/>
  <c r="AH93" i="83"/>
  <c r="AJ93" i="83"/>
  <c r="AH83" i="83"/>
  <c r="AJ83" i="83"/>
  <c r="AJ51" i="83"/>
  <c r="AK51" i="83" s="1"/>
  <c r="AJ580" i="83"/>
  <c r="AK580" i="83" s="1"/>
  <c r="AH512" i="83"/>
  <c r="AJ512" i="83"/>
  <c r="AJ492" i="83"/>
  <c r="AK492" i="83" s="1"/>
  <c r="AG391" i="83"/>
  <c r="AH391" i="83" s="1"/>
  <c r="AG375" i="83"/>
  <c r="AH375" i="83" s="1"/>
  <c r="AG332" i="83"/>
  <c r="AH332" i="83" s="1"/>
  <c r="AJ916" i="83"/>
  <c r="AK916" i="83" s="1"/>
  <c r="AJ895" i="83"/>
  <c r="AK895" i="83" s="1"/>
  <c r="AJ679" i="83"/>
  <c r="AG499" i="83"/>
  <c r="AH499" i="83" s="1"/>
  <c r="AG482" i="83"/>
  <c r="AH482" i="83" s="1"/>
  <c r="AH367" i="83"/>
  <c r="AJ367" i="83"/>
  <c r="AK367" i="83" s="1"/>
  <c r="AH168" i="83"/>
  <c r="AJ168" i="83"/>
  <c r="AH147" i="83"/>
  <c r="AJ147" i="83"/>
  <c r="AK147" i="83" s="1"/>
  <c r="AG101" i="83"/>
  <c r="AH101" i="83" s="1"/>
  <c r="AH67" i="83"/>
  <c r="AJ67" i="83"/>
  <c r="AJ828" i="83"/>
  <c r="AK828" i="83" s="1"/>
  <c r="AJ767" i="83"/>
  <c r="AK767" i="83" s="1"/>
  <c r="AJ637" i="83"/>
  <c r="AK637" i="83" s="1"/>
  <c r="AJ602" i="83"/>
  <c r="AK602" i="83" s="1"/>
  <c r="AG573" i="83"/>
  <c r="AH573" i="83" s="1"/>
  <c r="AG544" i="83"/>
  <c r="AH544" i="83" s="1"/>
  <c r="AJ544" i="83"/>
  <c r="AK544" i="83" s="1"/>
  <c r="AJ527" i="83"/>
  <c r="AK527" i="83" s="1"/>
  <c r="AJ511" i="83"/>
  <c r="AK511" i="83" s="1"/>
  <c r="AH490" i="83"/>
  <c r="AJ490" i="83"/>
  <c r="AH389" i="83"/>
  <c r="AJ389" i="83"/>
  <c r="AJ381" i="83"/>
  <c r="AK381" i="83" s="1"/>
  <c r="AJ315" i="83"/>
  <c r="AK315" i="83" s="1"/>
  <c r="AJ1555" i="83"/>
  <c r="AJ1525" i="83"/>
  <c r="AK1525" i="83" s="1"/>
  <c r="AJ1425" i="83"/>
  <c r="AK1425" i="83" s="1"/>
  <c r="AJ1401" i="83"/>
  <c r="AK1401" i="83" s="1"/>
  <c r="AK1328" i="83"/>
  <c r="AJ1301" i="83"/>
  <c r="AK1301" i="83" s="1"/>
  <c r="AJ1254" i="83"/>
  <c r="AK1254" i="83" s="1"/>
  <c r="AJ1238" i="83"/>
  <c r="AK1238" i="83" s="1"/>
  <c r="AJ1222" i="83"/>
  <c r="AK1222" i="83" s="1"/>
  <c r="AK1177" i="83"/>
  <c r="AJ1160" i="83"/>
  <c r="AK1160" i="83" s="1"/>
  <c r="AJ1153" i="83"/>
  <c r="AK1153" i="83" s="1"/>
  <c r="AJ1129" i="83"/>
  <c r="AK1129" i="83" s="1"/>
  <c r="AJ1102" i="83"/>
  <c r="AK1102" i="83" s="1"/>
  <c r="AJ1002" i="83"/>
  <c r="AK1002" i="83" s="1"/>
  <c r="AJ908" i="83"/>
  <c r="AK908" i="83" s="1"/>
  <c r="AJ879" i="83"/>
  <c r="AJ847" i="83"/>
  <c r="AJ820" i="83"/>
  <c r="AG820" i="83"/>
  <c r="AH820" i="83" s="1"/>
  <c r="AG746" i="83"/>
  <c r="AH746" i="83" s="1"/>
  <c r="AJ618" i="83"/>
  <c r="AK618" i="83" s="1"/>
  <c r="AJ589" i="83"/>
  <c r="AK589" i="83" s="1"/>
  <c r="AJ543" i="83"/>
  <c r="AK543" i="83" s="1"/>
  <c r="AJ522" i="83"/>
  <c r="AK522" i="83" s="1"/>
  <c r="AH504" i="83"/>
  <c r="AJ504" i="83"/>
  <c r="AG413" i="83"/>
  <c r="AH413" i="83" s="1"/>
  <c r="AG396" i="83"/>
  <c r="AH396" i="83" s="1"/>
  <c r="AG365" i="83"/>
  <c r="AH365" i="83" s="1"/>
  <c r="AG296" i="83"/>
  <c r="AH296" i="83" s="1"/>
  <c r="AJ1430" i="83"/>
  <c r="AK1430" i="83" s="1"/>
  <c r="AJ1385" i="83"/>
  <c r="AK1385" i="83" s="1"/>
  <c r="AJ1353" i="83"/>
  <c r="AK1353" i="83" s="1"/>
  <c r="AJ1048" i="83"/>
  <c r="AK1048" i="83" s="1"/>
  <c r="AJ959" i="83"/>
  <c r="AJ947" i="83"/>
  <c r="AK947" i="83" s="1"/>
  <c r="AJ919" i="83"/>
  <c r="AJ907" i="83"/>
  <c r="AK907" i="83" s="1"/>
  <c r="AJ813" i="83"/>
  <c r="AK813" i="83" s="1"/>
  <c r="AJ778" i="83"/>
  <c r="AK778" i="83" s="1"/>
  <c r="AJ642" i="83"/>
  <c r="AK642" i="83" s="1"/>
  <c r="AG629" i="83"/>
  <c r="AH629" i="83" s="1"/>
  <c r="AJ623" i="83"/>
  <c r="AG572" i="83"/>
  <c r="AH572" i="83" s="1"/>
  <c r="AK429" i="83"/>
  <c r="AJ348" i="83"/>
  <c r="AK348" i="83" s="1"/>
  <c r="AJ277" i="83"/>
  <c r="AK277" i="83" s="1"/>
  <c r="AH277" i="83"/>
  <c r="AH117" i="83"/>
  <c r="AJ117" i="83"/>
  <c r="AG107" i="83"/>
  <c r="AH107" i="83" s="1"/>
  <c r="AJ1059" i="83"/>
  <c r="AK1059" i="83" s="1"/>
  <c r="AJ1019" i="83"/>
  <c r="AK1019" i="83" s="1"/>
  <c r="AJ953" i="83"/>
  <c r="AK953" i="83" s="1"/>
  <c r="AJ940" i="83"/>
  <c r="AJ900" i="83"/>
  <c r="AK900" i="83" s="1"/>
  <c r="AJ872" i="83"/>
  <c r="AK872" i="83" s="1"/>
  <c r="AJ818" i="83"/>
  <c r="AK818" i="83" s="1"/>
  <c r="AG708" i="83"/>
  <c r="AH708" i="83" s="1"/>
  <c r="AJ613" i="83"/>
  <c r="AK613" i="83" s="1"/>
  <c r="AJ594" i="83"/>
  <c r="AK594" i="83" s="1"/>
  <c r="AH536" i="83"/>
  <c r="AJ536" i="83"/>
  <c r="AJ509" i="83"/>
  <c r="AK509" i="83" s="1"/>
  <c r="AJ503" i="83"/>
  <c r="AK503" i="83" s="1"/>
  <c r="AJ386" i="83"/>
  <c r="AK386" i="83" s="1"/>
  <c r="AJ364" i="83"/>
  <c r="AK364" i="83" s="1"/>
  <c r="AG321" i="83"/>
  <c r="AH321" i="83" s="1"/>
  <c r="AH302" i="83"/>
  <c r="AH89" i="83"/>
  <c r="AJ89" i="83"/>
  <c r="AK89" i="83" s="1"/>
  <c r="AG46" i="83"/>
  <c r="AH46" i="83" s="1"/>
  <c r="AJ977" i="83"/>
  <c r="AJ906" i="83"/>
  <c r="AK906" i="83" s="1"/>
  <c r="AJ648" i="83"/>
  <c r="AK648" i="83" s="1"/>
  <c r="AK560" i="83"/>
  <c r="AG549" i="83"/>
  <c r="AH549" i="83" s="1"/>
  <c r="AJ549" i="83"/>
  <c r="AK549" i="83" s="1"/>
  <c r="AJ461" i="83"/>
  <c r="AK461" i="83" s="1"/>
  <c r="AK302" i="83"/>
  <c r="AH275" i="83"/>
  <c r="AJ275" i="83"/>
  <c r="AH45" i="83"/>
  <c r="AJ45" i="83"/>
  <c r="AK45" i="83" s="1"/>
  <c r="AJ599" i="83"/>
  <c r="AG565" i="83"/>
  <c r="AH565" i="83" s="1"/>
  <c r="AK541" i="83"/>
  <c r="AH362" i="83"/>
  <c r="AJ362" i="83"/>
  <c r="AK239" i="83"/>
  <c r="AH173" i="83"/>
  <c r="AJ173" i="83"/>
  <c r="AH133" i="83"/>
  <c r="AJ133" i="83"/>
  <c r="AK133" i="83" s="1"/>
  <c r="AH63" i="83"/>
  <c r="AJ63" i="83"/>
  <c r="AJ223" i="83"/>
  <c r="AK223" i="83" s="1"/>
  <c r="AG152" i="83"/>
  <c r="AH152" i="83" s="1"/>
  <c r="AJ141" i="83"/>
  <c r="AH141" i="83"/>
  <c r="AJ134" i="83"/>
  <c r="AK134" i="83" s="1"/>
  <c r="AK484" i="83"/>
  <c r="AK399" i="83"/>
  <c r="AK394" i="83"/>
  <c r="AK373" i="83"/>
  <c r="AJ336" i="83"/>
  <c r="AK336" i="83" s="1"/>
  <c r="AJ267" i="83"/>
  <c r="AK267" i="83" s="1"/>
  <c r="AJ204" i="83"/>
  <c r="AK204" i="83" s="1"/>
  <c r="AG191" i="83"/>
  <c r="AH191" i="83" s="1"/>
  <c r="AJ174" i="83"/>
  <c r="AH174" i="83"/>
  <c r="AG140" i="83"/>
  <c r="AH140" i="83" s="1"/>
  <c r="AG91" i="83"/>
  <c r="AH91" i="83" s="1"/>
  <c r="AJ91" i="83"/>
  <c r="AK91" i="83" s="1"/>
  <c r="AJ659" i="83"/>
  <c r="AK659" i="83" s="1"/>
  <c r="AJ567" i="83"/>
  <c r="AK567" i="83" s="1"/>
  <c r="AJ517" i="83"/>
  <c r="AK517" i="83" s="1"/>
  <c r="AJ421" i="83"/>
  <c r="AK421" i="83" s="1"/>
  <c r="AJ346" i="83"/>
  <c r="AK346" i="83" s="1"/>
  <c r="AG280" i="83"/>
  <c r="AH280" i="83" s="1"/>
  <c r="AG209" i="83"/>
  <c r="AH209" i="83" s="1"/>
  <c r="AJ190" i="83"/>
  <c r="AK190" i="83" s="1"/>
  <c r="AJ139" i="83"/>
  <c r="AK139" i="83" s="1"/>
  <c r="AJ35" i="83"/>
  <c r="AK35" i="83" s="1"/>
  <c r="AK445" i="83"/>
  <c r="AJ410" i="83"/>
  <c r="AK410" i="83" s="1"/>
  <c r="AJ335" i="83"/>
  <c r="AK335" i="83" s="1"/>
  <c r="AJ293" i="83"/>
  <c r="AH293" i="83"/>
  <c r="AJ228" i="83"/>
  <c r="AK228" i="83" s="1"/>
  <c r="AJ97" i="83"/>
  <c r="AK97" i="83" s="1"/>
  <c r="AH97" i="83"/>
  <c r="AJ57" i="83"/>
  <c r="AJ703" i="83"/>
  <c r="AK703" i="83" s="1"/>
  <c r="AJ600" i="83"/>
  <c r="AK600" i="83" s="1"/>
  <c r="AJ528" i="83"/>
  <c r="AK528" i="83" s="1"/>
  <c r="AK520" i="83"/>
  <c r="AJ500" i="83"/>
  <c r="AK500" i="83" s="1"/>
  <c r="AJ378" i="83"/>
  <c r="AK378" i="83" s="1"/>
  <c r="AJ340" i="83"/>
  <c r="AK340" i="83" s="1"/>
  <c r="AH329" i="83"/>
  <c r="AK329" i="83" s="1"/>
  <c r="AJ305" i="83"/>
  <c r="AK305" i="83" s="1"/>
  <c r="AJ184" i="83"/>
  <c r="AJ167" i="83"/>
  <c r="AK167" i="83" s="1"/>
  <c r="AJ150" i="83"/>
  <c r="AK150" i="83" s="1"/>
  <c r="AJ123" i="83"/>
  <c r="AK123" i="83" s="1"/>
  <c r="AJ109" i="83"/>
  <c r="AK109" i="83" s="1"/>
  <c r="AJ41" i="83"/>
  <c r="AK41" i="83" s="1"/>
  <c r="AJ716" i="83"/>
  <c r="AK716" i="83" s="1"/>
  <c r="AK624" i="83"/>
  <c r="AJ508" i="83"/>
  <c r="AJ334" i="83"/>
  <c r="AK334" i="83" s="1"/>
  <c r="AK278" i="83"/>
  <c r="AJ270" i="83"/>
  <c r="AK270" i="83" s="1"/>
  <c r="AJ243" i="83"/>
  <c r="AH243" i="83"/>
  <c r="AJ236" i="83"/>
  <c r="AK236" i="83" s="1"/>
  <c r="AJ207" i="83"/>
  <c r="AK207" i="83" s="1"/>
  <c r="AJ177" i="83"/>
  <c r="AK177" i="83" s="1"/>
  <c r="AG145" i="83"/>
  <c r="AH145" i="83" s="1"/>
  <c r="AG25" i="83"/>
  <c r="AH25" i="83" s="1"/>
  <c r="AJ939" i="83"/>
  <c r="AK939" i="83" s="1"/>
  <c r="AH920" i="83"/>
  <c r="AJ915" i="83"/>
  <c r="AK915" i="83" s="1"/>
  <c r="AJ890" i="83"/>
  <c r="AK890" i="83" s="1"/>
  <c r="AJ860" i="83"/>
  <c r="AJ796" i="83"/>
  <c r="AJ735" i="83"/>
  <c r="AJ721" i="83"/>
  <c r="AK721" i="83" s="1"/>
  <c r="AJ667" i="83"/>
  <c r="AK667" i="83" s="1"/>
  <c r="AH610" i="83"/>
  <c r="AK610" i="83" s="1"/>
  <c r="AJ516" i="83"/>
  <c r="AK516" i="83" s="1"/>
  <c r="AJ432" i="83"/>
  <c r="AK432" i="83" s="1"/>
  <c r="AJ404" i="83"/>
  <c r="AK404" i="83" s="1"/>
  <c r="AJ388" i="83"/>
  <c r="AK388" i="83" s="1"/>
  <c r="AG388" i="83"/>
  <c r="AH388" i="83" s="1"/>
  <c r="AJ188" i="83"/>
  <c r="AK188" i="83" s="1"/>
  <c r="AJ172" i="83"/>
  <c r="AK172" i="83" s="1"/>
  <c r="AJ156" i="83"/>
  <c r="AK156" i="83" s="1"/>
  <c r="AJ137" i="83"/>
  <c r="AJ69" i="83"/>
  <c r="AK69" i="83" s="1"/>
  <c r="AJ532" i="83"/>
  <c r="AK532" i="83" s="1"/>
  <c r="AJ426" i="83"/>
  <c r="AK426" i="83" s="1"/>
  <c r="AJ397" i="83"/>
  <c r="AK397" i="83" s="1"/>
  <c r="AJ372" i="83"/>
  <c r="AK372" i="83" s="1"/>
  <c r="AJ328" i="83"/>
  <c r="AK328" i="83" s="1"/>
  <c r="AG248" i="83"/>
  <c r="AH248" i="83" s="1"/>
  <c r="AJ213" i="83"/>
  <c r="AK213" i="83" s="1"/>
  <c r="AJ115" i="83"/>
  <c r="AK115" i="83" s="1"/>
  <c r="AJ182" i="83"/>
  <c r="AK182" i="83" s="1"/>
  <c r="AJ161" i="83"/>
  <c r="AK161" i="83" s="1"/>
  <c r="AJ740" i="83"/>
  <c r="AK740" i="83" s="1"/>
  <c r="AJ700" i="83"/>
  <c r="AK700" i="83" s="1"/>
  <c r="AK674" i="83"/>
  <c r="AJ564" i="83"/>
  <c r="AJ548" i="83"/>
  <c r="AK548" i="83" s="1"/>
  <c r="AJ254" i="83"/>
  <c r="AK254" i="83" s="1"/>
  <c r="AJ199" i="83"/>
  <c r="AK199" i="83" s="1"/>
  <c r="AJ160" i="83"/>
  <c r="AJ143" i="83"/>
  <c r="AK143" i="83" s="1"/>
  <c r="AG135" i="83"/>
  <c r="AH135" i="83" s="1"/>
  <c r="AJ724" i="83"/>
  <c r="AK724" i="83" s="1"/>
  <c r="AJ692" i="83"/>
  <c r="AK692" i="83" s="1"/>
  <c r="AJ657" i="83"/>
  <c r="AJ654" i="83"/>
  <c r="AJ615" i="83"/>
  <c r="AK615" i="83" s="1"/>
  <c r="AJ324" i="83"/>
  <c r="AK324" i="83" s="1"/>
  <c r="AJ220" i="83"/>
  <c r="AJ183" i="83"/>
  <c r="AK183" i="83" s="1"/>
  <c r="AJ131" i="83"/>
  <c r="AK131" i="83" s="1"/>
  <c r="AJ108" i="83"/>
  <c r="AK108" i="83" s="1"/>
  <c r="AJ103" i="83"/>
  <c r="AK103" i="83" s="1"/>
  <c r="AJ92" i="83"/>
  <c r="AK92" i="83" s="1"/>
  <c r="AJ87" i="83"/>
  <c r="AK87" i="83" s="1"/>
  <c r="AJ357" i="83"/>
  <c r="AK357" i="83" s="1"/>
  <c r="AH179" i="83"/>
  <c r="AK179" i="83" s="1"/>
  <c r="AJ175" i="83"/>
  <c r="AK175" i="83" s="1"/>
  <c r="AJ149" i="83"/>
  <c r="AK149" i="83" s="1"/>
  <c r="AJ75" i="83"/>
  <c r="AK75" i="83" s="1"/>
  <c r="AJ60" i="83"/>
  <c r="AK60" i="83" s="1"/>
  <c r="AJ33" i="83"/>
  <c r="AK33" i="83" s="1"/>
  <c r="AJ22" i="83"/>
  <c r="AK22" i="83" s="1"/>
  <c r="AJ158" i="83"/>
  <c r="AJ124" i="83"/>
  <c r="AK124" i="83" s="1"/>
  <c r="AJ44" i="83"/>
  <c r="AK44" i="83" s="1"/>
  <c r="AJ21" i="83"/>
  <c r="AK21" i="83" s="1"/>
  <c r="AJ53" i="83"/>
  <c r="AK53" i="83" s="1"/>
  <c r="AJ15" i="83"/>
  <c r="AK15" i="83" s="1"/>
  <c r="AJ9" i="83"/>
  <c r="AK9" i="83" s="1"/>
  <c r="AJ43" i="83"/>
  <c r="AK43" i="83" s="1"/>
  <c r="AJ20" i="83"/>
  <c r="AK20" i="83" s="1"/>
  <c r="AJ14" i="83"/>
  <c r="AK14" i="83" s="1"/>
  <c r="AH2579" i="83"/>
  <c r="AJ2579" i="83"/>
  <c r="AH2555" i="83"/>
  <c r="AJ2555" i="83"/>
  <c r="AJ2627" i="83"/>
  <c r="AH2627" i="83"/>
  <c r="AH2595" i="83"/>
  <c r="AJ2595" i="83"/>
  <c r="AH2409" i="83"/>
  <c r="AJ2409" i="83"/>
  <c r="AH2376" i="83"/>
  <c r="AJ2376" i="83"/>
  <c r="AK2376" i="83" s="1"/>
  <c r="AJ2360" i="83"/>
  <c r="AH2360" i="83"/>
  <c r="AH2309" i="83"/>
  <c r="AJ2309" i="83"/>
  <c r="AG2280" i="83"/>
  <c r="AH2280" i="83" s="1"/>
  <c r="AG2250" i="83"/>
  <c r="AH2250" i="83" s="1"/>
  <c r="AJ2596" i="83"/>
  <c r="AK2596" i="83" s="1"/>
  <c r="AH2582" i="83"/>
  <c r="AK2582" i="83" s="1"/>
  <c r="AG2562" i="83"/>
  <c r="AH2562" i="83" s="1"/>
  <c r="AG2552" i="83"/>
  <c r="AH2552" i="83" s="1"/>
  <c r="AH2534" i="83"/>
  <c r="AJ2534" i="83"/>
  <c r="AK2534" i="83" s="1"/>
  <c r="AJ2531" i="83"/>
  <c r="AK2531" i="83" s="1"/>
  <c r="AG2514" i="83"/>
  <c r="AH2514" i="83" s="1"/>
  <c r="AJ2509" i="83"/>
  <c r="AK2509" i="83" s="1"/>
  <c r="AK2505" i="83"/>
  <c r="AH2470" i="83"/>
  <c r="AJ2470" i="83"/>
  <c r="AJ2467" i="83"/>
  <c r="AK2467" i="83" s="1"/>
  <c r="AG2450" i="83"/>
  <c r="AH2450" i="83" s="1"/>
  <c r="AJ2445" i="83"/>
  <c r="AK2445" i="83" s="1"/>
  <c r="AJ2413" i="83"/>
  <c r="AK2413" i="83" s="1"/>
  <c r="AH2383" i="83"/>
  <c r="AJ2383" i="83"/>
  <c r="AK2371" i="83"/>
  <c r="AJ2367" i="83"/>
  <c r="AH2367" i="83"/>
  <c r="AH2351" i="83"/>
  <c r="AJ2351" i="83"/>
  <c r="AK2330" i="83"/>
  <c r="AH2317" i="83"/>
  <c r="AJ2317" i="83"/>
  <c r="AG2288" i="83"/>
  <c r="AH2288" i="83" s="1"/>
  <c r="AH2201" i="83"/>
  <c r="AJ2201" i="83"/>
  <c r="AH2149" i="83"/>
  <c r="AJ2149" i="83"/>
  <c r="AG2506" i="83"/>
  <c r="AH2506" i="83" s="1"/>
  <c r="AG2442" i="83"/>
  <c r="AH2442" i="83" s="1"/>
  <c r="AJ2620" i="83"/>
  <c r="AK2620" i="83" s="1"/>
  <c r="AJ2612" i="83"/>
  <c r="AK2612" i="83" s="1"/>
  <c r="AJ2604" i="83"/>
  <c r="AK2604" i="83" s="1"/>
  <c r="AH2590" i="83"/>
  <c r="AK2590" i="83" s="1"/>
  <c r="AJ2587" i="83"/>
  <c r="AK2587" i="83" s="1"/>
  <c r="AH2574" i="83"/>
  <c r="AK2574" i="83" s="1"/>
  <c r="AK2561" i="83"/>
  <c r="AJ2547" i="83"/>
  <c r="AK2547" i="83" s="1"/>
  <c r="AH2542" i="83"/>
  <c r="AJ2542" i="83"/>
  <c r="AJ2539" i="83"/>
  <c r="AK2539" i="83" s="1"/>
  <c r="AG2522" i="83"/>
  <c r="AH2522" i="83" s="1"/>
  <c r="AK2513" i="83"/>
  <c r="AH2478" i="83"/>
  <c r="AJ2478" i="83"/>
  <c r="AJ2475" i="83"/>
  <c r="AK2475" i="83" s="1"/>
  <c r="AG2458" i="83"/>
  <c r="AH2458" i="83" s="1"/>
  <c r="AK2449" i="83"/>
  <c r="AJ2419" i="83"/>
  <c r="AK2419" i="83" s="1"/>
  <c r="AK2412" i="83"/>
  <c r="AG2402" i="83"/>
  <c r="AH2402" i="83" s="1"/>
  <c r="AK2397" i="83"/>
  <c r="AH2325" i="83"/>
  <c r="AJ2325" i="83"/>
  <c r="AG2296" i="83"/>
  <c r="AH2296" i="83" s="1"/>
  <c r="AG2178" i="83"/>
  <c r="AH2178" i="83" s="1"/>
  <c r="AH1636" i="83"/>
  <c r="AJ1636" i="83"/>
  <c r="AG1624" i="83"/>
  <c r="AH1624" i="83" s="1"/>
  <c r="AG2554" i="83"/>
  <c r="AH2554" i="83" s="1"/>
  <c r="AH2486" i="83"/>
  <c r="AJ2486" i="83"/>
  <c r="AG2466" i="83"/>
  <c r="AH2466" i="83" s="1"/>
  <c r="AH2269" i="83"/>
  <c r="AJ2269" i="83"/>
  <c r="AK2269" i="83" s="1"/>
  <c r="AG2592" i="83"/>
  <c r="AH2592" i="83" s="1"/>
  <c r="AG2576" i="83"/>
  <c r="AH2576" i="83" s="1"/>
  <c r="AJ2571" i="83"/>
  <c r="AK2571" i="83" s="1"/>
  <c r="AJ2549" i="83"/>
  <c r="AK2549" i="83" s="1"/>
  <c r="AG2538" i="83"/>
  <c r="AH2538" i="83" s="1"/>
  <c r="AJ2533" i="83"/>
  <c r="AK2533" i="83" s="1"/>
  <c r="AH2494" i="83"/>
  <c r="AJ2494" i="83"/>
  <c r="AG2474" i="83"/>
  <c r="AH2474" i="83" s="1"/>
  <c r="AJ2469" i="83"/>
  <c r="AK2469" i="83" s="1"/>
  <c r="AG2418" i="83"/>
  <c r="AH2418" i="83" s="1"/>
  <c r="AJ2405" i="83"/>
  <c r="AK2405" i="83" s="1"/>
  <c r="AG2386" i="83"/>
  <c r="AH2386" i="83" s="1"/>
  <c r="AG2370" i="83"/>
  <c r="AH2370" i="83" s="1"/>
  <c r="AG2354" i="83"/>
  <c r="AH2354" i="83" s="1"/>
  <c r="AJ2337" i="83"/>
  <c r="AK2337" i="83" s="1"/>
  <c r="AG2312" i="83"/>
  <c r="AH2312" i="83" s="1"/>
  <c r="AJ2312" i="83"/>
  <c r="AK2312" i="83" s="1"/>
  <c r="AH2277" i="83"/>
  <c r="AJ2277" i="83"/>
  <c r="AK2277" i="83" s="1"/>
  <c r="AH2181" i="83"/>
  <c r="AJ2181" i="83"/>
  <c r="AK2181" i="83" s="1"/>
  <c r="AG2070" i="83"/>
  <c r="AH2070" i="83" s="1"/>
  <c r="AH1950" i="83"/>
  <c r="AJ1950" i="83"/>
  <c r="AH2526" i="83"/>
  <c r="AJ2526" i="83"/>
  <c r="AH2261" i="83"/>
  <c r="AJ2261" i="83"/>
  <c r="AG2626" i="83"/>
  <c r="AH2626" i="83" s="1"/>
  <c r="AG2568" i="83"/>
  <c r="AH2568" i="83" s="1"/>
  <c r="AJ2568" i="83"/>
  <c r="AK2568" i="83" s="1"/>
  <c r="AG2546" i="83"/>
  <c r="AH2546" i="83" s="1"/>
  <c r="AH2502" i="83"/>
  <c r="AJ2502" i="83"/>
  <c r="AJ2482" i="83"/>
  <c r="AK2482" i="83" s="1"/>
  <c r="AG2482" i="83"/>
  <c r="AH2482" i="83" s="1"/>
  <c r="AJ2477" i="83"/>
  <c r="AK2477" i="83" s="1"/>
  <c r="AH2417" i="83"/>
  <c r="AJ2417" i="83"/>
  <c r="AK2417" i="83" s="1"/>
  <c r="AH2345" i="83"/>
  <c r="AJ2345" i="83"/>
  <c r="AG2320" i="83"/>
  <c r="AH2320" i="83" s="1"/>
  <c r="AJ2320" i="83"/>
  <c r="AK2320" i="83" s="1"/>
  <c r="AH2285" i="83"/>
  <c r="AJ2285" i="83"/>
  <c r="AH2117" i="83"/>
  <c r="AJ2117" i="83"/>
  <c r="AG2094" i="83"/>
  <c r="AH2094" i="83" s="1"/>
  <c r="AH2462" i="83"/>
  <c r="AJ2462" i="83"/>
  <c r="AG2530" i="83"/>
  <c r="AH2530" i="83" s="1"/>
  <c r="AG2594" i="83"/>
  <c r="AH2594" i="83" s="1"/>
  <c r="AJ2589" i="83"/>
  <c r="AK2589" i="83" s="1"/>
  <c r="AG2578" i="83"/>
  <c r="AH2578" i="83" s="1"/>
  <c r="AJ2573" i="83"/>
  <c r="AK2573" i="83" s="1"/>
  <c r="AJ2563" i="83"/>
  <c r="AK2563" i="83" s="1"/>
  <c r="AH2510" i="83"/>
  <c r="AJ2510" i="83"/>
  <c r="AG2490" i="83"/>
  <c r="AH2490" i="83" s="1"/>
  <c r="AJ2485" i="83"/>
  <c r="AK2485" i="83" s="1"/>
  <c r="AG2426" i="83"/>
  <c r="AH2426" i="83" s="1"/>
  <c r="AJ2421" i="83"/>
  <c r="AK2421" i="83" s="1"/>
  <c r="AJ2400" i="83"/>
  <c r="AK2400" i="83" s="1"/>
  <c r="AG2344" i="83"/>
  <c r="AH2344" i="83" s="1"/>
  <c r="AJ2344" i="83"/>
  <c r="AK2344" i="83" s="1"/>
  <c r="AG2328" i="83"/>
  <c r="AH2328" i="83" s="1"/>
  <c r="AH2293" i="83"/>
  <c r="AJ2293" i="83"/>
  <c r="AG2264" i="83"/>
  <c r="AH2264" i="83" s="1"/>
  <c r="AG2256" i="83"/>
  <c r="AH2256" i="83" s="1"/>
  <c r="AH2017" i="83"/>
  <c r="AJ2017" i="83"/>
  <c r="AH2392" i="83"/>
  <c r="AJ2392" i="83"/>
  <c r="AG2584" i="83"/>
  <c r="AH2584" i="83" s="1"/>
  <c r="AJ2584" i="83"/>
  <c r="AK2584" i="83" s="1"/>
  <c r="AG2304" i="83"/>
  <c r="AH2304" i="83" s="1"/>
  <c r="AG2114" i="83"/>
  <c r="AH2114" i="83" s="1"/>
  <c r="AJ2624" i="83"/>
  <c r="AK2624" i="83" s="1"/>
  <c r="AG2616" i="83"/>
  <c r="AH2616" i="83" s="1"/>
  <c r="AG2608" i="83"/>
  <c r="AH2608" i="83" s="1"/>
  <c r="AG2600" i="83"/>
  <c r="AH2600" i="83" s="1"/>
  <c r="AG2586" i="83"/>
  <c r="AH2586" i="83" s="1"/>
  <c r="AG2618" i="83"/>
  <c r="AH2618" i="83" s="1"/>
  <c r="AG2610" i="83"/>
  <c r="AH2610" i="83" s="1"/>
  <c r="AG2602" i="83"/>
  <c r="AH2602" i="83" s="1"/>
  <c r="AJ2597" i="83"/>
  <c r="AK2597" i="83" s="1"/>
  <c r="AK2593" i="83"/>
  <c r="AK2577" i="83"/>
  <c r="AG2570" i="83"/>
  <c r="AH2570" i="83" s="1"/>
  <c r="AG2560" i="83"/>
  <c r="AH2560" i="83" s="1"/>
  <c r="AJ2560" i="83"/>
  <c r="AK2560" i="83" s="1"/>
  <c r="AH2518" i="83"/>
  <c r="AJ2518" i="83"/>
  <c r="AJ2515" i="83"/>
  <c r="AK2515" i="83" s="1"/>
  <c r="AG2498" i="83"/>
  <c r="AH2498" i="83" s="1"/>
  <c r="AJ2493" i="83"/>
  <c r="AK2493" i="83" s="1"/>
  <c r="AK2489" i="83"/>
  <c r="AH2454" i="83"/>
  <c r="AJ2454" i="83"/>
  <c r="AJ2451" i="83"/>
  <c r="AK2451" i="83" s="1"/>
  <c r="AG2434" i="83"/>
  <c r="AH2434" i="83" s="1"/>
  <c r="AJ2429" i="83"/>
  <c r="AK2429" i="83" s="1"/>
  <c r="AK2420" i="83"/>
  <c r="AG2410" i="83"/>
  <c r="AH2410" i="83" s="1"/>
  <c r="AH2399" i="83"/>
  <c r="AJ2399" i="83"/>
  <c r="AJ2393" i="83"/>
  <c r="AK2393" i="83" s="1"/>
  <c r="AG2393" i="83"/>
  <c r="AH2393" i="83" s="1"/>
  <c r="AG2377" i="83"/>
  <c r="AH2377" i="83" s="1"/>
  <c r="AG2361" i="83"/>
  <c r="AH2361" i="83" s="1"/>
  <c r="AH2301" i="83"/>
  <c r="AJ2301" i="83"/>
  <c r="AG2272" i="83"/>
  <c r="AH2272" i="83" s="1"/>
  <c r="AG2146" i="83"/>
  <c r="AH2146" i="83" s="1"/>
  <c r="AJ2146" i="83"/>
  <c r="AK2146" i="83" s="1"/>
  <c r="AJ2544" i="83"/>
  <c r="AK2544" i="83" s="1"/>
  <c r="AJ2536" i="83"/>
  <c r="AK2536" i="83" s="1"/>
  <c r="AJ2528" i="83"/>
  <c r="AK2528" i="83" s="1"/>
  <c r="AJ2520" i="83"/>
  <c r="AK2520" i="83" s="1"/>
  <c r="AJ2512" i="83"/>
  <c r="AK2512" i="83" s="1"/>
  <c r="AJ2504" i="83"/>
  <c r="AK2504" i="83" s="1"/>
  <c r="AJ2496" i="83"/>
  <c r="AK2496" i="83" s="1"/>
  <c r="AJ2488" i="83"/>
  <c r="AK2488" i="83" s="1"/>
  <c r="AJ2480" i="83"/>
  <c r="AK2480" i="83" s="1"/>
  <c r="AJ2472" i="83"/>
  <c r="AK2472" i="83" s="1"/>
  <c r="AJ2464" i="83"/>
  <c r="AK2464" i="83" s="1"/>
  <c r="AJ2456" i="83"/>
  <c r="AK2456" i="83" s="1"/>
  <c r="AJ2448" i="83"/>
  <c r="AK2448" i="83" s="1"/>
  <c r="AJ2440" i="83"/>
  <c r="AK2440" i="83" s="1"/>
  <c r="AJ2432" i="83"/>
  <c r="AK2432" i="83" s="1"/>
  <c r="AJ2424" i="83"/>
  <c r="AK2424" i="83" s="1"/>
  <c r="AJ2416" i="83"/>
  <c r="AK2416" i="83" s="1"/>
  <c r="AJ2408" i="83"/>
  <c r="AK2408" i="83" s="1"/>
  <c r="AJ2398" i="83"/>
  <c r="AK2398" i="83" s="1"/>
  <c r="AJ2389" i="83"/>
  <c r="AK2389" i="83" s="1"/>
  <c r="AJ2382" i="83"/>
  <c r="AK2382" i="83" s="1"/>
  <c r="AJ2373" i="83"/>
  <c r="AK2373" i="83" s="1"/>
  <c r="AJ2366" i="83"/>
  <c r="AK2366" i="83" s="1"/>
  <c r="AJ2357" i="83"/>
  <c r="AK2357" i="83" s="1"/>
  <c r="AJ2350" i="83"/>
  <c r="AK2350" i="83" s="1"/>
  <c r="AG2342" i="83"/>
  <c r="AH2342" i="83" s="1"/>
  <c r="AH2253" i="83"/>
  <c r="AJ2253" i="83"/>
  <c r="AH2225" i="83"/>
  <c r="AJ2225" i="83"/>
  <c r="AK2225" i="83" s="1"/>
  <c r="AG2222" i="83"/>
  <c r="AH2222" i="83" s="1"/>
  <c r="AH2213" i="83"/>
  <c r="AJ2213" i="83"/>
  <c r="AK2191" i="83"/>
  <c r="AG2182" i="83"/>
  <c r="AH2182" i="83" s="1"/>
  <c r="AH2153" i="83"/>
  <c r="AJ2153" i="83"/>
  <c r="AG2150" i="83"/>
  <c r="AH2150" i="83" s="1"/>
  <c r="AH2121" i="83"/>
  <c r="AJ2121" i="83"/>
  <c r="AG2118" i="83"/>
  <c r="AH2118" i="83" s="1"/>
  <c r="AJ2118" i="83"/>
  <c r="AK2118" i="83" s="1"/>
  <c r="AH2097" i="83"/>
  <c r="AJ2097" i="83"/>
  <c r="AG2078" i="83"/>
  <c r="AH2078" i="83" s="1"/>
  <c r="AH2049" i="83"/>
  <c r="AJ2049" i="83"/>
  <c r="AH2025" i="83"/>
  <c r="AJ2025" i="83"/>
  <c r="AH2013" i="83"/>
  <c r="AJ2013" i="83"/>
  <c r="AJ2446" i="83"/>
  <c r="AK2446" i="83" s="1"/>
  <c r="AJ2438" i="83"/>
  <c r="AK2438" i="83" s="1"/>
  <c r="AJ2430" i="83"/>
  <c r="AK2430" i="83" s="1"/>
  <c r="AJ2422" i="83"/>
  <c r="AK2422" i="83" s="1"/>
  <c r="AJ2414" i="83"/>
  <c r="AK2414" i="83" s="1"/>
  <c r="AJ2406" i="83"/>
  <c r="AK2406" i="83" s="1"/>
  <c r="AJ2394" i="83"/>
  <c r="AK2394" i="83" s="1"/>
  <c r="AJ2378" i="83"/>
  <c r="AK2378" i="83" s="1"/>
  <c r="AJ2362" i="83"/>
  <c r="AK2362" i="83" s="1"/>
  <c r="AJ2343" i="83"/>
  <c r="AK2343" i="83" s="1"/>
  <c r="AJ2341" i="83"/>
  <c r="AK2341" i="83" s="1"/>
  <c r="AJ2327" i="83"/>
  <c r="AK2327" i="83" s="1"/>
  <c r="AJ2319" i="83"/>
  <c r="AK2319" i="83" s="1"/>
  <c r="AJ2311" i="83"/>
  <c r="AK2311" i="83" s="1"/>
  <c r="AJ2303" i="83"/>
  <c r="AK2303" i="83" s="1"/>
  <c r="AJ2295" i="83"/>
  <c r="AK2295" i="83" s="1"/>
  <c r="AJ2287" i="83"/>
  <c r="AK2287" i="83" s="1"/>
  <c r="AJ2279" i="83"/>
  <c r="AK2279" i="83" s="1"/>
  <c r="AJ2271" i="83"/>
  <c r="AK2271" i="83" s="1"/>
  <c r="AH2249" i="83"/>
  <c r="AJ2249" i="83"/>
  <c r="AG2246" i="83"/>
  <c r="AH2246" i="83" s="1"/>
  <c r="AH2221" i="83"/>
  <c r="AJ2221" i="83"/>
  <c r="AG2210" i="83"/>
  <c r="AH2210" i="83" s="1"/>
  <c r="AG2198" i="83"/>
  <c r="AH2198" i="83" s="1"/>
  <c r="AH2177" i="83"/>
  <c r="AJ2177" i="83"/>
  <c r="AG2174" i="83"/>
  <c r="AH2174" i="83" s="1"/>
  <c r="AH2145" i="83"/>
  <c r="AJ2145" i="83"/>
  <c r="AG2142" i="83"/>
  <c r="AH2142" i="83" s="1"/>
  <c r="AH2113" i="83"/>
  <c r="AJ2113" i="83"/>
  <c r="AG2110" i="83"/>
  <c r="AH2110" i="83" s="1"/>
  <c r="AH2081" i="83"/>
  <c r="AJ2081" i="83"/>
  <c r="AG2062" i="83"/>
  <c r="AH2062" i="83" s="1"/>
  <c r="AJ2044" i="83"/>
  <c r="AK2044" i="83" s="1"/>
  <c r="AG2038" i="83"/>
  <c r="AH2038" i="83" s="1"/>
  <c r="AG2009" i="83"/>
  <c r="AH2009" i="83" s="1"/>
  <c r="AG2005" i="83"/>
  <c r="AH2005" i="83" s="1"/>
  <c r="AG2001" i="83"/>
  <c r="AH2001" i="83" s="1"/>
  <c r="AG1997" i="83"/>
  <c r="AH1997" i="83" s="1"/>
  <c r="AH1682" i="83"/>
  <c r="AJ1682" i="83"/>
  <c r="AJ2401" i="83"/>
  <c r="AK2401" i="83" s="1"/>
  <c r="AJ2396" i="83"/>
  <c r="AK2396" i="83" s="1"/>
  <c r="AJ2385" i="83"/>
  <c r="AK2385" i="83" s="1"/>
  <c r="AJ2380" i="83"/>
  <c r="AK2380" i="83" s="1"/>
  <c r="AJ2369" i="83"/>
  <c r="AK2369" i="83" s="1"/>
  <c r="AJ2364" i="83"/>
  <c r="AK2364" i="83" s="1"/>
  <c r="AJ2353" i="83"/>
  <c r="AK2353" i="83" s="1"/>
  <c r="AJ2348" i="83"/>
  <c r="AK2348" i="83" s="1"/>
  <c r="AG2322" i="83"/>
  <c r="AH2322" i="83" s="1"/>
  <c r="AG2314" i="83"/>
  <c r="AH2314" i="83" s="1"/>
  <c r="AG2306" i="83"/>
  <c r="AH2306" i="83" s="1"/>
  <c r="AG2298" i="83"/>
  <c r="AH2298" i="83" s="1"/>
  <c r="AG2290" i="83"/>
  <c r="AH2290" i="83" s="1"/>
  <c r="AJ2290" i="83"/>
  <c r="AK2290" i="83" s="1"/>
  <c r="AG2282" i="83"/>
  <c r="AH2282" i="83" s="1"/>
  <c r="AG2274" i="83"/>
  <c r="AH2274" i="83" s="1"/>
  <c r="AG2266" i="83"/>
  <c r="AH2266" i="83" s="1"/>
  <c r="AG2258" i="83"/>
  <c r="AH2258" i="83" s="1"/>
  <c r="AH2245" i="83"/>
  <c r="AJ2245" i="83"/>
  <c r="AG2242" i="83"/>
  <c r="AH2242" i="83" s="1"/>
  <c r="AK2227" i="83"/>
  <c r="AG2218" i="83"/>
  <c r="AH2218" i="83" s="1"/>
  <c r="AH2209" i="83"/>
  <c r="AJ2209" i="83"/>
  <c r="AG2206" i="83"/>
  <c r="AH2206" i="83" s="1"/>
  <c r="AH2197" i="83"/>
  <c r="AJ2197" i="83"/>
  <c r="AK2197" i="83" s="1"/>
  <c r="AG2194" i="83"/>
  <c r="AH2194" i="83" s="1"/>
  <c r="AH2173" i="83"/>
  <c r="AJ2173" i="83"/>
  <c r="AG2170" i="83"/>
  <c r="AH2170" i="83" s="1"/>
  <c r="AK2155" i="83"/>
  <c r="AH2141" i="83"/>
  <c r="AJ2141" i="83"/>
  <c r="AG2138" i="83"/>
  <c r="AH2138" i="83" s="1"/>
  <c r="AH2109" i="83"/>
  <c r="AJ2109" i="83"/>
  <c r="AK2109" i="83" s="1"/>
  <c r="AG2106" i="83"/>
  <c r="AH2106" i="83" s="1"/>
  <c r="AK2099" i="83"/>
  <c r="AJ2093" i="83"/>
  <c r="AK2093" i="83" s="1"/>
  <c r="AJ2076" i="83"/>
  <c r="AK2076" i="83" s="1"/>
  <c r="AH2073" i="83"/>
  <c r="AJ2073" i="83"/>
  <c r="AH2041" i="83"/>
  <c r="AJ2041" i="83"/>
  <c r="AH1964" i="83"/>
  <c r="AJ1964" i="83"/>
  <c r="AG1709" i="83"/>
  <c r="AH1709" i="83" s="1"/>
  <c r="AH2241" i="83"/>
  <c r="AJ2241" i="83"/>
  <c r="AG2238" i="83"/>
  <c r="AH2238" i="83" s="1"/>
  <c r="AH2193" i="83"/>
  <c r="AJ2193" i="83"/>
  <c r="AG2190" i="83"/>
  <c r="AH2190" i="83" s="1"/>
  <c r="AJ2190" i="83"/>
  <c r="AK2190" i="83" s="1"/>
  <c r="AH2169" i="83"/>
  <c r="AJ2169" i="83"/>
  <c r="AG2166" i="83"/>
  <c r="AH2166" i="83" s="1"/>
  <c r="AH2137" i="83"/>
  <c r="AJ2137" i="83"/>
  <c r="AG2134" i="83"/>
  <c r="AH2134" i="83" s="1"/>
  <c r="AH2105" i="83"/>
  <c r="AJ2105" i="83"/>
  <c r="AH2065" i="83"/>
  <c r="AJ2065" i="83"/>
  <c r="AG2054" i="83"/>
  <c r="AH2054" i="83" s="1"/>
  <c r="AG1877" i="83"/>
  <c r="AH1877" i="83" s="1"/>
  <c r="AG1813" i="83"/>
  <c r="AH1813" i="83" s="1"/>
  <c r="AJ2347" i="83"/>
  <c r="AK2347" i="83" s="1"/>
  <c r="AJ2338" i="83"/>
  <c r="AK2338" i="83" s="1"/>
  <c r="AG2336" i="83"/>
  <c r="AH2336" i="83" s="1"/>
  <c r="AJ2331" i="83"/>
  <c r="AK2331" i="83" s="1"/>
  <c r="AG2324" i="83"/>
  <c r="AH2324" i="83" s="1"/>
  <c r="AG2316" i="83"/>
  <c r="AH2316" i="83" s="1"/>
  <c r="AG2308" i="83"/>
  <c r="AH2308" i="83" s="1"/>
  <c r="AG2300" i="83"/>
  <c r="AH2300" i="83" s="1"/>
  <c r="AG2292" i="83"/>
  <c r="AH2292" i="83" s="1"/>
  <c r="AG2284" i="83"/>
  <c r="AH2284" i="83" s="1"/>
  <c r="AG2276" i="83"/>
  <c r="AH2276" i="83" s="1"/>
  <c r="AG2268" i="83"/>
  <c r="AH2268" i="83" s="1"/>
  <c r="AG2260" i="83"/>
  <c r="AH2260" i="83" s="1"/>
  <c r="AJ2251" i="83"/>
  <c r="AK2251" i="83" s="1"/>
  <c r="AH2237" i="83"/>
  <c r="AJ2237" i="83"/>
  <c r="AK2237" i="83" s="1"/>
  <c r="AG2234" i="83"/>
  <c r="AH2234" i="83" s="1"/>
  <c r="AH2217" i="83"/>
  <c r="AJ2217" i="83"/>
  <c r="AH2205" i="83"/>
  <c r="AJ2205" i="83"/>
  <c r="AH2189" i="83"/>
  <c r="AJ2189" i="83"/>
  <c r="AK2189" i="83" s="1"/>
  <c r="AG2186" i="83"/>
  <c r="AH2186" i="83" s="1"/>
  <c r="AH2165" i="83"/>
  <c r="AJ2165" i="83"/>
  <c r="AK2165" i="83" s="1"/>
  <c r="AG2162" i="83"/>
  <c r="AH2162" i="83" s="1"/>
  <c r="AH2133" i="83"/>
  <c r="AJ2133" i="83"/>
  <c r="AG2130" i="83"/>
  <c r="AH2130" i="83" s="1"/>
  <c r="AG2102" i="83"/>
  <c r="AH2102" i="83" s="1"/>
  <c r="AH2057" i="83"/>
  <c r="AJ2057" i="83"/>
  <c r="AG2030" i="83"/>
  <c r="AH2030" i="83" s="1"/>
  <c r="AJ2332" i="83"/>
  <c r="AK2332" i="83" s="1"/>
  <c r="AK2335" i="83"/>
  <c r="AH2233" i="83"/>
  <c r="AJ2233" i="83"/>
  <c r="AG2230" i="83"/>
  <c r="AH2230" i="83" s="1"/>
  <c r="AG2214" i="83"/>
  <c r="AH2214" i="83" s="1"/>
  <c r="AH2185" i="83"/>
  <c r="AJ2185" i="83"/>
  <c r="AH2161" i="83"/>
  <c r="AJ2161" i="83"/>
  <c r="AG2158" i="83"/>
  <c r="AH2158" i="83" s="1"/>
  <c r="AH2129" i="83"/>
  <c r="AJ2129" i="83"/>
  <c r="AG2126" i="83"/>
  <c r="AH2126" i="83" s="1"/>
  <c r="AK2111" i="83"/>
  <c r="AH2101" i="83"/>
  <c r="AJ2101" i="83"/>
  <c r="AG2086" i="83"/>
  <c r="AH2086" i="83" s="1"/>
  <c r="AK2071" i="83"/>
  <c r="AH2033" i="83"/>
  <c r="AJ2033" i="83"/>
  <c r="AG2022" i="83"/>
  <c r="AH2022" i="83" s="1"/>
  <c r="AG2007" i="83"/>
  <c r="AH2007" i="83" s="1"/>
  <c r="AG2003" i="83"/>
  <c r="AH2003" i="83" s="1"/>
  <c r="AG1999" i="83"/>
  <c r="AH1999" i="83" s="1"/>
  <c r="AG1957" i="83"/>
  <c r="AH1957" i="83" s="1"/>
  <c r="AG2334" i="83"/>
  <c r="AH2334" i="83" s="1"/>
  <c r="AJ2388" i="83"/>
  <c r="AK2388" i="83" s="1"/>
  <c r="AJ2372" i="83"/>
  <c r="AK2372" i="83" s="1"/>
  <c r="AJ2356" i="83"/>
  <c r="AK2356" i="83" s="1"/>
  <c r="AG2340" i="83"/>
  <c r="AH2340" i="83" s="1"/>
  <c r="AG2326" i="83"/>
  <c r="AH2326" i="83" s="1"/>
  <c r="AG2318" i="83"/>
  <c r="AH2318" i="83" s="1"/>
  <c r="AJ2318" i="83"/>
  <c r="AK2318" i="83" s="1"/>
  <c r="AG2310" i="83"/>
  <c r="AH2310" i="83" s="1"/>
  <c r="AG2302" i="83"/>
  <c r="AH2302" i="83" s="1"/>
  <c r="AG2294" i="83"/>
  <c r="AH2294" i="83" s="1"/>
  <c r="AJ2294" i="83"/>
  <c r="AK2294" i="83" s="1"/>
  <c r="AG2286" i="83"/>
  <c r="AH2286" i="83" s="1"/>
  <c r="AG2278" i="83"/>
  <c r="AH2278" i="83" s="1"/>
  <c r="AG2270" i="83"/>
  <c r="AH2270" i="83" s="1"/>
  <c r="AJ2270" i="83"/>
  <c r="AK2270" i="83" s="1"/>
  <c r="AG2262" i="83"/>
  <c r="AH2262" i="83" s="1"/>
  <c r="AJ2262" i="83"/>
  <c r="AK2262" i="83" s="1"/>
  <c r="AG2254" i="83"/>
  <c r="AH2254" i="83" s="1"/>
  <c r="AH2229" i="83"/>
  <c r="AJ2229" i="83"/>
  <c r="AG2226" i="83"/>
  <c r="AH2226" i="83" s="1"/>
  <c r="AG2202" i="83"/>
  <c r="AH2202" i="83" s="1"/>
  <c r="AK2171" i="83"/>
  <c r="AH2157" i="83"/>
  <c r="AJ2157" i="83"/>
  <c r="AG2154" i="83"/>
  <c r="AH2154" i="83" s="1"/>
  <c r="AK2139" i="83"/>
  <c r="AH2125" i="83"/>
  <c r="AJ2125" i="83"/>
  <c r="AG2122" i="83"/>
  <c r="AH2122" i="83" s="1"/>
  <c r="AJ2122" i="83"/>
  <c r="AK2122" i="83" s="1"/>
  <c r="AG2098" i="83"/>
  <c r="AH2098" i="83" s="1"/>
  <c r="AK2091" i="83"/>
  <c r="AH2089" i="83"/>
  <c r="AJ2089" i="83"/>
  <c r="AG2046" i="83"/>
  <c r="AH2046" i="83" s="1"/>
  <c r="AH2021" i="83"/>
  <c r="AJ2021" i="83"/>
  <c r="AG2014" i="83"/>
  <c r="AH2014" i="83" s="1"/>
  <c r="AG1976" i="83"/>
  <c r="AH1976" i="83" s="1"/>
  <c r="AG2252" i="83"/>
  <c r="AH2252" i="83" s="1"/>
  <c r="AG2244" i="83"/>
  <c r="AH2244" i="83" s="1"/>
  <c r="AG2236" i="83"/>
  <c r="AH2236" i="83" s="1"/>
  <c r="AG2228" i="83"/>
  <c r="AH2228" i="83" s="1"/>
  <c r="AG2220" i="83"/>
  <c r="AH2220" i="83" s="1"/>
  <c r="AG2212" i="83"/>
  <c r="AH2212" i="83" s="1"/>
  <c r="AG2204" i="83"/>
  <c r="AH2204" i="83" s="1"/>
  <c r="AG2196" i="83"/>
  <c r="AH2196" i="83" s="1"/>
  <c r="AG2188" i="83"/>
  <c r="AH2188" i="83" s="1"/>
  <c r="AG2180" i="83"/>
  <c r="AH2180" i="83" s="1"/>
  <c r="AG2172" i="83"/>
  <c r="AH2172" i="83" s="1"/>
  <c r="AG2164" i="83"/>
  <c r="AH2164" i="83" s="1"/>
  <c r="AG2156" i="83"/>
  <c r="AH2156" i="83" s="1"/>
  <c r="AG2148" i="83"/>
  <c r="AH2148" i="83" s="1"/>
  <c r="AG2140" i="83"/>
  <c r="AH2140" i="83" s="1"/>
  <c r="AG2132" i="83"/>
  <c r="AH2132" i="83" s="1"/>
  <c r="AG2124" i="83"/>
  <c r="AH2124" i="83" s="1"/>
  <c r="AG2116" i="83"/>
  <c r="AH2116" i="83" s="1"/>
  <c r="AG2108" i="83"/>
  <c r="AH2108" i="83" s="1"/>
  <c r="AG2076" i="83"/>
  <c r="AH2076" i="83" s="1"/>
  <c r="AG2068" i="83"/>
  <c r="AH2068" i="83" s="1"/>
  <c r="AG2060" i="83"/>
  <c r="AH2060" i="83" s="1"/>
  <c r="AG2052" i="83"/>
  <c r="AH2052" i="83" s="1"/>
  <c r="AG2044" i="83"/>
  <c r="AH2044" i="83" s="1"/>
  <c r="AG2036" i="83"/>
  <c r="AH2036" i="83" s="1"/>
  <c r="AG2028" i="83"/>
  <c r="AH2028" i="83" s="1"/>
  <c r="AG2020" i="83"/>
  <c r="AH2020" i="83" s="1"/>
  <c r="AG2012" i="83"/>
  <c r="AH2012" i="83" s="1"/>
  <c r="AJ1985" i="83"/>
  <c r="AK1985" i="83" s="1"/>
  <c r="AJ1980" i="83"/>
  <c r="AK1980" i="83" s="1"/>
  <c r="AJ1971" i="83"/>
  <c r="AK1971" i="83" s="1"/>
  <c r="AJ1952" i="83"/>
  <c r="AK1952" i="83" s="1"/>
  <c r="AH1889" i="83"/>
  <c r="AJ1889" i="83"/>
  <c r="AG1837" i="83"/>
  <c r="AH1837" i="83" s="1"/>
  <c r="AJ1816" i="83"/>
  <c r="AK1816" i="83" s="1"/>
  <c r="AG1347" i="83"/>
  <c r="AH1347" i="83" s="1"/>
  <c r="AG1052" i="83"/>
  <c r="AH1052" i="83" s="1"/>
  <c r="AG817" i="83"/>
  <c r="AH817" i="83" s="1"/>
  <c r="AJ2085" i="83"/>
  <c r="AK2085" i="83" s="1"/>
  <c r="AJ2077" i="83"/>
  <c r="AK2077" i="83" s="1"/>
  <c r="AJ2069" i="83"/>
  <c r="AK2069" i="83" s="1"/>
  <c r="AJ2061" i="83"/>
  <c r="AK2061" i="83" s="1"/>
  <c r="AJ2053" i="83"/>
  <c r="AK2053" i="83" s="1"/>
  <c r="AJ2045" i="83"/>
  <c r="AK2045" i="83" s="1"/>
  <c r="AJ2037" i="83"/>
  <c r="AK2037" i="83" s="1"/>
  <c r="AJ2029" i="83"/>
  <c r="AK2029" i="83" s="1"/>
  <c r="AJ1992" i="83"/>
  <c r="AK1992" i="83" s="1"/>
  <c r="AG1973" i="83"/>
  <c r="AH1973" i="83" s="1"/>
  <c r="AJ1947" i="83"/>
  <c r="AK1947" i="83" s="1"/>
  <c r="AK1902" i="83"/>
  <c r="AJ1897" i="83"/>
  <c r="AK1897" i="83" s="1"/>
  <c r="AG1861" i="83"/>
  <c r="AH1861" i="83" s="1"/>
  <c r="AG1797" i="83"/>
  <c r="AH1797" i="83" s="1"/>
  <c r="AK1753" i="83"/>
  <c r="AG1685" i="83"/>
  <c r="AH1685" i="83" s="1"/>
  <c r="AH1593" i="83"/>
  <c r="AJ1593" i="83"/>
  <c r="AK1593" i="83" s="1"/>
  <c r="AJ2248" i="83"/>
  <c r="AK2248" i="83" s="1"/>
  <c r="AJ2240" i="83"/>
  <c r="AK2240" i="83" s="1"/>
  <c r="AJ2232" i="83"/>
  <c r="AK2232" i="83" s="1"/>
  <c r="AJ2224" i="83"/>
  <c r="AK2224" i="83" s="1"/>
  <c r="AJ2216" i="83"/>
  <c r="AJ2208" i="83"/>
  <c r="AK2208" i="83" s="1"/>
  <c r="AJ2200" i="83"/>
  <c r="AJ2192" i="83"/>
  <c r="AK2192" i="83" s="1"/>
  <c r="AJ2184" i="83"/>
  <c r="AJ2176" i="83"/>
  <c r="AK2176" i="83" s="1"/>
  <c r="AJ2168" i="83"/>
  <c r="AK2168" i="83" s="1"/>
  <c r="AJ2160" i="83"/>
  <c r="AK2160" i="83" s="1"/>
  <c r="AJ2152" i="83"/>
  <c r="AK2152" i="83" s="1"/>
  <c r="AJ2144" i="83"/>
  <c r="AK2144" i="83" s="1"/>
  <c r="AJ2136" i="83"/>
  <c r="AK2136" i="83" s="1"/>
  <c r="AJ2128" i="83"/>
  <c r="AK2128" i="83" s="1"/>
  <c r="AJ2120" i="83"/>
  <c r="AK2120" i="83" s="1"/>
  <c r="AJ2112" i="83"/>
  <c r="AK2112" i="83" s="1"/>
  <c r="AJ2104" i="83"/>
  <c r="AK2104" i="83" s="1"/>
  <c r="AJ2096" i="83"/>
  <c r="AK2096" i="83" s="1"/>
  <c r="AJ2088" i="83"/>
  <c r="AK2088" i="83" s="1"/>
  <c r="AJ2080" i="83"/>
  <c r="AK2080" i="83" s="1"/>
  <c r="AJ2072" i="83"/>
  <c r="AK2072" i="83" s="1"/>
  <c r="AJ2064" i="83"/>
  <c r="AK2064" i="83" s="1"/>
  <c r="AJ2024" i="83"/>
  <c r="AK2024" i="83" s="1"/>
  <c r="AJ2016" i="83"/>
  <c r="AK2016" i="83" s="1"/>
  <c r="AJ1987" i="83"/>
  <c r="AK1987" i="83" s="1"/>
  <c r="AJ1968" i="83"/>
  <c r="AK1968" i="83" s="1"/>
  <c r="AK1958" i="83"/>
  <c r="AG1949" i="83"/>
  <c r="AH1949" i="83" s="1"/>
  <c r="AJ1885" i="83"/>
  <c r="AK1885" i="83" s="1"/>
  <c r="AG1885" i="83"/>
  <c r="AH1885" i="83" s="1"/>
  <c r="AJ1864" i="83"/>
  <c r="AK1864" i="83" s="1"/>
  <c r="AG1821" i="83"/>
  <c r="AH1821" i="83" s="1"/>
  <c r="AK1815" i="83"/>
  <c r="AJ1800" i="83"/>
  <c r="AK1800" i="83" s="1"/>
  <c r="AJ1769" i="83"/>
  <c r="AK1769" i="83" s="1"/>
  <c r="AJ1711" i="83"/>
  <c r="AH1711" i="83"/>
  <c r="AG1688" i="83"/>
  <c r="AH1688" i="83" s="1"/>
  <c r="AJ1627" i="83"/>
  <c r="AH1627" i="83"/>
  <c r="AH1550" i="83"/>
  <c r="AJ1550" i="83"/>
  <c r="AJ2083" i="83"/>
  <c r="AK2083" i="83" s="1"/>
  <c r="AJ2075" i="83"/>
  <c r="AK2075" i="83" s="1"/>
  <c r="AJ2067" i="83"/>
  <c r="AK2067" i="83" s="1"/>
  <c r="AJ2059" i="83"/>
  <c r="AK2059" i="83" s="1"/>
  <c r="AJ2027" i="83"/>
  <c r="AK2027" i="83" s="1"/>
  <c r="AJ2019" i="83"/>
  <c r="AK2019" i="83" s="1"/>
  <c r="AJ2011" i="83"/>
  <c r="AK2011" i="83" s="1"/>
  <c r="AG1989" i="83"/>
  <c r="AH1989" i="83" s="1"/>
  <c r="AJ1977" i="83"/>
  <c r="AK1977" i="83" s="1"/>
  <c r="AJ1972" i="83"/>
  <c r="AK1972" i="83" s="1"/>
  <c r="AJ1963" i="83"/>
  <c r="AK1963" i="83" s="1"/>
  <c r="AJ1944" i="83"/>
  <c r="AK1944" i="83" s="1"/>
  <c r="AJ1899" i="83"/>
  <c r="AK1899" i="83" s="1"/>
  <c r="AG1845" i="83"/>
  <c r="AH1845" i="83" s="1"/>
  <c r="AJ1824" i="83"/>
  <c r="AK1824" i="83" s="1"/>
  <c r="AG1781" i="83"/>
  <c r="AH1781" i="83" s="1"/>
  <c r="AG1696" i="83"/>
  <c r="AH1696" i="83" s="1"/>
  <c r="AG1673" i="83"/>
  <c r="AH1673" i="83" s="1"/>
  <c r="AJ1984" i="83"/>
  <c r="AK1984" i="83" s="1"/>
  <c r="AJ1965" i="83"/>
  <c r="AK1965" i="83" s="1"/>
  <c r="AG1965" i="83"/>
  <c r="AH1965" i="83" s="1"/>
  <c r="AJ1948" i="83"/>
  <c r="AK1948" i="83" s="1"/>
  <c r="AK1939" i="83"/>
  <c r="AK1923" i="83"/>
  <c r="AJ1896" i="83"/>
  <c r="AK1896" i="83" s="1"/>
  <c r="AG1893" i="83"/>
  <c r="AH1893" i="83" s="1"/>
  <c r="AG1869" i="83"/>
  <c r="AH1869" i="83" s="1"/>
  <c r="AK1835" i="83"/>
  <c r="AG1805" i="83"/>
  <c r="AH1805" i="83" s="1"/>
  <c r="AG1771" i="83"/>
  <c r="AH1771" i="83" s="1"/>
  <c r="AJ1979" i="83"/>
  <c r="AK1979" i="83" s="1"/>
  <c r="AJ1960" i="83"/>
  <c r="AK1960" i="83" s="1"/>
  <c r="AJ1941" i="83"/>
  <c r="AK1941" i="83" s="1"/>
  <c r="AG1941" i="83"/>
  <c r="AH1941" i="83" s="1"/>
  <c r="AJ1936" i="83"/>
  <c r="AK1936" i="83" s="1"/>
  <c r="AJ1928" i="83"/>
  <c r="AK1928" i="83" s="1"/>
  <c r="AJ1920" i="83"/>
  <c r="AK1920" i="83" s="1"/>
  <c r="AJ1912" i="83"/>
  <c r="AK1912" i="83" s="1"/>
  <c r="AJ1904" i="83"/>
  <c r="AK1904" i="83" s="1"/>
  <c r="AG1901" i="83"/>
  <c r="AH1901" i="83" s="1"/>
  <c r="AH1881" i="83"/>
  <c r="AJ1881" i="83"/>
  <c r="AG1829" i="83"/>
  <c r="AH1829" i="83" s="1"/>
  <c r="AG1728" i="83"/>
  <c r="AH1728" i="83" s="1"/>
  <c r="AJ1691" i="83"/>
  <c r="AH1691" i="83"/>
  <c r="AH1578" i="83"/>
  <c r="AJ1578" i="83"/>
  <c r="AK1578" i="83" s="1"/>
  <c r="AG1483" i="83"/>
  <c r="AH1483" i="83" s="1"/>
  <c r="AJ1995" i="83"/>
  <c r="AK1995" i="83" s="1"/>
  <c r="AG1981" i="83"/>
  <c r="AH1981" i="83" s="1"/>
  <c r="AJ1969" i="83"/>
  <c r="AK1969" i="83" s="1"/>
  <c r="AJ1955" i="83"/>
  <c r="AK1955" i="83" s="1"/>
  <c r="AG1933" i="83"/>
  <c r="AH1933" i="83" s="1"/>
  <c r="AG1925" i="83"/>
  <c r="AH1925" i="83" s="1"/>
  <c r="AG1917" i="83"/>
  <c r="AH1917" i="83" s="1"/>
  <c r="AG1909" i="83"/>
  <c r="AH1909" i="83" s="1"/>
  <c r="AG1853" i="83"/>
  <c r="AH1853" i="83" s="1"/>
  <c r="AK1847" i="83"/>
  <c r="AJ1832" i="83"/>
  <c r="AK1832" i="83" s="1"/>
  <c r="AK1819" i="83"/>
  <c r="AG1789" i="83"/>
  <c r="AH1789" i="83" s="1"/>
  <c r="AG1714" i="83"/>
  <c r="AH1714" i="83" s="1"/>
  <c r="AJ1737" i="83"/>
  <c r="AK1737" i="83" s="1"/>
  <c r="AJ1733" i="83"/>
  <c r="AK1733" i="83" s="1"/>
  <c r="AJ1721" i="83"/>
  <c r="AK1721" i="83" s="1"/>
  <c r="AJ1717" i="83"/>
  <c r="AK1717" i="83" s="1"/>
  <c r="AJ1704" i="83"/>
  <c r="AK1704" i="83" s="1"/>
  <c r="AH1676" i="83"/>
  <c r="AJ1676" i="83"/>
  <c r="AK1667" i="83"/>
  <c r="AJ1664" i="83"/>
  <c r="AK1664" i="83" s="1"/>
  <c r="AG1661" i="83"/>
  <c r="AH1661" i="83" s="1"/>
  <c r="AK1654" i="83"/>
  <c r="AJ1564" i="83"/>
  <c r="AH1564" i="83"/>
  <c r="AK1555" i="83"/>
  <c r="AH1546" i="83"/>
  <c r="AJ1546" i="83"/>
  <c r="AK1527" i="83"/>
  <c r="AG1418" i="83"/>
  <c r="AH1418" i="83" s="1"/>
  <c r="AJ1765" i="83"/>
  <c r="AK1765" i="83" s="1"/>
  <c r="AJ1757" i="83"/>
  <c r="AK1757" i="83" s="1"/>
  <c r="AJ1749" i="83"/>
  <c r="AK1749" i="83" s="1"/>
  <c r="AJ1741" i="83"/>
  <c r="AK1741" i="83" s="1"/>
  <c r="AH1716" i="83"/>
  <c r="AJ1716" i="83"/>
  <c r="AJ1701" i="83"/>
  <c r="AK1701" i="83" s="1"/>
  <c r="AJ1698" i="83"/>
  <c r="AK1698" i="83" s="1"/>
  <c r="AH1660" i="83"/>
  <c r="AJ1660" i="83"/>
  <c r="AK1660" i="83" s="1"/>
  <c r="AJ1648" i="83"/>
  <c r="AK1648" i="83" s="1"/>
  <c r="AG1645" i="83"/>
  <c r="AH1645" i="83" s="1"/>
  <c r="AG1592" i="83"/>
  <c r="AH1592" i="83" s="1"/>
  <c r="AJ1587" i="83"/>
  <c r="AH1587" i="83"/>
  <c r="AK1582" i="83"/>
  <c r="AJ1577" i="83"/>
  <c r="AK1577" i="83" s="1"/>
  <c r="AK1563" i="83"/>
  <c r="AH1554" i="83"/>
  <c r="AJ1554" i="83"/>
  <c r="AJ1540" i="83"/>
  <c r="AH1540" i="83"/>
  <c r="AG1503" i="83"/>
  <c r="AH1503" i="83" s="1"/>
  <c r="AJ1498" i="83"/>
  <c r="AK1498" i="83" s="1"/>
  <c r="AG1282" i="83"/>
  <c r="AH1282" i="83" s="1"/>
  <c r="AJ1876" i="83"/>
  <c r="AK1876" i="83" s="1"/>
  <c r="AJ1868" i="83"/>
  <c r="AK1868" i="83" s="1"/>
  <c r="AJ1860" i="83"/>
  <c r="AK1860" i="83" s="1"/>
  <c r="AJ1852" i="83"/>
  <c r="AK1852" i="83" s="1"/>
  <c r="AJ1844" i="83"/>
  <c r="AK1844" i="83" s="1"/>
  <c r="AJ1836" i="83"/>
  <c r="AK1836" i="83" s="1"/>
  <c r="AJ1828" i="83"/>
  <c r="AK1828" i="83" s="1"/>
  <c r="AJ1820" i="83"/>
  <c r="AK1820" i="83" s="1"/>
  <c r="AJ1812" i="83"/>
  <c r="AK1812" i="83" s="1"/>
  <c r="AJ1804" i="83"/>
  <c r="AK1804" i="83" s="1"/>
  <c r="AJ1796" i="83"/>
  <c r="AK1796" i="83" s="1"/>
  <c r="AJ1788" i="83"/>
  <c r="AK1788" i="83" s="1"/>
  <c r="AJ1780" i="83"/>
  <c r="AK1780" i="83" s="1"/>
  <c r="AJ1768" i="83"/>
  <c r="AK1768" i="83" s="1"/>
  <c r="AH1708" i="83"/>
  <c r="AJ1708" i="83"/>
  <c r="AJ1693" i="83"/>
  <c r="AK1693" i="83" s="1"/>
  <c r="AH1684" i="83"/>
  <c r="AJ1684" i="83"/>
  <c r="AJ1672" i="83"/>
  <c r="AK1672" i="83" s="1"/>
  <c r="AG1669" i="83"/>
  <c r="AH1669" i="83" s="1"/>
  <c r="AH1620" i="83"/>
  <c r="AJ1620" i="83"/>
  <c r="AJ1616" i="83"/>
  <c r="AK1616" i="83" s="1"/>
  <c r="AG1616" i="83"/>
  <c r="AH1616" i="83" s="1"/>
  <c r="AH1612" i="83"/>
  <c r="AJ1612" i="83"/>
  <c r="AG1608" i="83"/>
  <c r="AH1608" i="83" s="1"/>
  <c r="AH1604" i="83"/>
  <c r="AJ1604" i="83"/>
  <c r="AG1600" i="83"/>
  <c r="AH1600" i="83" s="1"/>
  <c r="AH1596" i="83"/>
  <c r="AJ1596" i="83"/>
  <c r="AH1558" i="83"/>
  <c r="AJ1558" i="83"/>
  <c r="AJ1544" i="83"/>
  <c r="AH1544" i="83"/>
  <c r="AG1514" i="83"/>
  <c r="AH1514" i="83" s="1"/>
  <c r="AJ1494" i="83"/>
  <c r="AK1494" i="83" s="1"/>
  <c r="AG1494" i="83"/>
  <c r="AH1494" i="83" s="1"/>
  <c r="AH1474" i="83"/>
  <c r="AJ1474" i="83"/>
  <c r="AG1467" i="83"/>
  <c r="AH1467" i="83" s="1"/>
  <c r="AG1435" i="83"/>
  <c r="AH1435" i="83" s="1"/>
  <c r="AH1198" i="83"/>
  <c r="AJ1198" i="83"/>
  <c r="AJ1775" i="83"/>
  <c r="AK1775" i="83" s="1"/>
  <c r="AJ1764" i="83"/>
  <c r="AK1764" i="83" s="1"/>
  <c r="AJ1758" i="83"/>
  <c r="AK1758" i="83" s="1"/>
  <c r="AJ1756" i="83"/>
  <c r="AK1756" i="83" s="1"/>
  <c r="AJ1750" i="83"/>
  <c r="AK1750" i="83" s="1"/>
  <c r="AJ1748" i="83"/>
  <c r="AK1748" i="83" s="1"/>
  <c r="AJ1742" i="83"/>
  <c r="AK1742" i="83" s="1"/>
  <c r="AJ1729" i="83"/>
  <c r="AK1729" i="83" s="1"/>
  <c r="AJ1725" i="83"/>
  <c r="AK1725" i="83" s="1"/>
  <c r="AJ1705" i="83"/>
  <c r="AK1705" i="83" s="1"/>
  <c r="AH1700" i="83"/>
  <c r="AJ1700" i="83"/>
  <c r="AH1659" i="83"/>
  <c r="AK1659" i="83" s="1"/>
  <c r="AJ1650" i="83"/>
  <c r="AK1650" i="83" s="1"/>
  <c r="AH1644" i="83"/>
  <c r="AJ1644" i="83"/>
  <c r="AK1644" i="83" s="1"/>
  <c r="AJ1641" i="83"/>
  <c r="AK1641" i="83" s="1"/>
  <c r="AJ1632" i="83"/>
  <c r="AK1632" i="83" s="1"/>
  <c r="AG1629" i="83"/>
  <c r="AH1629" i="83" s="1"/>
  <c r="AK1622" i="83"/>
  <c r="AH1590" i="83"/>
  <c r="AK1590" i="83" s="1"/>
  <c r="AH1586" i="83"/>
  <c r="AJ1586" i="83"/>
  <c r="AG1576" i="83"/>
  <c r="AH1576" i="83" s="1"/>
  <c r="AJ1571" i="83"/>
  <c r="AH1571" i="83"/>
  <c r="AH1562" i="83"/>
  <c r="AJ1562" i="83"/>
  <c r="AJ1548" i="83"/>
  <c r="AH1548" i="83"/>
  <c r="AH1506" i="83"/>
  <c r="AJ1506" i="83"/>
  <c r="AK1506" i="83" s="1"/>
  <c r="AG1462" i="83"/>
  <c r="AH1462" i="83" s="1"/>
  <c r="AH1375" i="83"/>
  <c r="AJ1375" i="83"/>
  <c r="AK1375" i="83" s="1"/>
  <c r="AJ1762" i="83"/>
  <c r="AK1762" i="83" s="1"/>
  <c r="AJ1754" i="83"/>
  <c r="AK1754" i="83" s="1"/>
  <c r="AJ1746" i="83"/>
  <c r="AK1746" i="83" s="1"/>
  <c r="AJ1736" i="83"/>
  <c r="AK1736" i="83" s="1"/>
  <c r="AJ1720" i="83"/>
  <c r="AK1720" i="83" s="1"/>
  <c r="AJ1707" i="83"/>
  <c r="AK1707" i="83" s="1"/>
  <c r="AH1692" i="83"/>
  <c r="AJ1692" i="83"/>
  <c r="AH1668" i="83"/>
  <c r="AJ1668" i="83"/>
  <c r="AJ1656" i="83"/>
  <c r="AK1656" i="83" s="1"/>
  <c r="AG1653" i="83"/>
  <c r="AH1653" i="83" s="1"/>
  <c r="AJ1653" i="83"/>
  <c r="AK1653" i="83" s="1"/>
  <c r="AJ1619" i="83"/>
  <c r="AH1619" i="83"/>
  <c r="AJ1611" i="83"/>
  <c r="AH1611" i="83"/>
  <c r="AJ1603" i="83"/>
  <c r="AH1603" i="83"/>
  <c r="AJ1595" i="83"/>
  <c r="AH1595" i="83"/>
  <c r="AJ1585" i="83"/>
  <c r="AK1585" i="83" s="1"/>
  <c r="AJ1552" i="83"/>
  <c r="AH1552" i="83"/>
  <c r="AK1543" i="83"/>
  <c r="AG1505" i="83"/>
  <c r="AH1505" i="83" s="1"/>
  <c r="AG1427" i="83"/>
  <c r="AH1427" i="83" s="1"/>
  <c r="AG1232" i="83"/>
  <c r="AH1232" i="83" s="1"/>
  <c r="AJ1760" i="83"/>
  <c r="AK1760" i="83" s="1"/>
  <c r="AJ1752" i="83"/>
  <c r="AK1752" i="83" s="1"/>
  <c r="AJ1724" i="83"/>
  <c r="AK1724" i="83" s="1"/>
  <c r="AJ1689" i="83"/>
  <c r="AK1689" i="83" s="1"/>
  <c r="AJ1680" i="83"/>
  <c r="AK1680" i="83" s="1"/>
  <c r="AG1677" i="83"/>
  <c r="AH1677" i="83" s="1"/>
  <c r="AH1643" i="83"/>
  <c r="AK1643" i="83" s="1"/>
  <c r="AJ1634" i="83"/>
  <c r="AK1634" i="83" s="1"/>
  <c r="AH1628" i="83"/>
  <c r="AJ1628" i="83"/>
  <c r="AJ1625" i="83"/>
  <c r="AK1625" i="83" s="1"/>
  <c r="AH1614" i="83"/>
  <c r="AK1614" i="83" s="1"/>
  <c r="AH1606" i="83"/>
  <c r="AK1606" i="83" s="1"/>
  <c r="AH1570" i="83"/>
  <c r="AJ1570" i="83"/>
  <c r="AG1566" i="83"/>
  <c r="AH1566" i="83" s="1"/>
  <c r="AJ1556" i="83"/>
  <c r="AH1556" i="83"/>
  <c r="AH1538" i="83"/>
  <c r="AJ1538" i="83"/>
  <c r="AJ1773" i="83"/>
  <c r="AK1773" i="83" s="1"/>
  <c r="AJ1712" i="83"/>
  <c r="AK1712" i="83" s="1"/>
  <c r="AH1652" i="83"/>
  <c r="AJ1652" i="83"/>
  <c r="AJ1640" i="83"/>
  <c r="AK1640" i="83" s="1"/>
  <c r="AG1637" i="83"/>
  <c r="AH1637" i="83" s="1"/>
  <c r="AH1594" i="83"/>
  <c r="AJ1594" i="83"/>
  <c r="AG1584" i="83"/>
  <c r="AH1584" i="83" s="1"/>
  <c r="AJ1579" i="83"/>
  <c r="AH1579" i="83"/>
  <c r="AJ1560" i="83"/>
  <c r="AH1560" i="83"/>
  <c r="AH1542" i="83"/>
  <c r="AJ1542" i="83"/>
  <c r="AJ1516" i="83"/>
  <c r="AH1516" i="83"/>
  <c r="AK1457" i="83"/>
  <c r="AH1259" i="83"/>
  <c r="AJ1259" i="83"/>
  <c r="AK1520" i="83"/>
  <c r="AK1464" i="83"/>
  <c r="AG1395" i="83"/>
  <c r="AH1395" i="83" s="1"/>
  <c r="AH1351" i="83"/>
  <c r="AJ1351" i="83"/>
  <c r="AK1324" i="83"/>
  <c r="AK1308" i="83"/>
  <c r="AG1264" i="83"/>
  <c r="AH1264" i="83" s="1"/>
  <c r="AJ1588" i="83"/>
  <c r="AK1588" i="83" s="1"/>
  <c r="AJ1580" i="83"/>
  <c r="AK1580" i="83" s="1"/>
  <c r="AJ1572" i="83"/>
  <c r="AK1572" i="83" s="1"/>
  <c r="AJ1567" i="83"/>
  <c r="AK1567" i="83" s="1"/>
  <c r="AJ1531" i="83"/>
  <c r="AK1531" i="83" s="1"/>
  <c r="AJ1529" i="83"/>
  <c r="AK1529" i="83" s="1"/>
  <c r="AJ1524" i="83"/>
  <c r="AK1524" i="83" s="1"/>
  <c r="AJ1522" i="83"/>
  <c r="AK1522" i="83" s="1"/>
  <c r="AJ1518" i="83"/>
  <c r="AK1518" i="83" s="1"/>
  <c r="AJ1511" i="83"/>
  <c r="AK1511" i="83" s="1"/>
  <c r="AK1504" i="83"/>
  <c r="AJ1485" i="83"/>
  <c r="AK1485" i="83" s="1"/>
  <c r="AJ1469" i="83"/>
  <c r="AK1469" i="83" s="1"/>
  <c r="AJ1459" i="83"/>
  <c r="AK1459" i="83" s="1"/>
  <c r="AJ1442" i="83"/>
  <c r="AK1442" i="83" s="1"/>
  <c r="AJ1437" i="83"/>
  <c r="AK1437" i="83" s="1"/>
  <c r="AJ1429" i="83"/>
  <c r="AK1429" i="83" s="1"/>
  <c r="AJ1421" i="83"/>
  <c r="AK1421" i="83" s="1"/>
  <c r="AH1415" i="83"/>
  <c r="AJ1415" i="83"/>
  <c r="AK1397" i="83"/>
  <c r="AH1391" i="83"/>
  <c r="AJ1391" i="83"/>
  <c r="AK1357" i="83"/>
  <c r="AJ1350" i="83"/>
  <c r="AK1350" i="83" s="1"/>
  <c r="AH1227" i="83"/>
  <c r="AJ1227" i="83"/>
  <c r="AJ1072" i="83"/>
  <c r="AH1072" i="83"/>
  <c r="AJ1695" i="83"/>
  <c r="AK1695" i="83" s="1"/>
  <c r="AJ1687" i="83"/>
  <c r="AK1687" i="83" s="1"/>
  <c r="AJ1679" i="83"/>
  <c r="AK1679" i="83" s="1"/>
  <c r="AJ1671" i="83"/>
  <c r="AK1671" i="83" s="1"/>
  <c r="AJ1663" i="83"/>
  <c r="AK1663" i="83" s="1"/>
  <c r="AJ1655" i="83"/>
  <c r="AK1655" i="83" s="1"/>
  <c r="AJ1647" i="83"/>
  <c r="AK1647" i="83" s="1"/>
  <c r="AJ1639" i="83"/>
  <c r="AK1639" i="83" s="1"/>
  <c r="AJ1631" i="83"/>
  <c r="AK1631" i="83" s="1"/>
  <c r="AJ1623" i="83"/>
  <c r="AK1623" i="83" s="1"/>
  <c r="AJ1615" i="83"/>
  <c r="AK1615" i="83" s="1"/>
  <c r="AJ1607" i="83"/>
  <c r="AK1607" i="83" s="1"/>
  <c r="AJ1599" i="83"/>
  <c r="AK1599" i="83" s="1"/>
  <c r="AJ1591" i="83"/>
  <c r="AK1591" i="83" s="1"/>
  <c r="AJ1583" i="83"/>
  <c r="AK1583" i="83" s="1"/>
  <c r="AJ1575" i="83"/>
  <c r="AK1575" i="83" s="1"/>
  <c r="AJ1569" i="83"/>
  <c r="AK1569" i="83" s="1"/>
  <c r="AJ1565" i="83"/>
  <c r="AK1565" i="83" s="1"/>
  <c r="AJ1491" i="83"/>
  <c r="AK1491" i="83" s="1"/>
  <c r="AJ1489" i="83"/>
  <c r="AK1489" i="83" s="1"/>
  <c r="AJ1482" i="83"/>
  <c r="AK1482" i="83" s="1"/>
  <c r="AJ1478" i="83"/>
  <c r="AK1478" i="83" s="1"/>
  <c r="AJ1471" i="83"/>
  <c r="AK1471" i="83" s="1"/>
  <c r="AK1468" i="83"/>
  <c r="AJ1454" i="83"/>
  <c r="AK1454" i="83" s="1"/>
  <c r="AK1449" i="83"/>
  <c r="AJ1439" i="83"/>
  <c r="AK1439" i="83" s="1"/>
  <c r="AK1436" i="83"/>
  <c r="AJ1434" i="83"/>
  <c r="AK1434" i="83" s="1"/>
  <c r="AJ1426" i="83"/>
  <c r="AK1426" i="83" s="1"/>
  <c r="AH1407" i="83"/>
  <c r="AJ1407" i="83"/>
  <c r="AG1387" i="83"/>
  <c r="AH1387" i="83" s="1"/>
  <c r="AG1371" i="83"/>
  <c r="AH1371" i="83" s="1"/>
  <c r="AH1343" i="83"/>
  <c r="AJ1343" i="83"/>
  <c r="AG1339" i="83"/>
  <c r="AH1339" i="83" s="1"/>
  <c r="AH1335" i="83"/>
  <c r="AJ1335" i="83"/>
  <c r="AG1331" i="83"/>
  <c r="AH1331" i="83" s="1"/>
  <c r="AJ1331" i="83"/>
  <c r="AK1331" i="83" s="1"/>
  <c r="AH1327" i="83"/>
  <c r="AJ1327" i="83"/>
  <c r="AG1323" i="83"/>
  <c r="AH1323" i="83" s="1"/>
  <c r="AH1319" i="83"/>
  <c r="AJ1319" i="83"/>
  <c r="AG1315" i="83"/>
  <c r="AH1315" i="83" s="1"/>
  <c r="AJ1315" i="83"/>
  <c r="AK1315" i="83" s="1"/>
  <c r="AH1311" i="83"/>
  <c r="AJ1311" i="83"/>
  <c r="AG1307" i="83"/>
  <c r="AH1307" i="83" s="1"/>
  <c r="AH1303" i="83"/>
  <c r="AJ1303" i="83"/>
  <c r="AG1299" i="83"/>
  <c r="AH1299" i="83" s="1"/>
  <c r="AH1295" i="83"/>
  <c r="AJ1295" i="83"/>
  <c r="AG1291" i="83"/>
  <c r="AH1291" i="83" s="1"/>
  <c r="AJ1277" i="83"/>
  <c r="AK1277" i="83" s="1"/>
  <c r="AG1248" i="83"/>
  <c r="AH1248" i="83" s="1"/>
  <c r="AG1077" i="83"/>
  <c r="AH1077" i="83" s="1"/>
  <c r="AJ1513" i="83"/>
  <c r="AK1513" i="83" s="1"/>
  <c r="AJ1502" i="83"/>
  <c r="AK1502" i="83" s="1"/>
  <c r="AJ1466" i="83"/>
  <c r="AK1466" i="83" s="1"/>
  <c r="AK1461" i="83"/>
  <c r="AG1431" i="83"/>
  <c r="AH1431" i="83" s="1"/>
  <c r="AG1423" i="83"/>
  <c r="AH1423" i="83" s="1"/>
  <c r="AJ1423" i="83"/>
  <c r="AK1423" i="83" s="1"/>
  <c r="AG1403" i="83"/>
  <c r="AH1403" i="83" s="1"/>
  <c r="AH1383" i="83"/>
  <c r="AJ1383" i="83"/>
  <c r="AH1367" i="83"/>
  <c r="AJ1367" i="83"/>
  <c r="AK1367" i="83" s="1"/>
  <c r="AH1314" i="83"/>
  <c r="AJ1314" i="83"/>
  <c r="AH1306" i="83"/>
  <c r="AJ1306" i="83"/>
  <c r="AH1298" i="83"/>
  <c r="AJ1298" i="83"/>
  <c r="AG1266" i="83"/>
  <c r="AH1266" i="83" s="1"/>
  <c r="AH1243" i="83"/>
  <c r="AJ1243" i="83"/>
  <c r="AJ1621" i="83"/>
  <c r="AK1621" i="83" s="1"/>
  <c r="AJ1613" i="83"/>
  <c r="AK1613" i="83" s="1"/>
  <c r="AJ1605" i="83"/>
  <c r="AK1605" i="83" s="1"/>
  <c r="AJ1597" i="83"/>
  <c r="AK1597" i="83" s="1"/>
  <c r="AJ1589" i="83"/>
  <c r="AK1589" i="83" s="1"/>
  <c r="AJ1581" i="83"/>
  <c r="AK1581" i="83" s="1"/>
  <c r="AJ1573" i="83"/>
  <c r="AK1573" i="83" s="1"/>
  <c r="AJ1568" i="83"/>
  <c r="AK1568" i="83" s="1"/>
  <c r="AJ1537" i="83"/>
  <c r="AK1537" i="83" s="1"/>
  <c r="AJ1532" i="83"/>
  <c r="AK1532" i="83" s="1"/>
  <c r="AJ1530" i="83"/>
  <c r="AK1530" i="83" s="1"/>
  <c r="AJ1526" i="83"/>
  <c r="AK1526" i="83" s="1"/>
  <c r="AJ1519" i="83"/>
  <c r="AK1519" i="83" s="1"/>
  <c r="AK1512" i="83"/>
  <c r="AJ1493" i="83"/>
  <c r="AK1493" i="83" s="1"/>
  <c r="AJ1475" i="83"/>
  <c r="AK1475" i="83" s="1"/>
  <c r="AJ1473" i="83"/>
  <c r="AK1473" i="83" s="1"/>
  <c r="AJ1463" i="83"/>
  <c r="AK1463" i="83" s="1"/>
  <c r="AK1460" i="83"/>
  <c r="AJ1446" i="83"/>
  <c r="AK1446" i="83" s="1"/>
  <c r="AJ1441" i="83"/>
  <c r="AK1441" i="83" s="1"/>
  <c r="AJ1414" i="83"/>
  <c r="AK1414" i="83" s="1"/>
  <c r="AJ1406" i="83"/>
  <c r="AK1406" i="83" s="1"/>
  <c r="AK1373" i="83"/>
  <c r="AG1363" i="83"/>
  <c r="AH1363" i="83" s="1"/>
  <c r="AJ1363" i="83"/>
  <c r="AK1363" i="83" s="1"/>
  <c r="AJ1342" i="83"/>
  <c r="AK1342" i="83" s="1"/>
  <c r="AJ1334" i="83"/>
  <c r="AK1334" i="83" s="1"/>
  <c r="AJ1326" i="83"/>
  <c r="AK1326" i="83" s="1"/>
  <c r="AJ1318" i="83"/>
  <c r="AK1318" i="83" s="1"/>
  <c r="AJ1310" i="83"/>
  <c r="AK1310" i="83" s="1"/>
  <c r="AJ1302" i="83"/>
  <c r="AK1302" i="83" s="1"/>
  <c r="AJ1294" i="83"/>
  <c r="AK1294" i="83" s="1"/>
  <c r="AG1280" i="83"/>
  <c r="AH1280" i="83" s="1"/>
  <c r="AG1234" i="83"/>
  <c r="AH1234" i="83" s="1"/>
  <c r="AG1220" i="83"/>
  <c r="AH1220" i="83" s="1"/>
  <c r="AG1192" i="83"/>
  <c r="AH1192" i="83" s="1"/>
  <c r="AJ1561" i="83"/>
  <c r="AK1561" i="83" s="1"/>
  <c r="AJ1557" i="83"/>
  <c r="AK1557" i="83" s="1"/>
  <c r="AJ1553" i="83"/>
  <c r="AK1553" i="83" s="1"/>
  <c r="AJ1549" i="83"/>
  <c r="AK1549" i="83" s="1"/>
  <c r="AJ1545" i="83"/>
  <c r="AK1545" i="83" s="1"/>
  <c r="AJ1541" i="83"/>
  <c r="AK1541" i="83" s="1"/>
  <c r="AK1536" i="83"/>
  <c r="AJ1499" i="83"/>
  <c r="AK1499" i="83" s="1"/>
  <c r="AJ1497" i="83"/>
  <c r="AK1497" i="83" s="1"/>
  <c r="AJ1492" i="83"/>
  <c r="AK1492" i="83" s="1"/>
  <c r="AJ1490" i="83"/>
  <c r="AK1490" i="83" s="1"/>
  <c r="AJ1486" i="83"/>
  <c r="AK1486" i="83" s="1"/>
  <c r="AJ1479" i="83"/>
  <c r="AK1479" i="83" s="1"/>
  <c r="AK1472" i="83"/>
  <c r="AJ1458" i="83"/>
  <c r="AK1458" i="83" s="1"/>
  <c r="AJ1443" i="83"/>
  <c r="AK1443" i="83" s="1"/>
  <c r="AK1440" i="83"/>
  <c r="AK1433" i="83"/>
  <c r="AG1411" i="83"/>
  <c r="AH1411" i="83" s="1"/>
  <c r="AJ1411" i="83"/>
  <c r="AH1399" i="83"/>
  <c r="AJ1399" i="83"/>
  <c r="AK1389" i="83"/>
  <c r="AJ1382" i="83"/>
  <c r="AK1382" i="83" s="1"/>
  <c r="AJ1366" i="83"/>
  <c r="AK1366" i="83" s="1"/>
  <c r="AH1359" i="83"/>
  <c r="AJ1359" i="83"/>
  <c r="AH1275" i="83"/>
  <c r="AJ1275" i="83"/>
  <c r="AJ1261" i="83"/>
  <c r="AK1261" i="83" s="1"/>
  <c r="AG1534" i="83"/>
  <c r="AH1534" i="83" s="1"/>
  <c r="AJ1523" i="83"/>
  <c r="AK1523" i="83" s="1"/>
  <c r="AJ1521" i="83"/>
  <c r="AK1521" i="83" s="1"/>
  <c r="AJ1510" i="83"/>
  <c r="AK1510" i="83" s="1"/>
  <c r="AG1481" i="83"/>
  <c r="AH1481" i="83" s="1"/>
  <c r="AJ1470" i="83"/>
  <c r="AK1470" i="83" s="1"/>
  <c r="AJ1455" i="83"/>
  <c r="AK1455" i="83" s="1"/>
  <c r="AK1452" i="83"/>
  <c r="AG1450" i="83"/>
  <c r="AH1450" i="83" s="1"/>
  <c r="AJ1438" i="83"/>
  <c r="AK1438" i="83" s="1"/>
  <c r="AK1432" i="83"/>
  <c r="AK1424" i="83"/>
  <c r="AJ1419" i="83"/>
  <c r="AK1419" i="83" s="1"/>
  <c r="AG1379" i="83"/>
  <c r="AH1379" i="83" s="1"/>
  <c r="AG1355" i="83"/>
  <c r="AH1355" i="83" s="1"/>
  <c r="AG1250" i="83"/>
  <c r="AH1250" i="83" s="1"/>
  <c r="AJ1229" i="83"/>
  <c r="AK1229" i="83" s="1"/>
  <c r="AG1345" i="83"/>
  <c r="AH1345" i="83" s="1"/>
  <c r="AG1337" i="83"/>
  <c r="AH1337" i="83" s="1"/>
  <c r="AG1329" i="83"/>
  <c r="AH1329" i="83" s="1"/>
  <c r="AG1321" i="83"/>
  <c r="AH1321" i="83" s="1"/>
  <c r="AG1313" i="83"/>
  <c r="AH1313" i="83" s="1"/>
  <c r="AG1305" i="83"/>
  <c r="AH1305" i="83" s="1"/>
  <c r="AG1297" i="83"/>
  <c r="AH1297" i="83" s="1"/>
  <c r="AG1284" i="83"/>
  <c r="AH1284" i="83" s="1"/>
  <c r="AJ1279" i="83"/>
  <c r="AK1279" i="83" s="1"/>
  <c r="AG1268" i="83"/>
  <c r="AH1268" i="83" s="1"/>
  <c r="AJ1268" i="83"/>
  <c r="AK1268" i="83" s="1"/>
  <c r="AJ1263" i="83"/>
  <c r="AK1263" i="83" s="1"/>
  <c r="AG1252" i="83"/>
  <c r="AH1252" i="83" s="1"/>
  <c r="AJ1247" i="83"/>
  <c r="AK1247" i="83" s="1"/>
  <c r="AG1236" i="83"/>
  <c r="AH1236" i="83" s="1"/>
  <c r="AJ1231" i="83"/>
  <c r="AK1231" i="83" s="1"/>
  <c r="AK1219" i="83"/>
  <c r="AG1212" i="83"/>
  <c r="AH1212" i="83" s="1"/>
  <c r="AK1203" i="83"/>
  <c r="AJ1197" i="83"/>
  <c r="AK1197" i="83" s="1"/>
  <c r="AH1191" i="83"/>
  <c r="AJ1191" i="83"/>
  <c r="AG1188" i="83"/>
  <c r="AH1188" i="83" s="1"/>
  <c r="AG1109" i="83"/>
  <c r="AH1109" i="83" s="1"/>
  <c r="AH1097" i="83"/>
  <c r="AJ1097" i="83"/>
  <c r="AK1068" i="83"/>
  <c r="AK940" i="83"/>
  <c r="AJ912" i="83"/>
  <c r="AH912" i="83"/>
  <c r="AH715" i="83"/>
  <c r="AJ715" i="83"/>
  <c r="AG414" i="83"/>
  <c r="AH414" i="83" s="1"/>
  <c r="AH368" i="83"/>
  <c r="AJ368" i="83"/>
  <c r="AJ350" i="83"/>
  <c r="AH350" i="83"/>
  <c r="AG331" i="83"/>
  <c r="AH331" i="83" s="1"/>
  <c r="AH281" i="83"/>
  <c r="AJ281" i="83"/>
  <c r="AJ206" i="83"/>
  <c r="AH206" i="83"/>
  <c r="AH203" i="83"/>
  <c r="AJ203" i="83"/>
  <c r="AJ1410" i="83"/>
  <c r="AJ1402" i="83"/>
  <c r="AK1402" i="83" s="1"/>
  <c r="AJ1394" i="83"/>
  <c r="AK1394" i="83" s="1"/>
  <c r="AJ1386" i="83"/>
  <c r="AK1386" i="83" s="1"/>
  <c r="AJ1378" i="83"/>
  <c r="AJ1370" i="83"/>
  <c r="AK1370" i="83" s="1"/>
  <c r="AJ1362" i="83"/>
  <c r="AK1362" i="83" s="1"/>
  <c r="AJ1354" i="83"/>
  <c r="AK1354" i="83" s="1"/>
  <c r="AJ1346" i="83"/>
  <c r="AJ1338" i="83"/>
  <c r="AK1338" i="83" s="1"/>
  <c r="AJ1330" i="83"/>
  <c r="AK1330" i="83" s="1"/>
  <c r="AJ1322" i="83"/>
  <c r="AK1322" i="83" s="1"/>
  <c r="AK1251" i="83"/>
  <c r="AK1147" i="83"/>
  <c r="AJ1144" i="83"/>
  <c r="AK1144" i="83" s="1"/>
  <c r="AJ1136" i="83"/>
  <c r="AK1136" i="83" s="1"/>
  <c r="AK1131" i="83"/>
  <c r="AJ1128" i="83"/>
  <c r="AK1128" i="83" s="1"/>
  <c r="AK1123" i="83"/>
  <c r="AJ1120" i="83"/>
  <c r="AK1120" i="83" s="1"/>
  <c r="AJ1112" i="83"/>
  <c r="AK1112" i="83" s="1"/>
  <c r="AG1093" i="83"/>
  <c r="AH1093" i="83" s="1"/>
  <c r="AH1089" i="83"/>
  <c r="AJ1089" i="83"/>
  <c r="AK991" i="83"/>
  <c r="AH986" i="83"/>
  <c r="AJ986" i="83"/>
  <c r="AH955" i="83"/>
  <c r="AJ955" i="83"/>
  <c r="AH851" i="83"/>
  <c r="AJ851" i="83"/>
  <c r="AJ1200" i="83"/>
  <c r="AK1200" i="83" s="1"/>
  <c r="AJ1190" i="83"/>
  <c r="AK1190" i="83" s="1"/>
  <c r="AK1187" i="83"/>
  <c r="AJ1181" i="83"/>
  <c r="AK1181" i="83" s="1"/>
  <c r="AH1175" i="83"/>
  <c r="AJ1175" i="83"/>
  <c r="AH882" i="83"/>
  <c r="AJ882" i="83"/>
  <c r="AG878" i="83"/>
  <c r="AH878" i="83" s="1"/>
  <c r="AG838" i="83"/>
  <c r="AH838" i="83" s="1"/>
  <c r="AG800" i="83"/>
  <c r="AH800" i="83" s="1"/>
  <c r="AJ800" i="83"/>
  <c r="AK800" i="83" s="1"/>
  <c r="AJ1288" i="83"/>
  <c r="AK1288" i="83" s="1"/>
  <c r="AG1274" i="83"/>
  <c r="AH1274" i="83" s="1"/>
  <c r="AJ1272" i="83"/>
  <c r="AK1272" i="83" s="1"/>
  <c r="AG1258" i="83"/>
  <c r="AH1258" i="83" s="1"/>
  <c r="AJ1256" i="83"/>
  <c r="AK1256" i="83" s="1"/>
  <c r="AG1242" i="83"/>
  <c r="AH1242" i="83" s="1"/>
  <c r="AG1226" i="83"/>
  <c r="AH1226" i="83" s="1"/>
  <c r="AJ1224" i="83"/>
  <c r="AK1224" i="83" s="1"/>
  <c r="AJ1205" i="83"/>
  <c r="AK1205" i="83" s="1"/>
  <c r="AH1199" i="83"/>
  <c r="AJ1199" i="83"/>
  <c r="AG1196" i="83"/>
  <c r="AH1196" i="83" s="1"/>
  <c r="AG1085" i="83"/>
  <c r="AH1085" i="83" s="1"/>
  <c r="AG1050" i="83"/>
  <c r="AH1050" i="83" s="1"/>
  <c r="AH1031" i="83"/>
  <c r="AJ1031" i="83"/>
  <c r="AG1276" i="83"/>
  <c r="AH1276" i="83" s="1"/>
  <c r="AG1260" i="83"/>
  <c r="AH1260" i="83" s="1"/>
  <c r="AJ1260" i="83"/>
  <c r="AK1260" i="83" s="1"/>
  <c r="AG1244" i="83"/>
  <c r="AH1244" i="83" s="1"/>
  <c r="AG1228" i="83"/>
  <c r="AH1228" i="83" s="1"/>
  <c r="AJ1184" i="83"/>
  <c r="AK1184" i="83" s="1"/>
  <c r="AH1081" i="83"/>
  <c r="AJ1081" i="83"/>
  <c r="AG1054" i="83"/>
  <c r="AH1054" i="83" s="1"/>
  <c r="AH1042" i="83"/>
  <c r="AJ1042" i="83"/>
  <c r="AJ989" i="83"/>
  <c r="AH989" i="83"/>
  <c r="AG970" i="83"/>
  <c r="AH970" i="83" s="1"/>
  <c r="AG958" i="83"/>
  <c r="AH958" i="83" s="1"/>
  <c r="AG946" i="83"/>
  <c r="AH946" i="83" s="1"/>
  <c r="AG1218" i="83"/>
  <c r="AH1218" i="83" s="1"/>
  <c r="AJ1216" i="83"/>
  <c r="AK1216" i="83" s="1"/>
  <c r="AJ1208" i="83"/>
  <c r="AK1208" i="83" s="1"/>
  <c r="AK1195" i="83"/>
  <c r="AH1183" i="83"/>
  <c r="AJ1183" i="83"/>
  <c r="AG1180" i="83"/>
  <c r="AH1180" i="83" s="1"/>
  <c r="AJ1104" i="83"/>
  <c r="AJ1023" i="83"/>
  <c r="AK1023" i="83" s="1"/>
  <c r="AK1000" i="83"/>
  <c r="AK984" i="83"/>
  <c r="AG889" i="83"/>
  <c r="AH889" i="83" s="1"/>
  <c r="AH1215" i="83"/>
  <c r="AJ1215" i="83"/>
  <c r="AG1210" i="83"/>
  <c r="AH1210" i="83" s="1"/>
  <c r="AH1207" i="83"/>
  <c r="AJ1207" i="83"/>
  <c r="AG1204" i="83"/>
  <c r="AH1204" i="83" s="1"/>
  <c r="AG1173" i="83"/>
  <c r="AH1173" i="83" s="1"/>
  <c r="AG1165" i="83"/>
  <c r="AH1165" i="83" s="1"/>
  <c r="AG1157" i="83"/>
  <c r="AH1157" i="83" s="1"/>
  <c r="AG1149" i="83"/>
  <c r="AH1149" i="83" s="1"/>
  <c r="AG1141" i="83"/>
  <c r="AH1141" i="83" s="1"/>
  <c r="AG1133" i="83"/>
  <c r="AH1133" i="83" s="1"/>
  <c r="AG1125" i="83"/>
  <c r="AH1125" i="83" s="1"/>
  <c r="AG1117" i="83"/>
  <c r="AH1117" i="83" s="1"/>
  <c r="AG1101" i="83"/>
  <c r="AH1101" i="83" s="1"/>
  <c r="AH1073" i="83"/>
  <c r="AJ1073" i="83"/>
  <c r="AK1056" i="83"/>
  <c r="AJ1045" i="83"/>
  <c r="AH1045" i="83"/>
  <c r="AJ1007" i="83"/>
  <c r="AK1007" i="83" s="1"/>
  <c r="AH909" i="83"/>
  <c r="AJ909" i="83"/>
  <c r="AG812" i="83"/>
  <c r="AH812" i="83" s="1"/>
  <c r="AG1014" i="83"/>
  <c r="AH1014" i="83" s="1"/>
  <c r="AG998" i="83"/>
  <c r="AH998" i="83" s="1"/>
  <c r="AG982" i="83"/>
  <c r="AH982" i="83" s="1"/>
  <c r="AH973" i="83"/>
  <c r="AJ973" i="83"/>
  <c r="AH949" i="83"/>
  <c r="AJ949" i="83"/>
  <c r="AG934" i="83"/>
  <c r="AH934" i="83" s="1"/>
  <c r="AK927" i="83"/>
  <c r="AH896" i="83"/>
  <c r="AJ896" i="83"/>
  <c r="AH875" i="83"/>
  <c r="AJ875" i="83"/>
  <c r="AG862" i="83"/>
  <c r="AH862" i="83" s="1"/>
  <c r="AK847" i="83"/>
  <c r="AH835" i="83"/>
  <c r="AJ835" i="83"/>
  <c r="AH824" i="83"/>
  <c r="AJ824" i="83"/>
  <c r="AG808" i="83"/>
  <c r="AH808" i="83" s="1"/>
  <c r="AG785" i="83"/>
  <c r="AH785" i="83" s="1"/>
  <c r="AG777" i="83"/>
  <c r="AH777" i="83" s="1"/>
  <c r="AG769" i="83"/>
  <c r="AH769" i="83" s="1"/>
  <c r="AG761" i="83"/>
  <c r="AH761" i="83" s="1"/>
  <c r="AG753" i="83"/>
  <c r="AH753" i="83" s="1"/>
  <c r="AH707" i="83"/>
  <c r="AJ707" i="83"/>
  <c r="AJ1070" i="83"/>
  <c r="AK1070" i="83" s="1"/>
  <c r="AG1038" i="83"/>
  <c r="AH1038" i="83" s="1"/>
  <c r="AJ1036" i="83"/>
  <c r="AK1036" i="83" s="1"/>
  <c r="AJ1025" i="83"/>
  <c r="AJ1009" i="83"/>
  <c r="AK1009" i="83" s="1"/>
  <c r="AJ993" i="83"/>
  <c r="AK993" i="83" s="1"/>
  <c r="AH981" i="83"/>
  <c r="AJ981" i="83"/>
  <c r="AK960" i="83"/>
  <c r="AK936" i="83"/>
  <c r="AH933" i="83"/>
  <c r="AJ933" i="83"/>
  <c r="AJ921" i="83"/>
  <c r="AK921" i="83" s="1"/>
  <c r="AG918" i="83"/>
  <c r="AH918" i="83" s="1"/>
  <c r="AH899" i="83"/>
  <c r="AJ899" i="83"/>
  <c r="AH888" i="83"/>
  <c r="AJ888" i="83"/>
  <c r="AJ865" i="83"/>
  <c r="AK865" i="83" s="1"/>
  <c r="AG854" i="83"/>
  <c r="AH854" i="83" s="1"/>
  <c r="AJ844" i="83"/>
  <c r="AK844" i="83" s="1"/>
  <c r="AJ834" i="83"/>
  <c r="AK834" i="83" s="1"/>
  <c r="AH827" i="83"/>
  <c r="AJ827" i="83"/>
  <c r="AJ804" i="83"/>
  <c r="AK804" i="83" s="1"/>
  <c r="AG780" i="83"/>
  <c r="AH780" i="83" s="1"/>
  <c r="AH723" i="83"/>
  <c r="AJ723" i="83"/>
  <c r="AG529" i="83"/>
  <c r="AH529" i="83" s="1"/>
  <c r="AJ1172" i="83"/>
  <c r="AK1172" i="83" s="1"/>
  <c r="AJ1164" i="83"/>
  <c r="AK1164" i="83" s="1"/>
  <c r="AJ1156" i="83"/>
  <c r="AK1156" i="83" s="1"/>
  <c r="AJ1148" i="83"/>
  <c r="AK1148" i="83" s="1"/>
  <c r="AJ1140" i="83"/>
  <c r="AK1140" i="83" s="1"/>
  <c r="AJ1132" i="83"/>
  <c r="AK1132" i="83" s="1"/>
  <c r="AJ1124" i="83"/>
  <c r="AK1124" i="83" s="1"/>
  <c r="AJ1116" i="83"/>
  <c r="AK1116" i="83" s="1"/>
  <c r="AJ1108" i="83"/>
  <c r="AK1108" i="83" s="1"/>
  <c r="AJ1100" i="83"/>
  <c r="AJ1092" i="83"/>
  <c r="AK1092" i="83" s="1"/>
  <c r="AJ1084" i="83"/>
  <c r="AJ1076" i="83"/>
  <c r="AK1076" i="83" s="1"/>
  <c r="AJ1062" i="83"/>
  <c r="AK1062" i="83" s="1"/>
  <c r="AJ1053" i="83"/>
  <c r="AK1053" i="83" s="1"/>
  <c r="AJ1049" i="83"/>
  <c r="AK1049" i="83" s="1"/>
  <c r="AJ1015" i="83"/>
  <c r="AK1015" i="83" s="1"/>
  <c r="AJ999" i="83"/>
  <c r="AK999" i="83" s="1"/>
  <c r="AJ983" i="83"/>
  <c r="AK983" i="83" s="1"/>
  <c r="AJ969" i="83"/>
  <c r="AK969" i="83" s="1"/>
  <c r="AG966" i="83"/>
  <c r="AH966" i="83" s="1"/>
  <c r="AH957" i="83"/>
  <c r="AJ957" i="83"/>
  <c r="AJ945" i="83"/>
  <c r="AK945" i="83" s="1"/>
  <c r="AG942" i="83"/>
  <c r="AH942" i="83" s="1"/>
  <c r="AJ924" i="83"/>
  <c r="AK924" i="83" s="1"/>
  <c r="AG902" i="83"/>
  <c r="AH902" i="83" s="1"/>
  <c r="AJ892" i="83"/>
  <c r="AK892" i="83" s="1"/>
  <c r="AJ881" i="83"/>
  <c r="AK881" i="83" s="1"/>
  <c r="AH864" i="83"/>
  <c r="AJ864" i="83"/>
  <c r="AH843" i="83"/>
  <c r="AJ843" i="83"/>
  <c r="AG830" i="83"/>
  <c r="AH830" i="83" s="1"/>
  <c r="AK820" i="83"/>
  <c r="AK796" i="83"/>
  <c r="AG788" i="83"/>
  <c r="AH788" i="83" s="1"/>
  <c r="AG772" i="83"/>
  <c r="AH772" i="83" s="1"/>
  <c r="AG764" i="83"/>
  <c r="AH764" i="83" s="1"/>
  <c r="AG756" i="83"/>
  <c r="AH756" i="83" s="1"/>
  <c r="AJ1167" i="83"/>
  <c r="AK1167" i="83" s="1"/>
  <c r="AJ1159" i="83"/>
  <c r="AK1159" i="83" s="1"/>
  <c r="AJ1151" i="83"/>
  <c r="AK1151" i="83" s="1"/>
  <c r="AJ1143" i="83"/>
  <c r="AK1143" i="83" s="1"/>
  <c r="AJ1135" i="83"/>
  <c r="AK1135" i="83" s="1"/>
  <c r="AJ1127" i="83"/>
  <c r="AK1127" i="83" s="1"/>
  <c r="AJ1119" i="83"/>
  <c r="AK1119" i="83" s="1"/>
  <c r="AJ1111" i="83"/>
  <c r="AK1111" i="83" s="1"/>
  <c r="AJ1103" i="83"/>
  <c r="AJ1095" i="83"/>
  <c r="AK1095" i="83" s="1"/>
  <c r="AJ1087" i="83"/>
  <c r="AK1087" i="83" s="1"/>
  <c r="AJ1079" i="83"/>
  <c r="AJ1071" i="83"/>
  <c r="AK1071" i="83" s="1"/>
  <c r="AJ1069" i="83"/>
  <c r="AK1069" i="83" s="1"/>
  <c r="AJ1055" i="83"/>
  <c r="AK1055" i="83" s="1"/>
  <c r="AJ1037" i="83"/>
  <c r="AK1037" i="83" s="1"/>
  <c r="AJ1035" i="83"/>
  <c r="AK1035" i="83" s="1"/>
  <c r="AJ1033" i="83"/>
  <c r="AK1033" i="83" s="1"/>
  <c r="AJ1026" i="83"/>
  <c r="AK1026" i="83" s="1"/>
  <c r="AJ1024" i="83"/>
  <c r="AG1022" i="83"/>
  <c r="AH1022" i="83" s="1"/>
  <c r="AJ1020" i="83"/>
  <c r="AK1020" i="83" s="1"/>
  <c r="AJ1008" i="83"/>
  <c r="AK1008" i="83" s="1"/>
  <c r="AG1006" i="83"/>
  <c r="AH1006" i="83" s="1"/>
  <c r="AJ1004" i="83"/>
  <c r="AK1004" i="83" s="1"/>
  <c r="AJ972" i="83"/>
  <c r="AK972" i="83" s="1"/>
  <c r="AH968" i="83"/>
  <c r="AK968" i="83" s="1"/>
  <c r="AJ948" i="83"/>
  <c r="AK948" i="83" s="1"/>
  <c r="AH944" i="83"/>
  <c r="AK944" i="83" s="1"/>
  <c r="AJ923" i="83"/>
  <c r="AK923" i="83" s="1"/>
  <c r="AK920" i="83"/>
  <c r="AH917" i="83"/>
  <c r="AJ917" i="83"/>
  <c r="AJ914" i="83"/>
  <c r="AK914" i="83" s="1"/>
  <c r="AJ905" i="83"/>
  <c r="AK905" i="83" s="1"/>
  <c r="AJ898" i="83"/>
  <c r="AK898" i="83" s="1"/>
  <c r="AH891" i="83"/>
  <c r="AJ891" i="83"/>
  <c r="AH880" i="83"/>
  <c r="AJ880" i="83"/>
  <c r="AJ868" i="83"/>
  <c r="AK868" i="83" s="1"/>
  <c r="AK863" i="83"/>
  <c r="AJ857" i="83"/>
  <c r="AK857" i="83" s="1"/>
  <c r="AG846" i="83"/>
  <c r="AH846" i="83" s="1"/>
  <c r="AJ826" i="83"/>
  <c r="AK826" i="83" s="1"/>
  <c r="AH819" i="83"/>
  <c r="AJ819" i="83"/>
  <c r="AG684" i="83"/>
  <c r="AH684" i="83" s="1"/>
  <c r="AG677" i="83"/>
  <c r="AH677" i="83" s="1"/>
  <c r="AJ1202" i="83"/>
  <c r="AK1202" i="83" s="1"/>
  <c r="AJ1194" i="83"/>
  <c r="AK1194" i="83" s="1"/>
  <c r="AJ1186" i="83"/>
  <c r="AK1186" i="83" s="1"/>
  <c r="AJ1178" i="83"/>
  <c r="AK1178" i="83" s="1"/>
  <c r="AJ1170" i="83"/>
  <c r="AK1170" i="83" s="1"/>
  <c r="AJ1162" i="83"/>
  <c r="AK1162" i="83" s="1"/>
  <c r="AJ1154" i="83"/>
  <c r="AK1154" i="83" s="1"/>
  <c r="AJ1146" i="83"/>
  <c r="AK1146" i="83" s="1"/>
  <c r="AJ1138" i="83"/>
  <c r="AK1138" i="83" s="1"/>
  <c r="AJ1130" i="83"/>
  <c r="AK1130" i="83" s="1"/>
  <c r="AJ1122" i="83"/>
  <c r="AK1122" i="83" s="1"/>
  <c r="AJ1114" i="83"/>
  <c r="AK1114" i="83" s="1"/>
  <c r="AJ1106" i="83"/>
  <c r="AK1106" i="83" s="1"/>
  <c r="AJ1098" i="83"/>
  <c r="AJ1090" i="83"/>
  <c r="AJ1082" i="83"/>
  <c r="AK1082" i="83" s="1"/>
  <c r="AJ1074" i="83"/>
  <c r="AK1074" i="83" s="1"/>
  <c r="AJ1067" i="83"/>
  <c r="AK1067" i="83" s="1"/>
  <c r="AJ1063" i="83"/>
  <c r="AK1063" i="83" s="1"/>
  <c r="AG1046" i="83"/>
  <c r="AH1046" i="83" s="1"/>
  <c r="AJ1044" i="83"/>
  <c r="AK1044" i="83" s="1"/>
  <c r="AJ1039" i="83"/>
  <c r="AJ1010" i="83"/>
  <c r="AK1010" i="83" s="1"/>
  <c r="AJ994" i="83"/>
  <c r="AK994" i="83" s="1"/>
  <c r="AG990" i="83"/>
  <c r="AH990" i="83" s="1"/>
  <c r="AJ988" i="83"/>
  <c r="AK988" i="83" s="1"/>
  <c r="AH965" i="83"/>
  <c r="AJ965" i="83"/>
  <c r="AJ962" i="83"/>
  <c r="AK962" i="83" s="1"/>
  <c r="AH941" i="83"/>
  <c r="AJ941" i="83"/>
  <c r="AJ938" i="83"/>
  <c r="AK938" i="83" s="1"/>
  <c r="AJ929" i="83"/>
  <c r="AK929" i="83" s="1"/>
  <c r="AG926" i="83"/>
  <c r="AH926" i="83" s="1"/>
  <c r="AK919" i="83"/>
  <c r="AH904" i="83"/>
  <c r="AK904" i="83" s="1"/>
  <c r="AG894" i="83"/>
  <c r="AH894" i="83" s="1"/>
  <c r="AK884" i="83"/>
  <c r="AK879" i="83"/>
  <c r="AJ873" i="83"/>
  <c r="AK873" i="83" s="1"/>
  <c r="AH867" i="83"/>
  <c r="AJ867" i="83"/>
  <c r="AK867" i="83" s="1"/>
  <c r="AH856" i="83"/>
  <c r="AJ856" i="83"/>
  <c r="AJ842" i="83"/>
  <c r="AK842" i="83" s="1"/>
  <c r="AJ833" i="83"/>
  <c r="AK833" i="83" s="1"/>
  <c r="AG822" i="83"/>
  <c r="AH822" i="83" s="1"/>
  <c r="AG810" i="83"/>
  <c r="AH810" i="83" s="1"/>
  <c r="AJ806" i="83"/>
  <c r="AK806" i="83" s="1"/>
  <c r="AJ1065" i="83"/>
  <c r="AK1065" i="83" s="1"/>
  <c r="AJ1057" i="83"/>
  <c r="AK1057" i="83" s="1"/>
  <c r="AJ1017" i="83"/>
  <c r="AK1017" i="83" s="1"/>
  <c r="AJ1005" i="83"/>
  <c r="AK1005" i="83" s="1"/>
  <c r="AJ1001" i="83"/>
  <c r="AK1001" i="83" s="1"/>
  <c r="AG974" i="83"/>
  <c r="AH974" i="83" s="1"/>
  <c r="AG950" i="83"/>
  <c r="AH950" i="83" s="1"/>
  <c r="AJ932" i="83"/>
  <c r="AK932" i="83" s="1"/>
  <c r="AH883" i="83"/>
  <c r="AJ883" i="83"/>
  <c r="AG870" i="83"/>
  <c r="AH870" i="83" s="1"/>
  <c r="AK860" i="83"/>
  <c r="AJ849" i="83"/>
  <c r="AK849" i="83" s="1"/>
  <c r="AH832" i="83"/>
  <c r="AJ832" i="83"/>
  <c r="AG802" i="83"/>
  <c r="AH802" i="83" s="1"/>
  <c r="AJ802" i="83"/>
  <c r="AK802" i="83" s="1"/>
  <c r="AJ798" i="83"/>
  <c r="AK798" i="83" s="1"/>
  <c r="AG790" i="83"/>
  <c r="AH790" i="83" s="1"/>
  <c r="AH691" i="83"/>
  <c r="AJ691" i="83"/>
  <c r="AJ1043" i="83"/>
  <c r="AJ1041" i="83"/>
  <c r="AK1041" i="83" s="1"/>
  <c r="AG1030" i="83"/>
  <c r="AH1030" i="83" s="1"/>
  <c r="AJ1028" i="83"/>
  <c r="AK1028" i="83" s="1"/>
  <c r="AG1012" i="83"/>
  <c r="AH1012" i="83" s="1"/>
  <c r="AG996" i="83"/>
  <c r="AH996" i="83" s="1"/>
  <c r="AJ987" i="83"/>
  <c r="AK987" i="83" s="1"/>
  <c r="AJ985" i="83"/>
  <c r="AK985" i="83" s="1"/>
  <c r="AJ979" i="83"/>
  <c r="AK979" i="83" s="1"/>
  <c r="AH976" i="83"/>
  <c r="AK976" i="83" s="1"/>
  <c r="AG961" i="83"/>
  <c r="AH961" i="83" s="1"/>
  <c r="AJ956" i="83"/>
  <c r="AK956" i="83" s="1"/>
  <c r="AH952" i="83"/>
  <c r="AK952" i="83" s="1"/>
  <c r="AG937" i="83"/>
  <c r="AH937" i="83" s="1"/>
  <c r="AJ931" i="83"/>
  <c r="AK931" i="83" s="1"/>
  <c r="AK928" i="83"/>
  <c r="AH925" i="83"/>
  <c r="AJ925" i="83"/>
  <c r="AJ922" i="83"/>
  <c r="AK922" i="83" s="1"/>
  <c r="AJ913" i="83"/>
  <c r="AK913" i="83" s="1"/>
  <c r="AG910" i="83"/>
  <c r="AH910" i="83" s="1"/>
  <c r="AJ897" i="83"/>
  <c r="AK897" i="83" s="1"/>
  <c r="AG886" i="83"/>
  <c r="AH886" i="83" s="1"/>
  <c r="AJ876" i="83"/>
  <c r="AK876" i="83" s="1"/>
  <c r="AJ866" i="83"/>
  <c r="AK866" i="83" s="1"/>
  <c r="AH859" i="83"/>
  <c r="AJ859" i="83"/>
  <c r="AH848" i="83"/>
  <c r="AJ848" i="83"/>
  <c r="AG841" i="83"/>
  <c r="AH841" i="83" s="1"/>
  <c r="AJ836" i="83"/>
  <c r="AK836" i="83" s="1"/>
  <c r="AJ825" i="83"/>
  <c r="AK825" i="83" s="1"/>
  <c r="AG794" i="83"/>
  <c r="AH794" i="83" s="1"/>
  <c r="AH699" i="83"/>
  <c r="AJ699" i="83"/>
  <c r="AK699" i="83" s="1"/>
  <c r="AG734" i="83"/>
  <c r="AH734" i="83" s="1"/>
  <c r="AH685" i="83"/>
  <c r="AJ685" i="83"/>
  <c r="AG596" i="83"/>
  <c r="AH596" i="83" s="1"/>
  <c r="AG566" i="83"/>
  <c r="AH566" i="83" s="1"/>
  <c r="AG470" i="83"/>
  <c r="AH470" i="83" s="1"/>
  <c r="AG782" i="83"/>
  <c r="AH782" i="83" s="1"/>
  <c r="AG774" i="83"/>
  <c r="AH774" i="83" s="1"/>
  <c r="AJ771" i="83"/>
  <c r="AK771" i="83" s="1"/>
  <c r="AG766" i="83"/>
  <c r="AH766" i="83" s="1"/>
  <c r="AJ763" i="83"/>
  <c r="AK763" i="83" s="1"/>
  <c r="AG758" i="83"/>
  <c r="AH758" i="83" s="1"/>
  <c r="AJ755" i="83"/>
  <c r="AK755" i="83" s="1"/>
  <c r="AJ737" i="83"/>
  <c r="AK737" i="83" s="1"/>
  <c r="AG726" i="83"/>
  <c r="AH726" i="83" s="1"/>
  <c r="AK679" i="83"/>
  <c r="AH676" i="83"/>
  <c r="AJ676" i="83"/>
  <c r="AG620" i="83"/>
  <c r="AH620" i="83" s="1"/>
  <c r="AG598" i="83"/>
  <c r="AH598" i="83" s="1"/>
  <c r="AJ901" i="83"/>
  <c r="AK901" i="83" s="1"/>
  <c r="AJ893" i="83"/>
  <c r="AK893" i="83" s="1"/>
  <c r="AJ885" i="83"/>
  <c r="AK885" i="83" s="1"/>
  <c r="AJ877" i="83"/>
  <c r="AK877" i="83" s="1"/>
  <c r="AJ869" i="83"/>
  <c r="AK869" i="83" s="1"/>
  <c r="AJ861" i="83"/>
  <c r="AK861" i="83" s="1"/>
  <c r="AJ853" i="83"/>
  <c r="AK853" i="83" s="1"/>
  <c r="AJ845" i="83"/>
  <c r="AK845" i="83" s="1"/>
  <c r="AJ837" i="83"/>
  <c r="AK837" i="83" s="1"/>
  <c r="AJ829" i="83"/>
  <c r="AK829" i="83" s="1"/>
  <c r="AJ821" i="83"/>
  <c r="AK821" i="83" s="1"/>
  <c r="AJ809" i="83"/>
  <c r="AK809" i="83" s="1"/>
  <c r="AJ807" i="83"/>
  <c r="AK807" i="83" s="1"/>
  <c r="AJ801" i="83"/>
  <c r="AK801" i="83" s="1"/>
  <c r="AJ799" i="83"/>
  <c r="AK799" i="83" s="1"/>
  <c r="AJ793" i="83"/>
  <c r="AK793" i="83" s="1"/>
  <c r="AJ791" i="83"/>
  <c r="AK791" i="83" s="1"/>
  <c r="AG750" i="83"/>
  <c r="AH750" i="83" s="1"/>
  <c r="AJ748" i="83"/>
  <c r="AH722" i="83"/>
  <c r="AJ722" i="83"/>
  <c r="AG718" i="83"/>
  <c r="AH718" i="83" s="1"/>
  <c r="AH714" i="83"/>
  <c r="AJ714" i="83"/>
  <c r="AG710" i="83"/>
  <c r="AH710" i="83" s="1"/>
  <c r="AH706" i="83"/>
  <c r="AJ706" i="83"/>
  <c r="AG702" i="83"/>
  <c r="AH702" i="83" s="1"/>
  <c r="AH698" i="83"/>
  <c r="AJ698" i="83"/>
  <c r="AG694" i="83"/>
  <c r="AH694" i="83" s="1"/>
  <c r="AH690" i="83"/>
  <c r="AJ690" i="83"/>
  <c r="AG675" i="83"/>
  <c r="AH675" i="83" s="1"/>
  <c r="AH666" i="83"/>
  <c r="AJ666" i="83"/>
  <c r="AG534" i="83"/>
  <c r="AH534" i="83" s="1"/>
  <c r="AJ811" i="83"/>
  <c r="AK811" i="83" s="1"/>
  <c r="AJ805" i="83"/>
  <c r="AK805" i="83" s="1"/>
  <c r="AJ803" i="83"/>
  <c r="AK803" i="83" s="1"/>
  <c r="AJ797" i="83"/>
  <c r="AK797" i="83" s="1"/>
  <c r="AJ795" i="83"/>
  <c r="AK795" i="83" s="1"/>
  <c r="AJ781" i="83"/>
  <c r="AK781" i="83" s="1"/>
  <c r="AJ773" i="83"/>
  <c r="AK773" i="83" s="1"/>
  <c r="AJ765" i="83"/>
  <c r="AK765" i="83" s="1"/>
  <c r="AJ757" i="83"/>
  <c r="AK757" i="83" s="1"/>
  <c r="AJ745" i="83"/>
  <c r="AK745" i="83" s="1"/>
  <c r="AJ739" i="83"/>
  <c r="AK739" i="83" s="1"/>
  <c r="AK735" i="83"/>
  <c r="AJ729" i="83"/>
  <c r="AK729" i="83" s="1"/>
  <c r="AJ682" i="83"/>
  <c r="AK682" i="83" s="1"/>
  <c r="AH663" i="83"/>
  <c r="AJ663" i="83"/>
  <c r="AG660" i="83"/>
  <c r="AH660" i="83" s="1"/>
  <c r="AG641" i="83"/>
  <c r="AH641" i="83" s="1"/>
  <c r="AG622" i="83"/>
  <c r="AH622" i="83" s="1"/>
  <c r="AJ591" i="83"/>
  <c r="AH591" i="83"/>
  <c r="AG454" i="83"/>
  <c r="AH454" i="83" s="1"/>
  <c r="AK783" i="83"/>
  <c r="AG742" i="83"/>
  <c r="AH742" i="83" s="1"/>
  <c r="AJ697" i="83"/>
  <c r="AK697" i="83" s="1"/>
  <c r="AJ689" i="83"/>
  <c r="AK689" i="83" s="1"/>
  <c r="AJ634" i="83"/>
  <c r="AH634" i="83"/>
  <c r="AJ751" i="83"/>
  <c r="AJ732" i="83"/>
  <c r="AK732" i="83" s="1"/>
  <c r="AH631" i="83"/>
  <c r="AJ631" i="83"/>
  <c r="AJ593" i="83"/>
  <c r="AK593" i="83" s="1"/>
  <c r="AG593" i="83"/>
  <c r="AH593" i="83" s="1"/>
  <c r="AG561" i="83"/>
  <c r="AH561" i="83" s="1"/>
  <c r="AG462" i="83"/>
  <c r="AH462" i="83" s="1"/>
  <c r="AG814" i="83"/>
  <c r="AH814" i="83" s="1"/>
  <c r="AH741" i="83"/>
  <c r="AJ741" i="83"/>
  <c r="AJ738" i="83"/>
  <c r="AK738" i="83" s="1"/>
  <c r="AH731" i="83"/>
  <c r="AJ731" i="83"/>
  <c r="AH668" i="83"/>
  <c r="AJ668" i="83"/>
  <c r="AK564" i="83"/>
  <c r="AG502" i="83"/>
  <c r="AH502" i="83" s="1"/>
  <c r="AJ662" i="83"/>
  <c r="AK662" i="83" s="1"/>
  <c r="AG646" i="83"/>
  <c r="AH646" i="83" s="1"/>
  <c r="AJ644" i="83"/>
  <c r="AK644" i="83" s="1"/>
  <c r="AG489" i="83"/>
  <c r="AH489" i="83" s="1"/>
  <c r="AG478" i="83"/>
  <c r="AH478" i="83" s="1"/>
  <c r="AH471" i="83"/>
  <c r="AJ471" i="83"/>
  <c r="AK471" i="83" s="1"/>
  <c r="AH463" i="83"/>
  <c r="AJ463" i="83"/>
  <c r="AH455" i="83"/>
  <c r="AJ455" i="83"/>
  <c r="AJ673" i="83"/>
  <c r="AK673" i="83" s="1"/>
  <c r="AJ617" i="83"/>
  <c r="AK617" i="83" s="1"/>
  <c r="AJ444" i="83"/>
  <c r="AK444" i="83" s="1"/>
  <c r="AG359" i="83"/>
  <c r="AH359" i="83" s="1"/>
  <c r="AJ733" i="83"/>
  <c r="AK733" i="83" s="1"/>
  <c r="AJ725" i="83"/>
  <c r="AK725" i="83" s="1"/>
  <c r="AJ717" i="83"/>
  <c r="AK717" i="83" s="1"/>
  <c r="AJ709" i="83"/>
  <c r="AK709" i="83" s="1"/>
  <c r="AJ701" i="83"/>
  <c r="AK701" i="83" s="1"/>
  <c r="AJ693" i="83"/>
  <c r="AK693" i="83" s="1"/>
  <c r="AJ683" i="83"/>
  <c r="AK683" i="83" s="1"/>
  <c r="AJ665" i="83"/>
  <c r="AK665" i="83" s="1"/>
  <c r="AJ652" i="83"/>
  <c r="AG638" i="83"/>
  <c r="AH638" i="83" s="1"/>
  <c r="AJ636" i="83"/>
  <c r="AK636" i="83" s="1"/>
  <c r="AJ607" i="83"/>
  <c r="AK607" i="83" s="1"/>
  <c r="AG590" i="83"/>
  <c r="AH590" i="83" s="1"/>
  <c r="AJ588" i="83"/>
  <c r="AK588" i="83" s="1"/>
  <c r="AJ585" i="83"/>
  <c r="AK585" i="83" s="1"/>
  <c r="AG558" i="83"/>
  <c r="AH558" i="83" s="1"/>
  <c r="AJ556" i="83"/>
  <c r="AK556" i="83" s="1"/>
  <c r="AJ553" i="83"/>
  <c r="AK553" i="83" s="1"/>
  <c r="AG526" i="83"/>
  <c r="AH526" i="83" s="1"/>
  <c r="AJ524" i="83"/>
  <c r="AK524" i="83" s="1"/>
  <c r="AJ521" i="83"/>
  <c r="AK521" i="83" s="1"/>
  <c r="AG487" i="83"/>
  <c r="AH487" i="83" s="1"/>
  <c r="AG447" i="83"/>
  <c r="AH447" i="83" s="1"/>
  <c r="AJ439" i="83"/>
  <c r="AK439" i="83" s="1"/>
  <c r="AJ380" i="83"/>
  <c r="AK380" i="83" s="1"/>
  <c r="AJ377" i="83"/>
  <c r="AK377" i="83" s="1"/>
  <c r="AJ792" i="83"/>
  <c r="AK792" i="83" s="1"/>
  <c r="AJ784" i="83"/>
  <c r="AK784" i="83" s="1"/>
  <c r="AJ776" i="83"/>
  <c r="AK776" i="83" s="1"/>
  <c r="AJ768" i="83"/>
  <c r="AK768" i="83" s="1"/>
  <c r="AJ760" i="83"/>
  <c r="AK760" i="83" s="1"/>
  <c r="AJ752" i="83"/>
  <c r="AK752" i="83" s="1"/>
  <c r="AJ744" i="83"/>
  <c r="AK744" i="83" s="1"/>
  <c r="AJ736" i="83"/>
  <c r="AK736" i="83" s="1"/>
  <c r="AJ728" i="83"/>
  <c r="AK728" i="83" s="1"/>
  <c r="AJ720" i="83"/>
  <c r="AK720" i="83" s="1"/>
  <c r="AJ712" i="83"/>
  <c r="AK712" i="83" s="1"/>
  <c r="AJ704" i="83"/>
  <c r="AK704" i="83" s="1"/>
  <c r="AJ696" i="83"/>
  <c r="AK696" i="83" s="1"/>
  <c r="AJ647" i="83"/>
  <c r="AK647" i="83" s="1"/>
  <c r="AJ633" i="83"/>
  <c r="AK633" i="83" s="1"/>
  <c r="AG614" i="83"/>
  <c r="AH614" i="83" s="1"/>
  <c r="AJ612" i="83"/>
  <c r="AK612" i="83" s="1"/>
  <c r="AG473" i="83"/>
  <c r="AH473" i="83" s="1"/>
  <c r="AG446" i="83"/>
  <c r="AH446" i="83" s="1"/>
  <c r="AH423" i="83"/>
  <c r="AJ423" i="83"/>
  <c r="AG382" i="83"/>
  <c r="AH382" i="83" s="1"/>
  <c r="AK623" i="83"/>
  <c r="AJ609" i="83"/>
  <c r="AK609" i="83" s="1"/>
  <c r="AK599" i="83"/>
  <c r="AG582" i="83"/>
  <c r="AH582" i="83" s="1"/>
  <c r="AJ577" i="83"/>
  <c r="AK577" i="83" s="1"/>
  <c r="AG550" i="83"/>
  <c r="AH550" i="83" s="1"/>
  <c r="AJ545" i="83"/>
  <c r="AK545" i="83" s="1"/>
  <c r="AG518" i="83"/>
  <c r="AH518" i="83" s="1"/>
  <c r="AG465" i="83"/>
  <c r="AH465" i="83" s="1"/>
  <c r="AG457" i="83"/>
  <c r="AH457" i="83" s="1"/>
  <c r="AJ431" i="83"/>
  <c r="AK431" i="83" s="1"/>
  <c r="AH400" i="83"/>
  <c r="AJ400" i="83"/>
  <c r="AJ686" i="83"/>
  <c r="AK686" i="83" s="1"/>
  <c r="AJ681" i="83"/>
  <c r="AK681" i="83" s="1"/>
  <c r="AJ649" i="83"/>
  <c r="AK649" i="83" s="1"/>
  <c r="AG630" i="83"/>
  <c r="AH630" i="83" s="1"/>
  <c r="AJ628" i="83"/>
  <c r="AK628" i="83" s="1"/>
  <c r="AH434" i="83"/>
  <c r="AJ434" i="83"/>
  <c r="AK434" i="83" s="1"/>
  <c r="AJ670" i="83"/>
  <c r="AK670" i="83" s="1"/>
  <c r="AJ625" i="83"/>
  <c r="AK625" i="83" s="1"/>
  <c r="AG606" i="83"/>
  <c r="AH606" i="83" s="1"/>
  <c r="AJ606" i="83"/>
  <c r="AK606" i="83" s="1"/>
  <c r="AJ604" i="83"/>
  <c r="AK604" i="83" s="1"/>
  <c r="AJ601" i="83"/>
  <c r="AK601" i="83" s="1"/>
  <c r="AG574" i="83"/>
  <c r="AH574" i="83" s="1"/>
  <c r="AJ569" i="83"/>
  <c r="AK569" i="83" s="1"/>
  <c r="AK559" i="83"/>
  <c r="AG542" i="83"/>
  <c r="AH542" i="83" s="1"/>
  <c r="AJ537" i="83"/>
  <c r="AK537" i="83" s="1"/>
  <c r="AG510" i="83"/>
  <c r="AH510" i="83" s="1"/>
  <c r="AK508" i="83"/>
  <c r="AJ505" i="83"/>
  <c r="AK505" i="83" s="1"/>
  <c r="AG452" i="83"/>
  <c r="AH452" i="83" s="1"/>
  <c r="AG449" i="83"/>
  <c r="AH449" i="83" s="1"/>
  <c r="AJ412" i="83"/>
  <c r="AK412" i="83" s="1"/>
  <c r="AJ409" i="83"/>
  <c r="AK409" i="83" s="1"/>
  <c r="AJ494" i="83"/>
  <c r="AK494" i="83" s="1"/>
  <c r="AJ488" i="83"/>
  <c r="AK488" i="83" s="1"/>
  <c r="AJ464" i="83"/>
  <c r="AK464" i="83" s="1"/>
  <c r="AJ456" i="83"/>
  <c r="AK456" i="83" s="1"/>
  <c r="AJ441" i="83"/>
  <c r="AK441" i="83" s="1"/>
  <c r="AG438" i="83"/>
  <c r="AH438" i="83" s="1"/>
  <c r="AJ436" i="83"/>
  <c r="AK436" i="83" s="1"/>
  <c r="AG422" i="83"/>
  <c r="AH422" i="83" s="1"/>
  <c r="AJ420" i="83"/>
  <c r="AK420" i="83" s="1"/>
  <c r="AJ417" i="83"/>
  <c r="AK417" i="83" s="1"/>
  <c r="AH408" i="83"/>
  <c r="AJ408" i="83"/>
  <c r="AH376" i="83"/>
  <c r="AJ376" i="83"/>
  <c r="AH349" i="83"/>
  <c r="AJ349" i="83"/>
  <c r="AG32" i="83"/>
  <c r="AH32" i="83" s="1"/>
  <c r="AJ32" i="83"/>
  <c r="AK32" i="83" s="1"/>
  <c r="AJ486" i="83"/>
  <c r="AK486" i="83" s="1"/>
  <c r="AJ433" i="83"/>
  <c r="AK433" i="83" s="1"/>
  <c r="AG430" i="83"/>
  <c r="AH430" i="83" s="1"/>
  <c r="AJ428" i="83"/>
  <c r="AK428" i="83" s="1"/>
  <c r="AJ425" i="83"/>
  <c r="AK425" i="83" s="1"/>
  <c r="AG390" i="83"/>
  <c r="AH390" i="83" s="1"/>
  <c r="AJ385" i="83"/>
  <c r="AK385" i="83" s="1"/>
  <c r="AG339" i="83"/>
  <c r="AH339" i="83" s="1"/>
  <c r="AJ309" i="83"/>
  <c r="AH309" i="83"/>
  <c r="AH297" i="83"/>
  <c r="AJ297" i="83"/>
  <c r="AJ643" i="83"/>
  <c r="AK643" i="83" s="1"/>
  <c r="AJ635" i="83"/>
  <c r="AK635" i="83" s="1"/>
  <c r="AJ627" i="83"/>
  <c r="AK627" i="83" s="1"/>
  <c r="AJ619" i="83"/>
  <c r="AK619" i="83" s="1"/>
  <c r="AJ611" i="83"/>
  <c r="AK611" i="83" s="1"/>
  <c r="AJ603" i="83"/>
  <c r="AK603" i="83" s="1"/>
  <c r="AJ595" i="83"/>
  <c r="AK595" i="83" s="1"/>
  <c r="AJ587" i="83"/>
  <c r="AK587" i="83" s="1"/>
  <c r="AJ579" i="83"/>
  <c r="AK579" i="83" s="1"/>
  <c r="AJ571" i="83"/>
  <c r="AK571" i="83" s="1"/>
  <c r="AJ563" i="83"/>
  <c r="AK563" i="83" s="1"/>
  <c r="AJ555" i="83"/>
  <c r="AK555" i="83" s="1"/>
  <c r="AJ547" i="83"/>
  <c r="AK547" i="83" s="1"/>
  <c r="AJ539" i="83"/>
  <c r="AK539" i="83" s="1"/>
  <c r="AJ531" i="83"/>
  <c r="AK531" i="83" s="1"/>
  <c r="AJ523" i="83"/>
  <c r="AK523" i="83" s="1"/>
  <c r="AJ515" i="83"/>
  <c r="AK515" i="83" s="1"/>
  <c r="AJ507" i="83"/>
  <c r="AK507" i="83" s="1"/>
  <c r="AJ497" i="83"/>
  <c r="AK497" i="83" s="1"/>
  <c r="AJ495" i="83"/>
  <c r="AK495" i="83" s="1"/>
  <c r="AJ479" i="83"/>
  <c r="AK479" i="83" s="1"/>
  <c r="AJ440" i="83"/>
  <c r="AK440" i="83" s="1"/>
  <c r="AH416" i="83"/>
  <c r="AJ416" i="83"/>
  <c r="AH384" i="83"/>
  <c r="AJ384" i="83"/>
  <c r="AG352" i="83"/>
  <c r="AH352" i="83" s="1"/>
  <c r="AJ333" i="83"/>
  <c r="AK333" i="83" s="1"/>
  <c r="AG333" i="83"/>
  <c r="AH333" i="83" s="1"/>
  <c r="AG320" i="83"/>
  <c r="AH320" i="83" s="1"/>
  <c r="AG287" i="83"/>
  <c r="AH287" i="83" s="1"/>
  <c r="AJ485" i="83"/>
  <c r="AK485" i="83" s="1"/>
  <c r="AH424" i="83"/>
  <c r="AJ424" i="83"/>
  <c r="AK424" i="83" s="1"/>
  <c r="AJ415" i="83"/>
  <c r="AK415" i="83" s="1"/>
  <c r="AG398" i="83"/>
  <c r="AH398" i="83" s="1"/>
  <c r="AJ393" i="83"/>
  <c r="AK393" i="83" s="1"/>
  <c r="AG366" i="83"/>
  <c r="AH366" i="83" s="1"/>
  <c r="AH300" i="83"/>
  <c r="AJ300" i="83"/>
  <c r="AH392" i="83"/>
  <c r="AJ392" i="83"/>
  <c r="AJ491" i="83"/>
  <c r="AK491" i="83" s="1"/>
  <c r="AJ483" i="83"/>
  <c r="AK483" i="83" s="1"/>
  <c r="AJ481" i="83"/>
  <c r="AK481" i="83" s="1"/>
  <c r="AJ476" i="83"/>
  <c r="AK476" i="83" s="1"/>
  <c r="AJ468" i="83"/>
  <c r="AK468" i="83" s="1"/>
  <c r="AJ460" i="83"/>
  <c r="AK460" i="83" s="1"/>
  <c r="AG406" i="83"/>
  <c r="AH406" i="83" s="1"/>
  <c r="AJ401" i="83"/>
  <c r="AK401" i="83" s="1"/>
  <c r="AG374" i="83"/>
  <c r="AH374" i="83" s="1"/>
  <c r="AJ369" i="83"/>
  <c r="AK369" i="83" s="1"/>
  <c r="AG341" i="83"/>
  <c r="AH341" i="83" s="1"/>
  <c r="AK264" i="83"/>
  <c r="AJ327" i="83"/>
  <c r="AK327" i="83" s="1"/>
  <c r="AJ312" i="83"/>
  <c r="AK312" i="83" s="1"/>
  <c r="AG303" i="83"/>
  <c r="AH303" i="83" s="1"/>
  <c r="AG271" i="83"/>
  <c r="AH271" i="83" s="1"/>
  <c r="AH265" i="83"/>
  <c r="AJ265" i="83"/>
  <c r="AG255" i="83"/>
  <c r="AH255" i="83" s="1"/>
  <c r="AH249" i="83"/>
  <c r="AJ249" i="83"/>
  <c r="AK249" i="83" s="1"/>
  <c r="AG227" i="83"/>
  <c r="AH227" i="83" s="1"/>
  <c r="AG218" i="83"/>
  <c r="AH218" i="83" s="1"/>
  <c r="AJ218" i="83"/>
  <c r="AK218" i="83" s="1"/>
  <c r="AH95" i="83"/>
  <c r="AJ95" i="83"/>
  <c r="AG68" i="83"/>
  <c r="AH68" i="83" s="1"/>
  <c r="AJ68" i="83"/>
  <c r="AK68" i="83" s="1"/>
  <c r="AH29" i="83"/>
  <c r="AJ29" i="83"/>
  <c r="AJ322" i="83"/>
  <c r="AK322" i="83" s="1"/>
  <c r="AK317" i="83"/>
  <c r="AJ306" i="83"/>
  <c r="AK306" i="83" s="1"/>
  <c r="AK293" i="83"/>
  <c r="AH261" i="83"/>
  <c r="AH245" i="83"/>
  <c r="AK245" i="83" s="1"/>
  <c r="AJ241" i="83"/>
  <c r="AH241" i="83"/>
  <c r="AH238" i="83"/>
  <c r="AJ238" i="83"/>
  <c r="AJ235" i="83"/>
  <c r="AK235" i="83" s="1"/>
  <c r="AK220" i="83"/>
  <c r="AG208" i="83"/>
  <c r="AH208" i="83" s="1"/>
  <c r="AH79" i="83"/>
  <c r="AJ79" i="83"/>
  <c r="AG311" i="83"/>
  <c r="AH311" i="83" s="1"/>
  <c r="AJ290" i="83"/>
  <c r="AK290" i="83" s="1"/>
  <c r="AJ274" i="83"/>
  <c r="AK274" i="83" s="1"/>
  <c r="AK261" i="83"/>
  <c r="AJ258" i="83"/>
  <c r="AK258" i="83" s="1"/>
  <c r="AG237" i="83"/>
  <c r="AH237" i="83" s="1"/>
  <c r="AH211" i="83"/>
  <c r="AJ211" i="83"/>
  <c r="AG171" i="83"/>
  <c r="AH171" i="83" s="1"/>
  <c r="AG116" i="83"/>
  <c r="AH116" i="83" s="1"/>
  <c r="AJ338" i="83"/>
  <c r="AK338" i="83" s="1"/>
  <c r="AJ330" i="83"/>
  <c r="AK330" i="83" s="1"/>
  <c r="AJ319" i="83"/>
  <c r="AK319" i="83" s="1"/>
  <c r="AJ314" i="83"/>
  <c r="AK314" i="83" s="1"/>
  <c r="AH308" i="83"/>
  <c r="AJ308" i="83"/>
  <c r="AH273" i="83"/>
  <c r="AJ273" i="83"/>
  <c r="AG263" i="83"/>
  <c r="AH263" i="83" s="1"/>
  <c r="AH257" i="83"/>
  <c r="AJ257" i="83"/>
  <c r="AG247" i="83"/>
  <c r="AH247" i="83" s="1"/>
  <c r="AG210" i="83"/>
  <c r="AH210" i="83" s="1"/>
  <c r="AK174" i="83"/>
  <c r="AH153" i="83"/>
  <c r="AJ153" i="83"/>
  <c r="AK153" i="83" s="1"/>
  <c r="AJ129" i="83"/>
  <c r="AH129" i="83"/>
  <c r="AH47" i="83"/>
  <c r="AJ47" i="83"/>
  <c r="AJ475" i="83"/>
  <c r="AK475" i="83" s="1"/>
  <c r="AJ467" i="83"/>
  <c r="AK467" i="83" s="1"/>
  <c r="AJ459" i="83"/>
  <c r="AK459" i="83" s="1"/>
  <c r="AJ451" i="83"/>
  <c r="AJ443" i="83"/>
  <c r="AK443" i="83" s="1"/>
  <c r="AJ435" i="83"/>
  <c r="AK435" i="83" s="1"/>
  <c r="AJ427" i="83"/>
  <c r="AK427" i="83" s="1"/>
  <c r="AJ419" i="83"/>
  <c r="AK419" i="83" s="1"/>
  <c r="AJ411" i="83"/>
  <c r="AK411" i="83" s="1"/>
  <c r="AJ403" i="83"/>
  <c r="AK403" i="83" s="1"/>
  <c r="AJ395" i="83"/>
  <c r="AK395" i="83" s="1"/>
  <c r="AJ387" i="83"/>
  <c r="AK387" i="83" s="1"/>
  <c r="AJ379" i="83"/>
  <c r="AK379" i="83" s="1"/>
  <c r="AJ371" i="83"/>
  <c r="AK371" i="83" s="1"/>
  <c r="AJ363" i="83"/>
  <c r="AK363" i="83" s="1"/>
  <c r="AJ356" i="83"/>
  <c r="AK356" i="83" s="1"/>
  <c r="AJ354" i="83"/>
  <c r="AK354" i="83" s="1"/>
  <c r="AJ351" i="83"/>
  <c r="AK351" i="83" s="1"/>
  <c r="AJ347" i="83"/>
  <c r="AK347" i="83" s="1"/>
  <c r="AJ325" i="83"/>
  <c r="AK325" i="83" s="1"/>
  <c r="AJ323" i="83"/>
  <c r="AK323" i="83" s="1"/>
  <c r="AJ313" i="83"/>
  <c r="AK313" i="83" s="1"/>
  <c r="AJ304" i="83"/>
  <c r="AK304" i="83" s="1"/>
  <c r="AG295" i="83"/>
  <c r="AH295" i="83" s="1"/>
  <c r="AG279" i="83"/>
  <c r="AH279" i="83" s="1"/>
  <c r="AJ272" i="83"/>
  <c r="AK272" i="83" s="1"/>
  <c r="AJ256" i="83"/>
  <c r="AK256" i="83" s="1"/>
  <c r="AJ216" i="83"/>
  <c r="AK216" i="83" s="1"/>
  <c r="AG136" i="83"/>
  <c r="AH136" i="83" s="1"/>
  <c r="AJ361" i="83"/>
  <c r="AK361" i="83" s="1"/>
  <c r="AJ345" i="83"/>
  <c r="AK345" i="83" s="1"/>
  <c r="AJ337" i="83"/>
  <c r="AK337" i="83" s="1"/>
  <c r="AH318" i="83"/>
  <c r="AK318" i="83" s="1"/>
  <c r="AJ307" i="83"/>
  <c r="AK307" i="83" s="1"/>
  <c r="AJ288" i="83"/>
  <c r="AK288" i="83" s="1"/>
  <c r="AK285" i="83"/>
  <c r="AH269" i="83"/>
  <c r="AK269" i="83" s="1"/>
  <c r="AH253" i="83"/>
  <c r="AK253" i="83" s="1"/>
  <c r="AJ195" i="83"/>
  <c r="AK195" i="83" s="1"/>
  <c r="AG343" i="83"/>
  <c r="AH343" i="83" s="1"/>
  <c r="AJ298" i="83"/>
  <c r="AK298" i="83" s="1"/>
  <c r="AH294" i="83"/>
  <c r="AK294" i="83" s="1"/>
  <c r="AJ291" i="83"/>
  <c r="AK291" i="83" s="1"/>
  <c r="AJ282" i="83"/>
  <c r="AK282" i="83" s="1"/>
  <c r="AJ266" i="83"/>
  <c r="AK266" i="83" s="1"/>
  <c r="AJ250" i="83"/>
  <c r="AK250" i="83" s="1"/>
  <c r="AG100" i="83"/>
  <c r="AH100" i="83" s="1"/>
  <c r="AH61" i="83"/>
  <c r="AJ61" i="83"/>
  <c r="AK61" i="83" s="1"/>
  <c r="AG186" i="83"/>
  <c r="AH186" i="83" s="1"/>
  <c r="AK184" i="83"/>
  <c r="AG120" i="83"/>
  <c r="AH120" i="83" s="1"/>
  <c r="AG84" i="83"/>
  <c r="AH84" i="83" s="1"/>
  <c r="AJ84" i="83"/>
  <c r="AK84" i="83" s="1"/>
  <c r="AG52" i="83"/>
  <c r="AH52" i="83" s="1"/>
  <c r="AG42" i="83"/>
  <c r="AH42" i="83" s="1"/>
  <c r="AJ42" i="83"/>
  <c r="AK42" i="83" s="1"/>
  <c r="AG226" i="83"/>
  <c r="AH226" i="83" s="1"/>
  <c r="AJ224" i="83"/>
  <c r="AK224" i="83" s="1"/>
  <c r="AJ197" i="83"/>
  <c r="AK197" i="83" s="1"/>
  <c r="AJ181" i="83"/>
  <c r="AK181" i="83" s="1"/>
  <c r="AG178" i="83"/>
  <c r="AH178" i="83" s="1"/>
  <c r="AJ176" i="83"/>
  <c r="AK176" i="83" s="1"/>
  <c r="AG146" i="83"/>
  <c r="AH146" i="83" s="1"/>
  <c r="AJ144" i="83"/>
  <c r="AK144" i="83" s="1"/>
  <c r="AG132" i="83"/>
  <c r="AH132" i="83" s="1"/>
  <c r="AH111" i="83"/>
  <c r="AJ111" i="83"/>
  <c r="AH37" i="83"/>
  <c r="AJ37" i="83"/>
  <c r="AJ11" i="83"/>
  <c r="AK11" i="83" s="1"/>
  <c r="AG234" i="83"/>
  <c r="AH234" i="83" s="1"/>
  <c r="AJ232" i="83"/>
  <c r="AK232" i="83" s="1"/>
  <c r="AK165" i="83"/>
  <c r="AK158" i="83"/>
  <c r="AH127" i="83"/>
  <c r="AJ127" i="83"/>
  <c r="AJ86" i="83"/>
  <c r="AK86" i="83" s="1"/>
  <c r="AG34" i="83"/>
  <c r="AH34" i="83" s="1"/>
  <c r="AG27" i="83"/>
  <c r="AH27" i="83" s="1"/>
  <c r="AG24" i="83"/>
  <c r="AH24" i="83" s="1"/>
  <c r="AJ292" i="83"/>
  <c r="AK292" i="83" s="1"/>
  <c r="AJ284" i="83"/>
  <c r="AK284" i="83" s="1"/>
  <c r="AJ276" i="83"/>
  <c r="AK276" i="83" s="1"/>
  <c r="AJ268" i="83"/>
  <c r="AK268" i="83" s="1"/>
  <c r="AJ260" i="83"/>
  <c r="AK260" i="83" s="1"/>
  <c r="AJ252" i="83"/>
  <c r="AK252" i="83" s="1"/>
  <c r="AJ244" i="83"/>
  <c r="AK244" i="83" s="1"/>
  <c r="AG242" i="83"/>
  <c r="AH242" i="83" s="1"/>
  <c r="AJ240" i="83"/>
  <c r="AK240" i="83" s="1"/>
  <c r="AJ225" i="83"/>
  <c r="AK225" i="83" s="1"/>
  <c r="AJ219" i="83"/>
  <c r="AK219" i="83" s="1"/>
  <c r="AJ205" i="83"/>
  <c r="AK205" i="83" s="1"/>
  <c r="AG194" i="83"/>
  <c r="AH194" i="83" s="1"/>
  <c r="AJ192" i="83"/>
  <c r="AK192" i="83" s="1"/>
  <c r="AJ187" i="83"/>
  <c r="AK187" i="83" s="1"/>
  <c r="AJ102" i="83"/>
  <c r="AK102" i="83" s="1"/>
  <c r="AH81" i="83"/>
  <c r="AK81" i="83" s="1"/>
  <c r="AG59" i="83"/>
  <c r="AH59" i="83" s="1"/>
  <c r="AK49" i="83"/>
  <c r="AJ233" i="83"/>
  <c r="AK233" i="83" s="1"/>
  <c r="AJ198" i="83"/>
  <c r="AK198" i="83" s="1"/>
  <c r="AH169" i="83"/>
  <c r="AJ169" i="83"/>
  <c r="AG155" i="83"/>
  <c r="AH155" i="83" s="1"/>
  <c r="AJ142" i="83"/>
  <c r="AK142" i="83" s="1"/>
  <c r="AJ118" i="83"/>
  <c r="AK118" i="83" s="1"/>
  <c r="AG88" i="83"/>
  <c r="AH88" i="83" s="1"/>
  <c r="AG229" i="83"/>
  <c r="AH229" i="83" s="1"/>
  <c r="AJ221" i="83"/>
  <c r="AK221" i="83" s="1"/>
  <c r="AG202" i="83"/>
  <c r="AH202" i="83" s="1"/>
  <c r="AJ200" i="83"/>
  <c r="AK200" i="83" s="1"/>
  <c r="AG189" i="83"/>
  <c r="AH189" i="83" s="1"/>
  <c r="AG162" i="83"/>
  <c r="AH162" i="83" s="1"/>
  <c r="AK160" i="83"/>
  <c r="AJ151" i="83"/>
  <c r="AK151" i="83" s="1"/>
  <c r="AH113" i="83"/>
  <c r="AK113" i="83" s="1"/>
  <c r="AG104" i="83"/>
  <c r="AH104" i="83" s="1"/>
  <c r="AJ104" i="83"/>
  <c r="AK104" i="83" s="1"/>
  <c r="AK65" i="83"/>
  <c r="AG19" i="83"/>
  <c r="AH19" i="83" s="1"/>
  <c r="AG138" i="83"/>
  <c r="AH138" i="83" s="1"/>
  <c r="AG122" i="83"/>
  <c r="AH122" i="83" s="1"/>
  <c r="AJ122" i="83"/>
  <c r="AK122" i="83" s="1"/>
  <c r="AG106" i="83"/>
  <c r="AH106" i="83" s="1"/>
  <c r="AG90" i="83"/>
  <c r="AH90" i="83" s="1"/>
  <c r="AJ90" i="83"/>
  <c r="AK90" i="83" s="1"/>
  <c r="AG74" i="83"/>
  <c r="AH74" i="83" s="1"/>
  <c r="AJ74" i="83"/>
  <c r="AG72" i="83"/>
  <c r="AH72" i="83" s="1"/>
  <c r="AJ72" i="83"/>
  <c r="AJ70" i="83"/>
  <c r="AK70" i="83" s="1"/>
  <c r="AG56" i="83"/>
  <c r="AH56" i="83" s="1"/>
  <c r="AJ54" i="83"/>
  <c r="AK54" i="83" s="1"/>
  <c r="AJ39" i="83"/>
  <c r="AK39" i="83" s="1"/>
  <c r="AG26" i="83"/>
  <c r="AH26" i="83" s="1"/>
  <c r="AG16" i="83"/>
  <c r="AH16" i="83" s="1"/>
  <c r="AK137" i="83"/>
  <c r="AK105" i="83"/>
  <c r="AG58" i="83"/>
  <c r="AH58" i="83" s="1"/>
  <c r="AJ31" i="83"/>
  <c r="AK31" i="83" s="1"/>
  <c r="AG18" i="83"/>
  <c r="AH18" i="83" s="1"/>
  <c r="AG8" i="83"/>
  <c r="AH8" i="83" s="1"/>
  <c r="AJ8" i="83"/>
  <c r="AK8" i="83" s="1"/>
  <c r="AJ170" i="83"/>
  <c r="AK170" i="83" s="1"/>
  <c r="AK157" i="83"/>
  <c r="AJ154" i="83"/>
  <c r="AK154" i="83" s="1"/>
  <c r="AJ71" i="83"/>
  <c r="AK71" i="83" s="1"/>
  <c r="AK57" i="83"/>
  <c r="AJ55" i="83"/>
  <c r="AK55" i="83" s="1"/>
  <c r="AJ28" i="83"/>
  <c r="AK28" i="83" s="1"/>
  <c r="AJ23" i="83"/>
  <c r="AK23" i="83" s="1"/>
  <c r="AK17" i="83"/>
  <c r="AG10" i="83"/>
  <c r="AH10" i="83" s="1"/>
  <c r="AG128" i="83"/>
  <c r="AH128" i="83" s="1"/>
  <c r="AJ128" i="83"/>
  <c r="AK128" i="83" s="1"/>
  <c r="AJ126" i="83"/>
  <c r="AK126" i="83" s="1"/>
  <c r="AG112" i="83"/>
  <c r="AH112" i="83" s="1"/>
  <c r="AJ110" i="83"/>
  <c r="AK110" i="83" s="1"/>
  <c r="AG96" i="83"/>
  <c r="AH96" i="83" s="1"/>
  <c r="AJ94" i="83"/>
  <c r="AK94" i="83" s="1"/>
  <c r="AG80" i="83"/>
  <c r="AH80" i="83" s="1"/>
  <c r="AJ78" i="83"/>
  <c r="AK78" i="83" s="1"/>
  <c r="AG130" i="83"/>
  <c r="AH130" i="83" s="1"/>
  <c r="AG114" i="83"/>
  <c r="AH114" i="83" s="1"/>
  <c r="AG98" i="83"/>
  <c r="AH98" i="83" s="1"/>
  <c r="AG82" i="83"/>
  <c r="AH82" i="83" s="1"/>
  <c r="AG64" i="83"/>
  <c r="AH64" i="83" s="1"/>
  <c r="AJ64" i="83"/>
  <c r="AK64" i="83" s="1"/>
  <c r="AJ62" i="83"/>
  <c r="AK62" i="83" s="1"/>
  <c r="AG48" i="83"/>
  <c r="AH48" i="83" s="1"/>
  <c r="AJ38" i="83"/>
  <c r="AK38" i="83" s="1"/>
  <c r="AJ7" i="83"/>
  <c r="AK7" i="83" s="1"/>
  <c r="AG66" i="83"/>
  <c r="AH66" i="83" s="1"/>
  <c r="AG50" i="83"/>
  <c r="AH50" i="83" s="1"/>
  <c r="AJ50" i="83"/>
  <c r="AK50" i="83" s="1"/>
  <c r="AG40" i="83"/>
  <c r="AH40" i="83" s="1"/>
  <c r="AJ30" i="83"/>
  <c r="AK30" i="83" s="1"/>
  <c r="AJ2010" i="83" l="1"/>
  <c r="AK2010" i="83" s="1"/>
  <c r="AJ1488" i="83"/>
  <c r="AK1488" i="83" s="1"/>
  <c r="AK2431" i="83"/>
  <c r="AK2495" i="83"/>
  <c r="AJ73" i="83"/>
  <c r="AK1115" i="83"/>
  <c r="AK626" i="83"/>
  <c r="AK169" i="83"/>
  <c r="AK95" i="83"/>
  <c r="AJ598" i="83"/>
  <c r="AK598" i="83" s="1"/>
  <c r="AJ788" i="83"/>
  <c r="AK788" i="83" s="1"/>
  <c r="AK1097" i="83"/>
  <c r="AJ1236" i="83"/>
  <c r="AK1236" i="83" s="1"/>
  <c r="AK1275" i="83"/>
  <c r="AJ2046" i="83"/>
  <c r="AK2046" i="83" s="1"/>
  <c r="AJ2284" i="83"/>
  <c r="AK2284" i="83" s="1"/>
  <c r="AK2526" i="83"/>
  <c r="AK1636" i="83"/>
  <c r="AJ140" i="83"/>
  <c r="AK140" i="83" s="1"/>
  <c r="AJ296" i="83"/>
  <c r="AK296" i="83" s="1"/>
  <c r="AJ746" i="83"/>
  <c r="AK746" i="83" s="1"/>
  <c r="AJ713" i="83"/>
  <c r="AK713" i="83" s="1"/>
  <c r="AJ1080" i="83"/>
  <c r="AJ2365" i="83"/>
  <c r="AK2365" i="83" s="1"/>
  <c r="AJ2352" i="83"/>
  <c r="AK2352" i="83" s="1"/>
  <c r="AK2463" i="83"/>
  <c r="AJ472" i="83"/>
  <c r="AK472" i="83" s="1"/>
  <c r="AJ815" i="83"/>
  <c r="AK815" i="83" s="1"/>
  <c r="AJ1166" i="83"/>
  <c r="AK1166" i="83" s="1"/>
  <c r="AJ196" i="83"/>
  <c r="AK196" i="83" s="1"/>
  <c r="AJ2569" i="83"/>
  <c r="AK2569" i="83" s="1"/>
  <c r="AK2550" i="83"/>
  <c r="AJ2521" i="83"/>
  <c r="AK2521" i="83" s="1"/>
  <c r="AJ1014" i="83"/>
  <c r="AK1014" i="83" s="1"/>
  <c r="AJ1709" i="83"/>
  <c r="AK1709" i="83" s="1"/>
  <c r="AJ934" i="83"/>
  <c r="AK934" i="83" s="1"/>
  <c r="AJ2196" i="83"/>
  <c r="AK2196" i="83" s="1"/>
  <c r="AJ2150" i="83"/>
  <c r="AK2150" i="83" s="1"/>
  <c r="AJ2370" i="83"/>
  <c r="AK2370" i="83" s="1"/>
  <c r="AJ2576" i="83"/>
  <c r="AK2576" i="83" s="1"/>
  <c r="AJ2178" i="83"/>
  <c r="AK2178" i="83" s="1"/>
  <c r="AK141" i="83"/>
  <c r="AK536" i="83"/>
  <c r="AJ107" i="83"/>
  <c r="AK107" i="83" s="1"/>
  <c r="AJ540" i="83"/>
  <c r="AK540" i="83" s="1"/>
  <c r="AJ2123" i="83"/>
  <c r="AK2123" i="83" s="1"/>
  <c r="AJ2167" i="83"/>
  <c r="AK2167" i="83" s="1"/>
  <c r="AJ554" i="83"/>
  <c r="AK554" i="83" s="1"/>
  <c r="AJ1271" i="83"/>
  <c r="AK1271" i="83" s="1"/>
  <c r="AJ1392" i="83"/>
  <c r="AK1392" i="83" s="1"/>
  <c r="AJ2315" i="83"/>
  <c r="AK2315" i="83" s="1"/>
  <c r="AJ2000" i="83"/>
  <c r="AK2000" i="83" s="1"/>
  <c r="AK127" i="83"/>
  <c r="AK79" i="83"/>
  <c r="AJ574" i="83"/>
  <c r="AK574" i="83" s="1"/>
  <c r="AJ1276" i="83"/>
  <c r="AK1276" i="83" s="1"/>
  <c r="AJ1242" i="83"/>
  <c r="AK1242" i="83" s="1"/>
  <c r="AJ1307" i="83"/>
  <c r="AK1307" i="83" s="1"/>
  <c r="AJ1925" i="83"/>
  <c r="AK1925" i="83" s="1"/>
  <c r="AK2089" i="83"/>
  <c r="AJ2300" i="83"/>
  <c r="AK2300" i="83" s="1"/>
  <c r="AK2065" i="83"/>
  <c r="AJ280" i="83"/>
  <c r="AK280" i="83" s="1"/>
  <c r="AJ903" i="83"/>
  <c r="AK903" i="83" s="1"/>
  <c r="AK2349" i="83"/>
  <c r="AK1508" i="83"/>
  <c r="AJ1814" i="83"/>
  <c r="AK1814" i="83" s="1"/>
  <c r="AK301" i="83"/>
  <c r="AK1849" i="83"/>
  <c r="AK2455" i="83"/>
  <c r="AJ558" i="83"/>
  <c r="AK558" i="83" s="1"/>
  <c r="AK835" i="83"/>
  <c r="AK1335" i="83"/>
  <c r="AK1542" i="83"/>
  <c r="AJ2230" i="83"/>
  <c r="AK2230" i="83" s="1"/>
  <c r="AJ2322" i="83"/>
  <c r="AK2322" i="83" s="1"/>
  <c r="AJ2608" i="83"/>
  <c r="AK2608" i="83" s="1"/>
  <c r="AK2502" i="83"/>
  <c r="AJ2296" i="83"/>
  <c r="AK2296" i="83" s="1"/>
  <c r="AJ413" i="83"/>
  <c r="AK413" i="83" s="1"/>
  <c r="AJ332" i="83"/>
  <c r="AK332" i="83" s="1"/>
  <c r="AK1841" i="83"/>
  <c r="AJ2068" i="83"/>
  <c r="AK2068" i="83" s="1"/>
  <c r="AJ568" i="83"/>
  <c r="AK568" i="83" s="1"/>
  <c r="AJ1118" i="83"/>
  <c r="AK1118" i="83" s="1"/>
  <c r="AJ695" i="83"/>
  <c r="AK695" i="83" s="1"/>
  <c r="AK2143" i="83"/>
  <c r="AK2484" i="83"/>
  <c r="AJ750" i="83"/>
  <c r="AK715" i="83"/>
  <c r="AJ1248" i="83"/>
  <c r="AK1248" i="83" s="1"/>
  <c r="AJ1339" i="83"/>
  <c r="AK1339" i="83" s="1"/>
  <c r="AK2173" i="83"/>
  <c r="AJ1221" i="83"/>
  <c r="AK1221" i="83" s="1"/>
  <c r="AJ1237" i="83"/>
  <c r="AK1237" i="83" s="1"/>
  <c r="AJ2442" i="83"/>
  <c r="AK2442" i="83" s="1"/>
  <c r="AJ530" i="83"/>
  <c r="AK530" i="83" s="1"/>
  <c r="AK2535" i="83"/>
  <c r="AJ98" i="83"/>
  <c r="AK98" i="83" s="1"/>
  <c r="AK416" i="83"/>
  <c r="AK297" i="83"/>
  <c r="AJ1274" i="83"/>
  <c r="AK1274" i="83" s="1"/>
  <c r="AJ1212" i="83"/>
  <c r="AK1212" i="83" s="1"/>
  <c r="AJ1284" i="83"/>
  <c r="AK1284" i="83" s="1"/>
  <c r="AJ1291" i="83"/>
  <c r="AK1291" i="83" s="1"/>
  <c r="AK1558" i="83"/>
  <c r="AJ1282" i="83"/>
  <c r="AK1282" i="83" s="1"/>
  <c r="AJ1976" i="83"/>
  <c r="AK1976" i="83" s="1"/>
  <c r="AJ2003" i="83"/>
  <c r="AK2003" i="83" s="1"/>
  <c r="AJ2336" i="83"/>
  <c r="AK2336" i="83" s="1"/>
  <c r="AK2494" i="83"/>
  <c r="AK2542" i="83"/>
  <c r="AK2579" i="83"/>
  <c r="AJ344" i="83"/>
  <c r="AK344" i="83" s="1"/>
  <c r="AK1770" i="83"/>
  <c r="AJ85" i="83"/>
  <c r="AK85" i="83" s="1"/>
  <c r="AJ1134" i="83"/>
  <c r="AK1134" i="83" s="1"/>
  <c r="AJ2403" i="83"/>
  <c r="AK2403" i="83" s="1"/>
  <c r="AJ1831" i="83"/>
  <c r="AK1831" i="83" s="1"/>
  <c r="AJ1633" i="83"/>
  <c r="AK1633" i="83" s="1"/>
  <c r="AK2289" i="83"/>
  <c r="AK1296" i="83"/>
  <c r="AJ786" i="83"/>
  <c r="AK786" i="83" s="1"/>
  <c r="AJ840" i="83"/>
  <c r="AK840" i="83" s="1"/>
  <c r="AK180" i="83"/>
  <c r="AJ473" i="83"/>
  <c r="AK473" i="83" s="1"/>
  <c r="AJ271" i="83"/>
  <c r="AK271" i="83" s="1"/>
  <c r="AJ66" i="83"/>
  <c r="AK66" i="83" s="1"/>
  <c r="AJ130" i="83"/>
  <c r="AK130" i="83" s="1"/>
  <c r="AJ18" i="83"/>
  <c r="AK18" i="83" s="1"/>
  <c r="AJ582" i="83"/>
  <c r="AK582" i="83" s="1"/>
  <c r="AJ449" i="83"/>
  <c r="AK449" i="83" s="1"/>
  <c r="AJ710" i="83"/>
  <c r="AK710" i="83" s="1"/>
  <c r="AJ814" i="83"/>
  <c r="AK814" i="83" s="1"/>
  <c r="AK883" i="83"/>
  <c r="AJ894" i="83"/>
  <c r="AK894" i="83" s="1"/>
  <c r="AK723" i="83"/>
  <c r="AJ1220" i="83"/>
  <c r="AK1220" i="83" s="1"/>
  <c r="AK1311" i="83"/>
  <c r="AJ1853" i="83"/>
  <c r="AK1853" i="83" s="1"/>
  <c r="AJ1483" i="83"/>
  <c r="AK1483" i="83" s="1"/>
  <c r="AJ1688" i="83"/>
  <c r="AK1688" i="83" s="1"/>
  <c r="AJ2052" i="83"/>
  <c r="AK2052" i="83" s="1"/>
  <c r="AK2033" i="83"/>
  <c r="AJ2186" i="83"/>
  <c r="AK2186" i="83" s="1"/>
  <c r="AJ2222" i="83"/>
  <c r="AK2222" i="83" s="1"/>
  <c r="AK2301" i="83"/>
  <c r="AJ2592" i="83"/>
  <c r="AK2592" i="83" s="1"/>
  <c r="AK2317" i="83"/>
  <c r="AJ101" i="83"/>
  <c r="AK101" i="83" s="1"/>
  <c r="AK83" i="83"/>
  <c r="AJ1283" i="83"/>
  <c r="AK1283" i="83" s="1"/>
  <c r="AJ1894" i="83"/>
  <c r="AK1894" i="83" s="1"/>
  <c r="AJ1476" i="83"/>
  <c r="AK1476" i="83" s="1"/>
  <c r="AK1830" i="83"/>
  <c r="AJ2090" i="83"/>
  <c r="AK2090" i="83" s="1"/>
  <c r="AK711" i="83"/>
  <c r="AJ498" i="83"/>
  <c r="AK498" i="83" s="1"/>
  <c r="AJ2179" i="83"/>
  <c r="AK2179" i="83" s="1"/>
  <c r="AJ1946" i="83"/>
  <c r="AK1946" i="83" s="1"/>
  <c r="AK2473" i="83"/>
  <c r="AJ1364" i="83"/>
  <c r="AK1364" i="83" s="1"/>
  <c r="AJ958" i="83"/>
  <c r="AK958" i="83" s="1"/>
  <c r="AJ1534" i="83"/>
  <c r="AK1534" i="83" s="1"/>
  <c r="AK1579" i="83"/>
  <c r="AJ2276" i="83"/>
  <c r="AK2276" i="83" s="1"/>
  <c r="AJ572" i="83"/>
  <c r="AK572" i="83" s="1"/>
  <c r="AJ1293" i="83"/>
  <c r="AK1293" i="83" s="1"/>
  <c r="AJ1152" i="83"/>
  <c r="AK1152" i="83" s="1"/>
  <c r="AJ2092" i="83"/>
  <c r="AK2092" i="83" s="1"/>
  <c r="AK37" i="83"/>
  <c r="AJ208" i="83"/>
  <c r="AK208" i="83" s="1"/>
  <c r="AJ227" i="83"/>
  <c r="AK227" i="83" s="1"/>
  <c r="AK309" i="83"/>
  <c r="AK722" i="83"/>
  <c r="AJ684" i="83"/>
  <c r="AK684" i="83" s="1"/>
  <c r="AJ1165" i="83"/>
  <c r="AK1165" i="83" s="1"/>
  <c r="AJ1226" i="83"/>
  <c r="AK1226" i="83" s="1"/>
  <c r="AK955" i="83"/>
  <c r="AK1298" i="83"/>
  <c r="AK1259" i="83"/>
  <c r="AK1544" i="83"/>
  <c r="AK2101" i="83"/>
  <c r="AJ2102" i="83"/>
  <c r="AK2102" i="83" s="1"/>
  <c r="AJ2106" i="83"/>
  <c r="AK2106" i="83" s="1"/>
  <c r="AJ2194" i="83"/>
  <c r="AJ2258" i="83"/>
  <c r="AK2258" i="83" s="1"/>
  <c r="AJ2005" i="83"/>
  <c r="AK2005" i="83" s="1"/>
  <c r="AK2049" i="83"/>
  <c r="AK2261" i="83"/>
  <c r="AJ209" i="83"/>
  <c r="AK209" i="83" s="1"/>
  <c r="AJ573" i="83"/>
  <c r="AK573" i="83" s="1"/>
  <c r="AK168" i="83"/>
  <c r="AJ391" i="83"/>
  <c r="AK391" i="83" s="1"/>
  <c r="AJ360" i="83"/>
  <c r="AK360" i="83" s="1"/>
  <c r="AJ754" i="83"/>
  <c r="AK754" i="83" s="1"/>
  <c r="AJ1738" i="83"/>
  <c r="AK1738" i="83" s="1"/>
  <c r="AJ1888" i="83"/>
  <c r="AK1888" i="83" s="1"/>
  <c r="AJ1935" i="83"/>
  <c r="AK1935" i="83" s="1"/>
  <c r="AJ2257" i="83"/>
  <c r="AK2257" i="83" s="1"/>
  <c r="AJ997" i="83"/>
  <c r="AK997" i="83" s="1"/>
  <c r="AK1179" i="83"/>
  <c r="AJ2166" i="83"/>
  <c r="AK2166" i="83" s="1"/>
  <c r="AK2486" i="83"/>
  <c r="AJ2280" i="83"/>
  <c r="AK2280" i="83" s="1"/>
  <c r="AJ629" i="83"/>
  <c r="AJ839" i="83"/>
  <c r="AK839" i="83" s="1"/>
  <c r="AJ975" i="83"/>
  <c r="AK975" i="83" s="1"/>
  <c r="AK1416" i="83"/>
  <c r="AK1910" i="83"/>
  <c r="AK1777" i="83"/>
  <c r="AJ1447" i="83"/>
  <c r="AK1447" i="83" s="1"/>
  <c r="AK326" i="83"/>
  <c r="AJ1781" i="83"/>
  <c r="AK1781" i="83" s="1"/>
  <c r="AJ862" i="83"/>
  <c r="AK862" i="83" s="1"/>
  <c r="AJ2498" i="83"/>
  <c r="AK2498" i="83" s="1"/>
  <c r="AJ1253" i="83"/>
  <c r="AK1253" i="83" s="1"/>
  <c r="AJ1909" i="83"/>
  <c r="AK1909" i="83" s="1"/>
  <c r="AK1711" i="83"/>
  <c r="AJ2474" i="83"/>
  <c r="AK2474" i="83" s="1"/>
  <c r="AJ287" i="83"/>
  <c r="AK287" i="83" s="1"/>
  <c r="AJ112" i="83"/>
  <c r="AK112" i="83" s="1"/>
  <c r="AJ16" i="83"/>
  <c r="AK16" i="83" s="1"/>
  <c r="AK300" i="83"/>
  <c r="AJ518" i="83"/>
  <c r="AK518" i="83" s="1"/>
  <c r="AJ447" i="83"/>
  <c r="AK447" i="83" s="1"/>
  <c r="AK848" i="83"/>
  <c r="AK925" i="83"/>
  <c r="AK832" i="83"/>
  <c r="AK941" i="83"/>
  <c r="AJ772" i="83"/>
  <c r="AK772" i="83" s="1"/>
  <c r="AK1183" i="83"/>
  <c r="AK368" i="83"/>
  <c r="AK1359" i="83"/>
  <c r="AJ1566" i="83"/>
  <c r="AK1566" i="83" s="1"/>
  <c r="AJ1933" i="83"/>
  <c r="AK1933" i="83" s="1"/>
  <c r="AK1550" i="83"/>
  <c r="AJ2038" i="83"/>
  <c r="AK2038" i="83" s="1"/>
  <c r="AJ2182" i="83"/>
  <c r="AK2182" i="83" s="1"/>
  <c r="AK2017" i="83"/>
  <c r="AJ2538" i="83"/>
  <c r="AK2538" i="83" s="1"/>
  <c r="AJ2402" i="83"/>
  <c r="AK2402" i="83" s="1"/>
  <c r="AJ1451" i="83"/>
  <c r="AK1451" i="83" s="1"/>
  <c r="AJ963" i="83"/>
  <c r="AK963" i="83" s="1"/>
  <c r="AK458" i="83"/>
  <c r="AJ1811" i="83"/>
  <c r="AK1811" i="83" s="1"/>
  <c r="AJ1779" i="83"/>
  <c r="AK1779" i="83" s="1"/>
  <c r="AK2545" i="83"/>
  <c r="AJ678" i="83"/>
  <c r="AK678" i="83" s="1"/>
  <c r="AK578" i="83"/>
  <c r="AJ342" i="83"/>
  <c r="AK342" i="83" s="1"/>
  <c r="AJ132" i="83"/>
  <c r="AK132" i="83" s="1"/>
  <c r="AK685" i="83"/>
  <c r="AK981" i="83"/>
  <c r="AK1314" i="83"/>
  <c r="AK1351" i="83"/>
  <c r="AK1881" i="83"/>
  <c r="AK2125" i="83"/>
  <c r="AK2229" i="83"/>
  <c r="AJ2310" i="83"/>
  <c r="AK2310" i="83" s="1"/>
  <c r="AK2129" i="83"/>
  <c r="AK2041" i="83"/>
  <c r="AK2518" i="83"/>
  <c r="AJ1918" i="83"/>
  <c r="AK1918" i="83" s="1"/>
  <c r="AK1798" i="83"/>
  <c r="AJ2004" i="83"/>
  <c r="AK2004" i="83" s="1"/>
  <c r="AK1862" i="83"/>
  <c r="AK859" i="83"/>
  <c r="AK896" i="83"/>
  <c r="AJ2244" i="83"/>
  <c r="AK2244" i="83" s="1"/>
  <c r="AJ2020" i="83"/>
  <c r="AK2020" i="83" s="1"/>
  <c r="AJ1265" i="83"/>
  <c r="AK1265" i="83" s="1"/>
  <c r="AJ1600" i="83"/>
  <c r="AK1600" i="83" s="1"/>
  <c r="AJ1805" i="83"/>
  <c r="AK1805" i="83" s="1"/>
  <c r="AJ2308" i="83"/>
  <c r="AK2308" i="83" s="1"/>
  <c r="AJ1834" i="83"/>
  <c r="AK1834" i="83" s="1"/>
  <c r="AJ1961" i="83"/>
  <c r="AK1961" i="83" s="1"/>
  <c r="AK1998" i="83"/>
  <c r="AK2255" i="83"/>
  <c r="AK687" i="83"/>
  <c r="AJ1905" i="83"/>
  <c r="AK1905" i="83" s="1"/>
  <c r="AJ597" i="83"/>
  <c r="AK597" i="83" s="1"/>
  <c r="AJ466" i="83"/>
  <c r="AK466" i="83" s="1"/>
  <c r="AJ789" i="83"/>
  <c r="AK789" i="83" s="1"/>
  <c r="AJ1332" i="83"/>
  <c r="AK1332" i="83" s="1"/>
  <c r="AJ1913" i="83"/>
  <c r="AK1913" i="83" s="1"/>
  <c r="AJ621" i="83"/>
  <c r="AK621" i="83" s="1"/>
  <c r="AK2407" i="83"/>
  <c r="AJ529" i="83"/>
  <c r="AK529" i="83" s="1"/>
  <c r="AJ812" i="83"/>
  <c r="AK812" i="83" s="1"/>
  <c r="AK1540" i="83"/>
  <c r="AK557" i="83"/>
  <c r="AJ727" i="83"/>
  <c r="AK727" i="83" s="1"/>
  <c r="AK1139" i="83"/>
  <c r="AJ1445" i="83"/>
  <c r="AK1445" i="83" s="1"/>
  <c r="AK1209" i="83"/>
  <c r="AJ2042" i="83"/>
  <c r="AK2042" i="83" s="1"/>
  <c r="AK1161" i="83"/>
  <c r="AJ1230" i="83"/>
  <c r="AK1230" i="83" s="1"/>
  <c r="AJ1182" i="83"/>
  <c r="AK1182" i="83" s="1"/>
  <c r="AJ605" i="83"/>
  <c r="AK605" i="83" s="1"/>
  <c r="AJ185" i="83"/>
  <c r="AK185" i="83" s="1"/>
  <c r="AK310" i="83"/>
  <c r="AJ1866" i="83"/>
  <c r="AK1866" i="83" s="1"/>
  <c r="AJ1792" i="83"/>
  <c r="AK1792" i="83" s="1"/>
  <c r="AJ1859" i="83"/>
  <c r="AK1859" i="83" s="1"/>
  <c r="AJ1875" i="83"/>
  <c r="AK1875" i="83" s="1"/>
  <c r="AJ2079" i="83"/>
  <c r="AK2079" i="83" s="1"/>
  <c r="AJ1827" i="83"/>
  <c r="AK1827" i="83" s="1"/>
  <c r="AK2566" i="83"/>
  <c r="AJ785" i="83"/>
  <c r="AK785" i="83" s="1"/>
  <c r="AJ295" i="83"/>
  <c r="AK295" i="83" s="1"/>
  <c r="AJ742" i="83"/>
  <c r="AK742" i="83" s="1"/>
  <c r="AJ1030" i="83"/>
  <c r="AK1030" i="83" s="1"/>
  <c r="AJ756" i="83"/>
  <c r="AK756" i="83" s="1"/>
  <c r="AJ996" i="83"/>
  <c r="AK996" i="83" s="1"/>
  <c r="AJ889" i="83"/>
  <c r="AK889" i="83" s="1"/>
  <c r="AJ1054" i="83"/>
  <c r="AK1054" i="83" s="1"/>
  <c r="AK206" i="83"/>
  <c r="AJ1514" i="83"/>
  <c r="AK1514" i="83" s="1"/>
  <c r="AJ1771" i="83"/>
  <c r="AK1771" i="83" s="1"/>
  <c r="AJ2316" i="83"/>
  <c r="AK2316" i="83" s="1"/>
  <c r="AJ2618" i="83"/>
  <c r="AK2618" i="83" s="1"/>
  <c r="AJ2514" i="83"/>
  <c r="AK2514" i="83" s="1"/>
  <c r="AJ46" i="83"/>
  <c r="AK46" i="83" s="1"/>
  <c r="AJ1176" i="83"/>
  <c r="AK1176" i="83" s="1"/>
  <c r="AJ1341" i="83"/>
  <c r="AK1341" i="83" s="1"/>
  <c r="AK1075" i="83"/>
  <c r="AJ1919" i="83"/>
  <c r="AK1919" i="83" s="1"/>
  <c r="AK1715" i="83"/>
  <c r="AJ831" i="83"/>
  <c r="AK831" i="83" s="1"/>
  <c r="AJ2084" i="83"/>
  <c r="AK2084" i="83" s="1"/>
  <c r="AJ2050" i="83"/>
  <c r="AK2050" i="83" s="1"/>
  <c r="AJ1911" i="83"/>
  <c r="AK1911" i="83" s="1"/>
  <c r="AK2043" i="83"/>
  <c r="AJ138" i="83"/>
  <c r="AK138" i="83" s="1"/>
  <c r="AJ27" i="83"/>
  <c r="AK27" i="83" s="1"/>
  <c r="AJ186" i="83"/>
  <c r="AK186" i="83" s="1"/>
  <c r="AK238" i="83"/>
  <c r="AJ702" i="83"/>
  <c r="AK702" i="83" s="1"/>
  <c r="AJ620" i="83"/>
  <c r="AK620" i="83" s="1"/>
  <c r="AK917" i="83"/>
  <c r="AK827" i="83"/>
  <c r="AK933" i="83"/>
  <c r="AK707" i="83"/>
  <c r="AJ1157" i="83"/>
  <c r="AK1157" i="83" s="1"/>
  <c r="AJ1218" i="83"/>
  <c r="AK1218" i="83" s="1"/>
  <c r="AJ878" i="83"/>
  <c r="AK878" i="83" s="1"/>
  <c r="AK1306" i="83"/>
  <c r="AJ1431" i="83"/>
  <c r="AK1431" i="83" s="1"/>
  <c r="AJ1576" i="83"/>
  <c r="AK1576" i="83" s="1"/>
  <c r="AK1708" i="83"/>
  <c r="AJ2254" i="83"/>
  <c r="AK2254" i="83" s="1"/>
  <c r="AJ2302" i="83"/>
  <c r="AK2302" i="83" s="1"/>
  <c r="AJ2252" i="83"/>
  <c r="AK2252" i="83" s="1"/>
  <c r="AJ2140" i="83"/>
  <c r="AK2140" i="83" s="1"/>
  <c r="AK2233" i="83"/>
  <c r="AJ2268" i="83"/>
  <c r="AK2268" i="83" s="1"/>
  <c r="AJ2138" i="83"/>
  <c r="AK2138" i="83" s="1"/>
  <c r="AJ2124" i="83"/>
  <c r="AK2124" i="83" s="1"/>
  <c r="AJ2228" i="83"/>
  <c r="AK2228" i="83" s="1"/>
  <c r="AK2013" i="83"/>
  <c r="AK2121" i="83"/>
  <c r="AJ2626" i="83"/>
  <c r="AJ2458" i="83"/>
  <c r="AK2458" i="83" s="1"/>
  <c r="AJ2288" i="83"/>
  <c r="AK2288" i="83" s="1"/>
  <c r="AK2309" i="83"/>
  <c r="AK2555" i="83"/>
  <c r="AJ135" i="83"/>
  <c r="AK135" i="83" s="1"/>
  <c r="AK173" i="83"/>
  <c r="AK275" i="83"/>
  <c r="AK117" i="83"/>
  <c r="AJ365" i="83"/>
  <c r="AK365" i="83" s="1"/>
  <c r="AJ375" i="83"/>
  <c r="AK375" i="83" s="1"/>
  <c r="AK93" i="83"/>
  <c r="AJ688" i="83"/>
  <c r="AK688" i="83" s="1"/>
  <c r="AJ762" i="83"/>
  <c r="AK762" i="83" s="1"/>
  <c r="AJ576" i="83"/>
  <c r="AK576" i="83" s="1"/>
  <c r="AJ1013" i="83"/>
  <c r="AK1013" i="83" s="1"/>
  <c r="AJ1880" i="83"/>
  <c r="AK1880" i="83" s="1"/>
  <c r="AJ1730" i="83"/>
  <c r="AK1730" i="83" s="1"/>
  <c r="AJ1509" i="83"/>
  <c r="AK1509" i="83" s="1"/>
  <c r="AJ1870" i="83"/>
  <c r="AK1870" i="83" s="1"/>
  <c r="AK1047" i="83"/>
  <c r="AJ1871" i="83"/>
  <c r="AK1871" i="83" s="1"/>
  <c r="AK1360" i="83"/>
  <c r="AK2002" i="83"/>
  <c r="AK2363" i="83"/>
  <c r="AJ452" i="83"/>
  <c r="AJ982" i="83"/>
  <c r="AK982" i="83" s="1"/>
  <c r="AJ48" i="83"/>
  <c r="AK48" i="83" s="1"/>
  <c r="AJ80" i="83"/>
  <c r="AK80" i="83" s="1"/>
  <c r="AJ202" i="83"/>
  <c r="AK202" i="83" s="1"/>
  <c r="AK111" i="83"/>
  <c r="AJ226" i="83"/>
  <c r="AK226" i="83" s="1"/>
  <c r="AK308" i="83"/>
  <c r="AK265" i="83"/>
  <c r="AJ510" i="83"/>
  <c r="AK510" i="83" s="1"/>
  <c r="AK400" i="83"/>
  <c r="AJ487" i="83"/>
  <c r="AK487" i="83" s="1"/>
  <c r="AJ590" i="83"/>
  <c r="AK590" i="83" s="1"/>
  <c r="AK668" i="83"/>
  <c r="AK706" i="83"/>
  <c r="AJ794" i="83"/>
  <c r="AK794" i="83" s="1"/>
  <c r="AK1295" i="83"/>
  <c r="AK1319" i="83"/>
  <c r="AK1343" i="83"/>
  <c r="AK1415" i="83"/>
  <c r="AJ1481" i="83"/>
  <c r="AK1481" i="83" s="1"/>
  <c r="AK1668" i="83"/>
  <c r="AK1586" i="83"/>
  <c r="AJ2158" i="83"/>
  <c r="AK2158" i="83" s="1"/>
  <c r="AJ2130" i="83"/>
  <c r="AK2130" i="83" s="1"/>
  <c r="AK2105" i="83"/>
  <c r="AK2193" i="83"/>
  <c r="AJ2206" i="83"/>
  <c r="AJ2142" i="83"/>
  <c r="AK2142" i="83" s="1"/>
  <c r="AJ2246" i="83"/>
  <c r="AK2246" i="83" s="1"/>
  <c r="AJ1732" i="83"/>
  <c r="AK1732" i="83" s="1"/>
  <c r="AK1304" i="83"/>
  <c r="AJ1803" i="83"/>
  <c r="AK1803" i="83" s="1"/>
  <c r="AJ59" i="83"/>
  <c r="AK59" i="83" s="1"/>
  <c r="AJ242" i="83"/>
  <c r="AK242" i="83" s="1"/>
  <c r="AJ189" i="83"/>
  <c r="AK189" i="83" s="1"/>
  <c r="AJ2132" i="83"/>
  <c r="AK2132" i="83" s="1"/>
  <c r="AJ2434" i="83"/>
  <c r="AK2434" i="83" s="1"/>
  <c r="AJ2530" i="83"/>
  <c r="AK2530" i="83" s="1"/>
  <c r="AK243" i="83"/>
  <c r="AJ708" i="83"/>
  <c r="AK708" i="83" s="1"/>
  <c r="AK1155" i="83"/>
  <c r="AJ1246" i="83"/>
  <c r="AK1246" i="83" s="1"/>
  <c r="AJ1959" i="83"/>
  <c r="AK1959" i="83" s="1"/>
  <c r="AJ1496" i="83"/>
  <c r="AK1496" i="83" s="1"/>
  <c r="AJ1966" i="83"/>
  <c r="AK1966" i="83" s="1"/>
  <c r="AJ2453" i="83"/>
  <c r="AK2453" i="83" s="1"/>
  <c r="AK2599" i="83"/>
  <c r="AJ320" i="83"/>
  <c r="AK320" i="83" s="1"/>
  <c r="AK376" i="83"/>
  <c r="AJ614" i="83"/>
  <c r="AK614" i="83" s="1"/>
  <c r="AK731" i="83"/>
  <c r="AJ566" i="83"/>
  <c r="AK566" i="83" s="1"/>
  <c r="AK965" i="83"/>
  <c r="AJ753" i="83"/>
  <c r="AK753" i="83" s="1"/>
  <c r="AK949" i="83"/>
  <c r="AJ1117" i="83"/>
  <c r="AK1117" i="83" s="1"/>
  <c r="AJ1228" i="83"/>
  <c r="AK1228" i="83" s="1"/>
  <c r="AJ1196" i="83"/>
  <c r="AK1196" i="83" s="1"/>
  <c r="AK1175" i="83"/>
  <c r="AJ1192" i="83"/>
  <c r="AK1192" i="83" s="1"/>
  <c r="AJ1299" i="83"/>
  <c r="AK1299" i="83" s="1"/>
  <c r="AJ1323" i="83"/>
  <c r="AK1323" i="83" s="1"/>
  <c r="AK1628" i="83"/>
  <c r="AK1692" i="83"/>
  <c r="AK1716" i="83"/>
  <c r="AJ1957" i="83"/>
  <c r="AK1957" i="83" s="1"/>
  <c r="AK2133" i="83"/>
  <c r="AJ2134" i="83"/>
  <c r="AK2134" i="83" s="1"/>
  <c r="AK2209" i="83"/>
  <c r="AK2145" i="83"/>
  <c r="AK2249" i="83"/>
  <c r="AK2462" i="83"/>
  <c r="AK2325" i="83"/>
  <c r="AJ2552" i="83"/>
  <c r="AK2552" i="83" s="1"/>
  <c r="AJ248" i="83"/>
  <c r="AK248" i="83" s="1"/>
  <c r="AK362" i="83"/>
  <c r="AJ321" i="83"/>
  <c r="AK321" i="83" s="1"/>
  <c r="AJ396" i="83"/>
  <c r="AK396" i="83" s="1"/>
  <c r="AK389" i="83"/>
  <c r="AJ482" i="83"/>
  <c r="AK482" i="83" s="1"/>
  <c r="AJ1358" i="83"/>
  <c r="AK1358" i="83" s="1"/>
  <c r="AJ1086" i="83"/>
  <c r="AK1086" i="83" s="1"/>
  <c r="AJ1270" i="83"/>
  <c r="AK1270" i="83" s="1"/>
  <c r="AJ1937" i="83"/>
  <c r="AK1937" i="83" s="1"/>
  <c r="AJ2243" i="83"/>
  <c r="AK2243" i="83" s="1"/>
  <c r="AJ1806" i="83"/>
  <c r="AK1806" i="83" s="1"/>
  <c r="AJ1926" i="83"/>
  <c r="AK1926" i="83" s="1"/>
  <c r="AK1727" i="83"/>
  <c r="AK2267" i="83"/>
  <c r="AJ422" i="83"/>
  <c r="AK422" i="83" s="1"/>
  <c r="AJ780" i="83"/>
  <c r="AK780" i="83" s="1"/>
  <c r="AJ1052" i="83"/>
  <c r="AK1052" i="83" s="1"/>
  <c r="AJ2418" i="83"/>
  <c r="AK2418" i="83" s="1"/>
  <c r="AJ1149" i="83"/>
  <c r="AK1149" i="83" s="1"/>
  <c r="AJ838" i="83"/>
  <c r="AK838" i="83" s="1"/>
  <c r="AK629" i="83"/>
  <c r="AJ40" i="83"/>
  <c r="AK40" i="83" s="1"/>
  <c r="AJ52" i="83"/>
  <c r="AK52" i="83" s="1"/>
  <c r="AJ100" i="83"/>
  <c r="AK100" i="83" s="1"/>
  <c r="AJ406" i="83"/>
  <c r="AK406" i="83" s="1"/>
  <c r="AJ457" i="83"/>
  <c r="AK457" i="83" s="1"/>
  <c r="AJ526" i="83"/>
  <c r="AK526" i="83" s="1"/>
  <c r="AJ638" i="83"/>
  <c r="AK638" i="83" s="1"/>
  <c r="AJ359" i="83"/>
  <c r="AK359" i="83" s="1"/>
  <c r="AJ478" i="83"/>
  <c r="AK478" i="83" s="1"/>
  <c r="AK690" i="83"/>
  <c r="AJ790" i="83"/>
  <c r="AK790" i="83" s="1"/>
  <c r="AJ761" i="83"/>
  <c r="AK761" i="83" s="1"/>
  <c r="AK909" i="83"/>
  <c r="AJ1125" i="83"/>
  <c r="AK1125" i="83" s="1"/>
  <c r="AJ1180" i="83"/>
  <c r="AK1180" i="83" s="1"/>
  <c r="AJ1244" i="83"/>
  <c r="AK1244" i="83" s="1"/>
  <c r="AK1199" i="83"/>
  <c r="AK1303" i="83"/>
  <c r="AK1327" i="83"/>
  <c r="AJ1669" i="83"/>
  <c r="AK1669" i="83" s="1"/>
  <c r="AJ1714" i="83"/>
  <c r="AK1714" i="83" s="1"/>
  <c r="AK1627" i="83"/>
  <c r="AJ2014" i="83"/>
  <c r="AK2014" i="83" s="1"/>
  <c r="AK2185" i="83"/>
  <c r="AJ2162" i="83"/>
  <c r="AK2162" i="83" s="1"/>
  <c r="AJ2234" i="83"/>
  <c r="AK2234" i="83" s="1"/>
  <c r="AK2137" i="83"/>
  <c r="AJ2170" i="83"/>
  <c r="AK2170" i="83" s="1"/>
  <c r="AJ2218" i="83"/>
  <c r="AJ2062" i="83"/>
  <c r="AK2062" i="83" s="1"/>
  <c r="AJ2256" i="83"/>
  <c r="AK2256" i="83" s="1"/>
  <c r="AK2351" i="83"/>
  <c r="AJ191" i="83"/>
  <c r="AK191" i="83" s="1"/>
  <c r="AJ152" i="83"/>
  <c r="AK152" i="83" s="1"/>
  <c r="AK490" i="83"/>
  <c r="AK67" i="83"/>
  <c r="AJ499" i="83"/>
  <c r="AK499" i="83" s="1"/>
  <c r="AK512" i="83"/>
  <c r="AJ1096" i="83"/>
  <c r="AK1096" i="83" s="1"/>
  <c r="AK1163" i="83"/>
  <c r="AK1091" i="83"/>
  <c r="AK1066" i="83"/>
  <c r="AJ1856" i="83"/>
  <c r="AK1856" i="83" s="1"/>
  <c r="AJ13" i="83"/>
  <c r="AK13" i="83" s="1"/>
  <c r="AK2035" i="83"/>
  <c r="AJ1932" i="83"/>
  <c r="AK1932" i="83" s="1"/>
  <c r="AJ961" i="83"/>
  <c r="AK961" i="83" s="1"/>
  <c r="AK1243" i="83"/>
  <c r="AK1383" i="83"/>
  <c r="AK1474" i="83"/>
  <c r="AJ1645" i="83"/>
  <c r="AK1645" i="83" s="1"/>
  <c r="AJ1661" i="83"/>
  <c r="AK1661" i="83" s="1"/>
  <c r="AJ2278" i="83"/>
  <c r="AK2278" i="83" s="1"/>
  <c r="AJ2326" i="83"/>
  <c r="AK2326" i="83" s="1"/>
  <c r="AJ2108" i="83"/>
  <c r="AK2108" i="83" s="1"/>
  <c r="AJ2030" i="83"/>
  <c r="AK2030" i="83" s="1"/>
  <c r="AK2177" i="83"/>
  <c r="AJ2078" i="83"/>
  <c r="AK2078" i="83" s="1"/>
  <c r="AK2153" i="83"/>
  <c r="AJ2114" i="83"/>
  <c r="AK2114" i="83" s="1"/>
  <c r="AK2510" i="83"/>
  <c r="AK2117" i="83"/>
  <c r="AK1950" i="83"/>
  <c r="AK2409" i="83"/>
  <c r="AJ25" i="83"/>
  <c r="AK25" i="83" s="1"/>
  <c r="AJ565" i="83"/>
  <c r="AK565" i="83" s="1"/>
  <c r="AK504" i="83"/>
  <c r="AK299" i="83"/>
  <c r="AJ469" i="83"/>
  <c r="AK469" i="83" s="1"/>
  <c r="AK283" i="83"/>
  <c r="AJ1225" i="83"/>
  <c r="AK1225" i="83" s="1"/>
  <c r="AJ1699" i="83"/>
  <c r="AK1699" i="83" s="1"/>
  <c r="AJ1807" i="83"/>
  <c r="AK1807" i="83" s="1"/>
  <c r="AJ1974" i="83"/>
  <c r="AK1974" i="83" s="1"/>
  <c r="AK1726" i="83"/>
  <c r="AK1320" i="83"/>
  <c r="AJ2023" i="83"/>
  <c r="AK2023" i="83" s="1"/>
  <c r="AJ1761" i="83"/>
  <c r="AK1761" i="83" s="1"/>
  <c r="AJ1674" i="83"/>
  <c r="AK1674" i="83" s="1"/>
  <c r="AK2611" i="83"/>
  <c r="AJ766" i="83"/>
  <c r="AK766" i="83" s="1"/>
  <c r="AJ1006" i="83"/>
  <c r="AK1006" i="83" s="1"/>
  <c r="AK1571" i="83"/>
  <c r="AJ465" i="83"/>
  <c r="AK465" i="83" s="1"/>
  <c r="AJ641" i="83"/>
  <c r="AK641" i="83" s="1"/>
  <c r="AJ769" i="83"/>
  <c r="AK769" i="83" s="1"/>
  <c r="AJ1133" i="83"/>
  <c r="AK1133" i="83" s="1"/>
  <c r="AJ1109" i="83"/>
  <c r="AK1109" i="83" s="1"/>
  <c r="AJ106" i="83"/>
  <c r="AK106" i="83" s="1"/>
  <c r="AJ194" i="83"/>
  <c r="AK194" i="83" s="1"/>
  <c r="AJ178" i="83"/>
  <c r="AK178" i="83" s="1"/>
  <c r="AJ171" i="83"/>
  <c r="AK171" i="83" s="1"/>
  <c r="AJ343" i="83"/>
  <c r="AK343" i="83" s="1"/>
  <c r="AJ382" i="83"/>
  <c r="AK382" i="83" s="1"/>
  <c r="AJ646" i="83"/>
  <c r="AK646" i="83" s="1"/>
  <c r="AJ694" i="83"/>
  <c r="AK694" i="83" s="1"/>
  <c r="AJ718" i="83"/>
  <c r="AK718" i="83" s="1"/>
  <c r="AK856" i="83"/>
  <c r="AK1215" i="83"/>
  <c r="AJ1280" i="83"/>
  <c r="AK1280" i="83" s="1"/>
  <c r="AJ1266" i="83"/>
  <c r="AK1266" i="83" s="1"/>
  <c r="AJ1403" i="83"/>
  <c r="AK1403" i="83" s="1"/>
  <c r="AK1516" i="83"/>
  <c r="AJ1505" i="83"/>
  <c r="AK1505" i="83" s="1"/>
  <c r="AJ2286" i="83"/>
  <c r="AK2286" i="83" s="1"/>
  <c r="AJ2007" i="83"/>
  <c r="AK2007" i="83" s="1"/>
  <c r="AJ2126" i="83"/>
  <c r="AK2126" i="83" s="1"/>
  <c r="AJ2214" i="83"/>
  <c r="AK2214" i="83" s="1"/>
  <c r="AJ2036" i="83"/>
  <c r="AK2036" i="83" s="1"/>
  <c r="AJ2054" i="83"/>
  <c r="AK2054" i="83" s="1"/>
  <c r="AK1964" i="83"/>
  <c r="AK2097" i="83"/>
  <c r="AK2399" i="83"/>
  <c r="AJ2602" i="83"/>
  <c r="AK2602" i="83" s="1"/>
  <c r="AJ2304" i="83"/>
  <c r="AK2304" i="83" s="1"/>
  <c r="AK2293" i="83"/>
  <c r="AJ1624" i="83"/>
  <c r="AK1624" i="83" s="1"/>
  <c r="AK2149" i="83"/>
  <c r="AJ2250" i="83"/>
  <c r="AK2250" i="83" s="1"/>
  <c r="AK2595" i="83"/>
  <c r="AJ145" i="83"/>
  <c r="AK145" i="83" s="1"/>
  <c r="AK63" i="83"/>
  <c r="AJ639" i="83"/>
  <c r="AK639" i="83" s="1"/>
  <c r="AJ535" i="83"/>
  <c r="AK535" i="83" s="1"/>
  <c r="AJ1158" i="83"/>
  <c r="AK1158" i="83" s="1"/>
  <c r="AJ1390" i="83"/>
  <c r="AK1390" i="83" s="1"/>
  <c r="AJ1206" i="83"/>
  <c r="AK1206" i="83" s="1"/>
  <c r="AJ418" i="83"/>
  <c r="AK418" i="83" s="1"/>
  <c r="AJ1051" i="83"/>
  <c r="AK1051" i="83" s="1"/>
  <c r="AJ1839" i="83"/>
  <c r="AK1839" i="83" s="1"/>
  <c r="AJ995" i="83"/>
  <c r="AK995" i="83" s="1"/>
  <c r="AK664" i="83"/>
  <c r="AK823" i="83"/>
  <c r="AJ2131" i="83"/>
  <c r="AK2131" i="83" s="1"/>
  <c r="AJ212" i="83"/>
  <c r="AK212" i="83" s="1"/>
  <c r="AJ2259" i="83"/>
  <c r="AK2259" i="83" s="1"/>
  <c r="AK1352" i="83"/>
  <c r="AK1376" i="83"/>
  <c r="AJ1686" i="83"/>
  <c r="AK1686" i="83" s="1"/>
  <c r="AJ2151" i="83"/>
  <c r="AK2151" i="83" s="1"/>
  <c r="AK2468" i="83"/>
  <c r="AJ2148" i="83"/>
  <c r="AK2148" i="83" s="1"/>
  <c r="AJ1337" i="83"/>
  <c r="AK1337" i="83" s="1"/>
  <c r="AJ229" i="83"/>
  <c r="AK229" i="83" s="1"/>
  <c r="AJ255" i="83"/>
  <c r="AK255" i="83" s="1"/>
  <c r="AJ1789" i="83"/>
  <c r="AK1789" i="83" s="1"/>
  <c r="AJ1845" i="83"/>
  <c r="AK1845" i="83" s="1"/>
  <c r="AJ2546" i="83"/>
  <c r="AK2546" i="83" s="1"/>
  <c r="AJ237" i="83"/>
  <c r="AK237" i="83" s="1"/>
  <c r="AJ366" i="83"/>
  <c r="AK366" i="83" s="1"/>
  <c r="AJ352" i="83"/>
  <c r="AK352" i="83" s="1"/>
  <c r="AJ339" i="83"/>
  <c r="AK339" i="83" s="1"/>
  <c r="AJ430" i="83"/>
  <c r="AK430" i="83" s="1"/>
  <c r="AJ446" i="83"/>
  <c r="AK446" i="83" s="1"/>
  <c r="AJ561" i="83"/>
  <c r="AK561" i="83" s="1"/>
  <c r="AK634" i="83"/>
  <c r="AJ660" i="83"/>
  <c r="AK660" i="83" s="1"/>
  <c r="AJ822" i="83"/>
  <c r="AK822" i="83" s="1"/>
  <c r="AJ677" i="83"/>
  <c r="AK677" i="83" s="1"/>
  <c r="AJ1022" i="83"/>
  <c r="AK1022" i="83" s="1"/>
  <c r="AJ764" i="83"/>
  <c r="AK764" i="83" s="1"/>
  <c r="AJ830" i="83"/>
  <c r="AK830" i="83" s="1"/>
  <c r="AJ902" i="83"/>
  <c r="AK902" i="83" s="1"/>
  <c r="AJ966" i="83"/>
  <c r="AK966" i="83" s="1"/>
  <c r="AJ918" i="83"/>
  <c r="AK918" i="83" s="1"/>
  <c r="AJ777" i="83"/>
  <c r="AK777" i="83" s="1"/>
  <c r="AJ1101" i="83"/>
  <c r="AJ1141" i="83"/>
  <c r="AK1141" i="83" s="1"/>
  <c r="AJ1173" i="83"/>
  <c r="AK1173" i="83" s="1"/>
  <c r="AK989" i="83"/>
  <c r="AJ1077" i="83"/>
  <c r="AK1077" i="83" s="1"/>
  <c r="AK1072" i="83"/>
  <c r="AJ1584" i="83"/>
  <c r="AK1584" i="83" s="1"/>
  <c r="AK1556" i="83"/>
  <c r="AJ1232" i="83"/>
  <c r="AK1232" i="83" s="1"/>
  <c r="AK1548" i="83"/>
  <c r="AJ1608" i="83"/>
  <c r="AK1608" i="83" s="1"/>
  <c r="AJ1917" i="83"/>
  <c r="AK1917" i="83" s="1"/>
  <c r="AJ1981" i="83"/>
  <c r="AK1981" i="83" s="1"/>
  <c r="AJ1696" i="83"/>
  <c r="AK1696" i="83" s="1"/>
  <c r="AJ1861" i="83"/>
  <c r="AK1861" i="83" s="1"/>
  <c r="AJ817" i="83"/>
  <c r="AK817" i="83" s="1"/>
  <c r="AJ1837" i="83"/>
  <c r="AK1837" i="83" s="1"/>
  <c r="AJ1999" i="83"/>
  <c r="AK1999" i="83" s="1"/>
  <c r="AJ2260" i="83"/>
  <c r="AK2260" i="83" s="1"/>
  <c r="AJ2292" i="83"/>
  <c r="AK2292" i="83" s="1"/>
  <c r="AJ2324" i="83"/>
  <c r="AK2324" i="83" s="1"/>
  <c r="AJ2212" i="83"/>
  <c r="AJ2188" i="83"/>
  <c r="AK2188" i="83" s="1"/>
  <c r="AJ2236" i="83"/>
  <c r="AK2236" i="83" s="1"/>
  <c r="AJ2610" i="83"/>
  <c r="AK2610" i="83" s="1"/>
  <c r="AJ2594" i="83"/>
  <c r="AK2594" i="83" s="1"/>
  <c r="AJ2386" i="83"/>
  <c r="AK2386" i="83" s="1"/>
  <c r="AJ2506" i="83"/>
  <c r="AK2506" i="83" s="1"/>
  <c r="AJ1093" i="83"/>
  <c r="AK1093" i="83" s="1"/>
  <c r="AJ1264" i="83"/>
  <c r="AK1264" i="83" s="1"/>
  <c r="AJ1813" i="83"/>
  <c r="AK1813" i="83" s="1"/>
  <c r="AJ2410" i="83"/>
  <c r="AK2410" i="83" s="1"/>
  <c r="AK2360" i="83"/>
  <c r="AJ146" i="83"/>
  <c r="AK146" i="83" s="1"/>
  <c r="AJ279" i="83"/>
  <c r="AK279" i="83" s="1"/>
  <c r="AJ263" i="83"/>
  <c r="AK263" i="83" s="1"/>
  <c r="AJ82" i="83"/>
  <c r="AK82" i="83" s="1"/>
  <c r="AJ56" i="83"/>
  <c r="AK56" i="83" s="1"/>
  <c r="AJ162" i="83"/>
  <c r="AK162" i="83" s="1"/>
  <c r="AJ88" i="83"/>
  <c r="AK88" i="83" s="1"/>
  <c r="AJ24" i="83"/>
  <c r="AK24" i="83" s="1"/>
  <c r="AJ19" i="83"/>
  <c r="AK19" i="83" s="1"/>
  <c r="AJ120" i="83"/>
  <c r="AK120" i="83" s="1"/>
  <c r="AJ136" i="83"/>
  <c r="AK136" i="83" s="1"/>
  <c r="AJ210" i="83"/>
  <c r="AK210" i="83" s="1"/>
  <c r="AK273" i="83"/>
  <c r="AJ116" i="83"/>
  <c r="AK116" i="83" s="1"/>
  <c r="AK241" i="83"/>
  <c r="AK384" i="83"/>
  <c r="AK408" i="83"/>
  <c r="AJ438" i="83"/>
  <c r="AK438" i="83" s="1"/>
  <c r="AJ502" i="83"/>
  <c r="AK502" i="83" s="1"/>
  <c r="AK741" i="83"/>
  <c r="AK591" i="83"/>
  <c r="AK663" i="83"/>
  <c r="AJ534" i="83"/>
  <c r="AK534" i="83" s="1"/>
  <c r="AJ774" i="83"/>
  <c r="AK774" i="83" s="1"/>
  <c r="AJ596" i="83"/>
  <c r="AK596" i="83" s="1"/>
  <c r="AK691" i="83"/>
  <c r="AJ926" i="83"/>
  <c r="AK926" i="83" s="1"/>
  <c r="AK843" i="83"/>
  <c r="AJ854" i="83"/>
  <c r="AK854" i="83" s="1"/>
  <c r="AJ841" i="83"/>
  <c r="AK841" i="83" s="1"/>
  <c r="AJ998" i="83"/>
  <c r="AK998" i="83" s="1"/>
  <c r="AJ1204" i="83"/>
  <c r="AK1204" i="83" s="1"/>
  <c r="AJ946" i="83"/>
  <c r="AK946" i="83" s="1"/>
  <c r="AK1042" i="83"/>
  <c r="AJ1258" i="83"/>
  <c r="AK1258" i="83" s="1"/>
  <c r="AK986" i="83"/>
  <c r="AK203" i="83"/>
  <c r="AJ331" i="83"/>
  <c r="AK331" i="83" s="1"/>
  <c r="AJ1252" i="83"/>
  <c r="AK1252" i="83" s="1"/>
  <c r="AJ1250" i="83"/>
  <c r="AK1250" i="83" s="1"/>
  <c r="AJ1297" i="83"/>
  <c r="AK1297" i="83" s="1"/>
  <c r="AJ1234" i="83"/>
  <c r="AK1234" i="83" s="1"/>
  <c r="AJ1371" i="83"/>
  <c r="AK1227" i="83"/>
  <c r="AJ1395" i="83"/>
  <c r="AK1395" i="83" s="1"/>
  <c r="AK1594" i="83"/>
  <c r="AK1652" i="83"/>
  <c r="AJ1427" i="83"/>
  <c r="AK1427" i="83" s="1"/>
  <c r="AK1619" i="83"/>
  <c r="AK1562" i="83"/>
  <c r="AK1198" i="83"/>
  <c r="AK1596" i="83"/>
  <c r="AK1612" i="83"/>
  <c r="AJ1503" i="83"/>
  <c r="AK1503" i="83" s="1"/>
  <c r="AK1546" i="83"/>
  <c r="AJ1728" i="83"/>
  <c r="AK1728" i="83" s="1"/>
  <c r="AJ1893" i="83"/>
  <c r="AK1893" i="83" s="1"/>
  <c r="AJ1949" i="83"/>
  <c r="AK1949" i="83" s="1"/>
  <c r="AJ1685" i="83"/>
  <c r="AK1685" i="83" s="1"/>
  <c r="AK1889" i="83"/>
  <c r="AK2021" i="83"/>
  <c r="AJ2202" i="83"/>
  <c r="AK2161" i="83"/>
  <c r="AJ2220" i="83"/>
  <c r="AJ1877" i="83"/>
  <c r="AK1877" i="83" s="1"/>
  <c r="AJ2116" i="83"/>
  <c r="AK2116" i="83" s="1"/>
  <c r="AK2169" i="83"/>
  <c r="AJ2238" i="83"/>
  <c r="AK2238" i="83" s="1"/>
  <c r="AK2141" i="83"/>
  <c r="AJ2266" i="83"/>
  <c r="AK2266" i="83" s="1"/>
  <c r="AJ2298" i="83"/>
  <c r="AK2298" i="83" s="1"/>
  <c r="AK1682" i="83"/>
  <c r="AJ2009" i="83"/>
  <c r="AK2009" i="83" s="1"/>
  <c r="AK2081" i="83"/>
  <c r="AJ2198" i="83"/>
  <c r="AK2198" i="83" s="1"/>
  <c r="AK2025" i="83"/>
  <c r="AJ2377" i="83"/>
  <c r="AK2377" i="83" s="1"/>
  <c r="AJ2570" i="83"/>
  <c r="AK2570" i="83" s="1"/>
  <c r="AJ2616" i="83"/>
  <c r="AK2616" i="83" s="1"/>
  <c r="AJ2264" i="83"/>
  <c r="AK2264" i="83" s="1"/>
  <c r="AK2285" i="83"/>
  <c r="AJ2554" i="83"/>
  <c r="AK2554" i="83" s="1"/>
  <c r="AJ2522" i="83"/>
  <c r="AK2522" i="83" s="1"/>
  <c r="AK2383" i="83"/>
  <c r="AK2470" i="83"/>
  <c r="AJ374" i="83"/>
  <c r="AK374" i="83" s="1"/>
  <c r="AJ454" i="83"/>
  <c r="AK454" i="83" s="1"/>
  <c r="AJ886" i="83"/>
  <c r="AK886" i="83" s="1"/>
  <c r="AK1611" i="83"/>
  <c r="AK1691" i="83"/>
  <c r="AJ1989" i="83"/>
  <c r="AK1989" i="83" s="1"/>
  <c r="AK2367" i="83"/>
  <c r="AK47" i="83"/>
  <c r="AK29" i="83"/>
  <c r="AK392" i="83"/>
  <c r="AJ1012" i="83"/>
  <c r="AK1012" i="83" s="1"/>
  <c r="AJ1305" i="83"/>
  <c r="AK1305" i="83" s="1"/>
  <c r="AK2253" i="83"/>
  <c r="AJ2272" i="83"/>
  <c r="AK2272" i="83" s="1"/>
  <c r="AK2392" i="83"/>
  <c r="AJ2070" i="83"/>
  <c r="AK2070" i="83" s="1"/>
  <c r="AJ846" i="83"/>
  <c r="AK846" i="83" s="1"/>
  <c r="AK1552" i="83"/>
  <c r="AJ1869" i="83"/>
  <c r="AK1869" i="83" s="1"/>
  <c r="AJ2060" i="83"/>
  <c r="AK2060" i="83" s="1"/>
  <c r="AJ2361" i="83"/>
  <c r="AK2361" i="83" s="1"/>
  <c r="AJ542" i="83"/>
  <c r="AK542" i="83" s="1"/>
  <c r="AJ630" i="83"/>
  <c r="AK630" i="83" s="1"/>
  <c r="AJ550" i="83"/>
  <c r="AK550" i="83" s="1"/>
  <c r="AK455" i="83"/>
  <c r="AJ489" i="83"/>
  <c r="AK489" i="83" s="1"/>
  <c r="AK631" i="83"/>
  <c r="AJ622" i="83"/>
  <c r="AK622" i="83" s="1"/>
  <c r="AK666" i="83"/>
  <c r="AK698" i="83"/>
  <c r="AK714" i="83"/>
  <c r="AK676" i="83"/>
  <c r="AJ758" i="83"/>
  <c r="AK758" i="83" s="1"/>
  <c r="AJ782" i="83"/>
  <c r="AK782" i="83" s="1"/>
  <c r="AJ910" i="83"/>
  <c r="AK910" i="83" s="1"/>
  <c r="AJ950" i="83"/>
  <c r="AK950" i="83" s="1"/>
  <c r="AJ1046" i="83"/>
  <c r="AK819" i="83"/>
  <c r="AK880" i="83"/>
  <c r="AK864" i="83"/>
  <c r="AJ942" i="83"/>
  <c r="AK942" i="83" s="1"/>
  <c r="AK888" i="83"/>
  <c r="AJ808" i="83"/>
  <c r="AK808" i="83" s="1"/>
  <c r="AK1045" i="83"/>
  <c r="AK1207" i="83"/>
  <c r="AJ1050" i="83"/>
  <c r="AK1050" i="83" s="1"/>
  <c r="AK350" i="83"/>
  <c r="AK912" i="83"/>
  <c r="AJ1188" i="83"/>
  <c r="AK1188" i="83" s="1"/>
  <c r="AJ1355" i="83"/>
  <c r="AK1355" i="83" s="1"/>
  <c r="AJ1313" i="83"/>
  <c r="AK1313" i="83" s="1"/>
  <c r="AJ1387" i="83"/>
  <c r="AK1387" i="83" s="1"/>
  <c r="AK1560" i="83"/>
  <c r="AK1570" i="83"/>
  <c r="AK1595" i="83"/>
  <c r="AJ1462" i="83"/>
  <c r="AK1462" i="83" s="1"/>
  <c r="AJ1629" i="83"/>
  <c r="AK1629" i="83" s="1"/>
  <c r="AJ1435" i="83"/>
  <c r="AK1435" i="83" s="1"/>
  <c r="AK1684" i="83"/>
  <c r="AK1587" i="83"/>
  <c r="AK1676" i="83"/>
  <c r="AJ1829" i="83"/>
  <c r="AK1829" i="83" s="1"/>
  <c r="AJ1821" i="83"/>
  <c r="AK1821" i="83" s="1"/>
  <c r="AJ1347" i="83"/>
  <c r="AJ2098" i="83"/>
  <c r="AK2098" i="83" s="1"/>
  <c r="AJ2154" i="83"/>
  <c r="AK2154" i="83" s="1"/>
  <c r="AJ2334" i="83"/>
  <c r="AK2334" i="83" s="1"/>
  <c r="AJ2086" i="83"/>
  <c r="AK2086" i="83" s="1"/>
  <c r="AJ2172" i="83"/>
  <c r="AK2172" i="83" s="1"/>
  <c r="AJ2180" i="83"/>
  <c r="AK2180" i="83" s="1"/>
  <c r="AK2241" i="83"/>
  <c r="AJ2242" i="83"/>
  <c r="AK2242" i="83" s="1"/>
  <c r="AJ2274" i="83"/>
  <c r="AK2274" i="83" s="1"/>
  <c r="AJ2306" i="83"/>
  <c r="AK2306" i="83" s="1"/>
  <c r="AJ1997" i="83"/>
  <c r="AK1997" i="83" s="1"/>
  <c r="AJ2012" i="83"/>
  <c r="AK2012" i="83" s="1"/>
  <c r="AJ2110" i="83"/>
  <c r="AK2110" i="83" s="1"/>
  <c r="AJ2210" i="83"/>
  <c r="AK2210" i="83" s="1"/>
  <c r="AJ2028" i="83"/>
  <c r="AK2028" i="83" s="1"/>
  <c r="AJ311" i="83"/>
  <c r="AK311" i="83" s="1"/>
  <c r="AJ726" i="83"/>
  <c r="AK726" i="83" s="1"/>
  <c r="AJ414" i="83"/>
  <c r="AK414" i="83" s="1"/>
  <c r="AJ1345" i="83"/>
  <c r="AJ1901" i="83"/>
  <c r="AK1901" i="83" s="1"/>
  <c r="AJ2490" i="83"/>
  <c r="AK2490" i="83" s="1"/>
  <c r="AJ2450" i="83"/>
  <c r="AK2450" i="83" s="1"/>
  <c r="AJ247" i="83"/>
  <c r="AK247" i="83" s="1"/>
  <c r="AJ341" i="83"/>
  <c r="AK341" i="83" s="1"/>
  <c r="AJ1321" i="83"/>
  <c r="AK1321" i="83" s="1"/>
  <c r="AJ1450" i="83"/>
  <c r="AK1450" i="83" s="1"/>
  <c r="AJ2156" i="83"/>
  <c r="AK2156" i="83" s="1"/>
  <c r="AJ2164" i="83"/>
  <c r="AK2164" i="83" s="1"/>
  <c r="AJ2340" i="83"/>
  <c r="AK2340" i="83" s="1"/>
  <c r="AJ2586" i="83"/>
  <c r="AK2586" i="83" s="1"/>
  <c r="AJ2426" i="83"/>
  <c r="AK2426" i="83" s="1"/>
  <c r="AJ2354" i="83"/>
  <c r="AK2354" i="83" s="1"/>
  <c r="AJ398" i="83"/>
  <c r="AK398" i="83" s="1"/>
  <c r="AJ390" i="83"/>
  <c r="AK390" i="83" s="1"/>
  <c r="AJ114" i="83"/>
  <c r="AK114" i="83" s="1"/>
  <c r="AJ96" i="83"/>
  <c r="AK96" i="83" s="1"/>
  <c r="AJ10" i="83"/>
  <c r="AK10" i="83" s="1"/>
  <c r="AJ58" i="83"/>
  <c r="AK58" i="83" s="1"/>
  <c r="AJ26" i="83"/>
  <c r="AK26" i="83" s="1"/>
  <c r="AJ155" i="83"/>
  <c r="AK155" i="83" s="1"/>
  <c r="AJ34" i="83"/>
  <c r="AK34" i="83" s="1"/>
  <c r="AJ234" i="83"/>
  <c r="AK234" i="83" s="1"/>
  <c r="AK129" i="83"/>
  <c r="AK257" i="83"/>
  <c r="AK211" i="83"/>
  <c r="AJ303" i="83"/>
  <c r="AK303" i="83" s="1"/>
  <c r="AK349" i="83"/>
  <c r="AK423" i="83"/>
  <c r="AK463" i="83"/>
  <c r="AJ462" i="83"/>
  <c r="AK462" i="83" s="1"/>
  <c r="AJ675" i="83"/>
  <c r="AK675" i="83" s="1"/>
  <c r="AJ470" i="83"/>
  <c r="AK470" i="83" s="1"/>
  <c r="AJ734" i="83"/>
  <c r="AK734" i="83" s="1"/>
  <c r="AJ870" i="83"/>
  <c r="AK870" i="83" s="1"/>
  <c r="AJ974" i="83"/>
  <c r="AJ810" i="83"/>
  <c r="AK810" i="83" s="1"/>
  <c r="AJ990" i="83"/>
  <c r="AK990" i="83" s="1"/>
  <c r="AK891" i="83"/>
  <c r="AK957" i="83"/>
  <c r="AK899" i="83"/>
  <c r="AJ1038" i="83"/>
  <c r="AK1038" i="83" s="1"/>
  <c r="AK824" i="83"/>
  <c r="AK875" i="83"/>
  <c r="AJ937" i="83"/>
  <c r="AK937" i="83" s="1"/>
  <c r="AK1073" i="83"/>
  <c r="AJ1210" i="83"/>
  <c r="AK1210" i="83" s="1"/>
  <c r="AJ970" i="83"/>
  <c r="AK970" i="83" s="1"/>
  <c r="AK1081" i="83"/>
  <c r="AJ1085" i="83"/>
  <c r="AK1085" i="83" s="1"/>
  <c r="AK882" i="83"/>
  <c r="AK851" i="83"/>
  <c r="AK281" i="83"/>
  <c r="AK1191" i="83"/>
  <c r="AJ1379" i="83"/>
  <c r="AJ1329" i="83"/>
  <c r="AK1329" i="83" s="1"/>
  <c r="AK1399" i="83"/>
  <c r="AK1391" i="83"/>
  <c r="AJ1637" i="83"/>
  <c r="AK1637" i="83" s="1"/>
  <c r="AK1538" i="83"/>
  <c r="AJ1677" i="83"/>
  <c r="AK1677" i="83" s="1"/>
  <c r="AK1603" i="83"/>
  <c r="AK1700" i="83"/>
  <c r="AJ1467" i="83"/>
  <c r="AK1467" i="83" s="1"/>
  <c r="AK1604" i="83"/>
  <c r="AK1620" i="83"/>
  <c r="AK1554" i="83"/>
  <c r="AJ1592" i="83"/>
  <c r="AK1592" i="83" s="1"/>
  <c r="AJ1418" i="83"/>
  <c r="AK1418" i="83" s="1"/>
  <c r="AK1564" i="83"/>
  <c r="AJ1673" i="83"/>
  <c r="AK1673" i="83" s="1"/>
  <c r="AJ1797" i="83"/>
  <c r="AK1797" i="83" s="1"/>
  <c r="AJ1973" i="83"/>
  <c r="AK1973" i="83" s="1"/>
  <c r="AK2157" i="83"/>
  <c r="AJ2226" i="83"/>
  <c r="AK2226" i="83" s="1"/>
  <c r="AJ2022" i="83"/>
  <c r="AK2022" i="83" s="1"/>
  <c r="AK2057" i="83"/>
  <c r="AK2073" i="83"/>
  <c r="AK2245" i="83"/>
  <c r="AJ2282" i="83"/>
  <c r="AK2282" i="83" s="1"/>
  <c r="AJ2314" i="83"/>
  <c r="AK2314" i="83" s="1"/>
  <c r="AJ2001" i="83"/>
  <c r="AK2001" i="83" s="1"/>
  <c r="AK2113" i="83"/>
  <c r="AJ2174" i="83"/>
  <c r="AK2174" i="83" s="1"/>
  <c r="AJ2342" i="83"/>
  <c r="AK2342" i="83" s="1"/>
  <c r="AK2454" i="83"/>
  <c r="AJ2600" i="83"/>
  <c r="AK2600" i="83" s="1"/>
  <c r="AJ2328" i="83"/>
  <c r="AK2328" i="83" s="1"/>
  <c r="AJ2578" i="83"/>
  <c r="AK2578" i="83" s="1"/>
  <c r="AJ2094" i="83"/>
  <c r="AK2094" i="83" s="1"/>
  <c r="AK2345" i="83"/>
  <c r="AJ2466" i="83"/>
  <c r="AK2466" i="83" s="1"/>
  <c r="AK2478" i="83"/>
  <c r="AJ2204" i="83"/>
  <c r="AJ2562" i="83"/>
  <c r="AK2562" i="83" s="1"/>
  <c r="AK3" i="83" l="1"/>
  <c r="C13" i="62" s="1"/>
  <c r="AK2" i="83"/>
  <c r="E335" i="77" l="1"/>
  <c r="D335" i="77"/>
  <c r="C335" i="77"/>
  <c r="E229" i="72" l="1"/>
  <c r="AV229" i="72" l="1"/>
  <c r="AP229" i="72"/>
  <c r="R229" i="72"/>
  <c r="Q229" i="72"/>
  <c r="A77" i="74"/>
  <c r="J229" i="72"/>
  <c r="A77" i="73"/>
  <c r="C252" i="77" l="1"/>
  <c r="C244" i="77" s="1"/>
  <c r="F289" i="77" l="1"/>
  <c r="E289" i="77"/>
  <c r="D289" i="77"/>
  <c r="C289" i="77"/>
  <c r="H282" i="77"/>
  <c r="F204" i="77"/>
  <c r="E204" i="77"/>
  <c r="D204" i="77"/>
  <c r="C204" i="77"/>
  <c r="F193" i="77"/>
  <c r="E193" i="77"/>
  <c r="D193" i="77"/>
  <c r="C193" i="77"/>
  <c r="C70" i="77" l="1"/>
  <c r="G35" i="62" l="1"/>
  <c r="F35" i="62"/>
  <c r="E35" i="62"/>
  <c r="D35" i="62"/>
  <c r="C35" i="62"/>
  <c r="G27" i="62"/>
  <c r="G26" i="62" s="1"/>
  <c r="F27" i="62"/>
  <c r="F26" i="62" s="1"/>
  <c r="E27" i="62"/>
  <c r="E26" i="62" s="1"/>
  <c r="D27" i="62"/>
  <c r="D26" i="62" s="1"/>
  <c r="C27" i="62"/>
  <c r="C26" i="62" s="1"/>
  <c r="H7" i="81" l="1"/>
  <c r="C14" i="81"/>
  <c r="C278" i="77" s="1"/>
  <c r="D14" i="81"/>
  <c r="D278" i="77" s="1"/>
  <c r="D285" i="77" s="1"/>
  <c r="E14" i="81"/>
  <c r="F14" i="81"/>
  <c r="F278" i="77" s="1"/>
  <c r="F285" i="77" s="1"/>
  <c r="G14" i="81"/>
  <c r="G278" i="77" s="1"/>
  <c r="G285" i="77" s="1"/>
  <c r="C25" i="81"/>
  <c r="D25" i="81"/>
  <c r="E25" i="81"/>
  <c r="F25" i="81"/>
  <c r="G25" i="81"/>
  <c r="H29" i="81"/>
  <c r="H30" i="81"/>
  <c r="H31" i="81"/>
  <c r="H32" i="81"/>
  <c r="H33" i="81"/>
  <c r="H34" i="81"/>
  <c r="H35" i="81"/>
  <c r="H36" i="81"/>
  <c r="H37" i="81"/>
  <c r="H38" i="81"/>
  <c r="H39" i="81"/>
  <c r="H40" i="81"/>
  <c r="H41" i="81"/>
  <c r="H42" i="81"/>
  <c r="H43" i="81"/>
  <c r="H44" i="81"/>
  <c r="H45" i="81"/>
  <c r="H46" i="81"/>
  <c r="H47" i="81"/>
  <c r="H48" i="81"/>
  <c r="H49" i="81"/>
  <c r="C50" i="81"/>
  <c r="C79" i="81" s="1"/>
  <c r="C15" i="81" s="1"/>
  <c r="C279" i="77" s="1"/>
  <c r="D50" i="81"/>
  <c r="D79" i="81" s="1"/>
  <c r="D15" i="81" s="1"/>
  <c r="D279" i="77" s="1"/>
  <c r="E50" i="81"/>
  <c r="E79" i="81" s="1"/>
  <c r="E15" i="81" s="1"/>
  <c r="E279" i="77" s="1"/>
  <c r="F50" i="81"/>
  <c r="F79" i="81" s="1"/>
  <c r="C58" i="81"/>
  <c r="D58" i="81"/>
  <c r="E58" i="81"/>
  <c r="F58" i="81"/>
  <c r="G58" i="81"/>
  <c r="C59" i="81"/>
  <c r="D59" i="81"/>
  <c r="E59" i="81"/>
  <c r="F59" i="81"/>
  <c r="G59" i="81"/>
  <c r="C60" i="81"/>
  <c r="D60" i="81"/>
  <c r="E60" i="81"/>
  <c r="F60" i="81"/>
  <c r="G60" i="81"/>
  <c r="C61" i="81"/>
  <c r="D61" i="81"/>
  <c r="E61" i="81"/>
  <c r="F61" i="81"/>
  <c r="G61" i="81"/>
  <c r="C62" i="81"/>
  <c r="D62" i="81"/>
  <c r="E62" i="81"/>
  <c r="F62" i="81"/>
  <c r="G62" i="81"/>
  <c r="C63" i="81"/>
  <c r="D63" i="81"/>
  <c r="E63" i="81"/>
  <c r="F63" i="81"/>
  <c r="G63" i="81"/>
  <c r="C64" i="81"/>
  <c r="D64" i="81"/>
  <c r="E64" i="81"/>
  <c r="F64" i="81"/>
  <c r="G64" i="81"/>
  <c r="C65" i="81"/>
  <c r="D65" i="81"/>
  <c r="E65" i="81"/>
  <c r="F65" i="81"/>
  <c r="G65" i="81"/>
  <c r="C66" i="81"/>
  <c r="D66" i="81"/>
  <c r="E66" i="81"/>
  <c r="F66" i="81"/>
  <c r="G66" i="81"/>
  <c r="C67" i="81"/>
  <c r="D67" i="81"/>
  <c r="E67" i="81"/>
  <c r="F67" i="81"/>
  <c r="G67" i="81"/>
  <c r="C68" i="81"/>
  <c r="D68" i="81"/>
  <c r="E68" i="81"/>
  <c r="F68" i="81"/>
  <c r="G68" i="81"/>
  <c r="C69" i="81"/>
  <c r="D69" i="81"/>
  <c r="E69" i="81"/>
  <c r="F69" i="81"/>
  <c r="G69" i="81"/>
  <c r="C70" i="81"/>
  <c r="D70" i="81"/>
  <c r="E70" i="81"/>
  <c r="F70" i="81"/>
  <c r="G70" i="81"/>
  <c r="C71" i="81"/>
  <c r="D71" i="81"/>
  <c r="E71" i="81"/>
  <c r="F71" i="81"/>
  <c r="G71" i="81"/>
  <c r="C72" i="81"/>
  <c r="J72" i="81" s="1"/>
  <c r="D72" i="81"/>
  <c r="E72" i="81"/>
  <c r="F72" i="81"/>
  <c r="G72" i="81"/>
  <c r="C73" i="81"/>
  <c r="D73" i="81"/>
  <c r="E73" i="81"/>
  <c r="F73" i="81"/>
  <c r="G73" i="81"/>
  <c r="C74" i="81"/>
  <c r="D74" i="81"/>
  <c r="E74" i="81"/>
  <c r="F74" i="81"/>
  <c r="G74" i="81"/>
  <c r="C75" i="81"/>
  <c r="D75" i="81"/>
  <c r="E75" i="81"/>
  <c r="F75" i="81"/>
  <c r="G75" i="81"/>
  <c r="C76" i="81"/>
  <c r="D76" i="81"/>
  <c r="E76" i="81"/>
  <c r="F76" i="81"/>
  <c r="G76" i="81"/>
  <c r="C77" i="81"/>
  <c r="D77" i="81"/>
  <c r="E77" i="81"/>
  <c r="F77" i="81"/>
  <c r="G77" i="81"/>
  <c r="C78" i="81"/>
  <c r="D78" i="81"/>
  <c r="E78" i="81"/>
  <c r="F78" i="81"/>
  <c r="G78" i="81"/>
  <c r="G79" i="81"/>
  <c r="J67" i="81" l="1"/>
  <c r="C92" i="81" s="1"/>
  <c r="K72" i="81"/>
  <c r="D97" i="81" s="1"/>
  <c r="D286" i="77"/>
  <c r="E286" i="77"/>
  <c r="F8" i="81"/>
  <c r="F15" i="81"/>
  <c r="F279" i="77" s="1"/>
  <c r="H62" i="81"/>
  <c r="J71" i="81"/>
  <c r="C96" i="81" s="1"/>
  <c r="N63" i="81"/>
  <c r="C216" i="77" s="1"/>
  <c r="E16" i="81"/>
  <c r="E287" i="77" s="1"/>
  <c r="E278" i="77"/>
  <c r="E285" i="77" s="1"/>
  <c r="H50" i="81"/>
  <c r="C286" i="77"/>
  <c r="K70" i="81"/>
  <c r="D95" i="81" s="1"/>
  <c r="C285" i="77"/>
  <c r="K59" i="81"/>
  <c r="D84" i="81" s="1"/>
  <c r="G15" i="81"/>
  <c r="G279" i="77" s="1"/>
  <c r="G286" i="77" s="1"/>
  <c r="G8" i="81"/>
  <c r="N76" i="81"/>
  <c r="C229" i="77" s="1"/>
  <c r="N60" i="81"/>
  <c r="C213" i="77" s="1"/>
  <c r="H74" i="81"/>
  <c r="N64" i="81"/>
  <c r="G89" i="81" s="1"/>
  <c r="N67" i="81"/>
  <c r="C220" i="77" s="1"/>
  <c r="M67" i="81"/>
  <c r="F92" i="81" s="1"/>
  <c r="N78" i="81"/>
  <c r="C231" i="77" s="1"/>
  <c r="H72" i="81"/>
  <c r="N75" i="81"/>
  <c r="L71" i="81"/>
  <c r="E96" i="81" s="1"/>
  <c r="N74" i="81"/>
  <c r="C227" i="77" s="1"/>
  <c r="M76" i="81"/>
  <c r="F101" i="81" s="1"/>
  <c r="N68" i="81"/>
  <c r="C221" i="77" s="1"/>
  <c r="M63" i="81"/>
  <c r="F88" i="81" s="1"/>
  <c r="M75" i="81"/>
  <c r="F100" i="81" s="1"/>
  <c r="K68" i="81"/>
  <c r="D93" i="81" s="1"/>
  <c r="M58" i="81"/>
  <c r="F83" i="81" s="1"/>
  <c r="N79" i="81"/>
  <c r="G104" i="81" s="1"/>
  <c r="C8" i="81"/>
  <c r="J59" i="81"/>
  <c r="J79" i="81"/>
  <c r="J63" i="81"/>
  <c r="J64" i="81"/>
  <c r="J75" i="81"/>
  <c r="J76" i="81"/>
  <c r="L62" i="81"/>
  <c r="E87" i="81" s="1"/>
  <c r="K78" i="81"/>
  <c r="D103" i="81" s="1"/>
  <c r="K76" i="81"/>
  <c r="D101" i="81" s="1"/>
  <c r="H71" i="81"/>
  <c r="J70" i="81"/>
  <c r="M68" i="81"/>
  <c r="F93" i="81" s="1"/>
  <c r="H66" i="81"/>
  <c r="K64" i="81"/>
  <c r="D89" i="81" s="1"/>
  <c r="H60" i="81"/>
  <c r="J78" i="81"/>
  <c r="C103" i="81" s="1"/>
  <c r="J73" i="81"/>
  <c r="N69" i="81"/>
  <c r="L68" i="81"/>
  <c r="E93" i="81" s="1"/>
  <c r="L67" i="81"/>
  <c r="E92" i="81" s="1"/>
  <c r="J66" i="81"/>
  <c r="C91" i="81" s="1"/>
  <c r="N62" i="81"/>
  <c r="N59" i="81"/>
  <c r="G84" i="81" s="1"/>
  <c r="M62" i="81"/>
  <c r="F87" i="81" s="1"/>
  <c r="M61" i="81"/>
  <c r="F86" i="81" s="1"/>
  <c r="N77" i="81"/>
  <c r="N72" i="81"/>
  <c r="N71" i="81"/>
  <c r="C224" i="77" s="1"/>
  <c r="M70" i="81"/>
  <c r="F95" i="81" s="1"/>
  <c r="M69" i="81"/>
  <c r="F94" i="81" s="1"/>
  <c r="H68" i="81"/>
  <c r="K67" i="81"/>
  <c r="D92" i="81" s="1"/>
  <c r="N65" i="81"/>
  <c r="H61" i="81"/>
  <c r="M59" i="81"/>
  <c r="F84" i="81" s="1"/>
  <c r="N58" i="81"/>
  <c r="G83" i="81" s="1"/>
  <c r="M78" i="81"/>
  <c r="F103" i="81" s="1"/>
  <c r="M71" i="81"/>
  <c r="F96" i="81" s="1"/>
  <c r="M64" i="81"/>
  <c r="F89" i="81" s="1"/>
  <c r="M79" i="81"/>
  <c r="F104" i="81" s="1"/>
  <c r="H78" i="81"/>
  <c r="L76" i="81"/>
  <c r="E101" i="81" s="1"/>
  <c r="L75" i="81"/>
  <c r="E100" i="81" s="1"/>
  <c r="J74" i="81"/>
  <c r="N70" i="81"/>
  <c r="G95" i="81" s="1"/>
  <c r="M66" i="81"/>
  <c r="F91" i="81" s="1"/>
  <c r="H64" i="81"/>
  <c r="L63" i="81"/>
  <c r="E88" i="81" s="1"/>
  <c r="K62" i="81"/>
  <c r="D87" i="81" s="1"/>
  <c r="D16" i="81"/>
  <c r="D287" i="77" s="1"/>
  <c r="H14" i="81"/>
  <c r="H285" i="77" s="1"/>
  <c r="M65" i="81"/>
  <c r="F90" i="81" s="1"/>
  <c r="H76" i="81"/>
  <c r="K75" i="81"/>
  <c r="D100" i="81" s="1"/>
  <c r="N73" i="81"/>
  <c r="H69" i="81"/>
  <c r="N66" i="81"/>
  <c r="H63" i="81"/>
  <c r="J62" i="81"/>
  <c r="M60" i="81"/>
  <c r="F85" i="81" s="1"/>
  <c r="H58" i="81"/>
  <c r="M74" i="81"/>
  <c r="F99" i="81" s="1"/>
  <c r="M77" i="81"/>
  <c r="F102" i="81" s="1"/>
  <c r="H70" i="81"/>
  <c r="H77" i="81"/>
  <c r="M73" i="81"/>
  <c r="F98" i="81" s="1"/>
  <c r="M72" i="81"/>
  <c r="F97" i="81" s="1"/>
  <c r="J65" i="81"/>
  <c r="N61" i="81"/>
  <c r="L60" i="81"/>
  <c r="E85" i="81" s="1"/>
  <c r="L59" i="81"/>
  <c r="E84" i="81" s="1"/>
  <c r="J58" i="81"/>
  <c r="D8" i="81"/>
  <c r="L78" i="81"/>
  <c r="E103" i="81" s="1"/>
  <c r="H73" i="81"/>
  <c r="L72" i="81"/>
  <c r="E97" i="81" s="1"/>
  <c r="H65" i="81"/>
  <c r="L64" i="81"/>
  <c r="E89" i="81" s="1"/>
  <c r="L61" i="81"/>
  <c r="E86" i="81" s="1"/>
  <c r="L69" i="81"/>
  <c r="E94" i="81" s="1"/>
  <c r="K77" i="81"/>
  <c r="D102" i="81" s="1"/>
  <c r="L74" i="81"/>
  <c r="E99" i="81" s="1"/>
  <c r="H67" i="81"/>
  <c r="L58" i="81"/>
  <c r="E83" i="81" s="1"/>
  <c r="L79" i="81"/>
  <c r="E104" i="81" s="1"/>
  <c r="J77" i="81"/>
  <c r="K74" i="81"/>
  <c r="D99" i="81" s="1"/>
  <c r="J69" i="81"/>
  <c r="K66" i="81"/>
  <c r="D91" i="81" s="1"/>
  <c r="J61" i="81"/>
  <c r="K58" i="81"/>
  <c r="D83" i="81" s="1"/>
  <c r="L77" i="81"/>
  <c r="E102" i="81" s="1"/>
  <c r="H75" i="81"/>
  <c r="K69" i="81"/>
  <c r="D94" i="81" s="1"/>
  <c r="L66" i="81"/>
  <c r="E91" i="81" s="1"/>
  <c r="K61" i="81"/>
  <c r="D86" i="81" s="1"/>
  <c r="H59" i="81"/>
  <c r="C97" i="81"/>
  <c r="K79" i="81"/>
  <c r="D104" i="81" s="1"/>
  <c r="K71" i="81"/>
  <c r="D96" i="81" s="1"/>
  <c r="K63" i="81"/>
  <c r="D88" i="81" s="1"/>
  <c r="E8" i="81"/>
  <c r="L73" i="81"/>
  <c r="E98" i="81" s="1"/>
  <c r="L65" i="81"/>
  <c r="E90" i="81" s="1"/>
  <c r="K60" i="81"/>
  <c r="D85" i="81" s="1"/>
  <c r="K73" i="81"/>
  <c r="D98" i="81" s="1"/>
  <c r="L70" i="81"/>
  <c r="E95" i="81" s="1"/>
  <c r="J68" i="81"/>
  <c r="K65" i="81"/>
  <c r="D90" i="81" s="1"/>
  <c r="J60" i="81"/>
  <c r="F16" i="81" l="1"/>
  <c r="F287" i="77" s="1"/>
  <c r="F286" i="77"/>
  <c r="H279" i="77"/>
  <c r="G16" i="81"/>
  <c r="G287" i="77" s="1"/>
  <c r="G88" i="81"/>
  <c r="G93" i="81"/>
  <c r="G101" i="81"/>
  <c r="C88" i="81"/>
  <c r="H88" i="81" s="1"/>
  <c r="P63" i="81"/>
  <c r="K216" i="77" s="1"/>
  <c r="P73" i="81"/>
  <c r="K226" i="77" s="1"/>
  <c r="C104" i="81"/>
  <c r="P79" i="81"/>
  <c r="G94" i="81"/>
  <c r="C222" i="77"/>
  <c r="P78" i="81"/>
  <c r="K231" i="77" s="1"/>
  <c r="C98" i="81"/>
  <c r="C86" i="81"/>
  <c r="P61" i="81"/>
  <c r="K214" i="77" s="1"/>
  <c r="C85" i="81"/>
  <c r="P60" i="81"/>
  <c r="K213" i="77" s="1"/>
  <c r="C83" i="81"/>
  <c r="H83" i="81" s="1"/>
  <c r="P58" i="81"/>
  <c r="K211" i="77" s="1"/>
  <c r="C84" i="81"/>
  <c r="P59" i="81"/>
  <c r="K212" i="77" s="1"/>
  <c r="C94" i="81"/>
  <c r="P69" i="81"/>
  <c r="K222" i="77" s="1"/>
  <c r="C87" i="81"/>
  <c r="P62" i="81"/>
  <c r="K215" i="77" s="1"/>
  <c r="G100" i="81"/>
  <c r="C228" i="77"/>
  <c r="P71" i="81"/>
  <c r="K224" i="77" s="1"/>
  <c r="C93" i="81"/>
  <c r="H93" i="81" s="1"/>
  <c r="P68" i="81"/>
  <c r="K221" i="77" s="1"/>
  <c r="G99" i="81"/>
  <c r="C95" i="81"/>
  <c r="P70" i="81"/>
  <c r="K223" i="77" s="1"/>
  <c r="P67" i="81"/>
  <c r="K220" i="77" s="1"/>
  <c r="C101" i="81"/>
  <c r="P76" i="81"/>
  <c r="K229" i="77" s="1"/>
  <c r="G96" i="81"/>
  <c r="H96" i="81" s="1"/>
  <c r="G97" i="81"/>
  <c r="H97" i="81" s="1"/>
  <c r="C225" i="77"/>
  <c r="C89" i="81"/>
  <c r="H89" i="81" s="1"/>
  <c r="P64" i="81"/>
  <c r="K217" i="77" s="1"/>
  <c r="G102" i="81"/>
  <c r="C230" i="77"/>
  <c r="G92" i="81"/>
  <c r="H92" i="81" s="1"/>
  <c r="G103" i="81"/>
  <c r="H103" i="81" s="1"/>
  <c r="C102" i="81"/>
  <c r="P77" i="81"/>
  <c r="K230" i="77" s="1"/>
  <c r="G85" i="81"/>
  <c r="G86" i="81"/>
  <c r="H86" i="81" s="1"/>
  <c r="C214" i="77"/>
  <c r="G91" i="81"/>
  <c r="H91" i="81" s="1"/>
  <c r="C219" i="77"/>
  <c r="G90" i="81"/>
  <c r="C218" i="77"/>
  <c r="G87" i="81"/>
  <c r="C215" i="77"/>
  <c r="P72" i="81"/>
  <c r="K225" i="77" s="1"/>
  <c r="C90" i="81"/>
  <c r="P65" i="81"/>
  <c r="K218" i="77" s="1"/>
  <c r="C99" i="81"/>
  <c r="P74" i="81"/>
  <c r="K227" i="77" s="1"/>
  <c r="P66" i="81"/>
  <c r="K219" i="77" s="1"/>
  <c r="C100" i="81"/>
  <c r="P75" i="81"/>
  <c r="K228" i="77" s="1"/>
  <c r="G98" i="81"/>
  <c r="C226" i="77"/>
  <c r="H278" i="77"/>
  <c r="H84" i="81"/>
  <c r="H79" i="81"/>
  <c r="H95" i="81"/>
  <c r="H8" i="81"/>
  <c r="H15" i="81"/>
  <c r="H286" i="77" s="1"/>
  <c r="C16" i="81"/>
  <c r="F77" i="62"/>
  <c r="G77" i="62"/>
  <c r="H77" i="62"/>
  <c r="I77" i="62"/>
  <c r="E77" i="62"/>
  <c r="E303" i="69"/>
  <c r="H99" i="81" l="1"/>
  <c r="H94" i="81"/>
  <c r="H100" i="81"/>
  <c r="H101" i="81"/>
  <c r="H102" i="81"/>
  <c r="H90" i="81"/>
  <c r="H98" i="81"/>
  <c r="H87" i="81"/>
  <c r="H85" i="81"/>
  <c r="G17" i="81"/>
  <c r="G288" i="77" s="1"/>
  <c r="C287" i="77"/>
  <c r="H104" i="81"/>
  <c r="H16" i="81"/>
  <c r="H287" i="77" s="1"/>
  <c r="C17" i="81"/>
  <c r="C288" i="77" s="1"/>
  <c r="D17" i="81"/>
  <c r="D288" i="77" s="1"/>
  <c r="F17" i="81"/>
  <c r="F288" i="77" s="1"/>
  <c r="E17" i="81"/>
  <c r="E288" i="77" s="1"/>
  <c r="H17" i="81" l="1"/>
  <c r="H288" i="77" s="1"/>
  <c r="G18" i="81"/>
  <c r="H18" i="81" l="1"/>
  <c r="H289" i="77" s="1"/>
  <c r="G289" i="77"/>
  <c r="G10" i="59"/>
  <c r="H10" i="59"/>
  <c r="F10" i="59"/>
  <c r="H19" i="81" l="1"/>
  <c r="H20" i="81"/>
  <c r="H290" i="77"/>
  <c r="H21" i="81" l="1"/>
  <c r="H291" i="77"/>
  <c r="A47" i="69"/>
  <c r="A48" i="69" s="1"/>
  <c r="C23" i="38" l="1"/>
  <c r="C54" i="38" s="1"/>
  <c r="H54" i="38" s="1"/>
  <c r="H292" i="77"/>
  <c r="A49" i="69"/>
  <c r="B48" i="69"/>
  <c r="B47" i="69"/>
  <c r="C91" i="77" l="1"/>
  <c r="C75" i="77"/>
  <c r="A50" i="69"/>
  <c r="B49" i="69"/>
  <c r="B50" i="69" l="1"/>
  <c r="A51" i="69"/>
  <c r="A52" i="69" l="1"/>
  <c r="B51" i="69"/>
  <c r="A53" i="69" l="1"/>
  <c r="B52" i="69"/>
  <c r="C87" i="77"/>
  <c r="D87" i="77"/>
  <c r="E87" i="77"/>
  <c r="F87" i="77"/>
  <c r="G87" i="77"/>
  <c r="C88" i="77"/>
  <c r="D88" i="77"/>
  <c r="E88" i="77"/>
  <c r="F88" i="77"/>
  <c r="G88" i="77"/>
  <c r="A54" i="69" l="1"/>
  <c r="B53" i="69"/>
  <c r="A55" i="69" l="1"/>
  <c r="B54" i="69"/>
  <c r="A56" i="69" l="1"/>
  <c r="B56" i="69" s="1"/>
  <c r="B55" i="69"/>
  <c r="J129" i="69" l="1"/>
  <c r="I129" i="69"/>
  <c r="H129" i="69"/>
  <c r="G129" i="69"/>
  <c r="F129" i="69"/>
  <c r="K131" i="71" l="1"/>
  <c r="J131" i="71"/>
  <c r="I131" i="71"/>
  <c r="H131" i="71"/>
  <c r="G131" i="71"/>
  <c r="F131" i="71"/>
  <c r="K130" i="71"/>
  <c r="J130" i="71"/>
  <c r="I130" i="71"/>
  <c r="H130" i="71"/>
  <c r="G130" i="71"/>
  <c r="F130" i="71"/>
  <c r="K129" i="71"/>
  <c r="J129" i="71"/>
  <c r="I129" i="71"/>
  <c r="H129" i="71"/>
  <c r="G129" i="71"/>
  <c r="F129" i="71"/>
  <c r="K128" i="71"/>
  <c r="J128" i="71"/>
  <c r="I128" i="71"/>
  <c r="H128" i="71"/>
  <c r="G128" i="71"/>
  <c r="F128" i="71"/>
  <c r="K127" i="71"/>
  <c r="J127" i="71"/>
  <c r="I127" i="71"/>
  <c r="H127" i="71"/>
  <c r="G127" i="71"/>
  <c r="F127" i="71"/>
  <c r="K126" i="71"/>
  <c r="J126" i="71"/>
  <c r="I126" i="71"/>
  <c r="H126" i="71"/>
  <c r="G126" i="71"/>
  <c r="F126" i="71"/>
  <c r="K125" i="71"/>
  <c r="J125" i="71"/>
  <c r="I125" i="71"/>
  <c r="H125" i="71"/>
  <c r="G125" i="71"/>
  <c r="F125" i="71"/>
  <c r="K124" i="71"/>
  <c r="J124" i="71"/>
  <c r="I124" i="71"/>
  <c r="H124" i="71"/>
  <c r="G124" i="71"/>
  <c r="F124" i="71"/>
  <c r="K123" i="71"/>
  <c r="J123" i="71"/>
  <c r="I123" i="71"/>
  <c r="H123" i="71"/>
  <c r="G123" i="71"/>
  <c r="F123" i="71"/>
  <c r="K122" i="71"/>
  <c r="J122" i="71"/>
  <c r="I122" i="71"/>
  <c r="H122" i="71"/>
  <c r="G122" i="71"/>
  <c r="F122" i="71"/>
  <c r="K120" i="71"/>
  <c r="J120" i="71"/>
  <c r="I120" i="71"/>
  <c r="H120" i="71"/>
  <c r="G120" i="71"/>
  <c r="F120" i="71"/>
  <c r="K119" i="71"/>
  <c r="J119" i="71"/>
  <c r="I119" i="71"/>
  <c r="H119" i="71"/>
  <c r="G119" i="71"/>
  <c r="F119" i="71"/>
  <c r="K118" i="71"/>
  <c r="J118" i="71"/>
  <c r="I118" i="71"/>
  <c r="H118" i="71"/>
  <c r="G118" i="71"/>
  <c r="F118" i="71"/>
  <c r="K117" i="71"/>
  <c r="J117" i="71"/>
  <c r="I117" i="71"/>
  <c r="H117" i="71"/>
  <c r="G117" i="71"/>
  <c r="F117" i="71"/>
  <c r="K116" i="71"/>
  <c r="J116" i="71"/>
  <c r="I116" i="71"/>
  <c r="H116" i="71"/>
  <c r="G116" i="71"/>
  <c r="F116" i="71"/>
  <c r="K115" i="71"/>
  <c r="J115" i="71"/>
  <c r="I115" i="71"/>
  <c r="H115" i="71"/>
  <c r="G115" i="71"/>
  <c r="F115" i="71"/>
  <c r="K113" i="71"/>
  <c r="J113" i="71"/>
  <c r="I113" i="71"/>
  <c r="H113" i="71"/>
  <c r="G113" i="71"/>
  <c r="F113" i="71"/>
  <c r="K112" i="71"/>
  <c r="J112" i="71"/>
  <c r="I112" i="71"/>
  <c r="H112" i="71"/>
  <c r="G112" i="71"/>
  <c r="F112" i="71"/>
  <c r="K111" i="71"/>
  <c r="J111" i="71"/>
  <c r="I111" i="71"/>
  <c r="H111" i="71"/>
  <c r="G111" i="71"/>
  <c r="F111" i="71"/>
  <c r="K110" i="71"/>
  <c r="J110" i="71"/>
  <c r="I110" i="71"/>
  <c r="H110" i="71"/>
  <c r="G110" i="71"/>
  <c r="F110" i="71"/>
  <c r="K109" i="71"/>
  <c r="J109" i="71"/>
  <c r="I109" i="71"/>
  <c r="H109" i="71"/>
  <c r="G109" i="71"/>
  <c r="F109" i="71"/>
  <c r="K108" i="71"/>
  <c r="J108" i="71"/>
  <c r="I108" i="71"/>
  <c r="H108" i="71"/>
  <c r="G108" i="71"/>
  <c r="F108" i="71"/>
  <c r="K107" i="71"/>
  <c r="J107" i="71"/>
  <c r="I107" i="71"/>
  <c r="H107" i="71"/>
  <c r="G107" i="71"/>
  <c r="F107" i="71"/>
  <c r="K106" i="71"/>
  <c r="J106" i="71"/>
  <c r="I106" i="71"/>
  <c r="H106" i="71"/>
  <c r="G106" i="71"/>
  <c r="F106" i="71"/>
  <c r="K105" i="71"/>
  <c r="J105" i="71"/>
  <c r="I105" i="71"/>
  <c r="H105" i="71"/>
  <c r="G105" i="71"/>
  <c r="F105" i="71"/>
  <c r="K104" i="71"/>
  <c r="J104" i="71"/>
  <c r="I104" i="71"/>
  <c r="H104" i="71"/>
  <c r="G104" i="71"/>
  <c r="F104" i="71"/>
  <c r="K131" i="70"/>
  <c r="J131" i="70"/>
  <c r="I131" i="70"/>
  <c r="H131" i="70"/>
  <c r="G131" i="70"/>
  <c r="F131" i="70"/>
  <c r="K130" i="70"/>
  <c r="J130" i="70"/>
  <c r="I130" i="70"/>
  <c r="H130" i="70"/>
  <c r="G130" i="70"/>
  <c r="F130" i="70"/>
  <c r="K129" i="70"/>
  <c r="J129" i="70"/>
  <c r="I129" i="70"/>
  <c r="H129" i="70"/>
  <c r="G129" i="70"/>
  <c r="F129" i="70"/>
  <c r="K128" i="70"/>
  <c r="J128" i="70"/>
  <c r="I128" i="70"/>
  <c r="H128" i="70"/>
  <c r="G128" i="70"/>
  <c r="F128" i="70"/>
  <c r="K127" i="70"/>
  <c r="J127" i="70"/>
  <c r="I127" i="70"/>
  <c r="H127" i="70"/>
  <c r="G127" i="70"/>
  <c r="F127" i="70"/>
  <c r="K126" i="70"/>
  <c r="J126" i="70"/>
  <c r="I126" i="70"/>
  <c r="H126" i="70"/>
  <c r="G126" i="70"/>
  <c r="F126" i="70"/>
  <c r="K125" i="70"/>
  <c r="J125" i="70"/>
  <c r="I125" i="70"/>
  <c r="H125" i="70"/>
  <c r="G125" i="70"/>
  <c r="F125" i="70"/>
  <c r="K124" i="70"/>
  <c r="J124" i="70"/>
  <c r="I124" i="70"/>
  <c r="H124" i="70"/>
  <c r="G124" i="70"/>
  <c r="F124" i="70"/>
  <c r="K123" i="70"/>
  <c r="J123" i="70"/>
  <c r="I123" i="70"/>
  <c r="H123" i="70"/>
  <c r="G123" i="70"/>
  <c r="F123" i="70"/>
  <c r="K122" i="70"/>
  <c r="J122" i="70"/>
  <c r="I122" i="70"/>
  <c r="H122" i="70"/>
  <c r="G122" i="70"/>
  <c r="F122" i="70"/>
  <c r="K120" i="70"/>
  <c r="J120" i="70"/>
  <c r="I120" i="70"/>
  <c r="H120" i="70"/>
  <c r="G120" i="70"/>
  <c r="F120" i="70"/>
  <c r="K119" i="70"/>
  <c r="J119" i="70"/>
  <c r="I119" i="70"/>
  <c r="H119" i="70"/>
  <c r="G119" i="70"/>
  <c r="F119" i="70"/>
  <c r="K118" i="70"/>
  <c r="J118" i="70"/>
  <c r="I118" i="70"/>
  <c r="H118" i="70"/>
  <c r="G118" i="70"/>
  <c r="F118" i="70"/>
  <c r="K117" i="70"/>
  <c r="J117" i="70"/>
  <c r="I117" i="70"/>
  <c r="H117" i="70"/>
  <c r="G117" i="70"/>
  <c r="F117" i="70"/>
  <c r="K116" i="70"/>
  <c r="J116" i="70"/>
  <c r="I116" i="70"/>
  <c r="H116" i="70"/>
  <c r="G116" i="70"/>
  <c r="F116" i="70"/>
  <c r="K115" i="70"/>
  <c r="J115" i="70"/>
  <c r="I115" i="70"/>
  <c r="H115" i="70"/>
  <c r="G115" i="70"/>
  <c r="F115" i="70"/>
  <c r="K113" i="70"/>
  <c r="J113" i="70"/>
  <c r="I113" i="70"/>
  <c r="H113" i="70"/>
  <c r="G113" i="70"/>
  <c r="F113" i="70"/>
  <c r="K112" i="70"/>
  <c r="J112" i="70"/>
  <c r="I112" i="70"/>
  <c r="H112" i="70"/>
  <c r="G112" i="70"/>
  <c r="F112" i="70"/>
  <c r="K111" i="70"/>
  <c r="J111" i="70"/>
  <c r="I111" i="70"/>
  <c r="H111" i="70"/>
  <c r="G111" i="70"/>
  <c r="F111" i="70"/>
  <c r="K110" i="70"/>
  <c r="J110" i="70"/>
  <c r="I110" i="70"/>
  <c r="H110" i="70"/>
  <c r="G110" i="70"/>
  <c r="F110" i="70"/>
  <c r="K109" i="70"/>
  <c r="J109" i="70"/>
  <c r="I109" i="70"/>
  <c r="H109" i="70"/>
  <c r="G109" i="70"/>
  <c r="F109" i="70"/>
  <c r="K108" i="70"/>
  <c r="J108" i="70"/>
  <c r="I108" i="70"/>
  <c r="H108" i="70"/>
  <c r="G108" i="70"/>
  <c r="F108" i="70"/>
  <c r="K107" i="70"/>
  <c r="J107" i="70"/>
  <c r="I107" i="70"/>
  <c r="H107" i="70"/>
  <c r="G107" i="70"/>
  <c r="F107" i="70"/>
  <c r="K106" i="70"/>
  <c r="J106" i="70"/>
  <c r="I106" i="70"/>
  <c r="H106" i="70"/>
  <c r="G106" i="70"/>
  <c r="F106" i="70"/>
  <c r="K105" i="70"/>
  <c r="J105" i="70"/>
  <c r="I105" i="70"/>
  <c r="H105" i="70"/>
  <c r="G105" i="70"/>
  <c r="F105" i="70"/>
  <c r="K104" i="70"/>
  <c r="J104" i="70"/>
  <c r="I104" i="70"/>
  <c r="H104" i="70"/>
  <c r="G104" i="70"/>
  <c r="F104" i="70"/>
  <c r="A237" i="69"/>
  <c r="B237" i="69" s="1"/>
  <c r="A227" i="69"/>
  <c r="A226" i="69"/>
  <c r="B226" i="69" s="1"/>
  <c r="A225" i="69"/>
  <c r="B225" i="69" s="1"/>
  <c r="A224" i="69"/>
  <c r="B224" i="69" s="1"/>
  <c r="A223" i="69"/>
  <c r="B223" i="69" s="1"/>
  <c r="A222" i="69"/>
  <c r="B222" i="69" s="1"/>
  <c r="A186" i="69"/>
  <c r="A187" i="69" s="1"/>
  <c r="A176" i="69"/>
  <c r="B176" i="69" s="1"/>
  <c r="A175" i="69"/>
  <c r="B175" i="69" s="1"/>
  <c r="A174" i="69"/>
  <c r="B174" i="69" s="1"/>
  <c r="A165" i="69"/>
  <c r="A166" i="69" s="1"/>
  <c r="A156" i="69"/>
  <c r="A157" i="69" s="1"/>
  <c r="A147" i="69"/>
  <c r="A148" i="69" s="1"/>
  <c r="A141" i="69"/>
  <c r="A142" i="69" s="1"/>
  <c r="A133" i="69"/>
  <c r="B133" i="69" s="1"/>
  <c r="A228" i="69" l="1"/>
  <c r="A229" i="69" s="1"/>
  <c r="A134" i="69"/>
  <c r="A135" i="69" s="1"/>
  <c r="A136" i="69" s="1"/>
  <c r="B136" i="69" s="1"/>
  <c r="B157" i="69"/>
  <c r="A158" i="69"/>
  <c r="A167" i="69"/>
  <c r="B166" i="69"/>
  <c r="B187" i="69"/>
  <c r="A188" i="69"/>
  <c r="B138" i="69"/>
  <c r="A143" i="69"/>
  <c r="B142" i="69"/>
  <c r="A149" i="69"/>
  <c r="B148" i="69"/>
  <c r="B141" i="69"/>
  <c r="B147" i="69"/>
  <c r="B165" i="69"/>
  <c r="B227" i="69"/>
  <c r="A177" i="69"/>
  <c r="B137" i="69"/>
  <c r="B156" i="69"/>
  <c r="B186" i="69"/>
  <c r="B228" i="69" l="1"/>
  <c r="B135" i="69"/>
  <c r="B134" i="69"/>
  <c r="A178" i="69"/>
  <c r="B177" i="69"/>
  <c r="A230" i="69"/>
  <c r="B229" i="69"/>
  <c r="A168" i="69"/>
  <c r="B167" i="69"/>
  <c r="B139" i="69"/>
  <c r="B140" i="69"/>
  <c r="A159" i="69"/>
  <c r="B158" i="69"/>
  <c r="A144" i="69"/>
  <c r="B143" i="69"/>
  <c r="A189" i="69"/>
  <c r="B188" i="69"/>
  <c r="A150" i="69"/>
  <c r="B149" i="69"/>
  <c r="H270" i="77"/>
  <c r="G270" i="77"/>
  <c r="F270" i="77"/>
  <c r="E270" i="77"/>
  <c r="D270" i="77"/>
  <c r="H269" i="77"/>
  <c r="G269" i="77"/>
  <c r="F269" i="77"/>
  <c r="E269" i="77"/>
  <c r="D269" i="77"/>
  <c r="C269" i="77"/>
  <c r="C268" i="77"/>
  <c r="C270" i="77" s="1"/>
  <c r="C264" i="77"/>
  <c r="C263" i="77"/>
  <c r="C265" i="77" s="1"/>
  <c r="D264" i="77" s="1"/>
  <c r="C223" i="77"/>
  <c r="C217" i="77"/>
  <c r="C212" i="77"/>
  <c r="G154" i="74"/>
  <c r="X150" i="73"/>
  <c r="C211" i="77" l="1"/>
  <c r="C232" i="77" s="1"/>
  <c r="C256" i="77" s="1"/>
  <c r="D261" i="77"/>
  <c r="A145" i="69"/>
  <c r="B144" i="69"/>
  <c r="A160" i="69"/>
  <c r="B159" i="69"/>
  <c r="A169" i="69"/>
  <c r="B168" i="69"/>
  <c r="A151" i="69"/>
  <c r="B150" i="69"/>
  <c r="A231" i="69"/>
  <c r="B230" i="69"/>
  <c r="A190" i="69"/>
  <c r="B189" i="69"/>
  <c r="A179" i="69"/>
  <c r="B178" i="69"/>
  <c r="S157" i="71"/>
  <c r="R157" i="71"/>
  <c r="Q157" i="71"/>
  <c r="P157" i="71"/>
  <c r="O157" i="71"/>
  <c r="S157" i="70"/>
  <c r="R157" i="70"/>
  <c r="Q157" i="70"/>
  <c r="P157" i="70"/>
  <c r="O157" i="70"/>
  <c r="AA153" i="71"/>
  <c r="Z153" i="71"/>
  <c r="Y153" i="71"/>
  <c r="X153" i="71"/>
  <c r="W153" i="71"/>
  <c r="D153" i="71"/>
  <c r="AA152" i="71"/>
  <c r="Z152" i="71"/>
  <c r="Y152" i="71"/>
  <c r="X152" i="71"/>
  <c r="W152" i="71"/>
  <c r="D152" i="71"/>
  <c r="AA151" i="71"/>
  <c r="Z151" i="71"/>
  <c r="Y151" i="71"/>
  <c r="X151" i="71"/>
  <c r="W151" i="71"/>
  <c r="D151" i="71"/>
  <c r="AA150" i="71"/>
  <c r="Z150" i="71"/>
  <c r="Y150" i="71"/>
  <c r="X150" i="71"/>
  <c r="W150" i="71"/>
  <c r="D150" i="71"/>
  <c r="AA149" i="71"/>
  <c r="Z149" i="71"/>
  <c r="Y149" i="71"/>
  <c r="X149" i="71"/>
  <c r="W149" i="71"/>
  <c r="D149" i="71"/>
  <c r="AA148" i="71"/>
  <c r="Z148" i="71"/>
  <c r="Y148" i="71"/>
  <c r="X148" i="71"/>
  <c r="W148" i="71"/>
  <c r="D148" i="71"/>
  <c r="AA147" i="71"/>
  <c r="Z147" i="71"/>
  <c r="Y147" i="71"/>
  <c r="X147" i="71"/>
  <c r="W147" i="71"/>
  <c r="D147" i="71"/>
  <c r="AA146" i="71"/>
  <c r="Z146" i="71"/>
  <c r="Y146" i="71"/>
  <c r="X146" i="71"/>
  <c r="W146" i="71"/>
  <c r="D146" i="71"/>
  <c r="AA145" i="71"/>
  <c r="Z145" i="71"/>
  <c r="Y145" i="71"/>
  <c r="X145" i="71"/>
  <c r="W145" i="71"/>
  <c r="D145" i="71"/>
  <c r="AA144" i="71"/>
  <c r="Z144" i="71"/>
  <c r="Y144" i="71"/>
  <c r="X144" i="71"/>
  <c r="W144" i="71"/>
  <c r="S143" i="71"/>
  <c r="R143" i="71"/>
  <c r="Q143" i="71"/>
  <c r="P143" i="71"/>
  <c r="O143" i="71"/>
  <c r="K143" i="71"/>
  <c r="J143" i="71"/>
  <c r="I143" i="71"/>
  <c r="H143" i="71"/>
  <c r="G143" i="71"/>
  <c r="F143" i="71"/>
  <c r="AA142" i="71"/>
  <c r="Z142" i="71"/>
  <c r="Y142" i="71"/>
  <c r="X142" i="71"/>
  <c r="W142" i="71"/>
  <c r="D142" i="71"/>
  <c r="AA141" i="71"/>
  <c r="Z141" i="71"/>
  <c r="Y141" i="71"/>
  <c r="X141" i="71"/>
  <c r="W141" i="71"/>
  <c r="D141" i="71"/>
  <c r="AA140" i="71"/>
  <c r="Z140" i="71"/>
  <c r="Y140" i="71"/>
  <c r="X140" i="71"/>
  <c r="W140" i="71"/>
  <c r="D140" i="71"/>
  <c r="AA139" i="71"/>
  <c r="Z139" i="71"/>
  <c r="Y139" i="71"/>
  <c r="X139" i="71"/>
  <c r="W139" i="71"/>
  <c r="D139" i="71"/>
  <c r="AA138" i="71"/>
  <c r="Z138" i="71"/>
  <c r="Y138" i="71"/>
  <c r="X138" i="71"/>
  <c r="W138" i="71"/>
  <c r="D138" i="71"/>
  <c r="AA137" i="71"/>
  <c r="Z137" i="71"/>
  <c r="Y137" i="71"/>
  <c r="X137" i="71"/>
  <c r="W137" i="71"/>
  <c r="D137" i="71"/>
  <c r="AA136" i="71"/>
  <c r="Z136" i="71"/>
  <c r="Y136" i="71"/>
  <c r="X136" i="71"/>
  <c r="W136" i="71"/>
  <c r="D136" i="71"/>
  <c r="AA135" i="71"/>
  <c r="Z135" i="71"/>
  <c r="Y135" i="71"/>
  <c r="X135" i="71"/>
  <c r="W135" i="71"/>
  <c r="D135" i="71"/>
  <c r="AA134" i="71"/>
  <c r="Z134" i="71"/>
  <c r="Y134" i="71"/>
  <c r="X134" i="71"/>
  <c r="W134" i="71"/>
  <c r="D134" i="71"/>
  <c r="AA133" i="71"/>
  <c r="Z133" i="71"/>
  <c r="Y133" i="71"/>
  <c r="X133" i="71"/>
  <c r="W133" i="71"/>
  <c r="S132" i="71"/>
  <c r="R132" i="71"/>
  <c r="Q132" i="71"/>
  <c r="P132" i="71"/>
  <c r="O132" i="71"/>
  <c r="K132" i="71"/>
  <c r="J132" i="71"/>
  <c r="I132" i="71"/>
  <c r="H132" i="71"/>
  <c r="G132" i="71"/>
  <c r="F132" i="71"/>
  <c r="S131" i="71"/>
  <c r="R131" i="71"/>
  <c r="Q131" i="71"/>
  <c r="P131" i="71"/>
  <c r="O131" i="71"/>
  <c r="D131" i="71"/>
  <c r="S130" i="71"/>
  <c r="R130" i="71"/>
  <c r="Q130" i="71"/>
  <c r="P130" i="71"/>
  <c r="O130" i="71"/>
  <c r="D130" i="71"/>
  <c r="S129" i="71"/>
  <c r="R129" i="71"/>
  <c r="Q129" i="71"/>
  <c r="P129" i="71"/>
  <c r="O129" i="71"/>
  <c r="D129" i="71"/>
  <c r="S128" i="71"/>
  <c r="R128" i="71"/>
  <c r="Q128" i="71"/>
  <c r="P128" i="71"/>
  <c r="O128" i="71"/>
  <c r="D128" i="71"/>
  <c r="S127" i="71"/>
  <c r="R127" i="71"/>
  <c r="Q127" i="71"/>
  <c r="P127" i="71"/>
  <c r="O127" i="71"/>
  <c r="D127" i="71"/>
  <c r="S126" i="71"/>
  <c r="R126" i="71"/>
  <c r="Q126" i="71"/>
  <c r="P126" i="71"/>
  <c r="O126" i="71"/>
  <c r="D126" i="71"/>
  <c r="S125" i="71"/>
  <c r="R125" i="71"/>
  <c r="Q125" i="71"/>
  <c r="P125" i="71"/>
  <c r="O125" i="71"/>
  <c r="D125" i="71"/>
  <c r="S124" i="71"/>
  <c r="R124" i="71"/>
  <c r="Q124" i="71"/>
  <c r="P124" i="71"/>
  <c r="O124" i="71"/>
  <c r="D124" i="71"/>
  <c r="S123" i="71"/>
  <c r="R123" i="71"/>
  <c r="Q123" i="71"/>
  <c r="P123" i="71"/>
  <c r="O123" i="71"/>
  <c r="D123" i="71"/>
  <c r="S122" i="71"/>
  <c r="R122" i="71"/>
  <c r="Q122" i="71"/>
  <c r="P122" i="71"/>
  <c r="O122" i="71"/>
  <c r="AA121" i="71"/>
  <c r="Z121" i="71"/>
  <c r="Y121" i="71"/>
  <c r="X121" i="71"/>
  <c r="W121" i="71"/>
  <c r="K121" i="71"/>
  <c r="J121" i="71"/>
  <c r="I121" i="71"/>
  <c r="H121" i="71"/>
  <c r="G121" i="71"/>
  <c r="F121" i="71"/>
  <c r="S120" i="71"/>
  <c r="R120" i="71"/>
  <c r="Q120" i="71"/>
  <c r="P120" i="71"/>
  <c r="O120" i="71"/>
  <c r="D120" i="71"/>
  <c r="S119" i="71"/>
  <c r="R119" i="71"/>
  <c r="Q119" i="71"/>
  <c r="P119" i="71"/>
  <c r="O119" i="71"/>
  <c r="D119" i="71"/>
  <c r="S118" i="71"/>
  <c r="R118" i="71"/>
  <c r="Q118" i="71"/>
  <c r="P118" i="71"/>
  <c r="O118" i="71"/>
  <c r="D118" i="71"/>
  <c r="S117" i="71"/>
  <c r="R117" i="71"/>
  <c r="Q117" i="71"/>
  <c r="P117" i="71"/>
  <c r="O117" i="71"/>
  <c r="D117" i="71"/>
  <c r="S116" i="71"/>
  <c r="R116" i="71"/>
  <c r="Q116" i="71"/>
  <c r="P116" i="71"/>
  <c r="O116" i="71"/>
  <c r="D116" i="71"/>
  <c r="S115" i="71"/>
  <c r="R115" i="71"/>
  <c r="Q115" i="71"/>
  <c r="P115" i="71"/>
  <c r="O115" i="71"/>
  <c r="AA114" i="71"/>
  <c r="Z114" i="71"/>
  <c r="Y114" i="71"/>
  <c r="X114" i="71"/>
  <c r="W114" i="71"/>
  <c r="K114" i="71"/>
  <c r="J114" i="71"/>
  <c r="I114" i="71"/>
  <c r="H114" i="71"/>
  <c r="G114" i="71"/>
  <c r="F114" i="71"/>
  <c r="S113" i="71"/>
  <c r="R113" i="71"/>
  <c r="Q113" i="71"/>
  <c r="P113" i="71"/>
  <c r="O113" i="71"/>
  <c r="D113" i="71"/>
  <c r="S112" i="71"/>
  <c r="R112" i="71"/>
  <c r="Q112" i="71"/>
  <c r="P112" i="71"/>
  <c r="O112" i="71"/>
  <c r="D112" i="71"/>
  <c r="S111" i="71"/>
  <c r="R111" i="71"/>
  <c r="Q111" i="71"/>
  <c r="P111" i="71"/>
  <c r="O111" i="71"/>
  <c r="D111" i="71"/>
  <c r="S110" i="71"/>
  <c r="R110" i="71"/>
  <c r="Q110" i="71"/>
  <c r="P110" i="71"/>
  <c r="O110" i="71"/>
  <c r="D110" i="71"/>
  <c r="S109" i="71"/>
  <c r="R109" i="71"/>
  <c r="Q109" i="71"/>
  <c r="P109" i="71"/>
  <c r="O109" i="71"/>
  <c r="D109" i="71"/>
  <c r="S108" i="71"/>
  <c r="R108" i="71"/>
  <c r="Q108" i="71"/>
  <c r="P108" i="71"/>
  <c r="O108" i="71"/>
  <c r="D108" i="71"/>
  <c r="S107" i="71"/>
  <c r="R107" i="71"/>
  <c r="Q107" i="71"/>
  <c r="P107" i="71"/>
  <c r="O107" i="71"/>
  <c r="D107" i="71"/>
  <c r="S106" i="71"/>
  <c r="R106" i="71"/>
  <c r="Q106" i="71"/>
  <c r="P106" i="71"/>
  <c r="O106" i="71"/>
  <c r="D106" i="71"/>
  <c r="S105" i="71"/>
  <c r="R105" i="71"/>
  <c r="Q105" i="71"/>
  <c r="P105" i="71"/>
  <c r="O105" i="71"/>
  <c r="D105" i="71"/>
  <c r="S104" i="71"/>
  <c r="R104" i="71"/>
  <c r="Q104" i="71"/>
  <c r="P104" i="71"/>
  <c r="O104" i="71"/>
  <c r="AA103" i="71"/>
  <c r="Z103" i="71"/>
  <c r="Y103" i="71"/>
  <c r="X103" i="71"/>
  <c r="W103" i="71"/>
  <c r="K103" i="71"/>
  <c r="J103" i="71"/>
  <c r="I103" i="71"/>
  <c r="H103" i="71"/>
  <c r="G103" i="71"/>
  <c r="F103" i="71"/>
  <c r="AA153" i="70"/>
  <c r="Z153" i="70"/>
  <c r="Y153" i="70"/>
  <c r="X153" i="70"/>
  <c r="W153" i="70"/>
  <c r="AA152" i="70"/>
  <c r="Z152" i="70"/>
  <c r="Y152" i="70"/>
  <c r="X152" i="70"/>
  <c r="W152" i="70"/>
  <c r="AA151" i="70"/>
  <c r="Z151" i="70"/>
  <c r="Y151" i="70"/>
  <c r="X151" i="70"/>
  <c r="W151" i="70"/>
  <c r="AA150" i="70"/>
  <c r="Z150" i="70"/>
  <c r="Y150" i="70"/>
  <c r="X150" i="70"/>
  <c r="W150" i="70"/>
  <c r="AA149" i="70"/>
  <c r="Z149" i="70"/>
  <c r="Y149" i="70"/>
  <c r="X149" i="70"/>
  <c r="W149" i="70"/>
  <c r="AA148" i="70"/>
  <c r="Z148" i="70"/>
  <c r="Y148" i="70"/>
  <c r="X148" i="70"/>
  <c r="W148" i="70"/>
  <c r="AA147" i="70"/>
  <c r="Z147" i="70"/>
  <c r="Y147" i="70"/>
  <c r="X147" i="70"/>
  <c r="W147" i="70"/>
  <c r="AA146" i="70"/>
  <c r="Z146" i="70"/>
  <c r="Y146" i="70"/>
  <c r="X146" i="70"/>
  <c r="W146" i="70"/>
  <c r="AA145" i="70"/>
  <c r="Z145" i="70"/>
  <c r="Y145" i="70"/>
  <c r="X145" i="70"/>
  <c r="W145" i="70"/>
  <c r="AA144" i="70"/>
  <c r="Z144" i="70"/>
  <c r="Y144" i="70"/>
  <c r="X144" i="70"/>
  <c r="W144" i="70"/>
  <c r="X133" i="70"/>
  <c r="Y133" i="70"/>
  <c r="Z133" i="70"/>
  <c r="AA133" i="70"/>
  <c r="X134" i="70"/>
  <c r="Y134" i="70"/>
  <c r="Z134" i="70"/>
  <c r="AA134" i="70"/>
  <c r="X135" i="70"/>
  <c r="Y135" i="70"/>
  <c r="Z135" i="70"/>
  <c r="AA135" i="70"/>
  <c r="X136" i="70"/>
  <c r="Y136" i="70"/>
  <c r="Z136" i="70"/>
  <c r="AA136" i="70"/>
  <c r="X137" i="70"/>
  <c r="Y137" i="70"/>
  <c r="Z137" i="70"/>
  <c r="AA137" i="70"/>
  <c r="X138" i="70"/>
  <c r="Y138" i="70"/>
  <c r="Z138" i="70"/>
  <c r="AA138" i="70"/>
  <c r="X139" i="70"/>
  <c r="Y139" i="70"/>
  <c r="Z139" i="70"/>
  <c r="AA139" i="70"/>
  <c r="X140" i="70"/>
  <c r="Y140" i="70"/>
  <c r="Z140" i="70"/>
  <c r="AA140" i="70"/>
  <c r="X141" i="70"/>
  <c r="Y141" i="70"/>
  <c r="Z141" i="70"/>
  <c r="AA141" i="70"/>
  <c r="X142" i="70"/>
  <c r="Y142" i="70"/>
  <c r="Z142" i="70"/>
  <c r="AA142" i="70"/>
  <c r="W134" i="70"/>
  <c r="W135" i="70"/>
  <c r="W136" i="70"/>
  <c r="W137" i="70"/>
  <c r="W138" i="70"/>
  <c r="W139" i="70"/>
  <c r="W140" i="70"/>
  <c r="W141" i="70"/>
  <c r="W142" i="70"/>
  <c r="W133" i="70"/>
  <c r="AA121" i="70"/>
  <c r="Z121" i="70"/>
  <c r="Y121" i="70"/>
  <c r="X121" i="70"/>
  <c r="W121" i="70"/>
  <c r="AA114" i="70"/>
  <c r="Z114" i="70"/>
  <c r="Y114" i="70"/>
  <c r="X114" i="70"/>
  <c r="W114" i="70"/>
  <c r="W103" i="70"/>
  <c r="AA103" i="70"/>
  <c r="Z103" i="70"/>
  <c r="Y103" i="70"/>
  <c r="X103" i="70"/>
  <c r="P143" i="70"/>
  <c r="O143" i="70"/>
  <c r="S143" i="70"/>
  <c r="R143" i="70"/>
  <c r="Q143" i="70"/>
  <c r="P132" i="70"/>
  <c r="O132" i="70"/>
  <c r="S132" i="70"/>
  <c r="R132" i="70"/>
  <c r="Q132" i="70"/>
  <c r="S131" i="70"/>
  <c r="R131" i="70"/>
  <c r="Q131" i="70"/>
  <c r="P131" i="70"/>
  <c r="O131" i="70"/>
  <c r="S130" i="70"/>
  <c r="R130" i="70"/>
  <c r="Q130" i="70"/>
  <c r="P130" i="70"/>
  <c r="O130" i="70"/>
  <c r="S129" i="70"/>
  <c r="R129" i="70"/>
  <c r="Q129" i="70"/>
  <c r="P129" i="70"/>
  <c r="O129" i="70"/>
  <c r="S128" i="70"/>
  <c r="R128" i="70"/>
  <c r="Q128" i="70"/>
  <c r="P128" i="70"/>
  <c r="O128" i="70"/>
  <c r="S127" i="70"/>
  <c r="R127" i="70"/>
  <c r="Q127" i="70"/>
  <c r="P127" i="70"/>
  <c r="O127" i="70"/>
  <c r="S126" i="70"/>
  <c r="R126" i="70"/>
  <c r="Q126" i="70"/>
  <c r="P126" i="70"/>
  <c r="O126" i="70"/>
  <c r="S125" i="70"/>
  <c r="R125" i="70"/>
  <c r="Q125" i="70"/>
  <c r="P125" i="70"/>
  <c r="O125" i="70"/>
  <c r="S124" i="70"/>
  <c r="R124" i="70"/>
  <c r="Q124" i="70"/>
  <c r="P124" i="70"/>
  <c r="O124" i="70"/>
  <c r="S123" i="70"/>
  <c r="R123" i="70"/>
  <c r="Q123" i="70"/>
  <c r="P123" i="70"/>
  <c r="O123" i="70"/>
  <c r="S122" i="70"/>
  <c r="R122" i="70"/>
  <c r="Q122" i="70"/>
  <c r="P122" i="70"/>
  <c r="O122" i="70"/>
  <c r="P115" i="70"/>
  <c r="Q115" i="70"/>
  <c r="R115" i="70"/>
  <c r="S115" i="70"/>
  <c r="P116" i="70"/>
  <c r="Q116" i="70"/>
  <c r="R116" i="70"/>
  <c r="S116" i="70"/>
  <c r="P117" i="70"/>
  <c r="Q117" i="70"/>
  <c r="R117" i="70"/>
  <c r="S117" i="70"/>
  <c r="P118" i="70"/>
  <c r="Q118" i="70"/>
  <c r="R118" i="70"/>
  <c r="S118" i="70"/>
  <c r="P119" i="70"/>
  <c r="Q119" i="70"/>
  <c r="R119" i="70"/>
  <c r="S119" i="70"/>
  <c r="P120" i="70"/>
  <c r="Q120" i="70"/>
  <c r="R120" i="70"/>
  <c r="S120" i="70"/>
  <c r="O120" i="70"/>
  <c r="O119" i="70"/>
  <c r="O118" i="70"/>
  <c r="O117" i="70"/>
  <c r="O116" i="70"/>
  <c r="O115" i="70"/>
  <c r="P104" i="70"/>
  <c r="Q104" i="70"/>
  <c r="R104" i="70"/>
  <c r="S104" i="70"/>
  <c r="P105" i="70"/>
  <c r="Q105" i="70"/>
  <c r="R105" i="70"/>
  <c r="S105" i="70"/>
  <c r="P106" i="70"/>
  <c r="Q106" i="70"/>
  <c r="R106" i="70"/>
  <c r="S106" i="70"/>
  <c r="P107" i="70"/>
  <c r="Q107" i="70"/>
  <c r="R107" i="70"/>
  <c r="S107" i="70"/>
  <c r="P108" i="70"/>
  <c r="Q108" i="70"/>
  <c r="R108" i="70"/>
  <c r="S108" i="70"/>
  <c r="P109" i="70"/>
  <c r="Q109" i="70"/>
  <c r="R109" i="70"/>
  <c r="S109" i="70"/>
  <c r="P110" i="70"/>
  <c r="Q110" i="70"/>
  <c r="R110" i="70"/>
  <c r="S110" i="70"/>
  <c r="P111" i="70"/>
  <c r="Q111" i="70"/>
  <c r="R111" i="70"/>
  <c r="S111" i="70"/>
  <c r="P112" i="70"/>
  <c r="Q112" i="70"/>
  <c r="R112" i="70"/>
  <c r="S112" i="70"/>
  <c r="P113" i="70"/>
  <c r="Q113" i="70"/>
  <c r="R113" i="70"/>
  <c r="S113" i="70"/>
  <c r="O105" i="70"/>
  <c r="O106" i="70"/>
  <c r="O107" i="70"/>
  <c r="O108" i="70"/>
  <c r="O109" i="70"/>
  <c r="O110" i="70"/>
  <c r="O111" i="70"/>
  <c r="O112" i="70"/>
  <c r="O113" i="70"/>
  <c r="O104" i="70"/>
  <c r="F114" i="70"/>
  <c r="G114" i="70"/>
  <c r="H114" i="70"/>
  <c r="I114" i="70"/>
  <c r="J114" i="70"/>
  <c r="K114" i="70"/>
  <c r="D153" i="70"/>
  <c r="D152" i="70"/>
  <c r="D151" i="70"/>
  <c r="D150" i="70"/>
  <c r="D149" i="70"/>
  <c r="D148" i="70"/>
  <c r="D147" i="70"/>
  <c r="D146" i="70"/>
  <c r="D145" i="70"/>
  <c r="K143" i="70"/>
  <c r="J143" i="70"/>
  <c r="I143" i="70"/>
  <c r="H143" i="70"/>
  <c r="G143" i="70"/>
  <c r="F143" i="70"/>
  <c r="D142" i="70"/>
  <c r="D141" i="70"/>
  <c r="D140" i="70"/>
  <c r="D139" i="70"/>
  <c r="D138" i="70"/>
  <c r="D137" i="70"/>
  <c r="D136" i="70"/>
  <c r="D135" i="70"/>
  <c r="D134" i="70"/>
  <c r="K132" i="70"/>
  <c r="J132" i="70"/>
  <c r="I132" i="70"/>
  <c r="H132" i="70"/>
  <c r="G132" i="70"/>
  <c r="F132" i="70"/>
  <c r="D131" i="70"/>
  <c r="D130" i="70"/>
  <c r="D129" i="70"/>
  <c r="D128" i="70"/>
  <c r="D127" i="70"/>
  <c r="D126" i="70"/>
  <c r="D125" i="70"/>
  <c r="D124" i="70"/>
  <c r="D123" i="70"/>
  <c r="K121" i="70"/>
  <c r="J121" i="70"/>
  <c r="I121" i="70"/>
  <c r="H121" i="70"/>
  <c r="G121" i="70"/>
  <c r="F121" i="70"/>
  <c r="D120" i="70"/>
  <c r="D119" i="70"/>
  <c r="D118" i="70"/>
  <c r="D117" i="70"/>
  <c r="D116" i="70"/>
  <c r="D113" i="70"/>
  <c r="D112" i="70"/>
  <c r="D111" i="70"/>
  <c r="D110" i="70"/>
  <c r="D109" i="70"/>
  <c r="D108" i="70"/>
  <c r="D107" i="70"/>
  <c r="D106" i="70"/>
  <c r="D105" i="70"/>
  <c r="K103" i="70"/>
  <c r="J103" i="70"/>
  <c r="I103" i="70"/>
  <c r="H103" i="70"/>
  <c r="G103" i="70"/>
  <c r="F103" i="70"/>
  <c r="AQ228" i="72"/>
  <c r="AQ229" i="72" s="1"/>
  <c r="D245" i="77" l="1"/>
  <c r="D246" i="77" s="1"/>
  <c r="W143" i="71"/>
  <c r="Y132" i="70"/>
  <c r="AA143" i="71"/>
  <c r="X132" i="70"/>
  <c r="R103" i="70"/>
  <c r="O114" i="70"/>
  <c r="P121" i="71"/>
  <c r="O121" i="71"/>
  <c r="P114" i="71"/>
  <c r="P103" i="71"/>
  <c r="P121" i="70"/>
  <c r="S114" i="70"/>
  <c r="Q103" i="70"/>
  <c r="P103" i="70"/>
  <c r="O103" i="70"/>
  <c r="A191" i="69"/>
  <c r="B190" i="69"/>
  <c r="B231" i="69"/>
  <c r="A232" i="69"/>
  <c r="B151" i="69"/>
  <c r="A152" i="69"/>
  <c r="B169" i="69"/>
  <c r="A170" i="69"/>
  <c r="A161" i="69"/>
  <c r="B160" i="69"/>
  <c r="A180" i="69"/>
  <c r="B179" i="69"/>
  <c r="B145" i="69"/>
  <c r="A146" i="69"/>
  <c r="O103" i="71"/>
  <c r="S121" i="71"/>
  <c r="X143" i="71"/>
  <c r="Z143" i="71"/>
  <c r="O114" i="71"/>
  <c r="R114" i="71"/>
  <c r="Q114" i="71"/>
  <c r="W132" i="71"/>
  <c r="Y143" i="71"/>
  <c r="S114" i="71"/>
  <c r="X132" i="71"/>
  <c r="Q103" i="71"/>
  <c r="Y132" i="71"/>
  <c r="R103" i="71"/>
  <c r="Z132" i="71"/>
  <c r="S103" i="71"/>
  <c r="AA132" i="71"/>
  <c r="Q121" i="71"/>
  <c r="R121" i="71"/>
  <c r="Q121" i="70"/>
  <c r="Q114" i="70"/>
  <c r="P114" i="70"/>
  <c r="R121" i="70"/>
  <c r="S121" i="70"/>
  <c r="R114" i="70"/>
  <c r="O121" i="70"/>
  <c r="S103" i="70"/>
  <c r="W132" i="70"/>
  <c r="AA132" i="70"/>
  <c r="Z132" i="70"/>
  <c r="Y143" i="70"/>
  <c r="Z143" i="70"/>
  <c r="W143" i="70"/>
  <c r="AA143" i="70"/>
  <c r="X143" i="70"/>
  <c r="B146" i="69" l="1"/>
  <c r="B152" i="69"/>
  <c r="A153" i="69"/>
  <c r="A233" i="69"/>
  <c r="B232" i="69"/>
  <c r="A162" i="69"/>
  <c r="B161" i="69"/>
  <c r="B170" i="69"/>
  <c r="A171" i="69"/>
  <c r="A181" i="69"/>
  <c r="B180" i="69"/>
  <c r="A192" i="69"/>
  <c r="B191" i="69"/>
  <c r="Z270" i="72"/>
  <c r="Z269" i="72"/>
  <c r="Z268" i="72"/>
  <c r="Z267" i="72"/>
  <c r="Z266" i="72"/>
  <c r="Z265" i="72"/>
  <c r="Z259" i="72"/>
  <c r="Z258" i="72"/>
  <c r="Z257" i="72"/>
  <c r="Z256" i="72"/>
  <c r="Z255" i="72"/>
  <c r="Z254" i="72"/>
  <c r="Z253" i="72"/>
  <c r="Z252" i="72"/>
  <c r="Z251" i="72"/>
  <c r="Z250" i="72"/>
  <c r="Z244" i="72"/>
  <c r="Z243" i="72"/>
  <c r="Z242" i="72"/>
  <c r="Z241" i="72"/>
  <c r="Z240" i="72"/>
  <c r="Z239" i="72"/>
  <c r="Z238" i="72"/>
  <c r="Z237" i="72"/>
  <c r="Z236" i="72"/>
  <c r="Z235" i="72"/>
  <c r="E6" i="59"/>
  <c r="D6" i="59"/>
  <c r="D232" i="77" s="1"/>
  <c r="E232" i="77" l="1"/>
  <c r="D256" i="77"/>
  <c r="D224" i="77"/>
  <c r="D213" i="77"/>
  <c r="D215" i="77"/>
  <c r="D229" i="77"/>
  <c r="D216" i="77"/>
  <c r="D221" i="77"/>
  <c r="D227" i="77"/>
  <c r="D231" i="77"/>
  <c r="D230" i="77"/>
  <c r="D228" i="77"/>
  <c r="D219" i="77"/>
  <c r="D218" i="77"/>
  <c r="D226" i="77"/>
  <c r="D225" i="77"/>
  <c r="D222" i="77"/>
  <c r="D220" i="77"/>
  <c r="D214" i="77"/>
  <c r="A172" i="69"/>
  <c r="B171" i="69"/>
  <c r="A234" i="69"/>
  <c r="B233" i="69"/>
  <c r="A193" i="69"/>
  <c r="B192" i="69"/>
  <c r="B181" i="69"/>
  <c r="A182" i="69"/>
  <c r="A163" i="69"/>
  <c r="B162" i="69"/>
  <c r="A154" i="69"/>
  <c r="B153" i="69"/>
  <c r="D223" i="77" l="1"/>
  <c r="D212" i="77"/>
  <c r="D217" i="77"/>
  <c r="E256" i="77"/>
  <c r="E218" i="77"/>
  <c r="E225" i="77"/>
  <c r="E222" i="77"/>
  <c r="E216" i="77"/>
  <c r="E230" i="77"/>
  <c r="E213" i="77"/>
  <c r="E221" i="77"/>
  <c r="E215" i="77"/>
  <c r="E227" i="77"/>
  <c r="E224" i="77"/>
  <c r="E220" i="77"/>
  <c r="E214" i="77"/>
  <c r="E229" i="77"/>
  <c r="E228" i="77"/>
  <c r="E219" i="77"/>
  <c r="E231" i="77"/>
  <c r="E226" i="77"/>
  <c r="B163" i="69"/>
  <c r="A164" i="69"/>
  <c r="B164" i="69" s="1"/>
  <c r="B193" i="69"/>
  <c r="A194" i="69"/>
  <c r="B182" i="69"/>
  <c r="A183" i="69"/>
  <c r="A155" i="69"/>
  <c r="B154" i="69"/>
  <c r="A235" i="69"/>
  <c r="B234" i="69"/>
  <c r="A173" i="69"/>
  <c r="B173" i="69" s="1"/>
  <c r="B172" i="69"/>
  <c r="D211" i="77" l="1"/>
  <c r="E212" i="77"/>
  <c r="E223" i="77"/>
  <c r="E217" i="77"/>
  <c r="B155" i="69"/>
  <c r="A184" i="69"/>
  <c r="B183" i="69"/>
  <c r="A236" i="69"/>
  <c r="B235" i="69"/>
  <c r="B194" i="69"/>
  <c r="A195" i="69"/>
  <c r="B195" i="69" s="1"/>
  <c r="E211" i="77" l="1"/>
  <c r="B236" i="69"/>
  <c r="A185" i="69"/>
  <c r="B184" i="69"/>
  <c r="B185" i="69" l="1"/>
  <c r="K1" i="72"/>
  <c r="K228" i="72" l="1"/>
  <c r="K229" i="72" s="1"/>
  <c r="AW149" i="72"/>
  <c r="AW133" i="72"/>
  <c r="AW117" i="72"/>
  <c r="AW61" i="72"/>
  <c r="AW44" i="72"/>
  <c r="AW27" i="72"/>
  <c r="AW75" i="72"/>
  <c r="AW159" i="72"/>
  <c r="AW148" i="72"/>
  <c r="AW132" i="72"/>
  <c r="AW116" i="72"/>
  <c r="AW60" i="72"/>
  <c r="AW43" i="72"/>
  <c r="AW26" i="72"/>
  <c r="AW177" i="72"/>
  <c r="AW105" i="72"/>
  <c r="AW164" i="72"/>
  <c r="AW147" i="72"/>
  <c r="AW131" i="72"/>
  <c r="AW76" i="72"/>
  <c r="AW59" i="72"/>
  <c r="AW42" i="72"/>
  <c r="AW41" i="72"/>
  <c r="AW163" i="72"/>
  <c r="AW146" i="72"/>
  <c r="AW130" i="72"/>
  <c r="AW58" i="72"/>
  <c r="AW162" i="72"/>
  <c r="AW145" i="72"/>
  <c r="AW91" i="72"/>
  <c r="AW74" i="72"/>
  <c r="AW57" i="72"/>
  <c r="AW178" i="72"/>
  <c r="AW161" i="72"/>
  <c r="AW144" i="72"/>
  <c r="AW90" i="72"/>
  <c r="AW73" i="72"/>
  <c r="AW56" i="72"/>
  <c r="AW106" i="72"/>
  <c r="AW89" i="72"/>
  <c r="AW72" i="72"/>
  <c r="AW176" i="72"/>
  <c r="AW160" i="72"/>
  <c r="AW174" i="72"/>
  <c r="AW120" i="72"/>
  <c r="AW103" i="72"/>
  <c r="AW86" i="72"/>
  <c r="AW30" i="72"/>
  <c r="AW135" i="72"/>
  <c r="AW119" i="72"/>
  <c r="AW29" i="72"/>
  <c r="AW88" i="72"/>
  <c r="AW102" i="72"/>
  <c r="AW46" i="72"/>
  <c r="AW118" i="72"/>
  <c r="AW28" i="72"/>
  <c r="AW134" i="72"/>
  <c r="AW101" i="72"/>
  <c r="AW45" i="72"/>
  <c r="AW71" i="72"/>
  <c r="AW104" i="72"/>
  <c r="AW31" i="72"/>
  <c r="AW121" i="72"/>
  <c r="AW175" i="72"/>
  <c r="AW87" i="72"/>
  <c r="K257" i="72"/>
  <c r="Y257" i="72" s="1"/>
  <c r="K243" i="72"/>
  <c r="Y243" i="72" s="1"/>
  <c r="K303" i="72"/>
  <c r="K265" i="72"/>
  <c r="Y265" i="72" s="1"/>
  <c r="AF265" i="72" s="1"/>
  <c r="K255" i="72"/>
  <c r="Y255" i="72" s="1"/>
  <c r="K237" i="72"/>
  <c r="Y237" i="72" s="1"/>
  <c r="K299" i="72"/>
  <c r="K282" i="72"/>
  <c r="K281" i="72"/>
  <c r="K304" i="72"/>
  <c r="K289" i="72"/>
  <c r="K266" i="72"/>
  <c r="Y266" i="72" s="1"/>
  <c r="AF266" i="72" s="1"/>
  <c r="K252" i="72"/>
  <c r="Y252" i="72" s="1"/>
  <c r="K270" i="72"/>
  <c r="Y270" i="72" s="1"/>
  <c r="AF270" i="72" s="1"/>
  <c r="K302" i="72"/>
  <c r="K284" i="72"/>
  <c r="K296" i="72"/>
  <c r="K288" i="72"/>
  <c r="K256" i="72"/>
  <c r="Y256" i="72" s="1"/>
  <c r="K238" i="72"/>
  <c r="Y238" i="72" s="1"/>
  <c r="K287" i="72"/>
  <c r="K242" i="72"/>
  <c r="Y242" i="72" s="1"/>
  <c r="K259" i="72"/>
  <c r="Y259" i="72" s="1"/>
  <c r="K283" i="72"/>
  <c r="K267" i="72"/>
  <c r="Y267" i="72" s="1"/>
  <c r="AF267" i="72" s="1"/>
  <c r="K235" i="72"/>
  <c r="Y235" i="72" s="1"/>
  <c r="K253" i="72"/>
  <c r="Y253" i="72" s="1"/>
  <c r="K301" i="72"/>
  <c r="K286" i="72"/>
  <c r="K269" i="72"/>
  <c r="Y269" i="72" s="1"/>
  <c r="AF269" i="72" s="1"/>
  <c r="K251" i="72"/>
  <c r="Y251" i="72" s="1"/>
  <c r="K285" i="72"/>
  <c r="K241" i="72"/>
  <c r="Y241" i="72" s="1"/>
  <c r="K268" i="72"/>
  <c r="Y268" i="72" s="1"/>
  <c r="AF268" i="72" s="1"/>
  <c r="K280" i="72"/>
  <c r="K300" i="72"/>
  <c r="K250" i="72"/>
  <c r="Y250" i="72" s="1"/>
  <c r="K254" i="72"/>
  <c r="Y254" i="72" s="1"/>
  <c r="K258" i="72"/>
  <c r="Y258" i="72" s="1"/>
  <c r="K244" i="72"/>
  <c r="Y244" i="72" s="1"/>
  <c r="K239" i="72"/>
  <c r="Y239" i="72" s="1"/>
  <c r="K298" i="72"/>
  <c r="K236" i="72"/>
  <c r="Y236" i="72" s="1"/>
  <c r="K297" i="72"/>
  <c r="K240" i="72"/>
  <c r="Y240" i="72" s="1"/>
  <c r="K295" i="72"/>
  <c r="AF237" i="72" l="1"/>
  <c r="Y282" i="72"/>
  <c r="AF282" i="72" s="1"/>
  <c r="AF244" i="72"/>
  <c r="Y289" i="72"/>
  <c r="AF289" i="72" s="1"/>
  <c r="Y302" i="72"/>
  <c r="AF302" i="72" s="1"/>
  <c r="AF257" i="72"/>
  <c r="Y300" i="72"/>
  <c r="AF300" i="72" s="1"/>
  <c r="AF255" i="72"/>
  <c r="Y298" i="72"/>
  <c r="AF298" i="72" s="1"/>
  <c r="AF253" i="72"/>
  <c r="Y284" i="72"/>
  <c r="AF284" i="72" s="1"/>
  <c r="AF239" i="72"/>
  <c r="Y280" i="72"/>
  <c r="AF280" i="72" s="1"/>
  <c r="AF235" i="72"/>
  <c r="Y304" i="72"/>
  <c r="AF304" i="72" s="1"/>
  <c r="AF259" i="72"/>
  <c r="Y303" i="72"/>
  <c r="AF303" i="72" s="1"/>
  <c r="AF258" i="72"/>
  <c r="Y288" i="72"/>
  <c r="AF288" i="72" s="1"/>
  <c r="AF243" i="72"/>
  <c r="Y287" i="72"/>
  <c r="AF287" i="72" s="1"/>
  <c r="AF242" i="72"/>
  <c r="Y285" i="72"/>
  <c r="AF285" i="72" s="1"/>
  <c r="AF240" i="72"/>
  <c r="Y286" i="72"/>
  <c r="AF286" i="72" s="1"/>
  <c r="AF241" i="72"/>
  <c r="AF254" i="72"/>
  <c r="Y299" i="72"/>
  <c r="AF299" i="72" s="1"/>
  <c r="Y297" i="72"/>
  <c r="AF297" i="72" s="1"/>
  <c r="AF252" i="72"/>
  <c r="Y283" i="72"/>
  <c r="AF283" i="72" s="1"/>
  <c r="AF238" i="72"/>
  <c r="Y295" i="72"/>
  <c r="AF295" i="72" s="1"/>
  <c r="AF250" i="72"/>
  <c r="Y281" i="72"/>
  <c r="AF281" i="72" s="1"/>
  <c r="AF236" i="72"/>
  <c r="Y296" i="72"/>
  <c r="AF296" i="72" s="1"/>
  <c r="AF251" i="72"/>
  <c r="Y301" i="72"/>
  <c r="AF301" i="72" s="1"/>
  <c r="AF256" i="72"/>
  <c r="C11" i="62"/>
  <c r="G204" i="77" l="1"/>
  <c r="G193" i="77"/>
  <c r="AD153" i="71"/>
  <c r="AD133" i="71"/>
  <c r="AD125" i="71"/>
  <c r="AD107" i="71"/>
  <c r="AD115" i="70"/>
  <c r="AD128" i="70"/>
  <c r="AD141" i="70"/>
  <c r="AD109" i="70"/>
  <c r="AD146" i="71"/>
  <c r="AD138" i="71"/>
  <c r="AD130" i="71"/>
  <c r="AD115" i="71"/>
  <c r="AD112" i="71"/>
  <c r="AD116" i="70"/>
  <c r="AD129" i="70"/>
  <c r="AD142" i="70"/>
  <c r="AD151" i="71"/>
  <c r="AD123" i="71"/>
  <c r="AD120" i="71"/>
  <c r="AD105" i="71"/>
  <c r="AD104" i="70"/>
  <c r="AD117" i="70"/>
  <c r="AD130" i="70"/>
  <c r="AD144" i="70"/>
  <c r="AD152" i="71"/>
  <c r="AD123" i="70"/>
  <c r="AD144" i="71"/>
  <c r="AD136" i="71"/>
  <c r="AD128" i="71"/>
  <c r="AD110" i="71"/>
  <c r="AD105" i="70"/>
  <c r="AD118" i="70"/>
  <c r="AD131" i="70"/>
  <c r="AD145" i="70"/>
  <c r="AD124" i="71"/>
  <c r="AD149" i="70"/>
  <c r="AD149" i="71"/>
  <c r="AD141" i="71"/>
  <c r="AD118" i="71"/>
  <c r="AD106" i="70"/>
  <c r="AD119" i="70"/>
  <c r="AD133" i="70"/>
  <c r="AD146" i="70"/>
  <c r="AD134" i="71"/>
  <c r="AD126" i="71"/>
  <c r="AD108" i="71"/>
  <c r="AD107" i="70"/>
  <c r="AD120" i="70"/>
  <c r="AD134" i="70"/>
  <c r="AD147" i="70"/>
  <c r="AD106" i="71"/>
  <c r="AD136" i="70"/>
  <c r="AD147" i="71"/>
  <c r="AD139" i="71"/>
  <c r="AD131" i="71"/>
  <c r="AD116" i="71"/>
  <c r="AD113" i="71"/>
  <c r="AD108" i="70"/>
  <c r="AD122" i="70"/>
  <c r="AD135" i="70"/>
  <c r="AD148" i="70"/>
  <c r="AD150" i="71"/>
  <c r="AD142" i="71"/>
  <c r="AD122" i="71"/>
  <c r="AD119" i="71"/>
  <c r="AD104" i="71"/>
  <c r="AD111" i="70"/>
  <c r="AD125" i="70"/>
  <c r="AD138" i="70"/>
  <c r="AD151" i="70"/>
  <c r="AD135" i="71"/>
  <c r="AD127" i="71"/>
  <c r="AD109" i="71"/>
  <c r="AD112" i="70"/>
  <c r="AD139" i="70"/>
  <c r="AD152" i="70"/>
  <c r="AD127" i="70"/>
  <c r="AD126" i="70"/>
  <c r="AD140" i="70"/>
  <c r="AD148" i="71"/>
  <c r="AD140" i="71"/>
  <c r="AD117" i="71"/>
  <c r="AD113" i="70"/>
  <c r="AD153" i="70"/>
  <c r="AD150" i="70"/>
  <c r="AD129" i="71"/>
  <c r="AD111" i="71"/>
  <c r="AD145" i="71"/>
  <c r="AD124" i="70"/>
  <c r="AD110" i="70"/>
  <c r="AD137" i="71"/>
  <c r="AD137" i="70"/>
  <c r="AD143" i="71"/>
  <c r="AD103" i="70"/>
  <c r="AD103" i="71"/>
  <c r="AD132" i="70"/>
  <c r="AD132" i="71"/>
  <c r="AD143" i="70"/>
  <c r="AD121" i="71"/>
  <c r="AD121" i="70"/>
  <c r="AD114" i="71"/>
  <c r="AD114" i="70"/>
  <c r="B1" i="59" l="1"/>
  <c r="B148" i="63"/>
  <c r="B160" i="63" s="1"/>
  <c r="B149" i="63"/>
  <c r="B161" i="63" s="1"/>
  <c r="B150" i="63"/>
  <c r="B162" i="63" s="1"/>
  <c r="B147" i="63"/>
  <c r="B159" i="63" s="1"/>
  <c r="B146" i="63"/>
  <c r="B158" i="63" s="1"/>
  <c r="B170" i="63" s="1"/>
  <c r="B145" i="63"/>
  <c r="B157" i="63" s="1"/>
  <c r="B169" i="63" s="1"/>
  <c r="B144" i="63"/>
  <c r="B156" i="63" s="1"/>
  <c r="B168" i="63" s="1"/>
  <c r="B143" i="63"/>
  <c r="B155" i="63" s="1"/>
  <c r="B167" i="63" s="1"/>
  <c r="B142" i="63"/>
  <c r="B141" i="63"/>
  <c r="B153" i="63" s="1"/>
  <c r="B165" i="63" s="1"/>
  <c r="B140" i="63"/>
  <c r="B152" i="63" s="1"/>
  <c r="B164" i="63" s="1"/>
  <c r="B139" i="63"/>
  <c r="B151" i="63" s="1"/>
  <c r="B163" i="63" s="1"/>
  <c r="C24" i="60"/>
  <c r="C23" i="60"/>
  <c r="C22" i="60"/>
  <c r="C21" i="60"/>
  <c r="B154" i="63" l="1"/>
  <c r="B166" i="63" s="1"/>
  <c r="AW1" i="72"/>
  <c r="AS228" i="72"/>
  <c r="AS221" i="72"/>
  <c r="AS220" i="72"/>
  <c r="AS219" i="72"/>
  <c r="AS218" i="72"/>
  <c r="AS217" i="72"/>
  <c r="AS216" i="72"/>
  <c r="AS215" i="72"/>
  <c r="AS214" i="72"/>
  <c r="AS213" i="72"/>
  <c r="AS207" i="72"/>
  <c r="AS206" i="72"/>
  <c r="AS205" i="72"/>
  <c r="AS204" i="72"/>
  <c r="AS203" i="72"/>
  <c r="AS202" i="72"/>
  <c r="AS201" i="72"/>
  <c r="AS200" i="72"/>
  <c r="AS199" i="72"/>
  <c r="AS198" i="72"/>
  <c r="AS192" i="72"/>
  <c r="AS191" i="72"/>
  <c r="AS190" i="72"/>
  <c r="AS189" i="72"/>
  <c r="AS188" i="72"/>
  <c r="AS187" i="72"/>
  <c r="AS186" i="72"/>
  <c r="AS185" i="72"/>
  <c r="AS184" i="72"/>
  <c r="AS178" i="72"/>
  <c r="AS177" i="72"/>
  <c r="AS176" i="72"/>
  <c r="AS175" i="72"/>
  <c r="AS174" i="72"/>
  <c r="AS173" i="72"/>
  <c r="AS172" i="72"/>
  <c r="AS171" i="72"/>
  <c r="AS170" i="72"/>
  <c r="AS164" i="72"/>
  <c r="AS163" i="72"/>
  <c r="AS162" i="72"/>
  <c r="AS161" i="72"/>
  <c r="AS160" i="72"/>
  <c r="AS159" i="72"/>
  <c r="AS158" i="72"/>
  <c r="AS157" i="72"/>
  <c r="AS156" i="72"/>
  <c r="AS155" i="72"/>
  <c r="AS149" i="72"/>
  <c r="AS148" i="72"/>
  <c r="AS147" i="72"/>
  <c r="AS146" i="72"/>
  <c r="AS145" i="72"/>
  <c r="AS144" i="72"/>
  <c r="AS143" i="72"/>
  <c r="AS142" i="72"/>
  <c r="AS141" i="72"/>
  <c r="AS140" i="72"/>
  <c r="AS134" i="72"/>
  <c r="AS133" i="72"/>
  <c r="AS132" i="72"/>
  <c r="AS131" i="72"/>
  <c r="AS130" i="72"/>
  <c r="AS129" i="72"/>
  <c r="AS128" i="72"/>
  <c r="AS127" i="72"/>
  <c r="AS126" i="72"/>
  <c r="AS120" i="72"/>
  <c r="AS119" i="72"/>
  <c r="AS118" i="72"/>
  <c r="AS117" i="72"/>
  <c r="AS116" i="72"/>
  <c r="AS115" i="72"/>
  <c r="AS114" i="72"/>
  <c r="AS113" i="72"/>
  <c r="AS112" i="72"/>
  <c r="AS106" i="72"/>
  <c r="AS105" i="72"/>
  <c r="AS104" i="72"/>
  <c r="AS103" i="72"/>
  <c r="AS102" i="72"/>
  <c r="AS101" i="72"/>
  <c r="AS100" i="72"/>
  <c r="AS99" i="72"/>
  <c r="AS98" i="72"/>
  <c r="AS97" i="72"/>
  <c r="AS91" i="72"/>
  <c r="AS90" i="72"/>
  <c r="AS89" i="72"/>
  <c r="AS88" i="72"/>
  <c r="AS87" i="72"/>
  <c r="AS86" i="72"/>
  <c r="AS85" i="72"/>
  <c r="AS84" i="72"/>
  <c r="AS83" i="72"/>
  <c r="AS82" i="72"/>
  <c r="AS76" i="72"/>
  <c r="AS75" i="72"/>
  <c r="AS74" i="72"/>
  <c r="AS73" i="72"/>
  <c r="AS72" i="72"/>
  <c r="AS71" i="72"/>
  <c r="AS70" i="72"/>
  <c r="AS69" i="72"/>
  <c r="AS68" i="72"/>
  <c r="AS67" i="72"/>
  <c r="AS61" i="72"/>
  <c r="AS60" i="72"/>
  <c r="AS59" i="72"/>
  <c r="AS58" i="72"/>
  <c r="AS57" i="72"/>
  <c r="AS56" i="72"/>
  <c r="AS55" i="72"/>
  <c r="AS54" i="72"/>
  <c r="AS53" i="72"/>
  <c r="AS52" i="72"/>
  <c r="AS46" i="72"/>
  <c r="AS45" i="72"/>
  <c r="AS44" i="72"/>
  <c r="AS43" i="72"/>
  <c r="AS42" i="72"/>
  <c r="AS41" i="72"/>
  <c r="AS40" i="72"/>
  <c r="AS39" i="72"/>
  <c r="AS38" i="72"/>
  <c r="AS37" i="72"/>
  <c r="AS31" i="72"/>
  <c r="AS30" i="72"/>
  <c r="AS29" i="72"/>
  <c r="AS28" i="72"/>
  <c r="AS27" i="72"/>
  <c r="AS26" i="72"/>
  <c r="AS25" i="72"/>
  <c r="AS24" i="72"/>
  <c r="AS23" i="72"/>
  <c r="AS22" i="72"/>
  <c r="AS16" i="72"/>
  <c r="AS15" i="72"/>
  <c r="AS14" i="72"/>
  <c r="AS13" i="72"/>
  <c r="AS12" i="72"/>
  <c r="AS11" i="72"/>
  <c r="AS10" i="72"/>
  <c r="AS9" i="72"/>
  <c r="AS8" i="72"/>
  <c r="AS7" i="72"/>
  <c r="AJ153" i="73"/>
  <c r="AI153" i="73"/>
  <c r="AH153" i="73"/>
  <c r="AG153" i="73"/>
  <c r="AF153" i="73"/>
  <c r="AE153" i="73"/>
  <c r="AC153" i="73"/>
  <c r="AB153" i="73"/>
  <c r="AA153" i="73"/>
  <c r="Z153" i="73"/>
  <c r="Y153" i="73"/>
  <c r="X153" i="73"/>
  <c r="AE150" i="73"/>
  <c r="B1" i="60"/>
  <c r="D12" i="60" s="1"/>
  <c r="B1" i="67"/>
  <c r="C307" i="77" l="1"/>
  <c r="D202" i="77"/>
  <c r="F6" i="67"/>
  <c r="G6" i="67"/>
  <c r="G16" i="38" s="1"/>
  <c r="E6" i="67"/>
  <c r="D6" i="67"/>
  <c r="C6" i="67"/>
  <c r="C16" i="38" s="1"/>
  <c r="C47" i="38" s="1"/>
  <c r="AW255" i="72"/>
  <c r="AW238" i="72"/>
  <c r="AW201" i="72"/>
  <c r="AW171" i="72"/>
  <c r="AW100" i="72"/>
  <c r="AW83" i="72"/>
  <c r="AW287" i="72"/>
  <c r="AW300" i="72"/>
  <c r="AW24" i="72"/>
  <c r="AW143" i="72"/>
  <c r="AW281" i="72"/>
  <c r="AW254" i="72"/>
  <c r="AW237" i="72"/>
  <c r="AW200" i="72"/>
  <c r="AW170" i="72"/>
  <c r="AW99" i="72"/>
  <c r="AW82" i="72"/>
  <c r="AW286" i="72"/>
  <c r="AW301" i="72"/>
  <c r="AW97" i="72"/>
  <c r="AW284" i="72"/>
  <c r="AW270" i="72"/>
  <c r="AW253" i="72"/>
  <c r="AW236" i="72"/>
  <c r="AW199" i="72"/>
  <c r="AW115" i="72"/>
  <c r="AW98" i="72"/>
  <c r="AW25" i="72"/>
  <c r="AW285" i="72"/>
  <c r="AW302" i="72"/>
  <c r="AW114" i="72"/>
  <c r="AW303" i="72"/>
  <c r="AW266" i="72"/>
  <c r="AW126" i="72"/>
  <c r="AW269" i="72"/>
  <c r="AW252" i="72"/>
  <c r="AW235" i="72"/>
  <c r="AW198" i="72"/>
  <c r="AW127" i="72"/>
  <c r="AW265" i="72"/>
  <c r="AW54" i="72"/>
  <c r="AW268" i="72"/>
  <c r="AW251" i="72"/>
  <c r="AW184" i="72"/>
  <c r="AW129" i="72"/>
  <c r="AW113" i="72"/>
  <c r="AW40" i="72"/>
  <c r="AW23" i="72"/>
  <c r="AW283" i="72"/>
  <c r="AW304" i="72"/>
  <c r="AW207" i="72"/>
  <c r="AW8" i="72"/>
  <c r="AW142" i="72"/>
  <c r="AW267" i="72"/>
  <c r="AW250" i="72"/>
  <c r="AW213" i="72"/>
  <c r="AW128" i="72"/>
  <c r="AW112" i="72"/>
  <c r="AW39" i="72"/>
  <c r="AW22" i="72"/>
  <c r="AW282" i="72"/>
  <c r="AW295" i="72"/>
  <c r="AW244" i="72"/>
  <c r="AW55" i="72"/>
  <c r="AW38" i="72"/>
  <c r="AW258" i="72"/>
  <c r="AW241" i="72"/>
  <c r="AW204" i="72"/>
  <c r="AW157" i="72"/>
  <c r="AW140" i="72"/>
  <c r="AW69" i="72"/>
  <c r="AW52" i="72"/>
  <c r="AW7" i="72"/>
  <c r="AW297" i="72"/>
  <c r="AW240" i="72"/>
  <c r="AW173" i="72"/>
  <c r="AW85" i="72"/>
  <c r="AW68" i="72"/>
  <c r="AW289" i="72"/>
  <c r="AW202" i="72"/>
  <c r="AW67" i="72"/>
  <c r="AW299" i="72"/>
  <c r="AW243" i="72"/>
  <c r="AW37" i="72"/>
  <c r="AW257" i="72"/>
  <c r="AW203" i="72"/>
  <c r="AW156" i="72"/>
  <c r="AW298" i="72"/>
  <c r="AW239" i="72"/>
  <c r="AW155" i="72"/>
  <c r="AW84" i="72"/>
  <c r="AW280" i="72"/>
  <c r="AW256" i="72"/>
  <c r="AW172" i="72"/>
  <c r="AW288" i="72"/>
  <c r="AW206" i="72"/>
  <c r="AW9" i="72"/>
  <c r="AW70" i="72"/>
  <c r="AW53" i="72"/>
  <c r="AW141" i="72"/>
  <c r="AW259" i="72"/>
  <c r="AW10" i="72"/>
  <c r="AW242" i="72"/>
  <c r="AW296" i="72"/>
  <c r="AW205" i="72"/>
  <c r="AW158" i="72"/>
  <c r="AW228" i="72"/>
  <c r="AW229" i="72" s="1"/>
  <c r="C12" i="60"/>
  <c r="G64" i="77" l="1"/>
  <c r="G47" i="38"/>
  <c r="C202" i="77"/>
  <c r="E202" i="77"/>
  <c r="F202" i="77"/>
  <c r="G202" i="77"/>
  <c r="G301" i="77"/>
  <c r="G302" i="77" s="1"/>
  <c r="G85" i="77"/>
  <c r="B1" i="64"/>
  <c r="B1" i="61"/>
  <c r="AD91" i="72"/>
  <c r="AD76" i="72"/>
  <c r="AD61" i="72"/>
  <c r="C9" i="64" l="1"/>
  <c r="AF112" i="72" l="1"/>
  <c r="F298" i="69"/>
  <c r="G298" i="69"/>
  <c r="H298" i="69"/>
  <c r="I298" i="69"/>
  <c r="E298" i="69"/>
  <c r="E294" i="69"/>
  <c r="F294" i="69"/>
  <c r="G294" i="69"/>
  <c r="H294" i="69"/>
  <c r="I294" i="69"/>
  <c r="E295" i="69"/>
  <c r="F295" i="69"/>
  <c r="G295" i="69"/>
  <c r="H295" i="69"/>
  <c r="I295" i="69"/>
  <c r="E296" i="69"/>
  <c r="F296" i="69"/>
  <c r="G296" i="69"/>
  <c r="H296" i="69"/>
  <c r="I296" i="69"/>
  <c r="E297" i="69"/>
  <c r="F297" i="69"/>
  <c r="G297" i="69"/>
  <c r="H297" i="69"/>
  <c r="I297" i="69"/>
  <c r="G228" i="72" l="1"/>
  <c r="S157" i="74" l="1"/>
  <c r="R157" i="74"/>
  <c r="Q157" i="74"/>
  <c r="P157" i="74"/>
  <c r="O157" i="74"/>
  <c r="N157" i="74"/>
  <c r="L157" i="74"/>
  <c r="K157" i="74"/>
  <c r="J157" i="74"/>
  <c r="I157" i="74"/>
  <c r="H157" i="74"/>
  <c r="G157" i="74"/>
  <c r="E96" i="74"/>
  <c r="D96" i="74"/>
  <c r="C96" i="74"/>
  <c r="B96" i="74"/>
  <c r="A96" i="74"/>
  <c r="E94" i="74"/>
  <c r="C94" i="74"/>
  <c r="B94" i="74"/>
  <c r="A94" i="74"/>
  <c r="E93" i="74"/>
  <c r="C93" i="74"/>
  <c r="B93" i="74"/>
  <c r="A93" i="74"/>
  <c r="E92" i="74"/>
  <c r="C92" i="74"/>
  <c r="B92" i="74"/>
  <c r="A92" i="74"/>
  <c r="E91" i="74"/>
  <c r="C91" i="74"/>
  <c r="B91" i="74"/>
  <c r="A91" i="74"/>
  <c r="E90" i="74"/>
  <c r="C90" i="74"/>
  <c r="B90" i="74"/>
  <c r="A90" i="74"/>
  <c r="E89" i="74"/>
  <c r="C89" i="74"/>
  <c r="B89" i="74"/>
  <c r="A89" i="74"/>
  <c r="E88" i="74"/>
  <c r="C88" i="74"/>
  <c r="B88" i="74"/>
  <c r="A88" i="74"/>
  <c r="E87" i="74"/>
  <c r="C87" i="74"/>
  <c r="B87" i="74"/>
  <c r="A87" i="74"/>
  <c r="E86" i="74"/>
  <c r="C86" i="74"/>
  <c r="B86" i="74"/>
  <c r="A86" i="74"/>
  <c r="E85" i="74"/>
  <c r="D85" i="74"/>
  <c r="C85" i="74"/>
  <c r="B85" i="74"/>
  <c r="A85" i="74"/>
  <c r="E83" i="74"/>
  <c r="D83" i="74"/>
  <c r="C83" i="74"/>
  <c r="B83" i="74"/>
  <c r="E81" i="74"/>
  <c r="D81" i="74"/>
  <c r="C81" i="74"/>
  <c r="B81" i="74"/>
  <c r="A81" i="74"/>
  <c r="E79" i="74"/>
  <c r="D79" i="74"/>
  <c r="C79" i="74"/>
  <c r="B79" i="74"/>
  <c r="A79" i="74"/>
  <c r="E77" i="74"/>
  <c r="D77" i="74"/>
  <c r="C77" i="74"/>
  <c r="B77" i="74"/>
  <c r="E75" i="74"/>
  <c r="D75" i="74"/>
  <c r="C75" i="74"/>
  <c r="B75" i="74"/>
  <c r="A75" i="74"/>
  <c r="E73" i="74"/>
  <c r="C73" i="74"/>
  <c r="B73" i="74"/>
  <c r="A73" i="74"/>
  <c r="E72" i="74"/>
  <c r="C72" i="74"/>
  <c r="B72" i="74"/>
  <c r="A72" i="74"/>
  <c r="E71" i="74"/>
  <c r="C71" i="74"/>
  <c r="B71" i="74"/>
  <c r="A71" i="74"/>
  <c r="E70" i="74"/>
  <c r="C70" i="74"/>
  <c r="B70" i="74"/>
  <c r="A70" i="74"/>
  <c r="E69" i="74"/>
  <c r="C69" i="74"/>
  <c r="B69" i="74"/>
  <c r="A69" i="74"/>
  <c r="E68" i="74"/>
  <c r="C68" i="74"/>
  <c r="B68" i="74"/>
  <c r="A68" i="74"/>
  <c r="E67" i="74"/>
  <c r="C67" i="74"/>
  <c r="B67" i="74"/>
  <c r="A67" i="74"/>
  <c r="E66" i="74"/>
  <c r="C66" i="74"/>
  <c r="B66" i="74"/>
  <c r="A66" i="74"/>
  <c r="E65" i="74"/>
  <c r="C65" i="74"/>
  <c r="B65" i="74"/>
  <c r="A65" i="74"/>
  <c r="E64" i="74"/>
  <c r="D64" i="74"/>
  <c r="C64" i="74"/>
  <c r="B64" i="74"/>
  <c r="A64" i="74"/>
  <c r="E62" i="74"/>
  <c r="C62" i="74"/>
  <c r="B62" i="74"/>
  <c r="A62" i="74"/>
  <c r="E61" i="74"/>
  <c r="C61" i="74"/>
  <c r="B61" i="74"/>
  <c r="A61" i="74"/>
  <c r="E60" i="74"/>
  <c r="C60" i="74"/>
  <c r="B60" i="74"/>
  <c r="A60" i="74"/>
  <c r="E59" i="74"/>
  <c r="C59" i="74"/>
  <c r="B59" i="74"/>
  <c r="A59" i="74"/>
  <c r="E58" i="74"/>
  <c r="C58" i="74"/>
  <c r="B58" i="74"/>
  <c r="A58" i="74"/>
  <c r="E57" i="74"/>
  <c r="C57" i="74"/>
  <c r="B57" i="74"/>
  <c r="A57" i="74"/>
  <c r="E56" i="74"/>
  <c r="C56" i="74"/>
  <c r="B56" i="74"/>
  <c r="A56" i="74"/>
  <c r="E55" i="74"/>
  <c r="C55" i="74"/>
  <c r="B55" i="74"/>
  <c r="A55" i="74"/>
  <c r="E54" i="74"/>
  <c r="C54" i="74"/>
  <c r="B54" i="74"/>
  <c r="A54" i="74"/>
  <c r="E53" i="74"/>
  <c r="D53" i="74"/>
  <c r="C53" i="74"/>
  <c r="B53" i="74"/>
  <c r="A53" i="74"/>
  <c r="E51" i="74"/>
  <c r="D51" i="74"/>
  <c r="C51" i="74"/>
  <c r="B51" i="74"/>
  <c r="A51" i="74"/>
  <c r="E50" i="74"/>
  <c r="D50" i="74"/>
  <c r="C50" i="74"/>
  <c r="B50" i="74"/>
  <c r="A50" i="74"/>
  <c r="E48" i="74"/>
  <c r="D48" i="74"/>
  <c r="C48" i="74"/>
  <c r="B48" i="74"/>
  <c r="A48" i="74"/>
  <c r="E47" i="74"/>
  <c r="D47" i="74"/>
  <c r="C47" i="74"/>
  <c r="B47" i="74"/>
  <c r="A47" i="74"/>
  <c r="E46" i="74"/>
  <c r="D46" i="74"/>
  <c r="C46" i="74"/>
  <c r="B46" i="74"/>
  <c r="A46" i="74"/>
  <c r="E45" i="74"/>
  <c r="D45" i="74"/>
  <c r="C45" i="74"/>
  <c r="B45" i="74"/>
  <c r="A45" i="74"/>
  <c r="E44" i="74"/>
  <c r="D44" i="74"/>
  <c r="C44" i="74"/>
  <c r="B44" i="74"/>
  <c r="A44" i="74"/>
  <c r="E43" i="74"/>
  <c r="D43" i="74"/>
  <c r="C43" i="74"/>
  <c r="B43" i="74"/>
  <c r="A43" i="74"/>
  <c r="E42" i="74"/>
  <c r="D42" i="74"/>
  <c r="C42" i="74"/>
  <c r="B42" i="74"/>
  <c r="A42" i="74"/>
  <c r="E41" i="74"/>
  <c r="D41" i="74"/>
  <c r="C41" i="74"/>
  <c r="B41" i="74"/>
  <c r="A41" i="74"/>
  <c r="E40" i="74"/>
  <c r="D40" i="74"/>
  <c r="C40" i="74"/>
  <c r="B40" i="74"/>
  <c r="A40" i="74"/>
  <c r="E38" i="74"/>
  <c r="D38" i="74"/>
  <c r="C38" i="74"/>
  <c r="B38" i="74"/>
  <c r="A38" i="74"/>
  <c r="E37" i="74"/>
  <c r="D37" i="74"/>
  <c r="C37" i="74"/>
  <c r="B37" i="74"/>
  <c r="A37" i="74"/>
  <c r="E36" i="74"/>
  <c r="D36" i="74"/>
  <c r="C36" i="74"/>
  <c r="B36" i="74"/>
  <c r="A36" i="74"/>
  <c r="E35" i="74"/>
  <c r="D35" i="74"/>
  <c r="C35" i="74"/>
  <c r="B35" i="74"/>
  <c r="A35" i="74"/>
  <c r="E34" i="74"/>
  <c r="D34" i="74"/>
  <c r="C34" i="74"/>
  <c r="B34" i="74"/>
  <c r="A34" i="74"/>
  <c r="E33" i="74"/>
  <c r="D33" i="74"/>
  <c r="C33" i="74"/>
  <c r="B33" i="74"/>
  <c r="A33" i="74"/>
  <c r="E32" i="74"/>
  <c r="D32" i="74"/>
  <c r="C32" i="74"/>
  <c r="B32" i="74"/>
  <c r="A32" i="74"/>
  <c r="E31" i="74"/>
  <c r="D31" i="74"/>
  <c r="C31" i="74"/>
  <c r="B31" i="74"/>
  <c r="A31" i="74"/>
  <c r="E30" i="74"/>
  <c r="D30" i="74"/>
  <c r="C30" i="74"/>
  <c r="B30" i="74"/>
  <c r="A30" i="74"/>
  <c r="E28" i="74"/>
  <c r="D28" i="74"/>
  <c r="C28" i="74"/>
  <c r="B28" i="74"/>
  <c r="A28" i="74"/>
  <c r="E27" i="74"/>
  <c r="D27" i="74"/>
  <c r="C27" i="74"/>
  <c r="B27" i="74"/>
  <c r="A27" i="74"/>
  <c r="E26" i="74"/>
  <c r="D26" i="74"/>
  <c r="C26" i="74"/>
  <c r="B26" i="74"/>
  <c r="A26" i="74"/>
  <c r="E25" i="74"/>
  <c r="D25" i="74"/>
  <c r="C25" i="74"/>
  <c r="B25" i="74"/>
  <c r="A25" i="74"/>
  <c r="E24" i="74"/>
  <c r="D24" i="74"/>
  <c r="C24" i="74"/>
  <c r="B24" i="74"/>
  <c r="A24" i="74"/>
  <c r="E23" i="74"/>
  <c r="D23" i="74"/>
  <c r="C23" i="74"/>
  <c r="B23" i="74"/>
  <c r="A23" i="74"/>
  <c r="E22" i="74"/>
  <c r="D22" i="74"/>
  <c r="C22" i="74"/>
  <c r="B22" i="74"/>
  <c r="A22" i="74"/>
  <c r="E21" i="74"/>
  <c r="D21" i="74"/>
  <c r="C21" i="74"/>
  <c r="B21" i="74"/>
  <c r="A21" i="74"/>
  <c r="E20" i="74"/>
  <c r="D20" i="74"/>
  <c r="C20" i="74"/>
  <c r="B20" i="74"/>
  <c r="A20" i="74"/>
  <c r="E18" i="74"/>
  <c r="D18" i="74"/>
  <c r="C18" i="74"/>
  <c r="B18" i="74"/>
  <c r="A18" i="74"/>
  <c r="E17" i="74"/>
  <c r="D17" i="74"/>
  <c r="C17" i="74"/>
  <c r="B17" i="74"/>
  <c r="A17" i="74"/>
  <c r="E16" i="74"/>
  <c r="D16" i="74"/>
  <c r="C16" i="74"/>
  <c r="B16" i="74"/>
  <c r="A16" i="74"/>
  <c r="E15" i="74"/>
  <c r="D15" i="74"/>
  <c r="C15" i="74"/>
  <c r="B15" i="74"/>
  <c r="A15" i="74"/>
  <c r="E14" i="74"/>
  <c r="D14" i="74"/>
  <c r="C14" i="74"/>
  <c r="B14" i="74"/>
  <c r="A14" i="74"/>
  <c r="E13" i="74"/>
  <c r="D13" i="74"/>
  <c r="C13" i="74"/>
  <c r="B13" i="74"/>
  <c r="A13" i="74"/>
  <c r="E11" i="74"/>
  <c r="D11" i="74"/>
  <c r="C11" i="74"/>
  <c r="B11" i="74"/>
  <c r="A11" i="74"/>
  <c r="E10" i="74"/>
  <c r="D10" i="74"/>
  <c r="C10" i="74"/>
  <c r="B10" i="74"/>
  <c r="A10" i="74"/>
  <c r="E9" i="74"/>
  <c r="D9" i="74"/>
  <c r="C9" i="74"/>
  <c r="B9" i="74"/>
  <c r="A9" i="74"/>
  <c r="E8" i="74"/>
  <c r="D8" i="74"/>
  <c r="C8" i="74"/>
  <c r="B8" i="74"/>
  <c r="A8" i="74"/>
  <c r="E6" i="74"/>
  <c r="D6" i="74"/>
  <c r="C6" i="74"/>
  <c r="B6" i="74"/>
  <c r="A6" i="74"/>
  <c r="E5" i="74"/>
  <c r="D5" i="74"/>
  <c r="C5" i="74"/>
  <c r="B5" i="74"/>
  <c r="A5" i="74"/>
  <c r="E4" i="74"/>
  <c r="D4" i="74"/>
  <c r="C4" i="74"/>
  <c r="B4" i="74"/>
  <c r="A4" i="74"/>
  <c r="N154" i="74"/>
  <c r="E3" i="74"/>
  <c r="D3" i="74"/>
  <c r="C3" i="74"/>
  <c r="B3" i="74"/>
  <c r="A3" i="74"/>
  <c r="N160" i="74" l="1"/>
  <c r="N172" i="74"/>
  <c r="G159" i="74"/>
  <c r="G171" i="74"/>
  <c r="N161" i="74"/>
  <c r="N173" i="74"/>
  <c r="G160" i="74"/>
  <c r="G172" i="74"/>
  <c r="N162" i="74"/>
  <c r="N174" i="74"/>
  <c r="G161" i="74"/>
  <c r="G173" i="74"/>
  <c r="N163" i="74"/>
  <c r="N175" i="74"/>
  <c r="G162" i="74"/>
  <c r="G174" i="74"/>
  <c r="N164" i="74"/>
  <c r="N176" i="74"/>
  <c r="G163" i="74"/>
  <c r="G175" i="74"/>
  <c r="N165" i="74"/>
  <c r="N177" i="74"/>
  <c r="G164" i="74"/>
  <c r="G176" i="74"/>
  <c r="N166" i="74"/>
  <c r="N178" i="74"/>
  <c r="G165" i="74"/>
  <c r="G177" i="74"/>
  <c r="N167" i="74"/>
  <c r="N179" i="74"/>
  <c r="G166" i="74"/>
  <c r="G178" i="74"/>
  <c r="N169" i="74"/>
  <c r="G168" i="74"/>
  <c r="G158" i="74"/>
  <c r="G170" i="74"/>
  <c r="G179" i="74"/>
  <c r="N159" i="74"/>
  <c r="N168" i="74"/>
  <c r="N170" i="74"/>
  <c r="N171" i="74"/>
  <c r="N158" i="74"/>
  <c r="G167" i="74"/>
  <c r="G169" i="74"/>
  <c r="K205" i="72"/>
  <c r="AW221" i="72"/>
  <c r="AW215" i="72"/>
  <c r="AW187" i="72"/>
  <c r="AW13" i="72"/>
  <c r="AW220" i="72"/>
  <c r="AW214" i="72"/>
  <c r="AW192" i="72"/>
  <c r="AW186" i="72"/>
  <c r="AW12" i="72"/>
  <c r="AW219" i="72"/>
  <c r="AW191" i="72"/>
  <c r="AW185" i="72"/>
  <c r="AW11" i="72"/>
  <c r="AW218" i="72"/>
  <c r="AW190" i="72"/>
  <c r="AW16" i="72"/>
  <c r="AW217" i="72"/>
  <c r="AW189" i="72"/>
  <c r="AW15" i="72"/>
  <c r="AW188" i="72"/>
  <c r="AW14" i="72"/>
  <c r="AW216" i="72"/>
  <c r="K155" i="72"/>
  <c r="K9" i="72"/>
  <c r="K206" i="72"/>
  <c r="K219" i="72"/>
  <c r="K56" i="72"/>
  <c r="K172" i="72"/>
  <c r="R172" i="72" s="1"/>
  <c r="K189" i="72"/>
  <c r="R189" i="72" s="1"/>
  <c r="K116" i="72"/>
  <c r="R116" i="72" s="1"/>
  <c r="K60" i="72"/>
  <c r="K73" i="72"/>
  <c r="K82" i="72"/>
  <c r="R82" i="72" s="1"/>
  <c r="K13" i="72"/>
  <c r="K22" i="72"/>
  <c r="R22" i="72" s="1"/>
  <c r="K39" i="72"/>
  <c r="K129" i="72"/>
  <c r="R129" i="72" s="1"/>
  <c r="K163" i="72"/>
  <c r="R163" i="72" s="1"/>
  <c r="K185" i="72"/>
  <c r="R185" i="72" s="1"/>
  <c r="K90" i="72"/>
  <c r="K26" i="72"/>
  <c r="R26" i="72" s="1"/>
  <c r="K30" i="72"/>
  <c r="K43" i="72"/>
  <c r="K133" i="72"/>
  <c r="R133" i="72" s="1"/>
  <c r="K69" i="72"/>
  <c r="R69" i="72" s="1"/>
  <c r="K11" i="72"/>
  <c r="K202" i="72"/>
  <c r="K99" i="72"/>
  <c r="K112" i="72"/>
  <c r="R112" i="72" s="1"/>
  <c r="K52" i="72"/>
  <c r="R52" i="72" s="1"/>
  <c r="K146" i="72"/>
  <c r="R146" i="72" s="1"/>
  <c r="K10" i="72"/>
  <c r="K27" i="72"/>
  <c r="K44" i="72"/>
  <c r="K61" i="72"/>
  <c r="K83" i="72"/>
  <c r="R83" i="72" s="1"/>
  <c r="K100" i="72"/>
  <c r="K117" i="72"/>
  <c r="R117" i="72" s="1"/>
  <c r="K134" i="72"/>
  <c r="R134" i="72" s="1"/>
  <c r="K156" i="72"/>
  <c r="R156" i="72" s="1"/>
  <c r="K173" i="72"/>
  <c r="R173" i="72" s="1"/>
  <c r="K190" i="72"/>
  <c r="R190" i="72" s="1"/>
  <c r="K207" i="72"/>
  <c r="K67" i="72"/>
  <c r="R67" i="72" s="1"/>
  <c r="K101" i="72"/>
  <c r="K140" i="72"/>
  <c r="R140" i="72" s="1"/>
  <c r="K157" i="72"/>
  <c r="R157" i="72" s="1"/>
  <c r="K174" i="72"/>
  <c r="R174" i="72" s="1"/>
  <c r="K191" i="72"/>
  <c r="R191" i="72" s="1"/>
  <c r="K213" i="72"/>
  <c r="K28" i="72"/>
  <c r="K45" i="72"/>
  <c r="K84" i="72"/>
  <c r="R84" i="72" s="1"/>
  <c r="K118" i="72"/>
  <c r="R118" i="72" s="1"/>
  <c r="K12" i="72"/>
  <c r="K29" i="72"/>
  <c r="K46" i="72"/>
  <c r="K68" i="72"/>
  <c r="R68" i="72" s="1"/>
  <c r="K85" i="72"/>
  <c r="R85" i="72" s="1"/>
  <c r="K102" i="72"/>
  <c r="K119" i="72"/>
  <c r="R119" i="72" s="1"/>
  <c r="K141" i="72"/>
  <c r="R141" i="72" s="1"/>
  <c r="K158" i="72"/>
  <c r="R158" i="72" s="1"/>
  <c r="K175" i="72"/>
  <c r="R175" i="72" s="1"/>
  <c r="K192" i="72"/>
  <c r="R192" i="72" s="1"/>
  <c r="K214" i="72"/>
  <c r="K120" i="72"/>
  <c r="R120" i="72" s="1"/>
  <c r="K142" i="72"/>
  <c r="R142" i="72" s="1"/>
  <c r="K198" i="72"/>
  <c r="K14" i="72"/>
  <c r="K31" i="72"/>
  <c r="K53" i="72"/>
  <c r="K70" i="72"/>
  <c r="R70" i="72" s="1"/>
  <c r="K87" i="72"/>
  <c r="R87" i="72" s="1"/>
  <c r="K104" i="72"/>
  <c r="K126" i="72"/>
  <c r="K143" i="72"/>
  <c r="R143" i="72" s="1"/>
  <c r="K160" i="72"/>
  <c r="R160" i="72" s="1"/>
  <c r="K177" i="72"/>
  <c r="R177" i="72" s="1"/>
  <c r="K199" i="72"/>
  <c r="K216" i="72"/>
  <c r="K103" i="72"/>
  <c r="K159" i="72"/>
  <c r="R159" i="72" s="1"/>
  <c r="K215" i="72"/>
  <c r="K15" i="72"/>
  <c r="K37" i="72"/>
  <c r="K54" i="72"/>
  <c r="K71" i="72"/>
  <c r="R71" i="72" s="1"/>
  <c r="K88" i="72"/>
  <c r="R88" i="72" s="1"/>
  <c r="K105" i="72"/>
  <c r="K127" i="72"/>
  <c r="R127" i="72" s="1"/>
  <c r="K144" i="72"/>
  <c r="R144" i="72" s="1"/>
  <c r="K161" i="72"/>
  <c r="R161" i="72" s="1"/>
  <c r="K178" i="72"/>
  <c r="R178" i="72" s="1"/>
  <c r="K200" i="72"/>
  <c r="K217" i="72"/>
  <c r="K86" i="72"/>
  <c r="R86" i="72" s="1"/>
  <c r="K176" i="72"/>
  <c r="R176" i="72" s="1"/>
  <c r="K16" i="72"/>
  <c r="K38" i="72"/>
  <c r="K55" i="72"/>
  <c r="K72" i="72"/>
  <c r="R72" i="72" s="1"/>
  <c r="K89" i="72"/>
  <c r="R89" i="72" s="1"/>
  <c r="K106" i="72"/>
  <c r="K128" i="72"/>
  <c r="R128" i="72" s="1"/>
  <c r="K145" i="72"/>
  <c r="R145" i="72" s="1"/>
  <c r="K162" i="72"/>
  <c r="R162" i="72" s="1"/>
  <c r="K184" i="72"/>
  <c r="R184" i="72" s="1"/>
  <c r="K201" i="72"/>
  <c r="K218" i="72"/>
  <c r="K23" i="72"/>
  <c r="R23" i="72" s="1"/>
  <c r="K40" i="72"/>
  <c r="K57" i="72"/>
  <c r="K74" i="72"/>
  <c r="K91" i="72"/>
  <c r="K113" i="72"/>
  <c r="R113" i="72" s="1"/>
  <c r="K130" i="72"/>
  <c r="R130" i="72" s="1"/>
  <c r="K147" i="72"/>
  <c r="R147" i="72" s="1"/>
  <c r="K164" i="72"/>
  <c r="R164" i="72" s="1"/>
  <c r="K186" i="72"/>
  <c r="R186" i="72" s="1"/>
  <c r="K203" i="72"/>
  <c r="K220" i="72"/>
  <c r="K41" i="72"/>
  <c r="K75" i="72"/>
  <c r="K114" i="72"/>
  <c r="R114" i="72" s="1"/>
  <c r="K131" i="72"/>
  <c r="R131" i="72" s="1"/>
  <c r="K148" i="72"/>
  <c r="R148" i="72" s="1"/>
  <c r="K170" i="72"/>
  <c r="R170" i="72" s="1"/>
  <c r="K187" i="72"/>
  <c r="R187" i="72" s="1"/>
  <c r="K204" i="72"/>
  <c r="K221" i="72"/>
  <c r="K7" i="72"/>
  <c r="K24" i="72"/>
  <c r="R24" i="72" s="1"/>
  <c r="K58" i="72"/>
  <c r="K97" i="72"/>
  <c r="K8" i="72"/>
  <c r="K25" i="72"/>
  <c r="R25" i="72" s="1"/>
  <c r="K42" i="72"/>
  <c r="K59" i="72"/>
  <c r="K76" i="72"/>
  <c r="K98" i="72"/>
  <c r="K115" i="72"/>
  <c r="R115" i="72" s="1"/>
  <c r="K132" i="72"/>
  <c r="R132" i="72" s="1"/>
  <c r="K149" i="72"/>
  <c r="R149" i="72" s="1"/>
  <c r="K171" i="72"/>
  <c r="R171" i="72" s="1"/>
  <c r="K188" i="72"/>
  <c r="R188" i="72" s="1"/>
  <c r="R155" i="72"/>
  <c r="R126" i="72"/>
  <c r="N180" i="74" l="1"/>
  <c r="N181" i="74" s="1"/>
  <c r="G180" i="74"/>
  <c r="G181" i="74" s="1"/>
  <c r="R97" i="72"/>
  <c r="Y97" i="72"/>
  <c r="C338" i="77"/>
  <c r="D16" i="38"/>
  <c r="D47" i="38" s="1"/>
  <c r="G17" i="62"/>
  <c r="F17" i="62"/>
  <c r="E17" i="62"/>
  <c r="R153" i="73"/>
  <c r="Q153" i="73"/>
  <c r="P153" i="73"/>
  <c r="O153" i="73"/>
  <c r="N153" i="73"/>
  <c r="M153" i="73"/>
  <c r="K153" i="73"/>
  <c r="J153" i="73"/>
  <c r="I153" i="73"/>
  <c r="H153" i="73"/>
  <c r="G153" i="73"/>
  <c r="F153" i="73"/>
  <c r="E96" i="73"/>
  <c r="D96" i="73"/>
  <c r="C96" i="73"/>
  <c r="B96" i="73"/>
  <c r="A96" i="73"/>
  <c r="E94" i="73"/>
  <c r="C94" i="73"/>
  <c r="B94" i="73"/>
  <c r="A94" i="73"/>
  <c r="E93" i="73"/>
  <c r="C93" i="73"/>
  <c r="B93" i="73"/>
  <c r="A93" i="73"/>
  <c r="E92" i="73"/>
  <c r="C92" i="73"/>
  <c r="B92" i="73"/>
  <c r="A92" i="73"/>
  <c r="E91" i="73"/>
  <c r="C91" i="73"/>
  <c r="B91" i="73"/>
  <c r="A91" i="73"/>
  <c r="E90" i="73"/>
  <c r="C90" i="73"/>
  <c r="B90" i="73"/>
  <c r="A90" i="73"/>
  <c r="E89" i="73"/>
  <c r="C89" i="73"/>
  <c r="B89" i="73"/>
  <c r="A89" i="73"/>
  <c r="E88" i="73"/>
  <c r="C88" i="73"/>
  <c r="B88" i="73"/>
  <c r="A88" i="73"/>
  <c r="E87" i="73"/>
  <c r="C87" i="73"/>
  <c r="B87" i="73"/>
  <c r="A87" i="73"/>
  <c r="E86" i="73"/>
  <c r="C86" i="73"/>
  <c r="B86" i="73"/>
  <c r="A86" i="73"/>
  <c r="E85" i="73"/>
  <c r="D85" i="73"/>
  <c r="C85" i="73"/>
  <c r="B85" i="73"/>
  <c r="A85" i="73"/>
  <c r="E83" i="73"/>
  <c r="D83" i="73"/>
  <c r="C83" i="73"/>
  <c r="B83" i="73"/>
  <c r="E81" i="73"/>
  <c r="D81" i="73"/>
  <c r="C81" i="73"/>
  <c r="B81" i="73"/>
  <c r="A81" i="73"/>
  <c r="E79" i="73"/>
  <c r="D79" i="73"/>
  <c r="C79" i="73"/>
  <c r="B79" i="73"/>
  <c r="A79" i="73"/>
  <c r="E77" i="73"/>
  <c r="D77" i="73"/>
  <c r="C77" i="73"/>
  <c r="B77" i="73"/>
  <c r="E75" i="73"/>
  <c r="D75" i="73"/>
  <c r="C75" i="73"/>
  <c r="B75" i="73"/>
  <c r="A75" i="73"/>
  <c r="E73" i="73"/>
  <c r="C73" i="73"/>
  <c r="B73" i="73"/>
  <c r="A73" i="73"/>
  <c r="E72" i="73"/>
  <c r="C72" i="73"/>
  <c r="B72" i="73"/>
  <c r="A72" i="73"/>
  <c r="E71" i="73"/>
  <c r="C71" i="73"/>
  <c r="B71" i="73"/>
  <c r="A71" i="73"/>
  <c r="E70" i="73"/>
  <c r="C70" i="73"/>
  <c r="B70" i="73"/>
  <c r="A70" i="73"/>
  <c r="E69" i="73"/>
  <c r="C69" i="73"/>
  <c r="B69" i="73"/>
  <c r="A69" i="73"/>
  <c r="E68" i="73"/>
  <c r="C68" i="73"/>
  <c r="B68" i="73"/>
  <c r="A68" i="73"/>
  <c r="E67" i="73"/>
  <c r="C67" i="73"/>
  <c r="B67" i="73"/>
  <c r="A67" i="73"/>
  <c r="E66" i="73"/>
  <c r="C66" i="73"/>
  <c r="B66" i="73"/>
  <c r="A66" i="73"/>
  <c r="E65" i="73"/>
  <c r="C65" i="73"/>
  <c r="B65" i="73"/>
  <c r="A65" i="73"/>
  <c r="E64" i="73"/>
  <c r="D64" i="73"/>
  <c r="C64" i="73"/>
  <c r="B64" i="73"/>
  <c r="A64" i="73"/>
  <c r="E62" i="73"/>
  <c r="C62" i="73"/>
  <c r="B62" i="73"/>
  <c r="A62" i="73"/>
  <c r="E61" i="73"/>
  <c r="C61" i="73"/>
  <c r="B61" i="73"/>
  <c r="A61" i="73"/>
  <c r="E60" i="73"/>
  <c r="C60" i="73"/>
  <c r="B60" i="73"/>
  <c r="A60" i="73"/>
  <c r="E59" i="73"/>
  <c r="C59" i="73"/>
  <c r="B59" i="73"/>
  <c r="A59" i="73"/>
  <c r="E58" i="73"/>
  <c r="C58" i="73"/>
  <c r="B58" i="73"/>
  <c r="A58" i="73"/>
  <c r="E57" i="73"/>
  <c r="C57" i="73"/>
  <c r="B57" i="73"/>
  <c r="A57" i="73"/>
  <c r="E56" i="73"/>
  <c r="C56" i="73"/>
  <c r="B56" i="73"/>
  <c r="A56" i="73"/>
  <c r="E55" i="73"/>
  <c r="C55" i="73"/>
  <c r="B55" i="73"/>
  <c r="A55" i="73"/>
  <c r="E54" i="73"/>
  <c r="C54" i="73"/>
  <c r="B54" i="73"/>
  <c r="A54" i="73"/>
  <c r="E53" i="73"/>
  <c r="D53" i="73"/>
  <c r="C53" i="73"/>
  <c r="B53" i="73"/>
  <c r="A53" i="73"/>
  <c r="E51" i="73"/>
  <c r="D51" i="73"/>
  <c r="C51" i="73"/>
  <c r="B51" i="73"/>
  <c r="A51" i="73"/>
  <c r="E50" i="73"/>
  <c r="D50" i="73"/>
  <c r="C50" i="73"/>
  <c r="B50" i="73"/>
  <c r="A50" i="73"/>
  <c r="E48" i="73"/>
  <c r="D48" i="73"/>
  <c r="C48" i="73"/>
  <c r="B48" i="73"/>
  <c r="A48" i="73"/>
  <c r="E47" i="73"/>
  <c r="D47" i="73"/>
  <c r="C47" i="73"/>
  <c r="B47" i="73"/>
  <c r="A47" i="73"/>
  <c r="E46" i="73"/>
  <c r="D46" i="73"/>
  <c r="C46" i="73"/>
  <c r="B46" i="73"/>
  <c r="A46" i="73"/>
  <c r="E45" i="73"/>
  <c r="D45" i="73"/>
  <c r="C45" i="73"/>
  <c r="B45" i="73"/>
  <c r="A45" i="73"/>
  <c r="E44" i="73"/>
  <c r="D44" i="73"/>
  <c r="C44" i="73"/>
  <c r="B44" i="73"/>
  <c r="A44" i="73"/>
  <c r="E43" i="73"/>
  <c r="D43" i="73"/>
  <c r="C43" i="73"/>
  <c r="B43" i="73"/>
  <c r="A43" i="73"/>
  <c r="E42" i="73"/>
  <c r="D42" i="73"/>
  <c r="C42" i="73"/>
  <c r="B42" i="73"/>
  <c r="A42" i="73"/>
  <c r="E41" i="73"/>
  <c r="D41" i="73"/>
  <c r="C41" i="73"/>
  <c r="B41" i="73"/>
  <c r="A41" i="73"/>
  <c r="E40" i="73"/>
  <c r="D40" i="73"/>
  <c r="C40" i="73"/>
  <c r="B40" i="73"/>
  <c r="A40" i="73"/>
  <c r="E38" i="73"/>
  <c r="D38" i="73"/>
  <c r="C38" i="73"/>
  <c r="B38" i="73"/>
  <c r="A38" i="73"/>
  <c r="E37" i="73"/>
  <c r="D37" i="73"/>
  <c r="C37" i="73"/>
  <c r="B37" i="73"/>
  <c r="A37" i="73"/>
  <c r="E36" i="73"/>
  <c r="D36" i="73"/>
  <c r="C36" i="73"/>
  <c r="B36" i="73"/>
  <c r="A36" i="73"/>
  <c r="E35" i="73"/>
  <c r="D35" i="73"/>
  <c r="C35" i="73"/>
  <c r="B35" i="73"/>
  <c r="A35" i="73"/>
  <c r="E34" i="73"/>
  <c r="D34" i="73"/>
  <c r="C34" i="73"/>
  <c r="B34" i="73"/>
  <c r="A34" i="73"/>
  <c r="E33" i="73"/>
  <c r="D33" i="73"/>
  <c r="C33" i="73"/>
  <c r="B33" i="73"/>
  <c r="A33" i="73"/>
  <c r="E32" i="73"/>
  <c r="D32" i="73"/>
  <c r="C32" i="73"/>
  <c r="B32" i="73"/>
  <c r="A32" i="73"/>
  <c r="E31" i="73"/>
  <c r="D31" i="73"/>
  <c r="C31" i="73"/>
  <c r="B31" i="73"/>
  <c r="A31" i="73"/>
  <c r="E30" i="73"/>
  <c r="D30" i="73"/>
  <c r="C30" i="73"/>
  <c r="B30" i="73"/>
  <c r="A30" i="73"/>
  <c r="E28" i="73"/>
  <c r="D28" i="73"/>
  <c r="C28" i="73"/>
  <c r="B28" i="73"/>
  <c r="A28" i="73"/>
  <c r="E27" i="73"/>
  <c r="D27" i="73"/>
  <c r="C27" i="73"/>
  <c r="B27" i="73"/>
  <c r="A27" i="73"/>
  <c r="E26" i="73"/>
  <c r="D26" i="73"/>
  <c r="C26" i="73"/>
  <c r="B26" i="73"/>
  <c r="A26" i="73"/>
  <c r="E25" i="73"/>
  <c r="D25" i="73"/>
  <c r="C25" i="73"/>
  <c r="B25" i="73"/>
  <c r="A25" i="73"/>
  <c r="E24" i="73"/>
  <c r="D24" i="73"/>
  <c r="C24" i="73"/>
  <c r="B24" i="73"/>
  <c r="A24" i="73"/>
  <c r="E23" i="73"/>
  <c r="D23" i="73"/>
  <c r="C23" i="73"/>
  <c r="B23" i="73"/>
  <c r="A23" i="73"/>
  <c r="E22" i="73"/>
  <c r="D22" i="73"/>
  <c r="C22" i="73"/>
  <c r="B22" i="73"/>
  <c r="A22" i="73"/>
  <c r="E21" i="73"/>
  <c r="D21" i="73"/>
  <c r="C21" i="73"/>
  <c r="B21" i="73"/>
  <c r="A21" i="73"/>
  <c r="E20" i="73"/>
  <c r="D20" i="73"/>
  <c r="C20" i="73"/>
  <c r="B20" i="73"/>
  <c r="A20" i="73"/>
  <c r="E18" i="73"/>
  <c r="D18" i="73"/>
  <c r="C18" i="73"/>
  <c r="B18" i="73"/>
  <c r="A18" i="73"/>
  <c r="E17" i="73"/>
  <c r="D17" i="73"/>
  <c r="C17" i="73"/>
  <c r="B17" i="73"/>
  <c r="A17" i="73"/>
  <c r="E16" i="73"/>
  <c r="D16" i="73"/>
  <c r="C16" i="73"/>
  <c r="B16" i="73"/>
  <c r="A16" i="73"/>
  <c r="E15" i="73"/>
  <c r="D15" i="73"/>
  <c r="C15" i="73"/>
  <c r="B15" i="73"/>
  <c r="A15" i="73"/>
  <c r="E14" i="73"/>
  <c r="D14" i="73"/>
  <c r="C14" i="73"/>
  <c r="B14" i="73"/>
  <c r="A14" i="73"/>
  <c r="E13" i="73"/>
  <c r="D13" i="73"/>
  <c r="C13" i="73"/>
  <c r="B13" i="73"/>
  <c r="A13" i="73"/>
  <c r="E11" i="73"/>
  <c r="D11" i="73"/>
  <c r="C11" i="73"/>
  <c r="B11" i="73"/>
  <c r="A11" i="73"/>
  <c r="E10" i="73"/>
  <c r="D10" i="73"/>
  <c r="C10" i="73"/>
  <c r="B10" i="73"/>
  <c r="A10" i="73"/>
  <c r="E9" i="73"/>
  <c r="D9" i="73"/>
  <c r="C9" i="73"/>
  <c r="B9" i="73"/>
  <c r="A9" i="73"/>
  <c r="E8" i="73"/>
  <c r="D8" i="73"/>
  <c r="C8" i="73"/>
  <c r="B8" i="73"/>
  <c r="A8" i="73"/>
  <c r="E6" i="73"/>
  <c r="D6" i="73"/>
  <c r="C6" i="73"/>
  <c r="B6" i="73"/>
  <c r="A6" i="73"/>
  <c r="E5" i="73"/>
  <c r="D5" i="73"/>
  <c r="C5" i="73"/>
  <c r="B5" i="73"/>
  <c r="A5" i="73"/>
  <c r="E4" i="73"/>
  <c r="D4" i="73"/>
  <c r="C4" i="73"/>
  <c r="B4" i="73"/>
  <c r="A4" i="73"/>
  <c r="E3" i="73"/>
  <c r="D3" i="73"/>
  <c r="C3" i="73"/>
  <c r="B3" i="73"/>
  <c r="A3" i="73"/>
  <c r="F150" i="73"/>
  <c r="R98" i="72"/>
  <c r="R99" i="72"/>
  <c r="R100" i="72"/>
  <c r="R101" i="72"/>
  <c r="R102" i="72"/>
  <c r="R103" i="72"/>
  <c r="R104" i="72"/>
  <c r="R105" i="72"/>
  <c r="R106" i="72"/>
  <c r="P221" i="72"/>
  <c r="AD221" i="72" s="1"/>
  <c r="G221" i="72"/>
  <c r="N221" i="72" s="1"/>
  <c r="U221" i="72" s="1"/>
  <c r="AB221" i="72" s="1"/>
  <c r="P220" i="72"/>
  <c r="G220" i="72"/>
  <c r="N220" i="72" s="1"/>
  <c r="U220" i="72" s="1"/>
  <c r="AB220" i="72" s="1"/>
  <c r="P219" i="72"/>
  <c r="W219" i="72" s="1"/>
  <c r="G219" i="72"/>
  <c r="N219" i="72" s="1"/>
  <c r="U219" i="72" s="1"/>
  <c r="AB219" i="72" s="1"/>
  <c r="P218" i="72"/>
  <c r="AD218" i="72" s="1"/>
  <c r="G218" i="72"/>
  <c r="N218" i="72" s="1"/>
  <c r="U218" i="72" s="1"/>
  <c r="AB218" i="72" s="1"/>
  <c r="P217" i="72"/>
  <c r="G217" i="72"/>
  <c r="N217" i="72" s="1"/>
  <c r="U217" i="72" s="1"/>
  <c r="AB217" i="72" s="1"/>
  <c r="P216" i="72"/>
  <c r="AD216" i="72" s="1"/>
  <c r="G216" i="72"/>
  <c r="N216" i="72" s="1"/>
  <c r="U216" i="72" s="1"/>
  <c r="AB216" i="72" s="1"/>
  <c r="P215" i="72"/>
  <c r="W215" i="72" s="1"/>
  <c r="G215" i="72"/>
  <c r="N215" i="72" s="1"/>
  <c r="U215" i="72" s="1"/>
  <c r="AB215" i="72" s="1"/>
  <c r="P214" i="72"/>
  <c r="W214" i="72" s="1"/>
  <c r="G214" i="72"/>
  <c r="N214" i="72" s="1"/>
  <c r="U214" i="72" s="1"/>
  <c r="AB214" i="72" s="1"/>
  <c r="P213" i="72"/>
  <c r="W213" i="72" s="1"/>
  <c r="G213" i="72"/>
  <c r="N213" i="72" s="1"/>
  <c r="U213" i="72" s="1"/>
  <c r="AB213" i="72" s="1"/>
  <c r="O209" i="72"/>
  <c r="V209" i="72" s="1"/>
  <c r="AC209" i="72" s="1"/>
  <c r="N209" i="72"/>
  <c r="U209" i="72" s="1"/>
  <c r="AB209" i="72" s="1"/>
  <c r="P207" i="72"/>
  <c r="W207" i="72" s="1"/>
  <c r="G207" i="72"/>
  <c r="N207" i="72" s="1"/>
  <c r="U207" i="72" s="1"/>
  <c r="AB207" i="72" s="1"/>
  <c r="P206" i="72"/>
  <c r="G206" i="72"/>
  <c r="N206" i="72" s="1"/>
  <c r="U206" i="72" s="1"/>
  <c r="AB206" i="72" s="1"/>
  <c r="P205" i="72"/>
  <c r="W205" i="72" s="1"/>
  <c r="G205" i="72"/>
  <c r="N205" i="72" s="1"/>
  <c r="U205" i="72" s="1"/>
  <c r="AB205" i="72" s="1"/>
  <c r="P204" i="72"/>
  <c r="W204" i="72" s="1"/>
  <c r="G204" i="72"/>
  <c r="N204" i="72" s="1"/>
  <c r="U204" i="72" s="1"/>
  <c r="AB204" i="72" s="1"/>
  <c r="P203" i="72"/>
  <c r="AD203" i="72" s="1"/>
  <c r="G203" i="72"/>
  <c r="N203" i="72" s="1"/>
  <c r="U203" i="72" s="1"/>
  <c r="AB203" i="72" s="1"/>
  <c r="P202" i="72"/>
  <c r="AD202" i="72" s="1"/>
  <c r="G202" i="72"/>
  <c r="N202" i="72" s="1"/>
  <c r="U202" i="72" s="1"/>
  <c r="AB202" i="72" s="1"/>
  <c r="P201" i="72"/>
  <c r="AD201" i="72" s="1"/>
  <c r="G201" i="72"/>
  <c r="N201" i="72" s="1"/>
  <c r="U201" i="72" s="1"/>
  <c r="AB201" i="72" s="1"/>
  <c r="P200" i="72"/>
  <c r="AD200" i="72" s="1"/>
  <c r="G200" i="72"/>
  <c r="N200" i="72" s="1"/>
  <c r="U200" i="72" s="1"/>
  <c r="AB200" i="72" s="1"/>
  <c r="P199" i="72"/>
  <c r="G199" i="72"/>
  <c r="N199" i="72" s="1"/>
  <c r="U199" i="72" s="1"/>
  <c r="AB199" i="72" s="1"/>
  <c r="P198" i="72"/>
  <c r="W198" i="72" s="1"/>
  <c r="G198" i="72"/>
  <c r="N198" i="72" s="1"/>
  <c r="U198" i="72" s="1"/>
  <c r="AB198" i="72" s="1"/>
  <c r="O194" i="72"/>
  <c r="V194" i="72" s="1"/>
  <c r="AC194" i="72" s="1"/>
  <c r="N194" i="72"/>
  <c r="U194" i="72" s="1"/>
  <c r="AB194" i="72" s="1"/>
  <c r="AB193" i="72"/>
  <c r="Q192" i="72"/>
  <c r="P192" i="72"/>
  <c r="AD192" i="72" s="1"/>
  <c r="G192" i="72"/>
  <c r="N192" i="72" s="1"/>
  <c r="U192" i="72" s="1"/>
  <c r="AB192" i="72" s="1"/>
  <c r="Q191" i="72"/>
  <c r="P191" i="72"/>
  <c r="AD191" i="72" s="1"/>
  <c r="G191" i="72"/>
  <c r="N191" i="72" s="1"/>
  <c r="U191" i="72" s="1"/>
  <c r="AB191" i="72" s="1"/>
  <c r="Q190" i="72"/>
  <c r="P190" i="72"/>
  <c r="G190" i="72"/>
  <c r="N190" i="72" s="1"/>
  <c r="U190" i="72" s="1"/>
  <c r="AB190" i="72" s="1"/>
  <c r="Q189" i="72"/>
  <c r="P189" i="72"/>
  <c r="W189" i="72" s="1"/>
  <c r="G189" i="72"/>
  <c r="N189" i="72" s="1"/>
  <c r="U189" i="72" s="1"/>
  <c r="AB189" i="72" s="1"/>
  <c r="Q188" i="72"/>
  <c r="P188" i="72"/>
  <c r="AD188" i="72" s="1"/>
  <c r="G188" i="72"/>
  <c r="N188" i="72" s="1"/>
  <c r="U188" i="72" s="1"/>
  <c r="AB188" i="72" s="1"/>
  <c r="Q187" i="72"/>
  <c r="P187" i="72"/>
  <c r="G187" i="72"/>
  <c r="N187" i="72" s="1"/>
  <c r="U187" i="72" s="1"/>
  <c r="AB187" i="72" s="1"/>
  <c r="Q186" i="72"/>
  <c r="P186" i="72"/>
  <c r="AD186" i="72" s="1"/>
  <c r="G186" i="72"/>
  <c r="N186" i="72" s="1"/>
  <c r="U186" i="72" s="1"/>
  <c r="AB186" i="72" s="1"/>
  <c r="Q185" i="72"/>
  <c r="P185" i="72"/>
  <c r="AD185" i="72" s="1"/>
  <c r="G185" i="72"/>
  <c r="N185" i="72" s="1"/>
  <c r="U185" i="72" s="1"/>
  <c r="AB185" i="72" s="1"/>
  <c r="P184" i="72"/>
  <c r="AD184" i="72" s="1"/>
  <c r="G184" i="72"/>
  <c r="N184" i="72" s="1"/>
  <c r="U184" i="72" s="1"/>
  <c r="AB184" i="72" s="1"/>
  <c r="O180" i="72"/>
  <c r="V180" i="72" s="1"/>
  <c r="AC180" i="72" s="1"/>
  <c r="N180" i="72"/>
  <c r="U180" i="72" s="1"/>
  <c r="AB180" i="72" s="1"/>
  <c r="Q178" i="72"/>
  <c r="P178" i="72"/>
  <c r="G178" i="72"/>
  <c r="N178" i="72" s="1"/>
  <c r="U178" i="72" s="1"/>
  <c r="AB178" i="72" s="1"/>
  <c r="Q177" i="72"/>
  <c r="P177" i="72"/>
  <c r="W177" i="72" s="1"/>
  <c r="G177" i="72"/>
  <c r="N177" i="72" s="1"/>
  <c r="U177" i="72" s="1"/>
  <c r="AB177" i="72" s="1"/>
  <c r="Q176" i="72"/>
  <c r="P176" i="72"/>
  <c r="G176" i="72"/>
  <c r="N176" i="72" s="1"/>
  <c r="U176" i="72" s="1"/>
  <c r="AB176" i="72" s="1"/>
  <c r="Q175" i="72"/>
  <c r="P175" i="72"/>
  <c r="G175" i="72"/>
  <c r="N175" i="72" s="1"/>
  <c r="U175" i="72" s="1"/>
  <c r="AB175" i="72" s="1"/>
  <c r="Q174" i="72"/>
  <c r="P174" i="72"/>
  <c r="AD174" i="72" s="1"/>
  <c r="G174" i="72"/>
  <c r="N174" i="72" s="1"/>
  <c r="U174" i="72" s="1"/>
  <c r="AB174" i="72" s="1"/>
  <c r="Q173" i="72"/>
  <c r="P173" i="72"/>
  <c r="AD173" i="72" s="1"/>
  <c r="G173" i="72"/>
  <c r="N173" i="72" s="1"/>
  <c r="U173" i="72" s="1"/>
  <c r="AB173" i="72" s="1"/>
  <c r="Q172" i="72"/>
  <c r="P172" i="72"/>
  <c r="AD172" i="72" s="1"/>
  <c r="G172" i="72"/>
  <c r="N172" i="72" s="1"/>
  <c r="U172" i="72" s="1"/>
  <c r="AB172" i="72" s="1"/>
  <c r="Q171" i="72"/>
  <c r="P171" i="72"/>
  <c r="G171" i="72"/>
  <c r="N171" i="72" s="1"/>
  <c r="U171" i="72" s="1"/>
  <c r="AB171" i="72" s="1"/>
  <c r="P170" i="72"/>
  <c r="G170" i="72"/>
  <c r="N170" i="72" s="1"/>
  <c r="U170" i="72" s="1"/>
  <c r="AB170" i="72" s="1"/>
  <c r="O166" i="72"/>
  <c r="V166" i="72" s="1"/>
  <c r="AC166" i="72" s="1"/>
  <c r="N166" i="72"/>
  <c r="U166" i="72" s="1"/>
  <c r="AB166" i="72" s="1"/>
  <c r="Q164" i="72"/>
  <c r="P164" i="72"/>
  <c r="W164" i="72" s="1"/>
  <c r="G164" i="72"/>
  <c r="N164" i="72" s="1"/>
  <c r="U164" i="72" s="1"/>
  <c r="AB164" i="72" s="1"/>
  <c r="Q163" i="72"/>
  <c r="P163" i="72"/>
  <c r="W163" i="72" s="1"/>
  <c r="G163" i="72"/>
  <c r="N163" i="72" s="1"/>
  <c r="U163" i="72" s="1"/>
  <c r="AB163" i="72" s="1"/>
  <c r="Q162" i="72"/>
  <c r="P162" i="72"/>
  <c r="AD162" i="72" s="1"/>
  <c r="G162" i="72"/>
  <c r="N162" i="72" s="1"/>
  <c r="U162" i="72" s="1"/>
  <c r="AB162" i="72" s="1"/>
  <c r="Q161" i="72"/>
  <c r="P161" i="72"/>
  <c r="AD161" i="72" s="1"/>
  <c r="G161" i="72"/>
  <c r="N161" i="72" s="1"/>
  <c r="U161" i="72" s="1"/>
  <c r="AB161" i="72" s="1"/>
  <c r="Q160" i="72"/>
  <c r="P160" i="72"/>
  <c r="AD160" i="72" s="1"/>
  <c r="G160" i="72"/>
  <c r="N160" i="72" s="1"/>
  <c r="U160" i="72" s="1"/>
  <c r="AB160" i="72" s="1"/>
  <c r="Q159" i="72"/>
  <c r="P159" i="72"/>
  <c r="G159" i="72"/>
  <c r="N159" i="72" s="1"/>
  <c r="U159" i="72" s="1"/>
  <c r="AB159" i="72" s="1"/>
  <c r="Q158" i="72"/>
  <c r="P158" i="72"/>
  <c r="AD158" i="72" s="1"/>
  <c r="G158" i="72"/>
  <c r="N158" i="72" s="1"/>
  <c r="U158" i="72" s="1"/>
  <c r="AB158" i="72" s="1"/>
  <c r="Q157" i="72"/>
  <c r="P157" i="72"/>
  <c r="AD157" i="72" s="1"/>
  <c r="G157" i="72"/>
  <c r="N157" i="72" s="1"/>
  <c r="U157" i="72" s="1"/>
  <c r="AB157" i="72" s="1"/>
  <c r="Q156" i="72"/>
  <c r="P156" i="72"/>
  <c r="G156" i="72"/>
  <c r="N156" i="72" s="1"/>
  <c r="U156" i="72" s="1"/>
  <c r="AB156" i="72" s="1"/>
  <c r="P155" i="72"/>
  <c r="G155" i="72"/>
  <c r="N155" i="72" s="1"/>
  <c r="U155" i="72" s="1"/>
  <c r="AB155" i="72" s="1"/>
  <c r="O151" i="72"/>
  <c r="V151" i="72" s="1"/>
  <c r="AC151" i="72" s="1"/>
  <c r="N151" i="72"/>
  <c r="U151" i="72" s="1"/>
  <c r="AB151" i="72" s="1"/>
  <c r="Q149" i="72"/>
  <c r="P149" i="72"/>
  <c r="AD149" i="72" s="1"/>
  <c r="G149" i="72"/>
  <c r="N149" i="72" s="1"/>
  <c r="U149" i="72" s="1"/>
  <c r="AB149" i="72" s="1"/>
  <c r="Q148" i="72"/>
  <c r="P148" i="72"/>
  <c r="AD148" i="72" s="1"/>
  <c r="G148" i="72"/>
  <c r="N148" i="72" s="1"/>
  <c r="U148" i="72" s="1"/>
  <c r="AB148" i="72" s="1"/>
  <c r="Q147" i="72"/>
  <c r="P147" i="72"/>
  <c r="G147" i="72"/>
  <c r="N147" i="72" s="1"/>
  <c r="U147" i="72" s="1"/>
  <c r="AB147" i="72" s="1"/>
  <c r="Q146" i="72"/>
  <c r="P146" i="72"/>
  <c r="W146" i="72" s="1"/>
  <c r="G146" i="72"/>
  <c r="N146" i="72" s="1"/>
  <c r="U146" i="72" s="1"/>
  <c r="AB146" i="72" s="1"/>
  <c r="Q145" i="72"/>
  <c r="P145" i="72"/>
  <c r="W145" i="72" s="1"/>
  <c r="G145" i="72"/>
  <c r="N145" i="72" s="1"/>
  <c r="U145" i="72" s="1"/>
  <c r="AB145" i="72" s="1"/>
  <c r="Q144" i="72"/>
  <c r="P144" i="72"/>
  <c r="AD144" i="72" s="1"/>
  <c r="G144" i="72"/>
  <c r="N144" i="72" s="1"/>
  <c r="U144" i="72" s="1"/>
  <c r="AB144" i="72" s="1"/>
  <c r="Q143" i="72"/>
  <c r="P143" i="72"/>
  <c r="AD143" i="72" s="1"/>
  <c r="G143" i="72"/>
  <c r="N143" i="72" s="1"/>
  <c r="U143" i="72" s="1"/>
  <c r="AB143" i="72" s="1"/>
  <c r="Q142" i="72"/>
  <c r="P142" i="72"/>
  <c r="G142" i="72"/>
  <c r="N142" i="72" s="1"/>
  <c r="U142" i="72" s="1"/>
  <c r="AB142" i="72" s="1"/>
  <c r="Q141" i="72"/>
  <c r="P141" i="72"/>
  <c r="W141" i="72" s="1"/>
  <c r="G141" i="72"/>
  <c r="N141" i="72" s="1"/>
  <c r="U141" i="72" s="1"/>
  <c r="AB141" i="72" s="1"/>
  <c r="P140" i="72"/>
  <c r="W140" i="72" s="1"/>
  <c r="G140" i="72"/>
  <c r="N140" i="72" s="1"/>
  <c r="U140" i="72" s="1"/>
  <c r="AB140" i="72" s="1"/>
  <c r="O136" i="72"/>
  <c r="V136" i="72" s="1"/>
  <c r="AC136" i="72" s="1"/>
  <c r="N136" i="72"/>
  <c r="U136" i="72" s="1"/>
  <c r="AB136" i="72" s="1"/>
  <c r="Q134" i="72"/>
  <c r="P134" i="72"/>
  <c r="AD134" i="72" s="1"/>
  <c r="G134" i="72"/>
  <c r="N134" i="72" s="1"/>
  <c r="U134" i="72" s="1"/>
  <c r="AB134" i="72" s="1"/>
  <c r="Q133" i="72"/>
  <c r="P133" i="72"/>
  <c r="AD133" i="72" s="1"/>
  <c r="G133" i="72"/>
  <c r="N133" i="72" s="1"/>
  <c r="U133" i="72" s="1"/>
  <c r="AB133" i="72" s="1"/>
  <c r="Q132" i="72"/>
  <c r="P132" i="72"/>
  <c r="G132" i="72"/>
  <c r="N132" i="72" s="1"/>
  <c r="U132" i="72" s="1"/>
  <c r="AB132" i="72" s="1"/>
  <c r="Q131" i="72"/>
  <c r="P131" i="72"/>
  <c r="G131" i="72"/>
  <c r="N131" i="72" s="1"/>
  <c r="U131" i="72" s="1"/>
  <c r="AB131" i="72" s="1"/>
  <c r="Q130" i="72"/>
  <c r="P130" i="72"/>
  <c r="G130" i="72"/>
  <c r="N130" i="72" s="1"/>
  <c r="U130" i="72" s="1"/>
  <c r="AB130" i="72" s="1"/>
  <c r="Q129" i="72"/>
  <c r="P129" i="72"/>
  <c r="W129" i="72" s="1"/>
  <c r="G129" i="72"/>
  <c r="N129" i="72" s="1"/>
  <c r="U129" i="72" s="1"/>
  <c r="AB129" i="72" s="1"/>
  <c r="Q128" i="72"/>
  <c r="P128" i="72"/>
  <c r="AD128" i="72" s="1"/>
  <c r="G128" i="72"/>
  <c r="N128" i="72" s="1"/>
  <c r="U128" i="72" s="1"/>
  <c r="AB128" i="72" s="1"/>
  <c r="Q127" i="72"/>
  <c r="P127" i="72"/>
  <c r="W127" i="72" s="1"/>
  <c r="G127" i="72"/>
  <c r="N127" i="72" s="1"/>
  <c r="U127" i="72" s="1"/>
  <c r="AB127" i="72" s="1"/>
  <c r="P126" i="72"/>
  <c r="AD126" i="72" s="1"/>
  <c r="G126" i="72"/>
  <c r="N126" i="72" s="1"/>
  <c r="U126" i="72" s="1"/>
  <c r="AB126" i="72" s="1"/>
  <c r="O122" i="72"/>
  <c r="V122" i="72" s="1"/>
  <c r="AC122" i="72" s="1"/>
  <c r="N122" i="72"/>
  <c r="U122" i="72" s="1"/>
  <c r="AB122" i="72" s="1"/>
  <c r="Q120" i="72"/>
  <c r="P120" i="72"/>
  <c r="AD120" i="72" s="1"/>
  <c r="G120" i="72"/>
  <c r="N120" i="72" s="1"/>
  <c r="U120" i="72" s="1"/>
  <c r="AB120" i="72" s="1"/>
  <c r="Q119" i="72"/>
  <c r="P119" i="72"/>
  <c r="AD119" i="72" s="1"/>
  <c r="G119" i="72"/>
  <c r="N119" i="72" s="1"/>
  <c r="U119" i="72" s="1"/>
  <c r="AB119" i="72" s="1"/>
  <c r="Q118" i="72"/>
  <c r="P118" i="72"/>
  <c r="W118" i="72" s="1"/>
  <c r="G118" i="72"/>
  <c r="N118" i="72" s="1"/>
  <c r="U118" i="72" s="1"/>
  <c r="AB118" i="72" s="1"/>
  <c r="Q117" i="72"/>
  <c r="P117" i="72"/>
  <c r="G117" i="72"/>
  <c r="N117" i="72" s="1"/>
  <c r="U117" i="72" s="1"/>
  <c r="AB117" i="72" s="1"/>
  <c r="Q116" i="72"/>
  <c r="P116" i="72"/>
  <c r="AD116" i="72" s="1"/>
  <c r="G116" i="72"/>
  <c r="N116" i="72" s="1"/>
  <c r="U116" i="72" s="1"/>
  <c r="AB116" i="72" s="1"/>
  <c r="Q115" i="72"/>
  <c r="P115" i="72"/>
  <c r="AD115" i="72" s="1"/>
  <c r="G115" i="72"/>
  <c r="N115" i="72" s="1"/>
  <c r="U115" i="72" s="1"/>
  <c r="AB115" i="72" s="1"/>
  <c r="Q114" i="72"/>
  <c r="P114" i="72"/>
  <c r="AD114" i="72" s="1"/>
  <c r="G114" i="72"/>
  <c r="N114" i="72" s="1"/>
  <c r="U114" i="72" s="1"/>
  <c r="AB114" i="72" s="1"/>
  <c r="Q113" i="72"/>
  <c r="P113" i="72"/>
  <c r="AD113" i="72" s="1"/>
  <c r="G113" i="72"/>
  <c r="N113" i="72" s="1"/>
  <c r="U113" i="72" s="1"/>
  <c r="AB113" i="72" s="1"/>
  <c r="P112" i="72"/>
  <c r="G112" i="72"/>
  <c r="N112" i="72" s="1"/>
  <c r="U112" i="72" s="1"/>
  <c r="AB112" i="72" s="1"/>
  <c r="O108" i="72"/>
  <c r="V108" i="72" s="1"/>
  <c r="AC108" i="72" s="1"/>
  <c r="N108" i="72"/>
  <c r="U108" i="72" s="1"/>
  <c r="AB108" i="72" s="1"/>
  <c r="Q106" i="72"/>
  <c r="G106" i="72"/>
  <c r="N106" i="72" s="1"/>
  <c r="U106" i="72" s="1"/>
  <c r="AB106" i="72" s="1"/>
  <c r="Q105" i="72"/>
  <c r="G105" i="72"/>
  <c r="N105" i="72" s="1"/>
  <c r="U105" i="72" s="1"/>
  <c r="AB105" i="72" s="1"/>
  <c r="Q104" i="72"/>
  <c r="G104" i="72"/>
  <c r="N104" i="72" s="1"/>
  <c r="U104" i="72" s="1"/>
  <c r="AB104" i="72" s="1"/>
  <c r="Q103" i="72"/>
  <c r="AE103" i="72" s="1"/>
  <c r="G103" i="72"/>
  <c r="N103" i="72" s="1"/>
  <c r="U103" i="72" s="1"/>
  <c r="AB103" i="72" s="1"/>
  <c r="Q102" i="72"/>
  <c r="G102" i="72"/>
  <c r="N102" i="72" s="1"/>
  <c r="U102" i="72" s="1"/>
  <c r="AB102" i="72" s="1"/>
  <c r="Q101" i="72"/>
  <c r="G101" i="72"/>
  <c r="N101" i="72" s="1"/>
  <c r="U101" i="72" s="1"/>
  <c r="AB101" i="72" s="1"/>
  <c r="Q100" i="72"/>
  <c r="AE100" i="72" s="1"/>
  <c r="G100" i="72"/>
  <c r="N100" i="72" s="1"/>
  <c r="U100" i="72" s="1"/>
  <c r="AB100" i="72" s="1"/>
  <c r="Q99" i="72"/>
  <c r="AE99" i="72" s="1"/>
  <c r="G99" i="72"/>
  <c r="N99" i="72" s="1"/>
  <c r="U99" i="72" s="1"/>
  <c r="AB99" i="72" s="1"/>
  <c r="Q98" i="72"/>
  <c r="G98" i="72"/>
  <c r="N98" i="72" s="1"/>
  <c r="U98" i="72" s="1"/>
  <c r="AB98" i="72" s="1"/>
  <c r="P97" i="72"/>
  <c r="G97" i="72"/>
  <c r="N97" i="72" s="1"/>
  <c r="U97" i="72" s="1"/>
  <c r="AB97" i="72" s="1"/>
  <c r="O93" i="72"/>
  <c r="AC93" i="72" s="1"/>
  <c r="N93" i="72"/>
  <c r="U93" i="72" s="1"/>
  <c r="AB93" i="72" s="1"/>
  <c r="R91" i="72"/>
  <c r="Q91" i="72"/>
  <c r="AE91" i="72" s="1"/>
  <c r="G91" i="72"/>
  <c r="N91" i="72" s="1"/>
  <c r="U91" i="72" s="1"/>
  <c r="AB91" i="72" s="1"/>
  <c r="R90" i="72"/>
  <c r="Q90" i="72"/>
  <c r="P90" i="72"/>
  <c r="G90" i="72"/>
  <c r="N90" i="72" s="1"/>
  <c r="U90" i="72" s="1"/>
  <c r="AB90" i="72" s="1"/>
  <c r="Q89" i="72"/>
  <c r="P89" i="72"/>
  <c r="G89" i="72"/>
  <c r="N89" i="72" s="1"/>
  <c r="U89" i="72" s="1"/>
  <c r="AB89" i="72" s="1"/>
  <c r="Q88" i="72"/>
  <c r="AE88" i="72" s="1"/>
  <c r="P88" i="72"/>
  <c r="G88" i="72"/>
  <c r="N88" i="72" s="1"/>
  <c r="U88" i="72" s="1"/>
  <c r="AB88" i="72" s="1"/>
  <c r="Q87" i="72"/>
  <c r="P87" i="72"/>
  <c r="G87" i="72"/>
  <c r="N87" i="72" s="1"/>
  <c r="U87" i="72" s="1"/>
  <c r="AB87" i="72" s="1"/>
  <c r="Q86" i="72"/>
  <c r="AE86" i="72" s="1"/>
  <c r="P86" i="72"/>
  <c r="G86" i="72"/>
  <c r="N86" i="72" s="1"/>
  <c r="U86" i="72" s="1"/>
  <c r="AB86" i="72" s="1"/>
  <c r="Q85" i="72"/>
  <c r="P85" i="72"/>
  <c r="G85" i="72"/>
  <c r="N85" i="72" s="1"/>
  <c r="U85" i="72" s="1"/>
  <c r="AB85" i="72" s="1"/>
  <c r="P84" i="72"/>
  <c r="G84" i="72"/>
  <c r="N84" i="72" s="1"/>
  <c r="U84" i="72" s="1"/>
  <c r="AB84" i="72" s="1"/>
  <c r="P83" i="72"/>
  <c r="AD83" i="72" s="1"/>
  <c r="G83" i="72"/>
  <c r="N83" i="72" s="1"/>
  <c r="U83" i="72" s="1"/>
  <c r="AB83" i="72" s="1"/>
  <c r="P82" i="72"/>
  <c r="G82" i="72"/>
  <c r="N82" i="72" s="1"/>
  <c r="U82" i="72" s="1"/>
  <c r="AB82" i="72" s="1"/>
  <c r="O78" i="72"/>
  <c r="V78" i="72" s="1"/>
  <c r="N78" i="72"/>
  <c r="U78" i="72" s="1"/>
  <c r="AB78" i="72" s="1"/>
  <c r="R76" i="72"/>
  <c r="Q76" i="72"/>
  <c r="G76" i="72"/>
  <c r="N76" i="72" s="1"/>
  <c r="U76" i="72" s="1"/>
  <c r="AB76" i="72" s="1"/>
  <c r="R75" i="72"/>
  <c r="Q75" i="72"/>
  <c r="AE75" i="72" s="1"/>
  <c r="P75" i="72"/>
  <c r="G75" i="72"/>
  <c r="N75" i="72" s="1"/>
  <c r="U75" i="72" s="1"/>
  <c r="AB75" i="72" s="1"/>
  <c r="R74" i="72"/>
  <c r="Q74" i="72"/>
  <c r="P74" i="72"/>
  <c r="G74" i="72"/>
  <c r="N74" i="72" s="1"/>
  <c r="U74" i="72" s="1"/>
  <c r="AB74" i="72" s="1"/>
  <c r="R73" i="72"/>
  <c r="Q73" i="72"/>
  <c r="AE73" i="72" s="1"/>
  <c r="P73" i="72"/>
  <c r="G73" i="72"/>
  <c r="N73" i="72" s="1"/>
  <c r="U73" i="72" s="1"/>
  <c r="AB73" i="72" s="1"/>
  <c r="Q72" i="72"/>
  <c r="AE72" i="72" s="1"/>
  <c r="P72" i="72"/>
  <c r="G72" i="72"/>
  <c r="N72" i="72" s="1"/>
  <c r="U72" i="72" s="1"/>
  <c r="AB72" i="72" s="1"/>
  <c r="Q71" i="72"/>
  <c r="P71" i="72"/>
  <c r="G71" i="72"/>
  <c r="N71" i="72" s="1"/>
  <c r="U71" i="72" s="1"/>
  <c r="AB71" i="72" s="1"/>
  <c r="Q70" i="72"/>
  <c r="AE70" i="72" s="1"/>
  <c r="P70" i="72"/>
  <c r="G70" i="72"/>
  <c r="N70" i="72" s="1"/>
  <c r="U70" i="72" s="1"/>
  <c r="AB70" i="72" s="1"/>
  <c r="Q69" i="72"/>
  <c r="AE69" i="72" s="1"/>
  <c r="P69" i="72"/>
  <c r="G69" i="72"/>
  <c r="N69" i="72" s="1"/>
  <c r="U69" i="72" s="1"/>
  <c r="AB69" i="72" s="1"/>
  <c r="P68" i="72"/>
  <c r="W68" i="72" s="1"/>
  <c r="G68" i="72"/>
  <c r="N68" i="72" s="1"/>
  <c r="U68" i="72" s="1"/>
  <c r="AB68" i="72" s="1"/>
  <c r="P67" i="72"/>
  <c r="G67" i="72"/>
  <c r="N67" i="72" s="1"/>
  <c r="U67" i="72" s="1"/>
  <c r="AB67" i="72" s="1"/>
  <c r="O63" i="72"/>
  <c r="V63" i="72" s="1"/>
  <c r="N63" i="72"/>
  <c r="U63" i="72" s="1"/>
  <c r="AB63" i="72" s="1"/>
  <c r="R61" i="72"/>
  <c r="Q61" i="72"/>
  <c r="AE61" i="72" s="1"/>
  <c r="G61" i="72"/>
  <c r="N61" i="72" s="1"/>
  <c r="U61" i="72" s="1"/>
  <c r="AB61" i="72" s="1"/>
  <c r="R60" i="72"/>
  <c r="Q60" i="72"/>
  <c r="P60" i="72"/>
  <c r="G60" i="72"/>
  <c r="N60" i="72" s="1"/>
  <c r="U60" i="72" s="1"/>
  <c r="AB60" i="72" s="1"/>
  <c r="R59" i="72"/>
  <c r="Q59" i="72"/>
  <c r="P59" i="72"/>
  <c r="G59" i="72"/>
  <c r="N59" i="72" s="1"/>
  <c r="U59" i="72" s="1"/>
  <c r="AB59" i="72" s="1"/>
  <c r="R58" i="72"/>
  <c r="Q58" i="72"/>
  <c r="P58" i="72"/>
  <c r="G58" i="72"/>
  <c r="N58" i="72" s="1"/>
  <c r="U58" i="72" s="1"/>
  <c r="AB58" i="72" s="1"/>
  <c r="R57" i="72"/>
  <c r="Q57" i="72"/>
  <c r="P57" i="72"/>
  <c r="G57" i="72"/>
  <c r="N57" i="72" s="1"/>
  <c r="U57" i="72" s="1"/>
  <c r="AB57" i="72" s="1"/>
  <c r="R56" i="72"/>
  <c r="Q56" i="72"/>
  <c r="P56" i="72"/>
  <c r="G56" i="72"/>
  <c r="N56" i="72" s="1"/>
  <c r="U56" i="72" s="1"/>
  <c r="AB56" i="72" s="1"/>
  <c r="R55" i="72"/>
  <c r="Q55" i="72"/>
  <c r="P55" i="72"/>
  <c r="G55" i="72"/>
  <c r="N55" i="72" s="1"/>
  <c r="U55" i="72" s="1"/>
  <c r="AB55" i="72" s="1"/>
  <c r="R54" i="72"/>
  <c r="Q54" i="72"/>
  <c r="P54" i="72"/>
  <c r="G54" i="72"/>
  <c r="N54" i="72" s="1"/>
  <c r="U54" i="72" s="1"/>
  <c r="AB54" i="72" s="1"/>
  <c r="R53" i="72"/>
  <c r="Q53" i="72"/>
  <c r="P53" i="72"/>
  <c r="G53" i="72"/>
  <c r="N53" i="72" s="1"/>
  <c r="U53" i="72" s="1"/>
  <c r="AB53" i="72" s="1"/>
  <c r="P52" i="72"/>
  <c r="W52" i="72" s="1"/>
  <c r="G52" i="72"/>
  <c r="N52" i="72" s="1"/>
  <c r="U52" i="72" s="1"/>
  <c r="AB52" i="72" s="1"/>
  <c r="O48" i="72"/>
  <c r="V48" i="72" s="1"/>
  <c r="N48" i="72"/>
  <c r="U48" i="72" s="1"/>
  <c r="AB48" i="72" s="1"/>
  <c r="AE46" i="72"/>
  <c r="G46" i="72"/>
  <c r="N46" i="72" s="1"/>
  <c r="U46" i="72" s="1"/>
  <c r="AB46" i="72" s="1"/>
  <c r="AE45" i="72"/>
  <c r="G45" i="72"/>
  <c r="N45" i="72" s="1"/>
  <c r="U45" i="72" s="1"/>
  <c r="AB45" i="72" s="1"/>
  <c r="AE44" i="72"/>
  <c r="G44" i="72"/>
  <c r="N44" i="72" s="1"/>
  <c r="U44" i="72" s="1"/>
  <c r="AB44" i="72" s="1"/>
  <c r="AD43" i="72"/>
  <c r="G43" i="72"/>
  <c r="N43" i="72" s="1"/>
  <c r="U43" i="72" s="1"/>
  <c r="AB43" i="72" s="1"/>
  <c r="P42" i="72"/>
  <c r="W42" i="72" s="1"/>
  <c r="G42" i="72"/>
  <c r="N42" i="72" s="1"/>
  <c r="U42" i="72" s="1"/>
  <c r="AB42" i="72" s="1"/>
  <c r="P41" i="72"/>
  <c r="G41" i="72"/>
  <c r="N41" i="72" s="1"/>
  <c r="U41" i="72" s="1"/>
  <c r="AB41" i="72" s="1"/>
  <c r="P40" i="72"/>
  <c r="W40" i="72" s="1"/>
  <c r="G40" i="72"/>
  <c r="N40" i="72" s="1"/>
  <c r="U40" i="72" s="1"/>
  <c r="AB40" i="72" s="1"/>
  <c r="P39" i="72"/>
  <c r="W39" i="72" s="1"/>
  <c r="G39" i="72"/>
  <c r="N39" i="72" s="1"/>
  <c r="U39" i="72" s="1"/>
  <c r="AB39" i="72" s="1"/>
  <c r="P38" i="72"/>
  <c r="W38" i="72" s="1"/>
  <c r="G38" i="72"/>
  <c r="N38" i="72" s="1"/>
  <c r="U38" i="72" s="1"/>
  <c r="AB38" i="72" s="1"/>
  <c r="P37" i="72"/>
  <c r="W37" i="72" s="1"/>
  <c r="G37" i="72"/>
  <c r="N37" i="72" s="1"/>
  <c r="U37" i="72" s="1"/>
  <c r="AB37" i="72" s="1"/>
  <c r="O33" i="72"/>
  <c r="V33" i="72" s="1"/>
  <c r="N33" i="72"/>
  <c r="U33" i="72" s="1"/>
  <c r="AB33" i="72" s="1"/>
  <c r="R31" i="72"/>
  <c r="Q31" i="72"/>
  <c r="AE31" i="72" s="1"/>
  <c r="G31" i="72"/>
  <c r="N31" i="72" s="1"/>
  <c r="U31" i="72" s="1"/>
  <c r="AB31" i="72" s="1"/>
  <c r="R30" i="72"/>
  <c r="Q30" i="72"/>
  <c r="G30" i="72"/>
  <c r="N30" i="72" s="1"/>
  <c r="U30" i="72" s="1"/>
  <c r="AB30" i="72" s="1"/>
  <c r="R29" i="72"/>
  <c r="Q29" i="72"/>
  <c r="G29" i="72"/>
  <c r="N29" i="72" s="1"/>
  <c r="U29" i="72" s="1"/>
  <c r="AB29" i="72" s="1"/>
  <c r="R28" i="72"/>
  <c r="Q28" i="72"/>
  <c r="G28" i="72"/>
  <c r="N28" i="72" s="1"/>
  <c r="U28" i="72" s="1"/>
  <c r="AB28" i="72" s="1"/>
  <c r="R27" i="72"/>
  <c r="Q27" i="72"/>
  <c r="AE27" i="72" s="1"/>
  <c r="G27" i="72"/>
  <c r="N27" i="72" s="1"/>
  <c r="U27" i="72" s="1"/>
  <c r="AB27" i="72" s="1"/>
  <c r="AD26" i="72"/>
  <c r="G26" i="72"/>
  <c r="N26" i="72" s="1"/>
  <c r="U26" i="72" s="1"/>
  <c r="AB26" i="72" s="1"/>
  <c r="P25" i="72"/>
  <c r="AD25" i="72" s="1"/>
  <c r="G25" i="72"/>
  <c r="N25" i="72" s="1"/>
  <c r="U25" i="72" s="1"/>
  <c r="AB25" i="72" s="1"/>
  <c r="P24" i="72"/>
  <c r="AD24" i="72" s="1"/>
  <c r="G24" i="72"/>
  <c r="N24" i="72" s="1"/>
  <c r="U24" i="72" s="1"/>
  <c r="AB24" i="72" s="1"/>
  <c r="P23" i="72"/>
  <c r="G23" i="72"/>
  <c r="N23" i="72" s="1"/>
  <c r="U23" i="72" s="1"/>
  <c r="AB23" i="72" s="1"/>
  <c r="P22" i="72"/>
  <c r="AD22" i="72" s="1"/>
  <c r="G22" i="72"/>
  <c r="N22" i="72" s="1"/>
  <c r="U22" i="72" s="1"/>
  <c r="AB22" i="72" s="1"/>
  <c r="O18" i="72"/>
  <c r="V18" i="72" s="1"/>
  <c r="N18" i="72"/>
  <c r="U18" i="72" s="1"/>
  <c r="AB18" i="72" s="1"/>
  <c r="R16" i="72"/>
  <c r="Q16" i="72"/>
  <c r="G16" i="72"/>
  <c r="N16" i="72" s="1"/>
  <c r="U16" i="72" s="1"/>
  <c r="AB16" i="72" s="1"/>
  <c r="R15" i="72"/>
  <c r="Q15" i="72"/>
  <c r="AE15" i="72" s="1"/>
  <c r="G15" i="72"/>
  <c r="N15" i="72" s="1"/>
  <c r="U15" i="72" s="1"/>
  <c r="AB15" i="72" s="1"/>
  <c r="R14" i="72"/>
  <c r="Q14" i="72"/>
  <c r="G14" i="72"/>
  <c r="N14" i="72" s="1"/>
  <c r="U14" i="72" s="1"/>
  <c r="AB14" i="72" s="1"/>
  <c r="Q13" i="72"/>
  <c r="AE13" i="72" s="1"/>
  <c r="G13" i="72"/>
  <c r="N13" i="72" s="1"/>
  <c r="U13" i="72" s="1"/>
  <c r="AB13" i="72" s="1"/>
  <c r="Q12" i="72"/>
  <c r="G12" i="72"/>
  <c r="N12" i="72" s="1"/>
  <c r="U12" i="72" s="1"/>
  <c r="AB12" i="72" s="1"/>
  <c r="Q11" i="72"/>
  <c r="G11" i="72"/>
  <c r="N11" i="72" s="1"/>
  <c r="U11" i="72" s="1"/>
  <c r="AB11" i="72" s="1"/>
  <c r="P10" i="72"/>
  <c r="W10" i="72" s="1"/>
  <c r="G10" i="72"/>
  <c r="N10" i="72" s="1"/>
  <c r="U10" i="72" s="1"/>
  <c r="AB10" i="72" s="1"/>
  <c r="P9" i="72"/>
  <c r="AD9" i="72" s="1"/>
  <c r="G9" i="72"/>
  <c r="N9" i="72" s="1"/>
  <c r="U9" i="72" s="1"/>
  <c r="AB9" i="72" s="1"/>
  <c r="P8" i="72"/>
  <c r="W8" i="72" s="1"/>
  <c r="G8" i="72"/>
  <c r="N8" i="72" s="1"/>
  <c r="U8" i="72" s="1"/>
  <c r="AB8" i="72" s="1"/>
  <c r="P7" i="72"/>
  <c r="AD7" i="72" s="1"/>
  <c r="G7" i="72"/>
  <c r="O3" i="72"/>
  <c r="V3" i="72" s="1"/>
  <c r="N3" i="72"/>
  <c r="U3" i="72" s="1"/>
  <c r="AB3" i="72" s="1"/>
  <c r="U102" i="71"/>
  <c r="M102" i="71"/>
  <c r="U100" i="71"/>
  <c r="M100" i="71"/>
  <c r="D100" i="71"/>
  <c r="U99" i="71"/>
  <c r="M99" i="71"/>
  <c r="D99" i="71"/>
  <c r="U98" i="71"/>
  <c r="M98" i="71"/>
  <c r="D98" i="71"/>
  <c r="U97" i="71"/>
  <c r="M97" i="71"/>
  <c r="D97" i="71"/>
  <c r="U96" i="71"/>
  <c r="M96" i="71"/>
  <c r="D96" i="71"/>
  <c r="U95" i="71"/>
  <c r="M95" i="71"/>
  <c r="D95" i="71"/>
  <c r="U94" i="71"/>
  <c r="M94" i="71"/>
  <c r="D94" i="71"/>
  <c r="U93" i="71"/>
  <c r="M93" i="71"/>
  <c r="D93" i="71"/>
  <c r="U92" i="71"/>
  <c r="M92" i="71"/>
  <c r="D92" i="71"/>
  <c r="U91" i="71"/>
  <c r="M91" i="71"/>
  <c r="S90" i="71"/>
  <c r="R90" i="71"/>
  <c r="Q90" i="71"/>
  <c r="P90" i="71"/>
  <c r="O90" i="71"/>
  <c r="U89" i="71"/>
  <c r="M89" i="71"/>
  <c r="S88" i="71"/>
  <c r="R88" i="71"/>
  <c r="Q88" i="71"/>
  <c r="P88" i="71"/>
  <c r="O88" i="71"/>
  <c r="U87" i="71"/>
  <c r="M87" i="71"/>
  <c r="AA86" i="71"/>
  <c r="Z86" i="71"/>
  <c r="Y86" i="71"/>
  <c r="X86" i="71"/>
  <c r="W86" i="71"/>
  <c r="U85" i="71"/>
  <c r="M85" i="71"/>
  <c r="AA84" i="71"/>
  <c r="Z84" i="71"/>
  <c r="Y84" i="71"/>
  <c r="X84" i="71"/>
  <c r="W84" i="71"/>
  <c r="U83" i="71"/>
  <c r="M83" i="71"/>
  <c r="U81" i="71"/>
  <c r="M81" i="71"/>
  <c r="AA80" i="71"/>
  <c r="Z80" i="71"/>
  <c r="Y80" i="71"/>
  <c r="X80" i="71"/>
  <c r="W80" i="71"/>
  <c r="U79" i="71"/>
  <c r="M79" i="71"/>
  <c r="D79" i="71"/>
  <c r="U78" i="71"/>
  <c r="M78" i="71"/>
  <c r="D78" i="71"/>
  <c r="U77" i="71"/>
  <c r="M77" i="71"/>
  <c r="D77" i="71"/>
  <c r="U76" i="71"/>
  <c r="M76" i="71"/>
  <c r="D76" i="71"/>
  <c r="U75" i="71"/>
  <c r="M75" i="71"/>
  <c r="D75" i="71"/>
  <c r="U74" i="71"/>
  <c r="M74" i="71"/>
  <c r="D74" i="71"/>
  <c r="U73" i="71"/>
  <c r="M73" i="71"/>
  <c r="D73" i="71"/>
  <c r="U72" i="71"/>
  <c r="M72" i="71"/>
  <c r="D72" i="71"/>
  <c r="U71" i="71"/>
  <c r="M71" i="71"/>
  <c r="D71" i="71"/>
  <c r="D65" i="74" s="1"/>
  <c r="U70" i="71"/>
  <c r="M70" i="71"/>
  <c r="AA69" i="71"/>
  <c r="Z69" i="71"/>
  <c r="Y69" i="71"/>
  <c r="X69" i="71"/>
  <c r="W69" i="71"/>
  <c r="U68" i="71"/>
  <c r="M68" i="71"/>
  <c r="D68" i="71"/>
  <c r="U67" i="71"/>
  <c r="M67" i="71"/>
  <c r="D67" i="71"/>
  <c r="U66" i="71"/>
  <c r="M66" i="71"/>
  <c r="D66" i="71"/>
  <c r="U65" i="71"/>
  <c r="M65" i="71"/>
  <c r="D65" i="71"/>
  <c r="U64" i="71"/>
  <c r="M64" i="71"/>
  <c r="D64" i="71"/>
  <c r="U63" i="71"/>
  <c r="M63" i="71"/>
  <c r="D63" i="71"/>
  <c r="D57" i="74" s="1"/>
  <c r="U62" i="71"/>
  <c r="M62" i="71"/>
  <c r="D62" i="71"/>
  <c r="U61" i="71"/>
  <c r="M61" i="71"/>
  <c r="D61" i="71"/>
  <c r="U60" i="71"/>
  <c r="M60" i="71"/>
  <c r="D60" i="71"/>
  <c r="U59" i="71"/>
  <c r="M59" i="71"/>
  <c r="AA58" i="71"/>
  <c r="Z58" i="71"/>
  <c r="Y58" i="71"/>
  <c r="X58" i="71"/>
  <c r="W58" i="71"/>
  <c r="U57" i="71"/>
  <c r="M57" i="71"/>
  <c r="U56" i="71"/>
  <c r="M56" i="71"/>
  <c r="AA55" i="71"/>
  <c r="Z55" i="71"/>
  <c r="Y55" i="71"/>
  <c r="X55" i="71"/>
  <c r="W55" i="71"/>
  <c r="U54" i="71"/>
  <c r="M54" i="71"/>
  <c r="U53" i="71"/>
  <c r="M53" i="71"/>
  <c r="U52" i="71"/>
  <c r="M52" i="71"/>
  <c r="U51" i="71"/>
  <c r="M51" i="71"/>
  <c r="U50" i="71"/>
  <c r="M50" i="71"/>
  <c r="U49" i="71"/>
  <c r="M49" i="71"/>
  <c r="U48" i="71"/>
  <c r="M48" i="71"/>
  <c r="U47" i="71"/>
  <c r="M47" i="71"/>
  <c r="U46" i="71"/>
  <c r="M46" i="71"/>
  <c r="AA45" i="71"/>
  <c r="Z45" i="71"/>
  <c r="Y45" i="71"/>
  <c r="X45" i="71"/>
  <c r="W45" i="71"/>
  <c r="U44" i="71"/>
  <c r="M44" i="71"/>
  <c r="U43" i="71"/>
  <c r="M43" i="71"/>
  <c r="U42" i="71"/>
  <c r="M42" i="71"/>
  <c r="U41" i="71"/>
  <c r="M41" i="71"/>
  <c r="U40" i="71"/>
  <c r="M40" i="71"/>
  <c r="U39" i="71"/>
  <c r="M39" i="71"/>
  <c r="U38" i="71"/>
  <c r="M38" i="71"/>
  <c r="U37" i="71"/>
  <c r="M37" i="71"/>
  <c r="U36" i="71"/>
  <c r="M36" i="71"/>
  <c r="AA35" i="71"/>
  <c r="Z35" i="71"/>
  <c r="Y35" i="71"/>
  <c r="X35" i="71"/>
  <c r="W35" i="71"/>
  <c r="U34" i="71"/>
  <c r="M34" i="71"/>
  <c r="U33" i="71"/>
  <c r="M33" i="71"/>
  <c r="U32" i="71"/>
  <c r="M32" i="71"/>
  <c r="U31" i="71"/>
  <c r="M31" i="71"/>
  <c r="U30" i="71"/>
  <c r="M30" i="71"/>
  <c r="U29" i="71"/>
  <c r="M29" i="71"/>
  <c r="U28" i="71"/>
  <c r="M28" i="71"/>
  <c r="U27" i="71"/>
  <c r="M27" i="71"/>
  <c r="U26" i="71"/>
  <c r="M26" i="71"/>
  <c r="AA25" i="71"/>
  <c r="Z25" i="71"/>
  <c r="Y25" i="71"/>
  <c r="X25" i="71"/>
  <c r="W25" i="71"/>
  <c r="U24" i="71"/>
  <c r="U23" i="71"/>
  <c r="U22" i="71"/>
  <c r="U21" i="71"/>
  <c r="U20" i="71"/>
  <c r="U19" i="71"/>
  <c r="AA18" i="71"/>
  <c r="Z18" i="71"/>
  <c r="Y18" i="71"/>
  <c r="X18" i="71"/>
  <c r="W18" i="71"/>
  <c r="U17" i="71"/>
  <c r="U16" i="71"/>
  <c r="U15" i="71"/>
  <c r="U14" i="71"/>
  <c r="AA13" i="71"/>
  <c r="Z13" i="71"/>
  <c r="Y13" i="71"/>
  <c r="X13" i="71"/>
  <c r="W13" i="71"/>
  <c r="U12" i="71"/>
  <c r="U11" i="71"/>
  <c r="U10" i="71"/>
  <c r="U9" i="71"/>
  <c r="AA8" i="71"/>
  <c r="Z8" i="71"/>
  <c r="Y8" i="71"/>
  <c r="X8" i="71"/>
  <c r="W8" i="71"/>
  <c r="H102" i="70"/>
  <c r="G102" i="70"/>
  <c r="F102" i="70"/>
  <c r="F101" i="70" s="1"/>
  <c r="H100" i="70"/>
  <c r="G100" i="70"/>
  <c r="F100" i="70"/>
  <c r="H99" i="70"/>
  <c r="G99" i="70"/>
  <c r="F99" i="70"/>
  <c r="H98" i="70"/>
  <c r="G98" i="70"/>
  <c r="F98" i="70"/>
  <c r="H97" i="70"/>
  <c r="G97" i="70"/>
  <c r="F97" i="70"/>
  <c r="H96" i="70"/>
  <c r="G96" i="70"/>
  <c r="F96" i="70"/>
  <c r="H95" i="70"/>
  <c r="G95" i="70"/>
  <c r="F95" i="70"/>
  <c r="H94" i="70"/>
  <c r="G94" i="70"/>
  <c r="F94" i="70"/>
  <c r="H93" i="70"/>
  <c r="G93" i="70"/>
  <c r="F93" i="70"/>
  <c r="H92" i="70"/>
  <c r="G92" i="70"/>
  <c r="F92" i="70"/>
  <c r="H91" i="70"/>
  <c r="G91" i="70"/>
  <c r="F91" i="70"/>
  <c r="F89" i="70"/>
  <c r="H87" i="70"/>
  <c r="G87" i="70"/>
  <c r="F87" i="70"/>
  <c r="F86" i="70" s="1"/>
  <c r="F85" i="70"/>
  <c r="F84" i="70" s="1"/>
  <c r="H83" i="70"/>
  <c r="P83" i="70" s="1"/>
  <c r="P82" i="70" s="1"/>
  <c r="G83" i="70"/>
  <c r="O83" i="70" s="1"/>
  <c r="O82" i="70" s="1"/>
  <c r="F83" i="70"/>
  <c r="F82" i="70" s="1"/>
  <c r="H81" i="70"/>
  <c r="G81" i="70"/>
  <c r="F81" i="70"/>
  <c r="F80" i="70" s="1"/>
  <c r="H79" i="70"/>
  <c r="G79" i="70"/>
  <c r="O79" i="70" s="1"/>
  <c r="F79" i="70"/>
  <c r="H78" i="70"/>
  <c r="G78" i="70"/>
  <c r="F78" i="70"/>
  <c r="H77" i="70"/>
  <c r="G77" i="70"/>
  <c r="F77" i="70"/>
  <c r="H76" i="70"/>
  <c r="G76" i="70"/>
  <c r="O76" i="70" s="1"/>
  <c r="F76" i="70"/>
  <c r="H75" i="70"/>
  <c r="G75" i="70"/>
  <c r="F75" i="70"/>
  <c r="H74" i="70"/>
  <c r="G74" i="70"/>
  <c r="F74" i="70"/>
  <c r="H73" i="70"/>
  <c r="G73" i="70"/>
  <c r="F73" i="70"/>
  <c r="H72" i="70"/>
  <c r="G72" i="70"/>
  <c r="O72" i="70" s="1"/>
  <c r="F72" i="70"/>
  <c r="H71" i="70"/>
  <c r="G71" i="70"/>
  <c r="F71" i="70"/>
  <c r="H70" i="70"/>
  <c r="G70" i="70"/>
  <c r="F70" i="70"/>
  <c r="F68" i="70"/>
  <c r="F67" i="70"/>
  <c r="F66" i="70"/>
  <c r="F65" i="70"/>
  <c r="F64" i="70"/>
  <c r="F63" i="70"/>
  <c r="F62" i="70"/>
  <c r="F61" i="70"/>
  <c r="F60" i="70"/>
  <c r="F59" i="70"/>
  <c r="H57" i="70"/>
  <c r="G57" i="70"/>
  <c r="F57" i="70"/>
  <c r="F56" i="70"/>
  <c r="F55" i="70" s="1"/>
  <c r="F54" i="70"/>
  <c r="F53" i="70"/>
  <c r="F52" i="70"/>
  <c r="F51" i="70"/>
  <c r="F50" i="70"/>
  <c r="F49" i="70"/>
  <c r="F48" i="70"/>
  <c r="F47" i="70"/>
  <c r="F46" i="70"/>
  <c r="F44" i="70"/>
  <c r="F43" i="70"/>
  <c r="F42" i="70"/>
  <c r="F41" i="70"/>
  <c r="F40" i="70"/>
  <c r="F39" i="70"/>
  <c r="F38" i="70"/>
  <c r="F37" i="70"/>
  <c r="F36" i="70"/>
  <c r="F34" i="70"/>
  <c r="F33" i="70"/>
  <c r="F32" i="70"/>
  <c r="F31" i="70"/>
  <c r="F30" i="70"/>
  <c r="F29" i="70"/>
  <c r="F28" i="70"/>
  <c r="F27" i="70"/>
  <c r="F26" i="70"/>
  <c r="F24" i="70"/>
  <c r="F23" i="70"/>
  <c r="F22" i="70"/>
  <c r="F21" i="70"/>
  <c r="F20" i="70"/>
  <c r="F19" i="70"/>
  <c r="F17" i="70"/>
  <c r="F16" i="70"/>
  <c r="F15" i="70"/>
  <c r="F14" i="70"/>
  <c r="F12" i="70"/>
  <c r="F11" i="70"/>
  <c r="F10" i="70"/>
  <c r="F9" i="70"/>
  <c r="U102" i="70"/>
  <c r="M102" i="70"/>
  <c r="U100" i="70"/>
  <c r="M100" i="70"/>
  <c r="D100" i="70"/>
  <c r="U99" i="70"/>
  <c r="M99" i="70"/>
  <c r="D99" i="70"/>
  <c r="U98" i="70"/>
  <c r="M98" i="70"/>
  <c r="D98" i="70"/>
  <c r="U97" i="70"/>
  <c r="M97" i="70"/>
  <c r="D97" i="70"/>
  <c r="U96" i="70"/>
  <c r="M96" i="70"/>
  <c r="D96" i="70"/>
  <c r="U95" i="70"/>
  <c r="M95" i="70"/>
  <c r="D95" i="70"/>
  <c r="U94" i="70"/>
  <c r="M94" i="70"/>
  <c r="D94" i="70"/>
  <c r="U93" i="70"/>
  <c r="M93" i="70"/>
  <c r="D93" i="70"/>
  <c r="U92" i="70"/>
  <c r="M92" i="70"/>
  <c r="D92" i="70"/>
  <c r="U91" i="70"/>
  <c r="M91" i="70"/>
  <c r="S90" i="70"/>
  <c r="R90" i="70"/>
  <c r="Q90" i="70"/>
  <c r="P90" i="70"/>
  <c r="O90" i="70"/>
  <c r="U89" i="70"/>
  <c r="M89" i="70"/>
  <c r="S88" i="70"/>
  <c r="R88" i="70"/>
  <c r="Q88" i="70"/>
  <c r="P88" i="70"/>
  <c r="O88" i="70"/>
  <c r="U87" i="70"/>
  <c r="M87" i="70"/>
  <c r="AA86" i="70"/>
  <c r="Z86" i="70"/>
  <c r="Y86" i="70"/>
  <c r="X86" i="70"/>
  <c r="W86" i="70"/>
  <c r="U85" i="70"/>
  <c r="M85" i="70"/>
  <c r="AA84" i="70"/>
  <c r="Z84" i="70"/>
  <c r="Y84" i="70"/>
  <c r="X84" i="70"/>
  <c r="W84" i="70"/>
  <c r="U83" i="70"/>
  <c r="M83" i="70"/>
  <c r="U81" i="70"/>
  <c r="M81" i="70"/>
  <c r="AA80" i="70"/>
  <c r="Z80" i="70"/>
  <c r="Y80" i="70"/>
  <c r="X80" i="70"/>
  <c r="W80" i="70"/>
  <c r="U79" i="70"/>
  <c r="M79" i="70"/>
  <c r="D79" i="70"/>
  <c r="U78" i="70"/>
  <c r="M78" i="70"/>
  <c r="D78" i="70"/>
  <c r="U77" i="70"/>
  <c r="M77" i="70"/>
  <c r="D77" i="70"/>
  <c r="U76" i="70"/>
  <c r="M76" i="70"/>
  <c r="D76" i="70"/>
  <c r="U75" i="70"/>
  <c r="M75" i="70"/>
  <c r="D75" i="70"/>
  <c r="U74" i="70"/>
  <c r="M74" i="70"/>
  <c r="D74" i="70"/>
  <c r="U73" i="70"/>
  <c r="M73" i="70"/>
  <c r="D73" i="70"/>
  <c r="U72" i="70"/>
  <c r="M72" i="70"/>
  <c r="D72" i="70"/>
  <c r="U71" i="70"/>
  <c r="M71" i="70"/>
  <c r="D71" i="70"/>
  <c r="U70" i="70"/>
  <c r="M70" i="70"/>
  <c r="AA69" i="70"/>
  <c r="Z69" i="70"/>
  <c r="Y69" i="70"/>
  <c r="X69" i="70"/>
  <c r="W69" i="70"/>
  <c r="U68" i="70"/>
  <c r="M68" i="70"/>
  <c r="D68" i="70"/>
  <c r="U67" i="70"/>
  <c r="M67" i="70"/>
  <c r="D67" i="70"/>
  <c r="U66" i="70"/>
  <c r="M66" i="70"/>
  <c r="D66" i="70"/>
  <c r="U65" i="70"/>
  <c r="M65" i="70"/>
  <c r="D65" i="70"/>
  <c r="U64" i="70"/>
  <c r="M64" i="70"/>
  <c r="D64" i="70"/>
  <c r="U63" i="70"/>
  <c r="M63" i="70"/>
  <c r="D63" i="70"/>
  <c r="U62" i="70"/>
  <c r="M62" i="70"/>
  <c r="D62" i="70"/>
  <c r="U61" i="70"/>
  <c r="M61" i="70"/>
  <c r="D61" i="70"/>
  <c r="U60" i="70"/>
  <c r="M60" i="70"/>
  <c r="D60" i="70"/>
  <c r="U59" i="70"/>
  <c r="M59" i="70"/>
  <c r="AA58" i="70"/>
  <c r="Z58" i="70"/>
  <c r="Y58" i="70"/>
  <c r="X58" i="70"/>
  <c r="W58" i="70"/>
  <c r="U57" i="70"/>
  <c r="M57" i="70"/>
  <c r="U56" i="70"/>
  <c r="M56" i="70"/>
  <c r="AA55" i="70"/>
  <c r="Z55" i="70"/>
  <c r="Y55" i="70"/>
  <c r="X55" i="70"/>
  <c r="W55" i="70"/>
  <c r="U54" i="70"/>
  <c r="M54" i="70"/>
  <c r="U53" i="70"/>
  <c r="M53" i="70"/>
  <c r="U52" i="70"/>
  <c r="M52" i="70"/>
  <c r="U51" i="70"/>
  <c r="M51" i="70"/>
  <c r="U50" i="70"/>
  <c r="M50" i="70"/>
  <c r="U49" i="70"/>
  <c r="M49" i="70"/>
  <c r="U48" i="70"/>
  <c r="M48" i="70"/>
  <c r="U47" i="70"/>
  <c r="M47" i="70"/>
  <c r="U46" i="70"/>
  <c r="M46" i="70"/>
  <c r="AA45" i="70"/>
  <c r="Z45" i="70"/>
  <c r="Y45" i="70"/>
  <c r="X45" i="70"/>
  <c r="W45" i="70"/>
  <c r="U44" i="70"/>
  <c r="M44" i="70"/>
  <c r="U43" i="70"/>
  <c r="M43" i="70"/>
  <c r="U42" i="70"/>
  <c r="M42" i="70"/>
  <c r="U41" i="70"/>
  <c r="M41" i="70"/>
  <c r="U40" i="70"/>
  <c r="M40" i="70"/>
  <c r="U39" i="70"/>
  <c r="M39" i="70"/>
  <c r="U38" i="70"/>
  <c r="M38" i="70"/>
  <c r="U37" i="70"/>
  <c r="M37" i="70"/>
  <c r="U36" i="70"/>
  <c r="M36" i="70"/>
  <c r="AA35" i="70"/>
  <c r="Z35" i="70"/>
  <c r="Y35" i="70"/>
  <c r="X35" i="70"/>
  <c r="W35" i="70"/>
  <c r="U34" i="70"/>
  <c r="M34" i="70"/>
  <c r="U33" i="70"/>
  <c r="M33" i="70"/>
  <c r="U32" i="70"/>
  <c r="M32" i="70"/>
  <c r="U31" i="70"/>
  <c r="M31" i="70"/>
  <c r="U30" i="70"/>
  <c r="M30" i="70"/>
  <c r="U29" i="70"/>
  <c r="M29" i="70"/>
  <c r="U28" i="70"/>
  <c r="M28" i="70"/>
  <c r="U27" i="70"/>
  <c r="M27" i="70"/>
  <c r="U26" i="70"/>
  <c r="M26" i="70"/>
  <c r="AA25" i="70"/>
  <c r="Z25" i="70"/>
  <c r="Y25" i="70"/>
  <c r="X25" i="70"/>
  <c r="W25" i="70"/>
  <c r="U24" i="70"/>
  <c r="U23" i="70"/>
  <c r="U22" i="70"/>
  <c r="U21" i="70"/>
  <c r="U20" i="70"/>
  <c r="U19" i="70"/>
  <c r="AA18" i="70"/>
  <c r="Z18" i="70"/>
  <c r="Y18" i="70"/>
  <c r="X18" i="70"/>
  <c r="W18" i="70"/>
  <c r="U17" i="70"/>
  <c r="U16" i="70"/>
  <c r="U15" i="70"/>
  <c r="U14" i="70"/>
  <c r="AA13" i="70"/>
  <c r="Z13" i="70"/>
  <c r="Y13" i="70"/>
  <c r="X13" i="70"/>
  <c r="W13" i="70"/>
  <c r="U12" i="70"/>
  <c r="U11" i="70"/>
  <c r="U10" i="70"/>
  <c r="U9" i="70"/>
  <c r="AA8" i="70"/>
  <c r="Z8" i="70"/>
  <c r="Y8" i="70"/>
  <c r="X8" i="70"/>
  <c r="W8" i="70"/>
  <c r="D300" i="69"/>
  <c r="E300" i="69"/>
  <c r="F300" i="69"/>
  <c r="G300" i="69"/>
  <c r="H300" i="69"/>
  <c r="I300" i="69"/>
  <c r="D301" i="69"/>
  <c r="E301" i="69"/>
  <c r="F301" i="69"/>
  <c r="G301" i="69"/>
  <c r="H301" i="69"/>
  <c r="I301" i="69"/>
  <c r="D302" i="69"/>
  <c r="E302" i="69"/>
  <c r="F302" i="69"/>
  <c r="G302" i="69"/>
  <c r="H302" i="69"/>
  <c r="I302" i="69"/>
  <c r="D303" i="69"/>
  <c r="F303" i="69"/>
  <c r="G303" i="69"/>
  <c r="H303" i="69"/>
  <c r="I303" i="69"/>
  <c r="D304" i="69"/>
  <c r="E304" i="69"/>
  <c r="F304" i="69"/>
  <c r="G304" i="69"/>
  <c r="H304" i="69"/>
  <c r="I304" i="69"/>
  <c r="D305" i="69"/>
  <c r="E305" i="69"/>
  <c r="F305" i="69"/>
  <c r="G305" i="69"/>
  <c r="H305" i="69"/>
  <c r="I305" i="69"/>
  <c r="D306" i="69"/>
  <c r="E306" i="69"/>
  <c r="F306" i="69"/>
  <c r="G306" i="69"/>
  <c r="H306" i="69"/>
  <c r="I306" i="69"/>
  <c r="D291" i="69"/>
  <c r="E291" i="69"/>
  <c r="F291" i="69"/>
  <c r="G291" i="69"/>
  <c r="H291" i="69"/>
  <c r="I291" i="69"/>
  <c r="D292" i="69"/>
  <c r="E292" i="69"/>
  <c r="F292" i="69"/>
  <c r="G292" i="69"/>
  <c r="H292" i="69"/>
  <c r="I292" i="69"/>
  <c r="D293" i="69"/>
  <c r="E293" i="69"/>
  <c r="F293" i="69"/>
  <c r="G293" i="69"/>
  <c r="H293" i="69"/>
  <c r="I293" i="69"/>
  <c r="D294" i="69"/>
  <c r="D295" i="69"/>
  <c r="D296" i="69"/>
  <c r="D297" i="69"/>
  <c r="D298" i="69"/>
  <c r="C301" i="77" l="1"/>
  <c r="C302" i="77" s="1"/>
  <c r="C64" i="77"/>
  <c r="D301" i="77"/>
  <c r="D302" i="77" s="1"/>
  <c r="D64" i="77"/>
  <c r="H78" i="77"/>
  <c r="D85" i="77"/>
  <c r="C85" i="77"/>
  <c r="Z7" i="73"/>
  <c r="AG7" i="73" s="1"/>
  <c r="AB19" i="73"/>
  <c r="AI19" i="73" s="1"/>
  <c r="Y49" i="73"/>
  <c r="AF49" i="73" s="1"/>
  <c r="AA63" i="73"/>
  <c r="AH63" i="73" s="1"/>
  <c r="AC76" i="73"/>
  <c r="AJ76" i="73" s="1"/>
  <c r="Z80" i="73"/>
  <c r="AG80" i="73" s="1"/>
  <c r="AB84" i="73"/>
  <c r="AI84" i="73" s="1"/>
  <c r="Y98" i="73"/>
  <c r="AF98" i="73" s="1"/>
  <c r="AA100" i="73"/>
  <c r="AH100" i="73" s="1"/>
  <c r="AC102" i="73"/>
  <c r="AJ102" i="73" s="1"/>
  <c r="Z105" i="73"/>
  <c r="AG105" i="73" s="1"/>
  <c r="AB107" i="73"/>
  <c r="AI107" i="73" s="1"/>
  <c r="Y110" i="73"/>
  <c r="AF110" i="73" s="1"/>
  <c r="AA7" i="73"/>
  <c r="AH7" i="73" s="1"/>
  <c r="AC19" i="73"/>
  <c r="AJ19" i="73" s="1"/>
  <c r="Z49" i="73"/>
  <c r="AG49" i="73" s="1"/>
  <c r="AB63" i="73"/>
  <c r="AI63" i="73" s="1"/>
  <c r="Y77" i="73"/>
  <c r="AA80" i="73"/>
  <c r="AH80" i="73" s="1"/>
  <c r="AC84" i="73"/>
  <c r="AJ84" i="73" s="1"/>
  <c r="Z98" i="73"/>
  <c r="AG98" i="73" s="1"/>
  <c r="AB100" i="73"/>
  <c r="AI100" i="73" s="1"/>
  <c r="Y103" i="73"/>
  <c r="AF103" i="73" s="1"/>
  <c r="AA105" i="73"/>
  <c r="AH105" i="73" s="1"/>
  <c r="AB7" i="73"/>
  <c r="AI7" i="73" s="1"/>
  <c r="Y29" i="73"/>
  <c r="AF29" i="73" s="1"/>
  <c r="AA49" i="73"/>
  <c r="AH49" i="73" s="1"/>
  <c r="AC63" i="73"/>
  <c r="AJ63" i="73" s="1"/>
  <c r="Z77" i="73"/>
  <c r="AB80" i="73"/>
  <c r="AI80" i="73" s="1"/>
  <c r="Y95" i="73"/>
  <c r="AF95" i="73" s="1"/>
  <c r="AA98" i="73"/>
  <c r="AH98" i="73" s="1"/>
  <c r="AC100" i="73"/>
  <c r="AJ100" i="73" s="1"/>
  <c r="Z103" i="73"/>
  <c r="AG103" i="73" s="1"/>
  <c r="AB105" i="73"/>
  <c r="AI105" i="73" s="1"/>
  <c r="Y108" i="73"/>
  <c r="AF108" i="73" s="1"/>
  <c r="AA110" i="73"/>
  <c r="AH110" i="73" s="1"/>
  <c r="AC112" i="73"/>
  <c r="AJ112" i="73" s="1"/>
  <c r="Z115" i="73"/>
  <c r="AG115" i="73" s="1"/>
  <c r="AB117" i="73"/>
  <c r="AI117" i="73" s="1"/>
  <c r="AC7" i="73"/>
  <c r="AJ7" i="73" s="1"/>
  <c r="Z29" i="73"/>
  <c r="AG29" i="73" s="1"/>
  <c r="AB49" i="73"/>
  <c r="AI49" i="73" s="1"/>
  <c r="Y74" i="73"/>
  <c r="AF74" i="73" s="1"/>
  <c r="AC80" i="73"/>
  <c r="AJ80" i="73" s="1"/>
  <c r="Z95" i="73"/>
  <c r="AG95" i="73" s="1"/>
  <c r="AB98" i="73"/>
  <c r="AI98" i="73" s="1"/>
  <c r="Y101" i="73"/>
  <c r="AF101" i="73" s="1"/>
  <c r="AA103" i="73"/>
  <c r="AH103" i="73" s="1"/>
  <c r="AC105" i="73"/>
  <c r="AJ105" i="73" s="1"/>
  <c r="Z108" i="73"/>
  <c r="AG108" i="73" s="1"/>
  <c r="AB110" i="73"/>
  <c r="AI110" i="73" s="1"/>
  <c r="Y113" i="73"/>
  <c r="AF113" i="73" s="1"/>
  <c r="AA115" i="73"/>
  <c r="AH115" i="73" s="1"/>
  <c r="AC117" i="73"/>
  <c r="AJ117" i="73" s="1"/>
  <c r="Y12" i="73"/>
  <c r="AF12" i="73" s="1"/>
  <c r="AA29" i="73"/>
  <c r="AH29" i="73" s="1"/>
  <c r="AC49" i="73"/>
  <c r="AJ49" i="73" s="1"/>
  <c r="Z74" i="73"/>
  <c r="AG74" i="73" s="1"/>
  <c r="Y82" i="73"/>
  <c r="AF82" i="73" s="1"/>
  <c r="AA95" i="73"/>
  <c r="AH95" i="73" s="1"/>
  <c r="AC98" i="73"/>
  <c r="AJ98" i="73" s="1"/>
  <c r="Z101" i="73"/>
  <c r="AG101" i="73" s="1"/>
  <c r="AB103" i="73"/>
  <c r="AI103" i="73" s="1"/>
  <c r="Y106" i="73"/>
  <c r="AF106" i="73" s="1"/>
  <c r="AA108" i="73"/>
  <c r="AH108" i="73" s="1"/>
  <c r="AC110" i="73"/>
  <c r="AJ110" i="73" s="1"/>
  <c r="Z113" i="73"/>
  <c r="AG113" i="73" s="1"/>
  <c r="Z12" i="73"/>
  <c r="AG12" i="73" s="1"/>
  <c r="AB29" i="73"/>
  <c r="AI29" i="73" s="1"/>
  <c r="Y52" i="73"/>
  <c r="AF52" i="73" s="1"/>
  <c r="AA74" i="73"/>
  <c r="AH74" i="73" s="1"/>
  <c r="Z82" i="73"/>
  <c r="AG82" i="73" s="1"/>
  <c r="AB95" i="73"/>
  <c r="AI95" i="73" s="1"/>
  <c r="Y99" i="73"/>
  <c r="AF99" i="73" s="1"/>
  <c r="AA101" i="73"/>
  <c r="AH101" i="73" s="1"/>
  <c r="AC103" i="73"/>
  <c r="AJ103" i="73" s="1"/>
  <c r="Z106" i="73"/>
  <c r="AG106" i="73" s="1"/>
  <c r="AB108" i="73"/>
  <c r="AI108" i="73" s="1"/>
  <c r="Y111" i="73"/>
  <c r="AF111" i="73" s="1"/>
  <c r="AA113" i="73"/>
  <c r="AH113" i="73" s="1"/>
  <c r="AA12" i="73"/>
  <c r="AH12" i="73" s="1"/>
  <c r="AC29" i="73"/>
  <c r="AJ29" i="73" s="1"/>
  <c r="Z52" i="73"/>
  <c r="AG52" i="73" s="1"/>
  <c r="AB74" i="73"/>
  <c r="AI74" i="73" s="1"/>
  <c r="Y78" i="73"/>
  <c r="AF78" i="73" s="1"/>
  <c r="AA82" i="73"/>
  <c r="AH82" i="73" s="1"/>
  <c r="AC95" i="73"/>
  <c r="AJ95" i="73" s="1"/>
  <c r="Z99" i="73"/>
  <c r="AG99" i="73" s="1"/>
  <c r="AB101" i="73"/>
  <c r="AI101" i="73" s="1"/>
  <c r="Y104" i="73"/>
  <c r="AF104" i="73" s="1"/>
  <c r="AA106" i="73"/>
  <c r="AH106" i="73" s="1"/>
  <c r="AC108" i="73"/>
  <c r="AJ108" i="73" s="1"/>
  <c r="Z111" i="73"/>
  <c r="AG111" i="73" s="1"/>
  <c r="AB113" i="73"/>
  <c r="AI113" i="73" s="1"/>
  <c r="Y116" i="73"/>
  <c r="AF116" i="73" s="1"/>
  <c r="Y19" i="73"/>
  <c r="AF19" i="73" s="1"/>
  <c r="AA39" i="73"/>
  <c r="AH39" i="73" s="1"/>
  <c r="AC52" i="73"/>
  <c r="AJ52" i="73" s="1"/>
  <c r="Z76" i="73"/>
  <c r="AG76" i="73" s="1"/>
  <c r="AB78" i="73"/>
  <c r="AI78" i="73" s="1"/>
  <c r="Y84" i="73"/>
  <c r="AF84" i="73" s="1"/>
  <c r="AA97" i="73"/>
  <c r="AH97" i="73" s="1"/>
  <c r="AC99" i="73"/>
  <c r="AJ99" i="73" s="1"/>
  <c r="Z102" i="73"/>
  <c r="AG102" i="73" s="1"/>
  <c r="AB104" i="73"/>
  <c r="AI104" i="73" s="1"/>
  <c r="Y107" i="73"/>
  <c r="AF107" i="73" s="1"/>
  <c r="AA109" i="73"/>
  <c r="AH109" i="73" s="1"/>
  <c r="AC111" i="73"/>
  <c r="AJ111" i="73" s="1"/>
  <c r="Z114" i="73"/>
  <c r="AG114" i="73" s="1"/>
  <c r="Z19" i="73"/>
  <c r="AG19" i="73" s="1"/>
  <c r="AA76" i="73"/>
  <c r="AH76" i="73" s="1"/>
  <c r="AB97" i="73"/>
  <c r="AI97" i="73" s="1"/>
  <c r="AC104" i="73"/>
  <c r="AJ104" i="73" s="1"/>
  <c r="AA111" i="73"/>
  <c r="AH111" i="73" s="1"/>
  <c r="AB115" i="73"/>
  <c r="AI115" i="73" s="1"/>
  <c r="AB118" i="73"/>
  <c r="AI118" i="73" s="1"/>
  <c r="Y121" i="73"/>
  <c r="AF121" i="73" s="1"/>
  <c r="AA123" i="73"/>
  <c r="AH123" i="73" s="1"/>
  <c r="AC125" i="73"/>
  <c r="AJ125" i="73" s="1"/>
  <c r="Z128" i="73"/>
  <c r="AG128" i="73" s="1"/>
  <c r="AB130" i="73"/>
  <c r="AI130" i="73" s="1"/>
  <c r="Y133" i="73"/>
  <c r="AF133" i="73" s="1"/>
  <c r="AA135" i="73"/>
  <c r="AH135" i="73" s="1"/>
  <c r="AC137" i="73"/>
  <c r="AJ137" i="73" s="1"/>
  <c r="Z140" i="73"/>
  <c r="AG140" i="73" s="1"/>
  <c r="AB142" i="73"/>
  <c r="AI142" i="73" s="1"/>
  <c r="Y145" i="73"/>
  <c r="AF145" i="73" s="1"/>
  <c r="AA147" i="73"/>
  <c r="AH147" i="73" s="1"/>
  <c r="G19" i="73"/>
  <c r="N19" i="73" s="1"/>
  <c r="I39" i="73"/>
  <c r="P39" i="73" s="1"/>
  <c r="K52" i="73"/>
  <c r="R52" i="73" s="1"/>
  <c r="H76" i="73"/>
  <c r="O76" i="73" s="1"/>
  <c r="J78" i="73"/>
  <c r="Q78" i="73" s="1"/>
  <c r="G84" i="73"/>
  <c r="N84" i="73" s="1"/>
  <c r="I97" i="73"/>
  <c r="P97" i="73" s="1"/>
  <c r="K99" i="73"/>
  <c r="R99" i="73" s="1"/>
  <c r="H102" i="73"/>
  <c r="O102" i="73" s="1"/>
  <c r="J104" i="73"/>
  <c r="Q104" i="73" s="1"/>
  <c r="AA19" i="73"/>
  <c r="AH19" i="73" s="1"/>
  <c r="AB76" i="73"/>
  <c r="AI76" i="73" s="1"/>
  <c r="AC97" i="73"/>
  <c r="AJ97" i="73" s="1"/>
  <c r="Y105" i="73"/>
  <c r="AF105" i="73" s="1"/>
  <c r="AB111" i="73"/>
  <c r="AI111" i="73" s="1"/>
  <c r="AC115" i="73"/>
  <c r="AJ115" i="73" s="1"/>
  <c r="AC118" i="73"/>
  <c r="AJ118" i="73" s="1"/>
  <c r="Z121" i="73"/>
  <c r="AG121" i="73" s="1"/>
  <c r="AB123" i="73"/>
  <c r="AI123" i="73" s="1"/>
  <c r="Y126" i="73"/>
  <c r="AF126" i="73" s="1"/>
  <c r="AA128" i="73"/>
  <c r="AH128" i="73" s="1"/>
  <c r="AC130" i="73"/>
  <c r="AJ130" i="73" s="1"/>
  <c r="Z133" i="73"/>
  <c r="AG133" i="73" s="1"/>
  <c r="AB135" i="73"/>
  <c r="AI135" i="73" s="1"/>
  <c r="Y138" i="73"/>
  <c r="AF138" i="73" s="1"/>
  <c r="AA140" i="73"/>
  <c r="AH140" i="73" s="1"/>
  <c r="AC142" i="73"/>
  <c r="AJ142" i="73" s="1"/>
  <c r="Z145" i="73"/>
  <c r="AG145" i="73" s="1"/>
  <c r="AB147" i="73"/>
  <c r="AI147" i="73" s="1"/>
  <c r="H19" i="73"/>
  <c r="O19" i="73" s="1"/>
  <c r="J39" i="73"/>
  <c r="Q39" i="73" s="1"/>
  <c r="G63" i="73"/>
  <c r="N63" i="73" s="1"/>
  <c r="I76" i="73"/>
  <c r="P76" i="73" s="1"/>
  <c r="K78" i="73"/>
  <c r="R78" i="73" s="1"/>
  <c r="H84" i="73"/>
  <c r="O84" i="73" s="1"/>
  <c r="J97" i="73"/>
  <c r="Q97" i="73" s="1"/>
  <c r="G100" i="73"/>
  <c r="N100" i="73" s="1"/>
  <c r="I102" i="73"/>
  <c r="P102" i="73" s="1"/>
  <c r="K104" i="73"/>
  <c r="R104" i="73" s="1"/>
  <c r="H107" i="73"/>
  <c r="O107" i="73" s="1"/>
  <c r="J109" i="73"/>
  <c r="Q109" i="73" s="1"/>
  <c r="G112" i="73"/>
  <c r="N112" i="73" s="1"/>
  <c r="Y39" i="73"/>
  <c r="AF39" i="73" s="1"/>
  <c r="Z78" i="73"/>
  <c r="AG78" i="73" s="1"/>
  <c r="AA99" i="73"/>
  <c r="AH99" i="73" s="1"/>
  <c r="AB106" i="73"/>
  <c r="AI106" i="73" s="1"/>
  <c r="Y112" i="73"/>
  <c r="AF112" i="73" s="1"/>
  <c r="Z116" i="73"/>
  <c r="AG116" i="73" s="1"/>
  <c r="Y119" i="73"/>
  <c r="AF119" i="73" s="1"/>
  <c r="AA121" i="73"/>
  <c r="AH121" i="73" s="1"/>
  <c r="AC123" i="73"/>
  <c r="AJ123" i="73" s="1"/>
  <c r="Z126" i="73"/>
  <c r="AG126" i="73" s="1"/>
  <c r="AB128" i="73"/>
  <c r="AI128" i="73" s="1"/>
  <c r="Y131" i="73"/>
  <c r="AF131" i="73" s="1"/>
  <c r="AA133" i="73"/>
  <c r="AH133" i="73" s="1"/>
  <c r="AC135" i="73"/>
  <c r="AJ135" i="73" s="1"/>
  <c r="Z138" i="73"/>
  <c r="AG138" i="73" s="1"/>
  <c r="AB140" i="73"/>
  <c r="AI140" i="73" s="1"/>
  <c r="Y143" i="73"/>
  <c r="AF143" i="73" s="1"/>
  <c r="AA145" i="73"/>
  <c r="AH145" i="73" s="1"/>
  <c r="AC147" i="73"/>
  <c r="AJ147" i="73" s="1"/>
  <c r="G7" i="73"/>
  <c r="N7" i="73" s="1"/>
  <c r="I19" i="73"/>
  <c r="P19" i="73" s="1"/>
  <c r="K39" i="73"/>
  <c r="R39" i="73" s="1"/>
  <c r="H63" i="73"/>
  <c r="O63" i="73" s="1"/>
  <c r="J76" i="73"/>
  <c r="Q76" i="73" s="1"/>
  <c r="G80" i="73"/>
  <c r="N80" i="73" s="1"/>
  <c r="I84" i="73"/>
  <c r="P84" i="73" s="1"/>
  <c r="K97" i="73"/>
  <c r="R97" i="73" s="1"/>
  <c r="H100" i="73"/>
  <c r="O100" i="73" s="1"/>
  <c r="J102" i="73"/>
  <c r="Q102" i="73" s="1"/>
  <c r="G105" i="73"/>
  <c r="N105" i="73" s="1"/>
  <c r="I107" i="73"/>
  <c r="P107" i="73" s="1"/>
  <c r="K109" i="73"/>
  <c r="R109" i="73" s="1"/>
  <c r="H112" i="73"/>
  <c r="O112" i="73" s="1"/>
  <c r="Z39" i="73"/>
  <c r="AG39" i="73" s="1"/>
  <c r="AA78" i="73"/>
  <c r="AH78" i="73" s="1"/>
  <c r="AB99" i="73"/>
  <c r="AI99" i="73" s="1"/>
  <c r="AC106" i="73"/>
  <c r="AJ106" i="73" s="1"/>
  <c r="Z112" i="73"/>
  <c r="AG112" i="73" s="1"/>
  <c r="AA116" i="73"/>
  <c r="AH116" i="73" s="1"/>
  <c r="Z119" i="73"/>
  <c r="AG119" i="73" s="1"/>
  <c r="AB121" i="73"/>
  <c r="AI121" i="73" s="1"/>
  <c r="Y124" i="73"/>
  <c r="AF124" i="73" s="1"/>
  <c r="AA126" i="73"/>
  <c r="AH126" i="73" s="1"/>
  <c r="AC128" i="73"/>
  <c r="AJ128" i="73" s="1"/>
  <c r="Z131" i="73"/>
  <c r="AG131" i="73" s="1"/>
  <c r="AB133" i="73"/>
  <c r="AI133" i="73" s="1"/>
  <c r="Y136" i="73"/>
  <c r="AF136" i="73" s="1"/>
  <c r="AA138" i="73"/>
  <c r="AH138" i="73" s="1"/>
  <c r="AC140" i="73"/>
  <c r="AJ140" i="73" s="1"/>
  <c r="Z143" i="73"/>
  <c r="AG143" i="73" s="1"/>
  <c r="AB145" i="73"/>
  <c r="AI145" i="73" s="1"/>
  <c r="H7" i="73"/>
  <c r="O7" i="73" s="1"/>
  <c r="J19" i="73"/>
  <c r="Q19" i="73" s="1"/>
  <c r="G49" i="73"/>
  <c r="N49" i="73" s="1"/>
  <c r="I63" i="73"/>
  <c r="P63" i="73" s="1"/>
  <c r="K76" i="73"/>
  <c r="R76" i="73" s="1"/>
  <c r="H80" i="73"/>
  <c r="O80" i="73" s="1"/>
  <c r="J84" i="73"/>
  <c r="Q84" i="73" s="1"/>
  <c r="G98" i="73"/>
  <c r="N98" i="73" s="1"/>
  <c r="I100" i="73"/>
  <c r="P100" i="73" s="1"/>
  <c r="K102" i="73"/>
  <c r="R102" i="73" s="1"/>
  <c r="H105" i="73"/>
  <c r="O105" i="73" s="1"/>
  <c r="J107" i="73"/>
  <c r="Q107" i="73" s="1"/>
  <c r="G110" i="73"/>
  <c r="N110" i="73" s="1"/>
  <c r="I112" i="73"/>
  <c r="P112" i="73" s="1"/>
  <c r="AB39" i="73"/>
  <c r="AI39" i="73" s="1"/>
  <c r="AC78" i="73"/>
  <c r="AJ78" i="73" s="1"/>
  <c r="Y100" i="73"/>
  <c r="AF100" i="73" s="1"/>
  <c r="Z107" i="73"/>
  <c r="AG107" i="73" s="1"/>
  <c r="AA112" i="73"/>
  <c r="AH112" i="73" s="1"/>
  <c r="AB116" i="73"/>
  <c r="AI116" i="73" s="1"/>
  <c r="AA119" i="73"/>
  <c r="AH119" i="73" s="1"/>
  <c r="AC121" i="73"/>
  <c r="AJ121" i="73" s="1"/>
  <c r="Z124" i="73"/>
  <c r="AG124" i="73" s="1"/>
  <c r="AB126" i="73"/>
  <c r="AI126" i="73" s="1"/>
  <c r="Y129" i="73"/>
  <c r="AF129" i="73" s="1"/>
  <c r="AA131" i="73"/>
  <c r="AH131" i="73" s="1"/>
  <c r="AC133" i="73"/>
  <c r="AJ133" i="73" s="1"/>
  <c r="Z136" i="73"/>
  <c r="AG136" i="73" s="1"/>
  <c r="AB138" i="73"/>
  <c r="AI138" i="73" s="1"/>
  <c r="Y141" i="73"/>
  <c r="AF141" i="73" s="1"/>
  <c r="AA143" i="73"/>
  <c r="AH143" i="73" s="1"/>
  <c r="AC145" i="73"/>
  <c r="AJ145" i="73" s="1"/>
  <c r="I7" i="73"/>
  <c r="P7" i="73" s="1"/>
  <c r="K19" i="73"/>
  <c r="R19" i="73" s="1"/>
  <c r="H49" i="73"/>
  <c r="O49" i="73" s="1"/>
  <c r="J63" i="73"/>
  <c r="Q63" i="73" s="1"/>
  <c r="G77" i="73"/>
  <c r="I80" i="73"/>
  <c r="P80" i="73" s="1"/>
  <c r="K84" i="73"/>
  <c r="R84" i="73" s="1"/>
  <c r="H98" i="73"/>
  <c r="O98" i="73" s="1"/>
  <c r="J100" i="73"/>
  <c r="Q100" i="73" s="1"/>
  <c r="G103" i="73"/>
  <c r="N103" i="73" s="1"/>
  <c r="AC39" i="73"/>
  <c r="AJ39" i="73" s="1"/>
  <c r="Y80" i="73"/>
  <c r="AF80" i="73" s="1"/>
  <c r="Z100" i="73"/>
  <c r="AG100" i="73" s="1"/>
  <c r="AA107" i="73"/>
  <c r="AH107" i="73" s="1"/>
  <c r="AB112" i="73"/>
  <c r="AI112" i="73" s="1"/>
  <c r="AC116" i="73"/>
  <c r="AJ116" i="73" s="1"/>
  <c r="AB119" i="73"/>
  <c r="AI119" i="73" s="1"/>
  <c r="Y122" i="73"/>
  <c r="AF122" i="73" s="1"/>
  <c r="AA124" i="73"/>
  <c r="AH124" i="73" s="1"/>
  <c r="AC126" i="73"/>
  <c r="AJ126" i="73" s="1"/>
  <c r="Z129" i="73"/>
  <c r="AG129" i="73" s="1"/>
  <c r="AB131" i="73"/>
  <c r="AI131" i="73" s="1"/>
  <c r="Y134" i="73"/>
  <c r="AF134" i="73" s="1"/>
  <c r="AA136" i="73"/>
  <c r="AH136" i="73" s="1"/>
  <c r="AC138" i="73"/>
  <c r="AJ138" i="73" s="1"/>
  <c r="Z141" i="73"/>
  <c r="AG141" i="73" s="1"/>
  <c r="AB143" i="73"/>
  <c r="AI143" i="73" s="1"/>
  <c r="Y146" i="73"/>
  <c r="AF146" i="73" s="1"/>
  <c r="J7" i="73"/>
  <c r="Q7" i="73" s="1"/>
  <c r="G29" i="73"/>
  <c r="N29" i="73" s="1"/>
  <c r="I49" i="73"/>
  <c r="P49" i="73" s="1"/>
  <c r="K63" i="73"/>
  <c r="R63" i="73" s="1"/>
  <c r="H77" i="73"/>
  <c r="J80" i="73"/>
  <c r="Q80" i="73" s="1"/>
  <c r="G95" i="73"/>
  <c r="N95" i="73" s="1"/>
  <c r="I98" i="73"/>
  <c r="P98" i="73" s="1"/>
  <c r="K100" i="73"/>
  <c r="R100" i="73" s="1"/>
  <c r="H103" i="73"/>
  <c r="O103" i="73" s="1"/>
  <c r="J105" i="73"/>
  <c r="Q105" i="73" s="1"/>
  <c r="G108" i="73"/>
  <c r="N108" i="73" s="1"/>
  <c r="I110" i="73"/>
  <c r="P110" i="73" s="1"/>
  <c r="K112" i="73"/>
  <c r="R112" i="73" s="1"/>
  <c r="AA52" i="73"/>
  <c r="AH52" i="73" s="1"/>
  <c r="AB82" i="73"/>
  <c r="AI82" i="73" s="1"/>
  <c r="AC101" i="73"/>
  <c r="AJ101" i="73" s="1"/>
  <c r="AC107" i="73"/>
  <c r="AJ107" i="73" s="1"/>
  <c r="AC113" i="73"/>
  <c r="AJ113" i="73" s="1"/>
  <c r="Y117" i="73"/>
  <c r="AF117" i="73" s="1"/>
  <c r="AC119" i="73"/>
  <c r="AJ119" i="73" s="1"/>
  <c r="Z122" i="73"/>
  <c r="AG122" i="73" s="1"/>
  <c r="AB124" i="73"/>
  <c r="AI124" i="73" s="1"/>
  <c r="Y127" i="73"/>
  <c r="AF127" i="73" s="1"/>
  <c r="AA129" i="73"/>
  <c r="AH129" i="73" s="1"/>
  <c r="AC131" i="73"/>
  <c r="AJ131" i="73" s="1"/>
  <c r="Z134" i="73"/>
  <c r="AG134" i="73" s="1"/>
  <c r="AB136" i="73"/>
  <c r="AI136" i="73" s="1"/>
  <c r="Y139" i="73"/>
  <c r="AF139" i="73" s="1"/>
  <c r="AA141" i="73"/>
  <c r="AH141" i="73" s="1"/>
  <c r="AC143" i="73"/>
  <c r="AJ143" i="73" s="1"/>
  <c r="Z146" i="73"/>
  <c r="AG146" i="73" s="1"/>
  <c r="K7" i="73"/>
  <c r="R7" i="73" s="1"/>
  <c r="H29" i="73"/>
  <c r="O29" i="73" s="1"/>
  <c r="J49" i="73"/>
  <c r="Q49" i="73" s="1"/>
  <c r="G74" i="73"/>
  <c r="N74" i="73" s="1"/>
  <c r="K80" i="73"/>
  <c r="R80" i="73" s="1"/>
  <c r="H95" i="73"/>
  <c r="O95" i="73" s="1"/>
  <c r="J98" i="73"/>
  <c r="Q98" i="73" s="1"/>
  <c r="G101" i="73"/>
  <c r="N101" i="73" s="1"/>
  <c r="I103" i="73"/>
  <c r="P103" i="73" s="1"/>
  <c r="K105" i="73"/>
  <c r="R105" i="73" s="1"/>
  <c r="AB52" i="73"/>
  <c r="AI52" i="73" s="1"/>
  <c r="AC82" i="73"/>
  <c r="AJ82" i="73" s="1"/>
  <c r="Y102" i="73"/>
  <c r="AF102" i="73" s="1"/>
  <c r="Y109" i="73"/>
  <c r="AF109" i="73" s="1"/>
  <c r="Y114" i="73"/>
  <c r="AF114" i="73" s="1"/>
  <c r="Z117" i="73"/>
  <c r="AG117" i="73" s="1"/>
  <c r="Y120" i="73"/>
  <c r="AF120" i="73" s="1"/>
  <c r="AA122" i="73"/>
  <c r="AH122" i="73" s="1"/>
  <c r="AC124" i="73"/>
  <c r="AJ124" i="73" s="1"/>
  <c r="Z127" i="73"/>
  <c r="AG127" i="73" s="1"/>
  <c r="AB129" i="73"/>
  <c r="AI129" i="73" s="1"/>
  <c r="Y132" i="73"/>
  <c r="AF132" i="73" s="1"/>
  <c r="AA134" i="73"/>
  <c r="AH134" i="73" s="1"/>
  <c r="AC136" i="73"/>
  <c r="AJ136" i="73" s="1"/>
  <c r="Z139" i="73"/>
  <c r="AG139" i="73" s="1"/>
  <c r="AB141" i="73"/>
  <c r="AI141" i="73" s="1"/>
  <c r="Y144" i="73"/>
  <c r="AF144" i="73" s="1"/>
  <c r="AA146" i="73"/>
  <c r="AH146" i="73" s="1"/>
  <c r="Y7" i="73"/>
  <c r="AF7" i="73" s="1"/>
  <c r="Z63" i="73"/>
  <c r="AG63" i="73" s="1"/>
  <c r="AA84" i="73"/>
  <c r="AH84" i="73" s="1"/>
  <c r="AB102" i="73"/>
  <c r="AI102" i="73" s="1"/>
  <c r="AB109" i="73"/>
  <c r="AI109" i="73" s="1"/>
  <c r="AB114" i="73"/>
  <c r="AI114" i="73" s="1"/>
  <c r="Y118" i="73"/>
  <c r="AF118" i="73" s="1"/>
  <c r="AA120" i="73"/>
  <c r="AH120" i="73" s="1"/>
  <c r="AC122" i="73"/>
  <c r="AJ122" i="73" s="1"/>
  <c r="Z125" i="73"/>
  <c r="AG125" i="73" s="1"/>
  <c r="AB127" i="73"/>
  <c r="AI127" i="73" s="1"/>
  <c r="Y130" i="73"/>
  <c r="AF130" i="73" s="1"/>
  <c r="AA132" i="73"/>
  <c r="AH132" i="73" s="1"/>
  <c r="AC134" i="73"/>
  <c r="AJ134" i="73" s="1"/>
  <c r="Z137" i="73"/>
  <c r="AG137" i="73" s="1"/>
  <c r="AB139" i="73"/>
  <c r="AI139" i="73" s="1"/>
  <c r="Y142" i="73"/>
  <c r="AF142" i="73" s="1"/>
  <c r="AA144" i="73"/>
  <c r="AH144" i="73" s="1"/>
  <c r="AC146" i="73"/>
  <c r="AJ146" i="73" s="1"/>
  <c r="I12" i="73"/>
  <c r="P12" i="73" s="1"/>
  <c r="K29" i="73"/>
  <c r="R29" i="73" s="1"/>
  <c r="H52" i="73"/>
  <c r="O52" i="73" s="1"/>
  <c r="J74" i="73"/>
  <c r="Q74" i="73" s="1"/>
  <c r="G78" i="73"/>
  <c r="N78" i="73" s="1"/>
  <c r="I82" i="73"/>
  <c r="P82" i="73" s="1"/>
  <c r="K95" i="73"/>
  <c r="R95" i="73" s="1"/>
  <c r="H99" i="73"/>
  <c r="O99" i="73" s="1"/>
  <c r="J101" i="73"/>
  <c r="Q101" i="73" s="1"/>
  <c r="AA104" i="73"/>
  <c r="AH104" i="73" s="1"/>
  <c r="AC120" i="73"/>
  <c r="AJ120" i="73" s="1"/>
  <c r="AA130" i="73"/>
  <c r="AH130" i="73" s="1"/>
  <c r="Y140" i="73"/>
  <c r="AF140" i="73" s="1"/>
  <c r="J52" i="73"/>
  <c r="Q52" i="73" s="1"/>
  <c r="K82" i="73"/>
  <c r="R82" i="73" s="1"/>
  <c r="G102" i="73"/>
  <c r="N102" i="73" s="1"/>
  <c r="G107" i="73"/>
  <c r="N107" i="73" s="1"/>
  <c r="G111" i="73"/>
  <c r="N111" i="73" s="1"/>
  <c r="H114" i="73"/>
  <c r="O114" i="73" s="1"/>
  <c r="J116" i="73"/>
  <c r="Q116" i="73" s="1"/>
  <c r="G119" i="73"/>
  <c r="N119" i="73" s="1"/>
  <c r="I121" i="73"/>
  <c r="P121" i="73" s="1"/>
  <c r="K123" i="73"/>
  <c r="R123" i="73" s="1"/>
  <c r="H126" i="73"/>
  <c r="O126" i="73" s="1"/>
  <c r="J128" i="73"/>
  <c r="Q128" i="73" s="1"/>
  <c r="G131" i="73"/>
  <c r="N131" i="73" s="1"/>
  <c r="I133" i="73"/>
  <c r="P133" i="73" s="1"/>
  <c r="K135" i="73"/>
  <c r="R135" i="73" s="1"/>
  <c r="H138" i="73"/>
  <c r="O138" i="73" s="1"/>
  <c r="J140" i="73"/>
  <c r="Q140" i="73" s="1"/>
  <c r="G143" i="73"/>
  <c r="N143" i="73" s="1"/>
  <c r="I145" i="73"/>
  <c r="P145" i="73" s="1"/>
  <c r="K147" i="73"/>
  <c r="R147" i="73" s="1"/>
  <c r="AC127" i="73"/>
  <c r="AJ127" i="73" s="1"/>
  <c r="K115" i="73"/>
  <c r="R115" i="73" s="1"/>
  <c r="I125" i="73"/>
  <c r="P125" i="73" s="1"/>
  <c r="K139" i="73"/>
  <c r="R139" i="73" s="1"/>
  <c r="K113" i="73"/>
  <c r="R113" i="73" s="1"/>
  <c r="Z109" i="73"/>
  <c r="AG109" i="73" s="1"/>
  <c r="AB122" i="73"/>
  <c r="AI122" i="73" s="1"/>
  <c r="Z132" i="73"/>
  <c r="AG132" i="73" s="1"/>
  <c r="AC141" i="73"/>
  <c r="AJ141" i="73" s="1"/>
  <c r="G12" i="73"/>
  <c r="N12" i="73" s="1"/>
  <c r="H74" i="73"/>
  <c r="O74" i="73" s="1"/>
  <c r="I95" i="73"/>
  <c r="P95" i="73" s="1"/>
  <c r="J103" i="73"/>
  <c r="Q103" i="73" s="1"/>
  <c r="K107" i="73"/>
  <c r="R107" i="73" s="1"/>
  <c r="H111" i="73"/>
  <c r="O111" i="73" s="1"/>
  <c r="I114" i="73"/>
  <c r="P114" i="73" s="1"/>
  <c r="K116" i="73"/>
  <c r="R116" i="73" s="1"/>
  <c r="H119" i="73"/>
  <c r="O119" i="73" s="1"/>
  <c r="J121" i="73"/>
  <c r="Q121" i="73" s="1"/>
  <c r="G124" i="73"/>
  <c r="N124" i="73" s="1"/>
  <c r="I126" i="73"/>
  <c r="P126" i="73" s="1"/>
  <c r="K128" i="73"/>
  <c r="R128" i="73" s="1"/>
  <c r="H131" i="73"/>
  <c r="O131" i="73" s="1"/>
  <c r="J133" i="73"/>
  <c r="Q133" i="73" s="1"/>
  <c r="G136" i="73"/>
  <c r="N136" i="73" s="1"/>
  <c r="I138" i="73"/>
  <c r="P138" i="73" s="1"/>
  <c r="K140" i="73"/>
  <c r="R140" i="73" s="1"/>
  <c r="H143" i="73"/>
  <c r="O143" i="73" s="1"/>
  <c r="J145" i="73"/>
  <c r="Q145" i="73" s="1"/>
  <c r="H106" i="73"/>
  <c r="O106" i="73" s="1"/>
  <c r="J132" i="73"/>
  <c r="Q132" i="73" s="1"/>
  <c r="H116" i="73"/>
  <c r="O116" i="73" s="1"/>
  <c r="AB12" i="73"/>
  <c r="AI12" i="73" s="1"/>
  <c r="AC109" i="73"/>
  <c r="AJ109" i="73" s="1"/>
  <c r="Y123" i="73"/>
  <c r="AF123" i="73" s="1"/>
  <c r="AB132" i="73"/>
  <c r="AI132" i="73" s="1"/>
  <c r="Z142" i="73"/>
  <c r="AG142" i="73" s="1"/>
  <c r="H12" i="73"/>
  <c r="O12" i="73" s="1"/>
  <c r="I74" i="73"/>
  <c r="P74" i="73" s="1"/>
  <c r="J95" i="73"/>
  <c r="Q95" i="73" s="1"/>
  <c r="K103" i="73"/>
  <c r="R103" i="73" s="1"/>
  <c r="H108" i="73"/>
  <c r="O108" i="73" s="1"/>
  <c r="I111" i="73"/>
  <c r="P111" i="73" s="1"/>
  <c r="J114" i="73"/>
  <c r="Q114" i="73" s="1"/>
  <c r="G117" i="73"/>
  <c r="N117" i="73" s="1"/>
  <c r="I119" i="73"/>
  <c r="P119" i="73" s="1"/>
  <c r="K121" i="73"/>
  <c r="R121" i="73" s="1"/>
  <c r="H124" i="73"/>
  <c r="O124" i="73" s="1"/>
  <c r="J126" i="73"/>
  <c r="Q126" i="73" s="1"/>
  <c r="G129" i="73"/>
  <c r="N129" i="73" s="1"/>
  <c r="I131" i="73"/>
  <c r="P131" i="73" s="1"/>
  <c r="K133" i="73"/>
  <c r="R133" i="73" s="1"/>
  <c r="H136" i="73"/>
  <c r="O136" i="73" s="1"/>
  <c r="J138" i="73"/>
  <c r="Q138" i="73" s="1"/>
  <c r="G141" i="73"/>
  <c r="N141" i="73" s="1"/>
  <c r="I143" i="73"/>
  <c r="P143" i="73" s="1"/>
  <c r="K145" i="73"/>
  <c r="R145" i="73" s="1"/>
  <c r="Y147" i="73"/>
  <c r="AF147" i="73" s="1"/>
  <c r="I113" i="73"/>
  <c r="P113" i="73" s="1"/>
  <c r="I137" i="73"/>
  <c r="P137" i="73" s="1"/>
  <c r="AC12" i="73"/>
  <c r="AJ12" i="73" s="1"/>
  <c r="Z110" i="73"/>
  <c r="AG110" i="73" s="1"/>
  <c r="Z123" i="73"/>
  <c r="AG123" i="73" s="1"/>
  <c r="AC132" i="73"/>
  <c r="AJ132" i="73" s="1"/>
  <c r="AA142" i="73"/>
  <c r="AH142" i="73" s="1"/>
  <c r="J12" i="73"/>
  <c r="Q12" i="73" s="1"/>
  <c r="K74" i="73"/>
  <c r="R74" i="73" s="1"/>
  <c r="G97" i="73"/>
  <c r="N97" i="73" s="1"/>
  <c r="G104" i="73"/>
  <c r="N104" i="73" s="1"/>
  <c r="I108" i="73"/>
  <c r="P108" i="73" s="1"/>
  <c r="J111" i="73"/>
  <c r="Q111" i="73" s="1"/>
  <c r="K114" i="73"/>
  <c r="R114" i="73" s="1"/>
  <c r="H117" i="73"/>
  <c r="O117" i="73" s="1"/>
  <c r="J119" i="73"/>
  <c r="Q119" i="73" s="1"/>
  <c r="G122" i="73"/>
  <c r="N122" i="73" s="1"/>
  <c r="I124" i="73"/>
  <c r="P124" i="73" s="1"/>
  <c r="K126" i="73"/>
  <c r="R126" i="73" s="1"/>
  <c r="H129" i="73"/>
  <c r="O129" i="73" s="1"/>
  <c r="J131" i="73"/>
  <c r="Q131" i="73" s="1"/>
  <c r="G134" i="73"/>
  <c r="N134" i="73" s="1"/>
  <c r="I136" i="73"/>
  <c r="P136" i="73" s="1"/>
  <c r="K138" i="73"/>
  <c r="R138" i="73" s="1"/>
  <c r="H141" i="73"/>
  <c r="O141" i="73" s="1"/>
  <c r="J143" i="73"/>
  <c r="Q143" i="73" s="1"/>
  <c r="G146" i="73"/>
  <c r="N146" i="73" s="1"/>
  <c r="H39" i="73"/>
  <c r="O39" i="73" s="1"/>
  <c r="G123" i="73"/>
  <c r="N123" i="73" s="1"/>
  <c r="H142" i="73"/>
  <c r="O142" i="73" s="1"/>
  <c r="I101" i="73"/>
  <c r="P101" i="73" s="1"/>
  <c r="Y63" i="73"/>
  <c r="AF63" i="73" s="1"/>
  <c r="AA114" i="73"/>
  <c r="AH114" i="73" s="1"/>
  <c r="Y125" i="73"/>
  <c r="AF125" i="73" s="1"/>
  <c r="AB134" i="73"/>
  <c r="AI134" i="73" s="1"/>
  <c r="Z144" i="73"/>
  <c r="AG144" i="73" s="1"/>
  <c r="K12" i="73"/>
  <c r="R12" i="73" s="1"/>
  <c r="G76" i="73"/>
  <c r="N76" i="73" s="1"/>
  <c r="H97" i="73"/>
  <c r="O97" i="73" s="1"/>
  <c r="H104" i="73"/>
  <c r="O104" i="73" s="1"/>
  <c r="J108" i="73"/>
  <c r="Q108" i="73" s="1"/>
  <c r="K111" i="73"/>
  <c r="R111" i="73" s="1"/>
  <c r="G115" i="73"/>
  <c r="N115" i="73" s="1"/>
  <c r="I117" i="73"/>
  <c r="P117" i="73" s="1"/>
  <c r="K119" i="73"/>
  <c r="R119" i="73" s="1"/>
  <c r="H122" i="73"/>
  <c r="O122" i="73" s="1"/>
  <c r="J124" i="73"/>
  <c r="Q124" i="73" s="1"/>
  <c r="G127" i="73"/>
  <c r="N127" i="73" s="1"/>
  <c r="I129" i="73"/>
  <c r="P129" i="73" s="1"/>
  <c r="K131" i="73"/>
  <c r="R131" i="73" s="1"/>
  <c r="H134" i="73"/>
  <c r="O134" i="73" s="1"/>
  <c r="J136" i="73"/>
  <c r="Q136" i="73" s="1"/>
  <c r="G139" i="73"/>
  <c r="N139" i="73" s="1"/>
  <c r="I141" i="73"/>
  <c r="P141" i="73" s="1"/>
  <c r="K143" i="73"/>
  <c r="R143" i="73" s="1"/>
  <c r="H146" i="73"/>
  <c r="O146" i="73" s="1"/>
  <c r="J99" i="73"/>
  <c r="Q99" i="73" s="1"/>
  <c r="K127" i="73"/>
  <c r="R127" i="73" s="1"/>
  <c r="J144" i="73"/>
  <c r="Q144" i="73" s="1"/>
  <c r="G52" i="73"/>
  <c r="N52" i="73" s="1"/>
  <c r="AC74" i="73"/>
  <c r="AJ74" i="73" s="1"/>
  <c r="AC114" i="73"/>
  <c r="AJ114" i="73" s="1"/>
  <c r="AA125" i="73"/>
  <c r="AH125" i="73" s="1"/>
  <c r="Y135" i="73"/>
  <c r="AF135" i="73" s="1"/>
  <c r="AB144" i="73"/>
  <c r="AI144" i="73" s="1"/>
  <c r="I29" i="73"/>
  <c r="P29" i="73" s="1"/>
  <c r="K98" i="73"/>
  <c r="R98" i="73" s="1"/>
  <c r="I104" i="73"/>
  <c r="P104" i="73" s="1"/>
  <c r="K108" i="73"/>
  <c r="R108" i="73" s="1"/>
  <c r="J112" i="73"/>
  <c r="Q112" i="73" s="1"/>
  <c r="H115" i="73"/>
  <c r="O115" i="73" s="1"/>
  <c r="J117" i="73"/>
  <c r="Q117" i="73" s="1"/>
  <c r="G120" i="73"/>
  <c r="N120" i="73" s="1"/>
  <c r="I122" i="73"/>
  <c r="P122" i="73" s="1"/>
  <c r="K124" i="73"/>
  <c r="R124" i="73" s="1"/>
  <c r="H127" i="73"/>
  <c r="O127" i="73" s="1"/>
  <c r="J129" i="73"/>
  <c r="Q129" i="73" s="1"/>
  <c r="G132" i="73"/>
  <c r="N132" i="73" s="1"/>
  <c r="I134" i="73"/>
  <c r="P134" i="73" s="1"/>
  <c r="K136" i="73"/>
  <c r="R136" i="73" s="1"/>
  <c r="H139" i="73"/>
  <c r="O139" i="73" s="1"/>
  <c r="J141" i="73"/>
  <c r="Q141" i="73" s="1"/>
  <c r="G144" i="73"/>
  <c r="N144" i="73" s="1"/>
  <c r="I146" i="73"/>
  <c r="P146" i="73" s="1"/>
  <c r="AA137" i="73"/>
  <c r="AH137" i="73" s="1"/>
  <c r="I78" i="73"/>
  <c r="P78" i="73" s="1"/>
  <c r="H118" i="73"/>
  <c r="O118" i="73" s="1"/>
  <c r="H130" i="73"/>
  <c r="O130" i="73" s="1"/>
  <c r="Y76" i="73"/>
  <c r="AF76" i="73" s="1"/>
  <c r="Y115" i="73"/>
  <c r="AF115" i="73" s="1"/>
  <c r="AB125" i="73"/>
  <c r="AI125" i="73" s="1"/>
  <c r="Z135" i="73"/>
  <c r="AG135" i="73" s="1"/>
  <c r="AC144" i="73"/>
  <c r="AJ144" i="73" s="1"/>
  <c r="J29" i="73"/>
  <c r="Q29" i="73" s="1"/>
  <c r="G99" i="73"/>
  <c r="N99" i="73" s="1"/>
  <c r="I105" i="73"/>
  <c r="P105" i="73" s="1"/>
  <c r="G109" i="73"/>
  <c r="N109" i="73" s="1"/>
  <c r="G113" i="73"/>
  <c r="N113" i="73" s="1"/>
  <c r="I115" i="73"/>
  <c r="P115" i="73" s="1"/>
  <c r="K117" i="73"/>
  <c r="R117" i="73" s="1"/>
  <c r="H120" i="73"/>
  <c r="O120" i="73" s="1"/>
  <c r="J122" i="73"/>
  <c r="Q122" i="73" s="1"/>
  <c r="G125" i="73"/>
  <c r="N125" i="73" s="1"/>
  <c r="I127" i="73"/>
  <c r="P127" i="73" s="1"/>
  <c r="K129" i="73"/>
  <c r="R129" i="73" s="1"/>
  <c r="H132" i="73"/>
  <c r="O132" i="73" s="1"/>
  <c r="J134" i="73"/>
  <c r="Q134" i="73" s="1"/>
  <c r="G137" i="73"/>
  <c r="N137" i="73" s="1"/>
  <c r="I139" i="73"/>
  <c r="P139" i="73" s="1"/>
  <c r="K141" i="73"/>
  <c r="R141" i="73" s="1"/>
  <c r="H144" i="73"/>
  <c r="O144" i="73" s="1"/>
  <c r="J146" i="73"/>
  <c r="Q146" i="73" s="1"/>
  <c r="Y97" i="73"/>
  <c r="AF97" i="73" s="1"/>
  <c r="I109" i="73"/>
  <c r="P109" i="73" s="1"/>
  <c r="G135" i="73"/>
  <c r="N135" i="73" s="1"/>
  <c r="J106" i="73"/>
  <c r="Q106" i="73" s="1"/>
  <c r="Z84" i="73"/>
  <c r="AG84" i="73" s="1"/>
  <c r="AA117" i="73"/>
  <c r="AH117" i="73" s="1"/>
  <c r="AA127" i="73"/>
  <c r="AH127" i="73" s="1"/>
  <c r="Y137" i="73"/>
  <c r="AF137" i="73" s="1"/>
  <c r="AB146" i="73"/>
  <c r="AI146" i="73" s="1"/>
  <c r="G39" i="73"/>
  <c r="N39" i="73" s="1"/>
  <c r="H78" i="73"/>
  <c r="O78" i="73" s="1"/>
  <c r="I99" i="73"/>
  <c r="P99" i="73" s="1"/>
  <c r="G106" i="73"/>
  <c r="N106" i="73" s="1"/>
  <c r="H109" i="73"/>
  <c r="O109" i="73" s="1"/>
  <c r="H113" i="73"/>
  <c r="O113" i="73" s="1"/>
  <c r="J115" i="73"/>
  <c r="Q115" i="73" s="1"/>
  <c r="G118" i="73"/>
  <c r="N118" i="73" s="1"/>
  <c r="I120" i="73"/>
  <c r="P120" i="73" s="1"/>
  <c r="K122" i="73"/>
  <c r="R122" i="73" s="1"/>
  <c r="H125" i="73"/>
  <c r="O125" i="73" s="1"/>
  <c r="J127" i="73"/>
  <c r="Q127" i="73" s="1"/>
  <c r="G130" i="73"/>
  <c r="N130" i="73" s="1"/>
  <c r="I132" i="73"/>
  <c r="P132" i="73" s="1"/>
  <c r="K134" i="73"/>
  <c r="R134" i="73" s="1"/>
  <c r="H137" i="73"/>
  <c r="O137" i="73" s="1"/>
  <c r="J139" i="73"/>
  <c r="Q139" i="73" s="1"/>
  <c r="G142" i="73"/>
  <c r="N142" i="73" s="1"/>
  <c r="I144" i="73"/>
  <c r="P144" i="73" s="1"/>
  <c r="K146" i="73"/>
  <c r="R146" i="73" s="1"/>
  <c r="Z118" i="73"/>
  <c r="AG118" i="73" s="1"/>
  <c r="J120" i="73"/>
  <c r="Q120" i="73" s="1"/>
  <c r="G147" i="73"/>
  <c r="N147" i="73" s="1"/>
  <c r="Z97" i="73"/>
  <c r="AG97" i="73" s="1"/>
  <c r="AA118" i="73"/>
  <c r="AH118" i="73" s="1"/>
  <c r="Y128" i="73"/>
  <c r="AF128" i="73" s="1"/>
  <c r="AB137" i="73"/>
  <c r="AI137" i="73" s="1"/>
  <c r="Z147" i="73"/>
  <c r="AG147" i="73" s="1"/>
  <c r="K49" i="73"/>
  <c r="R49" i="73" s="1"/>
  <c r="G82" i="73"/>
  <c r="N82" i="73" s="1"/>
  <c r="H101" i="73"/>
  <c r="O101" i="73" s="1"/>
  <c r="I106" i="73"/>
  <c r="P106" i="73" s="1"/>
  <c r="H110" i="73"/>
  <c r="O110" i="73" s="1"/>
  <c r="J113" i="73"/>
  <c r="Q113" i="73" s="1"/>
  <c r="G116" i="73"/>
  <c r="N116" i="73" s="1"/>
  <c r="I118" i="73"/>
  <c r="P118" i="73" s="1"/>
  <c r="K120" i="73"/>
  <c r="R120" i="73" s="1"/>
  <c r="H123" i="73"/>
  <c r="O123" i="73" s="1"/>
  <c r="J125" i="73"/>
  <c r="Q125" i="73" s="1"/>
  <c r="G128" i="73"/>
  <c r="N128" i="73" s="1"/>
  <c r="I130" i="73"/>
  <c r="P130" i="73" s="1"/>
  <c r="K132" i="73"/>
  <c r="R132" i="73" s="1"/>
  <c r="H135" i="73"/>
  <c r="O135" i="73" s="1"/>
  <c r="J137" i="73"/>
  <c r="Q137" i="73" s="1"/>
  <c r="G140" i="73"/>
  <c r="N140" i="73" s="1"/>
  <c r="I142" i="73"/>
  <c r="P142" i="73" s="1"/>
  <c r="K144" i="73"/>
  <c r="R144" i="73" s="1"/>
  <c r="H147" i="73"/>
  <c r="O147" i="73" s="1"/>
  <c r="AA102" i="73"/>
  <c r="AH102" i="73" s="1"/>
  <c r="Z120" i="73"/>
  <c r="AG120" i="73" s="1"/>
  <c r="AC129" i="73"/>
  <c r="AJ129" i="73" s="1"/>
  <c r="AA139" i="73"/>
  <c r="AH139" i="73" s="1"/>
  <c r="H82" i="73"/>
  <c r="O82" i="73" s="1"/>
  <c r="K110" i="73"/>
  <c r="R110" i="73" s="1"/>
  <c r="I128" i="73"/>
  <c r="P128" i="73" s="1"/>
  <c r="K142" i="73"/>
  <c r="R142" i="73" s="1"/>
  <c r="H145" i="73"/>
  <c r="O145" i="73" s="1"/>
  <c r="K137" i="73"/>
  <c r="R137" i="73" s="1"/>
  <c r="J123" i="73"/>
  <c r="Q123" i="73" s="1"/>
  <c r="H140" i="73"/>
  <c r="O140" i="73" s="1"/>
  <c r="J110" i="73"/>
  <c r="Q110" i="73" s="1"/>
  <c r="G114" i="73"/>
  <c r="N114" i="73" s="1"/>
  <c r="J130" i="73"/>
  <c r="Q130" i="73" s="1"/>
  <c r="G145" i="73"/>
  <c r="N145" i="73" s="1"/>
  <c r="J82" i="73"/>
  <c r="Q82" i="73" s="1"/>
  <c r="K101" i="73"/>
  <c r="R101" i="73" s="1"/>
  <c r="I116" i="73"/>
  <c r="P116" i="73" s="1"/>
  <c r="K130" i="73"/>
  <c r="R130" i="73" s="1"/>
  <c r="J135" i="73"/>
  <c r="Q135" i="73" s="1"/>
  <c r="G138" i="73"/>
  <c r="N138" i="73" s="1"/>
  <c r="K106" i="73"/>
  <c r="R106" i="73" s="1"/>
  <c r="J118" i="73"/>
  <c r="Q118" i="73" s="1"/>
  <c r="G133" i="73"/>
  <c r="N133" i="73" s="1"/>
  <c r="I147" i="73"/>
  <c r="P147" i="73" s="1"/>
  <c r="I123" i="73"/>
  <c r="P123" i="73" s="1"/>
  <c r="Z104" i="73"/>
  <c r="AG104" i="73" s="1"/>
  <c r="K118" i="73"/>
  <c r="R118" i="73" s="1"/>
  <c r="H133" i="73"/>
  <c r="O133" i="73" s="1"/>
  <c r="J147" i="73"/>
  <c r="Q147" i="73" s="1"/>
  <c r="G126" i="73"/>
  <c r="N126" i="73" s="1"/>
  <c r="H128" i="73"/>
  <c r="O128" i="73" s="1"/>
  <c r="AB120" i="73"/>
  <c r="AI120" i="73" s="1"/>
  <c r="G121" i="73"/>
  <c r="N121" i="73" s="1"/>
  <c r="I135" i="73"/>
  <c r="P135" i="73" s="1"/>
  <c r="I52" i="73"/>
  <c r="P52" i="73" s="1"/>
  <c r="K125" i="73"/>
  <c r="R125" i="73" s="1"/>
  <c r="I140" i="73"/>
  <c r="P140" i="73" s="1"/>
  <c r="Z130" i="73"/>
  <c r="AG130" i="73" s="1"/>
  <c r="H121" i="73"/>
  <c r="O121" i="73" s="1"/>
  <c r="J142" i="73"/>
  <c r="Q142" i="73" s="1"/>
  <c r="AC139" i="73"/>
  <c r="AJ139" i="73" s="1"/>
  <c r="AE166" i="73"/>
  <c r="X156" i="73"/>
  <c r="X168" i="73"/>
  <c r="AE155" i="73"/>
  <c r="AE167" i="73"/>
  <c r="X157" i="73"/>
  <c r="X169" i="73"/>
  <c r="AE156" i="73"/>
  <c r="AE168" i="73"/>
  <c r="X158" i="73"/>
  <c r="X170" i="73"/>
  <c r="AE157" i="73"/>
  <c r="AE169" i="73"/>
  <c r="X159" i="73"/>
  <c r="X171" i="73"/>
  <c r="AE158" i="73"/>
  <c r="AE170" i="73"/>
  <c r="X160" i="73"/>
  <c r="X172" i="73"/>
  <c r="AE159" i="73"/>
  <c r="AE171" i="73"/>
  <c r="X161" i="73"/>
  <c r="X173" i="73"/>
  <c r="AE160" i="73"/>
  <c r="AE172" i="73"/>
  <c r="X162" i="73"/>
  <c r="X174" i="73"/>
  <c r="AE161" i="73"/>
  <c r="AE173" i="73"/>
  <c r="X163" i="73"/>
  <c r="X175" i="73"/>
  <c r="AE163" i="73"/>
  <c r="AE175" i="73"/>
  <c r="X165" i="73"/>
  <c r="AE165" i="73"/>
  <c r="M163" i="73"/>
  <c r="M175" i="73"/>
  <c r="F163" i="73"/>
  <c r="F175" i="73"/>
  <c r="AE174" i="73"/>
  <c r="M164" i="73"/>
  <c r="M154" i="73"/>
  <c r="F164" i="73"/>
  <c r="F154" i="73"/>
  <c r="AE154" i="73"/>
  <c r="M165" i="73"/>
  <c r="F165" i="73"/>
  <c r="X155" i="73"/>
  <c r="M166" i="73"/>
  <c r="F166" i="73"/>
  <c r="X164" i="73"/>
  <c r="M155" i="73"/>
  <c r="M167" i="73"/>
  <c r="F155" i="73"/>
  <c r="F167" i="73"/>
  <c r="X166" i="73"/>
  <c r="M156" i="73"/>
  <c r="M168" i="73"/>
  <c r="F156" i="73"/>
  <c r="F168" i="73"/>
  <c r="X167" i="73"/>
  <c r="M157" i="73"/>
  <c r="M169" i="73"/>
  <c r="F157" i="73"/>
  <c r="F169" i="73"/>
  <c r="X154" i="73"/>
  <c r="M160" i="73"/>
  <c r="M172" i="73"/>
  <c r="F160" i="73"/>
  <c r="F172" i="73"/>
  <c r="AE164" i="73"/>
  <c r="F162" i="73"/>
  <c r="M158" i="73"/>
  <c r="F170" i="73"/>
  <c r="M159" i="73"/>
  <c r="F171" i="73"/>
  <c r="M174" i="73"/>
  <c r="M161" i="73"/>
  <c r="F173" i="73"/>
  <c r="M162" i="73"/>
  <c r="F174" i="73"/>
  <c r="M170" i="73"/>
  <c r="M171" i="73"/>
  <c r="M173" i="73"/>
  <c r="F159" i="73"/>
  <c r="F158" i="73"/>
  <c r="AE162" i="73"/>
  <c r="F161" i="73"/>
  <c r="Y75" i="73"/>
  <c r="Z75" i="73"/>
  <c r="O57" i="70"/>
  <c r="Y51" i="73"/>
  <c r="P57" i="70"/>
  <c r="Z51" i="73"/>
  <c r="G86" i="70"/>
  <c r="Y81" i="73"/>
  <c r="G80" i="70"/>
  <c r="Z81" i="73"/>
  <c r="Y73" i="73"/>
  <c r="AF73" i="73" s="1"/>
  <c r="P79" i="70"/>
  <c r="Z73" i="73"/>
  <c r="AG73" i="73" s="1"/>
  <c r="X95" i="70"/>
  <c r="Z89" i="73"/>
  <c r="AG89" i="73" s="1"/>
  <c r="W92" i="70"/>
  <c r="Y86" i="73"/>
  <c r="AF86" i="73" s="1"/>
  <c r="W96" i="70"/>
  <c r="Y90" i="73"/>
  <c r="AF90" i="73" s="1"/>
  <c r="W100" i="70"/>
  <c r="Y94" i="73"/>
  <c r="AF94" i="73" s="1"/>
  <c r="X91" i="70"/>
  <c r="Z85" i="73"/>
  <c r="AG85" i="73" s="1"/>
  <c r="X92" i="70"/>
  <c r="Z86" i="73"/>
  <c r="AG86" i="73" s="1"/>
  <c r="X96" i="70"/>
  <c r="Z90" i="73"/>
  <c r="AG90" i="73" s="1"/>
  <c r="X100" i="70"/>
  <c r="Z94" i="73"/>
  <c r="AG94" i="73" s="1"/>
  <c r="W93" i="70"/>
  <c r="Y87" i="73"/>
  <c r="AF87" i="73" s="1"/>
  <c r="W97" i="70"/>
  <c r="Y91" i="73"/>
  <c r="AF91" i="73" s="1"/>
  <c r="G101" i="70"/>
  <c r="Y96" i="73"/>
  <c r="AF96" i="73" s="1"/>
  <c r="X93" i="70"/>
  <c r="Z87" i="73"/>
  <c r="AG87" i="73" s="1"/>
  <c r="X97" i="70"/>
  <c r="Z91" i="73"/>
  <c r="AG91" i="73" s="1"/>
  <c r="X102" i="70"/>
  <c r="X101" i="70" s="1"/>
  <c r="Z96" i="73"/>
  <c r="AG96" i="73" s="1"/>
  <c r="W94" i="70"/>
  <c r="Y88" i="73"/>
  <c r="AF88" i="73" s="1"/>
  <c r="W98" i="70"/>
  <c r="Y92" i="73"/>
  <c r="AF92" i="73" s="1"/>
  <c r="X99" i="70"/>
  <c r="Z93" i="73"/>
  <c r="AG93" i="73" s="1"/>
  <c r="X94" i="70"/>
  <c r="Z88" i="73"/>
  <c r="AG88" i="73" s="1"/>
  <c r="X98" i="70"/>
  <c r="Z92" i="73"/>
  <c r="AG92" i="73" s="1"/>
  <c r="Y85" i="73"/>
  <c r="AF85" i="73" s="1"/>
  <c r="W95" i="70"/>
  <c r="Y89" i="73"/>
  <c r="AF89" i="73" s="1"/>
  <c r="W99" i="70"/>
  <c r="Y93" i="73"/>
  <c r="AF93" i="73" s="1"/>
  <c r="Y66" i="73"/>
  <c r="AF66" i="73" s="1"/>
  <c r="Y70" i="73"/>
  <c r="AF70" i="73" s="1"/>
  <c r="P76" i="70"/>
  <c r="Z70" i="73"/>
  <c r="AG70" i="73" s="1"/>
  <c r="O77" i="70"/>
  <c r="Y71" i="73"/>
  <c r="AF71" i="73" s="1"/>
  <c r="P73" i="70"/>
  <c r="Z67" i="73"/>
  <c r="AG67" i="73" s="1"/>
  <c r="Z71" i="73"/>
  <c r="AG71" i="73" s="1"/>
  <c r="Y64" i="73"/>
  <c r="AF64" i="73" s="1"/>
  <c r="Y68" i="73"/>
  <c r="AF68" i="73" s="1"/>
  <c r="O78" i="70"/>
  <c r="Y72" i="73"/>
  <c r="AF72" i="73" s="1"/>
  <c r="O73" i="70"/>
  <c r="Y67" i="73"/>
  <c r="AF67" i="73" s="1"/>
  <c r="P70" i="70"/>
  <c r="Z64" i="73"/>
  <c r="AG64" i="73" s="1"/>
  <c r="P74" i="70"/>
  <c r="Z68" i="73"/>
  <c r="AG68" i="73" s="1"/>
  <c r="P78" i="70"/>
  <c r="Z72" i="73"/>
  <c r="AG72" i="73" s="1"/>
  <c r="O71" i="70"/>
  <c r="Y65" i="73"/>
  <c r="AF65" i="73" s="1"/>
  <c r="Y69" i="73"/>
  <c r="AF69" i="73" s="1"/>
  <c r="Z65" i="73"/>
  <c r="AG65" i="73" s="1"/>
  <c r="P75" i="70"/>
  <c r="Z69" i="73"/>
  <c r="AG69" i="73" s="1"/>
  <c r="P72" i="70"/>
  <c r="Z66" i="73"/>
  <c r="AG66" i="73" s="1"/>
  <c r="G65" i="73"/>
  <c r="N65" i="73" s="1"/>
  <c r="H65" i="73"/>
  <c r="O65" i="73" s="1"/>
  <c r="G68" i="73"/>
  <c r="N68" i="73" s="1"/>
  <c r="H68" i="73"/>
  <c r="O68" i="73" s="1"/>
  <c r="G71" i="73"/>
  <c r="N71" i="73" s="1"/>
  <c r="H71" i="73"/>
  <c r="O71" i="73" s="1"/>
  <c r="G75" i="73"/>
  <c r="H75" i="73"/>
  <c r="G88" i="73"/>
  <c r="N88" i="73" s="1"/>
  <c r="H88" i="73"/>
  <c r="O88" i="73" s="1"/>
  <c r="G91" i="73"/>
  <c r="N91" i="73" s="1"/>
  <c r="H91" i="73"/>
  <c r="O91" i="73" s="1"/>
  <c r="G94" i="73"/>
  <c r="N94" i="73" s="1"/>
  <c r="H94" i="73"/>
  <c r="O94" i="73" s="1"/>
  <c r="G81" i="73"/>
  <c r="H81" i="73"/>
  <c r="G66" i="73"/>
  <c r="N66" i="73" s="1"/>
  <c r="H66" i="73"/>
  <c r="O66" i="73" s="1"/>
  <c r="G69" i="73"/>
  <c r="N69" i="73" s="1"/>
  <c r="H69" i="73"/>
  <c r="O69" i="73" s="1"/>
  <c r="H72" i="73"/>
  <c r="O72" i="73" s="1"/>
  <c r="G72" i="73"/>
  <c r="N72" i="73" s="1"/>
  <c r="G86" i="73"/>
  <c r="N86" i="73" s="1"/>
  <c r="H86" i="73"/>
  <c r="O86" i="73" s="1"/>
  <c r="G89" i="73"/>
  <c r="N89" i="73" s="1"/>
  <c r="H89" i="73"/>
  <c r="O89" i="73" s="1"/>
  <c r="G92" i="73"/>
  <c r="N92" i="73" s="1"/>
  <c r="H92" i="73"/>
  <c r="O92" i="73" s="1"/>
  <c r="H96" i="73"/>
  <c r="G96" i="73"/>
  <c r="G64" i="73"/>
  <c r="N64" i="73" s="1"/>
  <c r="H64" i="73"/>
  <c r="O64" i="73" s="1"/>
  <c r="G67" i="73"/>
  <c r="N67" i="73" s="1"/>
  <c r="H67" i="73"/>
  <c r="O67" i="73" s="1"/>
  <c r="G70" i="73"/>
  <c r="N70" i="73" s="1"/>
  <c r="H70" i="73"/>
  <c r="O70" i="73" s="1"/>
  <c r="G73" i="73"/>
  <c r="N73" i="73" s="1"/>
  <c r="H73" i="73"/>
  <c r="O73" i="73" s="1"/>
  <c r="G87" i="73"/>
  <c r="N87" i="73" s="1"/>
  <c r="H87" i="73"/>
  <c r="O87" i="73" s="1"/>
  <c r="G90" i="73"/>
  <c r="N90" i="73" s="1"/>
  <c r="H90" i="73"/>
  <c r="O90" i="73" s="1"/>
  <c r="G93" i="73"/>
  <c r="N93" i="73" s="1"/>
  <c r="H93" i="73"/>
  <c r="O93" i="73" s="1"/>
  <c r="G51" i="73"/>
  <c r="H51" i="73"/>
  <c r="G85" i="73"/>
  <c r="N85" i="73" s="1"/>
  <c r="H85" i="73"/>
  <c r="O85" i="73" s="1"/>
  <c r="O87" i="70"/>
  <c r="O86" i="70" s="1"/>
  <c r="O74" i="70"/>
  <c r="F35" i="70"/>
  <c r="O75" i="70"/>
  <c r="P77" i="70"/>
  <c r="D94" i="73"/>
  <c r="D94" i="74"/>
  <c r="D67" i="73"/>
  <c r="D67" i="74"/>
  <c r="D66" i="73"/>
  <c r="D66" i="74"/>
  <c r="D70" i="73"/>
  <c r="D70" i="74"/>
  <c r="W71" i="72"/>
  <c r="AD71" i="72"/>
  <c r="X83" i="70"/>
  <c r="X82" i="70" s="1"/>
  <c r="D87" i="73"/>
  <c r="D87" i="74"/>
  <c r="D91" i="73"/>
  <c r="D91" i="74"/>
  <c r="W216" i="72"/>
  <c r="D57" i="73"/>
  <c r="D56" i="73"/>
  <c r="D56" i="74"/>
  <c r="D60" i="73"/>
  <c r="D60" i="74"/>
  <c r="W54" i="72"/>
  <c r="AD54" i="72"/>
  <c r="W57" i="72"/>
  <c r="AD57" i="72"/>
  <c r="W60" i="72"/>
  <c r="AD60" i="72"/>
  <c r="W85" i="72"/>
  <c r="AD85" i="72"/>
  <c r="W89" i="72"/>
  <c r="AD89" i="72"/>
  <c r="D86" i="73"/>
  <c r="D86" i="74"/>
  <c r="D68" i="73"/>
  <c r="D68" i="74"/>
  <c r="D72" i="73"/>
  <c r="D72" i="74"/>
  <c r="W69" i="72"/>
  <c r="AD69" i="72"/>
  <c r="W73" i="72"/>
  <c r="AD73" i="72"/>
  <c r="D90" i="73"/>
  <c r="D90" i="74"/>
  <c r="D55" i="73"/>
  <c r="D55" i="74"/>
  <c r="D71" i="73"/>
  <c r="D71" i="74"/>
  <c r="W72" i="72"/>
  <c r="AD72" i="72"/>
  <c r="F88" i="70"/>
  <c r="F157" i="70"/>
  <c r="D88" i="73"/>
  <c r="D88" i="74"/>
  <c r="D92" i="73"/>
  <c r="D92" i="74"/>
  <c r="D61" i="73"/>
  <c r="D61" i="74"/>
  <c r="W86" i="72"/>
  <c r="AD86" i="72"/>
  <c r="W90" i="72"/>
  <c r="AD90" i="72"/>
  <c r="W53" i="72"/>
  <c r="AD53" i="72"/>
  <c r="W59" i="72"/>
  <c r="AD59" i="72"/>
  <c r="W75" i="72"/>
  <c r="AD75" i="72"/>
  <c r="F69" i="70"/>
  <c r="D69" i="73"/>
  <c r="D69" i="74"/>
  <c r="D73" i="73"/>
  <c r="D73" i="74"/>
  <c r="W55" i="72"/>
  <c r="AD55" i="72"/>
  <c r="W58" i="72"/>
  <c r="AD58" i="72"/>
  <c r="W70" i="72"/>
  <c r="AD70" i="72"/>
  <c r="W88" i="72"/>
  <c r="AD88" i="72"/>
  <c r="D89" i="73"/>
  <c r="D89" i="74"/>
  <c r="D93" i="73"/>
  <c r="D93" i="74"/>
  <c r="W74" i="72"/>
  <c r="AD74" i="72"/>
  <c r="D65" i="73"/>
  <c r="W56" i="72"/>
  <c r="AD56" i="72"/>
  <c r="D59" i="73"/>
  <c r="D59" i="74"/>
  <c r="F25" i="70"/>
  <c r="D54" i="73"/>
  <c r="D54" i="74"/>
  <c r="D58" i="73"/>
  <c r="D58" i="74"/>
  <c r="D62" i="73"/>
  <c r="D62" i="74"/>
  <c r="W87" i="72"/>
  <c r="AD87" i="72"/>
  <c r="W115" i="72"/>
  <c r="AE60" i="72"/>
  <c r="W126" i="72"/>
  <c r="W133" i="72"/>
  <c r="AD214" i="72"/>
  <c r="W120" i="72"/>
  <c r="AD40" i="72"/>
  <c r="AD118" i="72"/>
  <c r="AD146" i="72"/>
  <c r="AE90" i="72"/>
  <c r="W157" i="72"/>
  <c r="W119" i="72"/>
  <c r="W113" i="72"/>
  <c r="W158" i="72"/>
  <c r="W24" i="72"/>
  <c r="AD68" i="72"/>
  <c r="W218" i="72"/>
  <c r="AD39" i="72"/>
  <c r="AE87" i="72"/>
  <c r="AD127" i="72"/>
  <c r="W188" i="72"/>
  <c r="AD37" i="72"/>
  <c r="AD52" i="72"/>
  <c r="AD205" i="72"/>
  <c r="AD207" i="72"/>
  <c r="AD164" i="72"/>
  <c r="W128" i="72"/>
  <c r="W143" i="72"/>
  <c r="AE106" i="72"/>
  <c r="W185" i="72"/>
  <c r="W191" i="72"/>
  <c r="AD10" i="72"/>
  <c r="AD38" i="72"/>
  <c r="AE57" i="72"/>
  <c r="W83" i="72"/>
  <c r="AE55" i="72"/>
  <c r="W200" i="72"/>
  <c r="AD163" i="72"/>
  <c r="AD219" i="72"/>
  <c r="F8" i="70"/>
  <c r="N7" i="72"/>
  <c r="U7" i="72" s="1"/>
  <c r="AB7" i="72" s="1"/>
  <c r="H51" i="74" s="1"/>
  <c r="P71" i="70"/>
  <c r="H69" i="70"/>
  <c r="AE59" i="72"/>
  <c r="AD206" i="72"/>
  <c r="W206" i="72"/>
  <c r="AD155" i="72"/>
  <c r="W155" i="72"/>
  <c r="F13" i="70"/>
  <c r="F90" i="70"/>
  <c r="AE16" i="72"/>
  <c r="AD132" i="72"/>
  <c r="W132" i="72"/>
  <c r="W130" i="72"/>
  <c r="AD130" i="72"/>
  <c r="AE11" i="72"/>
  <c r="W178" i="72"/>
  <c r="AD178" i="72"/>
  <c r="H86" i="70"/>
  <c r="P87" i="70"/>
  <c r="P86" i="70" s="1"/>
  <c r="W23" i="72"/>
  <c r="AD23" i="72"/>
  <c r="AD176" i="72"/>
  <c r="W176" i="72"/>
  <c r="AE28" i="72"/>
  <c r="W142" i="72"/>
  <c r="AD142" i="72"/>
  <c r="W9" i="72"/>
  <c r="AD84" i="72"/>
  <c r="W84" i="72"/>
  <c r="W199" i="72"/>
  <c r="AD199" i="72"/>
  <c r="AD42" i="72"/>
  <c r="AD187" i="72"/>
  <c r="W187" i="72"/>
  <c r="AE12" i="72"/>
  <c r="AE54" i="72"/>
  <c r="AE89" i="72"/>
  <c r="W134" i="72"/>
  <c r="AD217" i="72"/>
  <c r="W217" i="72"/>
  <c r="W22" i="72"/>
  <c r="W41" i="72"/>
  <c r="AD41" i="72"/>
  <c r="AE58" i="72"/>
  <c r="W149" i="72"/>
  <c r="AD156" i="72"/>
  <c r="W156" i="72"/>
  <c r="AD131" i="72"/>
  <c r="W131" i="72"/>
  <c r="W173" i="72"/>
  <c r="AD175" i="72"/>
  <c r="W175" i="72"/>
  <c r="AE53" i="72"/>
  <c r="W67" i="72"/>
  <c r="AD67" i="72"/>
  <c r="AE85" i="72"/>
  <c r="AD145" i="72"/>
  <c r="W190" i="72"/>
  <c r="AD190" i="72"/>
  <c r="AE56" i="72"/>
  <c r="AD82" i="72"/>
  <c r="W82" i="72"/>
  <c r="AE101" i="72"/>
  <c r="W161" i="72"/>
  <c r="W201" i="72"/>
  <c r="AD204" i="72"/>
  <c r="W116" i="72"/>
  <c r="AD215" i="72"/>
  <c r="AE105" i="72"/>
  <c r="W144" i="72"/>
  <c r="W192" i="72"/>
  <c r="M150" i="73"/>
  <c r="AD220" i="72"/>
  <c r="W220" i="72"/>
  <c r="AE30" i="72"/>
  <c r="AD97" i="72"/>
  <c r="W97" i="72"/>
  <c r="AD170" i="72"/>
  <c r="W170" i="72"/>
  <c r="W7" i="72"/>
  <c r="AE71" i="72"/>
  <c r="AE74" i="72"/>
  <c r="AD147" i="72"/>
  <c r="W147" i="72"/>
  <c r="AD112" i="72"/>
  <c r="W112" i="72"/>
  <c r="AD8" i="72"/>
  <c r="AE14" i="72"/>
  <c r="W25" i="72"/>
  <c r="W117" i="72"/>
  <c r="AD117" i="72"/>
  <c r="AE104" i="72"/>
  <c r="AE29" i="72"/>
  <c r="AE98" i="72"/>
  <c r="AE102" i="72"/>
  <c r="AD159" i="72"/>
  <c r="W159" i="72"/>
  <c r="AD171" i="72"/>
  <c r="W171" i="72"/>
  <c r="AE76" i="72"/>
  <c r="AD140" i="72"/>
  <c r="AD198" i="72"/>
  <c r="AD213" i="72"/>
  <c r="AD129" i="72"/>
  <c r="AD141" i="72"/>
  <c r="AD177" i="72"/>
  <c r="AD189" i="72"/>
  <c r="W148" i="72"/>
  <c r="W160" i="72"/>
  <c r="W172" i="72"/>
  <c r="W184" i="72"/>
  <c r="W202" i="72"/>
  <c r="W221" i="72"/>
  <c r="W114" i="72"/>
  <c r="W162" i="72"/>
  <c r="W174" i="72"/>
  <c r="W186" i="72"/>
  <c r="W203" i="72"/>
  <c r="V93" i="72"/>
  <c r="W102" i="70"/>
  <c r="W101" i="70" s="1"/>
  <c r="F58" i="70"/>
  <c r="H82" i="70"/>
  <c r="H101" i="70"/>
  <c r="H90" i="70"/>
  <c r="F45" i="70"/>
  <c r="O81" i="70"/>
  <c r="O80" i="70" s="1"/>
  <c r="G82" i="70"/>
  <c r="G90" i="70"/>
  <c r="H80" i="70"/>
  <c r="P81" i="70"/>
  <c r="P80" i="70" s="1"/>
  <c r="W91" i="70"/>
  <c r="F18" i="70"/>
  <c r="W83" i="70"/>
  <c r="W82" i="70" s="1"/>
  <c r="G69" i="70"/>
  <c r="O70" i="70"/>
  <c r="H165" i="74" l="1"/>
  <c r="O51" i="74"/>
  <c r="Z165" i="73"/>
  <c r="AG77" i="73"/>
  <c r="Y167" i="73"/>
  <c r="AF81" i="73"/>
  <c r="Y161" i="73"/>
  <c r="AF51" i="73"/>
  <c r="Z161" i="73"/>
  <c r="AG51" i="73"/>
  <c r="Z167" i="73"/>
  <c r="AG81" i="73"/>
  <c r="Z164" i="73"/>
  <c r="AG75" i="73"/>
  <c r="Y165" i="73"/>
  <c r="AF77" i="73"/>
  <c r="Y164" i="73"/>
  <c r="AF75" i="73"/>
  <c r="G165" i="73"/>
  <c r="N77" i="73"/>
  <c r="H165" i="73"/>
  <c r="O77" i="73"/>
  <c r="H164" i="73"/>
  <c r="O75" i="73"/>
  <c r="G167" i="73"/>
  <c r="N81" i="73"/>
  <c r="H161" i="73"/>
  <c r="O51" i="73"/>
  <c r="H167" i="73"/>
  <c r="O81" i="73"/>
  <c r="G164" i="73"/>
  <c r="N75" i="73"/>
  <c r="G170" i="73"/>
  <c r="N96" i="73"/>
  <c r="G161" i="73"/>
  <c r="N51" i="73"/>
  <c r="H170" i="73"/>
  <c r="O96" i="73"/>
  <c r="AC174" i="73"/>
  <c r="Z174" i="73"/>
  <c r="J172" i="73"/>
  <c r="H173" i="73"/>
  <c r="I172" i="73"/>
  <c r="Y173" i="73"/>
  <c r="AC171" i="73"/>
  <c r="AB172" i="73"/>
  <c r="Z172" i="73"/>
  <c r="G172" i="73"/>
  <c r="AC175" i="73"/>
  <c r="AC172" i="73"/>
  <c r="J171" i="73"/>
  <c r="J174" i="73"/>
  <c r="AA174" i="73"/>
  <c r="K174" i="73"/>
  <c r="AA171" i="73"/>
  <c r="Y175" i="73"/>
  <c r="AC173" i="73"/>
  <c r="K175" i="73"/>
  <c r="Z173" i="73"/>
  <c r="H171" i="73"/>
  <c r="Y171" i="73"/>
  <c r="G175" i="73"/>
  <c r="AA175" i="73"/>
  <c r="I171" i="73"/>
  <c r="J175" i="73"/>
  <c r="AB175" i="73"/>
  <c r="Y172" i="73"/>
  <c r="K171" i="73"/>
  <c r="AA172" i="73"/>
  <c r="AB171" i="73"/>
  <c r="Z175" i="73"/>
  <c r="AB174" i="73"/>
  <c r="H174" i="73"/>
  <c r="AA173" i="73"/>
  <c r="I173" i="73"/>
  <c r="Y174" i="73"/>
  <c r="G173" i="73"/>
  <c r="H172" i="73"/>
  <c r="I174" i="73"/>
  <c r="G171" i="73"/>
  <c r="Z171" i="73"/>
  <c r="AB173" i="73"/>
  <c r="K173" i="73"/>
  <c r="G174" i="73"/>
  <c r="K172" i="73"/>
  <c r="H175" i="73"/>
  <c r="I175" i="73"/>
  <c r="J173" i="73"/>
  <c r="J7" i="74"/>
  <c r="Q7" i="74" s="1"/>
  <c r="J29" i="74"/>
  <c r="Q29" i="74" s="1"/>
  <c r="J52" i="74"/>
  <c r="Q52" i="74" s="1"/>
  <c r="J76" i="74"/>
  <c r="Q76" i="74" s="1"/>
  <c r="J80" i="74"/>
  <c r="Q80" i="74" s="1"/>
  <c r="J95" i="74"/>
  <c r="Q95" i="74" s="1"/>
  <c r="J99" i="74"/>
  <c r="Q99" i="74" s="1"/>
  <c r="J102" i="74"/>
  <c r="Q102" i="74" s="1"/>
  <c r="J105" i="74"/>
  <c r="Q105" i="74" s="1"/>
  <c r="J108" i="74"/>
  <c r="Q108" i="74" s="1"/>
  <c r="J111" i="74"/>
  <c r="Q111" i="74" s="1"/>
  <c r="J114" i="74"/>
  <c r="Q114" i="74" s="1"/>
  <c r="J117" i="74"/>
  <c r="Q117" i="74" s="1"/>
  <c r="J120" i="74"/>
  <c r="Q120" i="74" s="1"/>
  <c r="J123" i="74"/>
  <c r="Q123" i="74" s="1"/>
  <c r="J126" i="74"/>
  <c r="Q126" i="74" s="1"/>
  <c r="J129" i="74"/>
  <c r="Q129" i="74" s="1"/>
  <c r="J132" i="74"/>
  <c r="Q132" i="74" s="1"/>
  <c r="J135" i="74"/>
  <c r="Q135" i="74" s="1"/>
  <c r="J138" i="74"/>
  <c r="Q138" i="74" s="1"/>
  <c r="J141" i="74"/>
  <c r="Q141" i="74" s="1"/>
  <c r="J144" i="74"/>
  <c r="Q144" i="74" s="1"/>
  <c r="J147" i="74"/>
  <c r="Q147" i="74" s="1"/>
  <c r="H74" i="74"/>
  <c r="O74" i="74" s="1"/>
  <c r="H101" i="74"/>
  <c r="O101" i="74" s="1"/>
  <c r="H113" i="74"/>
  <c r="O113" i="74" s="1"/>
  <c r="H125" i="74"/>
  <c r="O125" i="74" s="1"/>
  <c r="H137" i="74"/>
  <c r="O137" i="74" s="1"/>
  <c r="K7" i="74"/>
  <c r="R7" i="74" s="1"/>
  <c r="K29" i="74"/>
  <c r="R29" i="74" s="1"/>
  <c r="K52" i="74"/>
  <c r="R52" i="74" s="1"/>
  <c r="K76" i="74"/>
  <c r="R76" i="74" s="1"/>
  <c r="K80" i="74"/>
  <c r="R80" i="74" s="1"/>
  <c r="K95" i="74"/>
  <c r="R95" i="74" s="1"/>
  <c r="K99" i="74"/>
  <c r="R99" i="74" s="1"/>
  <c r="K102" i="74"/>
  <c r="R102" i="74" s="1"/>
  <c r="K105" i="74"/>
  <c r="R105" i="74" s="1"/>
  <c r="K108" i="74"/>
  <c r="R108" i="74" s="1"/>
  <c r="K111" i="74"/>
  <c r="R111" i="74" s="1"/>
  <c r="K114" i="74"/>
  <c r="R114" i="74" s="1"/>
  <c r="K117" i="74"/>
  <c r="R117" i="74" s="1"/>
  <c r="K120" i="74"/>
  <c r="R120" i="74" s="1"/>
  <c r="K123" i="74"/>
  <c r="R123" i="74" s="1"/>
  <c r="K126" i="74"/>
  <c r="R126" i="74" s="1"/>
  <c r="K129" i="74"/>
  <c r="R129" i="74" s="1"/>
  <c r="K132" i="74"/>
  <c r="R132" i="74" s="1"/>
  <c r="K135" i="74"/>
  <c r="R135" i="74" s="1"/>
  <c r="K138" i="74"/>
  <c r="R138" i="74" s="1"/>
  <c r="K141" i="74"/>
  <c r="R141" i="74" s="1"/>
  <c r="K144" i="74"/>
  <c r="R144" i="74" s="1"/>
  <c r="K147" i="74"/>
  <c r="R147" i="74" s="1"/>
  <c r="H76" i="74"/>
  <c r="O76" i="74" s="1"/>
  <c r="H102" i="74"/>
  <c r="O102" i="74" s="1"/>
  <c r="H114" i="74"/>
  <c r="O114" i="74" s="1"/>
  <c r="H126" i="74"/>
  <c r="O126" i="74" s="1"/>
  <c r="H138" i="74"/>
  <c r="O138" i="74" s="1"/>
  <c r="L7" i="74"/>
  <c r="S7" i="74" s="1"/>
  <c r="L29" i="74"/>
  <c r="S29" i="74" s="1"/>
  <c r="L52" i="74"/>
  <c r="S52" i="74" s="1"/>
  <c r="L76" i="74"/>
  <c r="S76" i="74" s="1"/>
  <c r="L80" i="74"/>
  <c r="S80" i="74" s="1"/>
  <c r="L95" i="74"/>
  <c r="S95" i="74" s="1"/>
  <c r="L99" i="74"/>
  <c r="S99" i="74" s="1"/>
  <c r="L102" i="74"/>
  <c r="S102" i="74" s="1"/>
  <c r="L105" i="74"/>
  <c r="S105" i="74" s="1"/>
  <c r="L108" i="74"/>
  <c r="S108" i="74" s="1"/>
  <c r="L111" i="74"/>
  <c r="S111" i="74" s="1"/>
  <c r="L114" i="74"/>
  <c r="S114" i="74" s="1"/>
  <c r="L117" i="74"/>
  <c r="S117" i="74" s="1"/>
  <c r="L120" i="74"/>
  <c r="S120" i="74" s="1"/>
  <c r="L123" i="74"/>
  <c r="S123" i="74" s="1"/>
  <c r="L126" i="74"/>
  <c r="S126" i="74" s="1"/>
  <c r="L129" i="74"/>
  <c r="S129" i="74" s="1"/>
  <c r="L132" i="74"/>
  <c r="S132" i="74" s="1"/>
  <c r="L135" i="74"/>
  <c r="S135" i="74" s="1"/>
  <c r="L138" i="74"/>
  <c r="S138" i="74" s="1"/>
  <c r="L141" i="74"/>
  <c r="S141" i="74" s="1"/>
  <c r="L144" i="74"/>
  <c r="S144" i="74" s="1"/>
  <c r="L147" i="74"/>
  <c r="S147" i="74" s="1"/>
  <c r="H103" i="74"/>
  <c r="O103" i="74" s="1"/>
  <c r="H115" i="74"/>
  <c r="O115" i="74" s="1"/>
  <c r="H127" i="74"/>
  <c r="O127" i="74" s="1"/>
  <c r="H139" i="74"/>
  <c r="O139" i="74" s="1"/>
  <c r="I12" i="74"/>
  <c r="P12" i="74" s="1"/>
  <c r="I39" i="74"/>
  <c r="P39" i="74" s="1"/>
  <c r="I63" i="74"/>
  <c r="P63" i="74" s="1"/>
  <c r="I82" i="74"/>
  <c r="P82" i="74" s="1"/>
  <c r="I97" i="74"/>
  <c r="P97" i="74" s="1"/>
  <c r="I100" i="74"/>
  <c r="P100" i="74" s="1"/>
  <c r="I103" i="74"/>
  <c r="P103" i="74" s="1"/>
  <c r="I106" i="74"/>
  <c r="P106" i="74" s="1"/>
  <c r="I109" i="74"/>
  <c r="P109" i="74" s="1"/>
  <c r="I112" i="74"/>
  <c r="P112" i="74" s="1"/>
  <c r="I115" i="74"/>
  <c r="P115" i="74" s="1"/>
  <c r="I118" i="74"/>
  <c r="P118" i="74" s="1"/>
  <c r="I121" i="74"/>
  <c r="P121" i="74" s="1"/>
  <c r="I124" i="74"/>
  <c r="P124" i="74" s="1"/>
  <c r="I127" i="74"/>
  <c r="P127" i="74" s="1"/>
  <c r="I130" i="74"/>
  <c r="P130" i="74" s="1"/>
  <c r="I133" i="74"/>
  <c r="P133" i="74" s="1"/>
  <c r="I136" i="74"/>
  <c r="P136" i="74" s="1"/>
  <c r="I139" i="74"/>
  <c r="P139" i="74" s="1"/>
  <c r="I142" i="74"/>
  <c r="P142" i="74" s="1"/>
  <c r="I145" i="74"/>
  <c r="P145" i="74" s="1"/>
  <c r="H147" i="74"/>
  <c r="O147" i="74" s="1"/>
  <c r="H78" i="74"/>
  <c r="O78" i="74" s="1"/>
  <c r="H104" i="74"/>
  <c r="O104" i="74" s="1"/>
  <c r="H116" i="74"/>
  <c r="O116" i="74" s="1"/>
  <c r="H128" i="74"/>
  <c r="O128" i="74" s="1"/>
  <c r="H140" i="74"/>
  <c r="O140" i="74" s="1"/>
  <c r="J12" i="74"/>
  <c r="Q12" i="74" s="1"/>
  <c r="J39" i="74"/>
  <c r="Q39" i="74" s="1"/>
  <c r="J63" i="74"/>
  <c r="Q63" i="74" s="1"/>
  <c r="J82" i="74"/>
  <c r="Q82" i="74" s="1"/>
  <c r="J97" i="74"/>
  <c r="Q97" i="74" s="1"/>
  <c r="J100" i="74"/>
  <c r="Q100" i="74" s="1"/>
  <c r="J103" i="74"/>
  <c r="Q103" i="74" s="1"/>
  <c r="J106" i="74"/>
  <c r="Q106" i="74" s="1"/>
  <c r="J109" i="74"/>
  <c r="Q109" i="74" s="1"/>
  <c r="J112" i="74"/>
  <c r="Q112" i="74" s="1"/>
  <c r="J115" i="74"/>
  <c r="Q115" i="74" s="1"/>
  <c r="J118" i="74"/>
  <c r="Q118" i="74" s="1"/>
  <c r="J121" i="74"/>
  <c r="Q121" i="74" s="1"/>
  <c r="J124" i="74"/>
  <c r="Q124" i="74" s="1"/>
  <c r="J127" i="74"/>
  <c r="Q127" i="74" s="1"/>
  <c r="J130" i="74"/>
  <c r="Q130" i="74" s="1"/>
  <c r="J133" i="74"/>
  <c r="Q133" i="74" s="1"/>
  <c r="J136" i="74"/>
  <c r="Q136" i="74" s="1"/>
  <c r="J139" i="74"/>
  <c r="Q139" i="74" s="1"/>
  <c r="J142" i="74"/>
  <c r="Q142" i="74" s="1"/>
  <c r="J145" i="74"/>
  <c r="Q145" i="74" s="1"/>
  <c r="H7" i="74"/>
  <c r="O7" i="74" s="1"/>
  <c r="H80" i="74"/>
  <c r="O80" i="74" s="1"/>
  <c r="H105" i="74"/>
  <c r="O105" i="74" s="1"/>
  <c r="H117" i="74"/>
  <c r="O117" i="74" s="1"/>
  <c r="H129" i="74"/>
  <c r="O129" i="74" s="1"/>
  <c r="H141" i="74"/>
  <c r="O141" i="74" s="1"/>
  <c r="K12" i="74"/>
  <c r="R12" i="74" s="1"/>
  <c r="K39" i="74"/>
  <c r="R39" i="74" s="1"/>
  <c r="K63" i="74"/>
  <c r="R63" i="74" s="1"/>
  <c r="K82" i="74"/>
  <c r="R82" i="74" s="1"/>
  <c r="K97" i="74"/>
  <c r="R97" i="74" s="1"/>
  <c r="K100" i="74"/>
  <c r="R100" i="74" s="1"/>
  <c r="K103" i="74"/>
  <c r="R103" i="74" s="1"/>
  <c r="K106" i="74"/>
  <c r="R106" i="74" s="1"/>
  <c r="K109" i="74"/>
  <c r="R109" i="74" s="1"/>
  <c r="K112" i="74"/>
  <c r="R112" i="74" s="1"/>
  <c r="K115" i="74"/>
  <c r="R115" i="74" s="1"/>
  <c r="K118" i="74"/>
  <c r="R118" i="74" s="1"/>
  <c r="K121" i="74"/>
  <c r="R121" i="74" s="1"/>
  <c r="K124" i="74"/>
  <c r="R124" i="74" s="1"/>
  <c r="K127" i="74"/>
  <c r="R127" i="74" s="1"/>
  <c r="K130" i="74"/>
  <c r="R130" i="74" s="1"/>
  <c r="K133" i="74"/>
  <c r="R133" i="74" s="1"/>
  <c r="K136" i="74"/>
  <c r="R136" i="74" s="1"/>
  <c r="K139" i="74"/>
  <c r="R139" i="74" s="1"/>
  <c r="K142" i="74"/>
  <c r="R142" i="74" s="1"/>
  <c r="K145" i="74"/>
  <c r="R145" i="74" s="1"/>
  <c r="H12" i="74"/>
  <c r="O12" i="74" s="1"/>
  <c r="H82" i="74"/>
  <c r="O82" i="74" s="1"/>
  <c r="H106" i="74"/>
  <c r="O106" i="74" s="1"/>
  <c r="H118" i="74"/>
  <c r="O118" i="74" s="1"/>
  <c r="H130" i="74"/>
  <c r="O130" i="74" s="1"/>
  <c r="H142" i="74"/>
  <c r="O142" i="74" s="1"/>
  <c r="L12" i="74"/>
  <c r="S12" i="74" s="1"/>
  <c r="L39" i="74"/>
  <c r="S39" i="74" s="1"/>
  <c r="L63" i="74"/>
  <c r="S63" i="74" s="1"/>
  <c r="L82" i="74"/>
  <c r="S82" i="74" s="1"/>
  <c r="L97" i="74"/>
  <c r="S97" i="74" s="1"/>
  <c r="L100" i="74"/>
  <c r="S100" i="74" s="1"/>
  <c r="L103" i="74"/>
  <c r="S103" i="74" s="1"/>
  <c r="L106" i="74"/>
  <c r="S106" i="74" s="1"/>
  <c r="L109" i="74"/>
  <c r="S109" i="74" s="1"/>
  <c r="L112" i="74"/>
  <c r="S112" i="74" s="1"/>
  <c r="L115" i="74"/>
  <c r="S115" i="74" s="1"/>
  <c r="L118" i="74"/>
  <c r="S118" i="74" s="1"/>
  <c r="L121" i="74"/>
  <c r="S121" i="74" s="1"/>
  <c r="L124" i="74"/>
  <c r="S124" i="74" s="1"/>
  <c r="L127" i="74"/>
  <c r="S127" i="74" s="1"/>
  <c r="L130" i="74"/>
  <c r="S130" i="74" s="1"/>
  <c r="L133" i="74"/>
  <c r="S133" i="74" s="1"/>
  <c r="L136" i="74"/>
  <c r="S136" i="74" s="1"/>
  <c r="L139" i="74"/>
  <c r="S139" i="74" s="1"/>
  <c r="L142" i="74"/>
  <c r="S142" i="74" s="1"/>
  <c r="L145" i="74"/>
  <c r="S145" i="74" s="1"/>
  <c r="H19" i="74"/>
  <c r="O19" i="74" s="1"/>
  <c r="H84" i="74"/>
  <c r="O84" i="74" s="1"/>
  <c r="H107" i="74"/>
  <c r="O107" i="74" s="1"/>
  <c r="H119" i="74"/>
  <c r="O119" i="74" s="1"/>
  <c r="H131" i="74"/>
  <c r="O131" i="74" s="1"/>
  <c r="H143" i="74"/>
  <c r="O143" i="74" s="1"/>
  <c r="I19" i="74"/>
  <c r="P19" i="74" s="1"/>
  <c r="I49" i="74"/>
  <c r="P49" i="74" s="1"/>
  <c r="I74" i="74"/>
  <c r="P74" i="74" s="1"/>
  <c r="I78" i="74"/>
  <c r="P78" i="74" s="1"/>
  <c r="I84" i="74"/>
  <c r="P84" i="74" s="1"/>
  <c r="I98" i="74"/>
  <c r="P98" i="74" s="1"/>
  <c r="I101" i="74"/>
  <c r="P101" i="74" s="1"/>
  <c r="I104" i="74"/>
  <c r="P104" i="74" s="1"/>
  <c r="I107" i="74"/>
  <c r="P107" i="74" s="1"/>
  <c r="I110" i="74"/>
  <c r="P110" i="74" s="1"/>
  <c r="I113" i="74"/>
  <c r="P113" i="74" s="1"/>
  <c r="I116" i="74"/>
  <c r="P116" i="74" s="1"/>
  <c r="I119" i="74"/>
  <c r="P119" i="74" s="1"/>
  <c r="I122" i="74"/>
  <c r="P122" i="74" s="1"/>
  <c r="I125" i="74"/>
  <c r="P125" i="74" s="1"/>
  <c r="I128" i="74"/>
  <c r="P128" i="74" s="1"/>
  <c r="I131" i="74"/>
  <c r="P131" i="74" s="1"/>
  <c r="I134" i="74"/>
  <c r="P134" i="74" s="1"/>
  <c r="I137" i="74"/>
  <c r="P137" i="74" s="1"/>
  <c r="I140" i="74"/>
  <c r="P140" i="74" s="1"/>
  <c r="I143" i="74"/>
  <c r="P143" i="74" s="1"/>
  <c r="I146" i="74"/>
  <c r="P146" i="74" s="1"/>
  <c r="H29" i="74"/>
  <c r="O29" i="74" s="1"/>
  <c r="H95" i="74"/>
  <c r="O95" i="74" s="1"/>
  <c r="H108" i="74"/>
  <c r="O108" i="74" s="1"/>
  <c r="H120" i="74"/>
  <c r="O120" i="74" s="1"/>
  <c r="H132" i="74"/>
  <c r="O132" i="74" s="1"/>
  <c r="H144" i="74"/>
  <c r="O144" i="74" s="1"/>
  <c r="K19" i="74"/>
  <c r="R19" i="74" s="1"/>
  <c r="K49" i="74"/>
  <c r="R49" i="74" s="1"/>
  <c r="K74" i="74"/>
  <c r="R74" i="74" s="1"/>
  <c r="K78" i="74"/>
  <c r="R78" i="74" s="1"/>
  <c r="K84" i="74"/>
  <c r="R84" i="74" s="1"/>
  <c r="K98" i="74"/>
  <c r="R98" i="74" s="1"/>
  <c r="K101" i="74"/>
  <c r="R101" i="74" s="1"/>
  <c r="K104" i="74"/>
  <c r="R104" i="74" s="1"/>
  <c r="K107" i="74"/>
  <c r="R107" i="74" s="1"/>
  <c r="K110" i="74"/>
  <c r="R110" i="74" s="1"/>
  <c r="K113" i="74"/>
  <c r="R113" i="74" s="1"/>
  <c r="K116" i="74"/>
  <c r="R116" i="74" s="1"/>
  <c r="K119" i="74"/>
  <c r="R119" i="74" s="1"/>
  <c r="K122" i="74"/>
  <c r="R122" i="74" s="1"/>
  <c r="K125" i="74"/>
  <c r="R125" i="74" s="1"/>
  <c r="K128" i="74"/>
  <c r="R128" i="74" s="1"/>
  <c r="K131" i="74"/>
  <c r="R131" i="74" s="1"/>
  <c r="K134" i="74"/>
  <c r="R134" i="74" s="1"/>
  <c r="K137" i="74"/>
  <c r="R137" i="74" s="1"/>
  <c r="K140" i="74"/>
  <c r="R140" i="74" s="1"/>
  <c r="K143" i="74"/>
  <c r="R143" i="74" s="1"/>
  <c r="K146" i="74"/>
  <c r="R146" i="74" s="1"/>
  <c r="H49" i="74"/>
  <c r="O49" i="74" s="1"/>
  <c r="H98" i="74"/>
  <c r="O98" i="74" s="1"/>
  <c r="H110" i="74"/>
  <c r="O110" i="74" s="1"/>
  <c r="H122" i="74"/>
  <c r="O122" i="74" s="1"/>
  <c r="H134" i="74"/>
  <c r="O134" i="74" s="1"/>
  <c r="H146" i="74"/>
  <c r="O146" i="74" s="1"/>
  <c r="I76" i="74"/>
  <c r="P76" i="74" s="1"/>
  <c r="I102" i="74"/>
  <c r="P102" i="74" s="1"/>
  <c r="I114" i="74"/>
  <c r="P114" i="74" s="1"/>
  <c r="I126" i="74"/>
  <c r="P126" i="74" s="1"/>
  <c r="I138" i="74"/>
  <c r="P138" i="74" s="1"/>
  <c r="H63" i="74"/>
  <c r="O63" i="74" s="1"/>
  <c r="H136" i="74"/>
  <c r="O136" i="74" s="1"/>
  <c r="J78" i="74"/>
  <c r="Q78" i="74" s="1"/>
  <c r="J104" i="74"/>
  <c r="Q104" i="74" s="1"/>
  <c r="J116" i="74"/>
  <c r="Q116" i="74" s="1"/>
  <c r="J128" i="74"/>
  <c r="Q128" i="74" s="1"/>
  <c r="J140" i="74"/>
  <c r="Q140" i="74" s="1"/>
  <c r="H97" i="74"/>
  <c r="O97" i="74" s="1"/>
  <c r="H145" i="74"/>
  <c r="O145" i="74" s="1"/>
  <c r="L78" i="74"/>
  <c r="S78" i="74" s="1"/>
  <c r="L104" i="74"/>
  <c r="S104" i="74" s="1"/>
  <c r="L116" i="74"/>
  <c r="S116" i="74" s="1"/>
  <c r="L128" i="74"/>
  <c r="S128" i="74" s="1"/>
  <c r="L140" i="74"/>
  <c r="S140" i="74" s="1"/>
  <c r="H99" i="74"/>
  <c r="O99" i="74" s="1"/>
  <c r="I7" i="74"/>
  <c r="P7" i="74" s="1"/>
  <c r="I80" i="74"/>
  <c r="P80" i="74" s="1"/>
  <c r="I105" i="74"/>
  <c r="P105" i="74" s="1"/>
  <c r="I117" i="74"/>
  <c r="P117" i="74" s="1"/>
  <c r="I129" i="74"/>
  <c r="P129" i="74" s="1"/>
  <c r="I141" i="74"/>
  <c r="P141" i="74" s="1"/>
  <c r="H100" i="74"/>
  <c r="O100" i="74" s="1"/>
  <c r="J19" i="74"/>
  <c r="Q19" i="74" s="1"/>
  <c r="J84" i="74"/>
  <c r="Q84" i="74" s="1"/>
  <c r="J107" i="74"/>
  <c r="Q107" i="74" s="1"/>
  <c r="J119" i="74"/>
  <c r="Q119" i="74" s="1"/>
  <c r="J131" i="74"/>
  <c r="Q131" i="74" s="1"/>
  <c r="J143" i="74"/>
  <c r="Q143" i="74" s="1"/>
  <c r="H109" i="74"/>
  <c r="O109" i="74" s="1"/>
  <c r="L19" i="74"/>
  <c r="S19" i="74" s="1"/>
  <c r="L84" i="74"/>
  <c r="S84" i="74" s="1"/>
  <c r="L107" i="74"/>
  <c r="S107" i="74" s="1"/>
  <c r="L119" i="74"/>
  <c r="S119" i="74" s="1"/>
  <c r="L131" i="74"/>
  <c r="S131" i="74" s="1"/>
  <c r="L143" i="74"/>
  <c r="S143" i="74" s="1"/>
  <c r="H111" i="74"/>
  <c r="O111" i="74" s="1"/>
  <c r="I29" i="74"/>
  <c r="P29" i="74" s="1"/>
  <c r="I95" i="74"/>
  <c r="P95" i="74" s="1"/>
  <c r="I108" i="74"/>
  <c r="P108" i="74" s="1"/>
  <c r="I120" i="74"/>
  <c r="P120" i="74" s="1"/>
  <c r="I132" i="74"/>
  <c r="P132" i="74" s="1"/>
  <c r="I144" i="74"/>
  <c r="P144" i="74" s="1"/>
  <c r="H112" i="74"/>
  <c r="O112" i="74" s="1"/>
  <c r="J49" i="74"/>
  <c r="Q49" i="74" s="1"/>
  <c r="J98" i="74"/>
  <c r="Q98" i="74" s="1"/>
  <c r="J110" i="74"/>
  <c r="Q110" i="74" s="1"/>
  <c r="J122" i="74"/>
  <c r="Q122" i="74" s="1"/>
  <c r="J134" i="74"/>
  <c r="Q134" i="74" s="1"/>
  <c r="J146" i="74"/>
  <c r="Q146" i="74" s="1"/>
  <c r="H121" i="74"/>
  <c r="O121" i="74" s="1"/>
  <c r="I52" i="74"/>
  <c r="P52" i="74" s="1"/>
  <c r="I99" i="74"/>
  <c r="P99" i="74" s="1"/>
  <c r="I111" i="74"/>
  <c r="P111" i="74" s="1"/>
  <c r="I123" i="74"/>
  <c r="P123" i="74" s="1"/>
  <c r="I135" i="74"/>
  <c r="P135" i="74" s="1"/>
  <c r="I147" i="74"/>
  <c r="P147" i="74" s="1"/>
  <c r="H124" i="74"/>
  <c r="O124" i="74" s="1"/>
  <c r="L113" i="74"/>
  <c r="S113" i="74" s="1"/>
  <c r="H135" i="74"/>
  <c r="O135" i="74" s="1"/>
  <c r="L122" i="74"/>
  <c r="S122" i="74" s="1"/>
  <c r="J125" i="74"/>
  <c r="Q125" i="74" s="1"/>
  <c r="H39" i="74"/>
  <c r="O39" i="74" s="1"/>
  <c r="L125" i="74"/>
  <c r="S125" i="74" s="1"/>
  <c r="J101" i="74"/>
  <c r="Q101" i="74" s="1"/>
  <c r="L49" i="74"/>
  <c r="S49" i="74" s="1"/>
  <c r="L134" i="74"/>
  <c r="S134" i="74" s="1"/>
  <c r="J74" i="74"/>
  <c r="Q74" i="74" s="1"/>
  <c r="J137" i="74"/>
  <c r="Q137" i="74" s="1"/>
  <c r="L74" i="74"/>
  <c r="S74" i="74" s="1"/>
  <c r="L137" i="74"/>
  <c r="S137" i="74" s="1"/>
  <c r="L98" i="74"/>
  <c r="S98" i="74" s="1"/>
  <c r="L146" i="74"/>
  <c r="S146" i="74" s="1"/>
  <c r="L101" i="74"/>
  <c r="S101" i="74" s="1"/>
  <c r="H52" i="74"/>
  <c r="O52" i="74" s="1"/>
  <c r="L110" i="74"/>
  <c r="S110" i="74" s="1"/>
  <c r="H123" i="74"/>
  <c r="O123" i="74" s="1"/>
  <c r="J113" i="74"/>
  <c r="Q113" i="74" s="1"/>
  <c r="H133" i="74"/>
  <c r="O133" i="74" s="1"/>
  <c r="AE176" i="73"/>
  <c r="AE177" i="73" s="1"/>
  <c r="I51" i="74"/>
  <c r="F176" i="73"/>
  <c r="F177" i="73" s="1"/>
  <c r="M176" i="73"/>
  <c r="M177" i="73" s="1"/>
  <c r="P102" i="70"/>
  <c r="P101" i="70" s="1"/>
  <c r="X90" i="70"/>
  <c r="X156" i="70" s="1"/>
  <c r="W90" i="70"/>
  <c r="W156" i="70" s="1"/>
  <c r="P69" i="70"/>
  <c r="Y169" i="73"/>
  <c r="Y170" i="73"/>
  <c r="Z170" i="73"/>
  <c r="Z169" i="73"/>
  <c r="O69" i="70"/>
  <c r="Z163" i="73"/>
  <c r="Y163" i="73"/>
  <c r="H169" i="73"/>
  <c r="F158" i="70"/>
  <c r="F156" i="70"/>
  <c r="G169" i="73"/>
  <c r="H163" i="73"/>
  <c r="G163" i="73"/>
  <c r="X176" i="73"/>
  <c r="X177" i="73" s="1"/>
  <c r="O102" i="70"/>
  <c r="O101" i="70" s="1"/>
  <c r="D282" i="69"/>
  <c r="D281" i="69"/>
  <c r="D280" i="69"/>
  <c r="D279" i="69"/>
  <c r="D278" i="69"/>
  <c r="D277" i="69"/>
  <c r="D276" i="69"/>
  <c r="D272" i="69"/>
  <c r="D271" i="69"/>
  <c r="D270" i="69"/>
  <c r="D269" i="69"/>
  <c r="D268" i="69"/>
  <c r="D267" i="69"/>
  <c r="D266" i="69"/>
  <c r="D265" i="69"/>
  <c r="D264" i="69"/>
  <c r="D263" i="69"/>
  <c r="G99" i="71"/>
  <c r="F99" i="71"/>
  <c r="G98" i="71"/>
  <c r="F98" i="71"/>
  <c r="G97" i="71"/>
  <c r="F97" i="71"/>
  <c r="G96" i="71"/>
  <c r="F96" i="71"/>
  <c r="G95" i="71"/>
  <c r="F95" i="71"/>
  <c r="G94" i="71"/>
  <c r="F94" i="71"/>
  <c r="G93" i="71"/>
  <c r="F93" i="71"/>
  <c r="G92" i="71"/>
  <c r="F92" i="71"/>
  <c r="G91" i="71"/>
  <c r="F91" i="71"/>
  <c r="K89" i="71"/>
  <c r="J89" i="71"/>
  <c r="I89" i="71"/>
  <c r="G87" i="71"/>
  <c r="F87" i="71"/>
  <c r="F86" i="71" s="1"/>
  <c r="H85" i="71"/>
  <c r="G85" i="71"/>
  <c r="F85" i="71"/>
  <c r="F84" i="71" s="1"/>
  <c r="K83" i="71"/>
  <c r="J83" i="71"/>
  <c r="I83" i="71"/>
  <c r="H83" i="71"/>
  <c r="G83" i="71"/>
  <c r="F83" i="71"/>
  <c r="F82" i="71" s="1"/>
  <c r="K81" i="71"/>
  <c r="J81" i="71"/>
  <c r="I81" i="71"/>
  <c r="H79" i="71"/>
  <c r="G79" i="71"/>
  <c r="F79" i="71"/>
  <c r="H78" i="71"/>
  <c r="G78" i="71"/>
  <c r="F78" i="71"/>
  <c r="H77" i="71"/>
  <c r="G77" i="71"/>
  <c r="F77" i="71"/>
  <c r="H76" i="71"/>
  <c r="G76" i="71"/>
  <c r="F76" i="71"/>
  <c r="H75" i="71"/>
  <c r="G75" i="71"/>
  <c r="F75" i="71"/>
  <c r="H74" i="71"/>
  <c r="G74" i="71"/>
  <c r="F74" i="71"/>
  <c r="H73" i="71"/>
  <c r="G73" i="71"/>
  <c r="F73" i="71"/>
  <c r="H72" i="71"/>
  <c r="G72" i="71"/>
  <c r="F72" i="71"/>
  <c r="H71" i="71"/>
  <c r="G71" i="71"/>
  <c r="F71" i="71"/>
  <c r="H68" i="71"/>
  <c r="G68" i="71"/>
  <c r="F68" i="71"/>
  <c r="H67" i="71"/>
  <c r="G67" i="71"/>
  <c r="F67" i="71"/>
  <c r="H66" i="71"/>
  <c r="G66" i="71"/>
  <c r="F66" i="71"/>
  <c r="H65" i="71"/>
  <c r="G65" i="71"/>
  <c r="F65" i="71"/>
  <c r="H64" i="71"/>
  <c r="G64" i="71"/>
  <c r="F64" i="71"/>
  <c r="H63" i="71"/>
  <c r="G63" i="71"/>
  <c r="F63" i="71"/>
  <c r="H62" i="71"/>
  <c r="G62" i="71"/>
  <c r="F62" i="71"/>
  <c r="H61" i="71"/>
  <c r="G61" i="71"/>
  <c r="F61" i="71"/>
  <c r="H60" i="71"/>
  <c r="G60" i="71"/>
  <c r="F60" i="71"/>
  <c r="H59" i="71"/>
  <c r="G59" i="71"/>
  <c r="F59" i="71"/>
  <c r="K57" i="71"/>
  <c r="J57" i="71"/>
  <c r="I57" i="71"/>
  <c r="G57" i="71"/>
  <c r="K56" i="71"/>
  <c r="J56" i="71"/>
  <c r="I56" i="71"/>
  <c r="H56" i="71"/>
  <c r="G56" i="71"/>
  <c r="F56" i="71"/>
  <c r="F55" i="71" s="1"/>
  <c r="H54" i="71"/>
  <c r="G54" i="71"/>
  <c r="F54" i="71"/>
  <c r="H53" i="71"/>
  <c r="G53" i="71"/>
  <c r="F53" i="71"/>
  <c r="H52" i="71"/>
  <c r="G52" i="71"/>
  <c r="F52" i="71"/>
  <c r="H51" i="71"/>
  <c r="G51" i="71"/>
  <c r="F51" i="71"/>
  <c r="H50" i="71"/>
  <c r="H49" i="71"/>
  <c r="G49" i="71"/>
  <c r="F49" i="71"/>
  <c r="H48" i="71"/>
  <c r="G48" i="71"/>
  <c r="F48" i="71"/>
  <c r="H47" i="71"/>
  <c r="G47" i="71"/>
  <c r="F47" i="71"/>
  <c r="H46" i="71"/>
  <c r="G46" i="71"/>
  <c r="F46" i="71"/>
  <c r="H44" i="71"/>
  <c r="G44" i="71"/>
  <c r="F44" i="71"/>
  <c r="H43" i="71"/>
  <c r="G43" i="71"/>
  <c r="F43" i="71"/>
  <c r="H42" i="71"/>
  <c r="G42" i="71"/>
  <c r="F42" i="71"/>
  <c r="H41" i="71"/>
  <c r="G41" i="71"/>
  <c r="F41" i="71"/>
  <c r="H40" i="71"/>
  <c r="G40" i="71"/>
  <c r="F40" i="71"/>
  <c r="H39" i="71"/>
  <c r="G39" i="71"/>
  <c r="F39" i="71"/>
  <c r="H38" i="71"/>
  <c r="G38" i="71"/>
  <c r="F38" i="71"/>
  <c r="H37" i="71"/>
  <c r="G37" i="71"/>
  <c r="F37" i="71"/>
  <c r="H36" i="71"/>
  <c r="G36" i="71"/>
  <c r="F36" i="71"/>
  <c r="H34" i="71"/>
  <c r="G34" i="71"/>
  <c r="F34" i="71"/>
  <c r="H33" i="71"/>
  <c r="G33" i="71"/>
  <c r="F33" i="71"/>
  <c r="H32" i="71"/>
  <c r="G32" i="71"/>
  <c r="F32" i="71"/>
  <c r="H30" i="71"/>
  <c r="G30" i="71"/>
  <c r="F30" i="71"/>
  <c r="H29" i="71"/>
  <c r="G29" i="71"/>
  <c r="F29" i="71"/>
  <c r="H28" i="71"/>
  <c r="G28" i="71"/>
  <c r="F28" i="71"/>
  <c r="H27" i="71"/>
  <c r="G27" i="71"/>
  <c r="F27" i="71"/>
  <c r="H26" i="71"/>
  <c r="G26" i="71"/>
  <c r="F26" i="71"/>
  <c r="G24" i="71"/>
  <c r="H23" i="71"/>
  <c r="G23" i="71"/>
  <c r="F23" i="71"/>
  <c r="H22" i="71"/>
  <c r="G22" i="71"/>
  <c r="F22" i="71"/>
  <c r="H21" i="71"/>
  <c r="G21" i="71"/>
  <c r="F21" i="71"/>
  <c r="H20" i="71"/>
  <c r="G20" i="71"/>
  <c r="F20" i="71"/>
  <c r="H19" i="71"/>
  <c r="G19" i="71"/>
  <c r="F19" i="71"/>
  <c r="H17" i="71"/>
  <c r="G17" i="71"/>
  <c r="F17" i="71"/>
  <c r="H16" i="71"/>
  <c r="G16" i="71"/>
  <c r="F16" i="71"/>
  <c r="H15" i="71"/>
  <c r="G15" i="71"/>
  <c r="F15" i="71"/>
  <c r="H14" i="71"/>
  <c r="G14" i="71"/>
  <c r="F14" i="71"/>
  <c r="H12" i="71"/>
  <c r="G12" i="71"/>
  <c r="F12" i="71"/>
  <c r="H11" i="71"/>
  <c r="G11" i="71"/>
  <c r="F11" i="71"/>
  <c r="H10" i="71"/>
  <c r="G10" i="71"/>
  <c r="F10" i="71"/>
  <c r="H9" i="71"/>
  <c r="G9" i="71"/>
  <c r="F9" i="71"/>
  <c r="A108" i="69"/>
  <c r="B108" i="69" s="1"/>
  <c r="K100" i="70"/>
  <c r="J100" i="70"/>
  <c r="I100" i="70"/>
  <c r="K99" i="70"/>
  <c r="J99" i="70"/>
  <c r="I99" i="70"/>
  <c r="K98" i="70"/>
  <c r="J98" i="70"/>
  <c r="I98" i="70"/>
  <c r="K97" i="70"/>
  <c r="J97" i="70"/>
  <c r="I97" i="70"/>
  <c r="K96" i="70"/>
  <c r="J96" i="70"/>
  <c r="I96" i="70"/>
  <c r="K95" i="70"/>
  <c r="J95" i="70"/>
  <c r="I95" i="70"/>
  <c r="K94" i="70"/>
  <c r="J94" i="70"/>
  <c r="I94" i="70"/>
  <c r="K93" i="70"/>
  <c r="J93" i="70"/>
  <c r="I93" i="70"/>
  <c r="K92" i="70"/>
  <c r="J92" i="70"/>
  <c r="I92" i="70"/>
  <c r="K91" i="70"/>
  <c r="J91" i="70"/>
  <c r="I91" i="70"/>
  <c r="A98" i="69"/>
  <c r="A97" i="69"/>
  <c r="A96" i="69"/>
  <c r="B96" i="69" s="1"/>
  <c r="A95" i="69"/>
  <c r="A94" i="69"/>
  <c r="A93" i="69"/>
  <c r="K79" i="70"/>
  <c r="J79" i="70"/>
  <c r="I79" i="70"/>
  <c r="K78" i="70"/>
  <c r="J78" i="70"/>
  <c r="I78" i="70"/>
  <c r="K77" i="70"/>
  <c r="J77" i="70"/>
  <c r="I77" i="70"/>
  <c r="K76" i="70"/>
  <c r="J76" i="70"/>
  <c r="I76" i="70"/>
  <c r="K75" i="70"/>
  <c r="J75" i="70"/>
  <c r="I75" i="70"/>
  <c r="K74" i="70"/>
  <c r="J74" i="70"/>
  <c r="I74" i="70"/>
  <c r="K73" i="70"/>
  <c r="J73" i="70"/>
  <c r="I73" i="70"/>
  <c r="K72" i="70"/>
  <c r="J72" i="70"/>
  <c r="I72" i="70"/>
  <c r="K71" i="70"/>
  <c r="J71" i="70"/>
  <c r="I71" i="70"/>
  <c r="K70" i="70"/>
  <c r="J70" i="70"/>
  <c r="I70" i="70"/>
  <c r="A57" i="69"/>
  <c r="B57" i="69" s="1"/>
  <c r="A46" i="69"/>
  <c r="A45" i="69"/>
  <c r="A36" i="69"/>
  <c r="A27" i="69"/>
  <c r="A18" i="69"/>
  <c r="A12" i="69"/>
  <c r="A8" i="69"/>
  <c r="A4" i="69"/>
  <c r="I165" i="74" l="1"/>
  <c r="P51" i="74"/>
  <c r="E307" i="77"/>
  <c r="F307" i="77"/>
  <c r="G307" i="77"/>
  <c r="H307" i="77"/>
  <c r="D307" i="77"/>
  <c r="J258" i="69"/>
  <c r="H89" i="70"/>
  <c r="G89" i="70"/>
  <c r="I258" i="69"/>
  <c r="L258" i="69"/>
  <c r="K258" i="69"/>
  <c r="F258" i="69"/>
  <c r="G258" i="69"/>
  <c r="H258" i="69"/>
  <c r="T19" i="73"/>
  <c r="T109" i="73"/>
  <c r="T95" i="73"/>
  <c r="T100" i="73"/>
  <c r="P172" i="73"/>
  <c r="T97" i="73"/>
  <c r="N172" i="73"/>
  <c r="T111" i="73"/>
  <c r="T63" i="73"/>
  <c r="T103" i="73"/>
  <c r="T7" i="73"/>
  <c r="AH173" i="73"/>
  <c r="T52" i="73"/>
  <c r="T101" i="73"/>
  <c r="T78" i="73"/>
  <c r="T112" i="73"/>
  <c r="T76" i="73"/>
  <c r="T80" i="73"/>
  <c r="T98" i="73"/>
  <c r="T84" i="73"/>
  <c r="T113" i="73"/>
  <c r="T126" i="73"/>
  <c r="T102" i="73"/>
  <c r="T128" i="73"/>
  <c r="AF171" i="73"/>
  <c r="T142" i="73"/>
  <c r="T74" i="73"/>
  <c r="T107" i="73"/>
  <c r="AJ172" i="73"/>
  <c r="AH174" i="73"/>
  <c r="T29" i="73"/>
  <c r="T82" i="73"/>
  <c r="T135" i="73"/>
  <c r="T121" i="73"/>
  <c r="T104" i="73"/>
  <c r="T123" i="73"/>
  <c r="Q171" i="73"/>
  <c r="T137" i="73"/>
  <c r="T105" i="73"/>
  <c r="T39" i="73"/>
  <c r="T118" i="73"/>
  <c r="T99" i="73"/>
  <c r="T140" i="73"/>
  <c r="AJ171" i="73"/>
  <c r="Q172" i="73"/>
  <c r="O171" i="73"/>
  <c r="T12" i="73"/>
  <c r="P173" i="73"/>
  <c r="T131" i="73"/>
  <c r="T136" i="73"/>
  <c r="T139" i="73"/>
  <c r="AI171" i="73"/>
  <c r="R171" i="73"/>
  <c r="T141" i="73"/>
  <c r="T119" i="73"/>
  <c r="T106" i="73"/>
  <c r="T108" i="73"/>
  <c r="T147" i="73"/>
  <c r="T49" i="73"/>
  <c r="Q174" i="73"/>
  <c r="T115" i="73"/>
  <c r="T132" i="73"/>
  <c r="P174" i="73"/>
  <c r="AF172" i="73"/>
  <c r="T133" i="73"/>
  <c r="K177" i="74"/>
  <c r="J175" i="74"/>
  <c r="T143" i="73"/>
  <c r="N174" i="73"/>
  <c r="H175" i="74"/>
  <c r="L178" i="74"/>
  <c r="I178" i="74"/>
  <c r="K179" i="74"/>
  <c r="T138" i="73"/>
  <c r="R175" i="73"/>
  <c r="AJ173" i="73"/>
  <c r="T124" i="73"/>
  <c r="T114" i="73"/>
  <c r="N175" i="73"/>
  <c r="O172" i="73"/>
  <c r="T117" i="73"/>
  <c r="AH172" i="73"/>
  <c r="H176" i="74"/>
  <c r="I175" i="74"/>
  <c r="K176" i="74"/>
  <c r="H177" i="74"/>
  <c r="T129" i="73"/>
  <c r="R174" i="73"/>
  <c r="AG175" i="73"/>
  <c r="AF173" i="73"/>
  <c r="O174" i="73"/>
  <c r="O173" i="73"/>
  <c r="J178" i="74"/>
  <c r="L179" i="74"/>
  <c r="H179" i="74"/>
  <c r="T125" i="73"/>
  <c r="AI172" i="73"/>
  <c r="Q175" i="73"/>
  <c r="AJ174" i="73"/>
  <c r="AG173" i="73"/>
  <c r="P171" i="73"/>
  <c r="AG171" i="73"/>
  <c r="AH175" i="73"/>
  <c r="T116" i="73"/>
  <c r="R173" i="73"/>
  <c r="K175" i="74"/>
  <c r="L176" i="74"/>
  <c r="I176" i="74"/>
  <c r="N173" i="73"/>
  <c r="L175" i="74"/>
  <c r="AF174" i="73"/>
  <c r="T127" i="73"/>
  <c r="I177" i="74"/>
  <c r="K178" i="74"/>
  <c r="J179" i="74"/>
  <c r="AG172" i="73"/>
  <c r="AG174" i="73"/>
  <c r="T146" i="73"/>
  <c r="AI174" i="73"/>
  <c r="AJ175" i="73"/>
  <c r="L177" i="74"/>
  <c r="H178" i="74"/>
  <c r="T145" i="73"/>
  <c r="AF175" i="73"/>
  <c r="P175" i="73"/>
  <c r="AI175" i="73"/>
  <c r="T110" i="73"/>
  <c r="R172" i="73"/>
  <c r="J176" i="74"/>
  <c r="AI173" i="73"/>
  <c r="AH171" i="73"/>
  <c r="T122" i="73"/>
  <c r="O175" i="73"/>
  <c r="N171" i="73"/>
  <c r="T120" i="73"/>
  <c r="T134" i="73"/>
  <c r="T130" i="73"/>
  <c r="T144" i="73"/>
  <c r="Q173" i="73"/>
  <c r="J177" i="74"/>
  <c r="I179" i="74"/>
  <c r="G50" i="71"/>
  <c r="O50" i="71" s="1"/>
  <c r="F100" i="71"/>
  <c r="F90" i="71" s="1"/>
  <c r="G100" i="71"/>
  <c r="G90" i="71" s="1"/>
  <c r="G31" i="71"/>
  <c r="F31" i="71"/>
  <c r="F25" i="71" s="1"/>
  <c r="F57" i="71"/>
  <c r="F24" i="71"/>
  <c r="F18" i="71" s="1"/>
  <c r="H31" i="71"/>
  <c r="H57" i="71"/>
  <c r="F102" i="71"/>
  <c r="F101" i="71" s="1"/>
  <c r="F81" i="71"/>
  <c r="F80" i="71" s="1"/>
  <c r="F70" i="71"/>
  <c r="F69" i="71" s="1"/>
  <c r="G81" i="71"/>
  <c r="G102" i="71"/>
  <c r="H24" i="71"/>
  <c r="G70" i="71"/>
  <c r="O70" i="71" s="1"/>
  <c r="H81" i="71"/>
  <c r="P81" i="71" s="1"/>
  <c r="P80" i="71" s="1"/>
  <c r="F89" i="71"/>
  <c r="G89" i="71"/>
  <c r="H70" i="71"/>
  <c r="F50" i="71"/>
  <c r="F45" i="71" s="1"/>
  <c r="H89" i="71"/>
  <c r="I157" i="71"/>
  <c r="J157" i="71"/>
  <c r="K157" i="71"/>
  <c r="AB67" i="73"/>
  <c r="AI67" i="73" s="1"/>
  <c r="J67" i="73"/>
  <c r="Q67" i="73" s="1"/>
  <c r="AB68" i="73"/>
  <c r="AI68" i="73" s="1"/>
  <c r="J68" i="73"/>
  <c r="Q68" i="73" s="1"/>
  <c r="AA86" i="73"/>
  <c r="AH86" i="73" s="1"/>
  <c r="I86" i="73"/>
  <c r="P86" i="73" s="1"/>
  <c r="AA70" i="73"/>
  <c r="AH70" i="73" s="1"/>
  <c r="I70" i="73"/>
  <c r="P70" i="73" s="1"/>
  <c r="AB66" i="73"/>
  <c r="AI66" i="73" s="1"/>
  <c r="J66" i="73"/>
  <c r="Q66" i="73" s="1"/>
  <c r="AB87" i="73"/>
  <c r="AI87" i="73" s="1"/>
  <c r="J87" i="73"/>
  <c r="Q87" i="73" s="1"/>
  <c r="AC66" i="73"/>
  <c r="AJ66" i="73" s="1"/>
  <c r="K66" i="73"/>
  <c r="R66" i="73" s="1"/>
  <c r="AC70" i="73"/>
  <c r="AJ70" i="73" s="1"/>
  <c r="K70" i="73"/>
  <c r="R70" i="73" s="1"/>
  <c r="AC87" i="73"/>
  <c r="AJ87" i="73" s="1"/>
  <c r="K87" i="73"/>
  <c r="R87" i="73" s="1"/>
  <c r="AC91" i="73"/>
  <c r="AJ91" i="73" s="1"/>
  <c r="K91" i="73"/>
  <c r="R91" i="73" s="1"/>
  <c r="AC88" i="73"/>
  <c r="AJ88" i="73" s="1"/>
  <c r="K88" i="73"/>
  <c r="R88" i="73" s="1"/>
  <c r="AB64" i="73"/>
  <c r="AI64" i="73" s="1"/>
  <c r="J64" i="73"/>
  <c r="Q64" i="73" s="1"/>
  <c r="AA65" i="73"/>
  <c r="AH65" i="73" s="1"/>
  <c r="I65" i="73"/>
  <c r="P65" i="73" s="1"/>
  <c r="AA90" i="73"/>
  <c r="AH90" i="73" s="1"/>
  <c r="I90" i="73"/>
  <c r="P90" i="73" s="1"/>
  <c r="AA91" i="73"/>
  <c r="AH91" i="73" s="1"/>
  <c r="I91" i="73"/>
  <c r="P91" i="73" s="1"/>
  <c r="AB70" i="73"/>
  <c r="AI70" i="73" s="1"/>
  <c r="J70" i="73"/>
  <c r="Q70" i="73" s="1"/>
  <c r="AA67" i="73"/>
  <c r="AH67" i="73" s="1"/>
  <c r="I67" i="73"/>
  <c r="P67" i="73" s="1"/>
  <c r="AA71" i="73"/>
  <c r="AH71" i="73" s="1"/>
  <c r="I71" i="73"/>
  <c r="P71" i="73" s="1"/>
  <c r="AA88" i="73"/>
  <c r="AH88" i="73" s="1"/>
  <c r="I88" i="73"/>
  <c r="P88" i="73" s="1"/>
  <c r="AA92" i="73"/>
  <c r="AH92" i="73" s="1"/>
  <c r="I92" i="73"/>
  <c r="P92" i="73" s="1"/>
  <c r="AB71" i="73"/>
  <c r="AI71" i="73" s="1"/>
  <c r="J71" i="73"/>
  <c r="Q71" i="73" s="1"/>
  <c r="AB88" i="73"/>
  <c r="AI88" i="73" s="1"/>
  <c r="J88" i="73"/>
  <c r="Q88" i="73" s="1"/>
  <c r="AB92" i="73"/>
  <c r="AI92" i="73" s="1"/>
  <c r="J92" i="73"/>
  <c r="Q92" i="73" s="1"/>
  <c r="AA64" i="73"/>
  <c r="AH64" i="73" s="1"/>
  <c r="I64" i="73"/>
  <c r="P64" i="73" s="1"/>
  <c r="AA68" i="73"/>
  <c r="AH68" i="73" s="1"/>
  <c r="I68" i="73"/>
  <c r="P68" i="73" s="1"/>
  <c r="AA72" i="73"/>
  <c r="AH72" i="73" s="1"/>
  <c r="I72" i="73"/>
  <c r="P72" i="73" s="1"/>
  <c r="AA85" i="73"/>
  <c r="AH85" i="73" s="1"/>
  <c r="I85" i="73"/>
  <c r="P85" i="73" s="1"/>
  <c r="AA89" i="73"/>
  <c r="AH89" i="73" s="1"/>
  <c r="I89" i="73"/>
  <c r="P89" i="73" s="1"/>
  <c r="AA93" i="73"/>
  <c r="AH93" i="73" s="1"/>
  <c r="I93" i="73"/>
  <c r="P93" i="73" s="1"/>
  <c r="AB85" i="73"/>
  <c r="AI85" i="73" s="1"/>
  <c r="J85" i="73"/>
  <c r="Q85" i="73" s="1"/>
  <c r="AB89" i="73"/>
  <c r="AI89" i="73" s="1"/>
  <c r="J89" i="73"/>
  <c r="Q89" i="73" s="1"/>
  <c r="AB93" i="73"/>
  <c r="AI93" i="73" s="1"/>
  <c r="J93" i="73"/>
  <c r="Q93" i="73" s="1"/>
  <c r="AC71" i="73"/>
  <c r="AJ71" i="73" s="1"/>
  <c r="K71" i="73"/>
  <c r="R71" i="73" s="1"/>
  <c r="AC68" i="73"/>
  <c r="AJ68" i="73" s="1"/>
  <c r="K68" i="73"/>
  <c r="R68" i="73" s="1"/>
  <c r="AC72" i="73"/>
  <c r="AJ72" i="73" s="1"/>
  <c r="K72" i="73"/>
  <c r="R72" i="73" s="1"/>
  <c r="AC85" i="73"/>
  <c r="AJ85" i="73" s="1"/>
  <c r="K85" i="73"/>
  <c r="R85" i="73" s="1"/>
  <c r="AC89" i="73"/>
  <c r="AJ89" i="73" s="1"/>
  <c r="K89" i="73"/>
  <c r="R89" i="73" s="1"/>
  <c r="AC93" i="73"/>
  <c r="AJ93" i="73" s="1"/>
  <c r="K93" i="73"/>
  <c r="R93" i="73" s="1"/>
  <c r="AB65" i="73"/>
  <c r="AI65" i="73" s="1"/>
  <c r="J65" i="73"/>
  <c r="Q65" i="73" s="1"/>
  <c r="AB69" i="73"/>
  <c r="AI69" i="73" s="1"/>
  <c r="J69" i="73"/>
  <c r="Q69" i="73" s="1"/>
  <c r="AB73" i="73"/>
  <c r="AI73" i="73" s="1"/>
  <c r="J73" i="73"/>
  <c r="Q73" i="73" s="1"/>
  <c r="AB86" i="73"/>
  <c r="AI86" i="73" s="1"/>
  <c r="J86" i="73"/>
  <c r="Q86" i="73" s="1"/>
  <c r="AB90" i="73"/>
  <c r="AI90" i="73" s="1"/>
  <c r="J90" i="73"/>
  <c r="Q90" i="73" s="1"/>
  <c r="AB94" i="73"/>
  <c r="AI94" i="73" s="1"/>
  <c r="J94" i="73"/>
  <c r="Q94" i="73" s="1"/>
  <c r="AC92" i="73"/>
  <c r="AJ92" i="73" s="1"/>
  <c r="K92" i="73"/>
  <c r="R92" i="73" s="1"/>
  <c r="AA69" i="73"/>
  <c r="AH69" i="73" s="1"/>
  <c r="I69" i="73"/>
  <c r="P69" i="73" s="1"/>
  <c r="AA94" i="73"/>
  <c r="AH94" i="73" s="1"/>
  <c r="I94" i="73"/>
  <c r="P94" i="73" s="1"/>
  <c r="AC65" i="73"/>
  <c r="AJ65" i="73" s="1"/>
  <c r="K65" i="73"/>
  <c r="R65" i="73" s="1"/>
  <c r="AC69" i="73"/>
  <c r="AJ69" i="73" s="1"/>
  <c r="K69" i="73"/>
  <c r="R69" i="73" s="1"/>
  <c r="AC73" i="73"/>
  <c r="AJ73" i="73" s="1"/>
  <c r="K73" i="73"/>
  <c r="R73" i="73" s="1"/>
  <c r="AC86" i="73"/>
  <c r="AJ86" i="73" s="1"/>
  <c r="K86" i="73"/>
  <c r="R86" i="73" s="1"/>
  <c r="AC90" i="73"/>
  <c r="AJ90" i="73" s="1"/>
  <c r="K90" i="73"/>
  <c r="R90" i="73" s="1"/>
  <c r="AC94" i="73"/>
  <c r="AJ94" i="73" s="1"/>
  <c r="K94" i="73"/>
  <c r="R94" i="73" s="1"/>
  <c r="AC67" i="73"/>
  <c r="AJ67" i="73" s="1"/>
  <c r="K67" i="73"/>
  <c r="R67" i="73" s="1"/>
  <c r="AB72" i="73"/>
  <c r="AI72" i="73" s="1"/>
  <c r="J72" i="73"/>
  <c r="Q72" i="73" s="1"/>
  <c r="AA87" i="73"/>
  <c r="AH87" i="73" s="1"/>
  <c r="I87" i="73"/>
  <c r="P87" i="73" s="1"/>
  <c r="AC64" i="73"/>
  <c r="AJ64" i="73" s="1"/>
  <c r="K64" i="73"/>
  <c r="R64" i="73" s="1"/>
  <c r="AA73" i="73"/>
  <c r="AH73" i="73" s="1"/>
  <c r="I73" i="73"/>
  <c r="P73" i="73" s="1"/>
  <c r="AA66" i="73"/>
  <c r="AH66" i="73" s="1"/>
  <c r="I66" i="73"/>
  <c r="P66" i="73" s="1"/>
  <c r="AB91" i="73"/>
  <c r="AI91" i="73" s="1"/>
  <c r="J91" i="73"/>
  <c r="Q91" i="73" s="1"/>
  <c r="AD97" i="70"/>
  <c r="AD71" i="70"/>
  <c r="AD75" i="70"/>
  <c r="AD79" i="70"/>
  <c r="AD92" i="70"/>
  <c r="AD96" i="70"/>
  <c r="AD100" i="70"/>
  <c r="AD72" i="70"/>
  <c r="AD76" i="70"/>
  <c r="AD93" i="70"/>
  <c r="AD73" i="70"/>
  <c r="AD77" i="70"/>
  <c r="AD94" i="70"/>
  <c r="AD98" i="70"/>
  <c r="AD70" i="70"/>
  <c r="AD74" i="70"/>
  <c r="AD78" i="70"/>
  <c r="AD91" i="70"/>
  <c r="AD95" i="70"/>
  <c r="AD99" i="70"/>
  <c r="A9" i="69"/>
  <c r="B9" i="69" s="1"/>
  <c r="F13" i="71"/>
  <c r="A28" i="69"/>
  <c r="B28" i="69" s="1"/>
  <c r="B36" i="69"/>
  <c r="H46" i="70" s="1"/>
  <c r="B12" i="69"/>
  <c r="W93" i="71"/>
  <c r="P71" i="71"/>
  <c r="H98" i="71"/>
  <c r="O26" i="71"/>
  <c r="G25" i="71"/>
  <c r="O39" i="71"/>
  <c r="P44" i="71"/>
  <c r="O52" i="71"/>
  <c r="O60" i="71"/>
  <c r="P65" i="71"/>
  <c r="O73" i="71"/>
  <c r="P78" i="71"/>
  <c r="H82" i="71"/>
  <c r="P83" i="71"/>
  <c r="P82" i="71" s="1"/>
  <c r="X83" i="71"/>
  <c r="X82" i="71" s="1"/>
  <c r="X89" i="71"/>
  <c r="H93" i="71"/>
  <c r="A5" i="69"/>
  <c r="A6" i="69" s="1"/>
  <c r="P11" i="71"/>
  <c r="O20" i="71"/>
  <c r="P26" i="71"/>
  <c r="O33" i="71"/>
  <c r="P39" i="71"/>
  <c r="O47" i="71"/>
  <c r="P52" i="71"/>
  <c r="P60" i="71"/>
  <c r="O67" i="71"/>
  <c r="P73" i="71"/>
  <c r="Q83" i="71"/>
  <c r="Q82" i="71" s="1"/>
  <c r="I82" i="71"/>
  <c r="Y83" i="71"/>
  <c r="Y82" i="71" s="1"/>
  <c r="W95" i="71"/>
  <c r="H100" i="71"/>
  <c r="P23" i="71"/>
  <c r="P37" i="71"/>
  <c r="P17" i="71"/>
  <c r="G13" i="71"/>
  <c r="O14" i="71"/>
  <c r="P20" i="71"/>
  <c r="O28" i="71"/>
  <c r="P33" i="71"/>
  <c r="F35" i="71"/>
  <c r="O41" i="71"/>
  <c r="P47" i="71"/>
  <c r="O54" i="71"/>
  <c r="O62" i="71"/>
  <c r="P67" i="71"/>
  <c r="O75" i="71"/>
  <c r="J82" i="71"/>
  <c r="R83" i="71"/>
  <c r="R82" i="71" s="1"/>
  <c r="Z83" i="71"/>
  <c r="Z82" i="71" s="1"/>
  <c r="H95" i="71"/>
  <c r="H13" i="71"/>
  <c r="P14" i="71"/>
  <c r="O22" i="71"/>
  <c r="P28" i="71"/>
  <c r="G35" i="71"/>
  <c r="O36" i="71"/>
  <c r="P41" i="71"/>
  <c r="O49" i="71"/>
  <c r="P54" i="71"/>
  <c r="P62" i="71"/>
  <c r="P75" i="71"/>
  <c r="I80" i="71"/>
  <c r="Q81" i="71"/>
  <c r="Q80" i="71" s="1"/>
  <c r="S83" i="71"/>
  <c r="S82" i="71" s="1"/>
  <c r="AA83" i="71"/>
  <c r="AA82" i="71" s="1"/>
  <c r="K82" i="71"/>
  <c r="W97" i="71"/>
  <c r="H8" i="71"/>
  <c r="P9" i="71"/>
  <c r="O65" i="71"/>
  <c r="O43" i="71"/>
  <c r="O64" i="71"/>
  <c r="O24" i="71"/>
  <c r="P30" i="71"/>
  <c r="P64" i="71"/>
  <c r="K80" i="71"/>
  <c r="S81" i="71"/>
  <c r="S80" i="71" s="1"/>
  <c r="H87" i="71"/>
  <c r="W99" i="71"/>
  <c r="P10" i="71"/>
  <c r="G18" i="71"/>
  <c r="O19" i="71"/>
  <c r="O32" i="71"/>
  <c r="P38" i="71"/>
  <c r="O46" i="71"/>
  <c r="P51" i="71"/>
  <c r="H58" i="71"/>
  <c r="P59" i="71"/>
  <c r="O66" i="71"/>
  <c r="P72" i="71"/>
  <c r="O79" i="71"/>
  <c r="W94" i="71"/>
  <c r="H99" i="71"/>
  <c r="P50" i="71"/>
  <c r="G82" i="71"/>
  <c r="W83" i="71"/>
  <c r="W82" i="71" s="1"/>
  <c r="O83" i="71"/>
  <c r="O82" i="71" s="1"/>
  <c r="F58" i="71"/>
  <c r="P32" i="71"/>
  <c r="O53" i="71"/>
  <c r="O74" i="71"/>
  <c r="O11" i="71"/>
  <c r="P22" i="71"/>
  <c r="O77" i="71"/>
  <c r="J80" i="71"/>
  <c r="R81" i="71"/>
  <c r="R80" i="71" s="1"/>
  <c r="W92" i="71"/>
  <c r="H97" i="71"/>
  <c r="O10" i="71"/>
  <c r="P16" i="71"/>
  <c r="P43" i="71"/>
  <c r="P77" i="71"/>
  <c r="O12" i="71"/>
  <c r="P19" i="71"/>
  <c r="O27" i="71"/>
  <c r="O40" i="71"/>
  <c r="H45" i="71"/>
  <c r="P46" i="71"/>
  <c r="O57" i="71"/>
  <c r="O61" i="71"/>
  <c r="P66" i="71"/>
  <c r="P79" i="71"/>
  <c r="H94" i="71"/>
  <c r="P12" i="71"/>
  <c r="O21" i="71"/>
  <c r="P27" i="71"/>
  <c r="O34" i="71"/>
  <c r="P40" i="71"/>
  <c r="O48" i="71"/>
  <c r="P53" i="71"/>
  <c r="P61" i="71"/>
  <c r="O68" i="71"/>
  <c r="P74" i="71"/>
  <c r="W96" i="71"/>
  <c r="H102" i="71"/>
  <c r="H35" i="71"/>
  <c r="P36" i="71"/>
  <c r="F8" i="71"/>
  <c r="P21" i="71"/>
  <c r="O29" i="71"/>
  <c r="O56" i="71"/>
  <c r="G55" i="71"/>
  <c r="O17" i="71"/>
  <c r="O44" i="71"/>
  <c r="S57" i="71"/>
  <c r="O78" i="71"/>
  <c r="O16" i="71"/>
  <c r="O30" i="71"/>
  <c r="P49" i="71"/>
  <c r="G86" i="71"/>
  <c r="O87" i="71"/>
  <c r="O86" i="71" s="1"/>
  <c r="O38" i="71"/>
  <c r="O51" i="71"/>
  <c r="O59" i="71"/>
  <c r="G58" i="71"/>
  <c r="O72" i="71"/>
  <c r="H92" i="71"/>
  <c r="O15" i="71"/>
  <c r="P34" i="71"/>
  <c r="O42" i="71"/>
  <c r="P48" i="71"/>
  <c r="Q57" i="71"/>
  <c r="O63" i="71"/>
  <c r="P68" i="71"/>
  <c r="O76" i="71"/>
  <c r="G84" i="71"/>
  <c r="O85" i="71"/>
  <c r="O84" i="71" s="1"/>
  <c r="W91" i="71"/>
  <c r="H96" i="71"/>
  <c r="O9" i="71"/>
  <c r="G8" i="71"/>
  <c r="P15" i="71"/>
  <c r="O23" i="71"/>
  <c r="P29" i="71"/>
  <c r="O37" i="71"/>
  <c r="P42" i="71"/>
  <c r="H55" i="71"/>
  <c r="P56" i="71"/>
  <c r="R57" i="71"/>
  <c r="P63" i="71"/>
  <c r="O71" i="71"/>
  <c r="P76" i="71"/>
  <c r="H84" i="71"/>
  <c r="P85" i="71"/>
  <c r="P84" i="71" s="1"/>
  <c r="H91" i="71"/>
  <c r="W98" i="71"/>
  <c r="R73" i="70"/>
  <c r="R77" i="70"/>
  <c r="Z94" i="70"/>
  <c r="Z98" i="70"/>
  <c r="S73" i="70"/>
  <c r="I69" i="70"/>
  <c r="Q70" i="70"/>
  <c r="Q78" i="70"/>
  <c r="Y91" i="70"/>
  <c r="Y95" i="70"/>
  <c r="Y99" i="70"/>
  <c r="Q77" i="70"/>
  <c r="Q74" i="70"/>
  <c r="J69" i="70"/>
  <c r="R70" i="70"/>
  <c r="R74" i="70"/>
  <c r="R78" i="70"/>
  <c r="J90" i="70"/>
  <c r="Z91" i="70"/>
  <c r="Z95" i="70"/>
  <c r="Z99" i="70"/>
  <c r="Q73" i="70"/>
  <c r="K69" i="70"/>
  <c r="S70" i="70"/>
  <c r="S74" i="70"/>
  <c r="K90" i="70"/>
  <c r="AA91" i="70"/>
  <c r="AA95" i="70"/>
  <c r="AA99" i="70"/>
  <c r="Y94" i="70"/>
  <c r="S78" i="70"/>
  <c r="Q71" i="70"/>
  <c r="Q75" i="70"/>
  <c r="Q79" i="70"/>
  <c r="I90" i="70"/>
  <c r="Y92" i="70"/>
  <c r="Y96" i="70"/>
  <c r="Y100" i="70"/>
  <c r="S77" i="70"/>
  <c r="S71" i="70"/>
  <c r="S79" i="70"/>
  <c r="AA92" i="70"/>
  <c r="AA96" i="70"/>
  <c r="AA100" i="70"/>
  <c r="Z100" i="70"/>
  <c r="Q72" i="70"/>
  <c r="Q76" i="70"/>
  <c r="Y93" i="70"/>
  <c r="Y97" i="70"/>
  <c r="AA98" i="70"/>
  <c r="R75" i="70"/>
  <c r="R79" i="70"/>
  <c r="S75" i="70"/>
  <c r="R72" i="70"/>
  <c r="R76" i="70"/>
  <c r="Z93" i="70"/>
  <c r="Z97" i="70"/>
  <c r="AA94" i="70"/>
  <c r="R71" i="70"/>
  <c r="Z92" i="70"/>
  <c r="Z96" i="70"/>
  <c r="S72" i="70"/>
  <c r="S76" i="70"/>
  <c r="AA93" i="70"/>
  <c r="AA97" i="70"/>
  <c r="Y98" i="70"/>
  <c r="Q56" i="71"/>
  <c r="I55" i="71"/>
  <c r="R56" i="71"/>
  <c r="J55" i="71"/>
  <c r="K55" i="71"/>
  <c r="S56" i="71"/>
  <c r="I88" i="71"/>
  <c r="Y89" i="71"/>
  <c r="J88" i="71"/>
  <c r="Z89" i="71"/>
  <c r="K88" i="71"/>
  <c r="AA89" i="71"/>
  <c r="B27" i="69"/>
  <c r="G36" i="70" s="1"/>
  <c r="K27" i="71"/>
  <c r="I85" i="71"/>
  <c r="I89" i="70"/>
  <c r="A58" i="69"/>
  <c r="A59" i="69" s="1"/>
  <c r="B59" i="69" s="1"/>
  <c r="I26" i="71"/>
  <c r="K38" i="71"/>
  <c r="J89" i="70"/>
  <c r="J85" i="71"/>
  <c r="K85" i="71"/>
  <c r="J12" i="71"/>
  <c r="I46" i="71"/>
  <c r="K41" i="71"/>
  <c r="K48" i="71"/>
  <c r="I48" i="71"/>
  <c r="J48" i="71"/>
  <c r="K22" i="71"/>
  <c r="I36" i="71"/>
  <c r="J36" i="71"/>
  <c r="K36" i="71"/>
  <c r="I54" i="71"/>
  <c r="K54" i="71"/>
  <c r="I49" i="71"/>
  <c r="K49" i="71"/>
  <c r="K20" i="71"/>
  <c r="J20" i="71"/>
  <c r="I20" i="71"/>
  <c r="K26" i="71"/>
  <c r="J26" i="71"/>
  <c r="J27" i="71"/>
  <c r="K43" i="71"/>
  <c r="K12" i="71"/>
  <c r="B94" i="69"/>
  <c r="J16" i="71"/>
  <c r="I19" i="71"/>
  <c r="K50" i="71"/>
  <c r="J9" i="71"/>
  <c r="K10" i="71"/>
  <c r="K9" i="71"/>
  <c r="K16" i="71"/>
  <c r="J19" i="71"/>
  <c r="I23" i="71"/>
  <c r="I33" i="71"/>
  <c r="B18" i="69"/>
  <c r="H26" i="70" s="1"/>
  <c r="A37" i="69"/>
  <c r="I9" i="71"/>
  <c r="I15" i="71"/>
  <c r="J23" i="71"/>
  <c r="I42" i="71"/>
  <c r="K46" i="71"/>
  <c r="J46" i="71"/>
  <c r="K83" i="70"/>
  <c r="J83" i="70"/>
  <c r="I83" i="70"/>
  <c r="I28" i="71"/>
  <c r="K15" i="71"/>
  <c r="J15" i="71"/>
  <c r="K23" i="71"/>
  <c r="I29" i="71"/>
  <c r="J42" i="71"/>
  <c r="J47" i="71"/>
  <c r="I47" i="71"/>
  <c r="K47" i="71"/>
  <c r="I34" i="71"/>
  <c r="I21" i="71"/>
  <c r="K21" i="71"/>
  <c r="J34" i="71"/>
  <c r="K39" i="71"/>
  <c r="J39" i="71"/>
  <c r="I43" i="71"/>
  <c r="A99" i="69"/>
  <c r="B98" i="69"/>
  <c r="K34" i="71"/>
  <c r="J43" i="71"/>
  <c r="I16" i="71"/>
  <c r="K19" i="71"/>
  <c r="J38" i="71"/>
  <c r="K44" i="71"/>
  <c r="J28" i="71"/>
  <c r="K30" i="71"/>
  <c r="J30" i="71"/>
  <c r="I51" i="71"/>
  <c r="K51" i="71"/>
  <c r="K28" i="71"/>
  <c r="I30" i="71"/>
  <c r="A19" i="69"/>
  <c r="K14" i="71"/>
  <c r="I27" i="71"/>
  <c r="K42" i="71"/>
  <c r="K11" i="71"/>
  <c r="J11" i="71"/>
  <c r="I11" i="71"/>
  <c r="K32" i="71"/>
  <c r="J32" i="71"/>
  <c r="I32" i="71"/>
  <c r="B4" i="69"/>
  <c r="B8" i="69"/>
  <c r="H14" i="70" s="1"/>
  <c r="A13" i="69"/>
  <c r="I22" i="71"/>
  <c r="I37" i="71"/>
  <c r="I12" i="71"/>
  <c r="J22" i="71"/>
  <c r="I24" i="71"/>
  <c r="K24" i="71"/>
  <c r="I31" i="71"/>
  <c r="K31" i="71"/>
  <c r="J31" i="71"/>
  <c r="I17" i="71"/>
  <c r="K29" i="71"/>
  <c r="K33" i="71"/>
  <c r="K37" i="71"/>
  <c r="K40" i="71"/>
  <c r="J40" i="71"/>
  <c r="I40" i="71"/>
  <c r="I14" i="71"/>
  <c r="I41" i="71"/>
  <c r="B46" i="69"/>
  <c r="I10" i="71"/>
  <c r="K17" i="71"/>
  <c r="J29" i="71"/>
  <c r="J33" i="71"/>
  <c r="J37" i="71"/>
  <c r="J41" i="71"/>
  <c r="J54" i="71"/>
  <c r="K89" i="70"/>
  <c r="K52" i="71"/>
  <c r="J52" i="71"/>
  <c r="I52" i="71"/>
  <c r="J44" i="71"/>
  <c r="J53" i="71"/>
  <c r="I53" i="71"/>
  <c r="B45" i="69"/>
  <c r="B93" i="69"/>
  <c r="B95" i="69"/>
  <c r="G85" i="70" s="1"/>
  <c r="B97" i="69"/>
  <c r="J10" i="71"/>
  <c r="J14" i="71"/>
  <c r="J17" i="71"/>
  <c r="J21" i="71"/>
  <c r="J24" i="71"/>
  <c r="I38" i="71"/>
  <c r="I39" i="71"/>
  <c r="I44" i="71"/>
  <c r="J49" i="71"/>
  <c r="K53" i="71"/>
  <c r="J50" i="71"/>
  <c r="I50" i="71"/>
  <c r="J51" i="71"/>
  <c r="F88" i="71" l="1"/>
  <c r="F157" i="71"/>
  <c r="H88" i="71"/>
  <c r="H157" i="71"/>
  <c r="G157" i="71"/>
  <c r="O165" i="73"/>
  <c r="U130" i="74"/>
  <c r="AF165" i="73"/>
  <c r="N165" i="73"/>
  <c r="AG165" i="73"/>
  <c r="AA77" i="73"/>
  <c r="AH77" i="73" s="1"/>
  <c r="I77" i="73"/>
  <c r="P77" i="73" s="1"/>
  <c r="J77" i="73"/>
  <c r="Q77" i="73" s="1"/>
  <c r="AB77" i="73"/>
  <c r="AI77" i="73" s="1"/>
  <c r="AC77" i="73"/>
  <c r="AJ77" i="73" s="1"/>
  <c r="K77" i="73"/>
  <c r="R77" i="73" s="1"/>
  <c r="I79" i="71"/>
  <c r="I72" i="71"/>
  <c r="I74" i="71"/>
  <c r="I77" i="71"/>
  <c r="I73" i="71"/>
  <c r="I75" i="71"/>
  <c r="I76" i="71"/>
  <c r="Q76" i="71" s="1"/>
  <c r="I78" i="71"/>
  <c r="W100" i="71"/>
  <c r="W90" i="71" s="1"/>
  <c r="C136" i="77"/>
  <c r="W102" i="71"/>
  <c r="O102" i="71" s="1"/>
  <c r="O101" i="71" s="1"/>
  <c r="G101" i="71"/>
  <c r="I70" i="71"/>
  <c r="H18" i="71"/>
  <c r="P24" i="71"/>
  <c r="P18" i="71" s="1"/>
  <c r="H69" i="71"/>
  <c r="P70" i="71"/>
  <c r="P69" i="71" s="1"/>
  <c r="H80" i="71"/>
  <c r="AG164" i="73"/>
  <c r="W89" i="71"/>
  <c r="W88" i="71" s="1"/>
  <c r="P57" i="71"/>
  <c r="P55" i="71" s="1"/>
  <c r="G88" i="71"/>
  <c r="O31" i="71"/>
  <c r="O25" i="71" s="1"/>
  <c r="I71" i="71"/>
  <c r="G45" i="71"/>
  <c r="AG163" i="73"/>
  <c r="G69" i="71"/>
  <c r="U7" i="74"/>
  <c r="U39" i="74"/>
  <c r="U105" i="74"/>
  <c r="U80" i="74"/>
  <c r="T172" i="73"/>
  <c r="U120" i="74"/>
  <c r="U100" i="74"/>
  <c r="U133" i="74"/>
  <c r="U118" i="74"/>
  <c r="T171" i="73"/>
  <c r="U117" i="74"/>
  <c r="U121" i="74"/>
  <c r="U106" i="74"/>
  <c r="U145" i="74"/>
  <c r="U132" i="74"/>
  <c r="U29" i="74"/>
  <c r="U12" i="74"/>
  <c r="U82" i="74"/>
  <c r="U128" i="74"/>
  <c r="U129" i="74"/>
  <c r="U141" i="74"/>
  <c r="U97" i="74"/>
  <c r="U142" i="74"/>
  <c r="U78" i="74"/>
  <c r="U114" i="74"/>
  <c r="U108" i="74"/>
  <c r="U140" i="74"/>
  <c r="U126" i="74"/>
  <c r="U52" i="74"/>
  <c r="U76" i="74"/>
  <c r="P176" i="74"/>
  <c r="U95" i="74"/>
  <c r="U144" i="74"/>
  <c r="U124" i="74"/>
  <c r="U84" i="74"/>
  <c r="U137" i="74"/>
  <c r="U119" i="74"/>
  <c r="U123" i="74"/>
  <c r="U134" i="74"/>
  <c r="U99" i="74"/>
  <c r="U104" i="74"/>
  <c r="R178" i="74"/>
  <c r="S177" i="74"/>
  <c r="U115" i="74"/>
  <c r="U113" i="74"/>
  <c r="U135" i="74"/>
  <c r="R176" i="74"/>
  <c r="U110" i="74"/>
  <c r="U49" i="74"/>
  <c r="U101" i="74"/>
  <c r="U107" i="74"/>
  <c r="U138" i="74"/>
  <c r="S179" i="74"/>
  <c r="Q179" i="74"/>
  <c r="U127" i="74"/>
  <c r="S178" i="74"/>
  <c r="U116" i="74"/>
  <c r="O177" i="74"/>
  <c r="P175" i="74"/>
  <c r="U63" i="74"/>
  <c r="O176" i="74"/>
  <c r="Q175" i="74"/>
  <c r="U74" i="74"/>
  <c r="Q177" i="74"/>
  <c r="O178" i="74"/>
  <c r="U131" i="74"/>
  <c r="P178" i="74"/>
  <c r="U125" i="74"/>
  <c r="U139" i="74"/>
  <c r="R175" i="74"/>
  <c r="U147" i="74"/>
  <c r="O179" i="74"/>
  <c r="U143" i="74"/>
  <c r="U136" i="74"/>
  <c r="Q176" i="74"/>
  <c r="U112" i="74"/>
  <c r="T174" i="73"/>
  <c r="T175" i="73"/>
  <c r="U122" i="74"/>
  <c r="T173" i="73"/>
  <c r="Q178" i="74"/>
  <c r="U109" i="74"/>
  <c r="S176" i="74"/>
  <c r="U103" i="74"/>
  <c r="P179" i="74"/>
  <c r="U111" i="74"/>
  <c r="R177" i="74"/>
  <c r="O175" i="74"/>
  <c r="U102" i="74"/>
  <c r="U146" i="74"/>
  <c r="R179" i="74"/>
  <c r="U98" i="74"/>
  <c r="S175" i="74"/>
  <c r="U19" i="74"/>
  <c r="P177" i="74"/>
  <c r="P31" i="71"/>
  <c r="P25" i="71" s="1"/>
  <c r="H25" i="71"/>
  <c r="O81" i="71"/>
  <c r="O80" i="71" s="1"/>
  <c r="G80" i="71"/>
  <c r="AF164" i="73"/>
  <c r="A10" i="69"/>
  <c r="A11" i="69" s="1"/>
  <c r="R55" i="71"/>
  <c r="B58" i="69"/>
  <c r="A29" i="69"/>
  <c r="B29" i="69" s="1"/>
  <c r="G38" i="70" s="1"/>
  <c r="S55" i="71"/>
  <c r="Z88" i="71"/>
  <c r="Z157" i="71"/>
  <c r="F158" i="71"/>
  <c r="F156" i="71"/>
  <c r="N163" i="73"/>
  <c r="B5" i="69"/>
  <c r="O163" i="73"/>
  <c r="O161" i="73"/>
  <c r="AF170" i="73"/>
  <c r="N161" i="73"/>
  <c r="X88" i="71"/>
  <c r="X157" i="71"/>
  <c r="N167" i="73"/>
  <c r="AF161" i="73"/>
  <c r="Y88" i="71"/>
  <c r="Y157" i="71"/>
  <c r="AA88" i="71"/>
  <c r="AA157" i="71"/>
  <c r="AF167" i="73"/>
  <c r="AC169" i="73"/>
  <c r="AA163" i="73"/>
  <c r="J163" i="73"/>
  <c r="AB83" i="73"/>
  <c r="AI83" i="73" s="1"/>
  <c r="J83" i="73"/>
  <c r="Q83" i="73" s="1"/>
  <c r="AB163" i="73"/>
  <c r="Y30" i="73"/>
  <c r="AF30" i="73" s="1"/>
  <c r="G30" i="73"/>
  <c r="N30" i="73" s="1"/>
  <c r="Z8" i="73"/>
  <c r="AG8" i="73" s="1"/>
  <c r="H8" i="73"/>
  <c r="O8" i="73" s="1"/>
  <c r="I169" i="73"/>
  <c r="AA169" i="73"/>
  <c r="Z20" i="73"/>
  <c r="AG20" i="73" s="1"/>
  <c r="H20" i="73"/>
  <c r="O20" i="73" s="1"/>
  <c r="Z40" i="73"/>
  <c r="AG40" i="73" s="1"/>
  <c r="H40" i="73"/>
  <c r="O40" i="73" s="1"/>
  <c r="J169" i="73"/>
  <c r="Y79" i="73"/>
  <c r="AF79" i="73" s="1"/>
  <c r="G79" i="73"/>
  <c r="N79" i="73" s="1"/>
  <c r="AB169" i="73"/>
  <c r="K157" i="70"/>
  <c r="AC83" i="73"/>
  <c r="AJ83" i="73" s="1"/>
  <c r="K83" i="73"/>
  <c r="R83" i="73" s="1"/>
  <c r="Z83" i="73"/>
  <c r="AG83" i="73" s="1"/>
  <c r="H83" i="73"/>
  <c r="O83" i="73" s="1"/>
  <c r="K163" i="73"/>
  <c r="AA83" i="73"/>
  <c r="AH83" i="73" s="1"/>
  <c r="I83" i="73"/>
  <c r="P83" i="73" s="1"/>
  <c r="G157" i="70"/>
  <c r="Y83" i="73"/>
  <c r="AF83" i="73" s="1"/>
  <c r="G83" i="73"/>
  <c r="N83" i="73" s="1"/>
  <c r="AC163" i="73"/>
  <c r="K169" i="73"/>
  <c r="I163" i="73"/>
  <c r="I157" i="70"/>
  <c r="J157" i="70"/>
  <c r="H157" i="70"/>
  <c r="AD90" i="70"/>
  <c r="AD69" i="70"/>
  <c r="AD83" i="70"/>
  <c r="AD89" i="70"/>
  <c r="G56" i="70"/>
  <c r="H85" i="70"/>
  <c r="G46" i="70"/>
  <c r="G26" i="70"/>
  <c r="O55" i="71"/>
  <c r="H19" i="70"/>
  <c r="P46" i="70"/>
  <c r="O36" i="70"/>
  <c r="P14" i="70"/>
  <c r="G84" i="70"/>
  <c r="O85" i="70"/>
  <c r="O84" i="70" s="1"/>
  <c r="P26" i="70"/>
  <c r="H56" i="70"/>
  <c r="H59" i="70"/>
  <c r="W89" i="70"/>
  <c r="G88" i="70"/>
  <c r="AG11" i="70" s="1"/>
  <c r="G10" i="70"/>
  <c r="H88" i="70"/>
  <c r="AH11" i="70" s="1"/>
  <c r="X89" i="70"/>
  <c r="H60" i="70"/>
  <c r="G60" i="70"/>
  <c r="Q55" i="71"/>
  <c r="G14" i="70"/>
  <c r="P45" i="71"/>
  <c r="H36" i="70"/>
  <c r="G15" i="70"/>
  <c r="H15" i="70"/>
  <c r="G37" i="70"/>
  <c r="H37" i="70"/>
  <c r="P58" i="71"/>
  <c r="P13" i="71"/>
  <c r="X94" i="71"/>
  <c r="X99" i="71"/>
  <c r="X95" i="71"/>
  <c r="X93" i="71"/>
  <c r="O8" i="71"/>
  <c r="I94" i="71"/>
  <c r="I99" i="71"/>
  <c r="O18" i="71"/>
  <c r="I95" i="71"/>
  <c r="X100" i="71"/>
  <c r="I93" i="71"/>
  <c r="X96" i="71"/>
  <c r="X92" i="71"/>
  <c r="P8" i="71"/>
  <c r="I100" i="71"/>
  <c r="X98" i="71"/>
  <c r="I96" i="71"/>
  <c r="I92" i="71"/>
  <c r="O35" i="71"/>
  <c r="I98" i="71"/>
  <c r="P35" i="71"/>
  <c r="O45" i="71"/>
  <c r="O69" i="71"/>
  <c r="O13" i="71"/>
  <c r="H101" i="71"/>
  <c r="X102" i="71"/>
  <c r="X101" i="71" s="1"/>
  <c r="X91" i="71"/>
  <c r="H90" i="71"/>
  <c r="I102" i="71"/>
  <c r="I97" i="71"/>
  <c r="H86" i="71"/>
  <c r="P87" i="71"/>
  <c r="P86" i="71" s="1"/>
  <c r="X97" i="71"/>
  <c r="I91" i="71"/>
  <c r="O58" i="71"/>
  <c r="I87" i="71"/>
  <c r="AA90" i="70"/>
  <c r="Q69" i="70"/>
  <c r="Z90" i="70"/>
  <c r="S69" i="70"/>
  <c r="R69" i="70"/>
  <c r="Y90" i="70"/>
  <c r="S52" i="71"/>
  <c r="Q10" i="71"/>
  <c r="Q50" i="71"/>
  <c r="R14" i="71"/>
  <c r="R31" i="71"/>
  <c r="Q22" i="71"/>
  <c r="R28" i="71"/>
  <c r="S34" i="71"/>
  <c r="Q43" i="71"/>
  <c r="S15" i="71"/>
  <c r="Q23" i="71"/>
  <c r="S43" i="71"/>
  <c r="S53" i="71"/>
  <c r="R54" i="71"/>
  <c r="Q40" i="71"/>
  <c r="S31" i="71"/>
  <c r="Q11" i="71"/>
  <c r="S44" i="71"/>
  <c r="R39" i="71"/>
  <c r="R19" i="71"/>
  <c r="Q20" i="71"/>
  <c r="S48" i="71"/>
  <c r="R29" i="71"/>
  <c r="S17" i="71"/>
  <c r="R17" i="71"/>
  <c r="R47" i="71"/>
  <c r="R30" i="71"/>
  <c r="Q28" i="71"/>
  <c r="S30" i="71"/>
  <c r="R49" i="71"/>
  <c r="R41" i="71"/>
  <c r="R40" i="71"/>
  <c r="Q31" i="71"/>
  <c r="R11" i="71"/>
  <c r="R38" i="71"/>
  <c r="S39" i="71"/>
  <c r="S16" i="71"/>
  <c r="R23" i="71"/>
  <c r="R10" i="71"/>
  <c r="R37" i="71"/>
  <c r="R34" i="71"/>
  <c r="Q34" i="71"/>
  <c r="S20" i="71"/>
  <c r="Q54" i="71"/>
  <c r="S33" i="71"/>
  <c r="Q53" i="71"/>
  <c r="Q30" i="71"/>
  <c r="Q44" i="71"/>
  <c r="Q52" i="71"/>
  <c r="S40" i="71"/>
  <c r="S24" i="71"/>
  <c r="S11" i="71"/>
  <c r="Q39" i="71"/>
  <c r="R52" i="71"/>
  <c r="R33" i="71"/>
  <c r="S37" i="71"/>
  <c r="Q24" i="71"/>
  <c r="Q32" i="71"/>
  <c r="Q16" i="71"/>
  <c r="S21" i="71"/>
  <c r="S10" i="71"/>
  <c r="S49" i="71"/>
  <c r="S41" i="71"/>
  <c r="S38" i="71"/>
  <c r="R22" i="71"/>
  <c r="R32" i="71"/>
  <c r="S42" i="71"/>
  <c r="Q21" i="71"/>
  <c r="Q49" i="71"/>
  <c r="S54" i="71"/>
  <c r="R48" i="71"/>
  <c r="Q26" i="71"/>
  <c r="S29" i="71"/>
  <c r="Q12" i="71"/>
  <c r="S32" i="71"/>
  <c r="S47" i="71"/>
  <c r="Q42" i="71"/>
  <c r="S50" i="71"/>
  <c r="S12" i="71"/>
  <c r="R12" i="71"/>
  <c r="R26" i="71"/>
  <c r="R24" i="71"/>
  <c r="Q17" i="71"/>
  <c r="Q41" i="71"/>
  <c r="R50" i="71"/>
  <c r="R44" i="71"/>
  <c r="S28" i="71"/>
  <c r="Q51" i="71"/>
  <c r="R42" i="71"/>
  <c r="Q15" i="71"/>
  <c r="R16" i="71"/>
  <c r="Q48" i="71"/>
  <c r="Q46" i="71"/>
  <c r="R51" i="71"/>
  <c r="S27" i="71"/>
  <c r="Q38" i="71"/>
  <c r="R21" i="71"/>
  <c r="R53" i="71"/>
  <c r="S51" i="71"/>
  <c r="Q29" i="71"/>
  <c r="Q37" i="71"/>
  <c r="R43" i="71"/>
  <c r="S23" i="71"/>
  <c r="Q33" i="71"/>
  <c r="S22" i="71"/>
  <c r="I25" i="71"/>
  <c r="Q27" i="71"/>
  <c r="R46" i="71"/>
  <c r="J45" i="71"/>
  <c r="R9" i="71"/>
  <c r="J8" i="71"/>
  <c r="K13" i="71"/>
  <c r="S14" i="71"/>
  <c r="I45" i="71"/>
  <c r="Q47" i="71"/>
  <c r="J25" i="71"/>
  <c r="R27" i="71"/>
  <c r="I84" i="71"/>
  <c r="Q85" i="71"/>
  <c r="Q84" i="71" s="1"/>
  <c r="Q19" i="71"/>
  <c r="I18" i="71"/>
  <c r="R36" i="71"/>
  <c r="J35" i="71"/>
  <c r="S85" i="71"/>
  <c r="S84" i="71" s="1"/>
  <c r="K84" i="71"/>
  <c r="Y89" i="70"/>
  <c r="I88" i="70"/>
  <c r="Q14" i="71"/>
  <c r="I13" i="71"/>
  <c r="S26" i="71"/>
  <c r="K25" i="71"/>
  <c r="Q9" i="71"/>
  <c r="I8" i="71"/>
  <c r="I35" i="71"/>
  <c r="Q36" i="71"/>
  <c r="Z89" i="70"/>
  <c r="J88" i="70"/>
  <c r="S46" i="71"/>
  <c r="K45" i="71"/>
  <c r="AA89" i="70"/>
  <c r="K88" i="70"/>
  <c r="J13" i="71"/>
  <c r="R15" i="71"/>
  <c r="J84" i="71"/>
  <c r="R85" i="71"/>
  <c r="R84" i="71" s="1"/>
  <c r="I82" i="70"/>
  <c r="Q83" i="70"/>
  <c r="Q82" i="70" s="1"/>
  <c r="Y83" i="70"/>
  <c r="Y82" i="70" s="1"/>
  <c r="J82" i="70"/>
  <c r="R83" i="70"/>
  <c r="R82" i="70" s="1"/>
  <c r="Z83" i="70"/>
  <c r="Z82" i="70" s="1"/>
  <c r="J18" i="71"/>
  <c r="R20" i="71"/>
  <c r="K18" i="71"/>
  <c r="S19" i="71"/>
  <c r="S83" i="70"/>
  <c r="S82" i="70" s="1"/>
  <c r="AA83" i="70"/>
  <c r="AA82" i="70" s="1"/>
  <c r="K82" i="70"/>
  <c r="K8" i="71"/>
  <c r="S9" i="71"/>
  <c r="K35" i="71"/>
  <c r="S36" i="71"/>
  <c r="A60" i="69"/>
  <c r="A61" i="69" s="1"/>
  <c r="B61" i="69" s="1"/>
  <c r="I57" i="70"/>
  <c r="B99" i="69"/>
  <c r="A100" i="69"/>
  <c r="B19" i="69"/>
  <c r="G27" i="70" s="1"/>
  <c r="A20" i="69"/>
  <c r="B6" i="69"/>
  <c r="A7" i="69"/>
  <c r="B37" i="69"/>
  <c r="H47" i="70" s="1"/>
  <c r="A38" i="69"/>
  <c r="B13" i="69"/>
  <c r="A14" i="69"/>
  <c r="G61" i="70"/>
  <c r="W101" i="71" l="1"/>
  <c r="Q70" i="71"/>
  <c r="K165" i="73"/>
  <c r="R165" i="73"/>
  <c r="AC165" i="73"/>
  <c r="AJ165" i="73"/>
  <c r="AB165" i="73"/>
  <c r="AI165" i="73"/>
  <c r="J165" i="73"/>
  <c r="Q165" i="73"/>
  <c r="I165" i="73"/>
  <c r="AA165" i="73"/>
  <c r="AH165" i="73"/>
  <c r="D136" i="77"/>
  <c r="Q73" i="71"/>
  <c r="J73" i="71"/>
  <c r="J79" i="71"/>
  <c r="J74" i="71"/>
  <c r="J76" i="71"/>
  <c r="J75" i="71"/>
  <c r="J70" i="71"/>
  <c r="J72" i="71"/>
  <c r="J78" i="71"/>
  <c r="B10" i="69"/>
  <c r="H16" i="70" s="1"/>
  <c r="Z10" i="73" s="1"/>
  <c r="AG10" i="73" s="1"/>
  <c r="Q74" i="71"/>
  <c r="Q71" i="71"/>
  <c r="AJ11" i="70"/>
  <c r="AP11" i="70" s="1"/>
  <c r="Q75" i="71"/>
  <c r="W157" i="71"/>
  <c r="O164" i="73"/>
  <c r="G156" i="71"/>
  <c r="AM11" i="70"/>
  <c r="AK11" i="70"/>
  <c r="AQ11" i="70" s="1"/>
  <c r="AI11" i="70"/>
  <c r="AO11" i="70" s="1"/>
  <c r="AN11" i="70"/>
  <c r="C158" i="77"/>
  <c r="Q77" i="71"/>
  <c r="Q79" i="71"/>
  <c r="Q78" i="71"/>
  <c r="Q72" i="71"/>
  <c r="D158" i="77"/>
  <c r="I69" i="71"/>
  <c r="G158" i="71"/>
  <c r="J71" i="71"/>
  <c r="J77" i="71"/>
  <c r="AF163" i="73"/>
  <c r="AF169" i="73"/>
  <c r="U175" i="74"/>
  <c r="U177" i="74"/>
  <c r="U176" i="74"/>
  <c r="U178" i="74"/>
  <c r="U179" i="74"/>
  <c r="N164" i="73"/>
  <c r="AG161" i="73"/>
  <c r="N169" i="73"/>
  <c r="N170" i="73"/>
  <c r="A30" i="69"/>
  <c r="A31" i="69" s="1"/>
  <c r="H158" i="71"/>
  <c r="O169" i="73"/>
  <c r="W158" i="71"/>
  <c r="W156" i="71"/>
  <c r="AG169" i="73"/>
  <c r="H156" i="71"/>
  <c r="O156" i="71"/>
  <c r="O158" i="71"/>
  <c r="O170" i="73"/>
  <c r="O167" i="73"/>
  <c r="AG170" i="73"/>
  <c r="AG167" i="73"/>
  <c r="AD157" i="70"/>
  <c r="Y54" i="73"/>
  <c r="AF54" i="73" s="1"/>
  <c r="G54" i="73"/>
  <c r="N54" i="73" s="1"/>
  <c r="Y50" i="73"/>
  <c r="AF50" i="73" s="1"/>
  <c r="G50" i="73"/>
  <c r="N50" i="73" s="1"/>
  <c r="Y9" i="73"/>
  <c r="AF9" i="73" s="1"/>
  <c r="G9" i="73"/>
  <c r="N9" i="73" s="1"/>
  <c r="Z30" i="73"/>
  <c r="AG30" i="73" s="1"/>
  <c r="H30" i="73"/>
  <c r="O30" i="73" s="1"/>
  <c r="Z13" i="73"/>
  <c r="AG13" i="73" s="1"/>
  <c r="H13" i="73"/>
  <c r="O13" i="73" s="1"/>
  <c r="K168" i="73"/>
  <c r="R168" i="73"/>
  <c r="G168" i="73"/>
  <c r="N168" i="73"/>
  <c r="AC168" i="73"/>
  <c r="AJ168" i="73"/>
  <c r="Z50" i="73"/>
  <c r="AG50" i="73" s="1"/>
  <c r="H50" i="73"/>
  <c r="O50" i="73" s="1"/>
  <c r="AF168" i="73"/>
  <c r="Y168" i="73"/>
  <c r="Y8" i="73"/>
  <c r="AF8" i="73" s="1"/>
  <c r="G8" i="73"/>
  <c r="N8" i="73" s="1"/>
  <c r="Y20" i="73"/>
  <c r="AF20" i="73" s="1"/>
  <c r="G20" i="73"/>
  <c r="N20" i="73" s="1"/>
  <c r="Z53" i="73"/>
  <c r="AG53" i="73" s="1"/>
  <c r="H53" i="73"/>
  <c r="O53" i="73" s="1"/>
  <c r="Y40" i="73"/>
  <c r="AF40" i="73" s="1"/>
  <c r="G40" i="73"/>
  <c r="N40" i="73" s="1"/>
  <c r="I168" i="73"/>
  <c r="P168" i="73"/>
  <c r="J168" i="73"/>
  <c r="Q168" i="73"/>
  <c r="Z79" i="73"/>
  <c r="AG79" i="73" s="1"/>
  <c r="H79" i="73"/>
  <c r="O79" i="73" s="1"/>
  <c r="G166" i="73"/>
  <c r="N166" i="73"/>
  <c r="AI168" i="73"/>
  <c r="AB168" i="73"/>
  <c r="Y32" i="73"/>
  <c r="AF32" i="73" s="1"/>
  <c r="G32" i="73"/>
  <c r="N32" i="73" s="1"/>
  <c r="AF166" i="73"/>
  <c r="Y166" i="73"/>
  <c r="J51" i="74"/>
  <c r="Q51" i="74" s="1"/>
  <c r="AA51" i="73"/>
  <c r="AH51" i="73" s="1"/>
  <c r="I51" i="73"/>
  <c r="P51" i="73" s="1"/>
  <c r="Z54" i="73"/>
  <c r="AG54" i="73" s="1"/>
  <c r="H54" i="73"/>
  <c r="O54" i="73" s="1"/>
  <c r="Z31" i="73"/>
  <c r="AG31" i="73" s="1"/>
  <c r="H31" i="73"/>
  <c r="O31" i="73" s="1"/>
  <c r="Y31" i="73"/>
  <c r="AF31" i="73" s="1"/>
  <c r="G31" i="73"/>
  <c r="N31" i="73" s="1"/>
  <c r="AA168" i="73"/>
  <c r="AH168" i="73"/>
  <c r="Y55" i="73"/>
  <c r="AF55" i="73" s="1"/>
  <c r="G55" i="73"/>
  <c r="N55" i="73" s="1"/>
  <c r="Y21" i="73"/>
  <c r="AF21" i="73" s="1"/>
  <c r="G21" i="73"/>
  <c r="N21" i="73" s="1"/>
  <c r="Z41" i="73"/>
  <c r="AG41" i="73" s="1"/>
  <c r="H41" i="73"/>
  <c r="O41" i="73" s="1"/>
  <c r="Z9" i="73"/>
  <c r="AG9" i="73" s="1"/>
  <c r="H9" i="73"/>
  <c r="O9" i="73" s="1"/>
  <c r="Y4" i="73"/>
  <c r="AF4" i="73" s="1"/>
  <c r="G4" i="73"/>
  <c r="N4" i="73" s="1"/>
  <c r="H168" i="73"/>
  <c r="O168" i="73"/>
  <c r="D12" i="38" s="1"/>
  <c r="Z168" i="73"/>
  <c r="AG168" i="73"/>
  <c r="W88" i="70"/>
  <c r="W158" i="70" s="1"/>
  <c r="W157" i="70"/>
  <c r="X88" i="70"/>
  <c r="X158" i="70" s="1"/>
  <c r="X157" i="70"/>
  <c r="Z88" i="70"/>
  <c r="Z157" i="70"/>
  <c r="Y88" i="70"/>
  <c r="Y157" i="70"/>
  <c r="AA88" i="70"/>
  <c r="AA157" i="70"/>
  <c r="AD82" i="70"/>
  <c r="AD88" i="70"/>
  <c r="H84" i="70"/>
  <c r="O26" i="70"/>
  <c r="P85" i="70"/>
  <c r="P84" i="70" s="1"/>
  <c r="O46" i="70"/>
  <c r="H61" i="70"/>
  <c r="O38" i="70"/>
  <c r="H20" i="70"/>
  <c r="O61" i="70"/>
  <c r="P47" i="70"/>
  <c r="O27" i="70"/>
  <c r="P37" i="70"/>
  <c r="O37" i="70"/>
  <c r="P36" i="70"/>
  <c r="O60" i="70"/>
  <c r="P60" i="70"/>
  <c r="O10" i="70"/>
  <c r="P59" i="70"/>
  <c r="P15" i="70"/>
  <c r="H27" i="70"/>
  <c r="O15" i="70"/>
  <c r="G20" i="70"/>
  <c r="H55" i="70"/>
  <c r="AH10" i="70" s="1"/>
  <c r="AN10" i="70" s="1"/>
  <c r="P56" i="70"/>
  <c r="P55" i="70" s="1"/>
  <c r="G16" i="70"/>
  <c r="G59" i="70"/>
  <c r="G11" i="70"/>
  <c r="G19" i="70"/>
  <c r="G47" i="70"/>
  <c r="H38" i="70"/>
  <c r="P102" i="71"/>
  <c r="P101" i="71" s="1"/>
  <c r="P156" i="71" s="1"/>
  <c r="O14" i="70"/>
  <c r="G9" i="70"/>
  <c r="G55" i="70"/>
  <c r="AG10" i="70" s="1"/>
  <c r="AM10" i="70" s="1"/>
  <c r="O56" i="70"/>
  <c r="O55" i="70" s="1"/>
  <c r="P19" i="70"/>
  <c r="R8" i="71"/>
  <c r="I56" i="70"/>
  <c r="J56" i="70"/>
  <c r="K56" i="70"/>
  <c r="Y91" i="71"/>
  <c r="I90" i="71"/>
  <c r="K102" i="71"/>
  <c r="J102" i="71"/>
  <c r="Y96" i="71"/>
  <c r="K91" i="71"/>
  <c r="J91" i="71"/>
  <c r="Y98" i="71"/>
  <c r="K96" i="71"/>
  <c r="J96" i="71"/>
  <c r="K98" i="71"/>
  <c r="J98" i="71"/>
  <c r="Y93" i="71"/>
  <c r="K93" i="71"/>
  <c r="J93" i="71"/>
  <c r="Y99" i="71"/>
  <c r="I86" i="71"/>
  <c r="Q87" i="71"/>
  <c r="Q86" i="71" s="1"/>
  <c r="K99" i="71"/>
  <c r="J99" i="71"/>
  <c r="K87" i="71"/>
  <c r="J87" i="71"/>
  <c r="Y100" i="71"/>
  <c r="Y94" i="71"/>
  <c r="Y97" i="71"/>
  <c r="X90" i="71"/>
  <c r="X158" i="71" s="1"/>
  <c r="K100" i="71"/>
  <c r="J100" i="71"/>
  <c r="Y95" i="71"/>
  <c r="K94" i="71"/>
  <c r="J94" i="71"/>
  <c r="K97" i="71"/>
  <c r="J97" i="71"/>
  <c r="Y92" i="71"/>
  <c r="K95" i="71"/>
  <c r="J95" i="71"/>
  <c r="I101" i="71"/>
  <c r="Y102" i="71"/>
  <c r="Y101" i="71" s="1"/>
  <c r="K92" i="71"/>
  <c r="J92" i="71"/>
  <c r="S35" i="71"/>
  <c r="S13" i="71"/>
  <c r="Q18" i="71"/>
  <c r="S8" i="71"/>
  <c r="R13" i="71"/>
  <c r="S25" i="71"/>
  <c r="Q13" i="71"/>
  <c r="Q25" i="71"/>
  <c r="Q35" i="71"/>
  <c r="R35" i="71"/>
  <c r="Q8" i="71"/>
  <c r="S18" i="71"/>
  <c r="R45" i="71"/>
  <c r="Q57" i="70"/>
  <c r="R18" i="71"/>
  <c r="R25" i="71"/>
  <c r="Q45" i="71"/>
  <c r="S45" i="71"/>
  <c r="A62" i="69"/>
  <c r="A63" i="69" s="1"/>
  <c r="B60" i="69"/>
  <c r="J57" i="70"/>
  <c r="K57" i="70"/>
  <c r="B30" i="69"/>
  <c r="G39" i="70" s="1"/>
  <c r="A101" i="69"/>
  <c r="B100" i="69"/>
  <c r="B11" i="69"/>
  <c r="H17" i="70" s="1"/>
  <c r="A39" i="69"/>
  <c r="B38" i="69"/>
  <c r="B7" i="69"/>
  <c r="A15" i="69"/>
  <c r="B14" i="69"/>
  <c r="G21" i="70" s="1"/>
  <c r="A21" i="69"/>
  <c r="B20" i="69"/>
  <c r="G28" i="70" s="1"/>
  <c r="P16" i="70" l="1"/>
  <c r="H10" i="73"/>
  <c r="O10" i="73" s="1"/>
  <c r="F12" i="38"/>
  <c r="C12" i="38"/>
  <c r="G12" i="38"/>
  <c r="P165" i="73"/>
  <c r="T165" i="73" s="1"/>
  <c r="T77" i="73"/>
  <c r="K79" i="71"/>
  <c r="K78" i="71"/>
  <c r="K74" i="71"/>
  <c r="K70" i="71"/>
  <c r="K71" i="71"/>
  <c r="K75" i="71"/>
  <c r="P163" i="73"/>
  <c r="AH163" i="73"/>
  <c r="Q69" i="71"/>
  <c r="R78" i="71"/>
  <c r="R72" i="71"/>
  <c r="R71" i="71"/>
  <c r="R74" i="71"/>
  <c r="R73" i="71"/>
  <c r="J69" i="71"/>
  <c r="R70" i="71"/>
  <c r="R75" i="71"/>
  <c r="R77" i="71"/>
  <c r="R76" i="71"/>
  <c r="R79" i="71"/>
  <c r="E136" i="77"/>
  <c r="I68" i="71"/>
  <c r="I60" i="71"/>
  <c r="I61" i="71"/>
  <c r="I62" i="71"/>
  <c r="I63" i="71"/>
  <c r="I65" i="71"/>
  <c r="I64" i="71"/>
  <c r="I66" i="71"/>
  <c r="I67" i="71"/>
  <c r="K77" i="71"/>
  <c r="K76" i="71"/>
  <c r="K73" i="71"/>
  <c r="K72" i="71"/>
  <c r="P158" i="71"/>
  <c r="X156" i="71"/>
  <c r="P169" i="73"/>
  <c r="AH169" i="73"/>
  <c r="AG160" i="73"/>
  <c r="D31" i="60" s="1"/>
  <c r="Z160" i="73"/>
  <c r="Y3" i="73"/>
  <c r="AF3" i="73" s="1"/>
  <c r="G3" i="73"/>
  <c r="N3" i="73" s="1"/>
  <c r="Z11" i="73"/>
  <c r="H11" i="73"/>
  <c r="AB50" i="73"/>
  <c r="AI50" i="73" s="1"/>
  <c r="J50" i="73"/>
  <c r="Q50" i="73" s="1"/>
  <c r="Y41" i="73"/>
  <c r="AF41" i="73" s="1"/>
  <c r="G41" i="73"/>
  <c r="N41" i="73" s="1"/>
  <c r="Y13" i="73"/>
  <c r="AF13" i="73" s="1"/>
  <c r="G13" i="73"/>
  <c r="N13" i="73" s="1"/>
  <c r="Z14" i="73"/>
  <c r="AG14" i="73" s="1"/>
  <c r="H14" i="73"/>
  <c r="O14" i="73" s="1"/>
  <c r="Y14" i="73"/>
  <c r="AF14" i="73" s="1"/>
  <c r="G14" i="73"/>
  <c r="N14" i="73" s="1"/>
  <c r="Z21" i="73"/>
  <c r="AG21" i="73" s="1"/>
  <c r="H21" i="73"/>
  <c r="O21" i="73" s="1"/>
  <c r="AC50" i="73"/>
  <c r="AJ50" i="73" s="1"/>
  <c r="K50" i="73"/>
  <c r="R50" i="73" s="1"/>
  <c r="Z32" i="73"/>
  <c r="AG32" i="73" s="1"/>
  <c r="H32" i="73"/>
  <c r="O32" i="73" s="1"/>
  <c r="L51" i="74"/>
  <c r="S51" i="74" s="1"/>
  <c r="AC51" i="73"/>
  <c r="AJ51" i="73" s="1"/>
  <c r="K51" i="73"/>
  <c r="R51" i="73" s="1"/>
  <c r="I55" i="70"/>
  <c r="AI10" i="70" s="1"/>
  <c r="AO10" i="70" s="1"/>
  <c r="AA50" i="73"/>
  <c r="AH50" i="73" s="1"/>
  <c r="I50" i="73"/>
  <c r="P50" i="73" s="1"/>
  <c r="Y5" i="73"/>
  <c r="AF5" i="73" s="1"/>
  <c r="G5" i="73"/>
  <c r="N5" i="73" s="1"/>
  <c r="Y53" i="73"/>
  <c r="AF53" i="73" s="1"/>
  <c r="G53" i="73"/>
  <c r="N53" i="73" s="1"/>
  <c r="Z55" i="73"/>
  <c r="AG55" i="73" s="1"/>
  <c r="H55" i="73"/>
  <c r="O55" i="73" s="1"/>
  <c r="Y22" i="73"/>
  <c r="AF22" i="73" s="1"/>
  <c r="G22" i="73"/>
  <c r="N22" i="73" s="1"/>
  <c r="K51" i="74"/>
  <c r="R51" i="74" s="1"/>
  <c r="AB51" i="73"/>
  <c r="AI51" i="73" s="1"/>
  <c r="J51" i="73"/>
  <c r="Q51" i="73" s="1"/>
  <c r="Y10" i="73"/>
  <c r="AF10" i="73" s="1"/>
  <c r="G10" i="73"/>
  <c r="N10" i="73" s="1"/>
  <c r="G160" i="73"/>
  <c r="N160" i="73"/>
  <c r="H166" i="73"/>
  <c r="O166" i="73"/>
  <c r="AF160" i="73"/>
  <c r="C31" i="60" s="1"/>
  <c r="Y160" i="73"/>
  <c r="Y15" i="73"/>
  <c r="AF15" i="73" s="1"/>
  <c r="G15" i="73"/>
  <c r="N15" i="73" s="1"/>
  <c r="Y33" i="73"/>
  <c r="AF33" i="73" s="1"/>
  <c r="G33" i="73"/>
  <c r="N33" i="73" s="1"/>
  <c r="Z166" i="73"/>
  <c r="AG166" i="73"/>
  <c r="I161" i="73"/>
  <c r="P161" i="73"/>
  <c r="AH161" i="73"/>
  <c r="AA161" i="73"/>
  <c r="J165" i="74"/>
  <c r="H160" i="73"/>
  <c r="O160" i="73"/>
  <c r="T83" i="73"/>
  <c r="AD56" i="70"/>
  <c r="AD57" i="70"/>
  <c r="P61" i="70"/>
  <c r="H39" i="70"/>
  <c r="G12" i="70"/>
  <c r="G62" i="70"/>
  <c r="O28" i="70"/>
  <c r="O21" i="70"/>
  <c r="O39" i="70"/>
  <c r="P17" i="70"/>
  <c r="P13" i="70" s="1"/>
  <c r="H13" i="70"/>
  <c r="O19" i="70"/>
  <c r="G17" i="70"/>
  <c r="O47" i="70"/>
  <c r="H29" i="70"/>
  <c r="O11" i="70"/>
  <c r="P38" i="70"/>
  <c r="O9" i="70"/>
  <c r="H28" i="70"/>
  <c r="O59" i="70"/>
  <c r="P27" i="70"/>
  <c r="P20" i="70"/>
  <c r="G48" i="70"/>
  <c r="O16" i="70"/>
  <c r="H48" i="70"/>
  <c r="O20" i="70"/>
  <c r="Q56" i="70"/>
  <c r="Q55" i="70" s="1"/>
  <c r="J55" i="70"/>
  <c r="AJ10" i="70" s="1"/>
  <c r="AP10" i="70" s="1"/>
  <c r="S56" i="70"/>
  <c r="K55" i="70"/>
  <c r="AK10" i="70" s="1"/>
  <c r="AQ10" i="70" s="1"/>
  <c r="R56" i="70"/>
  <c r="J101" i="71"/>
  <c r="Z102" i="71"/>
  <c r="Z101" i="71" s="1"/>
  <c r="Z94" i="71"/>
  <c r="Z96" i="71"/>
  <c r="K101" i="71"/>
  <c r="AA102" i="71"/>
  <c r="AA101" i="71" s="1"/>
  <c r="Z92" i="71"/>
  <c r="AA94" i="71"/>
  <c r="AA96" i="71"/>
  <c r="AA92" i="71"/>
  <c r="R87" i="71"/>
  <c r="R86" i="71" s="1"/>
  <c r="J86" i="71"/>
  <c r="Z95" i="71"/>
  <c r="K86" i="71"/>
  <c r="S87" i="71"/>
  <c r="S86" i="71" s="1"/>
  <c r="Z98" i="71"/>
  <c r="Y90" i="71"/>
  <c r="Y156" i="71" s="1"/>
  <c r="AA95" i="71"/>
  <c r="Z100" i="71"/>
  <c r="Z93" i="71"/>
  <c r="AA98" i="71"/>
  <c r="Q102" i="71"/>
  <c r="Q101" i="71" s="1"/>
  <c r="AA100" i="71"/>
  <c r="Z99" i="71"/>
  <c r="AA93" i="71"/>
  <c r="Z91" i="71"/>
  <c r="J90" i="71"/>
  <c r="AA99" i="71"/>
  <c r="AA91" i="71"/>
  <c r="K90" i="71"/>
  <c r="Z97" i="71"/>
  <c r="AA97" i="71"/>
  <c r="S57" i="70"/>
  <c r="R57" i="70"/>
  <c r="B62" i="69"/>
  <c r="B31" i="69"/>
  <c r="H40" i="70" s="1"/>
  <c r="A32" i="69"/>
  <c r="B21" i="69"/>
  <c r="G29" i="70" s="1"/>
  <c r="A22" i="69"/>
  <c r="B63" i="69"/>
  <c r="A64" i="69"/>
  <c r="B101" i="69"/>
  <c r="A102" i="69"/>
  <c r="B15" i="69"/>
  <c r="H22" i="70" s="1"/>
  <c r="A16" i="69"/>
  <c r="H63" i="70"/>
  <c r="B39" i="69"/>
  <c r="H49" i="70" s="1"/>
  <c r="A40" i="69"/>
  <c r="AG11" i="73" l="1"/>
  <c r="AG155" i="73" s="1"/>
  <c r="O11" i="73"/>
  <c r="O155" i="73" s="1"/>
  <c r="E12" i="38"/>
  <c r="M258" i="69"/>
  <c r="K69" i="71"/>
  <c r="S70" i="71"/>
  <c r="S73" i="71"/>
  <c r="T67" i="73"/>
  <c r="Q67" i="71"/>
  <c r="T73" i="73"/>
  <c r="S79" i="71"/>
  <c r="Q64" i="71"/>
  <c r="AI163" i="73"/>
  <c r="Q68" i="71"/>
  <c r="R69" i="71"/>
  <c r="S71" i="71"/>
  <c r="T65" i="73"/>
  <c r="Q65" i="71"/>
  <c r="S77" i="71"/>
  <c r="T71" i="73"/>
  <c r="Q63" i="71"/>
  <c r="Q163" i="73"/>
  <c r="Q66" i="71"/>
  <c r="Q62" i="71"/>
  <c r="T68" i="73"/>
  <c r="S74" i="71"/>
  <c r="E158" i="77"/>
  <c r="F136" i="77"/>
  <c r="J61" i="71"/>
  <c r="J62" i="71"/>
  <c r="J63" i="71"/>
  <c r="J64" i="71"/>
  <c r="J65" i="71"/>
  <c r="J67" i="71"/>
  <c r="J66" i="71"/>
  <c r="J68" i="71"/>
  <c r="J60" i="71"/>
  <c r="Q61" i="71"/>
  <c r="S76" i="71"/>
  <c r="T70" i="73"/>
  <c r="S75" i="71"/>
  <c r="T69" i="73"/>
  <c r="I59" i="71"/>
  <c r="T66" i="73"/>
  <c r="S72" i="71"/>
  <c r="T72" i="73"/>
  <c r="S78" i="71"/>
  <c r="Q60" i="71"/>
  <c r="Z155" i="73"/>
  <c r="AJ169" i="73"/>
  <c r="R169" i="73"/>
  <c r="Q169" i="73"/>
  <c r="AI169" i="73"/>
  <c r="Y158" i="71"/>
  <c r="H155" i="73"/>
  <c r="Z23" i="73"/>
  <c r="AG23" i="73" s="1"/>
  <c r="H23" i="73"/>
  <c r="O23" i="73" s="1"/>
  <c r="Z42" i="73"/>
  <c r="AG42" i="73" s="1"/>
  <c r="H42" i="73"/>
  <c r="O42" i="73" s="1"/>
  <c r="Y6" i="73"/>
  <c r="AF6" i="73" s="1"/>
  <c r="G6" i="73"/>
  <c r="N6" i="73" s="1"/>
  <c r="K160" i="73"/>
  <c r="R160" i="73"/>
  <c r="Y11" i="73"/>
  <c r="G11" i="73"/>
  <c r="Z33" i="73"/>
  <c r="AG33" i="73" s="1"/>
  <c r="H33" i="73"/>
  <c r="O33" i="73" s="1"/>
  <c r="AJ160" i="73"/>
  <c r="AC160" i="73"/>
  <c r="Z43" i="73"/>
  <c r="AG43" i="73" s="1"/>
  <c r="H43" i="73"/>
  <c r="O43" i="73" s="1"/>
  <c r="Y42" i="73"/>
  <c r="AF42" i="73" s="1"/>
  <c r="G42" i="73"/>
  <c r="N42" i="73" s="1"/>
  <c r="Y56" i="73"/>
  <c r="AF56" i="73" s="1"/>
  <c r="G56" i="73"/>
  <c r="N56" i="73" s="1"/>
  <c r="Y23" i="73"/>
  <c r="AF23" i="73" s="1"/>
  <c r="G23" i="73"/>
  <c r="N23" i="73" s="1"/>
  <c r="Z34" i="73"/>
  <c r="AG34" i="73" s="1"/>
  <c r="H34" i="73"/>
  <c r="O34" i="73" s="1"/>
  <c r="I160" i="73"/>
  <c r="P160" i="73"/>
  <c r="Z57" i="73"/>
  <c r="AG57" i="73" s="1"/>
  <c r="H57" i="73"/>
  <c r="O57" i="73" s="1"/>
  <c r="Z16" i="73"/>
  <c r="AG16" i="73" s="1"/>
  <c r="H16" i="73"/>
  <c r="O16" i="73" s="1"/>
  <c r="Z22" i="73"/>
  <c r="AG22" i="73" s="1"/>
  <c r="H22" i="73"/>
  <c r="O22" i="73" s="1"/>
  <c r="AA160" i="73"/>
  <c r="AH160" i="73"/>
  <c r="E31" i="60" s="1"/>
  <c r="J160" i="73"/>
  <c r="Q160" i="73"/>
  <c r="AI160" i="73"/>
  <c r="AB160" i="73"/>
  <c r="J161" i="73"/>
  <c r="Q161" i="73"/>
  <c r="K161" i="73"/>
  <c r="R161" i="73"/>
  <c r="AI161" i="73"/>
  <c r="AB161" i="73"/>
  <c r="AJ161" i="73"/>
  <c r="AC161" i="73"/>
  <c r="K165" i="74"/>
  <c r="L165" i="74"/>
  <c r="P39" i="70"/>
  <c r="AD55" i="70"/>
  <c r="T91" i="73"/>
  <c r="T94" i="73"/>
  <c r="T93" i="73"/>
  <c r="T89" i="73"/>
  <c r="T87" i="73"/>
  <c r="T92" i="73"/>
  <c r="T90" i="73"/>
  <c r="T86" i="73"/>
  <c r="T88" i="73"/>
  <c r="T168" i="73"/>
  <c r="G8" i="70"/>
  <c r="O12" i="70"/>
  <c r="O8" i="70" s="1"/>
  <c r="G49" i="70"/>
  <c r="S55" i="70"/>
  <c r="G13" i="70"/>
  <c r="O29" i="70"/>
  <c r="P22" i="70"/>
  <c r="P49" i="70"/>
  <c r="P63" i="70"/>
  <c r="P40" i="70"/>
  <c r="P29" i="70"/>
  <c r="O48" i="70"/>
  <c r="P28" i="70"/>
  <c r="G40" i="70"/>
  <c r="H62" i="70"/>
  <c r="P48" i="70"/>
  <c r="O17" i="70"/>
  <c r="O13" i="70" s="1"/>
  <c r="H21" i="70"/>
  <c r="R102" i="71"/>
  <c r="R101" i="71" s="1"/>
  <c r="O62" i="70"/>
  <c r="R55" i="70"/>
  <c r="Z90" i="71"/>
  <c r="Z156" i="71" s="1"/>
  <c r="AA90" i="71"/>
  <c r="AA156" i="71" s="1"/>
  <c r="S102" i="71"/>
  <c r="S101" i="71" s="1"/>
  <c r="A17" i="69"/>
  <c r="B16" i="69"/>
  <c r="G23" i="70" s="1"/>
  <c r="A65" i="69"/>
  <c r="B64" i="69"/>
  <c r="A41" i="69"/>
  <c r="B40" i="69"/>
  <c r="G50" i="70" s="1"/>
  <c r="G64" i="70"/>
  <c r="A23" i="69"/>
  <c r="B22" i="69"/>
  <c r="G30" i="70" s="1"/>
  <c r="A103" i="69"/>
  <c r="B102" i="69"/>
  <c r="A33" i="69"/>
  <c r="B32" i="69"/>
  <c r="H41" i="70" s="1"/>
  <c r="AF11" i="73" l="1"/>
  <c r="AF155" i="73" s="1"/>
  <c r="N11" i="73"/>
  <c r="N155" i="73" s="1"/>
  <c r="AG7" i="70"/>
  <c r="AM7" i="70" s="1"/>
  <c r="N258" i="69"/>
  <c r="F158" i="77"/>
  <c r="R64" i="71"/>
  <c r="R63" i="71"/>
  <c r="R62" i="71"/>
  <c r="Q59" i="71"/>
  <c r="Q58" i="71" s="1"/>
  <c r="I58" i="71"/>
  <c r="R66" i="71"/>
  <c r="R65" i="71"/>
  <c r="G136" i="77"/>
  <c r="K66" i="71"/>
  <c r="K60" i="71"/>
  <c r="K61" i="71"/>
  <c r="K62" i="71"/>
  <c r="K63" i="71"/>
  <c r="K64" i="71"/>
  <c r="K65" i="71"/>
  <c r="K67" i="71"/>
  <c r="K68" i="71"/>
  <c r="R61" i="71"/>
  <c r="AJ163" i="73"/>
  <c r="R163" i="73"/>
  <c r="T163" i="73" s="1"/>
  <c r="J59" i="71"/>
  <c r="S69" i="71"/>
  <c r="R68" i="71"/>
  <c r="R67" i="71"/>
  <c r="R60" i="71"/>
  <c r="Z158" i="71"/>
  <c r="AA158" i="71"/>
  <c r="Y154" i="73"/>
  <c r="G155" i="73"/>
  <c r="F31" i="60"/>
  <c r="G154" i="73"/>
  <c r="N154" i="73"/>
  <c r="Z15" i="73"/>
  <c r="AG15" i="73" s="1"/>
  <c r="H15" i="73"/>
  <c r="O15" i="73" s="1"/>
  <c r="Y155" i="73"/>
  <c r="Y43" i="73"/>
  <c r="AF43" i="73" s="1"/>
  <c r="G43" i="73"/>
  <c r="N43" i="73" s="1"/>
  <c r="Y58" i="73"/>
  <c r="AF58" i="73" s="1"/>
  <c r="G58" i="73"/>
  <c r="N58" i="73" s="1"/>
  <c r="Y24" i="73"/>
  <c r="AF24" i="73" s="1"/>
  <c r="G24" i="73"/>
  <c r="N24" i="73" s="1"/>
  <c r="Y44" i="73"/>
  <c r="AF44" i="73" s="1"/>
  <c r="G44" i="73"/>
  <c r="N44" i="73" s="1"/>
  <c r="Y17" i="73"/>
  <c r="AF17" i="73" s="1"/>
  <c r="G17" i="73"/>
  <c r="N17" i="73" s="1"/>
  <c r="Z35" i="73"/>
  <c r="AG35" i="73" s="1"/>
  <c r="H35" i="73"/>
  <c r="O35" i="73" s="1"/>
  <c r="Y34" i="73"/>
  <c r="AF34" i="73" s="1"/>
  <c r="G34" i="73"/>
  <c r="N34" i="73" s="1"/>
  <c r="Z56" i="73"/>
  <c r="AG56" i="73" s="1"/>
  <c r="H56" i="73"/>
  <c r="O56" i="73" s="1"/>
  <c r="AF154" i="73"/>
  <c r="O49" i="70"/>
  <c r="G31" i="60"/>
  <c r="T50" i="73"/>
  <c r="T160" i="73"/>
  <c r="T51" i="73"/>
  <c r="T85" i="73"/>
  <c r="H12" i="38"/>
  <c r="G41" i="70"/>
  <c r="O64" i="70"/>
  <c r="O30" i="70"/>
  <c r="O23" i="70"/>
  <c r="P41" i="70"/>
  <c r="O50" i="70"/>
  <c r="H30" i="70"/>
  <c r="P62" i="70"/>
  <c r="O40" i="70"/>
  <c r="P21" i="70"/>
  <c r="H50" i="70"/>
  <c r="G22" i="70"/>
  <c r="G63" i="70"/>
  <c r="T161" i="73"/>
  <c r="T169" i="73"/>
  <c r="B17" i="69"/>
  <c r="B33" i="69"/>
  <c r="H42" i="70" s="1"/>
  <c r="A34" i="69"/>
  <c r="B103" i="69"/>
  <c r="A104" i="69"/>
  <c r="B23" i="69"/>
  <c r="G31" i="70" s="1"/>
  <c r="A24" i="69"/>
  <c r="B65" i="69"/>
  <c r="A66" i="69"/>
  <c r="B66" i="69" s="1"/>
  <c r="B41" i="69"/>
  <c r="A42" i="69"/>
  <c r="H65" i="70"/>
  <c r="O258" i="69" l="1"/>
  <c r="K59" i="71"/>
  <c r="G158" i="77"/>
  <c r="S66" i="71"/>
  <c r="Q156" i="71"/>
  <c r="Q158" i="71"/>
  <c r="S67" i="71"/>
  <c r="S62" i="71"/>
  <c r="S68" i="71"/>
  <c r="S65" i="71"/>
  <c r="R59" i="71"/>
  <c r="R58" i="71" s="1"/>
  <c r="J58" i="71"/>
  <c r="S64" i="71"/>
  <c r="S63" i="71"/>
  <c r="T64" i="73"/>
  <c r="S61" i="71"/>
  <c r="I156" i="71"/>
  <c r="I158" i="71"/>
  <c r="S60" i="71"/>
  <c r="Z24" i="73"/>
  <c r="AG24" i="73" s="1"/>
  <c r="H24" i="73"/>
  <c r="O24" i="73" s="1"/>
  <c r="Y25" i="73"/>
  <c r="AF25" i="73" s="1"/>
  <c r="G25" i="73"/>
  <c r="N25" i="73" s="1"/>
  <c r="Y57" i="73"/>
  <c r="AF57" i="73" s="1"/>
  <c r="G57" i="73"/>
  <c r="N57" i="73" s="1"/>
  <c r="Y16" i="73"/>
  <c r="AF16" i="73" s="1"/>
  <c r="G16" i="73"/>
  <c r="N16" i="73" s="1"/>
  <c r="Z44" i="73"/>
  <c r="AG44" i="73" s="1"/>
  <c r="H44" i="73"/>
  <c r="O44" i="73" s="1"/>
  <c r="Z59" i="73"/>
  <c r="AG59" i="73" s="1"/>
  <c r="H59" i="73"/>
  <c r="O59" i="73" s="1"/>
  <c r="Y35" i="73"/>
  <c r="AF35" i="73" s="1"/>
  <c r="G35" i="73"/>
  <c r="N35" i="73" s="1"/>
  <c r="Z36" i="73"/>
  <c r="AG36" i="73" s="1"/>
  <c r="H36" i="73"/>
  <c r="O36" i="73" s="1"/>
  <c r="O41" i="70"/>
  <c r="O31" i="70"/>
  <c r="G24" i="70"/>
  <c r="P65" i="70"/>
  <c r="P42" i="70"/>
  <c r="O22" i="70"/>
  <c r="H24" i="70"/>
  <c r="G42" i="70"/>
  <c r="P30" i="70"/>
  <c r="P50" i="70"/>
  <c r="O63" i="70"/>
  <c r="H31" i="70"/>
  <c r="H23" i="70"/>
  <c r="H64" i="70"/>
  <c r="G66" i="70"/>
  <c r="A43" i="69"/>
  <c r="B42" i="69"/>
  <c r="A105" i="69"/>
  <c r="B104" i="69"/>
  <c r="A35" i="69"/>
  <c r="B34" i="69"/>
  <c r="H43" i="70" s="1"/>
  <c r="A25" i="69"/>
  <c r="B24" i="69"/>
  <c r="R158" i="71" l="1"/>
  <c r="R156" i="71"/>
  <c r="J158" i="71"/>
  <c r="J156" i="71"/>
  <c r="K58" i="71"/>
  <c r="S59" i="71"/>
  <c r="S58" i="71" s="1"/>
  <c r="Y60" i="73"/>
  <c r="AF60" i="73" s="1"/>
  <c r="G60" i="73"/>
  <c r="N60" i="73" s="1"/>
  <c r="Z18" i="73"/>
  <c r="AG18" i="73" s="1"/>
  <c r="H18" i="73"/>
  <c r="O18" i="73" s="1"/>
  <c r="Z17" i="73"/>
  <c r="AG17" i="73" s="1"/>
  <c r="H17" i="73"/>
  <c r="O17" i="73" s="1"/>
  <c r="Z37" i="73"/>
  <c r="AG37" i="73" s="1"/>
  <c r="H37" i="73"/>
  <c r="O37" i="73" s="1"/>
  <c r="Y36" i="73"/>
  <c r="AF36" i="73" s="1"/>
  <c r="G36" i="73"/>
  <c r="N36" i="73" s="1"/>
  <c r="Z58" i="73"/>
  <c r="AG58" i="73" s="1"/>
  <c r="H58" i="73"/>
  <c r="O58" i="73" s="1"/>
  <c r="Y18" i="73"/>
  <c r="AF18" i="73" s="1"/>
  <c r="G18" i="73"/>
  <c r="N18" i="73" s="1"/>
  <c r="Z25" i="73"/>
  <c r="AG25" i="73" s="1"/>
  <c r="H25" i="73"/>
  <c r="O25" i="73" s="1"/>
  <c r="G18" i="70"/>
  <c r="C28" i="60"/>
  <c r="O66" i="70"/>
  <c r="P43" i="70"/>
  <c r="G65" i="70"/>
  <c r="P31" i="70"/>
  <c r="O42" i="70"/>
  <c r="G43" i="70"/>
  <c r="P64" i="70"/>
  <c r="P23" i="70"/>
  <c r="H18" i="70"/>
  <c r="P24" i="70"/>
  <c r="O24" i="70"/>
  <c r="O18" i="70" s="1"/>
  <c r="H44" i="70"/>
  <c r="B25" i="69"/>
  <c r="A26" i="69"/>
  <c r="B35" i="69"/>
  <c r="G44" i="70" s="1"/>
  <c r="B105" i="69"/>
  <c r="A106" i="69"/>
  <c r="B43" i="69"/>
  <c r="A44" i="69"/>
  <c r="K156" i="71" l="1"/>
  <c r="K158" i="71"/>
  <c r="S156" i="71"/>
  <c r="S158" i="71"/>
  <c r="Y59" i="73"/>
  <c r="AF59" i="73" s="1"/>
  <c r="G59" i="73"/>
  <c r="N59" i="73" s="1"/>
  <c r="Y38" i="73"/>
  <c r="AF38" i="73" s="1"/>
  <c r="G38" i="73"/>
  <c r="N38" i="73" s="1"/>
  <c r="G156" i="73"/>
  <c r="N156" i="73"/>
  <c r="AF156" i="73"/>
  <c r="O156" i="73"/>
  <c r="H156" i="73"/>
  <c r="Y37" i="73"/>
  <c r="AF37" i="73" s="1"/>
  <c r="G37" i="73"/>
  <c r="N37" i="73" s="1"/>
  <c r="Y156" i="73"/>
  <c r="AG156" i="73"/>
  <c r="Z156" i="73"/>
  <c r="Z38" i="73"/>
  <c r="AG38" i="73" s="1"/>
  <c r="H38" i="73"/>
  <c r="O38" i="73" s="1"/>
  <c r="G67" i="70"/>
  <c r="O44" i="70"/>
  <c r="G35" i="70"/>
  <c r="H66" i="70"/>
  <c r="P18" i="70"/>
  <c r="H67" i="70"/>
  <c r="P44" i="70"/>
  <c r="P35" i="70" s="1"/>
  <c r="H35" i="70"/>
  <c r="O65" i="70"/>
  <c r="O43" i="70"/>
  <c r="A107" i="69"/>
  <c r="J263" i="69" s="1"/>
  <c r="B106" i="69"/>
  <c r="B26" i="69"/>
  <c r="B44" i="69"/>
  <c r="H277" i="69" l="1"/>
  <c r="K274" i="69"/>
  <c r="M273" i="69"/>
  <c r="F13" i="77" s="1"/>
  <c r="F174" i="77" s="1"/>
  <c r="H275" i="69"/>
  <c r="H273" i="69"/>
  <c r="L273" i="69"/>
  <c r="E13" i="77" s="1"/>
  <c r="E174" i="77" s="1"/>
  <c r="F273" i="69"/>
  <c r="G275" i="69"/>
  <c r="H274" i="69"/>
  <c r="E274" i="69"/>
  <c r="L275" i="69"/>
  <c r="E14" i="77" s="1"/>
  <c r="E273" i="69"/>
  <c r="N273" i="69"/>
  <c r="N274" i="69"/>
  <c r="L274" i="69"/>
  <c r="J275" i="69"/>
  <c r="C14" i="77" s="1"/>
  <c r="M275" i="69"/>
  <c r="F14" i="77" s="1"/>
  <c r="F274" i="69"/>
  <c r="I274" i="69"/>
  <c r="G273" i="69"/>
  <c r="E275" i="69"/>
  <c r="N275" i="69"/>
  <c r="G14" i="77" s="1"/>
  <c r="M274" i="69"/>
  <c r="I275" i="69"/>
  <c r="K275" i="69"/>
  <c r="D14" i="77" s="1"/>
  <c r="F275" i="69"/>
  <c r="K273" i="69"/>
  <c r="D13" i="77" s="1"/>
  <c r="D174" i="77" s="1"/>
  <c r="J274" i="69"/>
  <c r="J273" i="69"/>
  <c r="C13" i="77" s="1"/>
  <c r="C174" i="77" s="1"/>
  <c r="G274" i="69"/>
  <c r="I273" i="69"/>
  <c r="Y61" i="73"/>
  <c r="AF61" i="73" s="1"/>
  <c r="G61" i="73"/>
  <c r="N61" i="73" s="1"/>
  <c r="Z61" i="73"/>
  <c r="AG61" i="73" s="1"/>
  <c r="H61" i="73"/>
  <c r="O61" i="73" s="1"/>
  <c r="Z60" i="73"/>
  <c r="AG60" i="73" s="1"/>
  <c r="H60" i="73"/>
  <c r="O60" i="73" s="1"/>
  <c r="G68" i="70"/>
  <c r="P66" i="70"/>
  <c r="P67" i="70"/>
  <c r="K271" i="69"/>
  <c r="D11" i="77" s="1"/>
  <c r="D172" i="77" s="1"/>
  <c r="O35" i="70"/>
  <c r="O67" i="70"/>
  <c r="J269" i="69"/>
  <c r="B107" i="69"/>
  <c r="K269" i="69"/>
  <c r="L272" i="69"/>
  <c r="E12" i="77" s="1"/>
  <c r="E173" i="77" s="1"/>
  <c r="M272" i="69"/>
  <c r="F12" i="77" s="1"/>
  <c r="F173" i="77" s="1"/>
  <c r="K270" i="69"/>
  <c r="M280" i="69"/>
  <c r="F18" i="77" s="1"/>
  <c r="H281" i="69"/>
  <c r="J280" i="69"/>
  <c r="C18" i="77" s="1"/>
  <c r="G265" i="69"/>
  <c r="I264" i="69"/>
  <c r="F272" i="69"/>
  <c r="J281" i="69"/>
  <c r="C19" i="77" s="1"/>
  <c r="C176" i="77" s="1"/>
  <c r="G279" i="69"/>
  <c r="E267" i="69"/>
  <c r="F271" i="69"/>
  <c r="G281" i="69"/>
  <c r="E265" i="69"/>
  <c r="J264" i="69"/>
  <c r="C5" i="77" s="1"/>
  <c r="E272" i="69"/>
  <c r="E271" i="69"/>
  <c r="J277" i="69"/>
  <c r="C17" i="77" s="1"/>
  <c r="M281" i="69"/>
  <c r="F19" i="77" s="1"/>
  <c r="F176" i="77" s="1"/>
  <c r="H279" i="69"/>
  <c r="M277" i="69"/>
  <c r="F17" i="77" s="1"/>
  <c r="K278" i="69"/>
  <c r="I277" i="69"/>
  <c r="I265" i="69"/>
  <c r="F280" i="69"/>
  <c r="E282" i="69"/>
  <c r="E266" i="69"/>
  <c r="E277" i="69"/>
  <c r="G282" i="69"/>
  <c r="H271" i="69"/>
  <c r="I269" i="69"/>
  <c r="G278" i="69"/>
  <c r="K267" i="69"/>
  <c r="D9" i="77" s="1"/>
  <c r="D170" i="77" s="1"/>
  <c r="N280" i="69"/>
  <c r="G18" i="77" s="1"/>
  <c r="J272" i="69"/>
  <c r="C12" i="77" s="1"/>
  <c r="C173" i="77" s="1"/>
  <c r="F279" i="69"/>
  <c r="G277" i="69"/>
  <c r="K276" i="69"/>
  <c r="F263" i="69"/>
  <c r="L269" i="69"/>
  <c r="G270" i="69"/>
  <c r="I272" i="69"/>
  <c r="I278" i="69"/>
  <c r="K282" i="69"/>
  <c r="I279" i="69"/>
  <c r="F264" i="69"/>
  <c r="N281" i="69"/>
  <c r="F267" i="69"/>
  <c r="F269" i="69"/>
  <c r="F282" i="69"/>
  <c r="H265" i="69"/>
  <c r="N272" i="69"/>
  <c r="K281" i="69"/>
  <c r="D19" i="77" s="1"/>
  <c r="D176" i="77" s="1"/>
  <c r="I280" i="69"/>
  <c r="I282" i="69"/>
  <c r="E269" i="69"/>
  <c r="G101" i="77" s="1"/>
  <c r="I271" i="69"/>
  <c r="F268" i="69"/>
  <c r="F277" i="69"/>
  <c r="M270" i="69"/>
  <c r="G263" i="69"/>
  <c r="E264" i="69"/>
  <c r="G266" i="69"/>
  <c r="E278" i="69"/>
  <c r="G269" i="69"/>
  <c r="F276" i="69"/>
  <c r="K280" i="69"/>
  <c r="D18" i="77" s="1"/>
  <c r="G268" i="69"/>
  <c r="L270" i="69"/>
  <c r="L277" i="69"/>
  <c r="E17" i="77" s="1"/>
  <c r="K279" i="69"/>
  <c r="J270" i="69"/>
  <c r="I276" i="69"/>
  <c r="H280" i="69"/>
  <c r="H278" i="69"/>
  <c r="J265" i="69"/>
  <c r="C6" i="77" s="1"/>
  <c r="C167" i="77" s="1"/>
  <c r="J279" i="69"/>
  <c r="H267" i="69"/>
  <c r="F281" i="69"/>
  <c r="E281" i="69"/>
  <c r="G267" i="69"/>
  <c r="L280" i="69"/>
  <c r="E18" i="77" s="1"/>
  <c r="H270" i="69"/>
  <c r="F270" i="69"/>
  <c r="G280" i="69"/>
  <c r="I266" i="69"/>
  <c r="E268" i="69"/>
  <c r="H272" i="69"/>
  <c r="G271" i="69"/>
  <c r="N270" i="69"/>
  <c r="H268" i="69"/>
  <c r="J278" i="69"/>
  <c r="N277" i="69"/>
  <c r="G17" i="77" s="1"/>
  <c r="G276" i="69"/>
  <c r="G272" i="69"/>
  <c r="E270" i="69"/>
  <c r="J267" i="69"/>
  <c r="C9" i="77" s="1"/>
  <c r="C170" i="77" s="1"/>
  <c r="J276" i="69"/>
  <c r="E276" i="69"/>
  <c r="H276" i="69"/>
  <c r="H282" i="69"/>
  <c r="K277" i="69"/>
  <c r="D17" i="77" s="1"/>
  <c r="F266" i="69"/>
  <c r="G264" i="69"/>
  <c r="I263" i="69"/>
  <c r="E280" i="69"/>
  <c r="I270" i="69"/>
  <c r="I268" i="69"/>
  <c r="F265" i="69"/>
  <c r="K272" i="69"/>
  <c r="D12" i="77" s="1"/>
  <c r="D173" i="77" s="1"/>
  <c r="I281" i="69"/>
  <c r="L281" i="69"/>
  <c r="E19" i="77" s="1"/>
  <c r="E176" i="77" s="1"/>
  <c r="H264" i="69"/>
  <c r="N269" i="69"/>
  <c r="E263" i="69"/>
  <c r="I267" i="69"/>
  <c r="J282" i="69"/>
  <c r="E279" i="69"/>
  <c r="K264" i="69"/>
  <c r="K265" i="69"/>
  <c r="D6" i="77" s="1"/>
  <c r="D167" i="77" s="1"/>
  <c r="J271" i="69"/>
  <c r="C11" i="77" s="1"/>
  <c r="C172" i="77" s="1"/>
  <c r="H269" i="69"/>
  <c r="F278" i="69"/>
  <c r="H266" i="69"/>
  <c r="M269" i="69"/>
  <c r="F10" i="77" s="1"/>
  <c r="F171" i="77" s="1"/>
  <c r="H263" i="69"/>
  <c r="E10" i="77" l="1"/>
  <c r="E171" i="77" s="1"/>
  <c r="N101" i="77"/>
  <c r="D10" i="77"/>
  <c r="D171" i="77" s="1"/>
  <c r="M101" i="77"/>
  <c r="C10" i="77"/>
  <c r="C171" i="77" s="1"/>
  <c r="L101" i="77"/>
  <c r="G19" i="77"/>
  <c r="G176" i="77" s="1"/>
  <c r="G12" i="77"/>
  <c r="G173" i="77" s="1"/>
  <c r="G10" i="77"/>
  <c r="G171" i="77" s="1"/>
  <c r="G13" i="77"/>
  <c r="G174" i="77" s="1"/>
  <c r="C175" i="77"/>
  <c r="G175" i="77"/>
  <c r="D175" i="77"/>
  <c r="E175" i="77"/>
  <c r="F175" i="77"/>
  <c r="C166" i="77"/>
  <c r="D16" i="77"/>
  <c r="D15" i="77"/>
  <c r="C16" i="77"/>
  <c r="C15" i="77"/>
  <c r="H101" i="77"/>
  <c r="J101" i="77"/>
  <c r="I101" i="77"/>
  <c r="K101" i="77"/>
  <c r="Y62" i="73"/>
  <c r="AF62" i="73" s="1"/>
  <c r="G62" i="73"/>
  <c r="N62" i="73" s="1"/>
  <c r="O68" i="70"/>
  <c r="O58" i="70" s="1"/>
  <c r="G58" i="70"/>
  <c r="AG9" i="70" s="1"/>
  <c r="AM9" i="70" s="1"/>
  <c r="H68" i="70"/>
  <c r="O278" i="69"/>
  <c r="O277" i="69"/>
  <c r="F283" i="69"/>
  <c r="H283" i="69"/>
  <c r="O269" i="69"/>
  <c r="O270" i="69"/>
  <c r="O272" i="69"/>
  <c r="I283" i="69"/>
  <c r="G283" i="69"/>
  <c r="E283" i="69"/>
  <c r="O274" i="69"/>
  <c r="Z62" i="73" l="1"/>
  <c r="AG62" i="73" s="1"/>
  <c r="H62" i="73"/>
  <c r="O62" i="73" s="1"/>
  <c r="Y158" i="73"/>
  <c r="Y162" i="73"/>
  <c r="G158" i="73"/>
  <c r="G162" i="73"/>
  <c r="P68" i="70"/>
  <c r="P58" i="70" s="1"/>
  <c r="H58" i="70"/>
  <c r="AH9" i="70" s="1"/>
  <c r="AN9" i="70" s="1"/>
  <c r="J68" i="70" l="1"/>
  <c r="K68" i="70"/>
  <c r="I68" i="70"/>
  <c r="AF158" i="73"/>
  <c r="AF162" i="73"/>
  <c r="C30" i="60" s="1"/>
  <c r="N158" i="73"/>
  <c r="N162" i="73"/>
  <c r="H158" i="73"/>
  <c r="H162" i="73"/>
  <c r="Z158" i="73"/>
  <c r="Z162" i="73"/>
  <c r="I59" i="70" l="1"/>
  <c r="AB62" i="73"/>
  <c r="AI62" i="73" s="1"/>
  <c r="J62" i="73"/>
  <c r="Q62" i="73" s="1"/>
  <c r="R68" i="70"/>
  <c r="AA62" i="73"/>
  <c r="AH62" i="73" s="1"/>
  <c r="Q68" i="70"/>
  <c r="AD68" i="70"/>
  <c r="I62" i="73"/>
  <c r="P62" i="73" s="1"/>
  <c r="S68" i="70"/>
  <c r="K62" i="73"/>
  <c r="R62" i="73" s="1"/>
  <c r="AC62" i="73"/>
  <c r="AJ62" i="73" s="1"/>
  <c r="AG158" i="73"/>
  <c r="AG162" i="73"/>
  <c r="D30" i="60" s="1"/>
  <c r="O158" i="73"/>
  <c r="O162" i="73"/>
  <c r="T62" i="73" l="1"/>
  <c r="Q59" i="70"/>
  <c r="AA53" i="73"/>
  <c r="AH53" i="73" s="1"/>
  <c r="I53" i="73"/>
  <c r="P53" i="73" s="1"/>
  <c r="B21" i="67"/>
  <c r="AK15" i="67" l="1"/>
  <c r="AI15" i="67"/>
  <c r="W15" i="67"/>
  <c r="K15" i="67"/>
  <c r="AH15" i="67"/>
  <c r="V15" i="67"/>
  <c r="J15" i="67"/>
  <c r="AG15" i="67"/>
  <c r="U15" i="67"/>
  <c r="I15" i="67"/>
  <c r="AF15" i="67"/>
  <c r="T15" i="67"/>
  <c r="H15" i="67"/>
  <c r="AE15" i="67"/>
  <c r="S15" i="67"/>
  <c r="G15" i="67"/>
  <c r="C15" i="67"/>
  <c r="Z15" i="67"/>
  <c r="AD15" i="67"/>
  <c r="R15" i="67"/>
  <c r="F15" i="67"/>
  <c r="AC15" i="67"/>
  <c r="Q15" i="67"/>
  <c r="E15" i="67"/>
  <c r="AB15" i="67"/>
  <c r="P15" i="67"/>
  <c r="D15" i="67"/>
  <c r="AA15" i="67"/>
  <c r="O15" i="67"/>
  <c r="N15" i="67"/>
  <c r="Y15" i="67"/>
  <c r="M15" i="67"/>
  <c r="AJ15" i="67"/>
  <c r="X15" i="67"/>
  <c r="L15" i="67"/>
  <c r="C17" i="67" l="1"/>
  <c r="D8" i="64" l="1"/>
  <c r="E8" i="64" l="1"/>
  <c r="D9" i="64"/>
  <c r="B107" i="62"/>
  <c r="C107" i="62"/>
  <c r="D107" i="62"/>
  <c r="E108" i="62"/>
  <c r="F108" i="62"/>
  <c r="G108" i="62"/>
  <c r="B7" i="59"/>
  <c r="B8" i="59"/>
  <c r="B9" i="59"/>
  <c r="F8" i="64" l="1"/>
  <c r="E9" i="64"/>
  <c r="G8" i="64" l="1"/>
  <c r="G9" i="64" s="1"/>
  <c r="G14" i="38" s="1"/>
  <c r="F9" i="64"/>
  <c r="D17" i="38"/>
  <c r="C17" i="38"/>
  <c r="C47" i="77" l="1"/>
  <c r="C48" i="38"/>
  <c r="D47" i="77"/>
  <c r="D48" i="38"/>
  <c r="G41" i="77"/>
  <c r="G45" i="38"/>
  <c r="C54" i="77"/>
  <c r="C86" i="77"/>
  <c r="D86" i="77"/>
  <c r="D54" i="77"/>
  <c r="G83" i="77"/>
  <c r="E110" i="62"/>
  <c r="F110" i="62"/>
  <c r="G110" i="62"/>
  <c r="H110" i="62"/>
  <c r="I110" i="62"/>
  <c r="D110" i="62"/>
  <c r="J110" i="62" l="1"/>
  <c r="E8" i="60" l="1"/>
  <c r="F8" i="60"/>
  <c r="G8" i="60"/>
  <c r="F9" i="60"/>
  <c r="G9" i="60"/>
  <c r="E9" i="60"/>
  <c r="G10" i="60"/>
  <c r="E10" i="60"/>
  <c r="F10" i="60"/>
  <c r="F11" i="60"/>
  <c r="E11" i="60"/>
  <c r="G11" i="60"/>
  <c r="G12" i="60" l="1"/>
  <c r="F12" i="60"/>
  <c r="E12" i="60"/>
  <c r="D7" i="61"/>
  <c r="E7" i="61" l="1"/>
  <c r="F7" i="61" s="1"/>
  <c r="G7" i="61" s="1"/>
  <c r="H7" i="61" s="1"/>
  <c r="I7" i="61" s="1"/>
  <c r="J7" i="61" s="1"/>
  <c r="K7" i="61" s="1"/>
  <c r="L7" i="61" s="1"/>
  <c r="C9" i="61"/>
  <c r="G200" i="77" l="1"/>
  <c r="C8" i="61"/>
  <c r="C10" i="61" s="1"/>
  <c r="C14" i="38"/>
  <c r="C41" i="77" l="1"/>
  <c r="C45" i="38"/>
  <c r="F200" i="77"/>
  <c r="E200" i="77"/>
  <c r="D9" i="61"/>
  <c r="C83" i="77"/>
  <c r="D8" i="61"/>
  <c r="D14" i="38"/>
  <c r="D41" i="77" l="1"/>
  <c r="D45" i="38"/>
  <c r="D10" i="61"/>
  <c r="H9" i="61"/>
  <c r="F8" i="61"/>
  <c r="E8" i="61"/>
  <c r="E9" i="61"/>
  <c r="D83" i="77"/>
  <c r="F9" i="61"/>
  <c r="E10" i="61" l="1"/>
  <c r="G8" i="61"/>
  <c r="G9" i="61"/>
  <c r="C200" i="77"/>
  <c r="F10" i="61"/>
  <c r="C203" i="77" l="1"/>
  <c r="C201" i="77" s="1"/>
  <c r="C185" i="77"/>
  <c r="G10" i="61"/>
  <c r="I9" i="61" l="1"/>
  <c r="D200" i="77"/>
  <c r="C205" i="77"/>
  <c r="H8" i="61"/>
  <c r="H10" i="61" s="1"/>
  <c r="D203" i="77"/>
  <c r="D201" i="77" s="1"/>
  <c r="D205" i="77"/>
  <c r="D185" i="77"/>
  <c r="F5" i="59"/>
  <c r="L13" i="57"/>
  <c r="M13" i="57" s="1"/>
  <c r="N13" i="57" s="1"/>
  <c r="L8" i="57"/>
  <c r="L4" i="57"/>
  <c r="M4" i="57" s="1"/>
  <c r="C199" i="77" l="1"/>
  <c r="I8" i="61"/>
  <c r="I10" i="61" s="1"/>
  <c r="D199" i="77"/>
  <c r="G185" i="77"/>
  <c r="F185" i="77"/>
  <c r="E185" i="77"/>
  <c r="C13" i="38"/>
  <c r="C44" i="38" s="1"/>
  <c r="L23" i="57"/>
  <c r="M8" i="57"/>
  <c r="M23" i="57" s="1"/>
  <c r="G5" i="59"/>
  <c r="F6" i="59" l="1"/>
  <c r="F232" i="77" s="1"/>
  <c r="C35" i="77"/>
  <c r="C82" i="77"/>
  <c r="N8" i="57"/>
  <c r="N23" i="57" s="1"/>
  <c r="D13" i="38"/>
  <c r="D44" i="38" s="1"/>
  <c r="H5" i="59"/>
  <c r="E17" i="38" l="1"/>
  <c r="F256" i="77"/>
  <c r="F225" i="77"/>
  <c r="F214" i="77"/>
  <c r="F221" i="77"/>
  <c r="F222" i="77"/>
  <c r="F231" i="77"/>
  <c r="F226" i="77"/>
  <c r="F230" i="77"/>
  <c r="F213" i="77"/>
  <c r="F218" i="77"/>
  <c r="F215" i="77"/>
  <c r="F220" i="77"/>
  <c r="F227" i="77"/>
  <c r="F229" i="77"/>
  <c r="F216" i="77"/>
  <c r="F224" i="77"/>
  <c r="F228" i="77"/>
  <c r="F219" i="77"/>
  <c r="D35" i="77"/>
  <c r="G6" i="59"/>
  <c r="D82" i="77"/>
  <c r="L7" i="57"/>
  <c r="E47" i="77" l="1"/>
  <c r="E48" i="38"/>
  <c r="F217" i="77"/>
  <c r="F17" i="38"/>
  <c r="G232" i="77"/>
  <c r="F212" i="77"/>
  <c r="F223" i="77"/>
  <c r="M7" i="57"/>
  <c r="M17" i="57" s="1"/>
  <c r="M12" i="57" s="1"/>
  <c r="H6" i="59"/>
  <c r="E86" i="77"/>
  <c r="E54" i="77"/>
  <c r="L17" i="57"/>
  <c r="F47" i="77" l="1"/>
  <c r="F48" i="38"/>
  <c r="F211" i="77"/>
  <c r="G256" i="77"/>
  <c r="G230" i="77"/>
  <c r="G228" i="77"/>
  <c r="G227" i="77"/>
  <c r="G231" i="77"/>
  <c r="G219" i="77"/>
  <c r="G224" i="77"/>
  <c r="G215" i="77"/>
  <c r="G218" i="77"/>
  <c r="G226" i="77"/>
  <c r="G213" i="77"/>
  <c r="G229" i="77"/>
  <c r="G222" i="77"/>
  <c r="G214" i="77"/>
  <c r="G216" i="77"/>
  <c r="G221" i="77"/>
  <c r="G225" i="77"/>
  <c r="G220" i="77"/>
  <c r="H232" i="77"/>
  <c r="G17" i="38"/>
  <c r="F54" i="77"/>
  <c r="F86" i="77"/>
  <c r="N7" i="57"/>
  <c r="N17" i="57" s="1"/>
  <c r="N12" i="57" s="1"/>
  <c r="L12" i="57"/>
  <c r="L22" i="57" s="1"/>
  <c r="G109" i="62"/>
  <c r="F109" i="62"/>
  <c r="E109" i="62"/>
  <c r="D109" i="62"/>
  <c r="G47" i="77" l="1"/>
  <c r="G48" i="38"/>
  <c r="H48" i="38" s="1"/>
  <c r="G217" i="77"/>
  <c r="H256" i="77"/>
  <c r="H226" i="77"/>
  <c r="I226" i="77" s="1"/>
  <c r="H231" i="77"/>
  <c r="I231" i="77" s="1"/>
  <c r="H221" i="77"/>
  <c r="I221" i="77" s="1"/>
  <c r="H225" i="77"/>
  <c r="I225" i="77" s="1"/>
  <c r="H228" i="77"/>
  <c r="I228" i="77" s="1"/>
  <c r="H222" i="77"/>
  <c r="I222" i="77" s="1"/>
  <c r="H224" i="77"/>
  <c r="I224" i="77" s="1"/>
  <c r="H230" i="77"/>
  <c r="I230" i="77" s="1"/>
  <c r="H215" i="77"/>
  <c r="I215" i="77" s="1"/>
  <c r="H213" i="77"/>
  <c r="I213" i="77" s="1"/>
  <c r="H218" i="77"/>
  <c r="H220" i="77"/>
  <c r="I220" i="77" s="1"/>
  <c r="H227" i="77"/>
  <c r="I227" i="77" s="1"/>
  <c r="H214" i="77"/>
  <c r="I214" i="77" s="1"/>
  <c r="H216" i="77"/>
  <c r="I216" i="77" s="1"/>
  <c r="H219" i="77"/>
  <c r="I219" i="77" s="1"/>
  <c r="H229" i="77"/>
  <c r="I229" i="77" s="1"/>
  <c r="G223" i="77"/>
  <c r="G212" i="77"/>
  <c r="H17" i="38"/>
  <c r="G54" i="77"/>
  <c r="G86" i="77"/>
  <c r="M22" i="57"/>
  <c r="I111" i="62"/>
  <c r="E111" i="62"/>
  <c r="D111" i="62"/>
  <c r="F111" i="62"/>
  <c r="G111" i="62"/>
  <c r="H111" i="62"/>
  <c r="H217" i="77" l="1"/>
  <c r="I217" i="77" s="1"/>
  <c r="H212" i="77"/>
  <c r="I212" i="77" s="1"/>
  <c r="I218" i="77"/>
  <c r="G211" i="77"/>
  <c r="H223" i="77"/>
  <c r="I223" i="77" s="1"/>
  <c r="H86" i="77"/>
  <c r="N22" i="57"/>
  <c r="J111" i="62"/>
  <c r="D108" i="62"/>
  <c r="I108" i="62"/>
  <c r="H108" i="62"/>
  <c r="E71" i="62"/>
  <c r="E107" i="62" s="1"/>
  <c r="I211" i="77" l="1"/>
  <c r="I232" i="77" s="1"/>
  <c r="H211" i="77"/>
  <c r="G203" i="77"/>
  <c r="G201" i="77" s="1"/>
  <c r="J108" i="62"/>
  <c r="F71" i="62"/>
  <c r="H109" i="62"/>
  <c r="I109" i="62"/>
  <c r="F203" i="77" l="1"/>
  <c r="F201" i="77" s="1"/>
  <c r="E203" i="77"/>
  <c r="E201" i="77" s="1"/>
  <c r="F107" i="62"/>
  <c r="J109" i="62"/>
  <c r="G71" i="62"/>
  <c r="E14" i="38" l="1"/>
  <c r="F14" i="38"/>
  <c r="K9" i="61"/>
  <c r="J9" i="61"/>
  <c r="L9" i="61"/>
  <c r="G107" i="62"/>
  <c r="H71" i="62"/>
  <c r="F41" i="77" l="1"/>
  <c r="F45" i="38"/>
  <c r="E41" i="77"/>
  <c r="E45" i="38"/>
  <c r="E83" i="77"/>
  <c r="F83" i="77"/>
  <c r="H14" i="38"/>
  <c r="H107" i="62"/>
  <c r="I71" i="62"/>
  <c r="H45" i="38" l="1"/>
  <c r="H83" i="77"/>
  <c r="I107" i="62"/>
  <c r="K20" i="57"/>
  <c r="J20" i="57"/>
  <c r="I20" i="57"/>
  <c r="C21" i="38" s="1"/>
  <c r="C52" i="38" s="1"/>
  <c r="H20" i="57"/>
  <c r="G20" i="57"/>
  <c r="F20" i="57"/>
  <c r="E20" i="57"/>
  <c r="D20" i="57"/>
  <c r="C20" i="57"/>
  <c r="K18" i="57"/>
  <c r="J18" i="57"/>
  <c r="I18" i="57"/>
  <c r="H18" i="57"/>
  <c r="G18" i="57"/>
  <c r="F18" i="57"/>
  <c r="E18" i="57"/>
  <c r="D18" i="57"/>
  <c r="K17" i="57"/>
  <c r="J17" i="57"/>
  <c r="I17" i="57"/>
  <c r="H17" i="57"/>
  <c r="G17" i="57"/>
  <c r="F17" i="57"/>
  <c r="E17" i="57"/>
  <c r="D17" i="57"/>
  <c r="K16" i="57"/>
  <c r="J16" i="57"/>
  <c r="I16" i="57"/>
  <c r="H16" i="57"/>
  <c r="G16" i="57"/>
  <c r="F16" i="57"/>
  <c r="E16" i="57"/>
  <c r="D16" i="57"/>
  <c r="K10" i="57"/>
  <c r="J10" i="57"/>
  <c r="I10" i="57"/>
  <c r="H10" i="57"/>
  <c r="G10" i="57"/>
  <c r="F10" i="57"/>
  <c r="E10" i="57"/>
  <c r="D10" i="57"/>
  <c r="C10" i="57"/>
  <c r="K5" i="57"/>
  <c r="L6" i="57" s="1"/>
  <c r="L5" i="57" s="1"/>
  <c r="M6" i="57" s="1"/>
  <c r="J5" i="57"/>
  <c r="I5" i="57"/>
  <c r="H5" i="57"/>
  <c r="G5" i="57"/>
  <c r="F5" i="57"/>
  <c r="E5" i="57"/>
  <c r="D5" i="57"/>
  <c r="C5" i="57"/>
  <c r="I25" i="57" l="1"/>
  <c r="J25" i="57" s="1"/>
  <c r="K25" i="57" s="1"/>
  <c r="L25" i="57" s="1"/>
  <c r="M25" i="57" s="1"/>
  <c r="N25" i="57" s="1"/>
  <c r="C253" i="77"/>
  <c r="D253" i="77" s="1"/>
  <c r="C240" i="77"/>
  <c r="C246" i="77" s="1"/>
  <c r="C251" i="77"/>
  <c r="C89" i="77"/>
  <c r="C53" i="77"/>
  <c r="L16" i="57"/>
  <c r="D15" i="57"/>
  <c r="F15" i="57"/>
  <c r="H15" i="57"/>
  <c r="J15" i="57"/>
  <c r="K15" i="57"/>
  <c r="E15" i="57"/>
  <c r="G15" i="57"/>
  <c r="I15" i="57"/>
  <c r="I26" i="57" s="1"/>
  <c r="C257" i="77" s="1"/>
  <c r="J26" i="57" l="1"/>
  <c r="D257" i="77" s="1"/>
  <c r="C299" i="77" s="1"/>
  <c r="C15" i="38"/>
  <c r="C46" i="38" s="1"/>
  <c r="E245" i="77"/>
  <c r="C258" i="77"/>
  <c r="D255" i="77" s="1"/>
  <c r="C254" i="77"/>
  <c r="C259" i="77"/>
  <c r="C271" i="77" s="1"/>
  <c r="E253" i="77"/>
  <c r="E240" i="77"/>
  <c r="C298" i="77"/>
  <c r="D15" i="38"/>
  <c r="K26" i="57"/>
  <c r="E257" i="77" s="1"/>
  <c r="D299" i="77" s="1"/>
  <c r="L11" i="57"/>
  <c r="L15" i="57"/>
  <c r="M16" i="57"/>
  <c r="M5" i="57"/>
  <c r="C84" i="77" l="1"/>
  <c r="C297" i="77"/>
  <c r="D63" i="77"/>
  <c r="D46" i="38"/>
  <c r="D55" i="77"/>
  <c r="D258" i="77"/>
  <c r="E255" i="77" s="1"/>
  <c r="E258" i="77" s="1"/>
  <c r="F255" i="77" s="1"/>
  <c r="D84" i="77"/>
  <c r="D251" i="77"/>
  <c r="D254" i="77" s="1"/>
  <c r="C260" i="77"/>
  <c r="E246" i="77"/>
  <c r="C63" i="77"/>
  <c r="C55" i="77"/>
  <c r="D298" i="77"/>
  <c r="D297" i="77" s="1"/>
  <c r="F253" i="77"/>
  <c r="E15" i="38"/>
  <c r="E46" i="38" s="1"/>
  <c r="L26" i="57"/>
  <c r="F257" i="77" s="1"/>
  <c r="E299" i="77" s="1"/>
  <c r="M15" i="57"/>
  <c r="L21" i="57"/>
  <c r="L20" i="57" s="1"/>
  <c r="L10" i="57"/>
  <c r="M11" i="57" s="1"/>
  <c r="M10" i="57" s="1"/>
  <c r="N6" i="57"/>
  <c r="N5" i="57" s="1"/>
  <c r="F246" i="77" l="1"/>
  <c r="G253" i="77"/>
  <c r="E298" i="77"/>
  <c r="E297" i="77" s="1"/>
  <c r="C272" i="77"/>
  <c r="D259" i="77"/>
  <c r="D271" i="77" s="1"/>
  <c r="E84" i="77"/>
  <c r="E251" i="77"/>
  <c r="E254" i="77" s="1"/>
  <c r="D260" i="77"/>
  <c r="F258" i="77"/>
  <c r="G255" i="77" s="1"/>
  <c r="F15" i="38"/>
  <c r="F46" i="38" s="1"/>
  <c r="M26" i="57"/>
  <c r="G257" i="77" s="1"/>
  <c r="F299" i="77" s="1"/>
  <c r="E55" i="77"/>
  <c r="E63" i="77"/>
  <c r="N16" i="57"/>
  <c r="N15" i="57" s="1"/>
  <c r="M21" i="57"/>
  <c r="M20" i="57" s="1"/>
  <c r="D272" i="77" l="1"/>
  <c r="E259" i="77"/>
  <c r="E271" i="77" s="1"/>
  <c r="F251" i="77"/>
  <c r="F254" i="77" s="1"/>
  <c r="E260" i="77"/>
  <c r="G246" i="77"/>
  <c r="F84" i="77"/>
  <c r="H253" i="77"/>
  <c r="G298" i="77" s="1"/>
  <c r="F298" i="77"/>
  <c r="F297" i="77" s="1"/>
  <c r="G258" i="77"/>
  <c r="H255" i="77" s="1"/>
  <c r="G15" i="38"/>
  <c r="N26" i="57"/>
  <c r="H257" i="77" s="1"/>
  <c r="G299" i="77" s="1"/>
  <c r="F55" i="77"/>
  <c r="F63" i="77"/>
  <c r="N11" i="57"/>
  <c r="N21" i="57" s="1"/>
  <c r="N20" i="57" s="1"/>
  <c r="I87" i="70"/>
  <c r="I86" i="70" s="1"/>
  <c r="I81" i="70"/>
  <c r="K81" i="70"/>
  <c r="K87" i="70"/>
  <c r="K86" i="70" s="1"/>
  <c r="AA81" i="73"/>
  <c r="AH81" i="73" s="1"/>
  <c r="I81" i="73"/>
  <c r="P81" i="73" s="1"/>
  <c r="J81" i="70"/>
  <c r="M276" i="69"/>
  <c r="N282" i="69"/>
  <c r="K102" i="70"/>
  <c r="N278" i="69"/>
  <c r="K85" i="70"/>
  <c r="M279" i="69"/>
  <c r="J87" i="70"/>
  <c r="H15" i="38" l="1"/>
  <c r="G46" i="38"/>
  <c r="H46" i="38" s="1"/>
  <c r="H258" i="77"/>
  <c r="G84" i="77"/>
  <c r="E272" i="77"/>
  <c r="F259" i="77"/>
  <c r="F271" i="77" s="1"/>
  <c r="G297" i="77"/>
  <c r="G251" i="77"/>
  <c r="G254" i="77" s="1"/>
  <c r="F260" i="77"/>
  <c r="G22" i="38"/>
  <c r="G55" i="77"/>
  <c r="G63" i="77"/>
  <c r="F16" i="77"/>
  <c r="F15" i="77"/>
  <c r="N10" i="57"/>
  <c r="K81" i="73"/>
  <c r="H84" i="77"/>
  <c r="L279" i="69"/>
  <c r="L276" i="69"/>
  <c r="AC81" i="73"/>
  <c r="N279" i="69"/>
  <c r="Q87" i="70"/>
  <c r="Q86" i="70" s="1"/>
  <c r="N276" i="69"/>
  <c r="S87" i="70"/>
  <c r="S86" i="70" s="1"/>
  <c r="AC79" i="73"/>
  <c r="AJ79" i="73" s="1"/>
  <c r="K79" i="73"/>
  <c r="R79" i="73" s="1"/>
  <c r="AB75" i="73"/>
  <c r="AI75" i="73" s="1"/>
  <c r="J75" i="73"/>
  <c r="Q75" i="73" s="1"/>
  <c r="K80" i="70"/>
  <c r="AC75" i="73"/>
  <c r="AJ75" i="73" s="1"/>
  <c r="K75" i="73"/>
  <c r="R75" i="73" s="1"/>
  <c r="I167" i="73"/>
  <c r="P167" i="73"/>
  <c r="AB81" i="73"/>
  <c r="AI81" i="73" s="1"/>
  <c r="J81" i="73"/>
  <c r="Q81" i="73" s="1"/>
  <c r="AA167" i="73"/>
  <c r="AH167" i="73"/>
  <c r="AA75" i="73"/>
  <c r="AH75" i="73" s="1"/>
  <c r="I75" i="73"/>
  <c r="P75" i="73" s="1"/>
  <c r="AC96" i="73"/>
  <c r="AJ96" i="73" s="1"/>
  <c r="K96" i="73"/>
  <c r="R96" i="73" s="1"/>
  <c r="AD81" i="70"/>
  <c r="AD87" i="70"/>
  <c r="S81" i="70"/>
  <c r="S80" i="70" s="1"/>
  <c r="L278" i="69"/>
  <c r="I85" i="70"/>
  <c r="Q81" i="70"/>
  <c r="Q80" i="70" s="1"/>
  <c r="I80" i="70"/>
  <c r="J102" i="70"/>
  <c r="M282" i="69"/>
  <c r="J80" i="70"/>
  <c r="R81" i="70"/>
  <c r="R80" i="70" s="1"/>
  <c r="I102" i="70"/>
  <c r="L282" i="69"/>
  <c r="O275" i="69"/>
  <c r="S85" i="70"/>
  <c r="S84" i="70" s="1"/>
  <c r="K84" i="70"/>
  <c r="R87" i="70"/>
  <c r="R86" i="70" s="1"/>
  <c r="J86" i="70"/>
  <c r="AD86" i="70" s="1"/>
  <c r="M278" i="69"/>
  <c r="J85" i="70"/>
  <c r="K101" i="70"/>
  <c r="AA102" i="70"/>
  <c r="AA101" i="70" s="1"/>
  <c r="O279" i="69"/>
  <c r="H22" i="38" l="1"/>
  <c r="H90" i="77" s="1"/>
  <c r="G53" i="38"/>
  <c r="H53" i="38" s="1"/>
  <c r="AJ81" i="73"/>
  <c r="AJ167" i="73" s="1"/>
  <c r="R81" i="73"/>
  <c r="R167" i="73" s="1"/>
  <c r="K167" i="73"/>
  <c r="G259" i="77"/>
  <c r="G271" i="77" s="1"/>
  <c r="F272" i="77"/>
  <c r="H251" i="77"/>
  <c r="H254" i="77" s="1"/>
  <c r="H260" i="77" s="1"/>
  <c r="H272" i="77" s="1"/>
  <c r="G260" i="77"/>
  <c r="G56" i="77"/>
  <c r="G90" i="77"/>
  <c r="G16" i="77"/>
  <c r="G15" i="77"/>
  <c r="E15" i="77"/>
  <c r="E16" i="77"/>
  <c r="AC167" i="73"/>
  <c r="O273" i="69"/>
  <c r="O276" i="69"/>
  <c r="AA79" i="73"/>
  <c r="AH79" i="73" s="1"/>
  <c r="I79" i="73"/>
  <c r="P79" i="73" s="1"/>
  <c r="AB96" i="73"/>
  <c r="AI96" i="73" s="1"/>
  <c r="J96" i="73"/>
  <c r="Q96" i="73" s="1"/>
  <c r="K166" i="73"/>
  <c r="R166" i="73"/>
  <c r="AB79" i="73"/>
  <c r="AI79" i="73" s="1"/>
  <c r="J79" i="73"/>
  <c r="Q79" i="73" s="1"/>
  <c r="AJ166" i="73"/>
  <c r="AC166" i="73"/>
  <c r="K164" i="73"/>
  <c r="R164" i="73"/>
  <c r="K170" i="73"/>
  <c r="AJ164" i="73"/>
  <c r="AC164" i="73"/>
  <c r="AC170" i="73"/>
  <c r="I164" i="73"/>
  <c r="P164" i="73"/>
  <c r="J164" i="73"/>
  <c r="Q164" i="73"/>
  <c r="AH164" i="73"/>
  <c r="AA164" i="73"/>
  <c r="J167" i="73"/>
  <c r="Q167" i="73"/>
  <c r="AI164" i="73"/>
  <c r="AB164" i="73"/>
  <c r="AA96" i="73"/>
  <c r="AH96" i="73" s="1"/>
  <c r="I96" i="73"/>
  <c r="P96" i="73" s="1"/>
  <c r="AB167" i="73"/>
  <c r="AI167" i="73"/>
  <c r="AA158" i="70"/>
  <c r="AA156" i="70"/>
  <c r="AD80" i="70"/>
  <c r="AD85" i="70"/>
  <c r="Y102" i="70"/>
  <c r="Y101" i="70" s="1"/>
  <c r="I101" i="70"/>
  <c r="J101" i="70"/>
  <c r="Z102" i="70"/>
  <c r="Z101" i="70" s="1"/>
  <c r="S102" i="70"/>
  <c r="S101" i="70" s="1"/>
  <c r="Q85" i="70"/>
  <c r="Q84" i="70" s="1"/>
  <c r="I84" i="70"/>
  <c r="J84" i="70"/>
  <c r="R85" i="70"/>
  <c r="R84" i="70" s="1"/>
  <c r="H259" i="77" l="1"/>
  <c r="H271" i="77" s="1"/>
  <c r="G272" i="77"/>
  <c r="AJ170" i="73"/>
  <c r="I170" i="73"/>
  <c r="AA170" i="73"/>
  <c r="J170" i="73"/>
  <c r="AB170" i="73"/>
  <c r="J166" i="73"/>
  <c r="Q166" i="73"/>
  <c r="AI166" i="73"/>
  <c r="AB166" i="73"/>
  <c r="R170" i="73"/>
  <c r="I166" i="73"/>
  <c r="P166" i="73"/>
  <c r="AA166" i="73"/>
  <c r="AH166" i="73"/>
  <c r="Z158" i="70"/>
  <c r="Z156" i="70"/>
  <c r="Y158" i="70"/>
  <c r="Y156" i="70"/>
  <c r="AD84" i="70"/>
  <c r="T167" i="73"/>
  <c r="AD101" i="70"/>
  <c r="T81" i="73"/>
  <c r="T75" i="73"/>
  <c r="R102" i="70"/>
  <c r="R101" i="70" s="1"/>
  <c r="Q102" i="70"/>
  <c r="Q101" i="70" s="1"/>
  <c r="T164" i="73"/>
  <c r="P170" i="73" l="1"/>
  <c r="Q170" i="73"/>
  <c r="AI170" i="73"/>
  <c r="AH170" i="73"/>
  <c r="T96" i="73"/>
  <c r="T79" i="73"/>
  <c r="T166" i="73"/>
  <c r="T170" i="73" l="1"/>
  <c r="H11" i="70"/>
  <c r="H12" i="70"/>
  <c r="H10" i="70"/>
  <c r="Z4" i="73" l="1"/>
  <c r="AG4" i="73" s="1"/>
  <c r="H4" i="73"/>
  <c r="O4" i="73" s="1"/>
  <c r="Z6" i="73"/>
  <c r="AG6" i="73" s="1"/>
  <c r="H6" i="73"/>
  <c r="O6" i="73" s="1"/>
  <c r="Z5" i="73"/>
  <c r="AG5" i="73" s="1"/>
  <c r="H5" i="73"/>
  <c r="O5" i="73" s="1"/>
  <c r="P12" i="70"/>
  <c r="P11" i="70"/>
  <c r="P10" i="70"/>
  <c r="H9" i="70" l="1"/>
  <c r="K263" i="69"/>
  <c r="D5" i="77" s="1"/>
  <c r="D166" i="77" s="1"/>
  <c r="Z3" i="73" l="1"/>
  <c r="AG3" i="73" s="1"/>
  <c r="H3" i="73"/>
  <c r="F16" i="38"/>
  <c r="F47" i="38" s="1"/>
  <c r="P9" i="70"/>
  <c r="P8" i="70" s="1"/>
  <c r="H8" i="70"/>
  <c r="AH7" i="70" s="1"/>
  <c r="H154" i="73" l="1"/>
  <c r="O3" i="73"/>
  <c r="F64" i="77"/>
  <c r="F301" i="77"/>
  <c r="F302" i="77" s="1"/>
  <c r="J16" i="70"/>
  <c r="K16" i="70"/>
  <c r="J15" i="70"/>
  <c r="I17" i="70"/>
  <c r="I15" i="70"/>
  <c r="I16" i="70"/>
  <c r="K15" i="70"/>
  <c r="K17" i="70"/>
  <c r="J17" i="70"/>
  <c r="K12" i="70"/>
  <c r="K10" i="70"/>
  <c r="J10" i="70"/>
  <c r="I11" i="70"/>
  <c r="J12" i="70"/>
  <c r="I12" i="70"/>
  <c r="J11" i="70"/>
  <c r="I10" i="70"/>
  <c r="K11" i="70"/>
  <c r="AN7" i="70"/>
  <c r="F85" i="77"/>
  <c r="Z154" i="73"/>
  <c r="E16" i="38"/>
  <c r="E47" i="38" s="1"/>
  <c r="H47" i="38" s="1"/>
  <c r="E64" i="77" l="1"/>
  <c r="E301" i="77"/>
  <c r="E302" i="77" s="1"/>
  <c r="E85" i="77"/>
  <c r="I14" i="70"/>
  <c r="L264" i="69"/>
  <c r="K10" i="73"/>
  <c r="R10" i="73" s="1"/>
  <c r="S16" i="70"/>
  <c r="AC10" i="73"/>
  <c r="AJ10" i="73" s="1"/>
  <c r="AB9" i="73"/>
  <c r="AI9" i="73" s="1"/>
  <c r="J9" i="73"/>
  <c r="Q9" i="73" s="1"/>
  <c r="R15" i="70"/>
  <c r="J14" i="70"/>
  <c r="M264" i="69"/>
  <c r="J9" i="70"/>
  <c r="M263" i="69"/>
  <c r="AB10" i="73"/>
  <c r="AI10" i="73" s="1"/>
  <c r="J10" i="73"/>
  <c r="Q10" i="73" s="1"/>
  <c r="R16" i="70"/>
  <c r="AD16" i="70"/>
  <c r="Q16" i="70"/>
  <c r="AA10" i="73"/>
  <c r="AH10" i="73" s="1"/>
  <c r="I10" i="73"/>
  <c r="P10" i="73" s="1"/>
  <c r="K14" i="70"/>
  <c r="N264" i="69"/>
  <c r="I9" i="70"/>
  <c r="L263" i="69"/>
  <c r="S12" i="70"/>
  <c r="AC6" i="73"/>
  <c r="AJ6" i="73" s="1"/>
  <c r="K6" i="73"/>
  <c r="R6" i="73" s="1"/>
  <c r="AD15" i="70"/>
  <c r="AA9" i="73"/>
  <c r="AH9" i="73" s="1"/>
  <c r="I9" i="73"/>
  <c r="P9" i="73" s="1"/>
  <c r="Q15" i="70"/>
  <c r="N263" i="69"/>
  <c r="K9" i="70"/>
  <c r="K5" i="73"/>
  <c r="R5" i="73" s="1"/>
  <c r="S11" i="70"/>
  <c r="AC5" i="73"/>
  <c r="AJ5" i="73" s="1"/>
  <c r="R10" i="70"/>
  <c r="J4" i="73"/>
  <c r="Q4" i="73" s="1"/>
  <c r="AB4" i="73"/>
  <c r="AI4" i="73" s="1"/>
  <c r="S17" i="70"/>
  <c r="AC11" i="73"/>
  <c r="AJ11" i="73" s="1"/>
  <c r="K11" i="73"/>
  <c r="R11" i="73" s="1"/>
  <c r="Q11" i="70"/>
  <c r="AA5" i="73"/>
  <c r="AH5" i="73" s="1"/>
  <c r="I5" i="73"/>
  <c r="P5" i="73" s="1"/>
  <c r="AD11" i="70"/>
  <c r="AB5" i="73"/>
  <c r="AI5" i="73" s="1"/>
  <c r="J5" i="73"/>
  <c r="Q5" i="73" s="1"/>
  <c r="R11" i="70"/>
  <c r="AA4" i="73"/>
  <c r="AH4" i="73" s="1"/>
  <c r="I4" i="73"/>
  <c r="P4" i="73" s="1"/>
  <c r="Q10" i="70"/>
  <c r="AD10" i="70"/>
  <c r="R17" i="70"/>
  <c r="AB11" i="73"/>
  <c r="AI11" i="73" s="1"/>
  <c r="J11" i="73"/>
  <c r="Q11" i="73" s="1"/>
  <c r="R12" i="70"/>
  <c r="J6" i="73"/>
  <c r="Q6" i="73" s="1"/>
  <c r="AB6" i="73"/>
  <c r="AI6" i="73" s="1"/>
  <c r="Q17" i="70"/>
  <c r="AD17" i="70"/>
  <c r="I11" i="73"/>
  <c r="P11" i="73" s="1"/>
  <c r="AA11" i="73"/>
  <c r="AH11" i="73" s="1"/>
  <c r="S10" i="70"/>
  <c r="AC4" i="73"/>
  <c r="AJ4" i="73" s="1"/>
  <c r="K4" i="73"/>
  <c r="R4" i="73" s="1"/>
  <c r="Q12" i="70"/>
  <c r="AA6" i="73"/>
  <c r="AH6" i="73" s="1"/>
  <c r="I6" i="73"/>
  <c r="P6" i="73" s="1"/>
  <c r="AD12" i="70"/>
  <c r="K9" i="73"/>
  <c r="R9" i="73" s="1"/>
  <c r="AC9" i="73"/>
  <c r="AJ9" i="73" s="1"/>
  <c r="S15" i="70"/>
  <c r="AG154" i="73"/>
  <c r="O154" i="73"/>
  <c r="H16" i="38"/>
  <c r="G5" i="77" l="1"/>
  <c r="G166" i="77" s="1"/>
  <c r="E5" i="77"/>
  <c r="E166" i="77" s="1"/>
  <c r="F5" i="77"/>
  <c r="F166" i="77" s="1"/>
  <c r="H85" i="77"/>
  <c r="T11" i="73"/>
  <c r="AA3" i="73"/>
  <c r="AH3" i="73" s="1"/>
  <c r="I3" i="73"/>
  <c r="P3" i="73" s="1"/>
  <c r="Q9" i="70"/>
  <c r="Q8" i="70" s="1"/>
  <c r="I8" i="70"/>
  <c r="AD9" i="70"/>
  <c r="K8" i="70"/>
  <c r="S9" i="70"/>
  <c r="S8" i="70" s="1"/>
  <c r="K3" i="73"/>
  <c r="R3" i="73" s="1"/>
  <c r="AC3" i="73"/>
  <c r="AJ3" i="73" s="1"/>
  <c r="AB3" i="73"/>
  <c r="AI3" i="73" s="1"/>
  <c r="J3" i="73"/>
  <c r="Q3" i="73" s="1"/>
  <c r="R9" i="70"/>
  <c r="R8" i="70" s="1"/>
  <c r="J8" i="70"/>
  <c r="O263" i="69"/>
  <c r="O264" i="69"/>
  <c r="S14" i="70"/>
  <c r="S13" i="70" s="1"/>
  <c r="AC8" i="73"/>
  <c r="AJ8" i="73" s="1"/>
  <c r="K8" i="73"/>
  <c r="R8" i="73" s="1"/>
  <c r="K13" i="70"/>
  <c r="AB8" i="73"/>
  <c r="AI8" i="73" s="1"/>
  <c r="J8" i="73"/>
  <c r="Q8" i="73" s="1"/>
  <c r="R14" i="70"/>
  <c r="R13" i="70" s="1"/>
  <c r="J13" i="70"/>
  <c r="T10" i="73"/>
  <c r="T9" i="73"/>
  <c r="T4" i="73"/>
  <c r="T6" i="73"/>
  <c r="T5" i="73"/>
  <c r="Q14" i="70"/>
  <c r="Q13" i="70" s="1"/>
  <c r="AA8" i="73"/>
  <c r="AH8" i="73" s="1"/>
  <c r="I8" i="73"/>
  <c r="P8" i="73" s="1"/>
  <c r="AD14" i="70"/>
  <c r="I13" i="70"/>
  <c r="D28" i="60"/>
  <c r="AJ7" i="70" l="1"/>
  <c r="AK7" i="70"/>
  <c r="AI7" i="70"/>
  <c r="Q155" i="73"/>
  <c r="J155" i="73"/>
  <c r="AD13" i="70"/>
  <c r="Q154" i="73"/>
  <c r="J154" i="73"/>
  <c r="I155" i="73"/>
  <c r="AI155" i="73"/>
  <c r="AB155" i="73"/>
  <c r="AI154" i="73"/>
  <c r="AB154" i="73"/>
  <c r="AC154" i="73"/>
  <c r="AJ154" i="73"/>
  <c r="K154" i="73"/>
  <c r="R154" i="73"/>
  <c r="AH155" i="73"/>
  <c r="AA155" i="73"/>
  <c r="AJ155" i="73"/>
  <c r="AC155" i="73"/>
  <c r="R155" i="73"/>
  <c r="K155" i="73"/>
  <c r="I154" i="73"/>
  <c r="AA154" i="73"/>
  <c r="AH154" i="73"/>
  <c r="Z192" i="72"/>
  <c r="Z191" i="72"/>
  <c r="Z190" i="72"/>
  <c r="Z189" i="72"/>
  <c r="Z188" i="72"/>
  <c r="Z187" i="72"/>
  <c r="Z186" i="72"/>
  <c r="Z185" i="72"/>
  <c r="Z193" i="72"/>
  <c r="AO7" i="70" l="1"/>
  <c r="AQ7" i="70"/>
  <c r="AP7" i="70"/>
  <c r="E28" i="60"/>
  <c r="F28" i="60"/>
  <c r="G28" i="60"/>
  <c r="P154" i="73"/>
  <c r="T3" i="73"/>
  <c r="P155" i="73"/>
  <c r="T155" i="73" s="1"/>
  <c r="T8" i="73"/>
  <c r="X69" i="72"/>
  <c r="Y69" i="72"/>
  <c r="AF69" i="72" s="1"/>
  <c r="X114" i="72"/>
  <c r="AE114" i="72" s="1"/>
  <c r="Y114" i="72"/>
  <c r="AF114" i="72" s="1"/>
  <c r="X144" i="72"/>
  <c r="AE144" i="72" s="1"/>
  <c r="Y144" i="72"/>
  <c r="Y54" i="72"/>
  <c r="X54" i="72"/>
  <c r="Y146" i="72"/>
  <c r="X146" i="72"/>
  <c r="AE146" i="72" s="1"/>
  <c r="Y177" i="72"/>
  <c r="AF177" i="72" s="1"/>
  <c r="X177" i="72"/>
  <c r="AE177" i="72" s="1"/>
  <c r="X101" i="72"/>
  <c r="Y101" i="72"/>
  <c r="AF101" i="72" s="1"/>
  <c r="Y85" i="72"/>
  <c r="AF85" i="72" s="1"/>
  <c r="X85" i="72"/>
  <c r="X86" i="72"/>
  <c r="Y86" i="72"/>
  <c r="AF86" i="72" s="1"/>
  <c r="X87" i="72"/>
  <c r="Y87" i="72"/>
  <c r="AF87" i="72" s="1"/>
  <c r="X88" i="72"/>
  <c r="Y88" i="72"/>
  <c r="AF88" i="72" s="1"/>
  <c r="Y129" i="72"/>
  <c r="AF129" i="72" s="1"/>
  <c r="X129" i="72"/>
  <c r="AE129" i="72" s="1"/>
  <c r="Y61" i="72"/>
  <c r="AF61" i="72" s="1"/>
  <c r="X61" i="72"/>
  <c r="Y52" i="72"/>
  <c r="X52" i="72"/>
  <c r="AE52" i="72" s="1"/>
  <c r="Y160" i="72"/>
  <c r="AF160" i="72" s="1"/>
  <c r="X160" i="72"/>
  <c r="AE160" i="72" s="1"/>
  <c r="X131" i="72"/>
  <c r="AE131" i="72" s="1"/>
  <c r="Y131" i="72"/>
  <c r="AF131" i="72" s="1"/>
  <c r="Y117" i="72"/>
  <c r="AF117" i="72" s="1"/>
  <c r="X117" i="72"/>
  <c r="AE117" i="72" s="1"/>
  <c r="X193" i="72"/>
  <c r="Y193" i="72"/>
  <c r="X198" i="72"/>
  <c r="AE198" i="72" s="1"/>
  <c r="X199" i="72"/>
  <c r="AE199" i="72" s="1"/>
  <c r="Y184" i="72"/>
  <c r="AF184" i="72" s="1"/>
  <c r="X184" i="72"/>
  <c r="AE184" i="72" s="1"/>
  <c r="X164" i="72"/>
  <c r="AE164" i="72" s="1"/>
  <c r="Y164" i="72"/>
  <c r="AF164" i="72" s="1"/>
  <c r="Y148" i="72"/>
  <c r="X148" i="72"/>
  <c r="AE148" i="72" s="1"/>
  <c r="Y133" i="72"/>
  <c r="AF133" i="72" s="1"/>
  <c r="X133" i="72"/>
  <c r="AE133" i="72" s="1"/>
  <c r="X118" i="72"/>
  <c r="AE118" i="72" s="1"/>
  <c r="Y118" i="72"/>
  <c r="AF118" i="72" s="1"/>
  <c r="X102" i="72"/>
  <c r="Y102" i="72"/>
  <c r="AF102" i="72" s="1"/>
  <c r="Y103" i="72"/>
  <c r="AF103" i="72" s="1"/>
  <c r="X103" i="72"/>
  <c r="X104" i="72"/>
  <c r="Y104" i="72"/>
  <c r="AF104" i="72" s="1"/>
  <c r="Y105" i="72"/>
  <c r="AF105" i="72" s="1"/>
  <c r="X105" i="72"/>
  <c r="Y98" i="72"/>
  <c r="AF98" i="72" s="1"/>
  <c r="X98" i="72"/>
  <c r="Y115" i="72"/>
  <c r="AF115" i="72" s="1"/>
  <c r="X115" i="72"/>
  <c r="AE115" i="72" s="1"/>
  <c r="X200" i="72"/>
  <c r="AE200" i="72" s="1"/>
  <c r="Y121" i="72"/>
  <c r="X121" i="72"/>
  <c r="Y126" i="72"/>
  <c r="X126" i="72"/>
  <c r="AE126" i="72" s="1"/>
  <c r="X127" i="72"/>
  <c r="AE127" i="72" s="1"/>
  <c r="Y127" i="72"/>
  <c r="AF127" i="72" s="1"/>
  <c r="Y83" i="72"/>
  <c r="AF83" i="72" s="1"/>
  <c r="X83" i="72"/>
  <c r="AE83" i="72" s="1"/>
  <c r="X68" i="72"/>
  <c r="AE68" i="72" s="1"/>
  <c r="Y68" i="72"/>
  <c r="AF68" i="72" s="1"/>
  <c r="X179" i="72"/>
  <c r="Y179" i="72"/>
  <c r="AF179" i="72" s="1"/>
  <c r="Y170" i="72"/>
  <c r="AF170" i="72" s="1"/>
  <c r="X170" i="72"/>
  <c r="AE170" i="72" s="1"/>
  <c r="Y186" i="72"/>
  <c r="AF186" i="72" s="1"/>
  <c r="X186" i="72"/>
  <c r="AE186" i="72" s="1"/>
  <c r="X171" i="72"/>
  <c r="AE171" i="72" s="1"/>
  <c r="Y171" i="72"/>
  <c r="AF171" i="72" s="1"/>
  <c r="X140" i="72"/>
  <c r="AE140" i="72" s="1"/>
  <c r="Y140" i="72"/>
  <c r="Y141" i="72"/>
  <c r="X141" i="72"/>
  <c r="AE141" i="72" s="1"/>
  <c r="Y142" i="72"/>
  <c r="X142" i="72"/>
  <c r="AE142" i="72" s="1"/>
  <c r="Y143" i="72"/>
  <c r="X143" i="72"/>
  <c r="AE143" i="72" s="1"/>
  <c r="X67" i="72"/>
  <c r="AE67" i="72" s="1"/>
  <c r="Y67" i="72"/>
  <c r="AF67" i="72" s="1"/>
  <c r="Y162" i="72"/>
  <c r="AF162" i="72" s="1"/>
  <c r="X162" i="72"/>
  <c r="AE162" i="72" s="1"/>
  <c r="Y100" i="72"/>
  <c r="AF100" i="72" s="1"/>
  <c r="X100" i="72"/>
  <c r="Y132" i="72"/>
  <c r="AF132" i="72" s="1"/>
  <c r="X132" i="72"/>
  <c r="AE132" i="72" s="1"/>
  <c r="X149" i="72"/>
  <c r="AE149" i="72" s="1"/>
  <c r="Y149" i="72"/>
  <c r="Y135" i="72"/>
  <c r="X135" i="72"/>
  <c r="X38" i="72"/>
  <c r="AE38" i="72" s="1"/>
  <c r="Y38" i="72"/>
  <c r="AF38" i="72" s="1"/>
  <c r="X39" i="72"/>
  <c r="AE39" i="72" s="1"/>
  <c r="Y39" i="72"/>
  <c r="AF39" i="72" s="1"/>
  <c r="Y40" i="72"/>
  <c r="AF40" i="72" s="1"/>
  <c r="X40" i="72"/>
  <c r="AE40" i="72" s="1"/>
  <c r="Y218" i="72"/>
  <c r="AF218" i="72" s="1"/>
  <c r="X218" i="72"/>
  <c r="AE218" i="72" s="1"/>
  <c r="X202" i="72"/>
  <c r="AE202" i="72" s="1"/>
  <c r="X187" i="72"/>
  <c r="AE187" i="72" s="1"/>
  <c r="Y187" i="72"/>
  <c r="AF187" i="72" s="1"/>
  <c r="X172" i="72"/>
  <c r="AE172" i="72" s="1"/>
  <c r="Y172" i="72"/>
  <c r="AF172" i="72" s="1"/>
  <c r="X156" i="72"/>
  <c r="AE156" i="72" s="1"/>
  <c r="Y156" i="72"/>
  <c r="AF156" i="72" s="1"/>
  <c r="Y157" i="72"/>
  <c r="AF157" i="72" s="1"/>
  <c r="X157" i="72"/>
  <c r="AE157" i="72" s="1"/>
  <c r="Y158" i="72"/>
  <c r="AF158" i="72" s="1"/>
  <c r="X158" i="72"/>
  <c r="AE158" i="72" s="1"/>
  <c r="Y159" i="72"/>
  <c r="AF159" i="72" s="1"/>
  <c r="X159" i="72"/>
  <c r="AE159" i="72" s="1"/>
  <c r="Y37" i="72"/>
  <c r="AF37" i="72" s="1"/>
  <c r="X37" i="72"/>
  <c r="AE37" i="72" s="1"/>
  <c r="Y99" i="72"/>
  <c r="AF99" i="72" s="1"/>
  <c r="X99" i="72"/>
  <c r="X70" i="72"/>
  <c r="Y70" i="72"/>
  <c r="AF70" i="72" s="1"/>
  <c r="X178" i="72"/>
  <c r="AE178" i="72" s="1"/>
  <c r="Y178" i="72"/>
  <c r="AF178" i="72" s="1"/>
  <c r="X134" i="72"/>
  <c r="AE134" i="72" s="1"/>
  <c r="Y134" i="72"/>
  <c r="AF134" i="72" s="1"/>
  <c r="Y173" i="72"/>
  <c r="AF173" i="72" s="1"/>
  <c r="X173" i="72"/>
  <c r="AE173" i="72" s="1"/>
  <c r="Y176" i="72"/>
  <c r="AF176" i="72" s="1"/>
  <c r="X176" i="72"/>
  <c r="AE176" i="72" s="1"/>
  <c r="Y130" i="72"/>
  <c r="AF130" i="72" s="1"/>
  <c r="X130" i="72"/>
  <c r="AE130" i="72" s="1"/>
  <c r="X161" i="72"/>
  <c r="AE161" i="72" s="1"/>
  <c r="Y161" i="72"/>
  <c r="AF161" i="72" s="1"/>
  <c r="Y71" i="72"/>
  <c r="AF71" i="72" s="1"/>
  <c r="X71" i="72"/>
  <c r="X215" i="72"/>
  <c r="AE215" i="72" s="1"/>
  <c r="Y215" i="72"/>
  <c r="AF215" i="72" s="1"/>
  <c r="Y119" i="72"/>
  <c r="AF119" i="72" s="1"/>
  <c r="X119" i="72"/>
  <c r="AE119" i="72" s="1"/>
  <c r="X201" i="72"/>
  <c r="AE201" i="72" s="1"/>
  <c r="Y219" i="72"/>
  <c r="AF219" i="72" s="1"/>
  <c r="X219" i="72"/>
  <c r="AE219" i="72" s="1"/>
  <c r="Y174" i="72"/>
  <c r="AF174" i="72" s="1"/>
  <c r="X174" i="72"/>
  <c r="AE174" i="72" s="1"/>
  <c r="X74" i="72"/>
  <c r="Y74" i="72"/>
  <c r="AF74" i="72" s="1"/>
  <c r="X42" i="72"/>
  <c r="AE42" i="72" s="1"/>
  <c r="Y42" i="72"/>
  <c r="AF42" i="72" s="1"/>
  <c r="X220" i="72"/>
  <c r="AE220" i="72" s="1"/>
  <c r="Y220" i="72"/>
  <c r="AF220" i="72" s="1"/>
  <c r="X204" i="72"/>
  <c r="AE204" i="72" s="1"/>
  <c r="Y189" i="72"/>
  <c r="AF189" i="72" s="1"/>
  <c r="X189" i="72"/>
  <c r="AE189" i="72" s="1"/>
  <c r="X190" i="72"/>
  <c r="AE190" i="72" s="1"/>
  <c r="Y190" i="72"/>
  <c r="AF190" i="72" s="1"/>
  <c r="X191" i="72"/>
  <c r="AE191" i="72" s="1"/>
  <c r="Y191" i="72"/>
  <c r="AF191" i="72" s="1"/>
  <c r="Y192" i="72"/>
  <c r="AF192" i="72" s="1"/>
  <c r="X192" i="72"/>
  <c r="AE192" i="72" s="1"/>
  <c r="X45" i="72"/>
  <c r="Y45" i="72"/>
  <c r="AF45" i="72" s="1"/>
  <c r="Y53" i="72"/>
  <c r="X53" i="72"/>
  <c r="Y116" i="72"/>
  <c r="AF116" i="72" s="1"/>
  <c r="X116" i="72"/>
  <c r="AE116" i="72" s="1"/>
  <c r="X163" i="72"/>
  <c r="AE163" i="72" s="1"/>
  <c r="Y163" i="72"/>
  <c r="AF163" i="72" s="1"/>
  <c r="Y216" i="72"/>
  <c r="AF216" i="72" s="1"/>
  <c r="X216" i="72"/>
  <c r="AE216" i="72" s="1"/>
  <c r="Y120" i="72"/>
  <c r="AF120" i="72" s="1"/>
  <c r="X120" i="72"/>
  <c r="AE120" i="72" s="1"/>
  <c r="Y217" i="72"/>
  <c r="AF217" i="72" s="1"/>
  <c r="X217" i="72"/>
  <c r="AE217" i="72" s="1"/>
  <c r="X41" i="72"/>
  <c r="AE41" i="72" s="1"/>
  <c r="Y41" i="72"/>
  <c r="AF41" i="72" s="1"/>
  <c r="X203" i="72"/>
  <c r="AE203" i="72" s="1"/>
  <c r="X188" i="72"/>
  <c r="AE188" i="72" s="1"/>
  <c r="Y188" i="72"/>
  <c r="AF188" i="72" s="1"/>
  <c r="X175" i="72"/>
  <c r="AE175" i="72" s="1"/>
  <c r="Y175" i="72"/>
  <c r="AF175" i="72" s="1"/>
  <c r="X72" i="72"/>
  <c r="Y72" i="72"/>
  <c r="AF72" i="72" s="1"/>
  <c r="X73" i="72"/>
  <c r="Y73" i="72"/>
  <c r="AF73" i="72" s="1"/>
  <c r="Y58" i="72"/>
  <c r="AF58" i="72" s="1"/>
  <c r="X58" i="72"/>
  <c r="X89" i="72"/>
  <c r="Y89" i="72"/>
  <c r="AF89" i="72" s="1"/>
  <c r="X90" i="72"/>
  <c r="Y90" i="72"/>
  <c r="AF90" i="72" s="1"/>
  <c r="X91" i="72"/>
  <c r="Y91" i="72"/>
  <c r="AF91" i="72" s="1"/>
  <c r="X75" i="72"/>
  <c r="Y75" i="72"/>
  <c r="AF75" i="72" s="1"/>
  <c r="X59" i="72"/>
  <c r="Y59" i="72"/>
  <c r="AF59" i="72" s="1"/>
  <c r="Y43" i="72"/>
  <c r="AF43" i="72" s="1"/>
  <c r="X43" i="72"/>
  <c r="AE43" i="72" s="1"/>
  <c r="X221" i="72"/>
  <c r="AE221" i="72" s="1"/>
  <c r="Y221" i="72"/>
  <c r="AF221" i="72" s="1"/>
  <c r="X205" i="72"/>
  <c r="AE205" i="72" s="1"/>
  <c r="X206" i="72"/>
  <c r="AE206" i="72" s="1"/>
  <c r="X207" i="72"/>
  <c r="AE207" i="72" s="1"/>
  <c r="X213" i="72"/>
  <c r="AE213" i="72" s="1"/>
  <c r="X128" i="72"/>
  <c r="AE128" i="72" s="1"/>
  <c r="Y128" i="72"/>
  <c r="AF128" i="72" s="1"/>
  <c r="Y82" i="72"/>
  <c r="AF82" i="72" s="1"/>
  <c r="X82" i="72"/>
  <c r="AE82" i="72" s="1"/>
  <c r="Y145" i="72"/>
  <c r="X145" i="72"/>
  <c r="AE145" i="72" s="1"/>
  <c r="X46" i="72"/>
  <c r="Y46" i="72"/>
  <c r="AF46" i="72" s="1"/>
  <c r="X84" i="72"/>
  <c r="AE84" i="72" s="1"/>
  <c r="Y84" i="72"/>
  <c r="AF84" i="72" s="1"/>
  <c r="Y147" i="72"/>
  <c r="X147" i="72"/>
  <c r="AE147" i="72" s="1"/>
  <c r="Y214" i="72"/>
  <c r="AF214" i="72" s="1"/>
  <c r="X214" i="72"/>
  <c r="AE214" i="72" s="1"/>
  <c r="Y185" i="72"/>
  <c r="AF185" i="72" s="1"/>
  <c r="X185" i="72"/>
  <c r="AE185" i="72" s="1"/>
  <c r="X155" i="72"/>
  <c r="AE155" i="72" s="1"/>
  <c r="Y155" i="72"/>
  <c r="AF155" i="72" s="1"/>
  <c r="X55" i="72"/>
  <c r="Y55" i="72"/>
  <c r="X56" i="72"/>
  <c r="Y56" i="72"/>
  <c r="Y57" i="72"/>
  <c r="X57" i="72"/>
  <c r="X106" i="72"/>
  <c r="Y106" i="72"/>
  <c r="AF106" i="72" s="1"/>
  <c r="X112" i="72"/>
  <c r="AE112" i="72" s="1"/>
  <c r="Y113" i="72"/>
  <c r="AF113" i="72" s="1"/>
  <c r="X113" i="72"/>
  <c r="AE113" i="72" s="1"/>
  <c r="Y76" i="72"/>
  <c r="AF76" i="72" s="1"/>
  <c r="X76" i="72"/>
  <c r="Y60" i="72"/>
  <c r="AF60" i="72" s="1"/>
  <c r="X60" i="72"/>
  <c r="Y44" i="72"/>
  <c r="AF44" i="72" s="1"/>
  <c r="X44" i="72"/>
  <c r="T154" i="73" l="1"/>
  <c r="H14" i="74"/>
  <c r="O14" i="74" s="1"/>
  <c r="I14" i="74"/>
  <c r="P14" i="74" s="1"/>
  <c r="H81" i="74"/>
  <c r="I81" i="74"/>
  <c r="J81" i="74"/>
  <c r="L81" i="74"/>
  <c r="K81" i="74"/>
  <c r="I43" i="74"/>
  <c r="P43" i="74" s="1"/>
  <c r="H43" i="74"/>
  <c r="O43" i="74" s="1"/>
  <c r="H42" i="74"/>
  <c r="O42" i="74" s="1"/>
  <c r="I42" i="74"/>
  <c r="P42" i="74" s="1"/>
  <c r="H79" i="74"/>
  <c r="I79" i="74"/>
  <c r="L79" i="74"/>
  <c r="J79" i="74"/>
  <c r="K79" i="74"/>
  <c r="H32" i="74"/>
  <c r="O32" i="74" s="1"/>
  <c r="I32" i="74"/>
  <c r="P32" i="74" s="1"/>
  <c r="I13" i="74"/>
  <c r="P13" i="74" s="1"/>
  <c r="H13" i="74"/>
  <c r="O13" i="74" s="1"/>
  <c r="I69" i="74"/>
  <c r="P69" i="74" s="1"/>
  <c r="H69" i="74"/>
  <c r="O69" i="74" s="1"/>
  <c r="J69" i="74"/>
  <c r="Q69" i="74" s="1"/>
  <c r="K69" i="74"/>
  <c r="R69" i="74" s="1"/>
  <c r="L69" i="74"/>
  <c r="S69" i="74" s="1"/>
  <c r="H17" i="74"/>
  <c r="O17" i="74" s="1"/>
  <c r="I17" i="74"/>
  <c r="P17" i="74" s="1"/>
  <c r="I68" i="74"/>
  <c r="P68" i="74" s="1"/>
  <c r="H68" i="74"/>
  <c r="O68" i="74" s="1"/>
  <c r="K68" i="74"/>
  <c r="R68" i="74" s="1"/>
  <c r="L68" i="74"/>
  <c r="S68" i="74" s="1"/>
  <c r="J68" i="74"/>
  <c r="Q68" i="74" s="1"/>
  <c r="H72" i="74"/>
  <c r="O72" i="74" s="1"/>
  <c r="I72" i="74"/>
  <c r="P72" i="74" s="1"/>
  <c r="J72" i="74"/>
  <c r="Q72" i="74" s="1"/>
  <c r="L72" i="74"/>
  <c r="S72" i="74" s="1"/>
  <c r="K72" i="74"/>
  <c r="R72" i="74" s="1"/>
  <c r="H64" i="74"/>
  <c r="O64" i="74" s="1"/>
  <c r="I64" i="74"/>
  <c r="P64" i="74" s="1"/>
  <c r="K64" i="74"/>
  <c r="R64" i="74" s="1"/>
  <c r="J64" i="74"/>
  <c r="Q64" i="74" s="1"/>
  <c r="L64" i="74"/>
  <c r="S64" i="74" s="1"/>
  <c r="I31" i="74"/>
  <c r="P31" i="74" s="1"/>
  <c r="H31" i="74"/>
  <c r="O31" i="74" s="1"/>
  <c r="I16" i="74"/>
  <c r="P16" i="74" s="1"/>
  <c r="H16" i="74"/>
  <c r="O16" i="74" s="1"/>
  <c r="I41" i="74"/>
  <c r="P41" i="74" s="1"/>
  <c r="H41" i="74"/>
  <c r="O41" i="74" s="1"/>
  <c r="H38" i="74"/>
  <c r="O38" i="74" s="1"/>
  <c r="I38" i="74"/>
  <c r="P38" i="74" s="1"/>
  <c r="I35" i="74"/>
  <c r="P35" i="74" s="1"/>
  <c r="H35" i="74"/>
  <c r="O35" i="74" s="1"/>
  <c r="I37" i="74"/>
  <c r="P37" i="74" s="1"/>
  <c r="H37" i="74"/>
  <c r="O37" i="74" s="1"/>
  <c r="I34" i="74"/>
  <c r="P34" i="74" s="1"/>
  <c r="H34" i="74"/>
  <c r="O34" i="74" s="1"/>
  <c r="I66" i="74"/>
  <c r="P66" i="74" s="1"/>
  <c r="H66" i="74"/>
  <c r="O66" i="74" s="1"/>
  <c r="L66" i="74"/>
  <c r="S66" i="74" s="1"/>
  <c r="J66" i="74"/>
  <c r="Q66" i="74" s="1"/>
  <c r="K66" i="74"/>
  <c r="R66" i="74" s="1"/>
  <c r="H15" i="74"/>
  <c r="O15" i="74" s="1"/>
  <c r="I15" i="74"/>
  <c r="P15" i="74" s="1"/>
  <c r="H30" i="74"/>
  <c r="O30" i="74" s="1"/>
  <c r="I30" i="74"/>
  <c r="P30" i="74" s="1"/>
  <c r="I36" i="74"/>
  <c r="P36" i="74" s="1"/>
  <c r="H36" i="74"/>
  <c r="O36" i="74" s="1"/>
  <c r="H18" i="74"/>
  <c r="O18" i="74" s="1"/>
  <c r="I18" i="74"/>
  <c r="P18" i="74" s="1"/>
  <c r="H67" i="74"/>
  <c r="O67" i="74" s="1"/>
  <c r="I67" i="74"/>
  <c r="P67" i="74" s="1"/>
  <c r="L67" i="74"/>
  <c r="S67" i="74" s="1"/>
  <c r="K67" i="74"/>
  <c r="R67" i="74" s="1"/>
  <c r="J67" i="74"/>
  <c r="Q67" i="74" s="1"/>
  <c r="I40" i="74"/>
  <c r="P40" i="74" s="1"/>
  <c r="H40" i="74"/>
  <c r="O40" i="74" s="1"/>
  <c r="H70" i="74"/>
  <c r="O70" i="74" s="1"/>
  <c r="I70" i="74"/>
  <c r="P70" i="74" s="1"/>
  <c r="J70" i="74"/>
  <c r="Q70" i="74" s="1"/>
  <c r="L70" i="74"/>
  <c r="S70" i="74" s="1"/>
  <c r="K70" i="74"/>
  <c r="R70" i="74" s="1"/>
  <c r="H33" i="74"/>
  <c r="O33" i="74" s="1"/>
  <c r="I33" i="74"/>
  <c r="P33" i="74" s="1"/>
  <c r="H65" i="74"/>
  <c r="O65" i="74" s="1"/>
  <c r="I65" i="74"/>
  <c r="P65" i="74" s="1"/>
  <c r="K65" i="74"/>
  <c r="R65" i="74" s="1"/>
  <c r="L65" i="74"/>
  <c r="S65" i="74" s="1"/>
  <c r="J65" i="74"/>
  <c r="Q65" i="74" s="1"/>
  <c r="H71" i="74"/>
  <c r="O71" i="74" s="1"/>
  <c r="I71" i="74"/>
  <c r="P71" i="74" s="1"/>
  <c r="J71" i="74"/>
  <c r="Q71" i="74" s="1"/>
  <c r="K71" i="74"/>
  <c r="R71" i="74" s="1"/>
  <c r="L71" i="74"/>
  <c r="S71" i="74" s="1"/>
  <c r="H73" i="74"/>
  <c r="O73" i="74" s="1"/>
  <c r="I73" i="74"/>
  <c r="P73" i="74" s="1"/>
  <c r="L73" i="74"/>
  <c r="S73" i="74" s="1"/>
  <c r="J73" i="74"/>
  <c r="Q73" i="74" s="1"/>
  <c r="K73" i="74"/>
  <c r="R73" i="74" s="1"/>
  <c r="H44" i="74"/>
  <c r="O44" i="74" s="1"/>
  <c r="I44" i="74"/>
  <c r="P44" i="74" s="1"/>
  <c r="C194" i="74"/>
  <c r="AF144" i="72"/>
  <c r="Y202" i="72"/>
  <c r="AF202" i="72" s="1"/>
  <c r="AF141" i="72"/>
  <c r="Y199" i="72"/>
  <c r="AF199" i="72" s="1"/>
  <c r="AF140" i="72"/>
  <c r="Y198" i="72"/>
  <c r="AF198" i="72" s="1"/>
  <c r="AF145" i="72"/>
  <c r="Y203" i="72"/>
  <c r="AF203" i="72" s="1"/>
  <c r="AF143" i="72"/>
  <c r="Y201" i="72"/>
  <c r="AF201" i="72" s="1"/>
  <c r="AF149" i="72"/>
  <c r="Y207" i="72"/>
  <c r="AF207" i="72" s="1"/>
  <c r="AF148" i="72"/>
  <c r="Y206" i="72"/>
  <c r="AF206" i="72" s="1"/>
  <c r="AF146" i="72"/>
  <c r="Y204" i="72"/>
  <c r="AF204" i="72" s="1"/>
  <c r="AF147" i="72"/>
  <c r="Y205" i="72"/>
  <c r="AF205" i="72" s="1"/>
  <c r="AF126" i="72"/>
  <c r="Y213" i="72"/>
  <c r="AF213" i="72" s="1"/>
  <c r="AF142" i="72"/>
  <c r="Y200" i="72"/>
  <c r="AF200" i="72" s="1"/>
  <c r="AF54" i="72"/>
  <c r="AF53" i="72"/>
  <c r="AF52" i="72"/>
  <c r="AF55" i="72"/>
  <c r="AF57" i="72"/>
  <c r="AF56" i="72"/>
  <c r="L170" i="74" l="1"/>
  <c r="S79" i="74"/>
  <c r="J171" i="74"/>
  <c r="Q81" i="74"/>
  <c r="I170" i="74"/>
  <c r="P79" i="74"/>
  <c r="I171" i="74"/>
  <c r="P81" i="74"/>
  <c r="P171" i="74" s="1"/>
  <c r="H171" i="74"/>
  <c r="O81" i="74"/>
  <c r="O171" i="74" s="1"/>
  <c r="H170" i="74"/>
  <c r="O79" i="74"/>
  <c r="O170" i="74" s="1"/>
  <c r="K170" i="74"/>
  <c r="R79" i="74"/>
  <c r="R170" i="74" s="1"/>
  <c r="K171" i="74"/>
  <c r="R81" i="74"/>
  <c r="R171" i="74" s="1"/>
  <c r="J170" i="74"/>
  <c r="Q79" i="74"/>
  <c r="L171" i="74"/>
  <c r="S81" i="74"/>
  <c r="P170" i="74"/>
  <c r="H21" i="74"/>
  <c r="O21" i="74" s="1"/>
  <c r="I21" i="74"/>
  <c r="I89" i="74"/>
  <c r="P89" i="74" s="1"/>
  <c r="H89" i="74"/>
  <c r="O89" i="74" s="1"/>
  <c r="K89" i="74"/>
  <c r="R89" i="74" s="1"/>
  <c r="J89" i="74"/>
  <c r="Q89" i="74" s="1"/>
  <c r="L89" i="74"/>
  <c r="S89" i="74" s="1"/>
  <c r="I59" i="74"/>
  <c r="P59" i="74" s="1"/>
  <c r="H59" i="74"/>
  <c r="O59" i="74" s="1"/>
  <c r="H54" i="74"/>
  <c r="O54" i="74" s="1"/>
  <c r="I54" i="74"/>
  <c r="P54" i="74" s="1"/>
  <c r="I93" i="74"/>
  <c r="P93" i="74" s="1"/>
  <c r="H93" i="74"/>
  <c r="O93" i="74" s="1"/>
  <c r="L93" i="74"/>
  <c r="S93" i="74" s="1"/>
  <c r="K93" i="74"/>
  <c r="R93" i="74" s="1"/>
  <c r="J93" i="74"/>
  <c r="Q93" i="74" s="1"/>
  <c r="H61" i="74"/>
  <c r="O61" i="74" s="1"/>
  <c r="I61" i="74"/>
  <c r="P61" i="74" s="1"/>
  <c r="I57" i="74"/>
  <c r="P57" i="74" s="1"/>
  <c r="H57" i="74"/>
  <c r="O57" i="74" s="1"/>
  <c r="O165" i="74"/>
  <c r="H22" i="74"/>
  <c r="O22" i="74" s="1"/>
  <c r="I22" i="74"/>
  <c r="I94" i="74"/>
  <c r="P94" i="74" s="1"/>
  <c r="H94" i="74"/>
  <c r="O94" i="74" s="1"/>
  <c r="J94" i="74"/>
  <c r="Q94" i="74" s="1"/>
  <c r="K94" i="74"/>
  <c r="R94" i="74" s="1"/>
  <c r="L94" i="74"/>
  <c r="S94" i="74" s="1"/>
  <c r="H160" i="74"/>
  <c r="H62" i="74"/>
  <c r="O62" i="74" s="1"/>
  <c r="I62" i="74"/>
  <c r="P62" i="74" s="1"/>
  <c r="K62" i="74"/>
  <c r="R62" i="74" s="1"/>
  <c r="J62" i="74"/>
  <c r="Q62" i="74" s="1"/>
  <c r="L62" i="74"/>
  <c r="S62" i="74" s="1"/>
  <c r="H162" i="74"/>
  <c r="I160" i="74"/>
  <c r="H87" i="74"/>
  <c r="O87" i="74" s="1"/>
  <c r="I87" i="74"/>
  <c r="P87" i="74" s="1"/>
  <c r="K87" i="74"/>
  <c r="R87" i="74" s="1"/>
  <c r="J87" i="74"/>
  <c r="Q87" i="74" s="1"/>
  <c r="L87" i="74"/>
  <c r="S87" i="74" s="1"/>
  <c r="I88" i="74"/>
  <c r="P88" i="74" s="1"/>
  <c r="H88" i="74"/>
  <c r="O88" i="74" s="1"/>
  <c r="K88" i="74"/>
  <c r="R88" i="74" s="1"/>
  <c r="L88" i="74"/>
  <c r="S88" i="74" s="1"/>
  <c r="J88" i="74"/>
  <c r="Q88" i="74" s="1"/>
  <c r="L167" i="74"/>
  <c r="J167" i="74"/>
  <c r="H96" i="74"/>
  <c r="I96" i="74"/>
  <c r="L96" i="74"/>
  <c r="K96" i="74"/>
  <c r="J96" i="74"/>
  <c r="I90" i="74"/>
  <c r="P90" i="74" s="1"/>
  <c r="H90" i="74"/>
  <c r="O90" i="74" s="1"/>
  <c r="J90" i="74"/>
  <c r="Q90" i="74" s="1"/>
  <c r="K90" i="74"/>
  <c r="R90" i="74" s="1"/>
  <c r="L90" i="74"/>
  <c r="S90" i="74" s="1"/>
  <c r="H25" i="74"/>
  <c r="O25" i="74" s="1"/>
  <c r="I25" i="74"/>
  <c r="H75" i="74"/>
  <c r="I75" i="74"/>
  <c r="L75" i="74"/>
  <c r="J75" i="74"/>
  <c r="K75" i="74"/>
  <c r="H58" i="74"/>
  <c r="O58" i="74" s="1"/>
  <c r="I58" i="74"/>
  <c r="P58" i="74" s="1"/>
  <c r="K167" i="74"/>
  <c r="I92" i="74"/>
  <c r="P92" i="74" s="1"/>
  <c r="H92" i="74"/>
  <c r="O92" i="74" s="1"/>
  <c r="K92" i="74"/>
  <c r="R92" i="74" s="1"/>
  <c r="J92" i="74"/>
  <c r="Q92" i="74" s="1"/>
  <c r="L92" i="74"/>
  <c r="S92" i="74" s="1"/>
  <c r="I85" i="74"/>
  <c r="P85" i="74" s="1"/>
  <c r="H85" i="74"/>
  <c r="O85" i="74" s="1"/>
  <c r="K85" i="74"/>
  <c r="R85" i="74" s="1"/>
  <c r="J85" i="74"/>
  <c r="Q85" i="74" s="1"/>
  <c r="L85" i="74"/>
  <c r="S85" i="74" s="1"/>
  <c r="P165" i="74"/>
  <c r="I167" i="74"/>
  <c r="H24" i="74"/>
  <c r="O24" i="74" s="1"/>
  <c r="I24" i="74"/>
  <c r="H55" i="74"/>
  <c r="O55" i="74" s="1"/>
  <c r="I55" i="74"/>
  <c r="P55" i="74" s="1"/>
  <c r="H56" i="74"/>
  <c r="O56" i="74" s="1"/>
  <c r="I56" i="74"/>
  <c r="P56" i="74" s="1"/>
  <c r="H167" i="74"/>
  <c r="Q170" i="74"/>
  <c r="I162" i="74"/>
  <c r="I23" i="74"/>
  <c r="H23" i="74"/>
  <c r="O23" i="74" s="1"/>
  <c r="H60" i="74"/>
  <c r="O60" i="74" s="1"/>
  <c r="I60" i="74"/>
  <c r="P60" i="74" s="1"/>
  <c r="I53" i="74"/>
  <c r="P53" i="74" s="1"/>
  <c r="H53" i="74"/>
  <c r="O53" i="74" s="1"/>
  <c r="J53" i="74"/>
  <c r="Q53" i="74" s="1"/>
  <c r="R165" i="74"/>
  <c r="I20" i="74"/>
  <c r="P20" i="74" s="1"/>
  <c r="H20" i="74"/>
  <c r="O20" i="74" s="1"/>
  <c r="I91" i="74"/>
  <c r="P91" i="74" s="1"/>
  <c r="H91" i="74"/>
  <c r="O91" i="74" s="1"/>
  <c r="L91" i="74"/>
  <c r="S91" i="74" s="1"/>
  <c r="J91" i="74"/>
  <c r="Q91" i="74" s="1"/>
  <c r="K91" i="74"/>
  <c r="R91" i="74" s="1"/>
  <c r="I86" i="74"/>
  <c r="P86" i="74" s="1"/>
  <c r="H86" i="74"/>
  <c r="O86" i="74" s="1"/>
  <c r="K86" i="74"/>
  <c r="R86" i="74" s="1"/>
  <c r="J86" i="74"/>
  <c r="Q86" i="74" s="1"/>
  <c r="L86" i="74"/>
  <c r="S86" i="74" s="1"/>
  <c r="Q165" i="74"/>
  <c r="Q171" i="74"/>
  <c r="AH206" i="72"/>
  <c r="AH202" i="72"/>
  <c r="AH203" i="72"/>
  <c r="AH205" i="72"/>
  <c r="AH204" i="72"/>
  <c r="AH207" i="72"/>
  <c r="AH200" i="72"/>
  <c r="AH201" i="72"/>
  <c r="AH213" i="72"/>
  <c r="AH198" i="72"/>
  <c r="AH199" i="72"/>
  <c r="H168" i="74" l="1"/>
  <c r="O75" i="74"/>
  <c r="O168" i="74" s="1"/>
  <c r="P25" i="74"/>
  <c r="P23" i="74"/>
  <c r="J174" i="74"/>
  <c r="Q96" i="74"/>
  <c r="Q174" i="74" s="1"/>
  <c r="P22" i="74"/>
  <c r="K174" i="74"/>
  <c r="R96" i="74"/>
  <c r="I168" i="74"/>
  <c r="P75" i="74"/>
  <c r="K168" i="74"/>
  <c r="R75" i="74"/>
  <c r="L174" i="74"/>
  <c r="S96" i="74"/>
  <c r="J168" i="74"/>
  <c r="Q75" i="74"/>
  <c r="Q168" i="74" s="1"/>
  <c r="I174" i="74"/>
  <c r="P96" i="74"/>
  <c r="P21" i="74"/>
  <c r="P24" i="74"/>
  <c r="L168" i="74"/>
  <c r="S75" i="74"/>
  <c r="S168" i="74" s="1"/>
  <c r="H174" i="74"/>
  <c r="O96" i="74"/>
  <c r="P162" i="74"/>
  <c r="O162" i="74"/>
  <c r="U69" i="74"/>
  <c r="U66" i="74"/>
  <c r="U87" i="74"/>
  <c r="U67" i="74"/>
  <c r="O174" i="74"/>
  <c r="U68" i="74"/>
  <c r="P168" i="74"/>
  <c r="U94" i="74"/>
  <c r="O166" i="74"/>
  <c r="U90" i="74"/>
  <c r="U91" i="74"/>
  <c r="U92" i="74"/>
  <c r="U88" i="74"/>
  <c r="P166" i="74"/>
  <c r="J173" i="74"/>
  <c r="Q173" i="74"/>
  <c r="U73" i="74"/>
  <c r="R167" i="74"/>
  <c r="H173" i="74"/>
  <c r="R168" i="74"/>
  <c r="P160" i="74"/>
  <c r="O160" i="74"/>
  <c r="U62" i="74"/>
  <c r="S167" i="74"/>
  <c r="U64" i="74"/>
  <c r="I173" i="74"/>
  <c r="O167" i="74"/>
  <c r="L173" i="74"/>
  <c r="U93" i="74"/>
  <c r="U65" i="74"/>
  <c r="U86" i="74"/>
  <c r="P167" i="74"/>
  <c r="O173" i="74"/>
  <c r="S165" i="74"/>
  <c r="U165" i="74" s="1"/>
  <c r="U51" i="74"/>
  <c r="K173" i="74"/>
  <c r="I166" i="74"/>
  <c r="U72" i="74"/>
  <c r="U71" i="74"/>
  <c r="P173" i="74"/>
  <c r="R173" i="74"/>
  <c r="S170" i="74"/>
  <c r="U170" i="74" s="1"/>
  <c r="U79" i="74"/>
  <c r="R174" i="74"/>
  <c r="P174" i="74"/>
  <c r="H166" i="74"/>
  <c r="S171" i="74"/>
  <c r="U171" i="74" s="1"/>
  <c r="U81" i="74"/>
  <c r="Q167" i="74"/>
  <c r="U89" i="74"/>
  <c r="U70" i="74"/>
  <c r="U168" i="74" l="1"/>
  <c r="U75" i="74"/>
  <c r="S174" i="74"/>
  <c r="U174" i="74" s="1"/>
  <c r="U96" i="74"/>
  <c r="U167" i="74"/>
  <c r="S173" i="74"/>
  <c r="U173" i="74" s="1"/>
  <c r="U85" i="74"/>
  <c r="AF97" i="72" l="1"/>
  <c r="H50" i="74" l="1"/>
  <c r="I50" i="74"/>
  <c r="J50" i="74"/>
  <c r="K50" i="74"/>
  <c r="L50" i="74"/>
  <c r="L164" i="74" l="1"/>
  <c r="S50" i="74"/>
  <c r="K164" i="74"/>
  <c r="R50" i="74"/>
  <c r="J164" i="74"/>
  <c r="Q50" i="74"/>
  <c r="I164" i="74"/>
  <c r="P50" i="74"/>
  <c r="H164" i="74"/>
  <c r="O50" i="74"/>
  <c r="X97" i="72"/>
  <c r="AE97" i="72" s="1"/>
  <c r="O164" i="74" l="1"/>
  <c r="Q164" i="74"/>
  <c r="P164" i="74"/>
  <c r="R164" i="74"/>
  <c r="S164" i="74" l="1"/>
  <c r="U164" i="74" s="1"/>
  <c r="U50" i="74"/>
  <c r="H54" i="70"/>
  <c r="H53" i="70"/>
  <c r="H52" i="70"/>
  <c r="P52" i="70" s="1"/>
  <c r="P53" i="70" l="1"/>
  <c r="I47" i="74"/>
  <c r="P47" i="74" s="1"/>
  <c r="H47" i="73"/>
  <c r="O47" i="73" s="1"/>
  <c r="Z47" i="73"/>
  <c r="AG47" i="73" s="1"/>
  <c r="P54" i="70"/>
  <c r="I48" i="74"/>
  <c r="P48" i="74" s="1"/>
  <c r="H48" i="73"/>
  <c r="O48" i="73" s="1"/>
  <c r="H46" i="73"/>
  <c r="O46" i="73" s="1"/>
  <c r="K268" i="69"/>
  <c r="D8" i="77" s="1"/>
  <c r="D169" i="77" s="1"/>
  <c r="H51" i="70"/>
  <c r="Z46" i="73"/>
  <c r="AG46" i="73" s="1"/>
  <c r="I46" i="74"/>
  <c r="P46" i="74" s="1"/>
  <c r="Z48" i="73"/>
  <c r="AG48" i="73" s="1"/>
  <c r="I45" i="74" l="1"/>
  <c r="P45" i="74" s="1"/>
  <c r="H45" i="73"/>
  <c r="O45" i="73" s="1"/>
  <c r="H45" i="70"/>
  <c r="P51" i="70"/>
  <c r="P45" i="70" s="1"/>
  <c r="Z45" i="73"/>
  <c r="AG45" i="73" s="1"/>
  <c r="P163" i="74" l="1"/>
  <c r="I163" i="74"/>
  <c r="H159" i="73"/>
  <c r="Z159" i="73"/>
  <c r="O159" i="73" l="1"/>
  <c r="AG159" i="73"/>
  <c r="H33" i="70" l="1"/>
  <c r="H34" i="70"/>
  <c r="H32" i="70"/>
  <c r="K266" i="69" l="1"/>
  <c r="H28" i="73"/>
  <c r="O28" i="73" s="1"/>
  <c r="Z28" i="73"/>
  <c r="AG28" i="73" s="1"/>
  <c r="L129" i="69"/>
  <c r="L130" i="69" s="1"/>
  <c r="Z27" i="73"/>
  <c r="AG27" i="73" s="1"/>
  <c r="P33" i="70"/>
  <c r="I27" i="74"/>
  <c r="P27" i="74" s="1"/>
  <c r="H27" i="73"/>
  <c r="O27" i="73" s="1"/>
  <c r="H25" i="70"/>
  <c r="AH8" i="70" s="1"/>
  <c r="H26" i="73"/>
  <c r="O26" i="73" s="1"/>
  <c r="P32" i="70"/>
  <c r="Z26" i="73"/>
  <c r="AG26" i="73" s="1"/>
  <c r="I26" i="74"/>
  <c r="P26" i="74" s="1"/>
  <c r="P34" i="70"/>
  <c r="I28" i="74"/>
  <c r="P28" i="74" s="1"/>
  <c r="D7" i="77" l="1"/>
  <c r="D168" i="77" s="1"/>
  <c r="D177" i="77" s="1"/>
  <c r="AN8" i="70"/>
  <c r="AH12" i="70"/>
  <c r="K283" i="69"/>
  <c r="H158" i="70"/>
  <c r="H156" i="70"/>
  <c r="I161" i="74"/>
  <c r="P161" i="74"/>
  <c r="Z150" i="73"/>
  <c r="Z157" i="73"/>
  <c r="Z176" i="73" s="1"/>
  <c r="Z177" i="73" s="1"/>
  <c r="P25" i="70"/>
  <c r="H157" i="73"/>
  <c r="H176" i="73" s="1"/>
  <c r="H150" i="73"/>
  <c r="D20" i="77" l="1"/>
  <c r="O157" i="73"/>
  <c r="O150" i="73"/>
  <c r="P156" i="70"/>
  <c r="P158" i="70"/>
  <c r="H177" i="73"/>
  <c r="D21" i="67"/>
  <c r="AG157" i="73"/>
  <c r="AG176" i="73" s="1"/>
  <c r="AG177" i="73" s="1"/>
  <c r="AG150" i="73"/>
  <c r="D191" i="77" l="1"/>
  <c r="D192" i="77" s="1"/>
  <c r="O176" i="73"/>
  <c r="O177" i="73" s="1"/>
  <c r="D10" i="38" l="1"/>
  <c r="D336" i="77" s="1"/>
  <c r="D11" i="38"/>
  <c r="D42" i="38" l="1"/>
  <c r="D81" i="77"/>
  <c r="D29" i="77"/>
  <c r="G26" i="73"/>
  <c r="N26" i="73" s="1"/>
  <c r="G33" i="70"/>
  <c r="O33" i="70" s="1"/>
  <c r="G32" i="70"/>
  <c r="H27" i="74" l="1"/>
  <c r="O27" i="74" s="1"/>
  <c r="G27" i="73"/>
  <c r="N27" i="73" s="1"/>
  <c r="O32" i="70"/>
  <c r="Y26" i="73"/>
  <c r="AF26" i="73" s="1"/>
  <c r="H26" i="74"/>
  <c r="O26" i="74" s="1"/>
  <c r="Y27" i="73"/>
  <c r="AF27" i="73" s="1"/>
  <c r="J266" i="69" l="1"/>
  <c r="C7" i="77" s="1"/>
  <c r="G34" i="70"/>
  <c r="G28" i="73"/>
  <c r="N28" i="73" s="1"/>
  <c r="C168" i="77" l="1"/>
  <c r="N157" i="73"/>
  <c r="G157" i="73"/>
  <c r="O34" i="70"/>
  <c r="O25" i="70" s="1"/>
  <c r="Y28" i="73"/>
  <c r="AF28" i="73" s="1"/>
  <c r="G25" i="70"/>
  <c r="H28" i="74"/>
  <c r="O28" i="74" s="1"/>
  <c r="Y157" i="73" l="1"/>
  <c r="H161" i="74"/>
  <c r="O161" i="74" l="1"/>
  <c r="AF157" i="73"/>
  <c r="K129" i="69"/>
  <c r="K130" i="69" s="1"/>
  <c r="G52" i="70"/>
  <c r="H46" i="74" s="1"/>
  <c r="O46" i="74" s="1"/>
  <c r="Y46" i="73"/>
  <c r="AF46" i="73" s="1"/>
  <c r="G53" i="70"/>
  <c r="G51" i="70"/>
  <c r="G45" i="73"/>
  <c r="N45" i="73" s="1"/>
  <c r="G54" i="70"/>
  <c r="H48" i="74" s="1"/>
  <c r="O48" i="74" s="1"/>
  <c r="J268" i="69"/>
  <c r="C8" i="77" s="1"/>
  <c r="C169" i="77" l="1"/>
  <c r="C177" i="77" s="1"/>
  <c r="C20" i="77"/>
  <c r="Y47" i="73"/>
  <c r="AF47" i="73" s="1"/>
  <c r="O53" i="70"/>
  <c r="H47" i="74"/>
  <c r="O47" i="74" s="1"/>
  <c r="G47" i="73"/>
  <c r="N47" i="73" s="1"/>
  <c r="G45" i="70"/>
  <c r="AG8" i="70" s="1"/>
  <c r="Y45" i="73"/>
  <c r="AF45" i="73" s="1"/>
  <c r="H45" i="74"/>
  <c r="O45" i="74" s="1"/>
  <c r="O51" i="70"/>
  <c r="J283" i="69"/>
  <c r="G48" i="73"/>
  <c r="N48" i="73" s="1"/>
  <c r="O54" i="70"/>
  <c r="Y48" i="73"/>
  <c r="AF48" i="73" s="1"/>
  <c r="G46" i="73"/>
  <c r="N46" i="73" s="1"/>
  <c r="O52" i="70"/>
  <c r="C191" i="77" l="1"/>
  <c r="C192" i="77" s="1"/>
  <c r="J31" i="70"/>
  <c r="J30" i="70"/>
  <c r="I32" i="70"/>
  <c r="Q32" i="70" s="1"/>
  <c r="J27" i="70"/>
  <c r="I27" i="70"/>
  <c r="I26" i="70"/>
  <c r="J34" i="70"/>
  <c r="K28" i="74" s="1"/>
  <c r="R28" i="74" s="1"/>
  <c r="I33" i="70"/>
  <c r="J29" i="70"/>
  <c r="J26" i="70"/>
  <c r="K30" i="70"/>
  <c r="K32" i="70"/>
  <c r="AC26" i="73" s="1"/>
  <c r="AJ26" i="73" s="1"/>
  <c r="K33" i="70"/>
  <c r="AC27" i="73" s="1"/>
  <c r="AJ27" i="73" s="1"/>
  <c r="J33" i="70"/>
  <c r="K34" i="70"/>
  <c r="AC28" i="73" s="1"/>
  <c r="AJ28" i="73" s="1"/>
  <c r="J32" i="70"/>
  <c r="K26" i="74" s="1"/>
  <c r="R26" i="74" s="1"/>
  <c r="I34" i="70"/>
  <c r="J28" i="70"/>
  <c r="I30" i="70"/>
  <c r="I29" i="70"/>
  <c r="K28" i="70"/>
  <c r="K31" i="70"/>
  <c r="K43" i="70"/>
  <c r="K37" i="73" s="1"/>
  <c r="R37" i="73" s="1"/>
  <c r="J39" i="70"/>
  <c r="AB33" i="73" s="1"/>
  <c r="AI33" i="73" s="1"/>
  <c r="K44" i="70"/>
  <c r="AC38" i="73" s="1"/>
  <c r="AJ38" i="73" s="1"/>
  <c r="J40" i="70"/>
  <c r="J34" i="73" s="1"/>
  <c r="Q34" i="73" s="1"/>
  <c r="J44" i="70"/>
  <c r="J38" i="73" s="1"/>
  <c r="Q38" i="73" s="1"/>
  <c r="K39" i="70"/>
  <c r="AC33" i="73" s="1"/>
  <c r="AJ33" i="73" s="1"/>
  <c r="J36" i="70"/>
  <c r="I37" i="70"/>
  <c r="J31" i="74" s="1"/>
  <c r="Q31" i="74" s="1"/>
  <c r="I43" i="70"/>
  <c r="K42" i="70"/>
  <c r="S42" i="70" s="1"/>
  <c r="I44" i="70"/>
  <c r="AA38" i="73" s="1"/>
  <c r="AH38" i="73" s="1"/>
  <c r="K37" i="70"/>
  <c r="L31" i="74" s="1"/>
  <c r="S31" i="74" s="1"/>
  <c r="J41" i="70"/>
  <c r="R41" i="70" s="1"/>
  <c r="J43" i="70"/>
  <c r="K37" i="74" s="1"/>
  <c r="R37" i="74" s="1"/>
  <c r="I39" i="70"/>
  <c r="Q39" i="70" s="1"/>
  <c r="J37" i="70"/>
  <c r="K31" i="74" s="1"/>
  <c r="R31" i="74" s="1"/>
  <c r="I36" i="70"/>
  <c r="K36" i="70"/>
  <c r="J42" i="70"/>
  <c r="R42" i="70" s="1"/>
  <c r="I38" i="70"/>
  <c r="Q38" i="70" s="1"/>
  <c r="I40" i="70"/>
  <c r="I34" i="73" s="1"/>
  <c r="P34" i="73" s="1"/>
  <c r="I41" i="70"/>
  <c r="AA35" i="73" s="1"/>
  <c r="AH35" i="73" s="1"/>
  <c r="K40" i="70"/>
  <c r="K34" i="73" s="1"/>
  <c r="R34" i="73" s="1"/>
  <c r="J38" i="70"/>
  <c r="AB32" i="73" s="1"/>
  <c r="AI32" i="73" s="1"/>
  <c r="K38" i="70"/>
  <c r="L32" i="74" s="1"/>
  <c r="S32" i="74" s="1"/>
  <c r="I42" i="70"/>
  <c r="Q42" i="70" s="1"/>
  <c r="K41" i="70"/>
  <c r="S41" i="70" s="1"/>
  <c r="K50" i="70"/>
  <c r="K51" i="70"/>
  <c r="I49" i="70"/>
  <c r="J49" i="70"/>
  <c r="K47" i="70"/>
  <c r="K48" i="70"/>
  <c r="J47" i="70"/>
  <c r="K52" i="70"/>
  <c r="I48" i="70"/>
  <c r="J50" i="70"/>
  <c r="J51" i="70"/>
  <c r="J53" i="70"/>
  <c r="I50" i="70"/>
  <c r="I54" i="70"/>
  <c r="K53" i="70"/>
  <c r="J48" i="70"/>
  <c r="I47" i="70"/>
  <c r="J52" i="70"/>
  <c r="I51" i="70"/>
  <c r="I52" i="70"/>
  <c r="K49" i="70"/>
  <c r="K54" i="70"/>
  <c r="J54" i="70"/>
  <c r="I53" i="70"/>
  <c r="K21" i="70"/>
  <c r="K15" i="73" s="1"/>
  <c r="R15" i="73" s="1"/>
  <c r="I19" i="70"/>
  <c r="K19" i="70"/>
  <c r="J23" i="70"/>
  <c r="J17" i="73" s="1"/>
  <c r="Q17" i="73" s="1"/>
  <c r="I24" i="70"/>
  <c r="I18" i="73" s="1"/>
  <c r="P18" i="73" s="1"/>
  <c r="K22" i="70"/>
  <c r="S22" i="70" s="1"/>
  <c r="K24" i="70"/>
  <c r="AC18" i="73" s="1"/>
  <c r="AJ18" i="73" s="1"/>
  <c r="J21" i="70"/>
  <c r="R21" i="70" s="1"/>
  <c r="I23" i="70"/>
  <c r="I17" i="73" s="1"/>
  <c r="P17" i="73" s="1"/>
  <c r="K23" i="70"/>
  <c r="S23" i="70" s="1"/>
  <c r="K20" i="70"/>
  <c r="L14" i="74" s="1"/>
  <c r="S14" i="74" s="1"/>
  <c r="J24" i="70"/>
  <c r="R24" i="70" s="1"/>
  <c r="I21" i="70"/>
  <c r="Q21" i="70" s="1"/>
  <c r="I20" i="70"/>
  <c r="J22" i="70"/>
  <c r="K16" i="74" s="1"/>
  <c r="R16" i="74" s="1"/>
  <c r="J20" i="70"/>
  <c r="R20" i="70" s="1"/>
  <c r="I22" i="70"/>
  <c r="Q22" i="70" s="1"/>
  <c r="AM8" i="70"/>
  <c r="AG12" i="70"/>
  <c r="H163" i="74"/>
  <c r="G159" i="73"/>
  <c r="G176" i="73" s="1"/>
  <c r="G156" i="70"/>
  <c r="G158" i="70"/>
  <c r="G150" i="73"/>
  <c r="Y159" i="73"/>
  <c r="Y176" i="73" s="1"/>
  <c r="Y177" i="73" s="1"/>
  <c r="Y150" i="73"/>
  <c r="J37" i="73"/>
  <c r="Q37" i="73" s="1"/>
  <c r="J26" i="74"/>
  <c r="Q26" i="74" s="1"/>
  <c r="AA26" i="73"/>
  <c r="AH26" i="73" s="1"/>
  <c r="I26" i="73"/>
  <c r="P26" i="73" s="1"/>
  <c r="N150" i="73"/>
  <c r="N159" i="73"/>
  <c r="K29" i="70"/>
  <c r="O45" i="70"/>
  <c r="I28" i="70"/>
  <c r="K26" i="70"/>
  <c r="AB37" i="73" l="1"/>
  <c r="AI37" i="73" s="1"/>
  <c r="R43" i="70"/>
  <c r="S43" i="70"/>
  <c r="L37" i="74"/>
  <c r="S37" i="74" s="1"/>
  <c r="K35" i="73"/>
  <c r="R35" i="73" s="1"/>
  <c r="AC36" i="73"/>
  <c r="AJ36" i="73" s="1"/>
  <c r="K32" i="73"/>
  <c r="R32" i="73" s="1"/>
  <c r="AB15" i="73"/>
  <c r="AI15" i="73" s="1"/>
  <c r="L28" i="74"/>
  <c r="S28" i="74" s="1"/>
  <c r="J18" i="74"/>
  <c r="Q18" i="74" s="1"/>
  <c r="AB14" i="73"/>
  <c r="AI14" i="73" s="1"/>
  <c r="K14" i="74"/>
  <c r="R14" i="74" s="1"/>
  <c r="K15" i="74"/>
  <c r="R15" i="74" s="1"/>
  <c r="J16" i="73"/>
  <c r="Q16" i="73" s="1"/>
  <c r="J15" i="73"/>
  <c r="Q15" i="73" s="1"/>
  <c r="K17" i="74"/>
  <c r="R17" i="74" s="1"/>
  <c r="S38" i="70"/>
  <c r="AC32" i="73"/>
  <c r="AJ32" i="73" s="1"/>
  <c r="L34" i="74"/>
  <c r="S34" i="74" s="1"/>
  <c r="AB16" i="73"/>
  <c r="AI16" i="73" s="1"/>
  <c r="I35" i="73"/>
  <c r="P35" i="73" s="1"/>
  <c r="J35" i="74"/>
  <c r="Q35" i="74" s="1"/>
  <c r="AC34" i="73"/>
  <c r="AJ34" i="73" s="1"/>
  <c r="Q41" i="70"/>
  <c r="S40" i="70"/>
  <c r="L27" i="74"/>
  <c r="S27" i="74" s="1"/>
  <c r="K31" i="73"/>
  <c r="R31" i="73" s="1"/>
  <c r="AC37" i="73"/>
  <c r="AJ37" i="73" s="1"/>
  <c r="S33" i="70"/>
  <c r="K27" i="73"/>
  <c r="R27" i="73" s="1"/>
  <c r="J14" i="73"/>
  <c r="Q14" i="73" s="1"/>
  <c r="I38" i="73"/>
  <c r="P38" i="73" s="1"/>
  <c r="Q44" i="70"/>
  <c r="AA18" i="73"/>
  <c r="AH18" i="73" s="1"/>
  <c r="I16" i="73"/>
  <c r="P16" i="73" s="1"/>
  <c r="R38" i="70"/>
  <c r="AA16" i="73"/>
  <c r="AH16" i="73" s="1"/>
  <c r="J32" i="73"/>
  <c r="Q32" i="73" s="1"/>
  <c r="J16" i="74"/>
  <c r="Q16" i="74" s="1"/>
  <c r="K32" i="74"/>
  <c r="R32" i="74" s="1"/>
  <c r="K36" i="73"/>
  <c r="R36" i="73" s="1"/>
  <c r="R23" i="70"/>
  <c r="L36" i="74"/>
  <c r="S36" i="74" s="1"/>
  <c r="AB17" i="73"/>
  <c r="AI17" i="73" s="1"/>
  <c r="S32" i="70"/>
  <c r="L16" i="74"/>
  <c r="S16" i="74" s="1"/>
  <c r="J38" i="74"/>
  <c r="Q38" i="74" s="1"/>
  <c r="K26" i="73"/>
  <c r="R26" i="73" s="1"/>
  <c r="K16" i="73"/>
  <c r="L26" i="74"/>
  <c r="AC16" i="73"/>
  <c r="AJ16" i="73" s="1"/>
  <c r="S37" i="70"/>
  <c r="Q24" i="70"/>
  <c r="AC31" i="73"/>
  <c r="AJ31" i="73" s="1"/>
  <c r="K35" i="74"/>
  <c r="R35" i="74" s="1"/>
  <c r="AB35" i="73"/>
  <c r="AI35" i="73" s="1"/>
  <c r="J35" i="73"/>
  <c r="Q35" i="73" s="1"/>
  <c r="J36" i="74"/>
  <c r="Q36" i="74" s="1"/>
  <c r="I36" i="73"/>
  <c r="P36" i="73" s="1"/>
  <c r="AA36" i="73"/>
  <c r="AH36" i="73" s="1"/>
  <c r="K33" i="74"/>
  <c r="R33" i="74" s="1"/>
  <c r="J33" i="74"/>
  <c r="Q33" i="74" s="1"/>
  <c r="AA33" i="73"/>
  <c r="AH33" i="73" s="1"/>
  <c r="AD41" i="70"/>
  <c r="AA17" i="73"/>
  <c r="AH17" i="73" s="1"/>
  <c r="J17" i="74"/>
  <c r="Q17" i="74" s="1"/>
  <c r="L38" i="74"/>
  <c r="S38" i="74" s="1"/>
  <c r="K38" i="73"/>
  <c r="R38" i="73" s="1"/>
  <c r="Q23" i="70"/>
  <c r="L35" i="74"/>
  <c r="S35" i="74" s="1"/>
  <c r="AC35" i="73"/>
  <c r="AJ35" i="73" s="1"/>
  <c r="K28" i="73"/>
  <c r="R28" i="73" s="1"/>
  <c r="I33" i="73"/>
  <c r="P33" i="73" s="1"/>
  <c r="S34" i="70"/>
  <c r="L18" i="74"/>
  <c r="S18" i="74" s="1"/>
  <c r="K18" i="73"/>
  <c r="R18" i="73" s="1"/>
  <c r="S24" i="70"/>
  <c r="M265" i="69"/>
  <c r="F6" i="77" s="1"/>
  <c r="F167" i="77" s="1"/>
  <c r="AD34" i="70"/>
  <c r="N266" i="69"/>
  <c r="O266" i="69" s="1"/>
  <c r="S44" i="70"/>
  <c r="J26" i="73"/>
  <c r="Q26" i="73" s="1"/>
  <c r="K34" i="74"/>
  <c r="R34" i="74" s="1"/>
  <c r="AD22" i="70"/>
  <c r="K27" i="74"/>
  <c r="R27" i="74" s="1"/>
  <c r="R33" i="70"/>
  <c r="J27" i="73"/>
  <c r="Q27" i="73" s="1"/>
  <c r="AB27" i="73"/>
  <c r="AI27" i="73" s="1"/>
  <c r="R22" i="70"/>
  <c r="R39" i="70"/>
  <c r="J33" i="73"/>
  <c r="Q33" i="73" s="1"/>
  <c r="AD20" i="70"/>
  <c r="AD43" i="70"/>
  <c r="AD33" i="70"/>
  <c r="I32" i="73"/>
  <c r="AA28" i="73"/>
  <c r="AH28" i="73" s="1"/>
  <c r="Q34" i="70"/>
  <c r="AD39" i="70"/>
  <c r="Q33" i="70"/>
  <c r="J28" i="74"/>
  <c r="Q28" i="74" s="1"/>
  <c r="I28" i="73"/>
  <c r="P28" i="73" s="1"/>
  <c r="J27" i="74"/>
  <c r="Q27" i="74" s="1"/>
  <c r="K33" i="73"/>
  <c r="R33" i="73" s="1"/>
  <c r="K14" i="73"/>
  <c r="R14" i="73" s="1"/>
  <c r="AC14" i="73"/>
  <c r="AJ14" i="73" s="1"/>
  <c r="R34" i="70"/>
  <c r="S20" i="70"/>
  <c r="AD44" i="70"/>
  <c r="K38" i="74"/>
  <c r="R38" i="74" s="1"/>
  <c r="AD24" i="70"/>
  <c r="AB38" i="73"/>
  <c r="AI38" i="73" s="1"/>
  <c r="AB28" i="73"/>
  <c r="AI28" i="73" s="1"/>
  <c r="R44" i="70"/>
  <c r="J28" i="73"/>
  <c r="Q28" i="73" s="1"/>
  <c r="I27" i="73"/>
  <c r="P27" i="73" s="1"/>
  <c r="AA27" i="73"/>
  <c r="AH27" i="73" s="1"/>
  <c r="L265" i="69"/>
  <c r="E6" i="77" s="1"/>
  <c r="E167" i="77" s="1"/>
  <c r="I37" i="73"/>
  <c r="J34" i="74"/>
  <c r="Q34" i="74" s="1"/>
  <c r="I14" i="73"/>
  <c r="P14" i="73" s="1"/>
  <c r="Q40" i="70"/>
  <c r="Q20" i="70"/>
  <c r="AA14" i="73"/>
  <c r="AH14" i="73" s="1"/>
  <c r="AA34" i="73"/>
  <c r="AH34" i="73" s="1"/>
  <c r="AB18" i="73"/>
  <c r="AI18" i="73" s="1"/>
  <c r="J14" i="74"/>
  <c r="Q14" i="74" s="1"/>
  <c r="L266" i="69"/>
  <c r="AA37" i="73"/>
  <c r="AH37" i="73" s="1"/>
  <c r="J37" i="74"/>
  <c r="AC15" i="73"/>
  <c r="AJ15" i="73" s="1"/>
  <c r="J15" i="74"/>
  <c r="Q15" i="74" s="1"/>
  <c r="J18" i="73"/>
  <c r="Q18" i="73" s="1"/>
  <c r="K18" i="74"/>
  <c r="R18" i="74" s="1"/>
  <c r="S39" i="70"/>
  <c r="L17" i="74"/>
  <c r="S17" i="74" s="1"/>
  <c r="Q43" i="70"/>
  <c r="L33" i="74"/>
  <c r="S33" i="74" s="1"/>
  <c r="N267" i="69"/>
  <c r="K17" i="73"/>
  <c r="J36" i="73"/>
  <c r="Q36" i="73" s="1"/>
  <c r="AA24" i="73"/>
  <c r="AH24" i="73" s="1"/>
  <c r="J24" i="74"/>
  <c r="I24" i="73"/>
  <c r="P24" i="73" s="1"/>
  <c r="Q30" i="70"/>
  <c r="AD42" i="70"/>
  <c r="AD23" i="70"/>
  <c r="J32" i="74"/>
  <c r="Q32" i="74" s="1"/>
  <c r="K27" i="70"/>
  <c r="S27" i="70" s="1"/>
  <c r="AC17" i="73"/>
  <c r="AJ17" i="73" s="1"/>
  <c r="I31" i="70"/>
  <c r="AD31" i="70" s="1"/>
  <c r="L15" i="74"/>
  <c r="S15" i="74" s="1"/>
  <c r="L267" i="69"/>
  <c r="AA32" i="73"/>
  <c r="AH32" i="73" s="1"/>
  <c r="R40" i="70"/>
  <c r="AA31" i="73"/>
  <c r="AH31" i="73" s="1"/>
  <c r="S21" i="70"/>
  <c r="AB31" i="73"/>
  <c r="AI31" i="73" s="1"/>
  <c r="AD40" i="70"/>
  <c r="AB34" i="73"/>
  <c r="AI34" i="73" s="1"/>
  <c r="Q37" i="70"/>
  <c r="R37" i="70"/>
  <c r="I31" i="73"/>
  <c r="P31" i="73" s="1"/>
  <c r="AD37" i="70"/>
  <c r="J31" i="73"/>
  <c r="Q31" i="73" s="1"/>
  <c r="M267" i="69"/>
  <c r="AD38" i="70"/>
  <c r="J19" i="70"/>
  <c r="AD19" i="70" s="1"/>
  <c r="AB26" i="73"/>
  <c r="AI26" i="73" s="1"/>
  <c r="AA15" i="73"/>
  <c r="AH15" i="73" s="1"/>
  <c r="K36" i="74"/>
  <c r="R36" i="74" s="1"/>
  <c r="M266" i="69"/>
  <c r="F7" i="77" s="1"/>
  <c r="F168" i="77" s="1"/>
  <c r="AD32" i="70"/>
  <c r="R32" i="70"/>
  <c r="AD21" i="70"/>
  <c r="AB36" i="73"/>
  <c r="AI36" i="73" s="1"/>
  <c r="N265" i="69"/>
  <c r="I15" i="73"/>
  <c r="P15" i="73" s="1"/>
  <c r="T34" i="73"/>
  <c r="AB30" i="73"/>
  <c r="AI30" i="73" s="1"/>
  <c r="J30" i="73"/>
  <c r="Q30" i="73" s="1"/>
  <c r="R36" i="70"/>
  <c r="J35" i="70"/>
  <c r="K30" i="74"/>
  <c r="R30" i="74" s="1"/>
  <c r="J43" i="74"/>
  <c r="Q43" i="74" s="1"/>
  <c r="I43" i="73"/>
  <c r="P43" i="73" s="1"/>
  <c r="AA43" i="73"/>
  <c r="AH43" i="73" s="1"/>
  <c r="Q49" i="70"/>
  <c r="AD49" i="70"/>
  <c r="I47" i="73"/>
  <c r="P47" i="73" s="1"/>
  <c r="J47" i="74"/>
  <c r="Q47" i="74" s="1"/>
  <c r="AA47" i="73"/>
  <c r="AH47" i="73" s="1"/>
  <c r="Q53" i="70"/>
  <c r="AD53" i="70"/>
  <c r="R26" i="70"/>
  <c r="J20" i="73"/>
  <c r="Q20" i="73" s="1"/>
  <c r="AB20" i="73"/>
  <c r="AI20" i="73" s="1"/>
  <c r="K20" i="74"/>
  <c r="R20" i="74" s="1"/>
  <c r="J25" i="70"/>
  <c r="U31" i="74"/>
  <c r="S26" i="70"/>
  <c r="K20" i="73"/>
  <c r="R20" i="73" s="1"/>
  <c r="AC20" i="73"/>
  <c r="AJ20" i="73" s="1"/>
  <c r="L20" i="74"/>
  <c r="S20" i="74" s="1"/>
  <c r="I21" i="73"/>
  <c r="P21" i="73" s="1"/>
  <c r="Q27" i="70"/>
  <c r="J21" i="74"/>
  <c r="Q21" i="74" s="1"/>
  <c r="AA21" i="73"/>
  <c r="AH21" i="73" s="1"/>
  <c r="AC48" i="73"/>
  <c r="AJ48" i="73" s="1"/>
  <c r="K48" i="73"/>
  <c r="R48" i="73" s="1"/>
  <c r="S54" i="70"/>
  <c r="L48" i="74"/>
  <c r="S48" i="74" s="1"/>
  <c r="K43" i="74"/>
  <c r="R43" i="74" s="1"/>
  <c r="R49" i="70"/>
  <c r="J43" i="73"/>
  <c r="Q43" i="73" s="1"/>
  <c r="AB43" i="73"/>
  <c r="AI43" i="73" s="1"/>
  <c r="J23" i="74"/>
  <c r="Q23" i="74" s="1"/>
  <c r="AA23" i="73"/>
  <c r="AH23" i="73" s="1"/>
  <c r="AD29" i="70"/>
  <c r="Q29" i="70"/>
  <c r="I23" i="73"/>
  <c r="P23" i="73" s="1"/>
  <c r="J45" i="73"/>
  <c r="Q45" i="73" s="1"/>
  <c r="K45" i="74"/>
  <c r="R45" i="74" s="1"/>
  <c r="AB45" i="73"/>
  <c r="AI45" i="73" s="1"/>
  <c r="R51" i="70"/>
  <c r="R52" i="70"/>
  <c r="J46" i="73"/>
  <c r="Q46" i="73" s="1"/>
  <c r="K46" i="74"/>
  <c r="R46" i="74" s="1"/>
  <c r="AB46" i="73"/>
  <c r="AI46" i="73" s="1"/>
  <c r="AB24" i="73"/>
  <c r="AI24" i="73" s="1"/>
  <c r="J24" i="73"/>
  <c r="Q24" i="73" s="1"/>
  <c r="K24" i="74"/>
  <c r="R30" i="70"/>
  <c r="J22" i="73"/>
  <c r="Q22" i="73" s="1"/>
  <c r="AB22" i="73"/>
  <c r="AI22" i="73" s="1"/>
  <c r="K22" i="74"/>
  <c r="R28" i="70"/>
  <c r="J41" i="73"/>
  <c r="Q41" i="73" s="1"/>
  <c r="AB41" i="73"/>
  <c r="AI41" i="73" s="1"/>
  <c r="R47" i="70"/>
  <c r="K41" i="74"/>
  <c r="R41" i="74" s="1"/>
  <c r="I42" i="73"/>
  <c r="P42" i="73" s="1"/>
  <c r="J42" i="74"/>
  <c r="Q42" i="74" s="1"/>
  <c r="Q48" i="70"/>
  <c r="AD48" i="70"/>
  <c r="AA42" i="73"/>
  <c r="AH42" i="73" s="1"/>
  <c r="J23" i="73"/>
  <c r="Q23" i="73" s="1"/>
  <c r="K23" i="74"/>
  <c r="AB23" i="73"/>
  <c r="AI23" i="73" s="1"/>
  <c r="R29" i="70"/>
  <c r="O158" i="70"/>
  <c r="O156" i="70"/>
  <c r="AA44" i="73"/>
  <c r="AH44" i="73" s="1"/>
  <c r="AD50" i="70"/>
  <c r="J44" i="74"/>
  <c r="Q44" i="74" s="1"/>
  <c r="Q50" i="70"/>
  <c r="I44" i="73"/>
  <c r="P44" i="73" s="1"/>
  <c r="AA48" i="73"/>
  <c r="AH48" i="73" s="1"/>
  <c r="Q54" i="70"/>
  <c r="J48" i="74"/>
  <c r="Q48" i="74" s="1"/>
  <c r="I48" i="73"/>
  <c r="P48" i="73" s="1"/>
  <c r="AD54" i="70"/>
  <c r="AC25" i="73"/>
  <c r="AJ25" i="73" s="1"/>
  <c r="L25" i="74"/>
  <c r="S31" i="70"/>
  <c r="K25" i="73"/>
  <c r="R25" i="73" s="1"/>
  <c r="K46" i="73"/>
  <c r="R46" i="73" s="1"/>
  <c r="L46" i="74"/>
  <c r="S46" i="74" s="1"/>
  <c r="AC46" i="73"/>
  <c r="AJ46" i="73" s="1"/>
  <c r="S52" i="70"/>
  <c r="K47" i="73"/>
  <c r="R47" i="73" s="1"/>
  <c r="AC47" i="73"/>
  <c r="AJ47" i="73" s="1"/>
  <c r="S53" i="70"/>
  <c r="L47" i="74"/>
  <c r="S47" i="74" s="1"/>
  <c r="K25" i="74"/>
  <c r="AB25" i="73"/>
  <c r="AI25" i="73" s="1"/>
  <c r="R31" i="70"/>
  <c r="J25" i="73"/>
  <c r="Q25" i="73" s="1"/>
  <c r="K30" i="73"/>
  <c r="R30" i="73" s="1"/>
  <c r="L30" i="74"/>
  <c r="S30" i="74" s="1"/>
  <c r="K35" i="70"/>
  <c r="AC30" i="73"/>
  <c r="AJ30" i="73" s="1"/>
  <c r="S36" i="70"/>
  <c r="G177" i="73"/>
  <c r="C21" i="67"/>
  <c r="N176" i="73"/>
  <c r="C10" i="38" s="1"/>
  <c r="C81" i="77" s="1"/>
  <c r="L22" i="74"/>
  <c r="K22" i="73"/>
  <c r="R22" i="73" s="1"/>
  <c r="AC22" i="73"/>
  <c r="AJ22" i="73" s="1"/>
  <c r="S28" i="70"/>
  <c r="K44" i="74"/>
  <c r="R44" i="74" s="1"/>
  <c r="J44" i="73"/>
  <c r="Q44" i="73" s="1"/>
  <c r="R50" i="70"/>
  <c r="AB44" i="73"/>
  <c r="AI44" i="73" s="1"/>
  <c r="J46" i="70"/>
  <c r="M268" i="69"/>
  <c r="F8" i="77" s="1"/>
  <c r="F169" i="77" s="1"/>
  <c r="K24" i="73"/>
  <c r="R24" i="73" s="1"/>
  <c r="L24" i="74"/>
  <c r="S30" i="70"/>
  <c r="AC24" i="73"/>
  <c r="AJ24" i="73" s="1"/>
  <c r="K45" i="73"/>
  <c r="R45" i="73" s="1"/>
  <c r="L45" i="74"/>
  <c r="S45" i="74" s="1"/>
  <c r="AC45" i="73"/>
  <c r="AJ45" i="73" s="1"/>
  <c r="S51" i="70"/>
  <c r="L43" i="74"/>
  <c r="S43" i="74" s="1"/>
  <c r="K43" i="73"/>
  <c r="R43" i="73" s="1"/>
  <c r="AC43" i="73"/>
  <c r="AJ43" i="73" s="1"/>
  <c r="S49" i="70"/>
  <c r="Q51" i="70"/>
  <c r="J45" i="74"/>
  <c r="Q45" i="74" s="1"/>
  <c r="AA45" i="73"/>
  <c r="AH45" i="73" s="1"/>
  <c r="I45" i="73"/>
  <c r="P45" i="73" s="1"/>
  <c r="AD51" i="70"/>
  <c r="I18" i="70"/>
  <c r="J13" i="74"/>
  <c r="Q13" i="74" s="1"/>
  <c r="Q19" i="70"/>
  <c r="I13" i="73"/>
  <c r="P13" i="73" s="1"/>
  <c r="AA13" i="73"/>
  <c r="AH13" i="73" s="1"/>
  <c r="AC42" i="73"/>
  <c r="AJ42" i="73" s="1"/>
  <c r="L42" i="74"/>
  <c r="S42" i="74" s="1"/>
  <c r="K42" i="73"/>
  <c r="R42" i="73" s="1"/>
  <c r="S48" i="70"/>
  <c r="AC41" i="73"/>
  <c r="AJ41" i="73" s="1"/>
  <c r="K41" i="73"/>
  <c r="R41" i="73" s="1"/>
  <c r="S47" i="70"/>
  <c r="L41" i="74"/>
  <c r="S41" i="74" s="1"/>
  <c r="I46" i="70"/>
  <c r="L268" i="69"/>
  <c r="E8" i="77" s="1"/>
  <c r="E169" i="77" s="1"/>
  <c r="AB21" i="73"/>
  <c r="AI21" i="73" s="1"/>
  <c r="J21" i="73"/>
  <c r="Q21" i="73" s="1"/>
  <c r="R27" i="70"/>
  <c r="K21" i="74"/>
  <c r="L23" i="74"/>
  <c r="K23" i="73"/>
  <c r="R23" i="73" s="1"/>
  <c r="AC23" i="73"/>
  <c r="AJ23" i="73" s="1"/>
  <c r="S29" i="70"/>
  <c r="AD36" i="70"/>
  <c r="Q36" i="70"/>
  <c r="AA30" i="73"/>
  <c r="AH30" i="73" s="1"/>
  <c r="J30" i="74"/>
  <c r="Q30" i="74" s="1"/>
  <c r="I35" i="70"/>
  <c r="I30" i="73"/>
  <c r="P30" i="73" s="1"/>
  <c r="N268" i="69"/>
  <c r="K46" i="70"/>
  <c r="L44" i="74"/>
  <c r="S44" i="74" s="1"/>
  <c r="K44" i="73"/>
  <c r="R44" i="73" s="1"/>
  <c r="S50" i="70"/>
  <c r="AC44" i="73"/>
  <c r="AJ44" i="73" s="1"/>
  <c r="J48" i="73"/>
  <c r="Q48" i="73" s="1"/>
  <c r="R54" i="70"/>
  <c r="AB48" i="73"/>
  <c r="AI48" i="73" s="1"/>
  <c r="K48" i="74"/>
  <c r="R48" i="74" s="1"/>
  <c r="L13" i="74"/>
  <c r="S13" i="74" s="1"/>
  <c r="S19" i="70"/>
  <c r="K18" i="70"/>
  <c r="AC13" i="73"/>
  <c r="AJ13" i="73" s="1"/>
  <c r="K13" i="73"/>
  <c r="R13" i="73" s="1"/>
  <c r="Q28" i="70"/>
  <c r="AD28" i="70"/>
  <c r="AA22" i="73"/>
  <c r="AH22" i="73" s="1"/>
  <c r="J22" i="74"/>
  <c r="Q22" i="74" s="1"/>
  <c r="I22" i="73"/>
  <c r="P22" i="73" s="1"/>
  <c r="AA46" i="73"/>
  <c r="AH46" i="73" s="1"/>
  <c r="I46" i="73"/>
  <c r="P46" i="73" s="1"/>
  <c r="J46" i="74"/>
  <c r="Q46" i="74" s="1"/>
  <c r="Q52" i="70"/>
  <c r="AD52" i="70"/>
  <c r="AB42" i="73"/>
  <c r="AI42" i="73" s="1"/>
  <c r="J42" i="73"/>
  <c r="Q42" i="73" s="1"/>
  <c r="K42" i="74"/>
  <c r="R42" i="74" s="1"/>
  <c r="R48" i="70"/>
  <c r="O163" i="74"/>
  <c r="AA20" i="73"/>
  <c r="AH20" i="73" s="1"/>
  <c r="I20" i="73"/>
  <c r="P20" i="73" s="1"/>
  <c r="Q26" i="70"/>
  <c r="AD26" i="70"/>
  <c r="J20" i="74"/>
  <c r="Q20" i="74" s="1"/>
  <c r="AF159" i="73"/>
  <c r="AF176" i="73" s="1"/>
  <c r="AF177" i="73" s="1"/>
  <c r="AF150" i="73"/>
  <c r="R53" i="70"/>
  <c r="AB47" i="73"/>
  <c r="AI47" i="73" s="1"/>
  <c r="K47" i="74"/>
  <c r="R47" i="74" s="1"/>
  <c r="J47" i="73"/>
  <c r="Q47" i="73" s="1"/>
  <c r="AA41" i="73"/>
  <c r="AH41" i="73" s="1"/>
  <c r="I41" i="73"/>
  <c r="P41" i="73" s="1"/>
  <c r="Q47" i="70"/>
  <c r="AD47" i="70"/>
  <c r="J41" i="74"/>
  <c r="Q41" i="74" s="1"/>
  <c r="AD30" i="70"/>
  <c r="R21" i="74" l="1"/>
  <c r="S25" i="74"/>
  <c r="R23" i="74"/>
  <c r="R24" i="74"/>
  <c r="Q37" i="74"/>
  <c r="U37" i="74" s="1"/>
  <c r="S22" i="74"/>
  <c r="S26" i="74"/>
  <c r="U26" i="74" s="1"/>
  <c r="S23" i="74"/>
  <c r="U23" i="74" s="1"/>
  <c r="R22" i="74"/>
  <c r="R25" i="74"/>
  <c r="Q24" i="74"/>
  <c r="S24" i="74"/>
  <c r="R17" i="73"/>
  <c r="T17" i="73" s="1"/>
  <c r="R16" i="73"/>
  <c r="T16" i="73" s="1"/>
  <c r="P32" i="73"/>
  <c r="T32" i="73" s="1"/>
  <c r="P37" i="73"/>
  <c r="T37" i="73" s="1"/>
  <c r="U28" i="74"/>
  <c r="U14" i="74"/>
  <c r="T15" i="73"/>
  <c r="T35" i="73"/>
  <c r="T38" i="73"/>
  <c r="C29" i="77"/>
  <c r="C336" i="77"/>
  <c r="U32" i="74"/>
  <c r="U16" i="74"/>
  <c r="T26" i="73"/>
  <c r="T36" i="73"/>
  <c r="G9" i="77"/>
  <c r="G170" i="77" s="1"/>
  <c r="G6" i="77"/>
  <c r="G167" i="77" s="1"/>
  <c r="G7" i="77"/>
  <c r="G168" i="77" s="1"/>
  <c r="G8" i="77"/>
  <c r="G169" i="77" s="1"/>
  <c r="E9" i="77"/>
  <c r="E170" i="77" s="1"/>
  <c r="E7" i="77"/>
  <c r="E168" i="77" s="1"/>
  <c r="F9" i="77"/>
  <c r="F170" i="77" s="1"/>
  <c r="T33" i="73"/>
  <c r="U35" i="74"/>
  <c r="U36" i="74"/>
  <c r="U33" i="74"/>
  <c r="U17" i="74"/>
  <c r="U38" i="74"/>
  <c r="T18" i="73"/>
  <c r="U34" i="74"/>
  <c r="U18" i="74"/>
  <c r="Q18" i="70"/>
  <c r="T27" i="73"/>
  <c r="AC21" i="73"/>
  <c r="AJ21" i="73" s="1"/>
  <c r="U27" i="74"/>
  <c r="T28" i="73"/>
  <c r="S18" i="70"/>
  <c r="Q31" i="70"/>
  <c r="Q25" i="70" s="1"/>
  <c r="O267" i="69"/>
  <c r="I25" i="73"/>
  <c r="T14" i="73"/>
  <c r="J13" i="73"/>
  <c r="Q13" i="73" s="1"/>
  <c r="U15" i="74"/>
  <c r="J18" i="70"/>
  <c r="AD18" i="70" s="1"/>
  <c r="R19" i="70"/>
  <c r="R18" i="70" s="1"/>
  <c r="K13" i="74"/>
  <c r="AB13" i="73"/>
  <c r="AI13" i="73" s="1"/>
  <c r="S35" i="70"/>
  <c r="T31" i="73"/>
  <c r="J25" i="74"/>
  <c r="I25" i="70"/>
  <c r="AA25" i="73"/>
  <c r="AH25" i="73" s="1"/>
  <c r="R35" i="70"/>
  <c r="AD27" i="70"/>
  <c r="O265" i="69"/>
  <c r="K21" i="73"/>
  <c r="K25" i="70"/>
  <c r="L21" i="74"/>
  <c r="Q35" i="70"/>
  <c r="T46" i="73"/>
  <c r="U46" i="74"/>
  <c r="U41" i="74"/>
  <c r="U45" i="74"/>
  <c r="T22" i="73"/>
  <c r="AD35" i="70"/>
  <c r="T24" i="73"/>
  <c r="J162" i="74"/>
  <c r="T45" i="73"/>
  <c r="T44" i="73"/>
  <c r="AI157" i="73"/>
  <c r="AB157" i="73"/>
  <c r="AH158" i="73"/>
  <c r="AA158" i="73"/>
  <c r="N177" i="73"/>
  <c r="Q157" i="73"/>
  <c r="J157" i="73"/>
  <c r="U44" i="74"/>
  <c r="R25" i="70"/>
  <c r="T43" i="73"/>
  <c r="AA156" i="73"/>
  <c r="U43" i="74"/>
  <c r="K156" i="73"/>
  <c r="T41" i="73"/>
  <c r="AC156" i="73"/>
  <c r="I156" i="73"/>
  <c r="R46" i="70"/>
  <c r="R45" i="70" s="1"/>
  <c r="AB40" i="73"/>
  <c r="AI40" i="73" s="1"/>
  <c r="J45" i="70"/>
  <c r="K40" i="74"/>
  <c r="R40" i="74" s="1"/>
  <c r="J40" i="73"/>
  <c r="Q40" i="73" s="1"/>
  <c r="K162" i="74"/>
  <c r="R162" i="74"/>
  <c r="AA40" i="73"/>
  <c r="AH40" i="73" s="1"/>
  <c r="I40" i="73"/>
  <c r="P40" i="73" s="1"/>
  <c r="J40" i="74"/>
  <c r="Q40" i="74" s="1"/>
  <c r="AD46" i="70"/>
  <c r="Q46" i="70"/>
  <c r="Q45" i="70" s="1"/>
  <c r="I45" i="70"/>
  <c r="U42" i="74"/>
  <c r="T23" i="73"/>
  <c r="L160" i="74"/>
  <c r="S160" i="74"/>
  <c r="K45" i="70"/>
  <c r="S46" i="70"/>
  <c r="S45" i="70" s="1"/>
  <c r="L40" i="74"/>
  <c r="S40" i="74" s="1"/>
  <c r="AC40" i="73"/>
  <c r="AJ40" i="73" s="1"/>
  <c r="K40" i="73"/>
  <c r="R40" i="73" s="1"/>
  <c r="J160" i="74"/>
  <c r="AJ158" i="73"/>
  <c r="AC158" i="73"/>
  <c r="T42" i="73"/>
  <c r="O268" i="69"/>
  <c r="T48" i="73"/>
  <c r="S25" i="70"/>
  <c r="Q158" i="73"/>
  <c r="J158" i="73"/>
  <c r="S162" i="74"/>
  <c r="L162" i="74"/>
  <c r="U48" i="74"/>
  <c r="U47" i="74"/>
  <c r="AB158" i="73"/>
  <c r="AI158" i="73"/>
  <c r="I158" i="73"/>
  <c r="R158" i="73"/>
  <c r="K158" i="73"/>
  <c r="T47" i="73"/>
  <c r="K161" i="74"/>
  <c r="U24" i="74" l="1"/>
  <c r="U22" i="74"/>
  <c r="K160" i="74"/>
  <c r="R13" i="74"/>
  <c r="R160" i="74" s="1"/>
  <c r="S21" i="74"/>
  <c r="U21" i="74" s="1"/>
  <c r="Q25" i="74"/>
  <c r="R21" i="73"/>
  <c r="T21" i="73" s="1"/>
  <c r="P25" i="73"/>
  <c r="T25" i="73" s="1"/>
  <c r="I157" i="73"/>
  <c r="AC157" i="73"/>
  <c r="AJ157" i="73"/>
  <c r="J156" i="73"/>
  <c r="AD25" i="70"/>
  <c r="L161" i="74"/>
  <c r="AH157" i="73"/>
  <c r="AA157" i="73"/>
  <c r="AB156" i="73"/>
  <c r="J161" i="74"/>
  <c r="K157" i="73"/>
  <c r="AI8" i="70"/>
  <c r="AJ8" i="70"/>
  <c r="AK8" i="70"/>
  <c r="J163" i="74"/>
  <c r="U20" i="74"/>
  <c r="AA159" i="73"/>
  <c r="AH159" i="73"/>
  <c r="I159" i="73"/>
  <c r="P157" i="73"/>
  <c r="T20" i="73"/>
  <c r="T13" i="73"/>
  <c r="P156" i="73"/>
  <c r="AH156" i="73"/>
  <c r="AI156" i="73"/>
  <c r="S161" i="74"/>
  <c r="C11" i="38"/>
  <c r="P158" i="73"/>
  <c r="T30" i="73"/>
  <c r="R161" i="74"/>
  <c r="Q160" i="74"/>
  <c r="AJ156" i="73"/>
  <c r="R159" i="73"/>
  <c r="K159" i="73"/>
  <c r="J159" i="73"/>
  <c r="Q159" i="73"/>
  <c r="AC159" i="73"/>
  <c r="AJ159" i="73"/>
  <c r="AD45" i="70"/>
  <c r="K163" i="74"/>
  <c r="R163" i="74"/>
  <c r="U30" i="74"/>
  <c r="Q162" i="74"/>
  <c r="U162" i="74" s="1"/>
  <c r="S163" i="74"/>
  <c r="L163" i="74"/>
  <c r="Q156" i="73"/>
  <c r="AI159" i="73"/>
  <c r="AB159" i="73"/>
  <c r="R156" i="73"/>
  <c r="C42" i="38" l="1"/>
  <c r="R157" i="73"/>
  <c r="T157" i="73" s="1"/>
  <c r="U25" i="74"/>
  <c r="Q161" i="74"/>
  <c r="U161" i="74" s="1"/>
  <c r="U160" i="74"/>
  <c r="U13" i="74"/>
  <c r="T158" i="73"/>
  <c r="AQ8" i="70"/>
  <c r="AP8" i="70"/>
  <c r="AO8" i="70"/>
  <c r="T40" i="73"/>
  <c r="P159" i="73"/>
  <c r="T159" i="73" s="1"/>
  <c r="T156" i="73"/>
  <c r="Q163" i="74"/>
  <c r="U163" i="74" s="1"/>
  <c r="U40" i="74"/>
  <c r="G29" i="60" l="1"/>
  <c r="C29" i="60"/>
  <c r="E29" i="60"/>
  <c r="F29" i="60"/>
  <c r="D29" i="60"/>
  <c r="J60" i="70" l="1"/>
  <c r="K60" i="70"/>
  <c r="J61" i="70"/>
  <c r="K61" i="70"/>
  <c r="J62" i="70"/>
  <c r="K62" i="70"/>
  <c r="J63" i="70"/>
  <c r="K63" i="70"/>
  <c r="J64" i="70"/>
  <c r="K64" i="70"/>
  <c r="J65" i="70"/>
  <c r="K65" i="70"/>
  <c r="J66" i="70"/>
  <c r="K66" i="70"/>
  <c r="J67" i="70"/>
  <c r="K67" i="70"/>
  <c r="I62" i="70"/>
  <c r="I63" i="70"/>
  <c r="I64" i="70"/>
  <c r="I65" i="70"/>
  <c r="I66" i="70"/>
  <c r="I67" i="70"/>
  <c r="I61" i="70"/>
  <c r="S67" i="70" l="1"/>
  <c r="AC61" i="73"/>
  <c r="AJ61" i="73" s="1"/>
  <c r="K61" i="73"/>
  <c r="R61" i="73" s="1"/>
  <c r="L61" i="74"/>
  <c r="S61" i="74" s="1"/>
  <c r="K55" i="73"/>
  <c r="R55" i="73" s="1"/>
  <c r="S61" i="70"/>
  <c r="AC55" i="73"/>
  <c r="AJ55" i="73" s="1"/>
  <c r="L55" i="74"/>
  <c r="S55" i="74" s="1"/>
  <c r="I58" i="73"/>
  <c r="P58" i="73" s="1"/>
  <c r="Q64" i="70"/>
  <c r="AD64" i="70"/>
  <c r="AA58" i="73"/>
  <c r="AH58" i="73" s="1"/>
  <c r="J58" i="74"/>
  <c r="Q58" i="74" s="1"/>
  <c r="R67" i="70"/>
  <c r="AB61" i="73"/>
  <c r="AI61" i="73" s="1"/>
  <c r="J61" i="73"/>
  <c r="Q61" i="73" s="1"/>
  <c r="K61" i="74"/>
  <c r="R61" i="74" s="1"/>
  <c r="J55" i="73"/>
  <c r="Q55" i="73" s="1"/>
  <c r="AB55" i="73"/>
  <c r="AI55" i="73" s="1"/>
  <c r="R61" i="70"/>
  <c r="K55" i="74"/>
  <c r="R55" i="74" s="1"/>
  <c r="K57" i="73"/>
  <c r="R57" i="73" s="1"/>
  <c r="AC57" i="73"/>
  <c r="AJ57" i="73" s="1"/>
  <c r="S63" i="70"/>
  <c r="L57" i="74"/>
  <c r="S57" i="74" s="1"/>
  <c r="R62" i="70"/>
  <c r="AB56" i="73"/>
  <c r="AI56" i="73" s="1"/>
  <c r="J56" i="73"/>
  <c r="Q56" i="73" s="1"/>
  <c r="K56" i="74"/>
  <c r="R56" i="74" s="1"/>
  <c r="S66" i="70"/>
  <c r="AC60" i="73"/>
  <c r="AJ60" i="73" s="1"/>
  <c r="K60" i="73"/>
  <c r="R60" i="73" s="1"/>
  <c r="L60" i="74"/>
  <c r="S60" i="74" s="1"/>
  <c r="S60" i="70"/>
  <c r="AC54" i="73"/>
  <c r="AJ54" i="73" s="1"/>
  <c r="K54" i="73"/>
  <c r="R54" i="73" s="1"/>
  <c r="L54" i="74"/>
  <c r="S54" i="74" s="1"/>
  <c r="Q62" i="70"/>
  <c r="I56" i="73"/>
  <c r="P56" i="73" s="1"/>
  <c r="AD62" i="70"/>
  <c r="AA56" i="73"/>
  <c r="AH56" i="73" s="1"/>
  <c r="J56" i="74"/>
  <c r="Q56" i="74" s="1"/>
  <c r="J60" i="73"/>
  <c r="Q60" i="73" s="1"/>
  <c r="R66" i="70"/>
  <c r="AB60" i="73"/>
  <c r="AI60" i="73" s="1"/>
  <c r="K60" i="74"/>
  <c r="R60" i="74" s="1"/>
  <c r="AB54" i="73"/>
  <c r="AI54" i="73" s="1"/>
  <c r="J54" i="73"/>
  <c r="Q54" i="73" s="1"/>
  <c r="R60" i="70"/>
  <c r="K54" i="74"/>
  <c r="R54" i="74" s="1"/>
  <c r="I59" i="73"/>
  <c r="P59" i="73" s="1"/>
  <c r="AD65" i="70"/>
  <c r="AA59" i="73"/>
  <c r="AH59" i="73" s="1"/>
  <c r="Q65" i="70"/>
  <c r="J59" i="74"/>
  <c r="Q59" i="74" s="1"/>
  <c r="I60" i="70"/>
  <c r="L271" i="69"/>
  <c r="E11" i="77" s="1"/>
  <c r="E172" i="77" s="1"/>
  <c r="E177" i="77" s="1"/>
  <c r="M129" i="69"/>
  <c r="M130" i="69" s="1"/>
  <c r="K59" i="73"/>
  <c r="R59" i="73" s="1"/>
  <c r="AC59" i="73"/>
  <c r="AJ59" i="73" s="1"/>
  <c r="S65" i="70"/>
  <c r="L59" i="74"/>
  <c r="S59" i="74" s="1"/>
  <c r="N271" i="69"/>
  <c r="K59" i="70"/>
  <c r="O129" i="69"/>
  <c r="O130" i="69" s="1"/>
  <c r="J57" i="73"/>
  <c r="Q57" i="73" s="1"/>
  <c r="R63" i="70"/>
  <c r="AB57" i="73"/>
  <c r="AI57" i="73" s="1"/>
  <c r="K57" i="74"/>
  <c r="R57" i="74" s="1"/>
  <c r="AD61" i="70"/>
  <c r="AA55" i="73"/>
  <c r="AH55" i="73" s="1"/>
  <c r="I55" i="73"/>
  <c r="P55" i="73" s="1"/>
  <c r="Q61" i="70"/>
  <c r="J55" i="74"/>
  <c r="Q55" i="74" s="1"/>
  <c r="AB59" i="73"/>
  <c r="AI59" i="73" s="1"/>
  <c r="J59" i="73"/>
  <c r="Q59" i="73" s="1"/>
  <c r="R65" i="70"/>
  <c r="K59" i="74"/>
  <c r="R59" i="74" s="1"/>
  <c r="M271" i="69"/>
  <c r="F11" i="77" s="1"/>
  <c r="F172" i="77" s="1"/>
  <c r="F177" i="77" s="1"/>
  <c r="J59" i="70"/>
  <c r="N129" i="69"/>
  <c r="N130" i="69" s="1"/>
  <c r="AA57" i="73"/>
  <c r="AH57" i="73" s="1"/>
  <c r="I57" i="73"/>
  <c r="P57" i="73" s="1"/>
  <c r="AD63" i="70"/>
  <c r="Q63" i="70"/>
  <c r="J57" i="74"/>
  <c r="Q57" i="74" s="1"/>
  <c r="AA61" i="73"/>
  <c r="AH61" i="73" s="1"/>
  <c r="AD67" i="70"/>
  <c r="I61" i="73"/>
  <c r="P61" i="73" s="1"/>
  <c r="Q67" i="70"/>
  <c r="J61" i="74"/>
  <c r="Q61" i="74" s="1"/>
  <c r="S64" i="70"/>
  <c r="AC58" i="73"/>
  <c r="AJ58" i="73" s="1"/>
  <c r="K58" i="73"/>
  <c r="R58" i="73" s="1"/>
  <c r="L58" i="74"/>
  <c r="S58" i="74" s="1"/>
  <c r="S62" i="70"/>
  <c r="AC56" i="73"/>
  <c r="AJ56" i="73" s="1"/>
  <c r="K56" i="73"/>
  <c r="R56" i="73" s="1"/>
  <c r="L56" i="74"/>
  <c r="S56" i="74" s="1"/>
  <c r="I60" i="73"/>
  <c r="P60" i="73" s="1"/>
  <c r="Q66" i="70"/>
  <c r="AA60" i="73"/>
  <c r="AH60" i="73" s="1"/>
  <c r="AD66" i="70"/>
  <c r="J60" i="74"/>
  <c r="Q60" i="74" s="1"/>
  <c r="AB58" i="73"/>
  <c r="AI58" i="73" s="1"/>
  <c r="J58" i="73"/>
  <c r="Q58" i="73" s="1"/>
  <c r="R64" i="70"/>
  <c r="K58" i="74"/>
  <c r="R58" i="74" s="1"/>
  <c r="G11" i="77" l="1"/>
  <c r="G172" i="77" s="1"/>
  <c r="G177" i="77" s="1"/>
  <c r="U61" i="74"/>
  <c r="T61" i="73"/>
  <c r="T55" i="73"/>
  <c r="T58" i="73"/>
  <c r="U57" i="74"/>
  <c r="U60" i="74"/>
  <c r="T60" i="73"/>
  <c r="U59" i="74"/>
  <c r="U56" i="74"/>
  <c r="AD60" i="70"/>
  <c r="Q60" i="70"/>
  <c r="Q58" i="70" s="1"/>
  <c r="I54" i="73"/>
  <c r="P54" i="73" s="1"/>
  <c r="AA54" i="73"/>
  <c r="AH54" i="73" s="1"/>
  <c r="I58" i="70"/>
  <c r="J54" i="74"/>
  <c r="Q54" i="74" s="1"/>
  <c r="S59" i="70"/>
  <c r="S58" i="70" s="1"/>
  <c r="K58" i="70"/>
  <c r="AC53" i="73"/>
  <c r="AJ53" i="73" s="1"/>
  <c r="K53" i="73"/>
  <c r="R53" i="73" s="1"/>
  <c r="L53" i="74"/>
  <c r="S53" i="74" s="1"/>
  <c r="U55" i="74"/>
  <c r="O271" i="69"/>
  <c r="N283" i="69"/>
  <c r="E20" i="77"/>
  <c r="L283" i="69"/>
  <c r="T59" i="73"/>
  <c r="T56" i="73"/>
  <c r="AD59" i="70"/>
  <c r="R59" i="70"/>
  <c r="R58" i="70" s="1"/>
  <c r="J58" i="70"/>
  <c r="AB53" i="73"/>
  <c r="AI53" i="73" s="1"/>
  <c r="J53" i="73"/>
  <c r="Q53" i="73" s="1"/>
  <c r="K53" i="74"/>
  <c r="R53" i="74" s="1"/>
  <c r="T57" i="73"/>
  <c r="F20" i="77"/>
  <c r="M283" i="69"/>
  <c r="U58" i="74"/>
  <c r="G20" i="77" l="1"/>
  <c r="G191" i="77" s="1"/>
  <c r="G192" i="77" s="1"/>
  <c r="F191" i="77"/>
  <c r="F192" i="77" s="1"/>
  <c r="E191" i="77"/>
  <c r="E192" i="77" s="1"/>
  <c r="R156" i="70"/>
  <c r="R158" i="70"/>
  <c r="AK9" i="70"/>
  <c r="K158" i="70"/>
  <c r="K156" i="70"/>
  <c r="M284" i="69"/>
  <c r="L284" i="69"/>
  <c r="S158" i="70"/>
  <c r="S156" i="70"/>
  <c r="I162" i="73"/>
  <c r="I176" i="73" s="1"/>
  <c r="I150" i="73"/>
  <c r="K166" i="74"/>
  <c r="AB162" i="73"/>
  <c r="AB176" i="73" s="1"/>
  <c r="AB177" i="73" s="1"/>
  <c r="AB150" i="73"/>
  <c r="J162" i="73"/>
  <c r="J176" i="73" s="1"/>
  <c r="J150" i="73"/>
  <c r="Q158" i="70"/>
  <c r="Q156" i="70"/>
  <c r="AJ9" i="70"/>
  <c r="J158" i="70"/>
  <c r="J156" i="70"/>
  <c r="AA162" i="73"/>
  <c r="AA176" i="73" s="1"/>
  <c r="AA177" i="73" s="1"/>
  <c r="AA150" i="73"/>
  <c r="S166" i="74"/>
  <c r="L166" i="74"/>
  <c r="J166" i="74"/>
  <c r="AD58" i="70"/>
  <c r="AI9" i="70"/>
  <c r="I158" i="70"/>
  <c r="I156" i="70"/>
  <c r="O280" i="69"/>
  <c r="N284" i="69"/>
  <c r="K162" i="73"/>
  <c r="K176" i="73" s="1"/>
  <c r="K150" i="73"/>
  <c r="AC162" i="73"/>
  <c r="AC176" i="73" s="1"/>
  <c r="AC177" i="73" s="1"/>
  <c r="AC150" i="73"/>
  <c r="AD158" i="70" l="1"/>
  <c r="AO9" i="70"/>
  <c r="AI12" i="70"/>
  <c r="T54" i="73"/>
  <c r="P162" i="73"/>
  <c r="P150" i="73"/>
  <c r="F21" i="67"/>
  <c r="J177" i="73"/>
  <c r="AI162" i="73"/>
  <c r="AI150" i="73"/>
  <c r="AJ162" i="73"/>
  <c r="AJ150" i="73"/>
  <c r="U54" i="74"/>
  <c r="Q166" i="74"/>
  <c r="K177" i="73"/>
  <c r="G21" i="67"/>
  <c r="R162" i="73"/>
  <c r="R150" i="73"/>
  <c r="AH162" i="73"/>
  <c r="AH150" i="73"/>
  <c r="R166" i="74"/>
  <c r="U53" i="74"/>
  <c r="AQ9" i="70"/>
  <c r="AK12" i="70"/>
  <c r="T53" i="73"/>
  <c r="Q162" i="73"/>
  <c r="Q150" i="73"/>
  <c r="AD156" i="70"/>
  <c r="AP9" i="70"/>
  <c r="AJ12" i="70"/>
  <c r="C181" i="73"/>
  <c r="I177" i="73"/>
  <c r="E21" i="67"/>
  <c r="C190" i="74" l="1"/>
  <c r="T150" i="73"/>
  <c r="E30" i="60"/>
  <c r="AH176" i="73"/>
  <c r="AH177" i="73" s="1"/>
  <c r="R176" i="73"/>
  <c r="G10" i="38" s="1"/>
  <c r="G29" i="77" s="1"/>
  <c r="T162" i="73"/>
  <c r="P176" i="73"/>
  <c r="E10" i="38" s="1"/>
  <c r="F30" i="60"/>
  <c r="AI176" i="73"/>
  <c r="AI177" i="73" s="1"/>
  <c r="G30" i="60"/>
  <c r="AJ176" i="73"/>
  <c r="AJ177" i="73" s="1"/>
  <c r="U166" i="74"/>
  <c r="Q176" i="73"/>
  <c r="F10" i="38" s="1"/>
  <c r="F29" i="77" s="1"/>
  <c r="E29" i="77" l="1"/>
  <c r="E336" i="77"/>
  <c r="R177" i="73"/>
  <c r="G11" i="38" s="1"/>
  <c r="C182" i="73"/>
  <c r="T176" i="73"/>
  <c r="P177" i="73"/>
  <c r="Q177" i="73"/>
  <c r="G42" i="38" l="1"/>
  <c r="F81" i="77"/>
  <c r="G81" i="77"/>
  <c r="E81" i="77"/>
  <c r="H10" i="38"/>
  <c r="F11" i="38"/>
  <c r="E11" i="38"/>
  <c r="T177" i="73"/>
  <c r="F42" i="38" l="1"/>
  <c r="E42" i="38"/>
  <c r="H42" i="38" s="1"/>
  <c r="H81" i="77"/>
  <c r="H11" i="38"/>
  <c r="E205" i="77" l="1"/>
  <c r="J8" i="61"/>
  <c r="J10" i="61" s="1"/>
  <c r="E199" i="77" l="1"/>
  <c r="E13" i="38"/>
  <c r="E44" i="38" s="1"/>
  <c r="E35" i="77" l="1"/>
  <c r="E82" i="77"/>
  <c r="F205" i="77" l="1"/>
  <c r="K8" i="61"/>
  <c r="K10" i="61" s="1"/>
  <c r="F199" i="77" l="1"/>
  <c r="F13" i="38"/>
  <c r="F44" i="38" s="1"/>
  <c r="G205" i="77"/>
  <c r="L8" i="61"/>
  <c r="L10" i="61" s="1"/>
  <c r="G199" i="77" l="1"/>
  <c r="G13" i="38"/>
  <c r="F35" i="77"/>
  <c r="F82" i="77"/>
  <c r="H13" i="38" l="1"/>
  <c r="C25" i="38" s="1"/>
  <c r="Z228" i="72" s="1"/>
  <c r="G44" i="38"/>
  <c r="H44" i="38" s="1"/>
  <c r="H82" i="77"/>
  <c r="G35" i="77"/>
  <c r="G82" i="77"/>
  <c r="E31" i="38" l="1"/>
  <c r="G31" i="38"/>
  <c r="F31" i="38"/>
  <c r="D31" i="38"/>
  <c r="C31" i="38"/>
  <c r="D30" i="38"/>
  <c r="C30" i="38"/>
  <c r="G30" i="38"/>
  <c r="F30" i="38"/>
  <c r="F32" i="38" s="1"/>
  <c r="E30" i="38"/>
  <c r="E32" i="38" s="1"/>
  <c r="C26" i="38"/>
  <c r="C94" i="77"/>
  <c r="C32" i="38" l="1"/>
  <c r="D32" i="38"/>
  <c r="H31" i="38"/>
  <c r="G32" i="38"/>
  <c r="H30" i="38"/>
  <c r="Y228" i="72"/>
  <c r="Y229" i="72" s="1"/>
  <c r="AF229" i="72" s="1"/>
  <c r="X228" i="72"/>
  <c r="C334" i="77"/>
  <c r="C183" i="73"/>
  <c r="H32" i="38" l="1"/>
  <c r="E337" i="77"/>
  <c r="E339" i="77" s="1"/>
  <c r="D337" i="77"/>
  <c r="D339" i="77" s="1"/>
  <c r="C337" i="77"/>
  <c r="C339" i="77" s="1"/>
  <c r="AF228" i="72"/>
  <c r="X229" i="72"/>
  <c r="AE228" i="72"/>
  <c r="AE229" i="72" l="1"/>
  <c r="H339" i="77"/>
  <c r="I83" i="74"/>
  <c r="L83" i="74"/>
  <c r="K83" i="74"/>
  <c r="J83" i="74"/>
  <c r="H83" i="74"/>
  <c r="L172" i="74" l="1"/>
  <c r="S83" i="74"/>
  <c r="I172" i="74"/>
  <c r="P83" i="74"/>
  <c r="H172" i="74"/>
  <c r="O83" i="74"/>
  <c r="J172" i="74"/>
  <c r="Q83" i="74"/>
  <c r="Q172" i="74" s="1"/>
  <c r="K172" i="74"/>
  <c r="R83" i="74"/>
  <c r="R172" i="74" s="1"/>
  <c r="K77" i="74"/>
  <c r="L77" i="74"/>
  <c r="H77" i="74"/>
  <c r="I77" i="74"/>
  <c r="J77" i="74"/>
  <c r="P172" i="74"/>
  <c r="S172" i="74"/>
  <c r="J169" i="74" l="1"/>
  <c r="Q77" i="74"/>
  <c r="H169" i="74"/>
  <c r="O77" i="74"/>
  <c r="L169" i="74"/>
  <c r="S77" i="74"/>
  <c r="S169" i="74" s="1"/>
  <c r="G43" i="38" s="1"/>
  <c r="G62" i="38" s="1"/>
  <c r="I169" i="74"/>
  <c r="P77" i="74"/>
  <c r="P169" i="74" s="1"/>
  <c r="D43" i="38" s="1"/>
  <c r="D62" i="38" s="1"/>
  <c r="K169" i="74"/>
  <c r="R77" i="74"/>
  <c r="R169" i="74"/>
  <c r="F43" i="38" s="1"/>
  <c r="F62" i="38" s="1"/>
  <c r="O172" i="74"/>
  <c r="U83" i="74"/>
  <c r="Q169" i="74"/>
  <c r="E43" i="38" s="1"/>
  <c r="E62" i="38" s="1"/>
  <c r="U77" i="74" l="1"/>
  <c r="O169" i="74"/>
  <c r="U172" i="74"/>
  <c r="C187" i="74" l="1"/>
  <c r="C43" i="38"/>
  <c r="U169" i="74"/>
  <c r="H43" i="38" l="1"/>
  <c r="C56" i="38" s="1"/>
  <c r="C62" i="38"/>
  <c r="H62" i="38" s="1"/>
  <c r="D187" i="74" s="1"/>
  <c r="E187" i="74" s="1"/>
  <c r="J62" i="38"/>
  <c r="K62" i="38" l="1"/>
  <c r="C57" i="38"/>
  <c r="C61" i="38"/>
  <c r="D61" i="38"/>
  <c r="D63" i="38" s="1"/>
  <c r="E61" i="38"/>
  <c r="E63" i="38" s="1"/>
  <c r="F61" i="38"/>
  <c r="F63" i="38" s="1"/>
  <c r="G61" i="38"/>
  <c r="G63" i="38" s="1"/>
  <c r="C63" i="38" l="1"/>
  <c r="H63" i="38" s="1"/>
  <c r="H61" i="38"/>
  <c r="C191" i="74" s="1"/>
  <c r="D188" i="74" l="1"/>
  <c r="C193" i="74"/>
  <c r="C195" i="74" s="1"/>
  <c r="AA3" i="72" s="1"/>
  <c r="Z3" i="72" s="1"/>
  <c r="D186" i="74"/>
  <c r="Z12" i="72" l="1"/>
  <c r="Z29" i="72"/>
  <c r="Z11" i="72"/>
  <c r="Z30" i="72"/>
  <c r="Z31" i="72"/>
  <c r="Z22" i="72"/>
  <c r="Z9" i="72"/>
  <c r="Z16" i="72"/>
  <c r="Z26" i="72"/>
  <c r="Z10" i="72"/>
  <c r="Z28" i="72"/>
  <c r="Z25" i="72"/>
  <c r="Z13" i="72"/>
  <c r="Z23" i="72"/>
  <c r="Z8" i="72"/>
  <c r="Z27" i="72"/>
  <c r="Z24" i="72"/>
  <c r="Z7" i="72"/>
  <c r="Z14" i="72"/>
  <c r="Z15" i="72"/>
  <c r="Y25" i="72" l="1"/>
  <c r="AF25" i="72" s="1"/>
  <c r="X25" i="72"/>
  <c r="AE25" i="72" s="1"/>
  <c r="X28" i="72"/>
  <c r="Y28" i="72"/>
  <c r="AF28" i="72" s="1"/>
  <c r="Y10" i="72"/>
  <c r="AF10" i="72" s="1"/>
  <c r="X10" i="72"/>
  <c r="AE10" i="72" s="1"/>
  <c r="Y26" i="72"/>
  <c r="AF26" i="72" s="1"/>
  <c r="X26" i="72"/>
  <c r="AE26" i="72" s="1"/>
  <c r="Y15" i="72"/>
  <c r="AF15" i="72" s="1"/>
  <c r="X15" i="72"/>
  <c r="X16" i="72"/>
  <c r="Y16" i="72"/>
  <c r="AF16" i="72" s="1"/>
  <c r="Y14" i="72"/>
  <c r="AF14" i="72" s="1"/>
  <c r="X14" i="72"/>
  <c r="Y9" i="72"/>
  <c r="AF9" i="72" s="1"/>
  <c r="X9" i="72"/>
  <c r="AE9" i="72" s="1"/>
  <c r="Y7" i="72"/>
  <c r="AF7" i="72" s="1"/>
  <c r="X7" i="72"/>
  <c r="AE7" i="72" s="1"/>
  <c r="X22" i="72"/>
  <c r="AE22" i="72" s="1"/>
  <c r="Y22" i="72"/>
  <c r="AF22" i="72" s="1"/>
  <c r="X24" i="72"/>
  <c r="AE24" i="72" s="1"/>
  <c r="Y24" i="72"/>
  <c r="AF24" i="72" s="1"/>
  <c r="Y31" i="72"/>
  <c r="AF31" i="72" s="1"/>
  <c r="X31" i="72"/>
  <c r="Y27" i="72"/>
  <c r="AF27" i="72" s="1"/>
  <c r="X27" i="72"/>
  <c r="Y30" i="72"/>
  <c r="AF30" i="72" s="1"/>
  <c r="X30" i="72"/>
  <c r="X8" i="72"/>
  <c r="AE8" i="72" s="1"/>
  <c r="Y8" i="72"/>
  <c r="AF8" i="72" s="1"/>
  <c r="X11" i="72"/>
  <c r="Y11" i="72"/>
  <c r="AF11" i="72" s="1"/>
  <c r="Y23" i="72"/>
  <c r="AF23" i="72" s="1"/>
  <c r="X23" i="72"/>
  <c r="AE23" i="72" s="1"/>
  <c r="Y29" i="72"/>
  <c r="AF29" i="72" s="1"/>
  <c r="X29" i="72"/>
  <c r="X13" i="72"/>
  <c r="Y13" i="72"/>
  <c r="AF13" i="72" s="1"/>
  <c r="X12" i="72"/>
  <c r="Y12" i="72"/>
  <c r="AF12" i="72" s="1"/>
  <c r="J9" i="74" l="1"/>
  <c r="Q9" i="74" s="1"/>
  <c r="L9" i="74"/>
  <c r="S9" i="74" s="1"/>
  <c r="I9" i="74"/>
  <c r="P9" i="74" s="1"/>
  <c r="K9" i="74"/>
  <c r="R9" i="74" s="1"/>
  <c r="H9" i="74"/>
  <c r="O9" i="74" s="1"/>
  <c r="H8" i="74"/>
  <c r="L8" i="74"/>
  <c r="J8" i="74"/>
  <c r="I8" i="74"/>
  <c r="K8" i="74"/>
  <c r="J6" i="74"/>
  <c r="Q6" i="74" s="1"/>
  <c r="I6" i="74"/>
  <c r="P6" i="74" s="1"/>
  <c r="H6" i="74"/>
  <c r="O6" i="74" s="1"/>
  <c r="K6" i="74"/>
  <c r="R6" i="74" s="1"/>
  <c r="L6" i="74"/>
  <c r="S6" i="74" s="1"/>
  <c r="I4" i="74"/>
  <c r="P4" i="74" s="1"/>
  <c r="L4" i="74"/>
  <c r="S4" i="74" s="1"/>
  <c r="H4" i="74"/>
  <c r="O4" i="74" s="1"/>
  <c r="K4" i="74"/>
  <c r="R4" i="74" s="1"/>
  <c r="J4" i="74"/>
  <c r="Q4" i="74" s="1"/>
  <c r="H10" i="74"/>
  <c r="O10" i="74" s="1"/>
  <c r="I10" i="74"/>
  <c r="P10" i="74" s="1"/>
  <c r="J10" i="74"/>
  <c r="Q10" i="74" s="1"/>
  <c r="L10" i="74"/>
  <c r="S10" i="74" s="1"/>
  <c r="K10" i="74"/>
  <c r="R10" i="74" s="1"/>
  <c r="I3" i="74"/>
  <c r="J3" i="74"/>
  <c r="L3" i="74"/>
  <c r="K3" i="74"/>
  <c r="H3" i="74"/>
  <c r="J5" i="74"/>
  <c r="Q5" i="74" s="1"/>
  <c r="I5" i="74"/>
  <c r="P5" i="74" s="1"/>
  <c r="L5" i="74"/>
  <c r="S5" i="74" s="1"/>
  <c r="K5" i="74"/>
  <c r="R5" i="74" s="1"/>
  <c r="H5" i="74"/>
  <c r="O5" i="74" s="1"/>
  <c r="K11" i="74"/>
  <c r="R11" i="74" s="1"/>
  <c r="H11" i="74"/>
  <c r="O11" i="74" s="1"/>
  <c r="L11" i="74"/>
  <c r="S11" i="74" s="1"/>
  <c r="J11" i="74"/>
  <c r="Q11" i="74" s="1"/>
  <c r="I11" i="74"/>
  <c r="P11" i="74" s="1"/>
  <c r="U9" i="74" l="1"/>
  <c r="U10" i="74"/>
  <c r="U4" i="74"/>
  <c r="U6" i="74"/>
  <c r="U5" i="74"/>
  <c r="U11" i="74"/>
  <c r="R8" i="74"/>
  <c r="R159" i="74" s="1"/>
  <c r="K159" i="74"/>
  <c r="P8" i="74"/>
  <c r="P159" i="74" s="1"/>
  <c r="I159" i="74"/>
  <c r="Q8" i="74"/>
  <c r="Q159" i="74" s="1"/>
  <c r="J159" i="74"/>
  <c r="S8" i="74"/>
  <c r="S159" i="74" s="1"/>
  <c r="L159" i="74"/>
  <c r="O3" i="74"/>
  <c r="H158" i="74"/>
  <c r="H154" i="74"/>
  <c r="O8" i="74"/>
  <c r="H159" i="74"/>
  <c r="R3" i="74"/>
  <c r="K154" i="74"/>
  <c r="K158" i="74"/>
  <c r="K180" i="74" s="1"/>
  <c r="K181" i="74" s="1"/>
  <c r="S3" i="74"/>
  <c r="L154" i="74"/>
  <c r="L158" i="74"/>
  <c r="Q3" i="74"/>
  <c r="J154" i="74"/>
  <c r="J158" i="74"/>
  <c r="P3" i="74"/>
  <c r="I154" i="74"/>
  <c r="I158" i="74"/>
  <c r="J180" i="74" l="1"/>
  <c r="J181" i="74" s="1"/>
  <c r="L180" i="74"/>
  <c r="L181" i="74" s="1"/>
  <c r="I180" i="74"/>
  <c r="I181" i="74" s="1"/>
  <c r="U8" i="74"/>
  <c r="O159" i="74"/>
  <c r="U159" i="74" s="1"/>
  <c r="P154" i="74"/>
  <c r="P158" i="74"/>
  <c r="P180" i="74" s="1"/>
  <c r="P181" i="74" s="1"/>
  <c r="H180" i="74"/>
  <c r="H181" i="74" s="1"/>
  <c r="O158" i="74"/>
  <c r="U3" i="74"/>
  <c r="U154" i="74" s="1"/>
  <c r="O154" i="74"/>
  <c r="Q158" i="74"/>
  <c r="Q180" i="74" s="1"/>
  <c r="Q181" i="74" s="1"/>
  <c r="Q154" i="74"/>
  <c r="S158" i="74"/>
  <c r="S180" i="74" s="1"/>
  <c r="S181" i="74" s="1"/>
  <c r="S154" i="74"/>
  <c r="R154" i="74"/>
  <c r="R158" i="74"/>
  <c r="R180" i="74" s="1"/>
  <c r="R181" i="74" s="1"/>
  <c r="C185" i="74" l="1"/>
  <c r="O180" i="74"/>
  <c r="U158" i="74"/>
  <c r="O181" i="74" l="1"/>
  <c r="U180" i="74"/>
  <c r="U181" i="74" l="1"/>
  <c r="C186" i="74"/>
  <c r="J61" i="38" l="1"/>
  <c r="K61" i="38" s="1"/>
  <c r="C188" i="74"/>
  <c r="E186" i="74"/>
  <c r="J63" i="38" l="1"/>
  <c r="K63" i="38" s="1"/>
  <c r="E188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Quantum</author>
  </authors>
  <commentList>
    <comment ref="B57" authorId="0" shapeId="0" xr:uid="{626CBB13-E129-472C-B522-40F862764648}">
      <text>
        <r>
          <rPr>
            <sz val="9"/>
            <color indexed="81"/>
            <rFont val="Tahoma"/>
            <family val="2"/>
          </rPr>
          <t>Se a opção "Input" for selecionada, serão considerados os dados de 2023-2027 inseridos manualmente aqui. Se a opção "Cálculo" for escolhida, será feito um cálculo com base em um histórico e um driver (o cálculo pode ser visualizado na aba "Juros CP")</t>
        </r>
      </text>
    </comment>
    <comment ref="B63" authorId="0" shapeId="0" xr:uid="{7499B63F-CFE7-404B-8A51-48C06C7CBA28}">
      <text>
        <r>
          <rPr>
            <sz val="9"/>
            <color indexed="81"/>
            <rFont val="Tahoma"/>
            <family val="2"/>
          </rPr>
          <t>Se a opção "Input" for selecionada, serão considerados os dados de 2023-2027 inseridos manualmente aqui. Se a opção "Cálculo" for escolhida, será feito um cálculo com base em um histórico e um driver (o cálculo pode ser visualizado na aba "Juros CP")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Quantum</author>
  </authors>
  <commentList>
    <comment ref="G48" authorId="0" shapeId="0" xr:uid="{12CC3421-681E-4EB8-907E-97183B0AA136}">
      <text>
        <r>
          <rPr>
            <sz val="9"/>
            <color indexed="81"/>
            <rFont val="Tahoma"/>
            <family val="2"/>
          </rPr>
          <t>Colocamos la mitad de la inversión realizada?</t>
        </r>
      </text>
    </comment>
  </commentList>
</comments>
</file>

<file path=xl/sharedStrings.xml><?xml version="1.0" encoding="utf-8"?>
<sst xmlns="http://schemas.openxmlformats.org/spreadsheetml/2006/main" count="39996" uniqueCount="4969">
  <si>
    <t>PROJEÇÕES E INPUTS MANUAIS</t>
  </si>
  <si>
    <t>Moeda do estudio</t>
  </si>
  <si>
    <t>CAPM (real depois de impostos)</t>
  </si>
  <si>
    <t>Impostos Fatura ()</t>
  </si>
  <si>
    <t>Impostos Fatura GLP ()</t>
  </si>
  <si>
    <t>Ajuste último ano</t>
  </si>
  <si>
    <t xml:space="preserve">Reposicao 2018-2022 [Mil R$ Dez 21] </t>
  </si>
  <si>
    <t>Investimentos (R$ milhão)</t>
  </si>
  <si>
    <t>TOTAL</t>
  </si>
  <si>
    <t>Crecimiento</t>
  </si>
  <si>
    <t>Mantenimiento</t>
  </si>
  <si>
    <t>Estructura</t>
  </si>
  <si>
    <t>Obras em andamento</t>
  </si>
  <si>
    <t>Volume (mil m³)</t>
  </si>
  <si>
    <t>Mercado</t>
  </si>
  <si>
    <t>Convencional</t>
  </si>
  <si>
    <t>Domestico</t>
  </si>
  <si>
    <t>Comercial</t>
  </si>
  <si>
    <t>Industrial</t>
  </si>
  <si>
    <t>GNV</t>
  </si>
  <si>
    <t>Termicas + ATR</t>
  </si>
  <si>
    <t>Clientes</t>
  </si>
  <si>
    <t>Clientes Totais</t>
  </si>
  <si>
    <t>Doméstico</t>
  </si>
  <si>
    <t>Geração Elétrica</t>
  </si>
  <si>
    <t>Proj. de num. Pessoal (#)</t>
  </si>
  <si>
    <t>Receitas/Despesas Correlatas (R$ Mil)</t>
  </si>
  <si>
    <t>Driver de projeção</t>
  </si>
  <si>
    <t>OPEX (R$ Mil)</t>
  </si>
  <si>
    <t>OPEX TOTAL</t>
  </si>
  <si>
    <t>G. de Pessoal</t>
  </si>
  <si>
    <t>JCP (R$ Mil)</t>
  </si>
  <si>
    <t>Input</t>
  </si>
  <si>
    <t>Preço do Gás + Transporte (R$/m3)</t>
  </si>
  <si>
    <t>Provisões Total (R$ Mil)</t>
  </si>
  <si>
    <t>DADOS HISTÓRICOS</t>
  </si>
  <si>
    <t>Conceito</t>
  </si>
  <si>
    <t>Unidade</t>
  </si>
  <si>
    <t>R$ mil</t>
  </si>
  <si>
    <t>Atualizado</t>
  </si>
  <si>
    <t>Despesas Operacionais</t>
  </si>
  <si>
    <t>Pessoal</t>
  </si>
  <si>
    <t>#</t>
  </si>
  <si>
    <t>Extensão de rede total</t>
  </si>
  <si>
    <t>km</t>
  </si>
  <si>
    <t>Investimento anual</t>
  </si>
  <si>
    <t>Clientes totais</t>
  </si>
  <si>
    <t>Residencial</t>
  </si>
  <si>
    <t>Volume total</t>
  </si>
  <si>
    <t>mil m³/dia</t>
  </si>
  <si>
    <t>Receitas/Despesas Correlatas (mil.R$/ano) - Moeda corrente</t>
  </si>
  <si>
    <t>1- Ingressos atividade correlatas</t>
  </si>
  <si>
    <t>2- Despesas atividade correlatas</t>
  </si>
  <si>
    <t>Atividade correlatas Total</t>
  </si>
  <si>
    <t>Vendas gás distribuição e comercialização (mil R$/ano - moeda corrente)</t>
  </si>
  <si>
    <t>RATIOS E CÁLCULOS AUXILIARES</t>
  </si>
  <si>
    <t>Média 21-24</t>
  </si>
  <si>
    <t>G. de Pessoal / empregado</t>
  </si>
  <si>
    <t>R$ mil / empregado</t>
  </si>
  <si>
    <t>Despesas Operacionais / km</t>
  </si>
  <si>
    <t>R$ mil / km</t>
  </si>
  <si>
    <t>Empregados/km</t>
  </si>
  <si>
    <t># / km</t>
  </si>
  <si>
    <t>Clientes/km</t>
  </si>
  <si>
    <t>2023 - 2027</t>
  </si>
  <si>
    <t>Reposicionamento da margem pela 4º RTI</t>
  </si>
  <si>
    <t>moeda 2021</t>
  </si>
  <si>
    <t>Taxa de Remuneração (anual) =</t>
  </si>
  <si>
    <t>CEG Rio</t>
  </si>
  <si>
    <t>2023-2027</t>
  </si>
  <si>
    <t>Valor</t>
  </si>
  <si>
    <t>Valores em MR$</t>
  </si>
  <si>
    <t>Presente</t>
  </si>
  <si>
    <t>I = 0,66*Margem Não Reposicionada</t>
  </si>
  <si>
    <t>Ia = 0,66*Margem Não Reposicionada Convencional</t>
  </si>
  <si>
    <t>Ib = 0,66*Margem Não Reposicionada Termica</t>
  </si>
  <si>
    <t>II = 0,66*Custos e Despesas Operacionais</t>
  </si>
  <si>
    <t>III = 0,66*Receitas Correlatas</t>
  </si>
  <si>
    <t>IV = 0,34*Depreciação</t>
  </si>
  <si>
    <t>V = 0,34*Juros s/ Capital Próprio</t>
  </si>
  <si>
    <t>VI = Investimentos</t>
  </si>
  <si>
    <t>VII = Compensação de Retroatividade 4ª</t>
  </si>
  <si>
    <t>VIII = Compensação de IGPM Represado (pandemia)</t>
  </si>
  <si>
    <t>VIII = Gastos Processos Regulatórios</t>
  </si>
  <si>
    <t>IX = Base Inicial</t>
  </si>
  <si>
    <t>X = Base Final</t>
  </si>
  <si>
    <t>XI = Compensação dos Invest. ñ realizados no quinquênio anterior</t>
  </si>
  <si>
    <t>m= VP (Receita Requerida) / VP (0,66*Margens Não Reposicionadas)</t>
  </si>
  <si>
    <t xml:space="preserve">m = </t>
  </si>
  <si>
    <t>Valor Presente</t>
  </si>
  <si>
    <t>Margem Reposicionada Convencional (Ia *m/0,66)</t>
  </si>
  <si>
    <t>Margem Termica (Ib/0,66)</t>
  </si>
  <si>
    <t>Margem Total</t>
  </si>
  <si>
    <t>Ajuste por térmica cativa e livre</t>
  </si>
  <si>
    <t>Fator Ajuste Térmico</t>
  </si>
  <si>
    <t>Vendas proj [MR$]</t>
  </si>
  <si>
    <t>Check</t>
  </si>
  <si>
    <t>Projeção de Demanda para os Quinquênios 2023-2027.</t>
  </si>
  <si>
    <t>CEG RIO</t>
  </si>
  <si>
    <t>Demanda Projetada (Mm³/ano)</t>
  </si>
  <si>
    <r>
      <t>2027</t>
    </r>
    <r>
      <rPr>
        <b/>
        <sz val="6"/>
        <color theme="1"/>
        <rFont val="Arial"/>
        <family val="2"/>
      </rPr>
      <t>(1)</t>
    </r>
  </si>
  <si>
    <t>Residencial (*)</t>
  </si>
  <si>
    <t xml:space="preserve">Comercial </t>
  </si>
  <si>
    <t>Climatização</t>
  </si>
  <si>
    <t>Geração Distribuída</t>
  </si>
  <si>
    <t>Cogeração</t>
  </si>
  <si>
    <t>Vidreiras</t>
  </si>
  <si>
    <t>Salineira</t>
  </si>
  <si>
    <t>Ceramista</t>
  </si>
  <si>
    <t>Barrilhista</t>
  </si>
  <si>
    <t>Petroquímico</t>
  </si>
  <si>
    <t>Térmicas</t>
  </si>
  <si>
    <t>Térmicas CL, AP e AI (**)</t>
  </si>
  <si>
    <t>Industrial Livre</t>
  </si>
  <si>
    <t>Total Vendas Projetada</t>
  </si>
  <si>
    <t>(1): Valores até 21 de julho</t>
  </si>
  <si>
    <t>(*) Inclui e Residencial Social MCMV</t>
  </si>
  <si>
    <t xml:space="preserve">(**) CL: Consumidor Livre, AP: Autoprodutor e AI: Auto importador </t>
  </si>
  <si>
    <t>Projeção de Margens Não Reposicionadas para os Quinquênios 2023-2027</t>
  </si>
  <si>
    <t>Ano</t>
  </si>
  <si>
    <t>Valores em Milhões R$</t>
  </si>
  <si>
    <t>I = Margem Não Reposicionada</t>
  </si>
  <si>
    <t>Projeção de OPEX para os Quinquênios 2023-2027</t>
  </si>
  <si>
    <t>II - Custos Operacionais</t>
  </si>
  <si>
    <t>Projeção de Receitas Correlatas para os Quinquênios 2023-2027</t>
  </si>
  <si>
    <t>III - Receitas Correlatas</t>
  </si>
  <si>
    <t>Projeção de Investimentos para o período 2023-2027</t>
  </si>
  <si>
    <t>VI - Investimentos</t>
  </si>
  <si>
    <t>Projeção BRA para o período 2023-2027</t>
  </si>
  <si>
    <t>IX - Base Inicial</t>
  </si>
  <si>
    <t>IV - Depreciação</t>
  </si>
  <si>
    <t xml:space="preserve">X - Base Final </t>
  </si>
  <si>
    <t>Projeção da Depreciação e Juros Sobre o Capital Próprio para os Quinquênios 2023-2027</t>
  </si>
  <si>
    <t>V - Juros sobre Capital Próprio</t>
  </si>
  <si>
    <t>Compensação de IGPM Represado (pandemia)</t>
  </si>
  <si>
    <t>CEG</t>
  </si>
  <si>
    <t>VII = Compensação de Retroatividade</t>
  </si>
  <si>
    <t>Compensação dos Investimentos não realizados no quinquênio anterior</t>
  </si>
  <si>
    <t>VII = Compensação de Investimentos não realizados</t>
  </si>
  <si>
    <t>Determinação de m para Quinquênio 2023-2027</t>
  </si>
  <si>
    <t>moeda dez/21</t>
  </si>
  <si>
    <t>Taxa de Remuneração =</t>
  </si>
  <si>
    <t>Valores em Mil R$</t>
  </si>
  <si>
    <t>XI = Compensação dos Investimentos não realizados no quinquênio</t>
  </si>
  <si>
    <t>m= Receita Requerida / Margens Não Reposicionadas</t>
  </si>
  <si>
    <t xml:space="preserve">m= [IX + VP(II) - VP(III) - VP(IV) - VP(V) + VP(VI) - VII + VIII - VP(X) - XI ] / VP(I)      </t>
  </si>
  <si>
    <t>Histórico de Vendas de Gás Natural no Segmento de GNV de 2008 de 2016</t>
  </si>
  <si>
    <t>Vendas GNV (M m³)</t>
  </si>
  <si>
    <t>GNV Transporte Público</t>
  </si>
  <si>
    <t>(**) CL: Consumidor Livre, AP: Autoprodutor e AI: Auto importador</t>
  </si>
  <si>
    <t>Projeção de Clientes por Segmento - posição dez/ano (2023-2027)</t>
  </si>
  <si>
    <t>Nº de Clientes Total por Segmento (posição dez/ano)</t>
  </si>
  <si>
    <t>Industrial - Consumidor Livre/Auto-importador/Autoprodutor</t>
  </si>
  <si>
    <t>Total Clientes</t>
  </si>
  <si>
    <t>(1): Posição até 20 de julho</t>
  </si>
  <si>
    <t>(*) Inclui GLP e Residencial Social MCMV</t>
  </si>
  <si>
    <t>Projeção de Incremento Líquido de Clientes por Segmento (2023-2027)</t>
  </si>
  <si>
    <t>Nº de Incremento Líquido de Clientes por Segmento (nº clientes/ano)</t>
  </si>
  <si>
    <t>Projeção de Demanda em Milhões de m³ por Segmento (2023-2027)</t>
  </si>
  <si>
    <t>(1): Valores até 20 de julho</t>
  </si>
  <si>
    <t>Projeção de Gastos de GNC em Milhões de Reais (2023-2027)</t>
  </si>
  <si>
    <t>(mil.R$/ano) - Moeda Dez 2021</t>
  </si>
  <si>
    <t>Gastos para GNC</t>
  </si>
  <si>
    <t>Projeção de Gastos com Odorante em Milhões de Reais (2023-2027)</t>
  </si>
  <si>
    <t>Custo Anual Odorante - Valores em Milhões R$ (moeda dez/2021)</t>
  </si>
  <si>
    <t>Categorias</t>
  </si>
  <si>
    <t>Demais Categorias</t>
  </si>
  <si>
    <t>Total</t>
  </si>
  <si>
    <r>
      <t>Projeção de OPEX em Milhões de Reais (2023-2027)</t>
    </r>
    <r>
      <rPr>
        <sz val="8"/>
        <color theme="1"/>
        <rFont val="Arial"/>
        <family val="2"/>
      </rPr>
      <t> </t>
    </r>
  </si>
  <si>
    <t>OPEX Valores em Mil R$ (moeda dez/2021)</t>
  </si>
  <si>
    <t>Conceitos</t>
  </si>
  <si>
    <t>Despesas de Pessoal</t>
  </si>
  <si>
    <t>Outras Despesas</t>
  </si>
  <si>
    <t>Provisões</t>
  </si>
  <si>
    <t>Perdas de Gás</t>
  </si>
  <si>
    <t>Gastos com Odorante</t>
  </si>
  <si>
    <t>Projeção de Investimentos Total – em Milhões de Reais (2022 – 2027)</t>
  </si>
  <si>
    <t>CEG RIO - Investimentos Total (Milhões R$/ano) - Moeda de Dez/21</t>
  </si>
  <si>
    <t>Itens</t>
  </si>
  <si>
    <r>
      <t>2027</t>
    </r>
    <r>
      <rPr>
        <b/>
        <sz val="6"/>
        <color rgb="FFFFFFFF"/>
        <rFont val="Arial"/>
        <family val="2"/>
      </rPr>
      <t>(*)</t>
    </r>
  </si>
  <si>
    <t>Total 2023-2027</t>
  </si>
  <si>
    <t>Média</t>
  </si>
  <si>
    <t>INVESTIMENTOS MATERIAIS</t>
  </si>
  <si>
    <t>Redes</t>
  </si>
  <si>
    <t>Novas Redes AP</t>
  </si>
  <si>
    <t>Novas Redes MP/BP</t>
  </si>
  <si>
    <t>Renovação Redes</t>
  </si>
  <si>
    <t>Outros - Redes</t>
  </si>
  <si>
    <t>Ramais</t>
  </si>
  <si>
    <t>Novos Ramais</t>
  </si>
  <si>
    <t>Renovação de Ramais</t>
  </si>
  <si>
    <t>Outros - Ramais</t>
  </si>
  <si>
    <r>
      <t xml:space="preserve">Construção de ERM </t>
    </r>
    <r>
      <rPr>
        <b/>
        <vertAlign val="superscript"/>
        <sz val="8"/>
        <color rgb="FF000000"/>
        <rFont val="Arial"/>
        <family val="2"/>
      </rPr>
      <t>[1]</t>
    </r>
    <r>
      <rPr>
        <b/>
        <sz val="8"/>
        <color rgb="FF000000"/>
        <rFont val="Arial"/>
        <family val="2"/>
      </rPr>
      <t>/ GNC</t>
    </r>
    <r>
      <rPr>
        <b/>
        <vertAlign val="superscript"/>
        <sz val="8"/>
        <color rgb="FF000000"/>
        <rFont val="Arial"/>
        <family val="2"/>
      </rPr>
      <t>[2]</t>
    </r>
  </si>
  <si>
    <t>Instalações Auxiliares de Rede</t>
  </si>
  <si>
    <t>Outros Investimentos Materiais</t>
  </si>
  <si>
    <t>Aquisição de Medidores</t>
  </si>
  <si>
    <t>Instalações Comunitárias</t>
  </si>
  <si>
    <t>Terrenos e Edifícios</t>
  </si>
  <si>
    <t>Máquinas e Equipamentos</t>
  </si>
  <si>
    <t>Equipamentos Processos Informatização</t>
  </si>
  <si>
    <t>Veículos</t>
  </si>
  <si>
    <t>Outros Investimentos</t>
  </si>
  <si>
    <t>INVESTIMENTOS IMATERIAIS</t>
  </si>
  <si>
    <t>TOTAL INVESTIMENTOS SINGULARES</t>
  </si>
  <si>
    <t>(*) Valores até 20 de julho</t>
  </si>
  <si>
    <t xml:space="preserve">[1] ERM – Estação de Regulagem e Medição </t>
  </si>
  <si>
    <t>[2] GNC – Estação de Compressão e Descompressão de Gás Natural Comprimido</t>
  </si>
  <si>
    <r>
      <t>Resumo da Base Inicial de Remuneração de Ativos (BRA</t>
    </r>
    <r>
      <rPr>
        <vertAlign val="subscript"/>
        <sz val="10"/>
        <color theme="1"/>
        <rFont val="Arial"/>
        <family val="2"/>
      </rPr>
      <t>i</t>
    </r>
    <r>
      <rPr>
        <sz val="10"/>
        <color theme="1"/>
        <rFont val="Arial"/>
        <family val="2"/>
      </rPr>
      <t xml:space="preserve">) </t>
    </r>
  </si>
  <si>
    <t>CEG RIO - BRAi - Valores em Milhões R$ (moeda de DEZ/2021 - pelo IGP-M)</t>
  </si>
  <si>
    <t>Conceitos (valores em Milhões R$)</t>
  </si>
  <si>
    <t>Posição em Dez/2021</t>
  </si>
  <si>
    <t>Lançamentos em 2022</t>
  </si>
  <si>
    <t>Depreciação em 2022</t>
  </si>
  <si>
    <t>Posição em Jan/2023</t>
  </si>
  <si>
    <t>Imobilizado até Dez/2021</t>
  </si>
  <si>
    <t>Intangível Inicial</t>
  </si>
  <si>
    <t>Intangível Novo</t>
  </si>
  <si>
    <t>Saldo Remanescente de Gastos Diferidos</t>
  </si>
  <si>
    <t>Reposição da Depreciação Investimentos 2017-2021</t>
  </si>
  <si>
    <t>Investimento em 2022</t>
  </si>
  <si>
    <t xml:space="preserve">Saldo Total da BRA </t>
  </si>
  <si>
    <t>Evolução da Base de Ativos (Milhões R$ / Ano)</t>
  </si>
  <si>
    <t>CEG RIO - Evolução da Base de Ativos  (Milhões R$/ano) - Moeda de Dez/21</t>
  </si>
  <si>
    <t>2027*</t>
  </si>
  <si>
    <r>
      <t xml:space="preserve">Imobilizado até </t>
    </r>
    <r>
      <rPr>
        <sz val="11.6"/>
        <rFont val="Arial"/>
        <family val="2"/>
      </rPr>
      <t>5</t>
    </r>
    <r>
      <rPr>
        <sz val="8"/>
        <rFont val="Arial"/>
        <family val="2"/>
      </rPr>
      <t>Q Inicial</t>
    </r>
  </si>
  <si>
    <t>Reposicao da Dep. Imobilizado 4Q</t>
  </si>
  <si>
    <t>(-) Depreciação Imobilizado Inicial</t>
  </si>
  <si>
    <t>Imobilizado até 5Q Final</t>
  </si>
  <si>
    <r>
      <t xml:space="preserve">Imobilizado </t>
    </r>
    <r>
      <rPr>
        <sz val="11.6"/>
        <rFont val="Arial"/>
        <family val="2"/>
      </rPr>
      <t>6</t>
    </r>
    <r>
      <rPr>
        <sz val="8"/>
        <rFont val="Arial"/>
        <family val="2"/>
      </rPr>
      <t>Q Inicial</t>
    </r>
  </si>
  <si>
    <t>(+) Investimentos</t>
  </si>
  <si>
    <t>(-) Depreciação Investimentos</t>
  </si>
  <si>
    <t>Imobilizado 6Q Final</t>
  </si>
  <si>
    <t>Imobilizado Total Inicial</t>
  </si>
  <si>
    <t>Imobilizado Total</t>
  </si>
  <si>
    <t>Diferido até 5Q Inicial</t>
  </si>
  <si>
    <t>(-) Amortização Diferido Inicial</t>
  </si>
  <si>
    <t>Diferido até 5Q Final</t>
  </si>
  <si>
    <t>Diferido Total Inicial</t>
  </si>
  <si>
    <t>Diferido Total Final</t>
  </si>
  <si>
    <t>(-) Amortização Intangível</t>
  </si>
  <si>
    <t>Intangível Final</t>
  </si>
  <si>
    <t>Intangível Total Inicial</t>
  </si>
  <si>
    <t>Intangível Total Final</t>
  </si>
  <si>
    <t>Base Remunerável Inicial</t>
  </si>
  <si>
    <t>Base Remunerável Final</t>
  </si>
  <si>
    <t>* valores estimados em 30 de julho</t>
  </si>
  <si>
    <t>Memória de cálculo dos investimentos deliberado e realizado de 2018 a 2022</t>
  </si>
  <si>
    <t>CEG RIO ( moeda dez/2016)</t>
  </si>
  <si>
    <t>2018-2022</t>
  </si>
  <si>
    <t>Investimento Deliberado</t>
  </si>
  <si>
    <t>Investimento Realizado</t>
  </si>
  <si>
    <t>Memória de cálculo da compensação dos Investimentos não realizados de 2018 a 2022</t>
  </si>
  <si>
    <t xml:space="preserve">Taxa Remuneração </t>
  </si>
  <si>
    <t>CEG RIO (moeda dez/2016)</t>
  </si>
  <si>
    <t>VP</t>
  </si>
  <si>
    <t>Diferença de Investimentos</t>
  </si>
  <si>
    <t>0,34*Depreciação da Diferença de Investimentos</t>
  </si>
  <si>
    <t>Diferença na Evolução Base final</t>
  </si>
  <si>
    <t>Saldo da Compensação dos Investimentos não realizados</t>
  </si>
  <si>
    <t>Saldo da Compensação dos Investimentos não realizados (moeda dez/21)</t>
  </si>
  <si>
    <t>Saldo da Compensação dos Investimentos não realizados (capitalizado a 2023)</t>
  </si>
  <si>
    <t>Projeção da Depreciação e Juros Sobre o Capital Próprio para Quinquênio 2023-2027</t>
  </si>
  <si>
    <t>CEG RIO - Projeção da Depreciação e Juros Sobre o Capital Próprio - Milhões R$ (Moeda de Dez/21)</t>
  </si>
  <si>
    <t>Deduções</t>
  </si>
  <si>
    <t>Depreciação</t>
  </si>
  <si>
    <r>
      <t xml:space="preserve">    Depreciação BRA</t>
    </r>
    <r>
      <rPr>
        <i/>
        <vertAlign val="subscript"/>
        <sz val="8"/>
        <color theme="1"/>
        <rFont val="Arial"/>
        <family val="2"/>
      </rPr>
      <t>i</t>
    </r>
  </si>
  <si>
    <t xml:space="preserve">    Depreciação Investimentos</t>
  </si>
  <si>
    <t xml:space="preserve">    Amortização do Intangível Inicial</t>
  </si>
  <si>
    <t>Juros s/ Capital Próprio</t>
  </si>
  <si>
    <t>Consumo unitário  Residencial (m³/mes)</t>
  </si>
  <si>
    <t>2027(¹)</t>
  </si>
  <si>
    <t>Retroatividade</t>
  </si>
  <si>
    <t xml:space="preserve">Com IGPM </t>
  </si>
  <si>
    <t>VPL</t>
  </si>
  <si>
    <t>m sem retroatividade 2023</t>
  </si>
  <si>
    <t>VP Margem Não Reposicionada 2023</t>
  </si>
  <si>
    <t>VP Margem Reposicionada 2023</t>
  </si>
  <si>
    <t>Taxa Rem.</t>
  </si>
  <si>
    <t>Captalização de 23 --&gt; julho 26</t>
  </si>
  <si>
    <t>Moeda estudo</t>
  </si>
  <si>
    <t>JUROS S/ CAPITAL PRÓPRIO</t>
  </si>
  <si>
    <t>JCP (mil.R$/ano) - Moeda Dez 2021</t>
  </si>
  <si>
    <t>JCP</t>
  </si>
  <si>
    <t>INPUTS</t>
  </si>
  <si>
    <r>
      <rPr>
        <i/>
        <u/>
        <sz val="9"/>
        <color theme="1"/>
        <rFont val="Times New Roman"/>
        <family val="1"/>
      </rPr>
      <t>Fonte</t>
    </r>
    <r>
      <rPr>
        <i/>
        <sz val="9"/>
        <color theme="1"/>
        <rFont val="Times New Roman"/>
        <family val="1"/>
      </rPr>
      <t>: [20250724 CEG y CEG RIO (Real, MPA, Proj) (1).xlsx]</t>
    </r>
  </si>
  <si>
    <t>Informação Financeira MBRL (moeda corrente)</t>
  </si>
  <si>
    <t>Margem 'limpa' TOTAL (sem RTI, perda, odorante e feef)</t>
  </si>
  <si>
    <t>% JCP</t>
  </si>
  <si>
    <t>% JCP (Média 23-24 da Margem)</t>
  </si>
  <si>
    <t>Margem (R$ mil - moeda Dez 21)</t>
  </si>
  <si>
    <t>Imobilizado</t>
  </si>
  <si>
    <t>Data Base:</t>
  </si>
  <si>
    <t>Reposicao 2018-2022</t>
  </si>
  <si>
    <t>Data Inicio:</t>
  </si>
  <si>
    <t>Cálculo BRR</t>
  </si>
  <si>
    <t>Ativos imoblizados entre 2018-2022</t>
  </si>
  <si>
    <t>Activo fijo</t>
  </si>
  <si>
    <t>SNº</t>
  </si>
  <si>
    <t>Clase</t>
  </si>
  <si>
    <t>CC 4</t>
  </si>
  <si>
    <t>Municip.</t>
  </si>
  <si>
    <t>VU</t>
  </si>
  <si>
    <t>Denominación del activo fijo</t>
  </si>
  <si>
    <t>Denominación (cont.)</t>
  </si>
  <si>
    <t>Emplaz.</t>
  </si>
  <si>
    <t>Cta.CAP</t>
  </si>
  <si>
    <t>Cantidad</t>
  </si>
  <si>
    <t>UMB</t>
  </si>
  <si>
    <t>Alta AF or</t>
  </si>
  <si>
    <t>Fe.capit.</t>
  </si>
  <si>
    <t>Mon.</t>
  </si>
  <si>
    <t xml:space="preserve">     CAP iniEj</t>
  </si>
  <si>
    <t xml:space="preserve">          Alta</t>
  </si>
  <si>
    <t xml:space="preserve">      Traslado</t>
  </si>
  <si>
    <t xml:space="preserve">          Baja</t>
  </si>
  <si>
    <t xml:space="preserve">  CAP actuales</t>
  </si>
  <si>
    <t>ValCont. iniEj</t>
  </si>
  <si>
    <t xml:space="preserve">     Amo iniEj</t>
  </si>
  <si>
    <t>Amo acumulada</t>
  </si>
  <si>
    <t>Amo del ejerc.</t>
  </si>
  <si>
    <t xml:space="preserve">      Amo baja</t>
  </si>
  <si>
    <t xml:space="preserve">  Amo traslado</t>
  </si>
  <si>
    <t>Correcciones</t>
  </si>
  <si>
    <t xml:space="preserve"> ValCont. act.</t>
  </si>
  <si>
    <t>Tipo Ativo</t>
  </si>
  <si>
    <t>Classificação</t>
  </si>
  <si>
    <t>Data Padrão pra Depreciação</t>
  </si>
  <si>
    <t>Vida útil regulatória (meses)</t>
  </si>
  <si>
    <t>Depreciação mensal</t>
  </si>
  <si>
    <t>Meses para Reposição Dep</t>
  </si>
  <si>
    <t>240000001150</t>
  </si>
  <si>
    <t>2180</t>
  </si>
  <si>
    <t>2101</t>
  </si>
  <si>
    <t>10</t>
  </si>
  <si>
    <t/>
  </si>
  <si>
    <t>030</t>
  </si>
  <si>
    <t>CONSTRUÇÃO DE REDE MP - ORDEM 299000147895 (GOR)</t>
  </si>
  <si>
    <t>1330101119</t>
  </si>
  <si>
    <t>BRL</t>
  </si>
  <si>
    <t>240000001302</t>
  </si>
  <si>
    <t>CONSTRUÇÃO DE REDE MP - ORDEM 299000161232 (GOR)</t>
  </si>
  <si>
    <t>240000001303</t>
  </si>
  <si>
    <t>CONSTRUÇÃO DE REDE MP - ORDEM 299000161255 (GOR)</t>
  </si>
  <si>
    <t>240000001304</t>
  </si>
  <si>
    <t>CONSTRUÇÃO DE REDE MP - ORDEM 299000161263 (GOR)</t>
  </si>
  <si>
    <t>240000001306</t>
  </si>
  <si>
    <t>CONSTRUÇÃO DE REDE MP - ORDEM 299000161286 (GOR)</t>
  </si>
  <si>
    <t>240000001308</t>
  </si>
  <si>
    <t>CONSTRUÇÃO DE REDE MP - ORDEM 299000161317 (GOR)</t>
  </si>
  <si>
    <t>240000001309</t>
  </si>
  <si>
    <t>CONSTRUÇÃO DE REDE MP - ORDEM 299000161332 (GOR)</t>
  </si>
  <si>
    <t>240000001323</t>
  </si>
  <si>
    <t>CONSTRUÇÃO DE REDE MP - ORDEM 299000161301 (GOR)</t>
  </si>
  <si>
    <t>240000001325</t>
  </si>
  <si>
    <t>CONSTRUÇÃO DE REDE MP - ORDEM 299000161554 (GOR)</t>
  </si>
  <si>
    <t>240000001326</t>
  </si>
  <si>
    <t>CONSTRUÇÃO DE REDE MP - ORDEM 299000161570 (GOR)</t>
  </si>
  <si>
    <t>240000001327</t>
  </si>
  <si>
    <t>CONSTRUÇÃO DE REDE MP - ORDEM 299000161646 (GOR)</t>
  </si>
  <si>
    <t>240000001328</t>
  </si>
  <si>
    <t>CONSTRUÇÃO DE REDE MP - ORDEM 299000161669 (GOR)</t>
  </si>
  <si>
    <t>240000001336</t>
  </si>
  <si>
    <t>CONSTRUÇÃO DE REDE MP - ORDEM 299000161325 (GOR)</t>
  </si>
  <si>
    <t>240000001349</t>
  </si>
  <si>
    <t>CONSTRUÇÃO DE REDE MP - ORDEM 299000161593 (GOR)</t>
  </si>
  <si>
    <t>240000001352</t>
  </si>
  <si>
    <t>CONSTRUÇÃO DE REDE MP - ORDEM 299000161785 (GOR)</t>
  </si>
  <si>
    <t>240000001354</t>
  </si>
  <si>
    <t>CONSTRUÇÃO DE REDE MP - ORDEM 299000163259 (GOR)</t>
  </si>
  <si>
    <t>240000001356</t>
  </si>
  <si>
    <t>CONSTRUÇÃO DE REDE MP - ORDEM 299000164028 (GOR)</t>
  </si>
  <si>
    <t>240000001369</t>
  </si>
  <si>
    <t>CONSTRUÇÃO DE REDE MP - ORDEM 299000161731 (GOR)</t>
  </si>
  <si>
    <t>240000001818</t>
  </si>
  <si>
    <t>CONSTRUÇÃO DE REDE MP - ORDEM 299000161340 (GOR)</t>
  </si>
  <si>
    <t>240000001820</t>
  </si>
  <si>
    <t>CONSTRUÇÃO DE REDE MP - ORDEM 299000161384 (GOR)</t>
  </si>
  <si>
    <t>240000001828</t>
  </si>
  <si>
    <t>CONSTRUÇÃO DE REDE MP - ORDEM 299000147943</t>
  </si>
  <si>
    <t>240000001829</t>
  </si>
  <si>
    <t>CONSTRUÇÃO DE REDE MP - ORDEM 299000162712</t>
  </si>
  <si>
    <t>240000001830</t>
  </si>
  <si>
    <t>CONSTRUÇÃO DE REDE MP - ORDEM 299000165080</t>
  </si>
  <si>
    <t>240000001831</t>
  </si>
  <si>
    <t>CONSTRUÇÃO DE REDE MP - ORDEM 299000165128</t>
  </si>
  <si>
    <t>240000001832</t>
  </si>
  <si>
    <t>CONSTRUÇÃO DE REDE MP - ORDEM 299000166767</t>
  </si>
  <si>
    <t>240000001833</t>
  </si>
  <si>
    <t>CONSTRUÇÃO DE REDE MP - ORDEM 299000167792</t>
  </si>
  <si>
    <t>260000000647</t>
  </si>
  <si>
    <t>2110</t>
  </si>
  <si>
    <t>11</t>
  </si>
  <si>
    <t>CONSTRUÇÃO DE RAMAIS - ORDEN: 299000147496 (GOR)</t>
  </si>
  <si>
    <t>260000000786</t>
  </si>
  <si>
    <t>CONSTRUÇÃO DE RAMAIS - ORDEM 299000161335 (GOR)</t>
  </si>
  <si>
    <t>260000000793</t>
  </si>
  <si>
    <t>CONSTRUÇÃO DE RAMAIS - ORDEM 299000161235 (GOR)</t>
  </si>
  <si>
    <t>260000000794</t>
  </si>
  <si>
    <t>CONSTRUÇÃO DE RAMAIS - ORDEM 299000161242 (GOR)</t>
  </si>
  <si>
    <t>260000000795</t>
  </si>
  <si>
    <t>CONSTRUÇÃO DE RAMAIS - ORDEM 299000161258 (GOR)</t>
  </si>
  <si>
    <t>260000000796</t>
  </si>
  <si>
    <t>CONSTRUÇÃO DE RAMAIS - ORDEM 299000161266 (GOR)</t>
  </si>
  <si>
    <t>260000000797</t>
  </si>
  <si>
    <t>CONSTRUÇÃO DE RAMAIS - ORDEM 299000161281 (GOR)</t>
  </si>
  <si>
    <t>260000000798</t>
  </si>
  <si>
    <t>CONSTRUÇÃO DE RAMAIS - ORDEM 299000161289 (GOR)</t>
  </si>
  <si>
    <t>260000000799</t>
  </si>
  <si>
    <t>CONSTRUÇÃO DE RAMAIS - ORDEM 299000161297 (GOR)</t>
  </si>
  <si>
    <t>260000000800</t>
  </si>
  <si>
    <t>CONSTRUÇÃO DE RAMAIS - ORDEM 299000161304 (GOR)</t>
  </si>
  <si>
    <t>260000000801</t>
  </si>
  <si>
    <t>CONSTRUÇÃO DE RAMAIS - ORDEM 299000161320 (GOR)</t>
  </si>
  <si>
    <t>260000000807</t>
  </si>
  <si>
    <t>CONSTRUÇÃO DE RAMAIS - ORDEM 299000147644 (GOR)</t>
  </si>
  <si>
    <t>260000000814</t>
  </si>
  <si>
    <t>CONSTRUÇÃO DE RAMAIS - ORDEM 299000161649 (GOR)</t>
  </si>
  <si>
    <t>260000000816</t>
  </si>
  <si>
    <t>CONSTRUÇÃO DE RAMAIS - ORDEM 299000161711 (GOR)</t>
  </si>
  <si>
    <t>260000000817</t>
  </si>
  <si>
    <t>CONSTRUÇÃO DE RAMAIS - ORDEM 299000161734 (GOR)</t>
  </si>
  <si>
    <t>260000000819</t>
  </si>
  <si>
    <t>CONSTRUÇÃO DE RAMAIS - ORDEM 299000161796 (GOR)</t>
  </si>
  <si>
    <t>260000000825</t>
  </si>
  <si>
    <t>CONSTRUÇÃO DE RAMAIS - ORDEM 299000161273 (GOR)</t>
  </si>
  <si>
    <t>260000000828</t>
  </si>
  <si>
    <t>CONSTRUÇÃO DE RAMAIS - ORDEM 299000161328 (GOR)</t>
  </si>
  <si>
    <t>260000000840</t>
  </si>
  <si>
    <t>CONSTRUÇÃO DE RAMAIS - ORDEM 299000161441 (GOR)</t>
  </si>
  <si>
    <t>260000000842</t>
  </si>
  <si>
    <t>CONSTRUÇÃO DE RAMAIS - ORDEM 299000161565 (GOR)</t>
  </si>
  <si>
    <t>260000000843</t>
  </si>
  <si>
    <t>CONSTRUÇÃO DE RAMAIS - ORDEM 299000161573 (GOR)</t>
  </si>
  <si>
    <t>260000000846</t>
  </si>
  <si>
    <t>CONSTRUÇÃO DE RAMAIS - ORDEM 299000161672 (GOR)</t>
  </si>
  <si>
    <t>260000000852</t>
  </si>
  <si>
    <t>CONSTRUÇÃO DE RAMAIS - ORDEM 299000162602 (GOR)</t>
  </si>
  <si>
    <t>260000000887</t>
  </si>
  <si>
    <t>CONSTRUÇÃO DE RAMAIS - ORDEM 299000161250 (GOR)</t>
  </si>
  <si>
    <t>260000000898</t>
  </si>
  <si>
    <t>CONSTRUÇÃO DE RAMAIS - ORDEM 299000161343 (GOR)</t>
  </si>
  <si>
    <t>260000000900</t>
  </si>
  <si>
    <t>CONSTRUÇÃO DE RAMAIS - ORDEM 299000161387 (GOR)</t>
  </si>
  <si>
    <t>260000000915</t>
  </si>
  <si>
    <t>CONSTRUÇÃO DE RAMAIS - ORDEM 299000161557</t>
  </si>
  <si>
    <t>260000000916</t>
  </si>
  <si>
    <t>CONSTRUÇÃO DE RAMAIS - ORDEM 299000165130</t>
  </si>
  <si>
    <t>260000000917</t>
  </si>
  <si>
    <t>CONSTRUÇÃO DE RAMAIS - ORDEM 299000166027</t>
  </si>
  <si>
    <t>260000000918</t>
  </si>
  <si>
    <t>CONSTRUÇÃO DE RAMAIS - ORDEM 299000166515</t>
  </si>
  <si>
    <t>260000000919</t>
  </si>
  <si>
    <t>CONSTRUÇÃO DE RAMAIS - ORDEM 299000166769</t>
  </si>
  <si>
    <t>310000000437</t>
  </si>
  <si>
    <t>2400</t>
  </si>
  <si>
    <t>020</t>
  </si>
  <si>
    <t>MEDIDORES Industria e GNV Medidores alto volume .</t>
  </si>
  <si>
    <t>9A1 - MANUTENÇÃO DE MEDIDORES - CEGRIO</t>
  </si>
  <si>
    <t>1330101114</t>
  </si>
  <si>
    <t>Medidores</t>
  </si>
  <si>
    <t>310000000439</t>
  </si>
  <si>
    <t>MEDIDORES GNV  CRM - Conjunto de Regulagem e Mediç</t>
  </si>
  <si>
    <t>9A1 - SUBSTITUIÇÃO MEDIDORES POSTOS GNV - CEGRIO</t>
  </si>
  <si>
    <t>UN</t>
  </si>
  <si>
    <t>310000000427</t>
  </si>
  <si>
    <t>MEDIDORES MP/BP - RESIDENCIAL</t>
  </si>
  <si>
    <t>310000000433</t>
  </si>
  <si>
    <t>06</t>
  </si>
  <si>
    <t>MEDIDORES MP - INDUSTRIAL</t>
  </si>
  <si>
    <t>310000000428</t>
  </si>
  <si>
    <t>MEDIDORES MP/BP - GRANDE COMERCIO</t>
  </si>
  <si>
    <t>360000000148</t>
  </si>
  <si>
    <t>2900</t>
  </si>
  <si>
    <t>20</t>
  </si>
  <si>
    <t>010</t>
  </si>
  <si>
    <t>MÁQUINAS E EQUIPAMENTOS - TODOS OS MERCADOS</t>
  </si>
  <si>
    <t>1330201104</t>
  </si>
  <si>
    <t>Máquinas e equipamentos</t>
  </si>
  <si>
    <t>360000000160</t>
  </si>
  <si>
    <t>MÁQUINAS E EQUIPAMENTOS Todos os Mercados Estação</t>
  </si>
  <si>
    <t>8 - MELHORIAS EM ESTAÇÕES DE ODORIZAÇÃO (COM REMOT</t>
  </si>
  <si>
    <t>360000000161</t>
  </si>
  <si>
    <t>MELHORIAS EM ESTAÇÕES DE VÁLVULAS TELECOMANDAD</t>
  </si>
  <si>
    <t>309000000074</t>
  </si>
  <si>
    <t>0</t>
  </si>
  <si>
    <t>2300B</t>
  </si>
  <si>
    <t>78</t>
  </si>
  <si>
    <t>000</t>
  </si>
  <si>
    <t>INSTALAÇÕES AUX. DE REDE Industria e GNV 8 - AQUIS</t>
  </si>
  <si>
    <t>8 - AQUISIÇÃO DE REMOTAS SOBRESSALENTES (GNV E IND</t>
  </si>
  <si>
    <t>1330110113</t>
  </si>
  <si>
    <t>Instalações Auxiliares em andamento</t>
  </si>
  <si>
    <t>OA</t>
  </si>
  <si>
    <t>309000000076</t>
  </si>
  <si>
    <t>INSTALAÇÕES AUX. DE REDE Industria e GNV 8 - TELEM</t>
  </si>
  <si>
    <t>8 - TELEMEDIÇÃO EM CLIENTES INDUSTRIAIS (SEMMIND)</t>
  </si>
  <si>
    <t>309000000077</t>
  </si>
  <si>
    <t>INSTALAÇÕES AUX. DE REDE GERAÇÃO ELÉTRICA</t>
  </si>
  <si>
    <t>8 - MANUTENÇÃO DE UTE'S (MACAÉ MERCHANT E NORTE FL</t>
  </si>
  <si>
    <t>410000000034</t>
  </si>
  <si>
    <t>5100</t>
  </si>
  <si>
    <t>25</t>
  </si>
  <si>
    <t>005</t>
  </si>
  <si>
    <t>TOYOTA HILUX DIESEL 17/18 PLACA LTE9921</t>
  </si>
  <si>
    <t>CHASSI 8AJDA8CD5H1873341</t>
  </si>
  <si>
    <t>1330101125</t>
  </si>
  <si>
    <t>Veiculos</t>
  </si>
  <si>
    <t>2181</t>
  </si>
  <si>
    <t>ACCESORIOS TOYOTA HILUX DIESEL 17/18 PLACA LTE9921</t>
  </si>
  <si>
    <t>2182</t>
  </si>
  <si>
    <t>IPVA TOYOTA HILUX DIESEL 17/18 PLACA LTE9921</t>
  </si>
  <si>
    <t>410000000035</t>
  </si>
  <si>
    <t>TOYOTA HILUX DIESEL 17/18 PLACA  LTF8322</t>
  </si>
  <si>
    <t>CHASSI 8AJDA8CD7H1873339</t>
  </si>
  <si>
    <t>ACCESORIOS TOYOTA HILUX DIESEL 17/18 PLACA LTF8322</t>
  </si>
  <si>
    <t>IPVA TOYOTA HILUX DIESEL 17/18 PLACA  LTF8322</t>
  </si>
  <si>
    <t>310000000429</t>
  </si>
  <si>
    <t>MEDIDORES MP/BP - TODOS OS MERCADOS</t>
  </si>
  <si>
    <t>360000000158</t>
  </si>
  <si>
    <t>MÁQUI E EQUIPAM Equipamento de Laboratórios</t>
  </si>
  <si>
    <t>MQ - PEÇAS SOBRESSALENTES P/ ANALISADOR DE MERCAPT</t>
  </si>
  <si>
    <t>240000001198</t>
  </si>
  <si>
    <t>CONSTRUÇÃO DE REDE MP - ORDEM 299000147949 (GOR)</t>
  </si>
  <si>
    <t>240000001277</t>
  </si>
  <si>
    <t>CONSTRUÇÃO DE REDE MP - ORDEM 299000161278 (GOR)</t>
  </si>
  <si>
    <t>240000001338</t>
  </si>
  <si>
    <t>240000001341</t>
  </si>
  <si>
    <t>240000001343</t>
  </si>
  <si>
    <t>240000001348</t>
  </si>
  <si>
    <t>240000001817</t>
  </si>
  <si>
    <t>240000001824</t>
  </si>
  <si>
    <t>240000001834</t>
  </si>
  <si>
    <t>CONSTRUÇÃO DE REDE MP - ORDEM 299000161731</t>
  </si>
  <si>
    <t>240000001835</t>
  </si>
  <si>
    <t>CONSTRUÇÃO DE REDE MP - ORDEM 299000171102</t>
  </si>
  <si>
    <t>240000001836</t>
  </si>
  <si>
    <t>CONSTRUÇÃO DE REDE MP - ORDEM 299000162576</t>
  </si>
  <si>
    <t>260000000803</t>
  </si>
  <si>
    <t>CONSTRUÇÃO DE RAMAIS - ORDEM 299000161351 (GOR)</t>
  </si>
  <si>
    <t>260000000822</t>
  </si>
  <si>
    <t>260000000823</t>
  </si>
  <si>
    <t>260000000824</t>
  </si>
  <si>
    <t>260000000826</t>
  </si>
  <si>
    <t>260000000829</t>
  </si>
  <si>
    <t>260000000833</t>
  </si>
  <si>
    <t>260000000834</t>
  </si>
  <si>
    <t>260000000838</t>
  </si>
  <si>
    <t>260000000848</t>
  </si>
  <si>
    <t>CONSTRUÇÃO DE RAMAIS - ORDEM 299000161726 (GOR)</t>
  </si>
  <si>
    <t>260000000849</t>
  </si>
  <si>
    <t>260000000874</t>
  </si>
  <si>
    <t>260000000909</t>
  </si>
  <si>
    <t>CONSTRUÇÃO DE RAMAIS - ORDEM 299000162579 (GOR)</t>
  </si>
  <si>
    <t>260000000920</t>
  </si>
  <si>
    <t>CONSTRUÇÃO DE RAMAIS - ORDEM 299000161204</t>
  </si>
  <si>
    <t>260000000921</t>
  </si>
  <si>
    <t>CONSTRUÇÃO DE RAMAIS - ORDEM 299000161573</t>
  </si>
  <si>
    <t>260000000922</t>
  </si>
  <si>
    <t>CONSTRUÇÃO DE RAMAIS - ORDEM 299000171289</t>
  </si>
  <si>
    <t>240000001838</t>
  </si>
  <si>
    <t>CONSTRUÇÃO DE REDE MP - ORDEM 299000163049</t>
  </si>
  <si>
    <t>240000001839</t>
  </si>
  <si>
    <t>CONSTRUÇÃO DE REDE MP - ORDEM 299000167793</t>
  </si>
  <si>
    <t>240000001840</t>
  </si>
  <si>
    <t>CONSTRUÇÃO DE REDE MP - ORDEM 299000163161</t>
  </si>
  <si>
    <t>240000001841</t>
  </si>
  <si>
    <t>CONSTRUÇÃO DE REDE MP - ORDEM 299000163820</t>
  </si>
  <si>
    <t>240000001842</t>
  </si>
  <si>
    <t>CONSTRUÇÃO DE REDE MP - ORDEM 299000167797</t>
  </si>
  <si>
    <t>240000001843</t>
  </si>
  <si>
    <t>CONSTRUÇÃO DE REDE MP - ORDEM 299000171035</t>
  </si>
  <si>
    <t>240000001846</t>
  </si>
  <si>
    <t>0 CONSTRUÇÃO DE REDE MP - ORDEM 299000171089</t>
  </si>
  <si>
    <t>270000000341</t>
  </si>
  <si>
    <t>2120</t>
  </si>
  <si>
    <t>07</t>
  </si>
  <si>
    <t>CONSTRUÇÃO DE ERM - ORDEM: 299000164830</t>
  </si>
  <si>
    <t>1330101120</t>
  </si>
  <si>
    <t>ERM</t>
  </si>
  <si>
    <t>270000000342</t>
  </si>
  <si>
    <t>CONSTRUÇÃO DE ERM - ORDEM: 299000170598</t>
  </si>
  <si>
    <t>270000000343</t>
  </si>
  <si>
    <t>CONSTRUÇÃO DE ERM - ORDEM: 299000167545</t>
  </si>
  <si>
    <t>270000000344</t>
  </si>
  <si>
    <t>CONSTRUÇÃO DE ERM - ORDEM: 299000164312</t>
  </si>
  <si>
    <t>300000000247</t>
  </si>
  <si>
    <t>2300</t>
  </si>
  <si>
    <t>BRRJ20</t>
  </si>
  <si>
    <t>INST. AUXILIARES DE REDE -ORDEM 299000162425</t>
  </si>
  <si>
    <t>Instalações Auxiliares</t>
  </si>
  <si>
    <t>300000000248</t>
  </si>
  <si>
    <t>INST. AUXILIARES DE REDE -ORDEM 299000163282</t>
  </si>
  <si>
    <t>300000000250</t>
  </si>
  <si>
    <t>INST. AUXILIARES DE REDE -ORDEM 299000170622</t>
  </si>
  <si>
    <t>300000000251</t>
  </si>
  <si>
    <t>INST. AUXILIARES DE REDE -ORDEM 299000147170</t>
  </si>
  <si>
    <t>300000000252</t>
  </si>
  <si>
    <t>INST. AUXILIARES DE REDE -ORDEM 299000162423</t>
  </si>
  <si>
    <t>300000000253</t>
  </si>
  <si>
    <t>INST. AUXILIARES DE REDE -ORDEM 299000163047</t>
  </si>
  <si>
    <t>300000000254</t>
  </si>
  <si>
    <t>INST. AUXILIARES DE REDE -ORDEM 299000166020</t>
  </si>
  <si>
    <t>300000000255</t>
  </si>
  <si>
    <t>INST. AUXILIARES DE REDE -ORDEM 299000170620</t>
  </si>
  <si>
    <t>300000000256</t>
  </si>
  <si>
    <t>INST. AUXILIARES DE REDE -ORDE 299000153445</t>
  </si>
  <si>
    <t>300000000257</t>
  </si>
  <si>
    <t>INST. AUXILIARES DE REDE -ORDE 299000162424</t>
  </si>
  <si>
    <t>300000000258</t>
  </si>
  <si>
    <t>INST. AUXILIARES DE REDE -ORDE 299000163048</t>
  </si>
  <si>
    <t>300000000259</t>
  </si>
  <si>
    <t>INST. AUXILIARES DE REDE -ORDE 299000163273</t>
  </si>
  <si>
    <t>300000000260</t>
  </si>
  <si>
    <t>INST. AUXILIARES DE REDE -ORDE 299000166681</t>
  </si>
  <si>
    <t>300000000261</t>
  </si>
  <si>
    <t>INST. AUXILIARES DE REDE -ORDE 299000167561</t>
  </si>
  <si>
    <t>300000000262</t>
  </si>
  <si>
    <t>INST. AUXILIARES DE REDE -ORDE 299000168080</t>
  </si>
  <si>
    <t>300000000263</t>
  </si>
  <si>
    <t>INST. AUXILIARES DE REDE -ORDE 299000170621</t>
  </si>
  <si>
    <t>310000000436</t>
  </si>
  <si>
    <t>MEDIDORES-Industrial Medidores alto volume . CR</t>
  </si>
  <si>
    <t>9A1 - AQUISIÇÃO DE MEDIDORES TIPO TURBINA - CEGRIO</t>
  </si>
  <si>
    <t>240000001183</t>
  </si>
  <si>
    <t>CONSTRUÇÃO DE REDE MP - ORDEM 299000148323 (GOR)</t>
  </si>
  <si>
    <t>240000001305</t>
  </si>
  <si>
    <t>240000001307</t>
  </si>
  <si>
    <t>CONSTRUÇÃO DE REDE MP - ORDEM 299000161309 (GOR)</t>
  </si>
  <si>
    <t>240000001316</t>
  </si>
  <si>
    <t>CONSTRUÇÃO DE REDE MP - ORDEM 299000155552 (GOR)</t>
  </si>
  <si>
    <t>240000001331</t>
  </si>
  <si>
    <t>CONSTRUÇÃO DE REDE MP - ORDEM 299000161770 (GOR)</t>
  </si>
  <si>
    <t>240000001340</t>
  </si>
  <si>
    <t>240000001350</t>
  </si>
  <si>
    <t>CONSTRUÇÃO DE REDE MP - ORDEM 299000161723 (GOR)</t>
  </si>
  <si>
    <t>240000001351</t>
  </si>
  <si>
    <t>CONSTRUÇÃO DE REDE MP - ORDEM 299000161762 (GOR)</t>
  </si>
  <si>
    <t>240000001357</t>
  </si>
  <si>
    <t>240000001360</t>
  </si>
  <si>
    <t>240000001363</t>
  </si>
  <si>
    <t>240000001367</t>
  </si>
  <si>
    <t>240000001822</t>
  </si>
  <si>
    <t>240000001849</t>
  </si>
  <si>
    <t>CONSTRUÇÃO DE REDE MP - ORDEM 299000148322 (GOR)</t>
  </si>
  <si>
    <t>240000001850</t>
  </si>
  <si>
    <t>CONSTRUÇÃO DE REDE MP - ORDEM 299000161224 (GOR)</t>
  </si>
  <si>
    <t>240000001851</t>
  </si>
  <si>
    <t>240000001852</t>
  </si>
  <si>
    <t>240000001853</t>
  </si>
  <si>
    <t>CONSTRUÇÃO DE REDE MP - ORDEM 299000161355 (GOR)</t>
  </si>
  <si>
    <t>240000001854</t>
  </si>
  <si>
    <t>240000001855</t>
  </si>
  <si>
    <t>CONSTRUÇÃO DE REDE MP - ORDEM 299000161677 (GOR)</t>
  </si>
  <si>
    <t>240000001856</t>
  </si>
  <si>
    <t>240000001857</t>
  </si>
  <si>
    <t>CONSTRUÇÃO DE REDE MP - ORDEM 299000162576 (GOR)</t>
  </si>
  <si>
    <t>240000001858</t>
  </si>
  <si>
    <t>CONSTRUÇÃO DE REDE MP - ORDEM 299000162591 (GOR)</t>
  </si>
  <si>
    <t>240000001859</t>
  </si>
  <si>
    <t>240000001861</t>
  </si>
  <si>
    <t>CONSTRUÇÃO DE REDE MP - ORDEM 299000167841 (GOR)</t>
  </si>
  <si>
    <t>240000001862</t>
  </si>
  <si>
    <t>CONSTRUÇÃO DE REDE MP - ORDEM 299000169976 (GOR)</t>
  </si>
  <si>
    <t>240000001864</t>
  </si>
  <si>
    <t>CONSTRUÇÃO DE REDE MP - ORDEM 299000171050 (GOR)</t>
  </si>
  <si>
    <t>240000001865</t>
  </si>
  <si>
    <t>CONSTRUÇÃO DE REDE MP - ORDEM 299000171054 (GOR)</t>
  </si>
  <si>
    <t>240000001866</t>
  </si>
  <si>
    <t>CONSTRUÇÃO DE REDE MP - ORDEM 299000171058 (GOR)</t>
  </si>
  <si>
    <t>240000001867</t>
  </si>
  <si>
    <t>CONSTRUÇÃO DE REDE MP - ORDEM 299000171066 (GOR)</t>
  </si>
  <si>
    <t>240000001868</t>
  </si>
  <si>
    <t>CONSTRUÇÃO DE REDE MP - ORDEM 299000171074 (GOR)</t>
  </si>
  <si>
    <t>240000001869</t>
  </si>
  <si>
    <t>CONSTRUÇÃO DE REDE MP - ORDEM 299000171111 (GOR)</t>
  </si>
  <si>
    <t>240000001870</t>
  </si>
  <si>
    <t>CONSTRUÇÃO DE REDE MP - ORDEM 299000171114 (GOR)</t>
  </si>
  <si>
    <t>240000001871</t>
  </si>
  <si>
    <t>CONSTRUÇÃO DE REDE MP - ORDEM 299000171118 (GOR)</t>
  </si>
  <si>
    <t>240000001872</t>
  </si>
  <si>
    <t>CONSTRUÇÃO DE REDE MP - ORDEM 299000171139 (GOR)</t>
  </si>
  <si>
    <t>240000001873</t>
  </si>
  <si>
    <t>CONSTRUÇÃO DE REDE MP - ORDEM 299000171162 (GOR)</t>
  </si>
  <si>
    <t>240000001874</t>
  </si>
  <si>
    <t>CONSTRUÇÃO DE REDE MP - ORDEM 299000171188 (GOR)</t>
  </si>
  <si>
    <t>240000001875</t>
  </si>
  <si>
    <t>CONSTRUÇÃO DE REDE MP - ORDEM 299000171192 (GOR)</t>
  </si>
  <si>
    <t>240000001876</t>
  </si>
  <si>
    <t>CONSTRUÇÃO DE REDE MP - ORDEM 299000171259 (GOR)</t>
  </si>
  <si>
    <t>240000001877</t>
  </si>
  <si>
    <t>CONSTRUÇÃO DE REDE MP - ORDEM 299000171295 (GOR)</t>
  </si>
  <si>
    <t>240000001878</t>
  </si>
  <si>
    <t>CONSTRUÇÃO DE REDE MP - ORDEM 299000171361 (GOR)</t>
  </si>
  <si>
    <t>240000001879</t>
  </si>
  <si>
    <t>CONSTRUÇÃO DE REDE MP - ORDEM 299000171381 (GOR)</t>
  </si>
  <si>
    <t>240000001880</t>
  </si>
  <si>
    <t>CONSTRUÇÃO DE REDE MP - ORDEM 299000171385 (GOR)</t>
  </si>
  <si>
    <t>240000001881</t>
  </si>
  <si>
    <t>CONSTRUÇÃO DE REDE MP - ORDEM 299000171403 (GOR)</t>
  </si>
  <si>
    <t>240000001882</t>
  </si>
  <si>
    <t>CONSTRUÇÃO DE REDE MP - ORDEM 299000171452 (GOR)</t>
  </si>
  <si>
    <t>240000001883</t>
  </si>
  <si>
    <t>CONSTRUÇÃO DE REDE MP - ORDEM 299000172357 (GOR)</t>
  </si>
  <si>
    <t>240000001884</t>
  </si>
  <si>
    <t>CONSTRUÇÃO DE REDE MP - ORDEM 299000172459 (GOR)</t>
  </si>
  <si>
    <t>240000001885</t>
  </si>
  <si>
    <t>CONSTRUÇÃO DE REDE MP - ORDEM 299000172725 (GOR)</t>
  </si>
  <si>
    <t>240000001886</t>
  </si>
  <si>
    <t>CONSTRUÇÃO DE REDE MP - ORDEM 299000172890 (GOR)</t>
  </si>
  <si>
    <t>240000001887</t>
  </si>
  <si>
    <t>CONSTRUÇÃO DE REDE MP - ORDEM 299000174323 (GOR)</t>
  </si>
  <si>
    <t>260000000818</t>
  </si>
  <si>
    <t>CONSTRUÇÃO DE RAMAIS - ORDEM 299000161773 (GOR)</t>
  </si>
  <si>
    <t>260000000827</t>
  </si>
  <si>
    <t>CONSTRUÇÃO DE RAMAIS - ORDEM 299000161312 (GOR)</t>
  </si>
  <si>
    <t>260000000830</t>
  </si>
  <si>
    <t>260000000831</t>
  </si>
  <si>
    <t>260000000832</t>
  </si>
  <si>
    <t>260000000835</t>
  </si>
  <si>
    <t>260000000836</t>
  </si>
  <si>
    <t>260000000837</t>
  </si>
  <si>
    <t>260000000844</t>
  </si>
  <si>
    <t>CONSTRUÇÃO DE RAMAIS - ORDEM 299000161596 (GOR)</t>
  </si>
  <si>
    <t>260000000845</t>
  </si>
  <si>
    <t>260000000850</t>
  </si>
  <si>
    <t>CONSTRUÇÃO DE RAMAIS - ORDEM 299000161765 (GOR)</t>
  </si>
  <si>
    <t>260000000857</t>
  </si>
  <si>
    <t>CONSTRUÇÃO DE RAMAIS - ORDEM 299000161227 (GOR)</t>
  </si>
  <si>
    <t>260000000858</t>
  </si>
  <si>
    <t>260000000863</t>
  </si>
  <si>
    <t>260000000868</t>
  </si>
  <si>
    <t>260000000899</t>
  </si>
  <si>
    <t>260000000904</t>
  </si>
  <si>
    <t>260000000906</t>
  </si>
  <si>
    <t>260000000911</t>
  </si>
  <si>
    <t>260000000926</t>
  </si>
  <si>
    <t>260000000927</t>
  </si>
  <si>
    <t>CONSTRUÇÃO DE RAMAIS - ORDEM 299000161358 (GOR)</t>
  </si>
  <si>
    <t>260000000928</t>
  </si>
  <si>
    <t>260000000929</t>
  </si>
  <si>
    <t>CONSTRUÇÃO DE RAMAIS - ORDEM 299000166769 (GOR)</t>
  </si>
  <si>
    <t>260000000930</t>
  </si>
  <si>
    <t>CONSTRUÇÃO DE RAMAIS - ORDEM 299000171052 (GOR)</t>
  </si>
  <si>
    <t>260000000931</t>
  </si>
  <si>
    <t>CONSTRUÇÃO DE RAMAIS - ORDEM 299000171056 (GOR)</t>
  </si>
  <si>
    <t>260000000932</t>
  </si>
  <si>
    <t>CONSTRUÇÃO DE RAMAIS - ORDEM 299000171060 (GOR)</t>
  </si>
  <si>
    <t>260000000933</t>
  </si>
  <si>
    <t>CONSTRUÇÃO DE RAMAIS - ORDEM 299000171068 (GOR)</t>
  </si>
  <si>
    <t>260000000934</t>
  </si>
  <si>
    <t>CONSTRUÇÃO DE RAMAIS - ORDEM 299000171072 (GOR)</t>
  </si>
  <si>
    <t>260000000935</t>
  </si>
  <si>
    <t>CONSTRUÇÃO DE RAMAIS - ORDEM 299000171100 (GOR)</t>
  </si>
  <si>
    <t>260000000936</t>
  </si>
  <si>
    <t>CONSTRUÇÃO DE RAMAIS - ORDEM 299000171112 (GOR)</t>
  </si>
  <si>
    <t>260000000937</t>
  </si>
  <si>
    <t>CONSTRUÇÃO DE RAMAIS - ORDEM 299000171116 (GOR)</t>
  </si>
  <si>
    <t>260000000938</t>
  </si>
  <si>
    <t>CONSTRUÇÃO DE RAMAIS - ORDEM 299000171160 (GOR)</t>
  </si>
  <si>
    <t>260000000939</t>
  </si>
  <si>
    <t>CONSTRUÇÃO DE RAMAIS - ORDEM 299000171164 (GOR)</t>
  </si>
  <si>
    <t>260000000940</t>
  </si>
  <si>
    <t>CONSTRUÇÃO DE RAMAIS - ORDEM 299000171168 (GOR)</t>
  </si>
  <si>
    <t>260000000941</t>
  </si>
  <si>
    <t>CONSTRUÇÃO DE RAMAIS - ORDEM 299000171172 (GOR)</t>
  </si>
  <si>
    <t>260000000942</t>
  </si>
  <si>
    <t>CONSTRUÇÃO DE RAMAIS - ORDEM 299000171190 (GOR)</t>
  </si>
  <si>
    <t>260000000943</t>
  </si>
  <si>
    <t>CONSTRUÇÃO DE RAMAIS - ORDEM 299000171281 (GOR)</t>
  </si>
  <si>
    <t>260000000944</t>
  </si>
  <si>
    <t>CONSTRUÇÃO DE RAMAIS - ORDEM 299000171289 (GOR)</t>
  </si>
  <si>
    <t>260000000945</t>
  </si>
  <si>
    <t>CONSTRUÇÃO DE RAMAIS - ORDEM 299000171297 (GOR)</t>
  </si>
  <si>
    <t>260000000946</t>
  </si>
  <si>
    <t>CONSTRUÇÃO DE RAMAIS - ORDEM 299000171332 (GOR)</t>
  </si>
  <si>
    <t>260000000947</t>
  </si>
  <si>
    <t>CONSTRUÇÃO DE RAMAIS - ORDEM 299000171363 (GOR)</t>
  </si>
  <si>
    <t>260000000948</t>
  </si>
  <si>
    <t>CONSTRUÇÃO DE RAMAIS - ORDEM 299000171383 (GOR)</t>
  </si>
  <si>
    <t>260000000949</t>
  </si>
  <si>
    <t>CONSTRUÇÃO DE RAMAIS - ORDEM 299000171387 (GOR)</t>
  </si>
  <si>
    <t>260000000950</t>
  </si>
  <si>
    <t>CONSTRUÇÃO DE RAMAIS - ORDEM 299000171406 (GOR)</t>
  </si>
  <si>
    <t>260000000951</t>
  </si>
  <si>
    <t>CONSTRUÇÃO DE RAMAIS - ORDEM 299000171430 (GOR)</t>
  </si>
  <si>
    <t>260000000952</t>
  </si>
  <si>
    <t>CONSTRUÇÃO DE RAMAIS - ORDEM 299000171443 (GOR)</t>
  </si>
  <si>
    <t>260000000953</t>
  </si>
  <si>
    <t>CONSTRUÇÃO DE RAMAIS - ORDEM 299000172236 (GOR)</t>
  </si>
  <si>
    <t>260000000955</t>
  </si>
  <si>
    <t>CONSTRUÇÃO DE RAMAIS - ORDEM 299000172452 (GOR)</t>
  </si>
  <si>
    <t>260000000956</t>
  </si>
  <si>
    <t>CONSTRUÇÃO DE RAMAIS - ORDEM 299000173100 (GOR)</t>
  </si>
  <si>
    <t>240000001847</t>
  </si>
  <si>
    <t>CONSTRUÇÃO DE REDE MP - ORDEM 299000165129</t>
  </si>
  <si>
    <t>240000001848</t>
  </si>
  <si>
    <t>CONSTRUÇÃO DE REDE MP - ORDEM 299000172726</t>
  </si>
  <si>
    <t>260000000923</t>
  </si>
  <si>
    <t>CONSTRUÇÃO DE RAMAIS - ORDEM 299000165131</t>
  </si>
  <si>
    <t>260000000924</t>
  </si>
  <si>
    <t>CONSTRUÇÃO DE RAMAIS - ORDEM 299000168550</t>
  </si>
  <si>
    <t>260000000925</t>
  </si>
  <si>
    <t>CONSTRUÇÃO DE RAMAIS - ORDEM 299000172237</t>
  </si>
  <si>
    <t>270000000345</t>
  </si>
  <si>
    <t>CONSTRUÇÃO DE ERM - ORDEM: 299000168452</t>
  </si>
  <si>
    <t>270000000346</t>
  </si>
  <si>
    <t>CONSTRUÇÃO DE ERM - ORDEM: 299000172242</t>
  </si>
  <si>
    <t>270000000347</t>
  </si>
  <si>
    <t>CONSTRUÇÃO DE ERM - ORDEM: 299000172451</t>
  </si>
  <si>
    <t>360000000155</t>
  </si>
  <si>
    <t>MÁQUINAS E EQUIPAMENTOS Instalações Aux de Rede Ou</t>
  </si>
  <si>
    <t>8 - MATERIAIS PARA REPOSIÇÃO DO KIT DE TELEMETRIA</t>
  </si>
  <si>
    <t>240000001335</t>
  </si>
  <si>
    <t>240000001359</t>
  </si>
  <si>
    <t>240000001811</t>
  </si>
  <si>
    <t>240000001888</t>
  </si>
  <si>
    <t>CONSTRUÇÃO DE REDE MP - ORDEM 299000160627</t>
  </si>
  <si>
    <t>240000001889</t>
  </si>
  <si>
    <t>CONSTRUÇÃO DE REDE MP - ORDEM 299000161231</t>
  </si>
  <si>
    <t>240000001890</t>
  </si>
  <si>
    <t>CONSTRUÇÃO DE REDE MP - ORDEM 299000161238</t>
  </si>
  <si>
    <t>240000001891</t>
  </si>
  <si>
    <t>CONSTRUÇÃO DE REDE MP - ORDEM 299000161246</t>
  </si>
  <si>
    <t>240000001892</t>
  </si>
  <si>
    <t>CONSTRUÇÃO DE REDE MP - ORDEM 299000161254</t>
  </si>
  <si>
    <t>240000001893</t>
  </si>
  <si>
    <t>CONSTRUÇÃO DE REDE MP - ORDEM 299000161262</t>
  </si>
  <si>
    <t>240000001894</t>
  </si>
  <si>
    <t>CONSTRUÇÃO DE REDE MP - ORDEM 299000161269</t>
  </si>
  <si>
    <t>240000001895</t>
  </si>
  <si>
    <t>CONSTRUÇÃO DE REDE MP - ORDEM 299000161277</t>
  </si>
  <si>
    <t>240000001896</t>
  </si>
  <si>
    <t>CONSTRUÇÃO DE REDE MP - ORDEM 299000161285</t>
  </si>
  <si>
    <t>240000001897</t>
  </si>
  <si>
    <t>CONSTRUÇÃO DE REDE MP - ORDEM 299000161293</t>
  </si>
  <si>
    <t>240000001898</t>
  </si>
  <si>
    <t>CONSTRUÇÃO DE REDE MP - ORDEM 299000161300</t>
  </si>
  <si>
    <t>240000001899</t>
  </si>
  <si>
    <t>CONSTRUÇÃO DE REDE MP - ORDEM 299000161308</t>
  </si>
  <si>
    <t>240000001900</t>
  </si>
  <si>
    <t>CONSTRUÇÃO DE REDE MP - ORDEM 299000161316</t>
  </si>
  <si>
    <t>240000001901</t>
  </si>
  <si>
    <t>CONSTRUÇÃO DE REDE MP - ORDEM 299000161324</t>
  </si>
  <si>
    <t>240000001902</t>
  </si>
  <si>
    <t>CONSTRUÇÃO DE REDE MP - ORDEM 299000161331</t>
  </si>
  <si>
    <t>240000001903</t>
  </si>
  <si>
    <t>CONSTRUÇÃO DE REDE MP - ORDEM 299000161339</t>
  </si>
  <si>
    <t>240000001904</t>
  </si>
  <si>
    <t>CONSTRUÇÃO DE REDE MP - ORDEM 299000161347</t>
  </si>
  <si>
    <t>240000001905</t>
  </si>
  <si>
    <t>CONSTRUÇÃO DE REDE MP - ORDEM 299000161354</t>
  </si>
  <si>
    <t>240000001906</t>
  </si>
  <si>
    <t>CONSTRUÇÃO DE REDE MP - ORDEM 299000161368</t>
  </si>
  <si>
    <t>240000001907</t>
  </si>
  <si>
    <t>CONSTRUÇÃO DE REDE MP - ORDEM 299000161383</t>
  </si>
  <si>
    <t>240000001908</t>
  </si>
  <si>
    <t>CONSTRUÇÃO DE REDE MP - ORDEM 299000161414</t>
  </si>
  <si>
    <t>240000001909</t>
  </si>
  <si>
    <t>CONSTRUÇÃO DE REDE MP - ORDEM 299000161429</t>
  </si>
  <si>
    <t>240000001910</t>
  </si>
  <si>
    <t>CONSTRUÇÃO DE REDE MP - ORDEM 299000161437</t>
  </si>
  <si>
    <t>240000001911</t>
  </si>
  <si>
    <t>CONSTRUÇÃO DE REDE MP - ORDEM 299000161538</t>
  </si>
  <si>
    <t>240000001912</t>
  </si>
  <si>
    <t>CONSTRUÇÃO DE REDE MP - ORDEM 299000161553</t>
  </si>
  <si>
    <t>240000001913</t>
  </si>
  <si>
    <t>CONSTRUÇÃO DE REDE MP - ORDEM 299000161561</t>
  </si>
  <si>
    <t>240000001914</t>
  </si>
  <si>
    <t>CONSTRUÇÃO DE REDE MP - ORDEM 299000161569</t>
  </si>
  <si>
    <t>240000001915</t>
  </si>
  <si>
    <t>CONSTRUÇÃO DE REDE MP - ORDEM 299000161584</t>
  </si>
  <si>
    <t>240000001916</t>
  </si>
  <si>
    <t>CONSTRUÇÃO DE REDE MP - ORDEM 299000161592</t>
  </si>
  <si>
    <t>240000001917</t>
  </si>
  <si>
    <t>CONSTRUÇÃO DE REDE MP - ORDEM 299000161599</t>
  </si>
  <si>
    <t>240000001918</t>
  </si>
  <si>
    <t>CONSTRUÇÃO DE REDE MP - ORDEM 299000161645</t>
  </si>
  <si>
    <t>240000001919</t>
  </si>
  <si>
    <t>CONSTRUÇÃO DE REDE MP - ORDEM 299000161660</t>
  </si>
  <si>
    <t>240000001920</t>
  </si>
  <si>
    <t>CONSTRUÇÃO DE REDE MP - ORDEM 299000161668</t>
  </si>
  <si>
    <t>240000001921</t>
  </si>
  <si>
    <t>CONSTRUÇÃO DE REDE MP - ORDEM 299000161676</t>
  </si>
  <si>
    <t>240000001922</t>
  </si>
  <si>
    <t>CONSTRUÇÃO DE REDE MP - ORDEM 299000161691</t>
  </si>
  <si>
    <t>240000001923</t>
  </si>
  <si>
    <t>CONSTRUÇÃO DE REDE MP - ORDEM 299000161707</t>
  </si>
  <si>
    <t>240000001924</t>
  </si>
  <si>
    <t>CONSTRUÇÃO DE REDE MP - ORDEM 299000161722</t>
  </si>
  <si>
    <t>240000001925</t>
  </si>
  <si>
    <t>CONSTRUÇÃO DE REDE MP - ORDEM 299000161730</t>
  </si>
  <si>
    <t>240000001926</t>
  </si>
  <si>
    <t>CONSTRUÇÃO DE REDE MP - ORDEM 299000161738</t>
  </si>
  <si>
    <t>240000001927</t>
  </si>
  <si>
    <t>CONSTRUÇÃO DE REDE MP - ORDEM 299000161761</t>
  </si>
  <si>
    <t>240000001928</t>
  </si>
  <si>
    <t>CONSTRUÇÃO DE REDE MP - ORDEM 299000161769</t>
  </si>
  <si>
    <t>240000001929</t>
  </si>
  <si>
    <t>CONSTRUÇÃO DE REDE MP - ORDEM 299000161784</t>
  </si>
  <si>
    <t>240000001930</t>
  </si>
  <si>
    <t>CONSTRUÇÃO DE REDE MP - ORDEM 299000161792</t>
  </si>
  <si>
    <t>240000001931</t>
  </si>
  <si>
    <t>CONSTRUÇÃO DE REDE MP - ORDEM 299000162292</t>
  </si>
  <si>
    <t>240000001932</t>
  </si>
  <si>
    <t>CONSTRUÇÃO DE REDE MP - ORDEM 299000162293</t>
  </si>
  <si>
    <t>240000001933</t>
  </si>
  <si>
    <t>CONSTRUÇÃO DE REDE MP - ORDEM 299000162294</t>
  </si>
  <si>
    <t>240000001934</t>
  </si>
  <si>
    <t>CONSTRUÇÃO DE REDE MP - ORDEM 299000162590</t>
  </si>
  <si>
    <t>240000001935</t>
  </si>
  <si>
    <t>CONSTRUÇÃO DE REDE MP - ORDEM 299000162598</t>
  </si>
  <si>
    <t>240000001936</t>
  </si>
  <si>
    <t>CONSTRUÇÃO DE REDE MP - ORDEM 299000162672</t>
  </si>
  <si>
    <t>240000001937</t>
  </si>
  <si>
    <t>CONSTRUÇÃO DE REDE MP - ORDEM 299000164930</t>
  </si>
  <si>
    <t>240000001938</t>
  </si>
  <si>
    <t>CONSTRUÇÃO DE REDE MP - ORDEM 299000164970</t>
  </si>
  <si>
    <t>240000001939</t>
  </si>
  <si>
    <t>CONSTRUÇÃO DE REDE MP - ORDEM 299000165081</t>
  </si>
  <si>
    <t>240000001940</t>
  </si>
  <si>
    <t>CONSTRUÇÃO DE REDE MP - ORDEM 299000165561</t>
  </si>
  <si>
    <t>240000001941</t>
  </si>
  <si>
    <t>CONSTRUÇÃO DE REDE MP - ORDEM 299000166761</t>
  </si>
  <si>
    <t>240000001942</t>
  </si>
  <si>
    <t>CONSTRUÇÃO DE REDE MP - ORDEM 299000166867</t>
  </si>
  <si>
    <t>240000001943</t>
  </si>
  <si>
    <t>CONSTRUÇÃO DE REDE MP - ORDEM 299000166913</t>
  </si>
  <si>
    <t>240000001944</t>
  </si>
  <si>
    <t>CONSTRUÇÃO DE REDE MP - ORDEM 299000167108</t>
  </si>
  <si>
    <t>240000001945</t>
  </si>
  <si>
    <t>CONSTRUÇÃO DE REDE MP - ORDEM 299000167389</t>
  </si>
  <si>
    <t>240000001946</t>
  </si>
  <si>
    <t>CONSTRUÇÃO DE REDE MP - ORDEM 299000167390</t>
  </si>
  <si>
    <t>240000001947</t>
  </si>
  <si>
    <t>CONSTRUÇÃO DE REDE MP - ORDEM 299000167842</t>
  </si>
  <si>
    <t>240000001948</t>
  </si>
  <si>
    <t>CONSTRUÇÃO DE REDE MP - ORDEM 299000168202</t>
  </si>
  <si>
    <t>240000001949</t>
  </si>
  <si>
    <t>CONSTRUÇÃO DE REDE MP - ORDEM 299000161247 (GOR)</t>
  </si>
  <si>
    <t>240000001950</t>
  </si>
  <si>
    <t>240000001951</t>
  </si>
  <si>
    <t>240000001952</t>
  </si>
  <si>
    <t>240000001953</t>
  </si>
  <si>
    <t>240000001954</t>
  </si>
  <si>
    <t>CONSTRUÇÃO DE REDE MP - ORDEM 299000165585 (GOR)</t>
  </si>
  <si>
    <t>240000001955</t>
  </si>
  <si>
    <t>CONSTRUÇÃO DE REDE MP - ORDEM 299000165921 (GOR)</t>
  </si>
  <si>
    <t>240000001956</t>
  </si>
  <si>
    <t>CONSTRUÇÃO DE REDE MP - ORDEM 299000162417</t>
  </si>
  <si>
    <t>260000000839</t>
  </si>
  <si>
    <t>260000000859</t>
  </si>
  <si>
    <t>260000000860</t>
  </si>
  <si>
    <t>260000000861</t>
  </si>
  <si>
    <t>260000000862</t>
  </si>
  <si>
    <t>260000000872</t>
  </si>
  <si>
    <t>260000000891</t>
  </si>
  <si>
    <t>260000000957</t>
  </si>
  <si>
    <t>CONSTRUÇÃO DE RAMAIS - ORDEM 299000160333</t>
  </si>
  <si>
    <t>260000000958</t>
  </si>
  <si>
    <t>CONSTRUÇÃO DE RAMAIS - ORDEM 299000160337</t>
  </si>
  <si>
    <t>260000000959</t>
  </si>
  <si>
    <t>CONSTRUÇÃO DE RAMAIS - ORDEM 299000160345</t>
  </si>
  <si>
    <t>260000000960</t>
  </si>
  <si>
    <t>CONSTRUÇÃO DE RAMAIS - ORDEM 299000160353</t>
  </si>
  <si>
    <t>260000000961</t>
  </si>
  <si>
    <t>CONSTRUÇÃO DE RAMAIS - ORDEM 299000160373</t>
  </si>
  <si>
    <t>260000000962</t>
  </si>
  <si>
    <t>CONSTRUÇÃO DE RAMAIS - ORDEM 299000160377</t>
  </si>
  <si>
    <t>260000000963</t>
  </si>
  <si>
    <t>CONSTRUÇÃO DE RAMAIS - ORDEM 299000160385</t>
  </si>
  <si>
    <t>260000000965</t>
  </si>
  <si>
    <t>CONSTRUÇÃO DE RAMAIS - ORDEM 299000160421</t>
  </si>
  <si>
    <t>260000000966</t>
  </si>
  <si>
    <t>CONSTRUÇÃO DE RAMAIS - ORDEM 299000160434</t>
  </si>
  <si>
    <t>260000000967</t>
  </si>
  <si>
    <t>CONSTRUÇÃO DE RAMAIS - ORDEM 299000160438</t>
  </si>
  <si>
    <t>260000000968</t>
  </si>
  <si>
    <t>CONSTRUÇÃO DE RAMAIS - ORDEM 299000160630</t>
  </si>
  <si>
    <t>260000000969</t>
  </si>
  <si>
    <t>CONSTRUÇÃO DE RAMAIS - ORDEM 299000161218</t>
  </si>
  <si>
    <t>260000000970</t>
  </si>
  <si>
    <t>CONSTRUÇÃO DE RAMAIS - ORDEM 299000161226</t>
  </si>
  <si>
    <t>260000000971</t>
  </si>
  <si>
    <t>CONSTRUÇÃO DE RAMAIS - ORDEM 299000161234</t>
  </si>
  <si>
    <t>260000000972</t>
  </si>
  <si>
    <t>CONSTRUÇÃO DE RAMAIS - ORDEM 299000161241</t>
  </si>
  <si>
    <t>260000000973</t>
  </si>
  <si>
    <t>CONSTRUÇÃO DE RAMAIS - ORDEM 299000161249</t>
  </si>
  <si>
    <t>260000000975</t>
  </si>
  <si>
    <t>CONSTRUÇÃO DE RAMAIS - ORDEM 299000161265</t>
  </si>
  <si>
    <t>260000000976</t>
  </si>
  <si>
    <t>CONSTRUÇÃO DE RAMAIS - ORDEM 299000161272</t>
  </si>
  <si>
    <t>260000000977</t>
  </si>
  <si>
    <t>CONSTRUÇÃO DE RAMAIS - ORDEM 299000161280</t>
  </si>
  <si>
    <t>260000000979</t>
  </si>
  <si>
    <t>CONSTRUÇÃO DE RAMAIS - ORDEM 299000161296</t>
  </si>
  <si>
    <t>260000000980</t>
  </si>
  <si>
    <t>CONSTRUÇÃO DE RAMAIS - ORDEM 299000161303</t>
  </si>
  <si>
    <t>260000000981</t>
  </si>
  <si>
    <t>CONSTRUÇÃO DE RAMAIS - ORDEM 299000161311</t>
  </si>
  <si>
    <t>260000000983</t>
  </si>
  <si>
    <t>CONSTRUÇÃO DE RAMAIS - ORDEM 299000161327</t>
  </si>
  <si>
    <t>260000000984</t>
  </si>
  <si>
    <t>CONSTRUÇÃO DE RAMAIS - ORDEM 299000161334</t>
  </si>
  <si>
    <t>260000000985</t>
  </si>
  <si>
    <t>CONSTRUÇÃO DE RAMAIS - ORDEM 299000161342</t>
  </si>
  <si>
    <t>260000000986</t>
  </si>
  <si>
    <t>CONSTRUÇÃO DE RAMAIS - ORDEM 299000161350</t>
  </si>
  <si>
    <t>260000000987</t>
  </si>
  <si>
    <t>CONSTRUÇÃO DE RAMAIS - ORDEM 299000161357</t>
  </si>
  <si>
    <t>260000000988</t>
  </si>
  <si>
    <t>CONSTRUÇÃO DE RAMAIS - ORDEM 299000161386</t>
  </si>
  <si>
    <t>260000000989</t>
  </si>
  <si>
    <t>CONSTRUÇÃO DE RAMAIS - ORDEM 299000161409</t>
  </si>
  <si>
    <t>260000000990</t>
  </si>
  <si>
    <t>CONSTRUÇÃO DE RAMAIS - ORDEM 299000161440</t>
  </si>
  <si>
    <t>260000000991</t>
  </si>
  <si>
    <t>CONSTRUÇÃO DE RAMAIS - ORDEM 299000161541</t>
  </si>
  <si>
    <t>260000000992</t>
  </si>
  <si>
    <t>CONSTRUÇÃO DE RAMAIS - ORDEM 299000161548</t>
  </si>
  <si>
    <t>260000000993</t>
  </si>
  <si>
    <t>CONSTRUÇÃO DE RAMAIS - ORDEM 299000161556</t>
  </si>
  <si>
    <t>260000000994</t>
  </si>
  <si>
    <t>CONSTRUÇÃO DE RAMAIS - ORDEM 299000161564</t>
  </si>
  <si>
    <t>260000000995</t>
  </si>
  <si>
    <t>CONSTRUÇÃO DE RAMAIS - ORDEM 299000161572</t>
  </si>
  <si>
    <t>260000000996</t>
  </si>
  <si>
    <t>CONSTRUÇÃO DE RAMAIS - ORDEM 299000161587</t>
  </si>
  <si>
    <t>260000000997</t>
  </si>
  <si>
    <t>CONSTRUÇÃO DE RAMAIS - ORDEM 299000161595</t>
  </si>
  <si>
    <t>260000000998</t>
  </si>
  <si>
    <t>CONSTRUÇÃO DE RAMAIS - ORDEM 299000161648</t>
  </si>
  <si>
    <t>260000000999</t>
  </si>
  <si>
    <t>CONSTRUÇÃO DE RAMAIS - ORDEM 299000161655</t>
  </si>
  <si>
    <t>260000001000</t>
  </si>
  <si>
    <t>CONSTRUÇÃO DE RAMAIS - ORDEM 299000161663</t>
  </si>
  <si>
    <t>260000001001</t>
  </si>
  <si>
    <t>CONSTRUÇÃO DE RAMAIS - ORDEM 299000161671</t>
  </si>
  <si>
    <t>260000001002</t>
  </si>
  <si>
    <t>CONSTRUÇÃO DE RAMAIS - ORDEM 299000161710</t>
  </si>
  <si>
    <t>260000001003</t>
  </si>
  <si>
    <t>CONSTRUÇÃO DE RAMAIS - ORDEM 299000161717</t>
  </si>
  <si>
    <t>260000001004</t>
  </si>
  <si>
    <t>CONSTRUÇÃO DE RAMAIS - ORDEM 299000161733</t>
  </si>
  <si>
    <t>260000001005</t>
  </si>
  <si>
    <t>CONSTRUÇÃO DE RAMAIS - ORDEM 299000161741</t>
  </si>
  <si>
    <t>260000001006</t>
  </si>
  <si>
    <t>CONSTRUÇÃO DE RAMAIS - ORDEM 299000161756</t>
  </si>
  <si>
    <t>260000001007</t>
  </si>
  <si>
    <t>CONSTRUÇÃO DE RAMAIS - ORDEM 299000161764</t>
  </si>
  <si>
    <t>260000001008</t>
  </si>
  <si>
    <t>CONSTRUÇÃO DE RAMAIS - ORDEM 299000161787</t>
  </si>
  <si>
    <t>260000001009</t>
  </si>
  <si>
    <t>CONSTRUÇÃO DE RAMAIS - ORDEM 299000161795</t>
  </si>
  <si>
    <t>260000001010</t>
  </si>
  <si>
    <t>CONSTRUÇÃO DE RAMAIS - ORDEM 299000162578</t>
  </si>
  <si>
    <t>260000001011</t>
  </si>
  <si>
    <t>CONSTRUÇÃO DE RAMAIS - ORDEM 299000162585</t>
  </si>
  <si>
    <t>260000001012</t>
  </si>
  <si>
    <t>CONSTRUÇÃO DE RAMAIS - ORDEM 299000162593</t>
  </si>
  <si>
    <t>260000001014</t>
  </si>
  <si>
    <t>CONSTRUÇÃO DE RAMAIS - ORDEM 299000165066</t>
  </si>
  <si>
    <t>260000001015</t>
  </si>
  <si>
    <t>260000001016</t>
  </si>
  <si>
    <t>260000001017</t>
  </si>
  <si>
    <t>270000000348</t>
  </si>
  <si>
    <t>CONSTRUÇÃO DE ERM - ORDEM: 299000162409</t>
  </si>
  <si>
    <t>270000000349</t>
  </si>
  <si>
    <t>CONSTRUÇÃO DE ERM - ORDEM: 299000162773</t>
  </si>
  <si>
    <t>270000000350</t>
  </si>
  <si>
    <t>CONSTRUÇÃO DE ERM - ORDEM: 299000163180</t>
  </si>
  <si>
    <t>270000000351</t>
  </si>
  <si>
    <t>CONSTRUÇÃO DE ERM - ORDEM: 299000164024</t>
  </si>
  <si>
    <t>270000000352</t>
  </si>
  <si>
    <t>CONSTRUÇÃO DE ERM - ORDEM: 299000164906</t>
  </si>
  <si>
    <t>270000000353</t>
  </si>
  <si>
    <t>CONSTRUÇÃO DE ERM - ORDEM: 299000165040</t>
  </si>
  <si>
    <t>270000000354</t>
  </si>
  <si>
    <t>CONSTRUÇÃO DE ERM - ORDEM: 299000165132</t>
  </si>
  <si>
    <t>270000000355</t>
  </si>
  <si>
    <t>CONSTRUÇÃO DE ERM - ORDEM: 299000165771</t>
  </si>
  <si>
    <t>270000000356</t>
  </si>
  <si>
    <t>CONSTRUÇÃO DE ERM - ORDEM: 299000166067</t>
  </si>
  <si>
    <t>270000000357</t>
  </si>
  <si>
    <t>CONSTRUÇÃO DE ERM - ORDEM: 299000166222</t>
  </si>
  <si>
    <t>270000000358</t>
  </si>
  <si>
    <t>CONSTRUÇÃO DE ERM - ORDEM: 299000166485</t>
  </si>
  <si>
    <t>300000000264</t>
  </si>
  <si>
    <t>INST. AUXILIARES DE REDE -ORDE 299000162426</t>
  </si>
  <si>
    <t>300000000265</t>
  </si>
  <si>
    <t>INST. AUXILIARES DE REDE -ORDE 299000162429</t>
  </si>
  <si>
    <t>300000000266</t>
  </si>
  <si>
    <t>INST. AUXILIARES DE REDE -ORDE 299000162430</t>
  </si>
  <si>
    <t>300000000267</t>
  </si>
  <si>
    <t>INST. AUXILIARES DE REDE -ORDE 299000162431</t>
  </si>
  <si>
    <t>300000000268</t>
  </si>
  <si>
    <t>INST. AUXILIARES DE REDE -ORDE 299000162432</t>
  </si>
  <si>
    <t>300000000269</t>
  </si>
  <si>
    <t>INST. AUXILIARES DE REDE -ORDE 299000162434</t>
  </si>
  <si>
    <t>300000000270</t>
  </si>
  <si>
    <t>INST. AUXILIARES DE REDE -ORDE 299000163245</t>
  </si>
  <si>
    <t>300000000271</t>
  </si>
  <si>
    <t>INST. AUXILIARES DE REDE -ORDE 299000163246</t>
  </si>
  <si>
    <t>300000000272</t>
  </si>
  <si>
    <t>INST. AUXILIARES DE REDE -ORDE 299000163247</t>
  </si>
  <si>
    <t>300000000273</t>
  </si>
  <si>
    <t>INST. AUXILIARES DE REDE -ORDE 299000163263</t>
  </si>
  <si>
    <t>300000000274</t>
  </si>
  <si>
    <t>INST. AUXILIARES DE REDE -ORDE 299000163265</t>
  </si>
  <si>
    <t>300000000275</t>
  </si>
  <si>
    <t>INST. AUXILIARES DE REDE -ORDE 299000163266</t>
  </si>
  <si>
    <t>300000000276</t>
  </si>
  <si>
    <t>INST. AUXILIARES DE REDE -ORDE 299000163643</t>
  </si>
  <si>
    <t>300000000277</t>
  </si>
  <si>
    <t>INST. AUXILIARES DE REDE -ORDE 299000163645</t>
  </si>
  <si>
    <t>300000000278</t>
  </si>
  <si>
    <t>INST. AUXILIARES DE REDE -ORDE 299000163646</t>
  </si>
  <si>
    <t>300000000279</t>
  </si>
  <si>
    <t>INST. AUXILIARES DE REDE -ORDE 299000167293</t>
  </si>
  <si>
    <t>300000000280</t>
  </si>
  <si>
    <t>INST. AUXILIARES DE REDE -ORDE 299000167393</t>
  </si>
  <si>
    <t>300000000281</t>
  </si>
  <si>
    <t>INST. AUXILIARES DE REDE -ORDE 299000168312</t>
  </si>
  <si>
    <t>320000000260</t>
  </si>
  <si>
    <t>2500</t>
  </si>
  <si>
    <t>76</t>
  </si>
  <si>
    <t>NSTALAÇÕES COMUNITÁRIAS - DC ORDEM 299000160331</t>
  </si>
  <si>
    <t>Instalações Comunitarias</t>
  </si>
  <si>
    <t>320000000261</t>
  </si>
  <si>
    <t>NSTALAÇÕES COMUNITÁRIAS - DC ORDEM 299000160334</t>
  </si>
  <si>
    <t>320000000262</t>
  </si>
  <si>
    <t>NSTALAÇÕES COMUNITÁRIAS - DC ORDEM 299000160335</t>
  </si>
  <si>
    <t>320000000263</t>
  </si>
  <si>
    <t>NSTALAÇÕES COMUNITÁRIAS - DC ORDEM 299000160336</t>
  </si>
  <si>
    <t>320000000265</t>
  </si>
  <si>
    <t>NSTALAÇÕES COMUNITÁRIAS - DC ORDEM 299000160339</t>
  </si>
  <si>
    <t>320000000266</t>
  </si>
  <si>
    <t>NSTALAÇÕES COMUNITÁRIAS - DC ORDEM 299000160342</t>
  </si>
  <si>
    <t>320000000267</t>
  </si>
  <si>
    <t>NSTALAÇÕES COMUNITÁRIAS - DC ORDEM 299000160343</t>
  </si>
  <si>
    <t>320000000268</t>
  </si>
  <si>
    <t>NSTALAÇÕES COMUNITÁRIAS - DC ORDEM 299000160344</t>
  </si>
  <si>
    <t>320000000269</t>
  </si>
  <si>
    <t>NSTALAÇÕES COMUNITÁRIAS - DC ORDEM 299000160346</t>
  </si>
  <si>
    <t>320000000270</t>
  </si>
  <si>
    <t>NSTALAÇÕES COMUNITÁRIAS - DC ORDEM 299000160350</t>
  </si>
  <si>
    <t>320000000271</t>
  </si>
  <si>
    <t>NSTALAÇÕES COMUNITÁRIAS - DC ORDEM 299000160370</t>
  </si>
  <si>
    <t>320000000272</t>
  </si>
  <si>
    <t>NSTALAÇÕES COMUNITÁRIAS - DC ORDEM 299000160371</t>
  </si>
  <si>
    <t>320000000273</t>
  </si>
  <si>
    <t>NSTALAÇÕES COMUNITÁRIAS - DC ORDEM 299000160372</t>
  </si>
  <si>
    <t>320000000274</t>
  </si>
  <si>
    <t>NSTALAÇÕES COMUNITÁRIAS - DC ORDEM 299000160374</t>
  </si>
  <si>
    <t>320000000275</t>
  </si>
  <si>
    <t>NSTALAÇÕES COMUNITÁRIAS - DC ORDEM 299000160375</t>
  </si>
  <si>
    <t>320000000276</t>
  </si>
  <si>
    <t>NSTALAÇÕES COMUNITÁRIAS - DC ORDEM 299000160378</t>
  </si>
  <si>
    <t>320000000277</t>
  </si>
  <si>
    <t>NSTALAÇÕES COMUNITÁRIAS - DC ORDEM 299000160380</t>
  </si>
  <si>
    <t>320000000278</t>
  </si>
  <si>
    <t>NSTALAÇÕES COMUNITÁRIAS - DC ORDEM 299000160382</t>
  </si>
  <si>
    <t>320000000279</t>
  </si>
  <si>
    <t>NSTALAÇÕES COMUNITÁRIAS - DC ORDEM 299000160383</t>
  </si>
  <si>
    <t>320000000280</t>
  </si>
  <si>
    <t>NSTALAÇÕES COMUNITÁRIAS - DC ORDEM 299000160384</t>
  </si>
  <si>
    <t>320000000281</t>
  </si>
  <si>
    <t>NSTALAÇÕES COMUNITÁRIAS - DC ORDEM 299000160386</t>
  </si>
  <si>
    <t>320000000282</t>
  </si>
  <si>
    <t>NSTALAÇÕES COMUNITÁRIAS - DC ORDEM 299000160388</t>
  </si>
  <si>
    <t>320000000283</t>
  </si>
  <si>
    <t>NSTALAÇÕES COMUNITÁRIAS - DC ORDEM 299000160398</t>
  </si>
  <si>
    <t>320000000284</t>
  </si>
  <si>
    <t>NSTALAÇÕES COMUNITÁRIAS - DC ORDEM 299000160399</t>
  </si>
  <si>
    <t>320000000285</t>
  </si>
  <si>
    <t>NSTALAÇÕES COMUNITÁRIAS - DC ORDEM 299000160420</t>
  </si>
  <si>
    <t>320000000286</t>
  </si>
  <si>
    <t>NSTALAÇÕES COMUNITÁRIAS - DC ORDEM 299000160433</t>
  </si>
  <si>
    <t>320000000287</t>
  </si>
  <si>
    <t>NSTALAÇÕES COMUNITÁRIAS - DC ORDEM 299000160435</t>
  </si>
  <si>
    <t>320000000288</t>
  </si>
  <si>
    <t>NSTALAÇÕES COMUNITÁRIAS - DC ORDEM 299000160436</t>
  </si>
  <si>
    <t>320000000289</t>
  </si>
  <si>
    <t>NSTALAÇÕES COMUNITÁRIAS - DC ORDEM 299000160437</t>
  </si>
  <si>
    <t>320000000290</t>
  </si>
  <si>
    <t>NSTALAÇÕES COMUNITÁRIAS - DC ORDEM 299000162483</t>
  </si>
  <si>
    <t>320000000291</t>
  </si>
  <si>
    <t>NSTALAÇÕES COMUNITÁRIAS - DC ORDEM 299000162487</t>
  </si>
  <si>
    <t>320000000292</t>
  </si>
  <si>
    <t>NSTALAÇÕES COMUNITÁRIAS - DC ORDEM 299000162489</t>
  </si>
  <si>
    <t>320000000259</t>
  </si>
  <si>
    <t>NSTALAÇÕES COMUNITÁRIAS - DC ORDEM 299000160330</t>
  </si>
  <si>
    <t>320000000264</t>
  </si>
  <si>
    <t>NSTALAÇÕES COMUNITÁRIAS - DC ORDEM 299000160338</t>
  </si>
  <si>
    <t>260000000964</t>
  </si>
  <si>
    <t>CONSTRUÇÃO DE RAMAIS - ORDEM 299000160389</t>
  </si>
  <si>
    <t>260000000974</t>
  </si>
  <si>
    <t>CONSTRUÇÃO DE RAMAIS - ORDEM 299000161257</t>
  </si>
  <si>
    <t>260000000978</t>
  </si>
  <si>
    <t>CONSTRUÇÃO DE RAMAIS - ORDEM 299000161288</t>
  </si>
  <si>
    <t>260000000982</t>
  </si>
  <si>
    <t>CONSTRUÇÃO DE RAMAIS - ORDEM 299000161319</t>
  </si>
  <si>
    <t>260000001013</t>
  </si>
  <si>
    <t>CONSTRUÇÃO DE RAMAIS - ORDEM 299000162601</t>
  </si>
  <si>
    <t>310000000438</t>
  </si>
  <si>
    <t>MEDIDORES Industrial  CRM - Conjunto de Regulagem</t>
  </si>
  <si>
    <t>9A1 - MODERNIZAÇÃO - ERM - SEMMIND - CEGRIO</t>
  </si>
  <si>
    <t>360000000154</t>
  </si>
  <si>
    <t>8 - MÁQUINAS E EQUIPAMENTOS SECOP</t>
  </si>
  <si>
    <t>760000000041</t>
  </si>
  <si>
    <t>2110B</t>
  </si>
  <si>
    <t>CONSTRUÇÕES DE RAMAIS MP - MERCADO COMERCIAL</t>
  </si>
  <si>
    <t>Ramais em andamento</t>
  </si>
  <si>
    <t>770000000098</t>
  </si>
  <si>
    <t>2120B</t>
  </si>
  <si>
    <t>CONSTRUÇÃO DE ERM CADETE FABRES (DUPLICAÇÃO DA EST</t>
  </si>
  <si>
    <t>CADETE FABRES (DUPLICAÇÃO DA ESTAÇÃO - GNC)</t>
  </si>
  <si>
    <t>1330110114</t>
  </si>
  <si>
    <t>ERM em andamento</t>
  </si>
  <si>
    <t>270000000359</t>
  </si>
  <si>
    <t>CONSTRUÇÃO DE ERM -ORDEM 299000170547</t>
  </si>
  <si>
    <t>270000000360</t>
  </si>
  <si>
    <t>CONSTRUÇÃO DE ERM -ORDEM 299000170549</t>
  </si>
  <si>
    <t>270000000361</t>
  </si>
  <si>
    <t>CONSTRUÇÃO DE ERM -ORDEM 299000170550</t>
  </si>
  <si>
    <t>300000000282</t>
  </si>
  <si>
    <t>INST. AUXILIARES DE REDE- ORDEM 299000170597</t>
  </si>
  <si>
    <t>300000000283</t>
  </si>
  <si>
    <t>INST. AUXILIARES DE REDE- ORDEM 299000170599</t>
  </si>
  <si>
    <t>300000000284</t>
  </si>
  <si>
    <t>INST. AUXILIARES DE REDE- ORDEM 299000170620</t>
  </si>
  <si>
    <t>300000000285</t>
  </si>
  <si>
    <t>INST. AUXILIARES DE REDE- ORDEM 299000170621</t>
  </si>
  <si>
    <t>300000000286</t>
  </si>
  <si>
    <t>INST. AUXILIARES DE REDE- ORDEM 299000170622</t>
  </si>
  <si>
    <t>300000000287</t>
  </si>
  <si>
    <t>INST. AUXILIARES DE REDE- ORDEM 299000170711</t>
  </si>
  <si>
    <t>300000000288</t>
  </si>
  <si>
    <t>INST. AUXILIARES DE REDE -ORDEM 299000173370</t>
  </si>
  <si>
    <t>INST. AUXILIARES DE REDE- ORDEM 299000173370</t>
  </si>
  <si>
    <t>240000001957</t>
  </si>
  <si>
    <t>240000001958</t>
  </si>
  <si>
    <t>CONSTRUÇÃO DE REDE MP - ORDEM 299000171265 (GOR)</t>
  </si>
  <si>
    <t>240000001961</t>
  </si>
  <si>
    <t>CONSTRUÇÃO DE REDE MP - ORDEM 299000163085</t>
  </si>
  <si>
    <t>240000001962</t>
  </si>
  <si>
    <t>CONSTRUÇÃO DE REDE MP - ORDEM 299000165920</t>
  </si>
  <si>
    <t>240000001963</t>
  </si>
  <si>
    <t>CONSTRUÇÃO DE REDE MP - ORDEM 299000169118</t>
  </si>
  <si>
    <t>240000001964</t>
  </si>
  <si>
    <t>CONSTRUÇÃO DE REDE MP - ORDEM 299000171235</t>
  </si>
  <si>
    <t>240000001965</t>
  </si>
  <si>
    <t>CONSTRUÇÃO DE REDE MP - ORDEM 299000171238</t>
  </si>
  <si>
    <t>240000001966</t>
  </si>
  <si>
    <t>CONSTRUÇÃO DE REDE MP - ORDEM 299000172689</t>
  </si>
  <si>
    <t>240000001967</t>
  </si>
  <si>
    <t>CONSTRUÇÃO DE REDE MP - ORDEM 299000173766</t>
  </si>
  <si>
    <t>270000000376</t>
  </si>
  <si>
    <t>CONSTRUÇÃO DE ERM - ORDEM: 299000162676</t>
  </si>
  <si>
    <t>270000000377</t>
  </si>
  <si>
    <t>270000000378</t>
  </si>
  <si>
    <t>CONSTRUÇÃO DE ERM - ORDEM: 299000163380</t>
  </si>
  <si>
    <t>270000000379</t>
  </si>
  <si>
    <t>CONSTRUÇÃO DE ERM - ORDEM: 299000164950</t>
  </si>
  <si>
    <t>270000000380</t>
  </si>
  <si>
    <t>CONSTRUÇÃO DE ERM - ORDEM: 299000164983</t>
  </si>
  <si>
    <t>270000000381</t>
  </si>
  <si>
    <t>CONSTRUÇÃO DE ERM - ORDEM: 299000165239</t>
  </si>
  <si>
    <t>270000000382</t>
  </si>
  <si>
    <t>CONSTRUÇÃO DE ERM - ORDEM: 299000165640</t>
  </si>
  <si>
    <t>270000000383</t>
  </si>
  <si>
    <t>CONSTRUÇÃO DE ERM - ORDEM: 299000169119</t>
  </si>
  <si>
    <t>270000000384</t>
  </si>
  <si>
    <t>CONSTRUÇÃO DE ERM - ORDEM: 299000169120</t>
  </si>
  <si>
    <t>270000000385</t>
  </si>
  <si>
    <t>CONSTRUÇÃO DE ERM - ORDEM: 299000169121</t>
  </si>
  <si>
    <t>270000000386</t>
  </si>
  <si>
    <t>CONSTRUÇÃO DE ERM - ORDEM: 299000169130</t>
  </si>
  <si>
    <t>270000000387</t>
  </si>
  <si>
    <t>CONSTRUÇÃO DE ERM - ORDEM: 299000169132</t>
  </si>
  <si>
    <t>270000000388</t>
  </si>
  <si>
    <t>CONSTRUÇÃO DE ERM - ORDEM: 299000169133</t>
  </si>
  <si>
    <t>270000000389</t>
  </si>
  <si>
    <t>CONSTRUÇÃO DE ERM - ORDEM: 299000169142</t>
  </si>
  <si>
    <t>300000000297</t>
  </si>
  <si>
    <t>INST. AUXILIARES DE REDE -ORDEM 299000162475</t>
  </si>
  <si>
    <t>300000000298</t>
  </si>
  <si>
    <t>INST. AUXILIARES DE REDE -ORDEM 299000163279</t>
  </si>
  <si>
    <t>300000000300</t>
  </si>
  <si>
    <t>INST. AUXILIARES DE REDE -ORDEM 299000163644</t>
  </si>
  <si>
    <t>320000000293</t>
  </si>
  <si>
    <t>INSTALAÇÕES COMUNITÁRIAS - DC ORDEM 299000160430</t>
  </si>
  <si>
    <t>360000000157</t>
  </si>
  <si>
    <t>MQ - COMPRA DE EQUIPAMENTOS DO LCQ</t>
  </si>
  <si>
    <t>240000001968</t>
  </si>
  <si>
    <t>240000001969</t>
  </si>
  <si>
    <t>CONSTRUÇÃO DE REDE MP - ORDEM 299000171089</t>
  </si>
  <si>
    <t>270000000412</t>
  </si>
  <si>
    <t>CONSTRUÇÃO DE ERM - ORDEM 299000170548</t>
  </si>
  <si>
    <t>270000000413</t>
  </si>
  <si>
    <t>CONSTRUÇÃO DE ERM - ORDEM 299000170549</t>
  </si>
  <si>
    <t>270000000414</t>
  </si>
  <si>
    <t>CONSTRUÇÃO DE ERM - ORDEM 299000170550</t>
  </si>
  <si>
    <t>270000000415</t>
  </si>
  <si>
    <t>CONSTRUÇÃO DE ERM - ORDEM 299000170551</t>
  </si>
  <si>
    <t>270000000416</t>
  </si>
  <si>
    <t>CONSTRUÇÃO DE ERM - ORDEM 299000170552</t>
  </si>
  <si>
    <t>270000000417</t>
  </si>
  <si>
    <t>CONSTRUÇÃO DE ERM - ORDEM 299000170558</t>
  </si>
  <si>
    <t>270000000418</t>
  </si>
  <si>
    <t>CONSTRUÇÃO DE ERM - ORDEM 299000170581</t>
  </si>
  <si>
    <t>270000000419</t>
  </si>
  <si>
    <t>CONSTRUÇÃO DE ERM - ORDEM 299000170598</t>
  </si>
  <si>
    <t>270000000420</t>
  </si>
  <si>
    <t>CONSTRUÇÃO DE ERM - ORDEM 299000170674</t>
  </si>
  <si>
    <t>270000000421</t>
  </si>
  <si>
    <t>CONSTRUÇÃO DE ERM - ORDEM 299000170675</t>
  </si>
  <si>
    <t>270000000422</t>
  </si>
  <si>
    <t>CONSTRUÇÃO DE ERM - ORDEM 299000170676</t>
  </si>
  <si>
    <t>270000000423</t>
  </si>
  <si>
    <t>CONSTRUÇÃO DE ERM - ORDEM 299000170678</t>
  </si>
  <si>
    <t>270000000424</t>
  </si>
  <si>
    <t>CONSTRUÇÃO DE ERM - ORDEM 299000172824</t>
  </si>
  <si>
    <t>270000000425</t>
  </si>
  <si>
    <t>CONSTRUÇÃO DE ERM - ORDEM 299000172825</t>
  </si>
  <si>
    <t>300000000290</t>
  </si>
  <si>
    <t>INST. AUXILIARES DE REDE -ORDEM 299000170669</t>
  </si>
  <si>
    <t>300000000293</t>
  </si>
  <si>
    <t>INST. AUXILIARES DE REDE -ORDEM 299000170709</t>
  </si>
  <si>
    <t>300000000294</t>
  </si>
  <si>
    <t>INST. AUXILIARES DE REDE -ORDEM 299000170710</t>
  </si>
  <si>
    <t>300000000301</t>
  </si>
  <si>
    <t>INST. AUXILIARES DE REDE -ORDEM 299000173256</t>
  </si>
  <si>
    <t>300000000302</t>
  </si>
  <si>
    <t>300000000303</t>
  </si>
  <si>
    <t>INST. AUXILIARES DE REDE -ORDEM 299000170621</t>
  </si>
  <si>
    <t>300000000304</t>
  </si>
  <si>
    <t>300000000305</t>
  </si>
  <si>
    <t>INST. AUXILIARES DE REDE -ORDEM 299000170711</t>
  </si>
  <si>
    <t>300000000306</t>
  </si>
  <si>
    <t>240000001970</t>
  </si>
  <si>
    <t>240000001971</t>
  </si>
  <si>
    <t>CONSTRUÇÃO DE REDE MP - ORDEM 299000171062 (GOR)</t>
  </si>
  <si>
    <t>240000001972</t>
  </si>
  <si>
    <t>240000001973</t>
  </si>
  <si>
    <t>CONSTRUÇÃO DE REDE MP - ORDEM 299000171070 (GOR)</t>
  </si>
  <si>
    <t>240000001974</t>
  </si>
  <si>
    <t>240000001975</t>
  </si>
  <si>
    <t>240000001976</t>
  </si>
  <si>
    <t>240000001977</t>
  </si>
  <si>
    <t>240000001978</t>
  </si>
  <si>
    <t>240000001979</t>
  </si>
  <si>
    <t>240000001980</t>
  </si>
  <si>
    <t>CONSTRUÇÃO DE REDE MP - ORDEM 299000171266 (GOR)</t>
  </si>
  <si>
    <t>240000001981</t>
  </si>
  <si>
    <t>CONSTRUÇÃO DE REDE MP - ORDEM 299000171287 (GOR)</t>
  </si>
  <si>
    <t>240000001982</t>
  </si>
  <si>
    <t>CONSTRUÇÃO DE REDE MP - ORDEM 299000171343 (GOR)</t>
  </si>
  <si>
    <t>240000001983</t>
  </si>
  <si>
    <t>240000001984</t>
  </si>
  <si>
    <t>240000001985</t>
  </si>
  <si>
    <t>240000001986</t>
  </si>
  <si>
    <t>CONSTRUÇÃO DE REDE MP - ORDEM 299000171471 (GOR)</t>
  </si>
  <si>
    <t>240000001987</t>
  </si>
  <si>
    <t>240000001988</t>
  </si>
  <si>
    <t>CONSTRUÇÃO DE REDE MP - ORDEM 299000172892 (GOR)</t>
  </si>
  <si>
    <t>240000001989</t>
  </si>
  <si>
    <t>CONSTRUÇÃO DE REDE MP - ORDEM 299000173339 (GOR)</t>
  </si>
  <si>
    <t>240000001990</t>
  </si>
  <si>
    <t>CONSTRUÇÃO DE REDE MP - ORDEM 299000173767 (GOR)</t>
  </si>
  <si>
    <t>240000001991</t>
  </si>
  <si>
    <t>CONSTRUÇÃO DE REDE MP - ORDEM 299000167484</t>
  </si>
  <si>
    <t>260000001019</t>
  </si>
  <si>
    <t>CONSTRUÇÃO DE RAMAIS -ORDEM 299000170998 (GOR)</t>
  </si>
  <si>
    <t>260000001020</t>
  </si>
  <si>
    <t>CONSTRUÇÃO DE RAMAIS -ORDEM 299000171052 (GOR)</t>
  </si>
  <si>
    <t>260000001021</t>
  </si>
  <si>
    <t>CONSTRUÇÃO DE RAMAIS -ORDEM 299000171056 (GOR)</t>
  </si>
  <si>
    <t>260000001022</t>
  </si>
  <si>
    <t>CONSTRUÇÃO DE RAMAIS -ORDEM 299000171064 (GOR)</t>
  </si>
  <si>
    <t>260000001023</t>
  </si>
  <si>
    <t>CONSTRUÇÃO DE RAMAIS -ORDEM 299000171068 (GOR)</t>
  </si>
  <si>
    <t>260000001024</t>
  </si>
  <si>
    <t>CONSTRUÇÃO DE RAMAIS -ORDEM 299000171072 (GOR)</t>
  </si>
  <si>
    <t>260000001025</t>
  </si>
  <si>
    <t>CONSTRUÇÃO DE RAMAIS -ORDEM 299000171116 (GOR)</t>
  </si>
  <si>
    <t>260000001026</t>
  </si>
  <si>
    <t>CONSTRUÇÃO DE RAMAIS -ORDEM 299000171142 (GOR)</t>
  </si>
  <si>
    <t>260000001027</t>
  </si>
  <si>
    <t>CONSTRUÇÃO DE RAMAIS -ORDEM 299000171160 (GOR)</t>
  </si>
  <si>
    <t>260000001028</t>
  </si>
  <si>
    <t>CONSTRUÇÃO DE RAMAIS -ORDEM 299000171164 (GOR)</t>
  </si>
  <si>
    <t>260000001029</t>
  </si>
  <si>
    <t>CONSTRUÇÃO DE RAMAIS -ORDEM 299000171173 (GOR)</t>
  </si>
  <si>
    <t>260000001030</t>
  </si>
  <si>
    <t>CONSTRUÇÃO DE RAMAIS -ORDEM 299000171194 (GOR)</t>
  </si>
  <si>
    <t>260000001031</t>
  </si>
  <si>
    <t>CONSTRUÇÃO DE RAMAIS -ORDEM 299000171241 (GOR)</t>
  </si>
  <si>
    <t>260000001032</t>
  </si>
  <si>
    <t>CONSTRUÇÃO DE RAMAIS -ORDEM 299000171257 (GOR)</t>
  </si>
  <si>
    <t>260000001033</t>
  </si>
  <si>
    <t>CONSTRUÇÃO DE RAMAIS -ORDEM 299000171268 (GOR)</t>
  </si>
  <si>
    <t>260000001034</t>
  </si>
  <si>
    <t>CONSTRUÇÃO DE RAMAIS -ORDEM 299000171281 (GOR)</t>
  </si>
  <si>
    <t>260000001035</t>
  </si>
  <si>
    <t>CONSTRUÇÃO DE RAMAIS -ORDEM 299000171289 (GOR)</t>
  </si>
  <si>
    <t>260000001036</t>
  </si>
  <si>
    <t>CONSTRUÇÃO DE RAMAIS -ORDEM 299000171341 (GOR)</t>
  </si>
  <si>
    <t>260000001037</t>
  </si>
  <si>
    <t>CONSTRUÇÃO DE RAMAIS -ORDEM 299000171345 (GOR)</t>
  </si>
  <si>
    <t>260000001038</t>
  </si>
  <si>
    <t>CONSTRUÇÃO DE RAMAIS -ORDEM 299000171363 (GOR)</t>
  </si>
  <si>
    <t>260000001039</t>
  </si>
  <si>
    <t>CONSTRUÇÃO DE RAMAIS -ORDEM 299000171368 (GOR)</t>
  </si>
  <si>
    <t>260000001040</t>
  </si>
  <si>
    <t>CONSTRUÇÃO DE RAMAIS -ORDEM 299000171383 (GOR)</t>
  </si>
  <si>
    <t>260000001041</t>
  </si>
  <si>
    <t>CONSTRUÇÃO DE RAMAIS -ORDEM 299000171406 (GOR)</t>
  </si>
  <si>
    <t>260000001042</t>
  </si>
  <si>
    <t>260000001043</t>
  </si>
  <si>
    <t>CONSTRUÇÃO DE RAMAIS -ORDEM 299000171411 (GOR)</t>
  </si>
  <si>
    <t>260000001044</t>
  </si>
  <si>
    <t>CONSTRUÇÃO DE RAMAIS -ORDEM 299000171430 (GOR)</t>
  </si>
  <si>
    <t>260000001045</t>
  </si>
  <si>
    <t>CONSTRUÇÃO DE RAMAIS -ORDEM 299000171443 (GOR)</t>
  </si>
  <si>
    <t>260000001046</t>
  </si>
  <si>
    <t>CONSTRUÇÃO DE RAMAIS -ORDEM 299000171456 (GOR)</t>
  </si>
  <si>
    <t>260000001047</t>
  </si>
  <si>
    <t>CONSTRUÇÃO DE RAMAIS -ORDEM 299000172279 (GOR)</t>
  </si>
  <si>
    <t>270000000426</t>
  </si>
  <si>
    <t>CONSTRUÇÃO DE ERM - ORDEM 299000167772</t>
  </si>
  <si>
    <t>240000001863</t>
  </si>
  <si>
    <t>CONSTRUÇÃO DE REDE MP - ORDEM 299000170985 (GOR)</t>
  </si>
  <si>
    <t>260000001048</t>
  </si>
  <si>
    <t>CONSTRUÇÃO DE RAMAIS -ORDEM 299000171104 (GOR)</t>
  </si>
  <si>
    <t>240000001992</t>
  </si>
  <si>
    <t>CONSTRUÇÃO DE REDE MP - ORDEM 299000171389 (GOR)</t>
  </si>
  <si>
    <t>240000001993</t>
  </si>
  <si>
    <t>CONSTRUÇÃO DE REDE MP - ORDEM 299000169145 (GOR)</t>
  </si>
  <si>
    <t>240000001994</t>
  </si>
  <si>
    <t>CONSTRUÇÃO DE REDE MP - ORDEM 299000174472 (GOR)</t>
  </si>
  <si>
    <t>240000001995</t>
  </si>
  <si>
    <t>CONSTRUÇÃO DE REDE MP - ORDEM 299000174897 (GOR)</t>
  </si>
  <si>
    <t>240000001996</t>
  </si>
  <si>
    <t>CONSTRUÇÃO DE REDE MP - ORDEM 299000172891</t>
  </si>
  <si>
    <t>260000001049</t>
  </si>
  <si>
    <t>CONSTRUÇÃO DE RAMAIS -ORDEM 299000171391 (GOR)</t>
  </si>
  <si>
    <t>260000001050</t>
  </si>
  <si>
    <t>CONSTRUÇÃO DE RAMAIS -ORDEM 299000173819 (GOR)</t>
  </si>
  <si>
    <t>260000001051</t>
  </si>
  <si>
    <t>CONSTRUÇÃO DE RAMAIS -ORDEM 299000164938 (GOR)</t>
  </si>
  <si>
    <t>260000001052</t>
  </si>
  <si>
    <t>CONSTRUÇÃO DE RAMAIS -ORDEM 299000172364</t>
  </si>
  <si>
    <t>270000000427</t>
  </si>
  <si>
    <t>CONSTRUÇÃO DE ERM - ORDEM 299000169123 (GOR)</t>
  </si>
  <si>
    <t>270000000428</t>
  </si>
  <si>
    <t>CONSTRUÇÃO DE ERM - ORDEM 299000169128 (GOR)</t>
  </si>
  <si>
    <t>270000000429</t>
  </si>
  <si>
    <t>CONSTRUÇÃO DE ERM - ORDEM 299000174728 (GOR)</t>
  </si>
  <si>
    <t>270000000430</t>
  </si>
  <si>
    <t>CONSTRUÇÃO DE ERM - ORDEM 299000175185 (GOR)</t>
  </si>
  <si>
    <t>270000000431</t>
  </si>
  <si>
    <t>CONSTRUÇÃO DE ERM - ORDEM 299000174895</t>
  </si>
  <si>
    <t>270000000439</t>
  </si>
  <si>
    <t>CONSTRUÇÃO DE ERM - ORDEM 299000176600</t>
  </si>
  <si>
    <t>360000000159</t>
  </si>
  <si>
    <t>8 - MELHORIA NAS ESTAÇÕES DO ODORAÇÃO - CEGRIO</t>
  </si>
  <si>
    <t>240000001997</t>
  </si>
  <si>
    <t>CONSTRUÇÃO DE REDE MP - ORDEM 299000175843 (GOR)</t>
  </si>
  <si>
    <t>240000001998</t>
  </si>
  <si>
    <t>CONSTRUÇÃO DE REDE MP - ORDEM 299000171166 (GOR)</t>
  </si>
  <si>
    <t>240000001999</t>
  </si>
  <si>
    <t>240000002000</t>
  </si>
  <si>
    <t>240000002001</t>
  </si>
  <si>
    <t>CONSTRUÇÃO DE REDE MP - ORDEM 299000169145</t>
  </si>
  <si>
    <t>240000002002</t>
  </si>
  <si>
    <t>CONSTRUÇÃO DE REDE MP - ORDEM 299000174471</t>
  </si>
  <si>
    <t>240000002004</t>
  </si>
  <si>
    <t>CONSTRUÇÃO DE REDE MP - ORDEM 299000174901</t>
  </si>
  <si>
    <t>240000002005</t>
  </si>
  <si>
    <t>CONSTRUÇÃO DE REDE MP - ORDEM 299000175222</t>
  </si>
  <si>
    <t>240000002009</t>
  </si>
  <si>
    <t>CONSTRUÇÃO DE REDE MP - ORDEM 299000176680</t>
  </si>
  <si>
    <t>260000001054</t>
  </si>
  <si>
    <t>CONSTRUÇÃO DE RAMAIS -ORDEM 299000173108</t>
  </si>
  <si>
    <t>270000000432</t>
  </si>
  <si>
    <t>CONSTRUÇÃO DE ERM - ORDEM 299000169128</t>
  </si>
  <si>
    <t>270000000434</t>
  </si>
  <si>
    <t>CONSTRUÇÃO DE ERM - ORDEM 299000174727</t>
  </si>
  <si>
    <t>270000000435</t>
  </si>
  <si>
    <t>CONSTRUÇÃO DE ERM - ORDEM 299000175183</t>
  </si>
  <si>
    <t>270000000436</t>
  </si>
  <si>
    <t>CONSTRUÇÃO DE ERM - ORDEM 299000175184</t>
  </si>
  <si>
    <t>300000000307</t>
  </si>
  <si>
    <t>INST. AUXILIARES DE REDE - ORDEM 299000172293</t>
  </si>
  <si>
    <t>320000000294</t>
  </si>
  <si>
    <t>INSTALAÇÕES COMUNITÁRIAS ORDEM 299000174193</t>
  </si>
  <si>
    <t>260000001055</t>
  </si>
  <si>
    <t>CONSTRUÇÃO DE RAMAIS -ORDEM 299000174200</t>
  </si>
  <si>
    <t>339000000010</t>
  </si>
  <si>
    <t>2610</t>
  </si>
  <si>
    <t>23</t>
  </si>
  <si>
    <t>003</t>
  </si>
  <si>
    <t>BENFEITORIA EM PROPRIEDADE DE TERCEIROS</t>
  </si>
  <si>
    <t>1330201109</t>
  </si>
  <si>
    <t>Benfeitoria</t>
  </si>
  <si>
    <t>360000000153</t>
  </si>
  <si>
    <t>8 - AQUISIÇÃO DE NOVOS EQUIPAMENTOS DATALOGGERS E</t>
  </si>
  <si>
    <t>240000001960</t>
  </si>
  <si>
    <t>270000000408</t>
  </si>
  <si>
    <t>CONSTRUÇÃO DE ERM - ORDEM: 299000172824</t>
  </si>
  <si>
    <t>270000000409</t>
  </si>
  <si>
    <t>CONSTRUÇÃO DE ERM - ORDEM: 299000172825</t>
  </si>
  <si>
    <t>270000000411</t>
  </si>
  <si>
    <t>300000000289</t>
  </si>
  <si>
    <t>INST. AUXILIARES DE REDE -ORDEM 299000170596</t>
  </si>
  <si>
    <t>300000000299</t>
  </si>
  <si>
    <t>INST. AUXILIARES DE REDE -ORDEM 299000173372</t>
  </si>
  <si>
    <t>300000000308</t>
  </si>
  <si>
    <t>INST. AUXILIARES DE REDE -ORDEM 299000170597</t>
  </si>
  <si>
    <t>300000000309</t>
  </si>
  <si>
    <t>300000000310</t>
  </si>
  <si>
    <t>300000000311</t>
  </si>
  <si>
    <t>300000000312</t>
  </si>
  <si>
    <t>300000000313</t>
  </si>
  <si>
    <t>300000000314</t>
  </si>
  <si>
    <t>300000000315</t>
  </si>
  <si>
    <t>300000000316</t>
  </si>
  <si>
    <t>300000000317</t>
  </si>
  <si>
    <t>240000002010</t>
  </si>
  <si>
    <t>CONSTRUÇÃO DE REDE MP - ORDEM 299000175822</t>
  </si>
  <si>
    <t>240000002011</t>
  </si>
  <si>
    <t>CONSTRUÇÃO DE REDE MP - ORDEM 299000176373</t>
  </si>
  <si>
    <t>240000002012</t>
  </si>
  <si>
    <t>CONSTRUÇÃO DE REDE MP - ORDEM 299000176652</t>
  </si>
  <si>
    <t>240000002013</t>
  </si>
  <si>
    <t>CONSTRUÇÃO DE REDE MP - ORDEM 299000176961</t>
  </si>
  <si>
    <t>240000002014</t>
  </si>
  <si>
    <t>CONSTRUÇÃO DE REDE MP - ORDEM 299000177040</t>
  </si>
  <si>
    <t>240000002015</t>
  </si>
  <si>
    <t>CONSTRUÇÃO DE REDE MP - ORDEM 299000177500 (GOR)</t>
  </si>
  <si>
    <t>260000001056</t>
  </si>
  <si>
    <t>CONSTRUÇÃO DE RAMAIS -ORDEM299000177520 (GOR)</t>
  </si>
  <si>
    <t>270000000440</t>
  </si>
  <si>
    <t>CONSTRUÇÃO DE ERM - ORDEM 299000176542</t>
  </si>
  <si>
    <t>270000000441</t>
  </si>
  <si>
    <t>CONSTRUÇÃO DE ERM - ORDEM 299000176820</t>
  </si>
  <si>
    <t>240000002016</t>
  </si>
  <si>
    <t>240000002017</t>
  </si>
  <si>
    <t>270000000442</t>
  </si>
  <si>
    <t>CONSTRUÇÃO DE ERM - ORDEM 299000170583</t>
  </si>
  <si>
    <t>270000000443</t>
  </si>
  <si>
    <t>270000000444</t>
  </si>
  <si>
    <t>270000000445</t>
  </si>
  <si>
    <t>300000000318</t>
  </si>
  <si>
    <t>300000000319</t>
  </si>
  <si>
    <t>300000000320</t>
  </si>
  <si>
    <t>300000000321</t>
  </si>
  <si>
    <t>770000000108</t>
  </si>
  <si>
    <t>CONSTRUÇÃO DE ERM MP/BP - MERCADO GNV</t>
  </si>
  <si>
    <t>270000000446</t>
  </si>
  <si>
    <t>300000000322</t>
  </si>
  <si>
    <t>300000000323</t>
  </si>
  <si>
    <t>300000000324</t>
  </si>
  <si>
    <t>300000000325</t>
  </si>
  <si>
    <t>270000000447</t>
  </si>
  <si>
    <t>CONSTRUÇÃO DE ERM - ORDEM 299000176527</t>
  </si>
  <si>
    <t>270000000448</t>
  </si>
  <si>
    <t>CONSTRUÇÃO DE ERM - ORDEM 299000177221</t>
  </si>
  <si>
    <t>950000000026</t>
  </si>
  <si>
    <t>1500</t>
  </si>
  <si>
    <t>28</t>
  </si>
  <si>
    <t>SOFTWARE - APLICAÇÕES INFORMÁTICAS</t>
  </si>
  <si>
    <t>RENOVAÇÃO DO SCADA OAYS - CEG RIO</t>
  </si>
  <si>
    <t>1330101103</t>
  </si>
  <si>
    <t>Softwares</t>
  </si>
  <si>
    <t>400000000018</t>
  </si>
  <si>
    <t>5000</t>
  </si>
  <si>
    <t>PROYECTOS OPERACIONES BRASIL 2017</t>
  </si>
  <si>
    <t>1330201105</t>
  </si>
  <si>
    <t>Equipamentos de informática</t>
  </si>
  <si>
    <t>160100000000</t>
  </si>
  <si>
    <t>9101</t>
  </si>
  <si>
    <t>06_Contrato de Aluguel_Terreno Estação Odoração Re</t>
  </si>
  <si>
    <t>1330202101</t>
  </si>
  <si>
    <t>Contratos</t>
  </si>
  <si>
    <t>Não Vinculados</t>
  </si>
  <si>
    <t>160200000002</t>
  </si>
  <si>
    <t>9102</t>
  </si>
  <si>
    <t>001</t>
  </si>
  <si>
    <t>ATUAL CAMPOS LJ 14 E 15 - OSWALDO X CEG RIO</t>
  </si>
  <si>
    <t>1330202102</t>
  </si>
  <si>
    <t>160200000000</t>
  </si>
  <si>
    <t>CONTRATO DE LOCAÇÃO - AG. MACAÉ</t>
  </si>
  <si>
    <t>160200000001</t>
  </si>
  <si>
    <t>160200000004</t>
  </si>
  <si>
    <t>CONTRATO DE LOCAÇÃO 2007</t>
  </si>
  <si>
    <t>160200000005</t>
  </si>
  <si>
    <t>CONTRATO DE LOCAÇÃO - LJ 43</t>
  </si>
  <si>
    <t>160200000006</t>
  </si>
  <si>
    <t>CONTRATO DE LOCAÇÃO - LJ 45</t>
  </si>
  <si>
    <t>160200000007</t>
  </si>
  <si>
    <t>CONTRATO DE LOCAÇÃO - LJ 47</t>
  </si>
  <si>
    <t>160200000008</t>
  </si>
  <si>
    <t>CONTRATO DE LOCAÇÃO DE VOLTA REDONDA</t>
  </si>
  <si>
    <t>240000002019</t>
  </si>
  <si>
    <t>2190</t>
  </si>
  <si>
    <t>CONSTRUÇÃO DE REDE MP - ORDEM299000171905</t>
  </si>
  <si>
    <t>240000002020</t>
  </si>
  <si>
    <t>CONSTRUÇÃO DE REDE MP - ORDEM299000172299</t>
  </si>
  <si>
    <t>240000002021</t>
  </si>
  <si>
    <t>CONSTRUÇÃO DE REDE MP - ORDEM299000172307</t>
  </si>
  <si>
    <t>240000002022</t>
  </si>
  <si>
    <t>CONSTRUÇÃO DE REDE MP - ORDEM299000172310</t>
  </si>
  <si>
    <t>240000002023</t>
  </si>
  <si>
    <t>CONSTRUÇÃO DE REDE MP - ORDEM299000174545</t>
  </si>
  <si>
    <t>300000000326</t>
  </si>
  <si>
    <t>INST. AUXILIARES DE REDE -ORDEM 299000172289</t>
  </si>
  <si>
    <t>240000002024</t>
  </si>
  <si>
    <t>CONSTRUÇÃO DE REDE MP - ORDEM 299000171050(GOR)</t>
  </si>
  <si>
    <t>240000002025</t>
  </si>
  <si>
    <t>CONSTRUÇÃO DE REDE MP - ORDEM 299000171066(GOR)</t>
  </si>
  <si>
    <t>240000002026</t>
  </si>
  <si>
    <t>CONSTRUÇÃO DE REDE MP - ORDEM 299000171094(GOR)</t>
  </si>
  <si>
    <t>240000002027</t>
  </si>
  <si>
    <t>CONSTRUÇÃO DE REDE MP - ORDEM 299000171114(GOR)</t>
  </si>
  <si>
    <t>240000002028</t>
  </si>
  <si>
    <t>CONSTRUÇÃO DE REDE MP - ORDEM 299000171118(GOR)</t>
  </si>
  <si>
    <t>240000002029</t>
  </si>
  <si>
    <t>CONSTRUÇÃO DE REDE MP - ORDEM 299000171139(GOR)</t>
  </si>
  <si>
    <t>240000002030</t>
  </si>
  <si>
    <t>CONSTRUÇÃO DE REDE MP - ORDEM 299000171154(GOR)</t>
  </si>
  <si>
    <t>240000002031</t>
  </si>
  <si>
    <t>CONSTRUÇÃO DE REDE MP - ORDEM 299000171162(GOR)</t>
  </si>
  <si>
    <t>240000002032</t>
  </si>
  <si>
    <t>CONSTRUÇÃO DE REDE MP - ORDEM 299000171170(GOR)</t>
  </si>
  <si>
    <t>240000002033</t>
  </si>
  <si>
    <t>CONSTRUÇÃO DE REDE MP - ORDEM 299000171179(GOR)</t>
  </si>
  <si>
    <t>240000002034</t>
  </si>
  <si>
    <t>CONSTRUÇÃO DE REDE MP - ORDEM 299000171183(GOR)</t>
  </si>
  <si>
    <t>240000002035</t>
  </si>
  <si>
    <t>CONSTRUÇÃO DE REDE MP - ORDEM 299000171192(GOR)</t>
  </si>
  <si>
    <t>240000002036</t>
  </si>
  <si>
    <t>CONSTRUÇÃO DE REDE MP - ORDEM 299000171255(GOR)</t>
  </si>
  <si>
    <t>240000002037</t>
  </si>
  <si>
    <t>CONSTRUÇÃO DE REDE MP - ORDEM 299000171259(GOR)</t>
  </si>
  <si>
    <t>240000002038</t>
  </si>
  <si>
    <t>CONSTRUÇÃO DE REDE MP - ORDEM 299000171287(GOR)</t>
  </si>
  <si>
    <t>240000002039</t>
  </si>
  <si>
    <t>CONSTRUÇÃO DE REDE MP - ORDEM 299000171295(GOR)</t>
  </si>
  <si>
    <t>240000002040</t>
  </si>
  <si>
    <t>CONSTRUÇÃO DE REDE MP - ORDEM 299000171299(GOR)</t>
  </si>
  <si>
    <t>240000002041</t>
  </si>
  <si>
    <t>CONSTRUÇÃO DE REDE MP - ORDEM 299000171330(GOR)</t>
  </si>
  <si>
    <t>240000002042</t>
  </si>
  <si>
    <t>CONSTRUÇÃO DE REDE MP - ORDEM 299000171335(GOR)</t>
  </si>
  <si>
    <t>240000002043</t>
  </si>
  <si>
    <t>CONSTRUÇÃO DE REDE MP - ORDEM 299000171357(GOR)</t>
  </si>
  <si>
    <t>240000002044</t>
  </si>
  <si>
    <t>CONSTRUÇÃO DE REDE MP - ORDEM 299000171361(GOR)</t>
  </si>
  <si>
    <t>240000002045</t>
  </si>
  <si>
    <t>CONSTRUÇÃO DE REDE MP - ORDEM 299000171366(GOR)</t>
  </si>
  <si>
    <t>240000002046</t>
  </si>
  <si>
    <t>CONSTRUÇÃO DE REDE MP - ORDEM 299000171381(GOR)</t>
  </si>
  <si>
    <t>240000002047</t>
  </si>
  <si>
    <t>CONSTRUÇÃO DE REDE MP - ORDEM 299000171385(GOR)</t>
  </si>
  <si>
    <t>240000002048</t>
  </si>
  <si>
    <t>CONSTRUÇÃO DE REDE MP - ORDEM 299000171403(GOR)</t>
  </si>
  <si>
    <t>240000002049</t>
  </si>
  <si>
    <t>CONSTRUÇÃO DE REDE MP - ORDEM 299000171415(GOR)</t>
  </si>
  <si>
    <t>240000002050</t>
  </si>
  <si>
    <t>CONSTRUÇÃO DE REDE MP - ORDEM 299000171427(GOR)</t>
  </si>
  <si>
    <t>240000002051</t>
  </si>
  <si>
    <t>CONSTRUÇÃO DE REDE MP - ORDEM 299000171440(GOR)</t>
  </si>
  <si>
    <t>240000002052</t>
  </si>
  <si>
    <t>CONSTRUÇÃO DE REDE MP - ORDEM 299000171446(GOR)</t>
  </si>
  <si>
    <t>240000002053</t>
  </si>
  <si>
    <t>CONSTRUÇÃO DE REDE MP - ORDEM 299000172278(GOR)</t>
  </si>
  <si>
    <t>240000002054</t>
  </si>
  <si>
    <t>CONSTRUÇÃO DE REDE MP - ORDEM 299000172892(GOR)</t>
  </si>
  <si>
    <t>240000002055</t>
  </si>
  <si>
    <t>CONSTRUÇÃO DE REDE MP - ORDEM 299000175843(GOR)</t>
  </si>
  <si>
    <t>240000002056</t>
  </si>
  <si>
    <t>CONSTRUÇÃO DE REDE MP - ORDEM 299000176004(GOR)</t>
  </si>
  <si>
    <t>240000002057</t>
  </si>
  <si>
    <t>CONSTRUÇÃO DE REDE MP - ORDEM 299000176080(GOR)</t>
  </si>
  <si>
    <t>240000002058</t>
  </si>
  <si>
    <t>CONSTRUÇÃO DE REDE MP - ORDEM 299000176314(GOR)</t>
  </si>
  <si>
    <t>240000002059</t>
  </si>
  <si>
    <t>CONSTRUÇÃO DE REDE MP - ORDEM 299000177520(GOR)</t>
  </si>
  <si>
    <t>240000002060</t>
  </si>
  <si>
    <t>CONSTRUÇÃO DE REDE MP - ORDEM 299000177803(GOR)</t>
  </si>
  <si>
    <t>240000002061</t>
  </si>
  <si>
    <t>CONSTRUÇÃO DE REDE MP - ORDEM 299000178087(GOR)</t>
  </si>
  <si>
    <t>260000001058</t>
  </si>
  <si>
    <t>CONSTRUÇÃO DE RAMAIS -ORDEM299000171052(GOR)</t>
  </si>
  <si>
    <t>260000001059</t>
  </si>
  <si>
    <t>CONSTRUÇÃO DE RAMAIS -ORDEM299000171056(GOR)</t>
  </si>
  <si>
    <t>260000001060</t>
  </si>
  <si>
    <t>CONSTRUÇÃO DE RAMAIS -ORDEM299000171064(GOR)</t>
  </si>
  <si>
    <t>260000001061</t>
  </si>
  <si>
    <t>CONSTRUÇÃO DE RAMAIS -ORDEM299000171072(GOR)</t>
  </si>
  <si>
    <t>260000001062</t>
  </si>
  <si>
    <t>CONSTRUÇÃO DE RAMAIS -ORDEM299000171097(GOR)</t>
  </si>
  <si>
    <t>260000001063</t>
  </si>
  <si>
    <t>CONSTRUÇÃO DE RAMAIS -ORDEM299000171112(GOR)</t>
  </si>
  <si>
    <t>260000001064</t>
  </si>
  <si>
    <t>CONSTRUÇÃO DE RAMAIS -ORDEM299000171116(GOR)</t>
  </si>
  <si>
    <t>260000001065</t>
  </si>
  <si>
    <t>CONSTRUÇÃO DE RAMAIS -ORDEM299000171142(GOR)</t>
  </si>
  <si>
    <t>260000001066</t>
  </si>
  <si>
    <t>CONSTRUÇÃO DE RAMAIS -ORDEM299000171160(GOR)</t>
  </si>
  <si>
    <t>260000001067</t>
  </si>
  <si>
    <t>CONSTRUÇÃO DE RAMAIS -ORDEM299000171164(GOR)</t>
  </si>
  <si>
    <t>260000001068</t>
  </si>
  <si>
    <t>CONSTRUÇÃO DE RAMAIS -ORDEM299000171168(GOR)</t>
  </si>
  <si>
    <t>260000001069</t>
  </si>
  <si>
    <t>CONSTRUÇÃO DE RAMAIS -ORDEM299000171172(GOR)</t>
  </si>
  <si>
    <t>260000001070</t>
  </si>
  <si>
    <t>CONSTRUÇÃO DE RAMAIS -ORDEM299000171185(GOR)</t>
  </si>
  <si>
    <t>260000001071</t>
  </si>
  <si>
    <t>CONSTRUÇÃO DE RAMAIS -ORDEM299000171194(GOR)</t>
  </si>
  <si>
    <t>260000001072</t>
  </si>
  <si>
    <t>CONSTRUÇÃO DE RAMAIS -ORDEM299000171241(GOR)</t>
  </si>
  <si>
    <t>260000001073</t>
  </si>
  <si>
    <t>CONSTRUÇÃO DE RAMAIS -ORDEM299000171257(GOR)</t>
  </si>
  <si>
    <t>260000001074</t>
  </si>
  <si>
    <t>CONSTRUÇÃO DE RAMAIS -ORDEM299000171281(GOR)</t>
  </si>
  <si>
    <t>260000001075</t>
  </si>
  <si>
    <t>CONSTRUÇÃO DE RAMAIS -ORDEM299000171289(GOR)</t>
  </si>
  <si>
    <t>260000001076</t>
  </si>
  <si>
    <t>CONSTRUÇÃO DE RAMAIS -ORDEM299000171297(GOR)</t>
  </si>
  <si>
    <t>260000001077</t>
  </si>
  <si>
    <t>CONSTRUÇÃO DE RAMAIS -ORDEM299000171332(GOR)</t>
  </si>
  <si>
    <t>260000001078</t>
  </si>
  <si>
    <t>CONSTRUÇÃO DE RAMAIS -ORDEM299000171338(GOR)</t>
  </si>
  <si>
    <t>260000001079</t>
  </si>
  <si>
    <t>CONSTRUÇÃO DE RAMAIS -ORDEM299000171341(GOR)</t>
  </si>
  <si>
    <t>260000001080</t>
  </si>
  <si>
    <t>CONSTRUÇÃO DE RAMAIS -ORDEM299000171345(GOR)</t>
  </si>
  <si>
    <t>260000001081</t>
  </si>
  <si>
    <t>CONSTRUÇÃO DE RAMAIS -ORDEM299000171359(GOR)</t>
  </si>
  <si>
    <t>260000001082</t>
  </si>
  <si>
    <t>CONSTRUÇÃO DE RAMAIS -ORDEM299000171363(GOR)</t>
  </si>
  <si>
    <t>260000001083</t>
  </si>
  <si>
    <t>CONSTRUÇÃO DE RAMAIS -ORDEM299000171368(GOR)</t>
  </si>
  <si>
    <t>260000001084</t>
  </si>
  <si>
    <t>CONSTRUÇÃO DE RAMAIS -ORDEM299000171383(GOR)</t>
  </si>
  <si>
    <t>260000001085</t>
  </si>
  <si>
    <t>CONSTRUÇÃO DE RAMAIS -ORDEM299000171387(GOR)</t>
  </si>
  <si>
    <t>260000001086</t>
  </si>
  <si>
    <t>CONSTRUÇÃO DE RAMAIS -ORDEM299000171406(GOR)</t>
  </si>
  <si>
    <t>260000001087</t>
  </si>
  <si>
    <t>CONSTRUÇÃO DE RAMAIS -ORDEM299000171418(GOR)</t>
  </si>
  <si>
    <t>260000001088</t>
  </si>
  <si>
    <t>CONSTRUÇÃO DE RAMAIS -ORDEM299000171430(GOR)</t>
  </si>
  <si>
    <t>260000001089</t>
  </si>
  <si>
    <t>CONSTRUÇÃO DE RAMAIS -ORDEM299000171437(GOR)</t>
  </si>
  <si>
    <t>260000001090</t>
  </si>
  <si>
    <t>CONSTRUÇÃO DE RAMAIS -ORDEM299000171443(GOR)</t>
  </si>
  <si>
    <t>260000001091</t>
  </si>
  <si>
    <t>CONSTRUÇÃO DE RAMAIS -ORDEM299000171449(GOR)</t>
  </si>
  <si>
    <t>260000001092</t>
  </si>
  <si>
    <t>CONSTRUÇÃO DE RAMAIS -ORDEM299000174893(GOR)</t>
  </si>
  <si>
    <t>260000001093</t>
  </si>
  <si>
    <t>CONSTRUÇÃO DE RAMAIS -ORDEM299000175730(GOR)</t>
  </si>
  <si>
    <t>260000001094</t>
  </si>
  <si>
    <t>CONSTRUÇÃO DE RAMAIS -ORDEM299000176081(GOR)</t>
  </si>
  <si>
    <t>310000000402</t>
  </si>
  <si>
    <t>MEDIDORES E REGULADORES MP - TODOS OS MERCADOS</t>
  </si>
  <si>
    <t>310000000407</t>
  </si>
  <si>
    <t>05</t>
  </si>
  <si>
    <t>MEDIDORES E REGULADORES -  GRANDE COMERCIO</t>
  </si>
  <si>
    <t>310000000388</t>
  </si>
  <si>
    <t>MEDIDORES E REGULADORES - RESIDENCIAL</t>
  </si>
  <si>
    <t>740000000170</t>
  </si>
  <si>
    <t>2101B</t>
  </si>
  <si>
    <t>J</t>
  </si>
  <si>
    <t>CONSTRUÇÃO DE REDE MP - TODOS OS MERCADOS</t>
  </si>
  <si>
    <t>Redes em andamento</t>
  </si>
  <si>
    <t>740000000172</t>
  </si>
  <si>
    <t>CONSTRUÇÃO DE REDE DE ALTA_TODOS OS MERCADOS</t>
  </si>
  <si>
    <t>740000000174</t>
  </si>
  <si>
    <t>DIGITALIZAÇÃO DE PLANTAS - TODOS OS MERCADOS</t>
  </si>
  <si>
    <t>770000000113</t>
  </si>
  <si>
    <t>CONSTRUÇÃO DE ERM AP TODOS OS MERCADOS</t>
  </si>
  <si>
    <t>ERD GASCABO</t>
  </si>
  <si>
    <t>309000000083</t>
  </si>
  <si>
    <t>INSTALAÇÕES AUX. DE REDE-TODO MERCADOS</t>
  </si>
  <si>
    <t>TELEMETRIA ITATIAIA / RESENDE</t>
  </si>
  <si>
    <t>240000002064</t>
  </si>
  <si>
    <t>CONSTRUÇÃO DE REDE MP - ORDEM 299000169979</t>
  </si>
  <si>
    <t>240000002065</t>
  </si>
  <si>
    <t>CONSTRUÇÃO DE REDE MP - ORDEM 299000170990</t>
  </si>
  <si>
    <t>240000002066</t>
  </si>
  <si>
    <t>CONSTRUÇÃO DE REDE MP - ORDEM 299000171028</t>
  </si>
  <si>
    <t>240000002067</t>
  </si>
  <si>
    <t>CONSTRUÇÃO DE REDE MP - ORDEM 299000171030</t>
  </si>
  <si>
    <t>240000002068</t>
  </si>
  <si>
    <t>CONSTRUÇÃO DE REDE MP - ORDEM 299000171057</t>
  </si>
  <si>
    <t>240000002069</t>
  </si>
  <si>
    <t>CONSTRUÇÃO DE REDE MP - ORDEM 299000171061</t>
  </si>
  <si>
    <t>240000002070</t>
  </si>
  <si>
    <t>CONSTRUÇÃO DE REDE MP - ORDEM 299000171065</t>
  </si>
  <si>
    <t>240000002071</t>
  </si>
  <si>
    <t>CONSTRUÇÃO DE REDE MP - ORDEM 299000171105</t>
  </si>
  <si>
    <t>240000002072</t>
  </si>
  <si>
    <t>CONSTRUÇÃO DE REDE MP - ORDEM 299000171125</t>
  </si>
  <si>
    <t>240000002073</t>
  </si>
  <si>
    <t>CONSTRUÇÃO DE REDE MP - ORDEM 299000171138</t>
  </si>
  <si>
    <t>240000002074</t>
  </si>
  <si>
    <t>CONSTRUÇÃO DE REDE MP - ORDEM 299000171144</t>
  </si>
  <si>
    <t>240000002075</t>
  </si>
  <si>
    <t>CONSTRUÇÃO DE REDE MP - ORDEM 299000171153</t>
  </si>
  <si>
    <t>240000002103</t>
  </si>
  <si>
    <t>CONSTRUÇÃO DE REDE MP - ORDEM 299000170588</t>
  </si>
  <si>
    <t>240000002104</t>
  </si>
  <si>
    <t>CONSTRUÇÃO DE REDE MP - ORDEM 299000170589</t>
  </si>
  <si>
    <t>240000002105</t>
  </si>
  <si>
    <t>CONSTRUÇÃO DE REDE MP - ORDEM 299000171113</t>
  </si>
  <si>
    <t>240000002106</t>
  </si>
  <si>
    <t>CONSTRUÇÃO DE REDE MP - ORDEM 299000171117</t>
  </si>
  <si>
    <t>260000001102</t>
  </si>
  <si>
    <t>CONSTRUÇÃO DE RAMAIS -ORDEM 299000170991</t>
  </si>
  <si>
    <t>260000001103</t>
  </si>
  <si>
    <t>CONSTRUÇÃO DE RAMAIS -ORDEM 299000171031</t>
  </si>
  <si>
    <t>260000001104</t>
  </si>
  <si>
    <t>CONSTRUÇÃO DE RAMAIS -ORDEM 299000171051</t>
  </si>
  <si>
    <t>260000001105</t>
  </si>
  <si>
    <t>CONSTRUÇÃO DE RAMAIS -ORDEM 299000171055</t>
  </si>
  <si>
    <t>260000001106</t>
  </si>
  <si>
    <t>CONSTRUÇÃO DE RAMAIS -ORDEM 299000171063</t>
  </si>
  <si>
    <t>260000001107</t>
  </si>
  <si>
    <t>CONSTRUÇÃO DE RAMAIS -ORDEM 299000171096</t>
  </si>
  <si>
    <t>260000001108</t>
  </si>
  <si>
    <t>CONSTRUÇÃO DE RAMAIS -ORDEM 299000171103</t>
  </si>
  <si>
    <t>260000001109</t>
  </si>
  <si>
    <t>CONSTRUÇÃO DE RAMAIS -ORDEM 299000171141</t>
  </si>
  <si>
    <t>260000001110</t>
  </si>
  <si>
    <t>CONSTRUÇÃO DE RAMAIS -ORDEM 299000171147</t>
  </si>
  <si>
    <t>260000001134</t>
  </si>
  <si>
    <t>CONSTRUÇÃO DE RAMAIS -ORDEM 299000170980</t>
  </si>
  <si>
    <t>260000001136</t>
  </si>
  <si>
    <t>CONSTRUÇÃO DE RAMAIS -ORDEM 299000171110</t>
  </si>
  <si>
    <t>260000001137</t>
  </si>
  <si>
    <t>CONSTRUÇÃO DE RAMAIS -ORDEM 299000171115</t>
  </si>
  <si>
    <t>260000001138</t>
  </si>
  <si>
    <t>CONSTRUÇÃO DE RAMAIS -ORDEM 299000171119</t>
  </si>
  <si>
    <t>270000000449</t>
  </si>
  <si>
    <t>CONSTRUÇÃO DE ERM - ORDEM 299000169127</t>
  </si>
  <si>
    <t>300000000327</t>
  </si>
  <si>
    <t>INST. AUXILIARES DE REDE -ORDEM 299000170591</t>
  </si>
  <si>
    <t>300000000328</t>
  </si>
  <si>
    <t>INST. AUXILIARES DE REDE -ORDEM 299000169135</t>
  </si>
  <si>
    <t>300000000329</t>
  </si>
  <si>
    <t>INST. AUXILIARES DE REDE -ORDEM 299000169136</t>
  </si>
  <si>
    <t>320000000295</t>
  </si>
  <si>
    <t>INSTALAÇÕES COMUNITÁRIAS ORDEM 299000170984</t>
  </si>
  <si>
    <t>320000000296</t>
  </si>
  <si>
    <t>INSTALAÇÕES COMUNITÁRIAS ORDEM 299000170993</t>
  </si>
  <si>
    <t>320000000297</t>
  </si>
  <si>
    <t>INSTALAÇÕES COMUNITÁRIAS ORDEM 299000170999</t>
  </si>
  <si>
    <t>320000000298</t>
  </si>
  <si>
    <t>INSTALAÇÕES COMUNITÁRIAS ORDEM 299000171032</t>
  </si>
  <si>
    <t>320000000299</t>
  </si>
  <si>
    <t>INSTALAÇÕES COMUNITÁRIAS ORDEM 299000171036</t>
  </si>
  <si>
    <t>320000000300</t>
  </si>
  <si>
    <t>INSTALAÇÕES COMUNITÁRIAS ORDEM 299000171037</t>
  </si>
  <si>
    <t>320000000301</t>
  </si>
  <si>
    <t>INSTALAÇÕES COMUNITÁRIAS ORDEM 299000171038</t>
  </si>
  <si>
    <t>320000000302</t>
  </si>
  <si>
    <t>INSTALAÇÕES COMUNITÁRIAS ORDEM 299000171039</t>
  </si>
  <si>
    <t>320000000303</t>
  </si>
  <si>
    <t>INSTALAÇÕES COMUNITÁRIAS ORDEM 299000171040</t>
  </si>
  <si>
    <t>320000000304</t>
  </si>
  <si>
    <t>INSTALAÇÕES COMUNITÁRIAS ORDEM 299000171041</t>
  </si>
  <si>
    <t>320000000305</t>
  </si>
  <si>
    <t>INSTALAÇÕES COMUNITÁRIAS ORDEM 299000171042</t>
  </si>
  <si>
    <t>320000000306</t>
  </si>
  <si>
    <t>INSTALAÇÕES COMUNITÁRIAS ORDEM 299000171043</t>
  </si>
  <si>
    <t>320000000307</t>
  </si>
  <si>
    <t>INSTALAÇÕES COMUNITÁRIAS ORDEM 299000171044</t>
  </si>
  <si>
    <t>320000000308</t>
  </si>
  <si>
    <t>INSTALAÇÕES COMUNITÁRIAS ORDEM 299000171045</t>
  </si>
  <si>
    <t>320000000309</t>
  </si>
  <si>
    <t>INSTALAÇÕES COMUNITÁRIAS ORDEM 299000171046</t>
  </si>
  <si>
    <t>320000000310</t>
  </si>
  <si>
    <t>INSTALAÇÕES COMUNITÁRIAS ORDEM 299000171047</t>
  </si>
  <si>
    <t>320000000311</t>
  </si>
  <si>
    <t>INSTALAÇÕES COMUNITÁRIAS ORDEM 299000171048</t>
  </si>
  <si>
    <t>320000000312</t>
  </si>
  <si>
    <t>INSTALAÇÕES COMUNITÁRIAS ORDEM 299000171081</t>
  </si>
  <si>
    <t>320000000313</t>
  </si>
  <si>
    <t>INSTALAÇÕES COMUNITÁRIAS ORDEM 299000171088</t>
  </si>
  <si>
    <t>320000000314</t>
  </si>
  <si>
    <t>INSTALAÇÕES COMUNITÁRIAS ORDEM 299000171090</t>
  </si>
  <si>
    <t>240000002076</t>
  </si>
  <si>
    <t>CONSTRUÇÃO DE REDE MP - ORDEM 299000171182</t>
  </si>
  <si>
    <t>240000002077</t>
  </si>
  <si>
    <t>CONSTRUÇÃO DE REDE MP - ORDEM 299000171186</t>
  </si>
  <si>
    <t>240000002078</t>
  </si>
  <si>
    <t>CONSTRUÇÃO DE REDE MP - ORDEM 299000171239</t>
  </si>
  <si>
    <t>240000002079</t>
  </si>
  <si>
    <t>CONSTRUÇÃO DE REDE MP - ORDEM 299000171264</t>
  </si>
  <si>
    <t>240000002080</t>
  </si>
  <si>
    <t>CONSTRUÇÃO DE REDE MP - ORDEM 299000171275</t>
  </si>
  <si>
    <t>240000002081</t>
  </si>
  <si>
    <t>CONSTRUÇÃO DE REDE MP - ORDEM 299000171329</t>
  </si>
  <si>
    <t>240000002082</t>
  </si>
  <si>
    <t>CONSTRUÇÃO DE REDE MP - ORDEM 299000171334</t>
  </si>
  <si>
    <t>240000002083</t>
  </si>
  <si>
    <t>CONSTRUÇÃO DE REDE MP - ORDEM 299000171339</t>
  </si>
  <si>
    <t>240000002084</t>
  </si>
  <si>
    <t>CONSTRUÇÃO DE REDE MP - ORDEM 299000171346</t>
  </si>
  <si>
    <t>240000002085</t>
  </si>
  <si>
    <t>CONSTRUÇÃO DE REDE MP - ORDEM 299000171356</t>
  </si>
  <si>
    <t>240000002086</t>
  </si>
  <si>
    <t>CONSTRUÇÃO DE REDE MP - ORDEM 299000171365</t>
  </si>
  <si>
    <t>240000002087</t>
  </si>
  <si>
    <t>CONSTRUÇÃO DE REDE MP - ORDEM 299000171380</t>
  </si>
  <si>
    <t>240000002088</t>
  </si>
  <si>
    <t>CONSTRUÇÃO DE REDE MP - ORDEM 299000171384</t>
  </si>
  <si>
    <t>240000002089</t>
  </si>
  <si>
    <t>CONSTRUÇÃO DE REDE MP - ORDEM 299000171388</t>
  </si>
  <si>
    <t>240000002090</t>
  </si>
  <si>
    <t>CONSTRUÇÃO DE REDE MP - ORDEM 299000171401</t>
  </si>
  <si>
    <t>240000002091</t>
  </si>
  <si>
    <t>CONSTRUÇÃO DE REDE MP - ORDEM 299000171407</t>
  </si>
  <si>
    <t>240000002092</t>
  </si>
  <si>
    <t>CONSTRUÇÃO DE REDE MP - ORDEM 299000171414</t>
  </si>
  <si>
    <t>240000002093</t>
  </si>
  <si>
    <t>CONSTRUÇÃO DE REDE MP - ORDEM 299000171426</t>
  </si>
  <si>
    <t>240000002094</t>
  </si>
  <si>
    <t>CONSTRUÇÃO DE REDE MP - ORDEM 299000171432</t>
  </si>
  <si>
    <t>240000002095</t>
  </si>
  <si>
    <t>CONSTRUÇÃO DE REDE MP - ORDEM 299000171438</t>
  </si>
  <si>
    <t>240000002096</t>
  </si>
  <si>
    <t>CONSTRUÇÃO DE REDE MP - ORDEM 299000171444</t>
  </si>
  <si>
    <t>240000002097</t>
  </si>
  <si>
    <t>CONSTRUÇÃO DE REDE MP - ORDEM 299000171451</t>
  </si>
  <si>
    <t>240000002098</t>
  </si>
  <si>
    <t>CONSTRUÇÃO DE REDE MP - ORDEM 299000171458</t>
  </si>
  <si>
    <t>240000002099</t>
  </si>
  <si>
    <t>CONSTRUÇÃO DE REDE MP - ORDEM 299000171466</t>
  </si>
  <si>
    <t>240000002100</t>
  </si>
  <si>
    <t>CONSTRUÇÃO DE REDE MP - ORDEM 299000176016</t>
  </si>
  <si>
    <t>240000002101</t>
  </si>
  <si>
    <t>CONSTRUÇÃO DE REDE MP - ORDEM 299000176003</t>
  </si>
  <si>
    <t>240000002102</t>
  </si>
  <si>
    <t>CONSTRUÇÃO DE REDE MP - ORDEM 299000178220</t>
  </si>
  <si>
    <t>240000002107</t>
  </si>
  <si>
    <t>CONSTRUÇÃO DE REDE MP - ORDEM 299000171161</t>
  </si>
  <si>
    <t>240000002108</t>
  </si>
  <si>
    <t>CONSTRUÇÃO DE REDE MP - ORDEM 299000171178</t>
  </si>
  <si>
    <t>240000002109</t>
  </si>
  <si>
    <t>CONSTRUÇÃO DE REDE MP - ORDEM 2299000171242</t>
  </si>
  <si>
    <t>240000002110</t>
  </si>
  <si>
    <t>CONSTRUÇÃO DE REDE MP - ORDEM 299000171254</t>
  </si>
  <si>
    <t>240000002111</t>
  </si>
  <si>
    <t>CONSTRUÇÃO DE REDE MP - ORDEM 299000171258</t>
  </si>
  <si>
    <t>240000002112</t>
  </si>
  <si>
    <t>CONSTRUÇÃO DE REDE MP - ORDEM 299000171286</t>
  </si>
  <si>
    <t>240000002113</t>
  </si>
  <si>
    <t>CONSTRUÇÃO DE REDE MP - ORDEM 299000171294</t>
  </si>
  <si>
    <t>240000002114</t>
  </si>
  <si>
    <t>CONSTRUÇÃO DE REDE MP - ORDEM 299000171298</t>
  </si>
  <si>
    <t>240000002115</t>
  </si>
  <si>
    <t>CONSTRUÇÃO DE REDE MP - ORDEM 299000171342</t>
  </si>
  <si>
    <t>240000002116</t>
  </si>
  <si>
    <t>CONSTRUÇÃO DE REDE MP - ORDEM 299000178044</t>
  </si>
  <si>
    <t>240000002117</t>
  </si>
  <si>
    <t>CONSTRUÇÃO DE REDE MP - ORDEM 299000177231</t>
  </si>
  <si>
    <t>240000002118</t>
  </si>
  <si>
    <t>CONSTRUÇÃO DE REDE MP - ORDEM 299000177907</t>
  </si>
  <si>
    <t>240000002119</t>
  </si>
  <si>
    <t>CONSTRUÇÃO DE REDE MP - ORDEM 299000178080</t>
  </si>
  <si>
    <t>240000002120</t>
  </si>
  <si>
    <t>CONSTRUÇÃO DE REDE MP - ORDEM 299000176315</t>
  </si>
  <si>
    <t>260000001098</t>
  </si>
  <si>
    <t>CONSTRUÇÃO DE RAMAIS -ORDEM 299000174894</t>
  </si>
  <si>
    <t>260000001099</t>
  </si>
  <si>
    <t>CONSTRUÇÃO DE RAMAIS -ORDEM 299000175731</t>
  </si>
  <si>
    <t>260000001100</t>
  </si>
  <si>
    <t>CONSTRUÇÃO DE RAMAIS -ORDEM 299000176001</t>
  </si>
  <si>
    <t>260000001101</t>
  </si>
  <si>
    <t>CONSTRUÇÃO DE RAMAIS -ORDEM 299000176360</t>
  </si>
  <si>
    <t>260000001111</t>
  </si>
  <si>
    <t>CONSTRUÇÃO DE RAMAIS -ORDEM 299000171156</t>
  </si>
  <si>
    <t>260000001112</t>
  </si>
  <si>
    <t>CONSTRUÇÃO DE RAMAIS -ORDEM 299000171184</t>
  </si>
  <si>
    <t>260000001113</t>
  </si>
  <si>
    <t>CONSTRUÇÃO DE RAMAIS -ORDEM 299000171189</t>
  </si>
  <si>
    <t>260000001114</t>
  </si>
  <si>
    <t>CONSTRUÇÃO DE RAMAIS -ORDEM 299000171193</t>
  </si>
  <si>
    <t>260000001115</t>
  </si>
  <si>
    <t>CONSTRUÇÃO DE RAMAIS -ORDEM 299000171261</t>
  </si>
  <si>
    <t>260000001116</t>
  </si>
  <si>
    <t>CONSTRUÇÃO DE RAMAIS -ORDEM 299000171331</t>
  </si>
  <si>
    <t>260000001117</t>
  </si>
  <si>
    <t>CONSTRUÇÃO DE RAMAIS -ORDEM 299000171337</t>
  </si>
  <si>
    <t>260000001118</t>
  </si>
  <si>
    <t>CONSTRUÇÃO DE RAMAIS -ORDEM 299000171347</t>
  </si>
  <si>
    <t>260000001119</t>
  </si>
  <si>
    <t>CONSTRUÇÃO DE RAMAIS -ORDEM 299000171358</t>
  </si>
  <si>
    <t>260000001120</t>
  </si>
  <si>
    <t>CONSTRUÇÃO DE RAMAIS -ORDEM 299000171362</t>
  </si>
  <si>
    <t>260000001121</t>
  </si>
  <si>
    <t>CONSTRUÇÃO DE RAMAIS -ORDEM 299000171367</t>
  </si>
  <si>
    <t>260000001122</t>
  </si>
  <si>
    <t>CONSTRUÇÃO DE RAMAIS -ORDEM 299000171379</t>
  </si>
  <si>
    <t>260000001123</t>
  </si>
  <si>
    <t>CONSTRUÇÃO DE RAMAIS -ORDEM 299000171382</t>
  </si>
  <si>
    <t>260000001124</t>
  </si>
  <si>
    <t>CONSTRUÇÃO DE RAMAIS -ORDEM 299000171386</t>
  </si>
  <si>
    <t>260000001125</t>
  </si>
  <si>
    <t>CONSTRUÇÃO DE RAMAIS -ORDEM 299000171390</t>
  </si>
  <si>
    <t>260000001126</t>
  </si>
  <si>
    <t>CONSTRUÇÃO DE RAMAIS -ORDEM 299000171404</t>
  </si>
  <si>
    <t>260000001127</t>
  </si>
  <si>
    <t>CONSTRUÇÃO DE RAMAIS -ORDEM 299000171410</t>
  </si>
  <si>
    <t>260000001128</t>
  </si>
  <si>
    <t>CONSTRUÇÃO DE RAMAIS -ORDEM 299000171423</t>
  </si>
  <si>
    <t>260000001129</t>
  </si>
  <si>
    <t>CONSTRUÇÃO DE RAMAIS -ORDEM 299000171429</t>
  </si>
  <si>
    <t>260000001130</t>
  </si>
  <si>
    <t>CONSTRUÇÃO DE RAMAIS -ORDEM 299000171435</t>
  </si>
  <si>
    <t>260000001131</t>
  </si>
  <si>
    <t>CONSTRUÇÃO DE RAMAIS -ORDEM 299000171447</t>
  </si>
  <si>
    <t>260000001132</t>
  </si>
  <si>
    <t>CONSTRUÇÃO DE RAMAIS -ORDEM 299000171454</t>
  </si>
  <si>
    <t>260000001133</t>
  </si>
  <si>
    <t>CONSTRUÇÃO DE RAMAIS -ORDEM 299000171464</t>
  </si>
  <si>
    <t>260000001135</t>
  </si>
  <si>
    <t>CONSTRUÇÃO DE RAMAIS -ORDEM 299000171468</t>
  </si>
  <si>
    <t>260000001139</t>
  </si>
  <si>
    <t>CONSTRUÇÃO DE RAMAIS -ORDEM 299000171163</t>
  </si>
  <si>
    <t>260000001140</t>
  </si>
  <si>
    <t>CONSTRUÇÃO DE RAMAIS -ORDEM 299000171167</t>
  </si>
  <si>
    <t>260000001141</t>
  </si>
  <si>
    <t>CONSTRUÇÃO DE RAMAIS -ORDEM 299000171240</t>
  </si>
  <si>
    <t>260000001142</t>
  </si>
  <si>
    <t>CONSTRUÇÃO DE RAMAIS -ORDEM 299000171256</t>
  </si>
  <si>
    <t>260000001143</t>
  </si>
  <si>
    <t>CONSTRUÇÃO DE RAMAIS -ORDEM 299000171280</t>
  </si>
  <si>
    <t>260000001144</t>
  </si>
  <si>
    <t>CONSTRUÇÃO DE RAMAIS -ORDEM 299000171288</t>
  </si>
  <si>
    <t>260000001145</t>
  </si>
  <si>
    <t>CONSTRUÇÃO DE RAMAIS -ORDEM 299000171296</t>
  </si>
  <si>
    <t>260000001146</t>
  </si>
  <si>
    <t>CONSTRUÇÃO DE RAMAIS -ORDEM 299000171340</t>
  </si>
  <si>
    <t>260000001147</t>
  </si>
  <si>
    <t>CONSTRUÇÃO DE RAMAIS -ORDEM 299000171344</t>
  </si>
  <si>
    <t>260000001148</t>
  </si>
  <si>
    <t>CONSTRUÇÃO DE RAMAIS -ORDEM 299000171944</t>
  </si>
  <si>
    <t>260000001149</t>
  </si>
  <si>
    <t>CONSTRUÇÃO DE RAMAIS -ORDEM 299000171945</t>
  </si>
  <si>
    <t>260000001150</t>
  </si>
  <si>
    <t>CONSTRUÇÃO DE RAMAIS -ORDEM 299000171948</t>
  </si>
  <si>
    <t>260000001151</t>
  </si>
  <si>
    <t>CONSTRUÇÃO DE RAMAIS -ORDEM 299000171949</t>
  </si>
  <si>
    <t>260000001152</t>
  </si>
  <si>
    <t>CONSTRUÇÃO DE RAMAIS -ORDEM 299000171951</t>
  </si>
  <si>
    <t>260000001153</t>
  </si>
  <si>
    <t>CONSTRUÇÃO DE RAMAIS -ORDEM 299000171953</t>
  </si>
  <si>
    <t>260000001154</t>
  </si>
  <si>
    <t>CONSTRUÇÃO DE RAMAIS -ORDEM 299000171954</t>
  </si>
  <si>
    <t>260000001155</t>
  </si>
  <si>
    <t>CONSTRUÇÃO DE RAMAIS -ORDEM 299000171955</t>
  </si>
  <si>
    <t>260000001156</t>
  </si>
  <si>
    <t>CONSTRUÇÃO DE RAMAIS -ORDEM 299000171956</t>
  </si>
  <si>
    <t>260000001157</t>
  </si>
  <si>
    <t>CONSTRUÇÃO DE RAMAIS -ORDEM 299000171957</t>
  </si>
  <si>
    <t>260000001158</t>
  </si>
  <si>
    <t>CONSTRUÇÃO DE RAMAIS -ORDEM 299000171958</t>
  </si>
  <si>
    <t>260000001159</t>
  </si>
  <si>
    <t>CONSTRUÇÃO DE RAMAIS -ORDEM 299000171959</t>
  </si>
  <si>
    <t>260000001160</t>
  </si>
  <si>
    <t>CONSTRUÇÃO DE RAMAIS -ORDEM 299000171960</t>
  </si>
  <si>
    <t>260000001161</t>
  </si>
  <si>
    <t>CONSTRUÇÃO DE RAMAIS -ORDEM 299000171961</t>
  </si>
  <si>
    <t>260000001162</t>
  </si>
  <si>
    <t>CONSTRUÇÃO DE RAMAIS -ORDEM 299000176626</t>
  </si>
  <si>
    <t>260000001163</t>
  </si>
  <si>
    <t>CONSTRUÇÃO DE RAMAIS -ORDEM 299000182619</t>
  </si>
  <si>
    <t>260000001164</t>
  </si>
  <si>
    <t>CONSTRUÇÃO DE RAMAIS -ORDEM 299000182621</t>
  </si>
  <si>
    <t>270000000450</t>
  </si>
  <si>
    <t>CONSTRUÇÃO DE ERM - ORDEM 299000173422</t>
  </si>
  <si>
    <t>270000000451</t>
  </si>
  <si>
    <t>CONSTRUÇÃO DE ERM - ORDEM 299000173848</t>
  </si>
  <si>
    <t>270000000452</t>
  </si>
  <si>
    <t>CONSTRUÇÃO DE ERM - ORDEM 299000175346</t>
  </si>
  <si>
    <t>270000000453</t>
  </si>
  <si>
    <t>CONSTRUÇÃO DE ERM - ORDEM 299000175732</t>
  </si>
  <si>
    <t>270000000454</t>
  </si>
  <si>
    <t>CONSTRUÇÃO DE ERM - ORDEM 299000178285</t>
  </si>
  <si>
    <t>300000000330</t>
  </si>
  <si>
    <t>INST. AUXILIARES DE REDE -ORDEM 299000172832</t>
  </si>
  <si>
    <t>300000000331</t>
  </si>
  <si>
    <t>INST. AUXILIARES DE REDE -ORDEM 299000172834</t>
  </si>
  <si>
    <t>300000000332</t>
  </si>
  <si>
    <t>INST. AUXILIARES DE REDE -ORDEM 299000172835</t>
  </si>
  <si>
    <t>300000000333</t>
  </si>
  <si>
    <t>INST. AUXILIARES DE REDE -ORDEM 299000172906</t>
  </si>
  <si>
    <t>300000000334</t>
  </si>
  <si>
    <t>INST. AUXILIARES DE REDE -ORDEM 299000172908</t>
  </si>
  <si>
    <t>300000000335</t>
  </si>
  <si>
    <t>INST. AUXILIARES DE REDE -ORDEM 299000172910</t>
  </si>
  <si>
    <t>300000000336</t>
  </si>
  <si>
    <t>INST. AUXILIARES DE REDE -ORDEM 299000174500</t>
  </si>
  <si>
    <t>300000000337</t>
  </si>
  <si>
    <t>INST. AUXILIARES DE REDE -ORDEM 299000175522</t>
  </si>
  <si>
    <t>320000000315</t>
  </si>
  <si>
    <t>INSTALAÇÕES COMUNITÁRIAS ORDEM 299000171200</t>
  </si>
  <si>
    <t>320000000316</t>
  </si>
  <si>
    <t>INSTALAÇÕES COMUNITÁRIAS ORDEM 299000171201</t>
  </si>
  <si>
    <t>320000000317</t>
  </si>
  <si>
    <t>INSTALAÇÕES COMUNITÁRIAS ORDEM 299000171207</t>
  </si>
  <si>
    <t>320000000318</t>
  </si>
  <si>
    <t>INSTALAÇÕES COMUNITÁRIAS ORDEM 299000171208</t>
  </si>
  <si>
    <t>320000000319</t>
  </si>
  <si>
    <t>320000000320</t>
  </si>
  <si>
    <t>INSTALAÇÕES COMUNITÁRIAS ORDEM 299000171210</t>
  </si>
  <si>
    <t>320000000321</t>
  </si>
  <si>
    <t>INSTALAÇÕES COMUNITÁRIAS ORDEM 299000171212</t>
  </si>
  <si>
    <t>320000000322</t>
  </si>
  <si>
    <t>INSTALAÇÕES COMUNITÁRIAS ORDEM 299000171213</t>
  </si>
  <si>
    <t>320000000323</t>
  </si>
  <si>
    <t>INSTALAÇÕES COMUNITÁRIAS ORDEM 299000171214</t>
  </si>
  <si>
    <t>320000000324</t>
  </si>
  <si>
    <t>320000000325</t>
  </si>
  <si>
    <t>INSTALAÇÕES COMUNITÁRIAS ORDEM 299000171217</t>
  </si>
  <si>
    <t>320000000326</t>
  </si>
  <si>
    <t>INSTALAÇÕES COMUNITÁRIAS ORDEM 299000171218</t>
  </si>
  <si>
    <t>320000000327</t>
  </si>
  <si>
    <t>INSTALAÇÕES COMUNITÁRIAS ORDEM 299000171230</t>
  </si>
  <si>
    <t>320000000328</t>
  </si>
  <si>
    <t>INSTALAÇÕES COMUNITÁRIAS ORDEM 299000171232</t>
  </si>
  <si>
    <t>320000000329</t>
  </si>
  <si>
    <t>INSTALAÇÕES COMUNITÁRIAS ORDEM 299000171233</t>
  </si>
  <si>
    <t>320000000330</t>
  </si>
  <si>
    <t>INSTALAÇÕES COMUNITÁRIAS ORDEM 299000171234</t>
  </si>
  <si>
    <t>320000000331</t>
  </si>
  <si>
    <t>INSTALAÇÕES COMUNITÁRIAS ORDEM 299000171236</t>
  </si>
  <si>
    <t>320000000332</t>
  </si>
  <si>
    <t>INSTALAÇÕES COMUNITÁRIAS ORDEM 299000171348</t>
  </si>
  <si>
    <t>320000000333</t>
  </si>
  <si>
    <t>INSTALAÇÕES COMUNITÁRIAS ORDEM 299000171351</t>
  </si>
  <si>
    <t>320000000334</t>
  </si>
  <si>
    <t>INSTALAÇÕES COMUNITÁRIAS ORDEM 299000171352</t>
  </si>
  <si>
    <t>320000000335</t>
  </si>
  <si>
    <t>INSTALAÇÕES COMUNITÁRIAS ORDEM 299000171353</t>
  </si>
  <si>
    <t>320000000336</t>
  </si>
  <si>
    <t>INSTALAÇÕES COMUNITÁRIAS ORDEM 299000171354</t>
  </si>
  <si>
    <t>320000000337</t>
  </si>
  <si>
    <t>INSTALAÇÕES COMUNITÁRIAS ORDEM 299000171355</t>
  </si>
  <si>
    <t>320000000338</t>
  </si>
  <si>
    <t>INSTALAÇÕES COMUNITÁRIAS ORDEM 299000171469</t>
  </si>
  <si>
    <t>240000002062</t>
  </si>
  <si>
    <t>CONSTRUÇÃO DE REDE MP - ORDEM 299000179494(GOR)</t>
  </si>
  <si>
    <t>240000002063</t>
  </si>
  <si>
    <t>CONSTRUÇÃO DE REDE MP - ORDEM 299000179300(GOR)</t>
  </si>
  <si>
    <t>260000001095</t>
  </si>
  <si>
    <t>CONSTRUÇÃO DE RAMAIS -ORDEM 299000179536(GOR)</t>
  </si>
  <si>
    <t>260000001096</t>
  </si>
  <si>
    <t>CONSTRUÇÃO DE RAMAIS - ORDEM 299000179597(GOR)</t>
  </si>
  <si>
    <t>260000001097</t>
  </si>
  <si>
    <t>CONSTRUÇÃO DE RAMAIS - ORDEM 299000179732(GOR)</t>
  </si>
  <si>
    <t>260000001165</t>
  </si>
  <si>
    <t>CONSTRUÇÃO DE RAMAIS - ORDEM 299000179732 (GOR)</t>
  </si>
  <si>
    <t>240000002121</t>
  </si>
  <si>
    <t>CONSTRUÇÃO DE REDE MP - ORDEM 299000181231</t>
  </si>
  <si>
    <t>240000002122</t>
  </si>
  <si>
    <t>CONSTRUÇÃO DE REDE MP - ORDEM 299000181343</t>
  </si>
  <si>
    <t>310000000412</t>
  </si>
  <si>
    <t>MEDIDORES - TODOS OS MERCADOS</t>
  </si>
  <si>
    <t>770000000114</t>
  </si>
  <si>
    <t>CONSTRUÇÃO DE ERM AP_TODOS OS MERCADOS</t>
  </si>
  <si>
    <t>240000002123</t>
  </si>
  <si>
    <t>CONSTRUÇÃO DE REDES MP/BP - MERCADO REDIDENCIAL</t>
  </si>
  <si>
    <t>300000000338</t>
  </si>
  <si>
    <t>INSTALAÇÕES AUX. DE REDE-PLANTAS GLP/GNC</t>
  </si>
  <si>
    <t>240000002125</t>
  </si>
  <si>
    <t>CONSTRUÇÃO DE REDES MP/BP - MERCADO COMERCIAL</t>
  </si>
  <si>
    <t>240000002126</t>
  </si>
  <si>
    <t>RENOVAÇÃO DE REDE - AP - TODOS OS MERCADOS</t>
  </si>
  <si>
    <t>260000001166</t>
  </si>
  <si>
    <t>CONSTRUÇÕES DE RAMAIS MP - MERCADO RESIDENCIAL</t>
  </si>
  <si>
    <t>260000001167</t>
  </si>
  <si>
    <t>270000000456</t>
  </si>
  <si>
    <t>320000000339</t>
  </si>
  <si>
    <t>INSTALAÇÕES COMUNITÁRIAS D/C - MERCADO RESIDENCIAL</t>
  </si>
  <si>
    <t>400000000017</t>
  </si>
  <si>
    <t>APLICAÇÕES INFORMÁTICAS - HARDWARE</t>
  </si>
  <si>
    <t>309000000094</t>
  </si>
  <si>
    <t>DUPLICAÇÃO GNC CADETE FABRES</t>
  </si>
  <si>
    <t>309000000095</t>
  </si>
  <si>
    <t>740000000176</t>
  </si>
  <si>
    <t>760000000043</t>
  </si>
  <si>
    <t>CONSTRUÇÃO DE RAMAIS - MERCADO GNV</t>
  </si>
  <si>
    <t>240000002127</t>
  </si>
  <si>
    <t>240000002128</t>
  </si>
  <si>
    <t>CONSTRUÇÃO DE REDE MP - ORDEM 299000179378(GOR)</t>
  </si>
  <si>
    <t>240000002129</t>
  </si>
  <si>
    <t>CONSTRUÇÃO DE REDE MP - ORDEM 299000179431(GOR)</t>
  </si>
  <si>
    <t>240000002130</t>
  </si>
  <si>
    <t>CONSTRUÇÃO DE REDE MP - ORDEM 299000179439(GOR)</t>
  </si>
  <si>
    <t>240000002131</t>
  </si>
  <si>
    <t>260000001172</t>
  </si>
  <si>
    <t>CONSTRUÇÃO DE RAMAIS - ORDEM 299000179676(GOR)</t>
  </si>
  <si>
    <t>260000001168</t>
  </si>
  <si>
    <t>CONSTRUÇÃO DE RAMAIS - ORDEM 299000179536(GOR)</t>
  </si>
  <si>
    <t>260000001169</t>
  </si>
  <si>
    <t>260000001170</t>
  </si>
  <si>
    <t>CONSTRUÇÃO DE RAMAIS - ORDEM 299000179606(GOR)</t>
  </si>
  <si>
    <t>260000001171</t>
  </si>
  <si>
    <t>CONSTRUÇÃO DE RAMAIS - ORDEM 299000179614(GOR)</t>
  </si>
  <si>
    <t>260000001173</t>
  </si>
  <si>
    <t>260000001174</t>
  </si>
  <si>
    <t>CONSTRUÇÃO DE RAMAIS - ORDEM 299000182617(GOR)</t>
  </si>
  <si>
    <t>260000001176</t>
  </si>
  <si>
    <t>CONSTRUÇÃO DE RAMAIS - ORDEM 299000185180(GOR)</t>
  </si>
  <si>
    <t>240000002132</t>
  </si>
  <si>
    <t>240000002133</t>
  </si>
  <si>
    <t>240000002134</t>
  </si>
  <si>
    <t>240000002135</t>
  </si>
  <si>
    <t>CONSTRUÇÃO DE REDE MP - ORDEM 299000171349 (GOR)</t>
  </si>
  <si>
    <t>240000002136</t>
  </si>
  <si>
    <t>240000002137</t>
  </si>
  <si>
    <t>240000002138</t>
  </si>
  <si>
    <t>240000002139</t>
  </si>
  <si>
    <t>240000002140</t>
  </si>
  <si>
    <t>240000002141</t>
  </si>
  <si>
    <t>CONSTRUÇÃO DE REDE MP - ORDEM 299000177501 (GOR)</t>
  </si>
  <si>
    <t>240000002142</t>
  </si>
  <si>
    <t>240000002143</t>
  </si>
  <si>
    <t>240000002144</t>
  </si>
  <si>
    <t>240000002145</t>
  </si>
  <si>
    <t>240000002146</t>
  </si>
  <si>
    <t>CONSTRUÇÃO DE REDE MP - ORDEM 299000186317 (GOR)</t>
  </si>
  <si>
    <t>260000001178</t>
  </si>
  <si>
    <t>CONSTRUÇÃO DE RAMAIS - 299000171052171060(GOR)</t>
  </si>
  <si>
    <t>260000001179</t>
  </si>
  <si>
    <t>CONSTRUÇÃO DE RAMAIS - 299000171056171060(GOR)</t>
  </si>
  <si>
    <t>260000001180</t>
  </si>
  <si>
    <t>CONSTRUÇÃO DE RAMAIS - 299000171072171060(GOR)</t>
  </si>
  <si>
    <t>260000001181</t>
  </si>
  <si>
    <t>CONSTRUÇÃO DE RAMAIS - 299000171100171060(GOR)</t>
  </si>
  <si>
    <t>260000001182</t>
  </si>
  <si>
    <t>260000001183</t>
  </si>
  <si>
    <t>CONSTRUÇÃO DE RAMAIS - ORDEM 299000171116(GOR)</t>
  </si>
  <si>
    <t>260000001184</t>
  </si>
  <si>
    <t>CONSTRUÇÃO DE RAMAIS - ORDEM 299000171160(GOR)</t>
  </si>
  <si>
    <t>260000001185</t>
  </si>
  <si>
    <t>260000001186</t>
  </si>
  <si>
    <t>CONSTRUÇÃO DE RAMAIS - ORDEM 299000171168(GOR)</t>
  </si>
  <si>
    <t>260000001187</t>
  </si>
  <si>
    <t>CONSTRUÇÃO DE RAMAIS - ORDEM 299000171108(GOR)</t>
  </si>
  <si>
    <t>260000001188</t>
  </si>
  <si>
    <t>CONSTRUÇÃO DE RAMAIS - ORDEM 299000171383(GOR)</t>
  </si>
  <si>
    <t>260000001189</t>
  </si>
  <si>
    <t>CONSTRUÇÃO DE RAMAIS - ORDEM 299000171387(GOR)</t>
  </si>
  <si>
    <t>260000001190</t>
  </si>
  <si>
    <t>CONSTRUÇÃO DE RAMAIS - ORDEM 299000171391(GOR)</t>
  </si>
  <si>
    <t>260000001191</t>
  </si>
  <si>
    <t>CONSTRUÇÃO DE RAMAIS - ORDEM 299000177529(GOR)</t>
  </si>
  <si>
    <t>360000000156</t>
  </si>
  <si>
    <t>8 - SISTEMA DE TELEMETRIA E TELECONTROLE - CEGRIO</t>
  </si>
  <si>
    <t>740000000157</t>
  </si>
  <si>
    <t>CONSTRUÇÃO DE REDES MP/BP -MERCADO GNV</t>
  </si>
  <si>
    <t>740000000181</t>
  </si>
  <si>
    <t>NUEVOS ABONADOS - GOR-MERCADO GNV</t>
  </si>
  <si>
    <t>260000001175</t>
  </si>
  <si>
    <t>CONSTRUÇÃO DE RAMAIS - ORDEM 299000182620(GOR)</t>
  </si>
  <si>
    <t>950000000023</t>
  </si>
  <si>
    <t>APLICACOES OU EQUIPOS INFORMATICA</t>
  </si>
  <si>
    <t>310000000415</t>
  </si>
  <si>
    <t>MEDIDORES MP - GNV</t>
  </si>
  <si>
    <t>310000000385</t>
  </si>
  <si>
    <t>MEDIDORES E REGULADORES MP - MERCADO INDUSTRIAL</t>
  </si>
  <si>
    <t>740000000169</t>
  </si>
  <si>
    <t>PE CIDADE DO AÇO</t>
  </si>
  <si>
    <t>240000002147</t>
  </si>
  <si>
    <t>CONSTRUÇÃO DE REDE MP - ORDEM 299000183909 (GOR)</t>
  </si>
  <si>
    <t>240000002148</t>
  </si>
  <si>
    <t>CONSTRUÇÃO DE REDE MP - ORDEM 299000179422 (GOR)</t>
  </si>
  <si>
    <t>240000002149</t>
  </si>
  <si>
    <t>CONSTRUÇÃO DE REDE MP - ORDEM 299000179361 (GOR)</t>
  </si>
  <si>
    <t>240000002150</t>
  </si>
  <si>
    <t>CONSTRUÇÃO DE REDE MP - ORDEM299000179361 (GOR)</t>
  </si>
  <si>
    <t>240000002151</t>
  </si>
  <si>
    <t>CONSTRUÇÃO DE REDE MP - ORDEM 299000187046 (GOR)</t>
  </si>
  <si>
    <t>260000001192</t>
  </si>
  <si>
    <t>CONSTRUÇÃO DE RAMAIS - ORDEM 299000179659 (GOR)</t>
  </si>
  <si>
    <t>820000000059</t>
  </si>
  <si>
    <t>2501B</t>
  </si>
  <si>
    <t>Instalações Comunitarias em andamento</t>
  </si>
  <si>
    <t>820000000060</t>
  </si>
  <si>
    <t>240000002152</t>
  </si>
  <si>
    <t>CONSTRUÇÃO DE REDE MP - ORDEM299000184819</t>
  </si>
  <si>
    <t>760000000048</t>
  </si>
  <si>
    <t>RENOVAÇÃO DE RAMAIS D/C  - GOR</t>
  </si>
  <si>
    <t>240000002153</t>
  </si>
  <si>
    <t>CONSTRUÇÃO DE REDE MP - ORDEM 299000187307</t>
  </si>
  <si>
    <t>390000000385</t>
  </si>
  <si>
    <t>3000</t>
  </si>
  <si>
    <t>19</t>
  </si>
  <si>
    <t>MÓVEIS E UTENSÍLIOS</t>
  </si>
  <si>
    <t>1330201108</t>
  </si>
  <si>
    <t>Móveis e Utensílios</t>
  </si>
  <si>
    <t>770000000115</t>
  </si>
  <si>
    <t>2200</t>
  </si>
  <si>
    <t>240000002154</t>
  </si>
  <si>
    <t>300000000342</t>
  </si>
  <si>
    <t>INST. AUXILIARES DE REDE -ORDEM 299000186869</t>
  </si>
  <si>
    <t>240000002155</t>
  </si>
  <si>
    <t>CONSTRUÇÃO DE REDE MP - ORDEM299000177500(GOR)</t>
  </si>
  <si>
    <t>240000002156</t>
  </si>
  <si>
    <t>CONSTRUÇÃO DE REDE MP - ORDEM299000179314(GOR)</t>
  </si>
  <si>
    <t>240000002157</t>
  </si>
  <si>
    <t>CONSTRUÇÃO DE REDE MP - ORDEM299000179378(GOR)</t>
  </si>
  <si>
    <t>240000002158</t>
  </si>
  <si>
    <t>CONSTRUÇÃO DE REDE MP - ORDEM299000188333(GOR)</t>
  </si>
  <si>
    <t>240000002159</t>
  </si>
  <si>
    <t>CONSTRUÇÃO DE REDE MP - ORDEM299000182256(GOR)</t>
  </si>
  <si>
    <t>260000001193</t>
  </si>
  <si>
    <t>CONSTRUÇÃO DE RAMAIS - ORDEM 299000188332(GOR)</t>
  </si>
  <si>
    <t>260000001194</t>
  </si>
  <si>
    <t>CONSTRUÇÃO DE RAMAIS - ORDEM 299000182258(GOR)</t>
  </si>
  <si>
    <t>309000000085</t>
  </si>
  <si>
    <t>INSTALAÇÕES AUX. DE REDE-TODOS OS MERCADOS</t>
  </si>
  <si>
    <t>ETC CABIUNAS/ ETC TEVOL</t>
  </si>
  <si>
    <t>309000000086</t>
  </si>
  <si>
    <t>INST. SENSORES EM ERD´S</t>
  </si>
  <si>
    <t>740000000163</t>
  </si>
  <si>
    <t>CONSTRUÇÃO CONEXÃO AP INDUSTRIAL</t>
  </si>
  <si>
    <t>CONEXÃO A INDUSTRIAL WK</t>
  </si>
  <si>
    <t>740000000186</t>
  </si>
  <si>
    <t>CONSTRUÇÃO DE REDES MP/BP TODOS OS MERCADOS</t>
  </si>
  <si>
    <t>TRAVESSIA RIO MACAÉ</t>
  </si>
  <si>
    <t>740000000164</t>
  </si>
  <si>
    <t>CONEXÃO INDUSTRIAL AP GNV</t>
  </si>
  <si>
    <t>760000000053</t>
  </si>
  <si>
    <t>309000000089</t>
  </si>
  <si>
    <t>TELEMETRIA ITATIAIA RESENDE</t>
  </si>
  <si>
    <t>360000000163</t>
  </si>
  <si>
    <t>BRRJ15</t>
  </si>
  <si>
    <t>MAQUINAS E EQUIPTOS-BAIXA-INDUSTRIAL</t>
  </si>
  <si>
    <t>MQ - SUBSTITUIÇÃO DE CROMATÓGRAFOS DE ODORAÇÃO - C</t>
  </si>
  <si>
    <t>309000000098</t>
  </si>
  <si>
    <t>INSTALAÇÕES AUX. DE REDE Industria e GNV 8 - SG</t>
  </si>
  <si>
    <t>8 - SGNV - CEGRIO</t>
  </si>
  <si>
    <t>740000000117</t>
  </si>
  <si>
    <t>CONEXÃO INDUSTRIAL - TODOS OS MERCADOS</t>
  </si>
  <si>
    <t>770000000118</t>
  </si>
  <si>
    <t>CONSTRUÇÃO DE ERM MP/BP</t>
  </si>
  <si>
    <t>309000000096</t>
  </si>
  <si>
    <t>INSTALAÇÕES AUX DE REDE_TODOS OS MERCADOS</t>
  </si>
  <si>
    <t>360000000164</t>
  </si>
  <si>
    <t>MAQUINAS E EQUIPTOS_TODOS OS MERCADOS</t>
  </si>
  <si>
    <t>740000000188</t>
  </si>
  <si>
    <t>RENOVAÇÃO DE REDE DE ALTA_TODOS OS MERCADOS</t>
  </si>
  <si>
    <t>RENOVAÇÃO PIRAÍ</t>
  </si>
  <si>
    <t>770000000117</t>
  </si>
  <si>
    <t>240000002160</t>
  </si>
  <si>
    <t>CONSTRUÇÃO DE REDE MP - ORDEM299000179431(GOR)</t>
  </si>
  <si>
    <t>240000002161</t>
  </si>
  <si>
    <t>CONSTRUÇÃO DE REDE MP - ORDEM299000190904(GOR)</t>
  </si>
  <si>
    <t>240000002162</t>
  </si>
  <si>
    <t>CONSTRUÇÃO DE REDE MP - ORDEM299000179422(GOR)</t>
  </si>
  <si>
    <t>240000002163</t>
  </si>
  <si>
    <t>CONSTRUÇÃO DE REDE MP - ORDEM299000190889(GOR)</t>
  </si>
  <si>
    <t>240000002164</t>
  </si>
  <si>
    <t>240000002165</t>
  </si>
  <si>
    <t>CONSTRUÇÃO DE REDE MP - ORDEM299000190920(GOR)</t>
  </si>
  <si>
    <t>240000002166</t>
  </si>
  <si>
    <t>CONSTRUÇÃO DE REDE MP - ORDEM299000190928(GOR)</t>
  </si>
  <si>
    <t>240000002169</t>
  </si>
  <si>
    <t>CONSTRUÇÃO DE REDE MP - ORDEM299000194891(GOR)</t>
  </si>
  <si>
    <t>240000002170</t>
  </si>
  <si>
    <t>CONSTRUÇÃO DE REDE MP - ORDEM299000187343(GOR)</t>
  </si>
  <si>
    <t>240000002171</t>
  </si>
  <si>
    <t>CONSTRUÇÃO DE REDE MP - ORDEM299000192902(GOR)</t>
  </si>
  <si>
    <t>240000002172</t>
  </si>
  <si>
    <t>CONSTRUÇÃO DE REDE MP - ORDEM2299000194540GOR)</t>
  </si>
  <si>
    <t>240000002173</t>
  </si>
  <si>
    <t>CONSTRUÇÃO DE REDE MP - ORDEM299000190948(GOR)</t>
  </si>
  <si>
    <t>240000002174</t>
  </si>
  <si>
    <t>CONSTRUÇÃO DE REDE MP - ORDEM299000193583(GOR)</t>
  </si>
  <si>
    <t>240000002175</t>
  </si>
  <si>
    <t>CONSTRUÇÃO DE REDE MP - ORDEM299000187791(GOR)</t>
  </si>
  <si>
    <t>240000002176</t>
  </si>
  <si>
    <t>CONSTRUÇÃO DE REDE MP - ORDEM299000193613(GOR)</t>
  </si>
  <si>
    <t>240000002177</t>
  </si>
  <si>
    <t>CONSTRUÇÃO DE REDE MP - ORDEM299000187752(GOR)</t>
  </si>
  <si>
    <t>240000002178</t>
  </si>
  <si>
    <t>CONSTRUÇÃO DE REDE MP - ORDEM299000187839(GOR)</t>
  </si>
  <si>
    <t>240000002179</t>
  </si>
  <si>
    <t>CONSTRUÇÃO DE REDE MP - ORDEM299000194749(GOR)</t>
  </si>
  <si>
    <t>240000002180</t>
  </si>
  <si>
    <t>CONSTRUÇÃO DE REDE MP - ORDEM299000195093(GOR)</t>
  </si>
  <si>
    <t>240000002181</t>
  </si>
  <si>
    <t>CONSTRUÇÃO DE REDE MP - ORDEM299000195156(GOR)</t>
  </si>
  <si>
    <t>240000002182</t>
  </si>
  <si>
    <t>CONSTRUÇÃO DE REDE MP - ORDEM299000195422(GOR)</t>
  </si>
  <si>
    <t>240000002183</t>
  </si>
  <si>
    <t>CONSTRUÇÃO DE REDE MP - ORDEM299000195443(GOR)</t>
  </si>
  <si>
    <t>260000001195</t>
  </si>
  <si>
    <t>CONSTRUÇÃO DE RAMAIS - ORDEM299000179553(GOR)</t>
  </si>
  <si>
    <t>260000001196</t>
  </si>
  <si>
    <t>CONSTRUÇÃO DE RAMAIS - ORDEM299000179668(GOR)</t>
  </si>
  <si>
    <t>260000001198</t>
  </si>
  <si>
    <t>CONSTRUÇÃO DE RAMAIS - ORDEM299000187842(GOR)</t>
  </si>
  <si>
    <t>260000001199</t>
  </si>
  <si>
    <t>CONSTRUÇÃO DE RAMAIS - ORDEM299000188390(GOR)</t>
  </si>
  <si>
    <t>260000001200</t>
  </si>
  <si>
    <t>CONSTRUÇÃO DE RAMAIS - ORDEM299000190964(GOR)</t>
  </si>
  <si>
    <t>260000001201</t>
  </si>
  <si>
    <t>CONSTRUÇÃO DE RAMAIS - ORDEM299000190978(GOR)</t>
  </si>
  <si>
    <t>260000001202</t>
  </si>
  <si>
    <t>CONSTRUÇÃO DE RAMAIS - ORDEM299000190979(GOR)</t>
  </si>
  <si>
    <t>260000001203</t>
  </si>
  <si>
    <t>CONSTRUÇÃO DE RAMAIS - ORDEM299000191001(GOR)</t>
  </si>
  <si>
    <t>260000001204</t>
  </si>
  <si>
    <t>CONSTRUÇÃO DE RAMAIS - ORDEM299000191009(GOR)</t>
  </si>
  <si>
    <t>260000001205</t>
  </si>
  <si>
    <t>CONSTRUÇÃO DE RAMAIS - ORDEM299000191017(GOR)</t>
  </si>
  <si>
    <t>260000001206</t>
  </si>
  <si>
    <t>CONSTRUÇÃO DE RAMAIS - ORDEM299000191037(GOR)</t>
  </si>
  <si>
    <t>260000001207</t>
  </si>
  <si>
    <t>CONSTRUÇÃO DE RAMAIS - ORDEM299000193584(GOR)</t>
  </si>
  <si>
    <t>260000001208</t>
  </si>
  <si>
    <t>CONSTRUÇÃO DE RAMAIS - ORDEM299000193840(GOR)</t>
  </si>
  <si>
    <t>260000001209</t>
  </si>
  <si>
    <t>CONSTRUÇÃO DE RAMAIS - ORDEM299000194319(GOR)</t>
  </si>
  <si>
    <t>260000001210</t>
  </si>
  <si>
    <t>CONSTRUÇÃO DE RAMAIS - ORDEM299000194990(GOR)</t>
  </si>
  <si>
    <t>260000001211</t>
  </si>
  <si>
    <t>CONSTRUÇÃO DE RAMAIS - ORDEM299000194994(GOR)</t>
  </si>
  <si>
    <t>260000001212</t>
  </si>
  <si>
    <t>CONSTRUÇÃO DE RAMAIS - ORDEM299000195094(GOR)</t>
  </si>
  <si>
    <t>260000001213</t>
  </si>
  <si>
    <t>CONSTRUÇÃO DE RAMAIS - ORDEM299000195444(GOR)</t>
  </si>
  <si>
    <t>260000001214</t>
  </si>
  <si>
    <t>CONSTRUÇÃO DE RAMAIS - ORDEM299000190992(GOR)</t>
  </si>
  <si>
    <t>240000002184</t>
  </si>
  <si>
    <t>CONSTRUÇÃO DE REDE MP -ORDEM299000190863</t>
  </si>
  <si>
    <t>240000002185</t>
  </si>
  <si>
    <t>CONSTRUÇÃO DE REDE MP -ORDEM299000190865</t>
  </si>
  <si>
    <t>240000002186</t>
  </si>
  <si>
    <t>CONSTRUÇÃO DE REDE MP -ORDEM299000190866</t>
  </si>
  <si>
    <t>240000002187</t>
  </si>
  <si>
    <t>CONSTRUÇÃO DE REDE MP -ORDEM299000190873</t>
  </si>
  <si>
    <t>240000002188</t>
  </si>
  <si>
    <t>CONSTRUÇÃO DE REDE MP -ORDEM299000190877</t>
  </si>
  <si>
    <t>240000002189</t>
  </si>
  <si>
    <t>CONSTRUÇÃO DE REDE MP -ORDEM299000190880</t>
  </si>
  <si>
    <t>240000002190</t>
  </si>
  <si>
    <t>CONSTRUÇÃO DE REDE MP -ORDEM299000190888</t>
  </si>
  <si>
    <t>240000002191</t>
  </si>
  <si>
    <t>CONSTRUÇÃO DE REDE MP -ORDEM299000190891</t>
  </si>
  <si>
    <t>240000002192</t>
  </si>
  <si>
    <t>CONSTRUÇÃO DE REDE MP -ORDEM299000190893</t>
  </si>
  <si>
    <t>240000002193</t>
  </si>
  <si>
    <t>CONSTRUÇÃO DE REDE MP -ORDEM299000190901</t>
  </si>
  <si>
    <t>240000002194</t>
  </si>
  <si>
    <t>CONSTRUÇÃO DE REDE MP -ORDEM299000190902</t>
  </si>
  <si>
    <t>240000002195</t>
  </si>
  <si>
    <t>CONSTRUÇÃO DE REDE MP -ORDEM299000190914</t>
  </si>
  <si>
    <t>240000002196</t>
  </si>
  <si>
    <t>CONSTRUÇÃO DE REDE MP -ORDEM299000190921</t>
  </si>
  <si>
    <t>240000002197</t>
  </si>
  <si>
    <t>CONSTRUÇÃO DE REDE MP -ORDEM299000190922</t>
  </si>
  <si>
    <t>240000002198</t>
  </si>
  <si>
    <t>CONSTRUÇÃO DE REDE MP -ORDEM299000190924</t>
  </si>
  <si>
    <t>240000002199</t>
  </si>
  <si>
    <t>CONSTRUÇÃO DE REDE MP -ORDEM299000190925</t>
  </si>
  <si>
    <t>240000002200</t>
  </si>
  <si>
    <t>CONSTRUÇÃO DE REDE MP -ORDEM299000190926</t>
  </si>
  <si>
    <t>240000002201</t>
  </si>
  <si>
    <t>CONSTRUÇÃO DE REDE MP -ORDEM299000190929</t>
  </si>
  <si>
    <t>240000002202</t>
  </si>
  <si>
    <t>CONSTRUÇÃO DE REDE MP -ORDEM299000190930</t>
  </si>
  <si>
    <t>240000002203</t>
  </si>
  <si>
    <t>CONSTRUÇÃO DE REDE MP -ORDEM299000190931</t>
  </si>
  <si>
    <t>240000002204</t>
  </si>
  <si>
    <t>CONSTRUÇÃO DE REDE MP -ORDEM299000190932</t>
  </si>
  <si>
    <t>240000002205</t>
  </si>
  <si>
    <t>CONSTRUÇÃO DE REDE MP -ORDEM299000190933</t>
  </si>
  <si>
    <t>240000002206</t>
  </si>
  <si>
    <t>CONSTRUÇÃO DE REDE MP -ORDEM299000190939</t>
  </si>
  <si>
    <t>240000002207</t>
  </si>
  <si>
    <t>CONSTRUÇÃO DE REDE MP -ORDEM299000190940</t>
  </si>
  <si>
    <t>240000002208</t>
  </si>
  <si>
    <t>CONSTRUÇÃO DE REDE MP -ORDEM299000190942</t>
  </si>
  <si>
    <t>240000002209</t>
  </si>
  <si>
    <t>CONSTRUÇÃO DE REDE MP -ORDEM299000190945</t>
  </si>
  <si>
    <t>240000002210</t>
  </si>
  <si>
    <t>CONSTRUÇÃO DE REDE MP -ORDEM299000190946</t>
  </si>
  <si>
    <t>240000002211</t>
  </si>
  <si>
    <t>CONSTRUÇÃO DE REDE MP -ORDEM299000190947</t>
  </si>
  <si>
    <t>240000002212</t>
  </si>
  <si>
    <t>CONSTRUÇÃO DE REDE MP -ORDEM299000191844</t>
  </si>
  <si>
    <t>240000002213</t>
  </si>
  <si>
    <t>CONSTRUÇÃO DE REDE MP -ORDEM299000191848</t>
  </si>
  <si>
    <t>240000002214</t>
  </si>
  <si>
    <t>CONSTRUÇÃO DE REDE MP -ORDEM299000191850</t>
  </si>
  <si>
    <t>240000002215</t>
  </si>
  <si>
    <t>CONSTRUÇÃO DE REDE MP -ORDEM299000191858</t>
  </si>
  <si>
    <t>240000002216</t>
  </si>
  <si>
    <t>CONSTRUÇÃO DE REDE MP -ORDEM299000191859</t>
  </si>
  <si>
    <t>240000002217</t>
  </si>
  <si>
    <t>CONSTRUÇÃO DE REDE MP -ORDEM299000191861</t>
  </si>
  <si>
    <t>240000002218</t>
  </si>
  <si>
    <t>CONSTRUÇÃO DE REDE MP -ORDEM299000191864</t>
  </si>
  <si>
    <t>240000002219</t>
  </si>
  <si>
    <t>CONSTRUÇÃO DE REDE MP -ORDEM299000191865</t>
  </si>
  <si>
    <t>240000002220</t>
  </si>
  <si>
    <t>CONSTRUÇÃO DE REDE MP -ORDEM299000191867</t>
  </si>
  <si>
    <t>240000002221</t>
  </si>
  <si>
    <t>CONSTRUÇÃO DE REDE MP -ORDEM299000191868</t>
  </si>
  <si>
    <t>240000002222</t>
  </si>
  <si>
    <t>CONSTRUÇÃO DE REDE MP -ORDEM299000191875</t>
  </si>
  <si>
    <t>240000002223</t>
  </si>
  <si>
    <t>CONSTRUÇÃO DE REDE MP -ORDEM299000191878</t>
  </si>
  <si>
    <t>240000002224</t>
  </si>
  <si>
    <t>CONSTRUÇÃO DE REDE MP -ORDEM299000191879</t>
  </si>
  <si>
    <t>240000002225</t>
  </si>
  <si>
    <t>CONSTRUÇÃO DE REDE MP -ORDEM299000191881</t>
  </si>
  <si>
    <t>240000002226</t>
  </si>
  <si>
    <t>CONSTRUÇÃO DE REDE MP -ORDEM299000191884</t>
  </si>
  <si>
    <t>240000002227</t>
  </si>
  <si>
    <t>CONSTRUÇÃO DE REDE MP -ORDEM299000191885</t>
  </si>
  <si>
    <t>240000002228</t>
  </si>
  <si>
    <t>CONSTRUÇÃO DE REDE MP -ORDEM299000192708</t>
  </si>
  <si>
    <t>240000002229</t>
  </si>
  <si>
    <t>CONSTRUÇÃO DE REDE MP -ORDEM299000192711</t>
  </si>
  <si>
    <t>240000002230</t>
  </si>
  <si>
    <t>CONSTRUÇÃO DE REDE MP -ORDEM299000193811</t>
  </si>
  <si>
    <t>240000002231</t>
  </si>
  <si>
    <t>CONSTRUÇÃO DE REDE MP -ORDEM299000194391</t>
  </si>
  <si>
    <t>240000002232</t>
  </si>
  <si>
    <t>CONSTRUÇÃO DE REDE MP -ORDEM299000194892</t>
  </si>
  <si>
    <t>240000002233</t>
  </si>
  <si>
    <t>CONSTRUÇÃO DE REDE MP -ORDEM299000194893</t>
  </si>
  <si>
    <t>240000002234</t>
  </si>
  <si>
    <t>CONSTRUÇÃO DE REDE MP -ORDEM299000194894</t>
  </si>
  <si>
    <t>240000002235</t>
  </si>
  <si>
    <t>CONSTRUÇÃO DE REDE MP -ORDEM299000195822</t>
  </si>
  <si>
    <t>260000001215</t>
  </si>
  <si>
    <t>CONSTRUÇÃO DE RAMAIS - ORDEM299000190952</t>
  </si>
  <si>
    <t>260000001216</t>
  </si>
  <si>
    <t>CONSTRUÇÃO DE RAMAIS - ORDEM299000190954</t>
  </si>
  <si>
    <t>260000001217</t>
  </si>
  <si>
    <t>CONSTRUÇÃO DE RAMAIS - ORDEM299000190962</t>
  </si>
  <si>
    <t>260000001218</t>
  </si>
  <si>
    <t>CONSTRUÇÃO DE RAMAIS - ORDEM299000190966</t>
  </si>
  <si>
    <t>260000001219</t>
  </si>
  <si>
    <t>CONSTRUÇÃO DE RAMAIS - ORDEM299000190976</t>
  </si>
  <si>
    <t>260000001220</t>
  </si>
  <si>
    <t>CONSTRUÇÃO DE RAMAIS - ORDEM299000190980</t>
  </si>
  <si>
    <t>260000001221</t>
  </si>
  <si>
    <t>CONSTRUÇÃO DE RAMAIS - ORDEM299000190982</t>
  </si>
  <si>
    <t>260000001222</t>
  </si>
  <si>
    <t>CONSTRUÇÃO DE RAMAIS - ORDEM299000190991</t>
  </si>
  <si>
    <t>260000001223</t>
  </si>
  <si>
    <t>CONSTRUÇÃO DE RAMAIS - ORDEM299000190998</t>
  </si>
  <si>
    <t>260000001224</t>
  </si>
  <si>
    <t>CONSTRUÇÃO DE RAMAIS - ORDEM299000191003</t>
  </si>
  <si>
    <t>260000001225</t>
  </si>
  <si>
    <t>CONSTRUÇÃO DE RAMAIS - ORDEM299000191007</t>
  </si>
  <si>
    <t>260000001226</t>
  </si>
  <si>
    <t>CONSTRUÇÃO DE RAMAIS - ORDEM299000191010</t>
  </si>
  <si>
    <t>260000001227</t>
  </si>
  <si>
    <t>CONSTRUÇÃO DE RAMAIS - ORDEM299000191011</t>
  </si>
  <si>
    <t>260000001228</t>
  </si>
  <si>
    <t>CONSTRUÇÃO DE RAMAIS - ORDEM299000191013</t>
  </si>
  <si>
    <t>260000001229</t>
  </si>
  <si>
    <t>CONSTRUÇÃO DE RAMAIS - ORDEM299000191014</t>
  </si>
  <si>
    <t>260000001230</t>
  </si>
  <si>
    <t>CONSTRUÇÃO DE RAMAIS - ORDEM299000191015</t>
  </si>
  <si>
    <t>260000001231</t>
  </si>
  <si>
    <t>CONSTRUÇÃO DE RAMAIS - ORDEM299000191016</t>
  </si>
  <si>
    <t>260000001232</t>
  </si>
  <si>
    <t>CONSTRUÇÃO DE RAMAIS - ORDEM299000191018</t>
  </si>
  <si>
    <t>260000001233</t>
  </si>
  <si>
    <t>CONSTRUÇÃO DE RAMAIS - ORDEM299000191019</t>
  </si>
  <si>
    <t>260000001234</t>
  </si>
  <si>
    <t>CONSTRUÇÃO DE RAMAIS - ORDEM299000191020</t>
  </si>
  <si>
    <t>260000001235</t>
  </si>
  <si>
    <t>CONSTRUÇÃO DE RAMAIS - ORDEM299000191021</t>
  </si>
  <si>
    <t>260000001236</t>
  </si>
  <si>
    <t>CONSTRUÇÃO DE RAMAIS - ORDEM299000191022</t>
  </si>
  <si>
    <t>260000001237</t>
  </si>
  <si>
    <t>CONSTRUÇÃO DE RAMAIS - ORDEM299000191028</t>
  </si>
  <si>
    <t>260000001238</t>
  </si>
  <si>
    <t>CONSTRUÇÃO DE RAMAIS - ORDEM299000191029</t>
  </si>
  <si>
    <t>260000001239</t>
  </si>
  <si>
    <t>CONSTRUÇÃO DE RAMAIS - ORDEM299000191031</t>
  </si>
  <si>
    <t>260000001240</t>
  </si>
  <si>
    <t>CONSTRUÇÃO DE RAMAIS - ORDEM299000191034</t>
  </si>
  <si>
    <t>260000001241</t>
  </si>
  <si>
    <t>CONSTRUÇÃO DE RAMAIS - ORDEM299000191035</t>
  </si>
  <si>
    <t>260000001242</t>
  </si>
  <si>
    <t>CONSTRUÇÃO DE RAMAIS - ORDEM299000191036</t>
  </si>
  <si>
    <t>260000001243</t>
  </si>
  <si>
    <t>CONSTRUÇÃO DE RAMAIS - ORDEM299000191845</t>
  </si>
  <si>
    <t>260000001244</t>
  </si>
  <si>
    <t>CONSTRUÇÃO DE RAMAIS - ORDEM299000192826</t>
  </si>
  <si>
    <t>260000001245</t>
  </si>
  <si>
    <t>CONSTRUÇÃO DE RAMAIS - ORDEM299000192827</t>
  </si>
  <si>
    <t>260000001246</t>
  </si>
  <si>
    <t>CONSTRUÇÃO DE RAMAIS - ORDEM299000192828</t>
  </si>
  <si>
    <t>260000001247</t>
  </si>
  <si>
    <t>CONSTRUÇÃO DE RAMAIS - ORDEM299000192829</t>
  </si>
  <si>
    <t>260000001248</t>
  </si>
  <si>
    <t>CONSTRUÇÃO DE RAMAIS - ORDEM299000192830</t>
  </si>
  <si>
    <t>260000001249</t>
  </si>
  <si>
    <t>CONSTRUÇÃO DE RAMAIS - ORDEM299000192836</t>
  </si>
  <si>
    <t>260000001250</t>
  </si>
  <si>
    <t>CONSTRUÇÃO DE RAMAIS - ORDEM299000192837</t>
  </si>
  <si>
    <t>260000001251</t>
  </si>
  <si>
    <t>CONSTRUÇÃO DE RAMAIS - ORDEM299000192838</t>
  </si>
  <si>
    <t>260000001252</t>
  </si>
  <si>
    <t>CONSTRUÇÃO DE RAMAIS - ORDEM299000192839</t>
  </si>
  <si>
    <t>260000001253</t>
  </si>
  <si>
    <t>CONSTRUÇÃO DE RAMAIS - ORDEM299000192841</t>
  </si>
  <si>
    <t>260000001254</t>
  </si>
  <si>
    <t>CONSTRUÇÃO DE RAMAIS - ORDEM299000192842</t>
  </si>
  <si>
    <t>260000001255</t>
  </si>
  <si>
    <t>CONSTRUÇÃO DE RAMAIS - ORDEM299000192843</t>
  </si>
  <si>
    <t>260000001256</t>
  </si>
  <si>
    <t>CONSTRUÇÃO DE RAMAIS - ORDEM299000192844</t>
  </si>
  <si>
    <t>260000001257</t>
  </si>
  <si>
    <t>CONSTRUÇÃO DE RAMAIS - ORDEM299000193652</t>
  </si>
  <si>
    <t>260000001258</t>
  </si>
  <si>
    <t>CONSTRUÇÃO DE RAMAIS - ORDEM299000193653</t>
  </si>
  <si>
    <t>260000001259</t>
  </si>
  <si>
    <t>CONSTRUÇÃO DE RAMAIS - ORDEM299000193656</t>
  </si>
  <si>
    <t>270000000457</t>
  </si>
  <si>
    <t>CONSTRUÇÃO DE ERM - ORDEM299000191887</t>
  </si>
  <si>
    <t>270000000458</t>
  </si>
  <si>
    <t>CONSTRUÇÃO DE ERM - ORDEM299000191903</t>
  </si>
  <si>
    <t>270000000459</t>
  </si>
  <si>
    <t>CONSTRUÇÃO DE ERM - ORDEM299000191904</t>
  </si>
  <si>
    <t>300000000343</t>
  </si>
  <si>
    <t>INSTALAÇÕES AUX. DE REDE ORDEM299000186873</t>
  </si>
  <si>
    <t>300000000344</t>
  </si>
  <si>
    <t>INSTALAÇÕES AUX. DE REDE ORDEM299000191907</t>
  </si>
  <si>
    <t>300000000345</t>
  </si>
  <si>
    <t>INSTALAÇÕES AUX. DE REDE ORDEM299000191915</t>
  </si>
  <si>
    <t>300000000346</t>
  </si>
  <si>
    <t>INSTALAÇÕES AUX. DE REDE ORDEM299000191919</t>
  </si>
  <si>
    <t>300000000347</t>
  </si>
  <si>
    <t>INSTALAÇÕES AUX. DE REDE ORDEM299000191924</t>
  </si>
  <si>
    <t>300000000348</t>
  </si>
  <si>
    <t>INSTALAÇÕES AUX. DE REDE ORDEM299000191927</t>
  </si>
  <si>
    <t>300000000349</t>
  </si>
  <si>
    <t>INSTALAÇÕES AUX. DE REDE ORDEM299000191928</t>
  </si>
  <si>
    <t>300000000350</t>
  </si>
  <si>
    <t>INSTALAÇÕES AUX. DE REDE ORDEM299000191946</t>
  </si>
  <si>
    <t>300000000351</t>
  </si>
  <si>
    <t>INSTALAÇÕES AUX. DE REDE ORDEM299000191953</t>
  </si>
  <si>
    <t>300000000352</t>
  </si>
  <si>
    <t>INSTALAÇÕES AUX. DE REDE ORDEM299000191957</t>
  </si>
  <si>
    <t>300000000353</t>
  </si>
  <si>
    <t>INSTALAÇÕES AUX. DE REDE ORDEM299000191958</t>
  </si>
  <si>
    <t>300000000354</t>
  </si>
  <si>
    <t>INSTALAÇÕES AUX. DE REDE ORDEM299000191960</t>
  </si>
  <si>
    <t>300000000355</t>
  </si>
  <si>
    <t>INSTALAÇÕES AUX. DE REDE ORDEM299000191963</t>
  </si>
  <si>
    <t>300000000356</t>
  </si>
  <si>
    <t>INSTALAÇÕES AUX. DE REDE ORDEM299000191964</t>
  </si>
  <si>
    <t>300000000357</t>
  </si>
  <si>
    <t>INSTALAÇÕES AUX. DE REDE ORDEM299000191966</t>
  </si>
  <si>
    <t>300000000358</t>
  </si>
  <si>
    <t>INSTALAÇÕES AUX. DE REDE ORDEM299000191976</t>
  </si>
  <si>
    <t>300000000359</t>
  </si>
  <si>
    <t>INSTALAÇÕES AUX. DE REDE ORDEM299000191979</t>
  </si>
  <si>
    <t>300000000360</t>
  </si>
  <si>
    <t>INSTALAÇÕES AUX. DE REDE ORDEM299000191982</t>
  </si>
  <si>
    <t>300000000361</t>
  </si>
  <si>
    <t>INSTALAÇÕES AUX. DE REDE ORDEM299000191985</t>
  </si>
  <si>
    <t>300000000362</t>
  </si>
  <si>
    <t>INSTALAÇÕES AUX. DE REDE ORDEM299000191994</t>
  </si>
  <si>
    <t>300000000363</t>
  </si>
  <si>
    <t>INSTALAÇÕES AUX. DE REDE ORDEM299000191995</t>
  </si>
  <si>
    <t>300000000364</t>
  </si>
  <si>
    <t>INSTALAÇÕES AUX. DE REDE ORDEM299000192001</t>
  </si>
  <si>
    <t>300000000365</t>
  </si>
  <si>
    <t>INSTALAÇÕES AUX. DE REDE ORDEM299000192002</t>
  </si>
  <si>
    <t>300000000366</t>
  </si>
  <si>
    <t>INSTALAÇÕES AUX. DE REDE ORDEM299000192003</t>
  </si>
  <si>
    <t>300000000367</t>
  </si>
  <si>
    <t>INSTALAÇÕES AUX. DE REDE ORDEM299000192004</t>
  </si>
  <si>
    <t>300000000368</t>
  </si>
  <si>
    <t>INSTALAÇÕES AUX. DE REDE ORDEM299000192006</t>
  </si>
  <si>
    <t>300000000369</t>
  </si>
  <si>
    <t>INSTALAÇÕES AUX. DE REDE ORDEM299000192013</t>
  </si>
  <si>
    <t>300000000370</t>
  </si>
  <si>
    <t>INSTALAÇÕES AUX. DE REDE ORDEM299000192014</t>
  </si>
  <si>
    <t>300000000371</t>
  </si>
  <si>
    <t>INSTALAÇÕES AUX. DE REDE ORDEM299000192016</t>
  </si>
  <si>
    <t>300000000372</t>
  </si>
  <si>
    <t>INSTALAÇÕES AUX. DE REDE ORDEM299000192019</t>
  </si>
  <si>
    <t>300000000373</t>
  </si>
  <si>
    <t>INSTALAÇÕES AUX. DE REDE ORDEM299000192020</t>
  </si>
  <si>
    <t>300000000374</t>
  </si>
  <si>
    <t>INSTALAÇÕES AUX. DE REDE ORDEM299000192033</t>
  </si>
  <si>
    <t>300000000375</t>
  </si>
  <si>
    <t>INSTALAÇÕES AUX. DE REDE ORDEM299000192039</t>
  </si>
  <si>
    <t>300000000376</t>
  </si>
  <si>
    <t>INSTALAÇÕES AUX. DE REDE ORDEM299000192863</t>
  </si>
  <si>
    <t>300000000377</t>
  </si>
  <si>
    <t>INSTALAÇÕES AUX. DE REDE ORDEM299000192879</t>
  </si>
  <si>
    <t>320000000340</t>
  </si>
  <si>
    <t>INSTALAÇÕES COMUNITÁRIAS ORDEM299000180285</t>
  </si>
  <si>
    <t>320000000341</t>
  </si>
  <si>
    <t>INSTALAÇÕES COMUNITÁRIAS ORDEM299000191038</t>
  </si>
  <si>
    <t>320000000342</t>
  </si>
  <si>
    <t>INSTALAÇÕES COMUNITÁRIAS ORDEM299000191039</t>
  </si>
  <si>
    <t>320000000343</t>
  </si>
  <si>
    <t>INSTALAÇÕES COMUNITÁRIAS ORDEM299000191041</t>
  </si>
  <si>
    <t>320000000344</t>
  </si>
  <si>
    <t>INSTALAÇÕES COMUNITÁRIAS ORDEM299000191051</t>
  </si>
  <si>
    <t>320000000345</t>
  </si>
  <si>
    <t>INSTALAÇÕES COMUNITÁRIAS ORDEM299000191053</t>
  </si>
  <si>
    <t>320000000346</t>
  </si>
  <si>
    <t>INSTALAÇÕES COMUNITÁRIAS ORDEM299000191060</t>
  </si>
  <si>
    <t>320000000347</t>
  </si>
  <si>
    <t>INSTALAÇÕES COMUNITÁRIAS ORDEM299000191061</t>
  </si>
  <si>
    <t>320000000348</t>
  </si>
  <si>
    <t>INSTALAÇÕES COMUNITÁRIAS ORDEM299000191062</t>
  </si>
  <si>
    <t>320000000349</t>
  </si>
  <si>
    <t>INSTALAÇÕES COMUNITÁRIAS ORDEM299000191064</t>
  </si>
  <si>
    <t>320000000350</t>
  </si>
  <si>
    <t>INSTALAÇÕES COMUNITÁRIAS ORDEM299000191065</t>
  </si>
  <si>
    <t>320000000351</t>
  </si>
  <si>
    <t>INSTALAÇÕES COMUNITÁRIAS ORDEM299000191072</t>
  </si>
  <si>
    <t>320000000352</t>
  </si>
  <si>
    <t>INSTALAÇÕES COMUNITÁRIAS ORDEM299000191075</t>
  </si>
  <si>
    <t>320000000353</t>
  </si>
  <si>
    <t>INSTALAÇÕES COMUNITÁRIAS ORDEM299000191085</t>
  </si>
  <si>
    <t>320000000354</t>
  </si>
  <si>
    <t>INSTALAÇÕES COMUNITÁRIAS ORDEM299000191086</t>
  </si>
  <si>
    <t>320000000355</t>
  </si>
  <si>
    <t>INSTALAÇÕES COMUNITÁRIAS ORDEM299000191087</t>
  </si>
  <si>
    <t>320000000356</t>
  </si>
  <si>
    <t>INSTALAÇÕES COMUNITÁRIAS ORDEM299000191089</t>
  </si>
  <si>
    <t>320000000357</t>
  </si>
  <si>
    <t>INSTALAÇÕES COMUNITÁRIAS ORDEM299000191091</t>
  </si>
  <si>
    <t>320000000358</t>
  </si>
  <si>
    <t>INSTALAÇÕES COMUNITÁRIAS ORDEM299000191092</t>
  </si>
  <si>
    <t>320000000359</t>
  </si>
  <si>
    <t>INSTALAÇÕES COMUNITÁRIAS ORDEM299000191093</t>
  </si>
  <si>
    <t>320000000360</t>
  </si>
  <si>
    <t>INSTALAÇÕES COMUNITÁRIAS ORDEM299000191094</t>
  </si>
  <si>
    <t>320000000361</t>
  </si>
  <si>
    <t>INSTALAÇÕES COMUNITÁRIAS ORDEM299000192079</t>
  </si>
  <si>
    <t>320000000362</t>
  </si>
  <si>
    <t>INSTALAÇÕES COMUNITÁRIAS ORDEM299000192089</t>
  </si>
  <si>
    <t>320000000363</t>
  </si>
  <si>
    <t>INSTALAÇÕES COMUNITÁRIAS ORDEM299000192090</t>
  </si>
  <si>
    <t>320000000364</t>
  </si>
  <si>
    <t>INSTALAÇÕES COMUNITÁRIAS ORDEM299000192092</t>
  </si>
  <si>
    <t>320000000365</t>
  </si>
  <si>
    <t>INSTALAÇÕES COMUNITÁRIAS ORDEM299000192095</t>
  </si>
  <si>
    <t>240000002236</t>
  </si>
  <si>
    <t>CONSTRUÇÃO DE REDE MP -ORDEM299000182080</t>
  </si>
  <si>
    <t>240000002237</t>
  </si>
  <si>
    <t>CONSTRUÇÃO DE REDE MP -ORDEM299000184878</t>
  </si>
  <si>
    <t>240000002238</t>
  </si>
  <si>
    <t>CONSTRUÇÃO DE REDE MP -ORDEM299000186691</t>
  </si>
  <si>
    <t>240000002239</t>
  </si>
  <si>
    <t>CONSTRUÇÃO DE REDE MP -ORDEM299000190475</t>
  </si>
  <si>
    <t>240000002240</t>
  </si>
  <si>
    <t>CONSTRUÇÃO DE REDE MP -ORDEM299000194088</t>
  </si>
  <si>
    <t>240000002241</t>
  </si>
  <si>
    <t>CONSTRUÇÃO DE REDE MP -ORDEM299000184999</t>
  </si>
  <si>
    <t>240000002242</t>
  </si>
  <si>
    <t>CONSTRUÇÃO DE REDE MP -ORDEM299000185304</t>
  </si>
  <si>
    <t>240000002243</t>
  </si>
  <si>
    <t>CONSTRUÇÃO DE REDE MP -ORDEM299000185638</t>
  </si>
  <si>
    <t>240000002244</t>
  </si>
  <si>
    <t>CONSTRUÇÃO DE REDE MP -ORDEM299000186294</t>
  </si>
  <si>
    <t>240000002245</t>
  </si>
  <si>
    <t>CONSTRUÇÃO DE REDE MP -ORDEM299000186395</t>
  </si>
  <si>
    <t>240000002246</t>
  </si>
  <si>
    <t>CONSTRUÇÃO DE REDE MP -ORDEM299000186424</t>
  </si>
  <si>
    <t>260000001260</t>
  </si>
  <si>
    <t>CONSTRUÇÃO DE RAMAIS - ORDEM299000186425</t>
  </si>
  <si>
    <t>260000001261</t>
  </si>
  <si>
    <t>CONSTRUÇÃO DE RAMAIS - ORDEM299000187480</t>
  </si>
  <si>
    <t>260000001262</t>
  </si>
  <si>
    <t>CONSTRUÇÃO DE RAMAIS - ORDEM299000187843</t>
  </si>
  <si>
    <t>260000001263</t>
  </si>
  <si>
    <t>CONSTRUÇÃO DE RAMAIS - ORDEM299000187884</t>
  </si>
  <si>
    <t>260000001264</t>
  </si>
  <si>
    <t>CONSTRUÇÃO DE RAMAIS - ORDEM299000188302</t>
  </si>
  <si>
    <t>260000001265</t>
  </si>
  <si>
    <t>CONSTRUÇÃO DE RAMAIS - ORDEM299000188303</t>
  </si>
  <si>
    <t>260000001266</t>
  </si>
  <si>
    <t>CONSTRUÇÃO DE RAMAIS - ORDEM299000188310</t>
  </si>
  <si>
    <t>270000000460</t>
  </si>
  <si>
    <t>CONSTRUÇÃO DE ERM - ORDEM299000188311</t>
  </si>
  <si>
    <t>270000000461</t>
  </si>
  <si>
    <t>CONSTRUÇÃO DE ERM - ORDEM299000188334</t>
  </si>
  <si>
    <t>270000000462</t>
  </si>
  <si>
    <t>CONSTRUÇÃO DE ERM - ORDEM299000188335</t>
  </si>
  <si>
    <t>270000000463</t>
  </si>
  <si>
    <t>CONSTRUÇÃO DE ERM - ORDEM299000188371</t>
  </si>
  <si>
    <t>270000000464</t>
  </si>
  <si>
    <t>CONSTRUÇÃO DE ERM - ORDEM299000181386</t>
  </si>
  <si>
    <t>270000000465</t>
  </si>
  <si>
    <t>CONSTRUÇÃO DE ERM - ORDEM299000181388</t>
  </si>
  <si>
    <t>270000000466</t>
  </si>
  <si>
    <t>CONSTRUÇÃO DE ERM - ORDEM299000181389</t>
  </si>
  <si>
    <t>270000000467</t>
  </si>
  <si>
    <t>CONSTRUÇÃO DE ERM - ORDEM299000181401</t>
  </si>
  <si>
    <t>270000000468</t>
  </si>
  <si>
    <t>CONSTRUÇÃO DE ERM - ORDEM299000181403</t>
  </si>
  <si>
    <t>300000000378</t>
  </si>
  <si>
    <t>INSTALAÇÕES AUX. DE REDE ORDEM299000179090</t>
  </si>
  <si>
    <t>300000000379</t>
  </si>
  <si>
    <t>INSTALAÇÕES AUX. DE REDE ORDEM299000183702</t>
  </si>
  <si>
    <t>300000000380</t>
  </si>
  <si>
    <t>INSTALAÇÕES AUX. DE REDE ORDEM299000183706</t>
  </si>
  <si>
    <t>300000000381</t>
  </si>
  <si>
    <t>INSTALAÇÕES AUX. DE REDE ORDEM299000181176</t>
  </si>
  <si>
    <t>300000000382</t>
  </si>
  <si>
    <t>INSTALAÇÕES AUX. DE REDE ORDEM299000181177</t>
  </si>
  <si>
    <t>300000000383</t>
  </si>
  <si>
    <t>INSTALAÇÕES AUX. DE REDE ORDEM299000181178</t>
  </si>
  <si>
    <t>300000000384</t>
  </si>
  <si>
    <t>INSTALAÇÕES AUX. DE REDE ORDEM299000183593</t>
  </si>
  <si>
    <t>300000000385</t>
  </si>
  <si>
    <t>INSTALAÇÕES AUX. DE REDE ORDEM299000183601</t>
  </si>
  <si>
    <t>300000000386</t>
  </si>
  <si>
    <t>INSTALAÇÕES AUX. DE REDE ORDEM299000183626</t>
  </si>
  <si>
    <t>300000000387</t>
  </si>
  <si>
    <t>INSTALAÇÕES AUX. DE REDE ORDEM299000188461</t>
  </si>
  <si>
    <t>300000000388</t>
  </si>
  <si>
    <t>INSTALAÇÕES AUX. DE REDE ORDEM299000196100</t>
  </si>
  <si>
    <t>740000000192</t>
  </si>
  <si>
    <t>RENOVAÇÃO DE REDE_BAIXA_TODOS OS MERCADOS</t>
  </si>
  <si>
    <t>740000000193</t>
  </si>
  <si>
    <t>CONSTRUÇÃO DE REDES MP/BP -INDUSTRIAL</t>
  </si>
  <si>
    <t>760000000054</t>
  </si>
  <si>
    <t>CONSTRUÇÕES DE RAMAIS -INDUSTRIAL</t>
  </si>
  <si>
    <t>2210</t>
  </si>
  <si>
    <t>240000002247</t>
  </si>
  <si>
    <t>CONSTRUÇÃO DE REDE MP -ORDEM299000184239(GOR)</t>
  </si>
  <si>
    <t>240000002250</t>
  </si>
  <si>
    <t>260000001267</t>
  </si>
  <si>
    <t>CONSTRUÇÃO DE RAMAIS - ORDEM299000179659(GOR)</t>
  </si>
  <si>
    <t>260000001268</t>
  </si>
  <si>
    <t>CONSTRUÇÃO DE RAMAIS - ORDEM299000190993(GOR)</t>
  </si>
  <si>
    <t>260000001269</t>
  </si>
  <si>
    <t>CONSTRUÇÃO DE RAMAIS - ORDEM299000195442(GOR)</t>
  </si>
  <si>
    <t>240000002248</t>
  </si>
  <si>
    <t>240000002251</t>
  </si>
  <si>
    <t>240000002254</t>
  </si>
  <si>
    <t>740000000190</t>
  </si>
  <si>
    <t>740000000205</t>
  </si>
  <si>
    <t>770000000119</t>
  </si>
  <si>
    <t>309000000100</t>
  </si>
  <si>
    <t>INSTALAÇÕES AUX. DE REDE - TODO OS MERCADOS</t>
  </si>
  <si>
    <t>240000002256</t>
  </si>
  <si>
    <t>CONSTRUÇÃO DE REDE MP -ORDEM 299000201379 (GOR)</t>
  </si>
  <si>
    <t>240000002257</t>
  </si>
  <si>
    <t>CONSTRUÇÃO DE REDE MP -ORDEM 299000201128 (GOR)</t>
  </si>
  <si>
    <t>240000002258</t>
  </si>
  <si>
    <t>CONSTRUÇÃO DE REDE MP -ORDEM 299000201129 (GOR)</t>
  </si>
  <si>
    <t>240000002259</t>
  </si>
  <si>
    <t>CONSTRUÇÃO DE REDE MP -ORDEM 299000201127 (GOR)</t>
  </si>
  <si>
    <t>240000002260</t>
  </si>
  <si>
    <t>260000001275</t>
  </si>
  <si>
    <t>CONSTRUÇÃO DE RAMAIS - ORDEM 299000200911 (GOR)</t>
  </si>
  <si>
    <t>260000001276</t>
  </si>
  <si>
    <t>CONSTRUÇÃO DE RAMAIS - ORDEM 299000200909 (GOR)</t>
  </si>
  <si>
    <t>260000001277</t>
  </si>
  <si>
    <t>260000001278</t>
  </si>
  <si>
    <t>CONSTRUÇÃO DE RAMAIS - ORDEM 299000200749 (GOR)</t>
  </si>
  <si>
    <t>260000001279</t>
  </si>
  <si>
    <t>260000001280</t>
  </si>
  <si>
    <t>400000000019</t>
  </si>
  <si>
    <t>APLICACIONES o EQUIPOS INFORMÁTICA_ HARDWARE</t>
  </si>
  <si>
    <t>740000000195</t>
  </si>
  <si>
    <t>CONEXÃO INDUSTRIAL AP - GNV</t>
  </si>
  <si>
    <t>240000002261</t>
  </si>
  <si>
    <t>CONSTRUÇÃO DE REDE MP ORDEM 299000201121(GOR)</t>
  </si>
  <si>
    <t>240000002262</t>
  </si>
  <si>
    <t>CONSTRUÇÃO DE REDE MP ORDEM 299000201122(GOR)</t>
  </si>
  <si>
    <t>240000002263</t>
  </si>
  <si>
    <t>CONSTRUÇÃO DE REDE MP ORDEM 299000201124(GOR)</t>
  </si>
  <si>
    <t>240000002264</t>
  </si>
  <si>
    <t>CONSTRUÇÃO DE REDE MP ORDEM 299000201105(GOR)</t>
  </si>
  <si>
    <t>260000001282</t>
  </si>
  <si>
    <t>CONSTRUÇÃO DE RAMAIS ORDEM 299000200903(GOR)</t>
  </si>
  <si>
    <t>260000001283</t>
  </si>
  <si>
    <t>CONSTRUÇÃO DE RAMAIS ORDEM 299000200904(GOR)</t>
  </si>
  <si>
    <t>260000001284</t>
  </si>
  <si>
    <t>CONSTRUÇÃO DE RAMAIS ORDEM 299000200906(GOR)</t>
  </si>
  <si>
    <t>260000001286</t>
  </si>
  <si>
    <t>CONSTRUÇÃO DE RAMAIS ORDEM 299000179659(GOR)</t>
  </si>
  <si>
    <t>260000001287</t>
  </si>
  <si>
    <t>CONSTRUÇÃO DE RAMAIS ORDEM 299000191037(GOR)</t>
  </si>
  <si>
    <t>260000001288</t>
  </si>
  <si>
    <t>CONSTRUÇÃO DE RAMAIS ORDEM 299000200859(GOR)</t>
  </si>
  <si>
    <t>740000000196</t>
  </si>
  <si>
    <t>CONEXÃO INDUSTRIAL GOR - GNV</t>
  </si>
  <si>
    <t>740000000197</t>
  </si>
  <si>
    <t>CONEXÃO INDUSTRIAL AP - INDUSTRIAL</t>
  </si>
  <si>
    <t>740000000202</t>
  </si>
  <si>
    <t>RENOVAÇÃO DE REDE DE ALTA - TODOS OS MERCADOS</t>
  </si>
  <si>
    <t>309000000106</t>
  </si>
  <si>
    <t>8 - AQUISIÇÃO DE CORRETORES (RENOVAÇÃO DO PARQUE)</t>
  </si>
  <si>
    <t>770000000120</t>
  </si>
  <si>
    <t>CONSTRUÇÃO DE ERM AP</t>
  </si>
  <si>
    <t>740000000208</t>
  </si>
  <si>
    <t>AMPLIAÇÃO E RELIGAMENTO MP</t>
  </si>
  <si>
    <t>240000002265</t>
  </si>
  <si>
    <t>CONSTRUÇÃO DE REDE MP ORDEM 299000197864 (GOR)</t>
  </si>
  <si>
    <t>240000002266</t>
  </si>
  <si>
    <t>CONSTRUÇÃO DE REDE MP ORDEM 299000200750 (GOR)</t>
  </si>
  <si>
    <t>240000002267</t>
  </si>
  <si>
    <t>240000002268</t>
  </si>
  <si>
    <t>240000002269</t>
  </si>
  <si>
    <t>240000002270</t>
  </si>
  <si>
    <t>240000002271</t>
  </si>
  <si>
    <t>240000002272</t>
  </si>
  <si>
    <t>240000002273</t>
  </si>
  <si>
    <t>240000002274</t>
  </si>
  <si>
    <t>240000002275</t>
  </si>
  <si>
    <t>240000002276</t>
  </si>
  <si>
    <t>240000002277</t>
  </si>
  <si>
    <t>240000002278</t>
  </si>
  <si>
    <t>240000002279</t>
  </si>
  <si>
    <t>240000002280</t>
  </si>
  <si>
    <t>240000002281</t>
  </si>
  <si>
    <t>240000002282</t>
  </si>
  <si>
    <t>240000002283</t>
  </si>
  <si>
    <t>240000002284</t>
  </si>
  <si>
    <t>240000002285</t>
  </si>
  <si>
    <t>240000002286</t>
  </si>
  <si>
    <t>240000002287</t>
  </si>
  <si>
    <t>240000002288</t>
  </si>
  <si>
    <t>240000002289</t>
  </si>
  <si>
    <t>240000002290</t>
  </si>
  <si>
    <t>240000002291</t>
  </si>
  <si>
    <t>240000002292</t>
  </si>
  <si>
    <t>240000002293</t>
  </si>
  <si>
    <t>240000002294</t>
  </si>
  <si>
    <t>240000002295</t>
  </si>
  <si>
    <t>240000002296</t>
  </si>
  <si>
    <t>240000002297</t>
  </si>
  <si>
    <t>240000002298</t>
  </si>
  <si>
    <t>240000002299</t>
  </si>
  <si>
    <t>240000002300</t>
  </si>
  <si>
    <t>240000002301</t>
  </si>
  <si>
    <t>240000002302</t>
  </si>
  <si>
    <t>240000002303</t>
  </si>
  <si>
    <t>240000002304</t>
  </si>
  <si>
    <t>240000002305</t>
  </si>
  <si>
    <t>240000002306</t>
  </si>
  <si>
    <t>240000002307</t>
  </si>
  <si>
    <t>240000002308</t>
  </si>
  <si>
    <t>240000002309</t>
  </si>
  <si>
    <t>240000002310</t>
  </si>
  <si>
    <t>240000002311</t>
  </si>
  <si>
    <t>240000002312</t>
  </si>
  <si>
    <t>240000002313</t>
  </si>
  <si>
    <t>240000002314</t>
  </si>
  <si>
    <t>240000002315</t>
  </si>
  <si>
    <t>240000002316</t>
  </si>
  <si>
    <t>240000002317</t>
  </si>
  <si>
    <t>240000002318</t>
  </si>
  <si>
    <t>240000002319</t>
  </si>
  <si>
    <t>240000002320</t>
  </si>
  <si>
    <t>240000002321</t>
  </si>
  <si>
    <t>240000002322</t>
  </si>
  <si>
    <t>240000002323</t>
  </si>
  <si>
    <t>240000002324</t>
  </si>
  <si>
    <t>240000002325</t>
  </si>
  <si>
    <t>240000002326</t>
  </si>
  <si>
    <t>240000002327</t>
  </si>
  <si>
    <t>240000002328</t>
  </si>
  <si>
    <t>240000002329</t>
  </si>
  <si>
    <t>240000002330</t>
  </si>
  <si>
    <t>240000002331</t>
  </si>
  <si>
    <t>240000002332</t>
  </si>
  <si>
    <t>240000002333</t>
  </si>
  <si>
    <t>240000002334</t>
  </si>
  <si>
    <t>240000002335</t>
  </si>
  <si>
    <t>240000002336</t>
  </si>
  <si>
    <t>240000002337</t>
  </si>
  <si>
    <t>240000002338</t>
  </si>
  <si>
    <t>240000002339</t>
  </si>
  <si>
    <t>240000002340</t>
  </si>
  <si>
    <t>240000002341</t>
  </si>
  <si>
    <t>240000002342</t>
  </si>
  <si>
    <t>240000002343</t>
  </si>
  <si>
    <t>240000002344</t>
  </si>
  <si>
    <t>240000002345</t>
  </si>
  <si>
    <t>240000002346</t>
  </si>
  <si>
    <t>240000002347</t>
  </si>
  <si>
    <t>240000002348</t>
  </si>
  <si>
    <t>240000002349</t>
  </si>
  <si>
    <t>240000002350</t>
  </si>
  <si>
    <t>240000002351</t>
  </si>
  <si>
    <t>240000002352</t>
  </si>
  <si>
    <t>CONSTRUÇÃO DE REDE MP ORDEM 299000201122 (GOR)</t>
  </si>
  <si>
    <t>240000002353</t>
  </si>
  <si>
    <t>240000002354</t>
  </si>
  <si>
    <t>240000002355</t>
  </si>
  <si>
    <t>240000002356</t>
  </si>
  <si>
    <t>240000002357</t>
  </si>
  <si>
    <t>240000002358</t>
  </si>
  <si>
    <t>240000002359</t>
  </si>
  <si>
    <t>240000002360</t>
  </si>
  <si>
    <t>240000002361</t>
  </si>
  <si>
    <t>240000002362</t>
  </si>
  <si>
    <t>240000002363</t>
  </si>
  <si>
    <t>240000002364</t>
  </si>
  <si>
    <t>240000002365</t>
  </si>
  <si>
    <t>240000002366</t>
  </si>
  <si>
    <t>240000002367</t>
  </si>
  <si>
    <t>240000002368</t>
  </si>
  <si>
    <t>240000002369</t>
  </si>
  <si>
    <t>240000002370</t>
  </si>
  <si>
    <t>240000002371</t>
  </si>
  <si>
    <t>240000002372</t>
  </si>
  <si>
    <t>240000002373</t>
  </si>
  <si>
    <t>240000002374</t>
  </si>
  <si>
    <t>240000002375</t>
  </si>
  <si>
    <t>240000002376</t>
  </si>
  <si>
    <t>240000002377</t>
  </si>
  <si>
    <t>240000002378</t>
  </si>
  <si>
    <t>240000002379</t>
  </si>
  <si>
    <t>CONSTRUÇÃO DE REDE MP ORDEM 299000201114 (GOR)</t>
  </si>
  <si>
    <t>240000002380</t>
  </si>
  <si>
    <t>240000002381</t>
  </si>
  <si>
    <t>240000002382</t>
  </si>
  <si>
    <t>240000002383</t>
  </si>
  <si>
    <t>240000002384</t>
  </si>
  <si>
    <t>240000002385</t>
  </si>
  <si>
    <t>240000002386</t>
  </si>
  <si>
    <t>240000002387</t>
  </si>
  <si>
    <t>CONSTRUÇÃO DE REDE MP ORDEM 299000201124 (GOR)</t>
  </si>
  <si>
    <t>240000002388</t>
  </si>
  <si>
    <t>240000002389</t>
  </si>
  <si>
    <t>240000002390</t>
  </si>
  <si>
    <t>240000002391</t>
  </si>
  <si>
    <t>240000002392</t>
  </si>
  <si>
    <t>CONSTRUÇÃO DE REDE MP ORDEM 299000201110 (GOR)</t>
  </si>
  <si>
    <t>240000002393</t>
  </si>
  <si>
    <t>240000002394</t>
  </si>
  <si>
    <t>240000002395</t>
  </si>
  <si>
    <t>240000002396</t>
  </si>
  <si>
    <t>240000002397</t>
  </si>
  <si>
    <t>240000002398</t>
  </si>
  <si>
    <t>240000002399</t>
  </si>
  <si>
    <t>240000002400</t>
  </si>
  <si>
    <t>240000002401</t>
  </si>
  <si>
    <t>240000002402</t>
  </si>
  <si>
    <t>240000002403</t>
  </si>
  <si>
    <t>240000002404</t>
  </si>
  <si>
    <t>240000002405</t>
  </si>
  <si>
    <t>240000002406</t>
  </si>
  <si>
    <t>240000002407</t>
  </si>
  <si>
    <t>240000002408</t>
  </si>
  <si>
    <t>CONSTRUÇÃO DE REDE MP ORDEM 299000201121 (GOR)</t>
  </si>
  <si>
    <t>240000002409</t>
  </si>
  <si>
    <t>240000002410</t>
  </si>
  <si>
    <t>240000002411</t>
  </si>
  <si>
    <t>240000002412</t>
  </si>
  <si>
    <t>CONSTRUÇÃO DE REDE MP ORDEM 299000201113 (GOR)</t>
  </si>
  <si>
    <t>240000002413</t>
  </si>
  <si>
    <t>240000002414</t>
  </si>
  <si>
    <t>240000002415</t>
  </si>
  <si>
    <t>240000002416</t>
  </si>
  <si>
    <t>240000002417</t>
  </si>
  <si>
    <t>240000002418</t>
  </si>
  <si>
    <t>240000002419</t>
  </si>
  <si>
    <t>240000002420</t>
  </si>
  <si>
    <t>240000002421</t>
  </si>
  <si>
    <t>240000002422</t>
  </si>
  <si>
    <t>240000002423</t>
  </si>
  <si>
    <t>240000002424</t>
  </si>
  <si>
    <t>240000002425</t>
  </si>
  <si>
    <t>240000002426</t>
  </si>
  <si>
    <t>240000002427</t>
  </si>
  <si>
    <t>240000002428</t>
  </si>
  <si>
    <t>240000002429</t>
  </si>
  <si>
    <t>240000002430</t>
  </si>
  <si>
    <t>240000002431</t>
  </si>
  <si>
    <t>240000002432</t>
  </si>
  <si>
    <t>240000002433</t>
  </si>
  <si>
    <t>240000002434</t>
  </si>
  <si>
    <t>240000002435</t>
  </si>
  <si>
    <t>240000002436</t>
  </si>
  <si>
    <t>240000002437</t>
  </si>
  <si>
    <t>240000002438</t>
  </si>
  <si>
    <t>240000002439</t>
  </si>
  <si>
    <t>240000002440</t>
  </si>
  <si>
    <t>240000002441</t>
  </si>
  <si>
    <t>CONSTRUÇÃO DE REDE MP ORDEM 299000202354 (GOR)</t>
  </si>
  <si>
    <t>240000002442</t>
  </si>
  <si>
    <t>240000002443</t>
  </si>
  <si>
    <t>240000002444</t>
  </si>
  <si>
    <t>240000002445</t>
  </si>
  <si>
    <t>240000002446</t>
  </si>
  <si>
    <t>CONSTRUÇÃO DE REDE MP ORDEM 299000201109 (GOR)</t>
  </si>
  <si>
    <t>240000002447</t>
  </si>
  <si>
    <t>240000002448</t>
  </si>
  <si>
    <t>240000002449</t>
  </si>
  <si>
    <t>240000002450</t>
  </si>
  <si>
    <t>240000002451</t>
  </si>
  <si>
    <t>240000002452</t>
  </si>
  <si>
    <t>240000002453</t>
  </si>
  <si>
    <t>240000002454</t>
  </si>
  <si>
    <t>240000002455</t>
  </si>
  <si>
    <t>240000002456</t>
  </si>
  <si>
    <t>240000002457</t>
  </si>
  <si>
    <t>240000002458</t>
  </si>
  <si>
    <t>240000002459</t>
  </si>
  <si>
    <t>240000002460</t>
  </si>
  <si>
    <t>240000002461</t>
  </si>
  <si>
    <t>240000002462</t>
  </si>
  <si>
    <t>240000002463</t>
  </si>
  <si>
    <t>240000002464</t>
  </si>
  <si>
    <t>240000002465</t>
  </si>
  <si>
    <t>240000002466</t>
  </si>
  <si>
    <t>240000002467</t>
  </si>
  <si>
    <t>240000002468</t>
  </si>
  <si>
    <t>240000002469</t>
  </si>
  <si>
    <t>240000002470</t>
  </si>
  <si>
    <t>240000002471</t>
  </si>
  <si>
    <t>240000002472</t>
  </si>
  <si>
    <t>240000002473</t>
  </si>
  <si>
    <t>CONSTRUÇÃO DE REDE MP ORDEM 299000201089 (GOR)</t>
  </si>
  <si>
    <t>240000002474</t>
  </si>
  <si>
    <t>240000002475</t>
  </si>
  <si>
    <t>240000002476</t>
  </si>
  <si>
    <t>240000002477</t>
  </si>
  <si>
    <t>240000002478</t>
  </si>
  <si>
    <t>240000002479</t>
  </si>
  <si>
    <t>240000002480</t>
  </si>
  <si>
    <t>240000002481</t>
  </si>
  <si>
    <t>240000002482</t>
  </si>
  <si>
    <t>240000002483</t>
  </si>
  <si>
    <t>240000002484</t>
  </si>
  <si>
    <t>240000002485</t>
  </si>
  <si>
    <t>240000002486</t>
  </si>
  <si>
    <t>240000002487</t>
  </si>
  <si>
    <t>240000002488</t>
  </si>
  <si>
    <t>240000002489</t>
  </si>
  <si>
    <t>240000002490</t>
  </si>
  <si>
    <t>240000002491</t>
  </si>
  <si>
    <t>240000002492</t>
  </si>
  <si>
    <t>240000002493</t>
  </si>
  <si>
    <t>240000002494</t>
  </si>
  <si>
    <t>240000002495</t>
  </si>
  <si>
    <t>240000002496</t>
  </si>
  <si>
    <t>240000002497</t>
  </si>
  <si>
    <t>240000002498</t>
  </si>
  <si>
    <t>240000002499</t>
  </si>
  <si>
    <t>240000002500</t>
  </si>
  <si>
    <t>240000002501</t>
  </si>
  <si>
    <t>240000002502</t>
  </si>
  <si>
    <t>240000002503</t>
  </si>
  <si>
    <t>240000002504</t>
  </si>
  <si>
    <t>240000002505</t>
  </si>
  <si>
    <t>240000002506</t>
  </si>
  <si>
    <t>240000002507</t>
  </si>
  <si>
    <t>240000002508</t>
  </si>
  <si>
    <t>240000002509</t>
  </si>
  <si>
    <t>240000002510</t>
  </si>
  <si>
    <t>240000002511</t>
  </si>
  <si>
    <t>240000002512</t>
  </si>
  <si>
    <t>240000002513</t>
  </si>
  <si>
    <t>240000002514</t>
  </si>
  <si>
    <t>240000002515</t>
  </si>
  <si>
    <t>240000002516</t>
  </si>
  <si>
    <t>240000002517</t>
  </si>
  <si>
    <t>240000002518</t>
  </si>
  <si>
    <t>CONSTRUÇÃO DE REDE MP ORDEM 299000203058 (GOR)</t>
  </si>
  <si>
    <t>240000002519</t>
  </si>
  <si>
    <t>240000002520</t>
  </si>
  <si>
    <t>240000002521</t>
  </si>
  <si>
    <t>240000002522</t>
  </si>
  <si>
    <t>240000002523</t>
  </si>
  <si>
    <t>240000002524</t>
  </si>
  <si>
    <t>240000002525</t>
  </si>
  <si>
    <t>240000002526</t>
  </si>
  <si>
    <t>240000002527</t>
  </si>
  <si>
    <t>240000002528</t>
  </si>
  <si>
    <t>240000002529</t>
  </si>
  <si>
    <t>240000002530</t>
  </si>
  <si>
    <t>240000002531</t>
  </si>
  <si>
    <t>240000002532</t>
  </si>
  <si>
    <t>240000002533</t>
  </si>
  <si>
    <t>240000002534</t>
  </si>
  <si>
    <t>240000002535</t>
  </si>
  <si>
    <t>240000002536</t>
  </si>
  <si>
    <t>240000002537</t>
  </si>
  <si>
    <t>240000002538</t>
  </si>
  <si>
    <t>240000002539</t>
  </si>
  <si>
    <t>240000002540</t>
  </si>
  <si>
    <t>240000002541</t>
  </si>
  <si>
    <t>240000002542</t>
  </si>
  <si>
    <t>240000002543</t>
  </si>
  <si>
    <t>240000002544</t>
  </si>
  <si>
    <t>240000002545</t>
  </si>
  <si>
    <t>240000002546</t>
  </si>
  <si>
    <t>240000002547</t>
  </si>
  <si>
    <t>240000002548</t>
  </si>
  <si>
    <t>240000002549</t>
  </si>
  <si>
    <t>240000002550</t>
  </si>
  <si>
    <t>240000002551</t>
  </si>
  <si>
    <t>240000002552</t>
  </si>
  <si>
    <t>240000002553</t>
  </si>
  <si>
    <t>CONSTRUÇÃO DE REDE MP ORDEM 299000201128 (GOR)</t>
  </si>
  <si>
    <t>240000002554</t>
  </si>
  <si>
    <t>240000002555</t>
  </si>
  <si>
    <t>240000002556</t>
  </si>
  <si>
    <t>240000002557</t>
  </si>
  <si>
    <t>240000002558</t>
  </si>
  <si>
    <t>240000002559</t>
  </si>
  <si>
    <t>240000002560</t>
  </si>
  <si>
    <t>240000002561</t>
  </si>
  <si>
    <t>240000002562</t>
  </si>
  <si>
    <t>240000002563</t>
  </si>
  <si>
    <t>240000002564</t>
  </si>
  <si>
    <t>240000002565</t>
  </si>
  <si>
    <t>240000002566</t>
  </si>
  <si>
    <t>240000002567</t>
  </si>
  <si>
    <t>CONSTRUÇÃO DE REDE MP ORDEM 299000201067 (GOR)</t>
  </si>
  <si>
    <t>240000002568</t>
  </si>
  <si>
    <t>240000002569</t>
  </si>
  <si>
    <t>240000002570</t>
  </si>
  <si>
    <t>240000002571</t>
  </si>
  <si>
    <t>240000002572</t>
  </si>
  <si>
    <t>240000002573</t>
  </si>
  <si>
    <t>CONSTRUÇÃO DE REDE MP ORDEM 299000201106 (GOR)</t>
  </si>
  <si>
    <t>240000002574</t>
  </si>
  <si>
    <t>240000002575</t>
  </si>
  <si>
    <t>240000002576</t>
  </si>
  <si>
    <t>240000002577</t>
  </si>
  <si>
    <t>240000002578</t>
  </si>
  <si>
    <t>240000002579</t>
  </si>
  <si>
    <t>240000002580</t>
  </si>
  <si>
    <t>240000002581</t>
  </si>
  <si>
    <t>240000002582</t>
  </si>
  <si>
    <t>240000002583</t>
  </si>
  <si>
    <t>240000002584</t>
  </si>
  <si>
    <t>240000002585</t>
  </si>
  <si>
    <t>240000002586</t>
  </si>
  <si>
    <t>240000002587</t>
  </si>
  <si>
    <t>CONSTRUÇÃO DE REDE MP ORDEM 299000201112 (GOR)</t>
  </si>
  <si>
    <t>240000002588</t>
  </si>
  <si>
    <t>240000002589</t>
  </si>
  <si>
    <t>240000002590</t>
  </si>
  <si>
    <t>240000002591</t>
  </si>
  <si>
    <t>240000002592</t>
  </si>
  <si>
    <t>240000002593</t>
  </si>
  <si>
    <t>240000002594</t>
  </si>
  <si>
    <t>240000002595</t>
  </si>
  <si>
    <t>240000002596</t>
  </si>
  <si>
    <t>240000002597</t>
  </si>
  <si>
    <t>240000002598</t>
  </si>
  <si>
    <t>240000002599</t>
  </si>
  <si>
    <t>240000002600</t>
  </si>
  <si>
    <t>CONSTRUÇÃO DE REDE MP ORDEM 299000201069 (GOR)</t>
  </si>
  <si>
    <t>240000002601</t>
  </si>
  <si>
    <t>240000002602</t>
  </si>
  <si>
    <t>240000002603</t>
  </si>
  <si>
    <t>240000002604</t>
  </si>
  <si>
    <t>240000002605</t>
  </si>
  <si>
    <t>240000002606</t>
  </si>
  <si>
    <t>240000002607</t>
  </si>
  <si>
    <t>CONSTRUÇÃO DE REDE MP ORDEM 299000201104 (GOR)</t>
  </si>
  <si>
    <t>240000002608</t>
  </si>
  <si>
    <t>240000002609</t>
  </si>
  <si>
    <t>240000002610</t>
  </si>
  <si>
    <t>240000002611</t>
  </si>
  <si>
    <t>240000002612</t>
  </si>
  <si>
    <t>240000002613</t>
  </si>
  <si>
    <t>240000002614</t>
  </si>
  <si>
    <t>240000002615</t>
  </si>
  <si>
    <t>240000002616</t>
  </si>
  <si>
    <t>240000002617</t>
  </si>
  <si>
    <t>240000002618</t>
  </si>
  <si>
    <t>240000002619</t>
  </si>
  <si>
    <t>240000002620</t>
  </si>
  <si>
    <t>CONSTRUÇÃO DE REDE MP ORDEM 299000200751 (GOR)</t>
  </si>
  <si>
    <t>240000002621</t>
  </si>
  <si>
    <t>240000002622</t>
  </si>
  <si>
    <t>240000002623</t>
  </si>
  <si>
    <t>240000002624</t>
  </si>
  <si>
    <t>260000001289</t>
  </si>
  <si>
    <t>CONSTRUÇÃO DE RAMAIS ORDEM 299000200748 (GOR)</t>
  </si>
  <si>
    <t>260000001290</t>
  </si>
  <si>
    <t>260000001291</t>
  </si>
  <si>
    <t>260000001292</t>
  </si>
  <si>
    <t>260000001293</t>
  </si>
  <si>
    <t>260000001294</t>
  </si>
  <si>
    <t>260000001295</t>
  </si>
  <si>
    <t>260000001296</t>
  </si>
  <si>
    <t>260000001297</t>
  </si>
  <si>
    <t>260000001298</t>
  </si>
  <si>
    <t>260000001299</t>
  </si>
  <si>
    <t>260000001300</t>
  </si>
  <si>
    <t>260000001301</t>
  </si>
  <si>
    <t>260000001302</t>
  </si>
  <si>
    <t>260000001303</t>
  </si>
  <si>
    <t>260000001304</t>
  </si>
  <si>
    <t>260000001305</t>
  </si>
  <si>
    <t>260000001306</t>
  </si>
  <si>
    <t>260000001307</t>
  </si>
  <si>
    <t>260000001308</t>
  </si>
  <si>
    <t>260000001309</t>
  </si>
  <si>
    <t>260000001310</t>
  </si>
  <si>
    <t>260000001311</t>
  </si>
  <si>
    <t>260000001312</t>
  </si>
  <si>
    <t>260000001313</t>
  </si>
  <si>
    <t>260000001314</t>
  </si>
  <si>
    <t>260000001315</t>
  </si>
  <si>
    <t>260000001316</t>
  </si>
  <si>
    <t>260000001317</t>
  </si>
  <si>
    <t>260000001318</t>
  </si>
  <si>
    <t>260000001319</t>
  </si>
  <si>
    <t>260000001320</t>
  </si>
  <si>
    <t>260000001321</t>
  </si>
  <si>
    <t>260000001322</t>
  </si>
  <si>
    <t>260000001323</t>
  </si>
  <si>
    <t>260000001324</t>
  </si>
  <si>
    <t>260000001325</t>
  </si>
  <si>
    <t>260000001326</t>
  </si>
  <si>
    <t>260000001327</t>
  </si>
  <si>
    <t>260000001328</t>
  </si>
  <si>
    <t>260000001329</t>
  </si>
  <si>
    <t>260000001330</t>
  </si>
  <si>
    <t>260000001331</t>
  </si>
  <si>
    <t>260000001332</t>
  </si>
  <si>
    <t>260000001333</t>
  </si>
  <si>
    <t>260000001334</t>
  </si>
  <si>
    <t>260000001335</t>
  </si>
  <si>
    <t>260000001336</t>
  </si>
  <si>
    <t>260000001337</t>
  </si>
  <si>
    <t>260000001338</t>
  </si>
  <si>
    <t>260000001339</t>
  </si>
  <si>
    <t>260000001340</t>
  </si>
  <si>
    <t>260000001341</t>
  </si>
  <si>
    <t>260000001342</t>
  </si>
  <si>
    <t>260000001343</t>
  </si>
  <si>
    <t>260000001344</t>
  </si>
  <si>
    <t>260000001345</t>
  </si>
  <si>
    <t>260000001346</t>
  </si>
  <si>
    <t>260000001347</t>
  </si>
  <si>
    <t>260000001348</t>
  </si>
  <si>
    <t>260000001349</t>
  </si>
  <si>
    <t>260000001350</t>
  </si>
  <si>
    <t>260000001351</t>
  </si>
  <si>
    <t>260000001352</t>
  </si>
  <si>
    <t>260000001353</t>
  </si>
  <si>
    <t>260000001354</t>
  </si>
  <si>
    <t>260000001355</t>
  </si>
  <si>
    <t>260000001356</t>
  </si>
  <si>
    <t>260000001357</t>
  </si>
  <si>
    <t>260000001358</t>
  </si>
  <si>
    <t>260000001359</t>
  </si>
  <si>
    <t>260000001360</t>
  </si>
  <si>
    <t>260000001361</t>
  </si>
  <si>
    <t>260000001362</t>
  </si>
  <si>
    <t>260000001363</t>
  </si>
  <si>
    <t>260000001364</t>
  </si>
  <si>
    <t>260000001365</t>
  </si>
  <si>
    <t>260000001366</t>
  </si>
  <si>
    <t>260000001367</t>
  </si>
  <si>
    <t>260000001368</t>
  </si>
  <si>
    <t>260000001369</t>
  </si>
  <si>
    <t>260000001370</t>
  </si>
  <si>
    <t>260000001371</t>
  </si>
  <si>
    <t>260000001372</t>
  </si>
  <si>
    <t>260000001373</t>
  </si>
  <si>
    <t>260000001374</t>
  </si>
  <si>
    <t>260000001375</t>
  </si>
  <si>
    <t>260000001376</t>
  </si>
  <si>
    <t>260000001377</t>
  </si>
  <si>
    <t>260000001378</t>
  </si>
  <si>
    <t>260000001379</t>
  </si>
  <si>
    <t>260000001380</t>
  </si>
  <si>
    <t>260000001381</t>
  </si>
  <si>
    <t>260000001382</t>
  </si>
  <si>
    <t>260000001383</t>
  </si>
  <si>
    <t>260000001384</t>
  </si>
  <si>
    <t>260000001385</t>
  </si>
  <si>
    <t>260000001386</t>
  </si>
  <si>
    <t>260000001387</t>
  </si>
  <si>
    <t>260000001388</t>
  </si>
  <si>
    <t>260000001389</t>
  </si>
  <si>
    <t>260000001390</t>
  </si>
  <si>
    <t>260000001391</t>
  </si>
  <si>
    <t>260000001392</t>
  </si>
  <si>
    <t>260000001393</t>
  </si>
  <si>
    <t>260000001395</t>
  </si>
  <si>
    <t>260000001397</t>
  </si>
  <si>
    <t>260000001399</t>
  </si>
  <si>
    <t>260000001400</t>
  </si>
  <si>
    <t>260000001403</t>
  </si>
  <si>
    <t>260000001404</t>
  </si>
  <si>
    <t>260000001405</t>
  </si>
  <si>
    <t>260000001416</t>
  </si>
  <si>
    <t>260000001527</t>
  </si>
  <si>
    <t>CONSTRUÇÃO DE RAMAIS ORDEM 299000200896 (GOR)</t>
  </si>
  <si>
    <t>260000001528</t>
  </si>
  <si>
    <t>260000001529</t>
  </si>
  <si>
    <t>260000001530</t>
  </si>
  <si>
    <t>260000001531</t>
  </si>
  <si>
    <t>CONSTRUÇÃO DE RAMAIS ORDEM 299000200906 (GOR)</t>
  </si>
  <si>
    <t>260000001532</t>
  </si>
  <si>
    <t>260000001533</t>
  </si>
  <si>
    <t>260000001534</t>
  </si>
  <si>
    <t>260000001535</t>
  </si>
  <si>
    <t>260000001536</t>
  </si>
  <si>
    <t>260000001537</t>
  </si>
  <si>
    <t>260000001538</t>
  </si>
  <si>
    <t>260000001562</t>
  </si>
  <si>
    <t>CONSTRUÇÃO DE RAMAIS ORDEM 299000200910 (GOR)</t>
  </si>
  <si>
    <t>260000001563</t>
  </si>
  <si>
    <t>260000001564</t>
  </si>
  <si>
    <t>260000001565</t>
  </si>
  <si>
    <t>CONSTRUÇÃO DE RAMAIS ORDEM 299000200895 (GOR)</t>
  </si>
  <si>
    <t>260000001566</t>
  </si>
  <si>
    <t>260000001567</t>
  </si>
  <si>
    <t>260000001568</t>
  </si>
  <si>
    <t>260000001569</t>
  </si>
  <si>
    <t>260000001570</t>
  </si>
  <si>
    <t>260000001571</t>
  </si>
  <si>
    <t>260000001572</t>
  </si>
  <si>
    <t>260000001573</t>
  </si>
  <si>
    <t>260000001574</t>
  </si>
  <si>
    <t>260000001575</t>
  </si>
  <si>
    <t>260000001576</t>
  </si>
  <si>
    <t>260000001577</t>
  </si>
  <si>
    <t>260000001578</t>
  </si>
  <si>
    <t>260000001579</t>
  </si>
  <si>
    <t>260000001580</t>
  </si>
  <si>
    <t>260000001581</t>
  </si>
  <si>
    <t>260000001582</t>
  </si>
  <si>
    <t>260000001583</t>
  </si>
  <si>
    <t>260000001584</t>
  </si>
  <si>
    <t>260000001585</t>
  </si>
  <si>
    <t>260000001586</t>
  </si>
  <si>
    <t>CONSTRUÇÃO DE RAMAIS ORDEM 299000202355 (GOR)</t>
  </si>
  <si>
    <t>260000001587</t>
  </si>
  <si>
    <t>260000001588</t>
  </si>
  <si>
    <t>260000001589</t>
  </si>
  <si>
    <t>260000001590</t>
  </si>
  <si>
    <t>260000001591</t>
  </si>
  <si>
    <t>260000001592</t>
  </si>
  <si>
    <t>260000001593</t>
  </si>
  <si>
    <t>260000001594</t>
  </si>
  <si>
    <t>260000001595</t>
  </si>
  <si>
    <t>260000001596</t>
  </si>
  <si>
    <t>260000001597</t>
  </si>
  <si>
    <t>260000001598</t>
  </si>
  <si>
    <t>260000001599</t>
  </si>
  <si>
    <t>260000001600</t>
  </si>
  <si>
    <t>260000001601</t>
  </si>
  <si>
    <t>260000001602</t>
  </si>
  <si>
    <t>260000001603</t>
  </si>
  <si>
    <t>260000001604</t>
  </si>
  <si>
    <t>260000001605</t>
  </si>
  <si>
    <t>260000001606</t>
  </si>
  <si>
    <t>260000001607</t>
  </si>
  <si>
    <t>260000001608</t>
  </si>
  <si>
    <t>260000001617</t>
  </si>
  <si>
    <t>260000001618</t>
  </si>
  <si>
    <t>260000001619</t>
  </si>
  <si>
    <t>260000001620</t>
  </si>
  <si>
    <t>260000001621</t>
  </si>
  <si>
    <t>260000001622</t>
  </si>
  <si>
    <t>260000001623</t>
  </si>
  <si>
    <t>260000001624</t>
  </si>
  <si>
    <t>260000001625</t>
  </si>
  <si>
    <t>260000001626</t>
  </si>
  <si>
    <t>260000001627</t>
  </si>
  <si>
    <t>260000001628</t>
  </si>
  <si>
    <t>260000001629</t>
  </si>
  <si>
    <t>260000001630</t>
  </si>
  <si>
    <t>260000001631</t>
  </si>
  <si>
    <t>260000001640</t>
  </si>
  <si>
    <t>CONSTRUÇÃO DE RAMAIS ORDEM 299000200894 (GOR)</t>
  </si>
  <si>
    <t>260000001641</t>
  </si>
  <si>
    <t>260000001642</t>
  </si>
  <si>
    <t>260000001643</t>
  </si>
  <si>
    <t>260000001644</t>
  </si>
  <si>
    <t>260000001645</t>
  </si>
  <si>
    <t>260000001646</t>
  </si>
  <si>
    <t>260000001647</t>
  </si>
  <si>
    <t>260000001648</t>
  </si>
  <si>
    <t>260000001649</t>
  </si>
  <si>
    <t>260000001650</t>
  </si>
  <si>
    <t>260000001651</t>
  </si>
  <si>
    <t>260000001652</t>
  </si>
  <si>
    <t>260000001653</t>
  </si>
  <si>
    <t>260000001654</t>
  </si>
  <si>
    <t>260000001655</t>
  </si>
  <si>
    <t>260000001656</t>
  </si>
  <si>
    <t>260000001657</t>
  </si>
  <si>
    <t>260000001658</t>
  </si>
  <si>
    <t>260000001659</t>
  </si>
  <si>
    <t>260000001660</t>
  </si>
  <si>
    <t>260000001661</t>
  </si>
  <si>
    <t>CONSTRUÇÃO DE RAMAIS ORDEM 299000200903 (GOR)</t>
  </si>
  <si>
    <t>260000001662</t>
  </si>
  <si>
    <t>260000001663</t>
  </si>
  <si>
    <t>260000001664</t>
  </si>
  <si>
    <t>260000001665</t>
  </si>
  <si>
    <t>260000001666</t>
  </si>
  <si>
    <t>260000001667</t>
  </si>
  <si>
    <t>260000001668</t>
  </si>
  <si>
    <t>260000001669</t>
  </si>
  <si>
    <t>260000001670</t>
  </si>
  <si>
    <t>260000001671</t>
  </si>
  <si>
    <t>260000001672</t>
  </si>
  <si>
    <t>260000001673</t>
  </si>
  <si>
    <t>260000001674</t>
  </si>
  <si>
    <t>260000001675</t>
  </si>
  <si>
    <t>260000001676</t>
  </si>
  <si>
    <t>260000001677</t>
  </si>
  <si>
    <t>260000001678</t>
  </si>
  <si>
    <t>260000001679</t>
  </si>
  <si>
    <t>260000001680</t>
  </si>
  <si>
    <t>260000001681</t>
  </si>
  <si>
    <t>260000001682</t>
  </si>
  <si>
    <t>260000001683</t>
  </si>
  <si>
    <t>260000001684</t>
  </si>
  <si>
    <t>260000001685</t>
  </si>
  <si>
    <t>260000001686</t>
  </si>
  <si>
    <t>260000001687</t>
  </si>
  <si>
    <t>260000001688</t>
  </si>
  <si>
    <t>260000001689</t>
  </si>
  <si>
    <t>260000001690</t>
  </si>
  <si>
    <t>260000001691</t>
  </si>
  <si>
    <t>260000001692</t>
  </si>
  <si>
    <t>260000001693</t>
  </si>
  <si>
    <t>260000001694</t>
  </si>
  <si>
    <t>260000001695</t>
  </si>
  <si>
    <t>260000001696</t>
  </si>
  <si>
    <t>260000001697</t>
  </si>
  <si>
    <t>260000001698</t>
  </si>
  <si>
    <t>260000001699</t>
  </si>
  <si>
    <t>260000001700</t>
  </si>
  <si>
    <t>260000001701</t>
  </si>
  <si>
    <t>260000001702</t>
  </si>
  <si>
    <t>260000001703</t>
  </si>
  <si>
    <t>260000001704</t>
  </si>
  <si>
    <t>260000001705</t>
  </si>
  <si>
    <t>260000001706</t>
  </si>
  <si>
    <t>260000001707</t>
  </si>
  <si>
    <t>260000001708</t>
  </si>
  <si>
    <t>260000001709</t>
  </si>
  <si>
    <t>260000001710</t>
  </si>
  <si>
    <t>260000001711</t>
  </si>
  <si>
    <t>260000001712</t>
  </si>
  <si>
    <t>260000001713</t>
  </si>
  <si>
    <t>CONSTRUÇÃO DE RAMAIS ORDEM 299000203057 (GOR)</t>
  </si>
  <si>
    <t>260000001714</t>
  </si>
  <si>
    <t>260000001715</t>
  </si>
  <si>
    <t>260000001716</t>
  </si>
  <si>
    <t>260000001717</t>
  </si>
  <si>
    <t>260000001718</t>
  </si>
  <si>
    <t>260000001719</t>
  </si>
  <si>
    <t>260000001720</t>
  </si>
  <si>
    <t>260000001735</t>
  </si>
  <si>
    <t>260000001736</t>
  </si>
  <si>
    <t>260000001737</t>
  </si>
  <si>
    <t>260000001738</t>
  </si>
  <si>
    <t>260000001739</t>
  </si>
  <si>
    <t>260000001740</t>
  </si>
  <si>
    <t>260000001741</t>
  </si>
  <si>
    <t>260000001742</t>
  </si>
  <si>
    <t>260000001743</t>
  </si>
  <si>
    <t>260000001744</t>
  </si>
  <si>
    <t>260000001745</t>
  </si>
  <si>
    <t>260000001746</t>
  </si>
  <si>
    <t>260000001747</t>
  </si>
  <si>
    <t>CONSTRUÇÃO DE RAMAIS ORDEM 299000200897 (GOR)</t>
  </si>
  <si>
    <t>260000001748</t>
  </si>
  <si>
    <t>260000001749</t>
  </si>
  <si>
    <t>260000001750</t>
  </si>
  <si>
    <t>260000001751</t>
  </si>
  <si>
    <t>260000001752</t>
  </si>
  <si>
    <t>260000001753</t>
  </si>
  <si>
    <t>260000001754</t>
  </si>
  <si>
    <t>260000001755</t>
  </si>
  <si>
    <t>260000001756</t>
  </si>
  <si>
    <t>260000001757</t>
  </si>
  <si>
    <t>260000001758</t>
  </si>
  <si>
    <t>260000001759</t>
  </si>
  <si>
    <t>260000001760</t>
  </si>
  <si>
    <t>260000001761</t>
  </si>
  <si>
    <t>260000001762</t>
  </si>
  <si>
    <t>260000001763</t>
  </si>
  <si>
    <t>260000001764</t>
  </si>
  <si>
    <t>260000001765</t>
  </si>
  <si>
    <t>260000001766</t>
  </si>
  <si>
    <t>260000001767</t>
  </si>
  <si>
    <t>260000001768</t>
  </si>
  <si>
    <t>260000001769</t>
  </si>
  <si>
    <t>260000001770</t>
  </si>
  <si>
    <t>260000001771</t>
  </si>
  <si>
    <t>260000001772</t>
  </si>
  <si>
    <t>260000001773</t>
  </si>
  <si>
    <t>260000001774</t>
  </si>
  <si>
    <t>260000001795</t>
  </si>
  <si>
    <t>260000001796</t>
  </si>
  <si>
    <t>260000001797</t>
  </si>
  <si>
    <t>260000001798</t>
  </si>
  <si>
    <t>260000001799</t>
  </si>
  <si>
    <t>CONSTRUÇÃO DE RAMAIS ORDEM 299000202368 (GOR)</t>
  </si>
  <si>
    <t>260000001800</t>
  </si>
  <si>
    <t>260000001801</t>
  </si>
  <si>
    <t>260000001802</t>
  </si>
  <si>
    <t>260000001803</t>
  </si>
  <si>
    <t>260000001804</t>
  </si>
  <si>
    <t>260000001805</t>
  </si>
  <si>
    <t>260000001806</t>
  </si>
  <si>
    <t>260000001807</t>
  </si>
  <si>
    <t>260000001808</t>
  </si>
  <si>
    <t>260000001809</t>
  </si>
  <si>
    <t>260000001810</t>
  </si>
  <si>
    <t>260000001811</t>
  </si>
  <si>
    <t>260000001812</t>
  </si>
  <si>
    <t>260000001813</t>
  </si>
  <si>
    <t>260000001814</t>
  </si>
  <si>
    <t>260000001815</t>
  </si>
  <si>
    <t>260000001816</t>
  </si>
  <si>
    <t>260000001817</t>
  </si>
  <si>
    <t>260000001818</t>
  </si>
  <si>
    <t>260000001819</t>
  </si>
  <si>
    <t>260000001820</t>
  </si>
  <si>
    <t>260000001821</t>
  </si>
  <si>
    <t>260000001822</t>
  </si>
  <si>
    <t>260000001823</t>
  </si>
  <si>
    <t>260000001824</t>
  </si>
  <si>
    <t>260000001825</t>
  </si>
  <si>
    <t>260000001826</t>
  </si>
  <si>
    <t>260000001827</t>
  </si>
  <si>
    <t>260000001828</t>
  </si>
  <si>
    <t>260000001829</t>
  </si>
  <si>
    <t>260000001830</t>
  </si>
  <si>
    <t>260000001831</t>
  </si>
  <si>
    <t>260000001832</t>
  </si>
  <si>
    <t>260000001833</t>
  </si>
  <si>
    <t>260000001834</t>
  </si>
  <si>
    <t>260000001835</t>
  </si>
  <si>
    <t>260000001836</t>
  </si>
  <si>
    <t>260000001837</t>
  </si>
  <si>
    <t>260000001838</t>
  </si>
  <si>
    <t>260000001839</t>
  </si>
  <si>
    <t>260000001840</t>
  </si>
  <si>
    <t>260000001841</t>
  </si>
  <si>
    <t>260000001842</t>
  </si>
  <si>
    <t>260000001843</t>
  </si>
  <si>
    <t>260000001844</t>
  </si>
  <si>
    <t>260000001845</t>
  </si>
  <si>
    <t>260000001846</t>
  </si>
  <si>
    <t>260000001847</t>
  </si>
  <si>
    <t>260000001848</t>
  </si>
  <si>
    <t>260000001849</t>
  </si>
  <si>
    <t>260000001850</t>
  </si>
  <si>
    <t>260000001851</t>
  </si>
  <si>
    <t>260000001852</t>
  </si>
  <si>
    <t>260000001853</t>
  </si>
  <si>
    <t>260000001854</t>
  </si>
  <si>
    <t>260000001883</t>
  </si>
  <si>
    <t>260000001884</t>
  </si>
  <si>
    <t>260000001885</t>
  </si>
  <si>
    <t>260000001886</t>
  </si>
  <si>
    <t>260000001887</t>
  </si>
  <si>
    <t>260000001888</t>
  </si>
  <si>
    <t>260000001889</t>
  </si>
  <si>
    <t>260000001890</t>
  </si>
  <si>
    <t>260000001891</t>
  </si>
  <si>
    <t>260000001892</t>
  </si>
  <si>
    <t>260000001893</t>
  </si>
  <si>
    <t>260000001894</t>
  </si>
  <si>
    <t>260000001895</t>
  </si>
  <si>
    <t>260000001896</t>
  </si>
  <si>
    <t>260000001897</t>
  </si>
  <si>
    <t>260000001898</t>
  </si>
  <si>
    <t>260000001899</t>
  </si>
  <si>
    <t>260000001900</t>
  </si>
  <si>
    <t>260000001901</t>
  </si>
  <si>
    <t>260000001902</t>
  </si>
  <si>
    <t>260000001903</t>
  </si>
  <si>
    <t>260000001904</t>
  </si>
  <si>
    <t>260000001929</t>
  </si>
  <si>
    <t>260000001930</t>
  </si>
  <si>
    <t>260000001931</t>
  </si>
  <si>
    <t>260000001932</t>
  </si>
  <si>
    <t>260000001933</t>
  </si>
  <si>
    <t>260000001934</t>
  </si>
  <si>
    <t>260000001935</t>
  </si>
  <si>
    <t>260000001936</t>
  </si>
  <si>
    <t>260000001937</t>
  </si>
  <si>
    <t>260000001938</t>
  </si>
  <si>
    <t>260000001939</t>
  </si>
  <si>
    <t>260000001940</t>
  </si>
  <si>
    <t>260000001941</t>
  </si>
  <si>
    <t>260000001942</t>
  </si>
  <si>
    <t>260000001943</t>
  </si>
  <si>
    <t>260000001944</t>
  </si>
  <si>
    <t>260000001945</t>
  </si>
  <si>
    <t>260000001946</t>
  </si>
  <si>
    <t>260000001947</t>
  </si>
  <si>
    <t>309000000109</t>
  </si>
  <si>
    <t>INSTALAÇÕES AUX DE REDE-TODOS OS MERCADOS</t>
  </si>
  <si>
    <t>309000000101</t>
  </si>
  <si>
    <t>INSTALAÇÕES AUX. DE REDE_Alta e Media_INDUSTRIAL</t>
  </si>
  <si>
    <t>8 - CONTROLE DE ENERGIA - CEGRIO - INDUSTRIAL_AV</t>
  </si>
  <si>
    <t>240000002625</t>
  </si>
  <si>
    <t>CONSTRUÇÃO DE REDE MP ORDEM 299000201102 (GOR)</t>
  </si>
  <si>
    <t>240000002626</t>
  </si>
  <si>
    <t>CONSTRUÇÃO DE REDE MP ORDEM 299000201084 (GOR)</t>
  </si>
  <si>
    <t>240000002627</t>
  </si>
  <si>
    <t>CONSTRUÇÃO DE REDE MP ORDEM 299000202247 (GOR)</t>
  </si>
  <si>
    <t>260000001948</t>
  </si>
  <si>
    <t>CONSTRUÇÃO DE RAMAIS ORDEM 299000200866 (GOR)</t>
  </si>
  <si>
    <t>260000001949</t>
  </si>
  <si>
    <t>CONSTRUÇÃO DE RAMAIS ORDEM 299000200884 (GOR)</t>
  </si>
  <si>
    <t>260000001950</t>
  </si>
  <si>
    <t>CONSTRUÇÃO DE RAMAIS ORDEM 299000200885 (GOR)</t>
  </si>
  <si>
    <t>260000001951</t>
  </si>
  <si>
    <t>CONSTRUÇÃO DE RAMAIS ORDEM 299000200888 (GOR)</t>
  </si>
  <si>
    <t>260000001952</t>
  </si>
  <si>
    <t>CONSTRUÇÃO DE RAMAIS ORDEM 299000200891 (GOR)</t>
  </si>
  <si>
    <t>760000000055</t>
  </si>
  <si>
    <t>310000000444</t>
  </si>
  <si>
    <t>2220</t>
  </si>
  <si>
    <t>Medidores baixo volume-Baixa-Todos los mercados</t>
  </si>
  <si>
    <t>310000000446</t>
  </si>
  <si>
    <t>Medidores alto volume . CRM Alta e Media Industria</t>
  </si>
  <si>
    <t>360000000171</t>
  </si>
  <si>
    <t>MÁQUINAS E EQUIPAMENTOS _MEDIA_TODOS OS MERCADOS</t>
  </si>
  <si>
    <t>360000000175</t>
  </si>
  <si>
    <t>Instalações Aux de Rede Outros-ALTA/MÉDIA/BAIXA-TO</t>
  </si>
  <si>
    <t>740000000206</t>
  </si>
  <si>
    <t>740000000209</t>
  </si>
  <si>
    <t>CONSTRUÇÃO DE REDE MP-MÉDIA-TODOS OS MERCADOS</t>
  </si>
  <si>
    <t>740000000210</t>
  </si>
  <si>
    <t>DIGITALIZAÇÃO DE PLANTAS-MÉDIA-TODOS OS MERCADOS</t>
  </si>
  <si>
    <t>740000000212</t>
  </si>
  <si>
    <t>RD Rede de distribuição-baixa-todos los mercados</t>
  </si>
  <si>
    <t>740000000222</t>
  </si>
  <si>
    <t>RD Rede de distribuição ALTA/MÉDIA TODOS OS MERCAD</t>
  </si>
  <si>
    <t>309000000115</t>
  </si>
  <si>
    <t>INSTALAÇÕES AUX DE REDE-MÉDIA-TODOS OS MERCADOS</t>
  </si>
  <si>
    <t>309000000124</t>
  </si>
  <si>
    <t>Sist de Supervisão e Controle Média Industria e GN</t>
  </si>
  <si>
    <t>240000002628</t>
  </si>
  <si>
    <t>CONSTRUÇÃO DE REDE MP ORDEM 299000201127(GOR)</t>
  </si>
  <si>
    <t>260000001953</t>
  </si>
  <si>
    <t>CONSTRUÇÃO DE RAMAIS ORDEM 299000200849(GOR)</t>
  </si>
  <si>
    <t>260000001954</t>
  </si>
  <si>
    <t>CONSTRUÇÃO DE RAMAIS ORDEM 299000200909(GOR)</t>
  </si>
  <si>
    <t>310000000448</t>
  </si>
  <si>
    <t>CRM - Conjunto de Regulagem e Medição Média GNV</t>
  </si>
  <si>
    <t>740000000214</t>
  </si>
  <si>
    <t>CONEXÃO INDUSTRIAL AP-ALTA-GNV</t>
  </si>
  <si>
    <t>309000000121</t>
  </si>
  <si>
    <t>309000000122</t>
  </si>
  <si>
    <t>CRM - Conjunto de Regulagem e Medição Alta GERAÇÃ</t>
  </si>
  <si>
    <t>360000000180</t>
  </si>
  <si>
    <t>Equipamento de Laboratórios-Baixa-Industrial</t>
  </si>
  <si>
    <t>360000000185</t>
  </si>
  <si>
    <t>Sistema de Supervisão e Controle Alta Todos os Mer</t>
  </si>
  <si>
    <t>760000000052</t>
  </si>
  <si>
    <t>NUEVAS ACOMETIDAS D/C - GOR -INDUSTRIAL</t>
  </si>
  <si>
    <t>309000000119</t>
  </si>
  <si>
    <t>INSTALAÇÕES AUX. DE REDE-ALTA-TODOS LOS MERCADOS</t>
  </si>
  <si>
    <t>740000000223</t>
  </si>
  <si>
    <t>AMPLIAÇÕES E RELIGAMENTOS MÉDIA TODOS OS MERCADOS</t>
  </si>
  <si>
    <t>360000000173</t>
  </si>
  <si>
    <t>740000000220</t>
  </si>
  <si>
    <t>RENOVAÇÃO DE REDE DE ALTA-ALTA -TODOS LOS MERCADOS</t>
  </si>
  <si>
    <t>770000000121</t>
  </si>
  <si>
    <t>CONSTRUÇÃO DE ERM AP-ALTA-TODOS LOS MERCADOS</t>
  </si>
  <si>
    <t>240000002629</t>
  </si>
  <si>
    <t>CONSTRUÇÃO DE REDE MP ORDEM 299000207156(GOR)</t>
  </si>
  <si>
    <t>240000002630</t>
  </si>
  <si>
    <t>CONSTRUÇÃO DE REDE MP ORDEM 299000207166(GOR)</t>
  </si>
  <si>
    <t>240000002631</t>
  </si>
  <si>
    <t>240000002632</t>
  </si>
  <si>
    <t>CONSTRUÇÃO DE REDE MP ORDEM 299000207410(GOR)</t>
  </si>
  <si>
    <t>240000002633</t>
  </si>
  <si>
    <t>CONSTRUÇÃO DE REDE MP ORDEM 299000206299(GOR)</t>
  </si>
  <si>
    <t>240000002634</t>
  </si>
  <si>
    <t>CONSTRUÇÃO DE REDE MP ORDEM 299000206292(GOR)</t>
  </si>
  <si>
    <t>240000002635</t>
  </si>
  <si>
    <t>CONSTRUÇÃO DE REDE MP ORDEM 299000206285(GOR)</t>
  </si>
  <si>
    <t>240000002636</t>
  </si>
  <si>
    <t>CONSTRUÇÃO DE REDE MP ORDEM 299000206288(GOR)</t>
  </si>
  <si>
    <t>240000002637</t>
  </si>
  <si>
    <t>CONSTRUÇÃO DE REDE MP ORDEM 299000185631</t>
  </si>
  <si>
    <t>240000002638</t>
  </si>
  <si>
    <t>CONSTRUÇÃO DE REDE MP ORDEM 299000186958</t>
  </si>
  <si>
    <t>240000002639</t>
  </si>
  <si>
    <t>CONSTRUÇÃO DE REDE MP ORDEM 299000187247</t>
  </si>
  <si>
    <t>240000002640</t>
  </si>
  <si>
    <t>CONSTRUÇÃO DE REDE MP ORDEM 299000188030</t>
  </si>
  <si>
    <t>240000002641</t>
  </si>
  <si>
    <t>CONSTRUÇÃO DE REDE MP ORDEM 299000192971</t>
  </si>
  <si>
    <t>240000002642</t>
  </si>
  <si>
    <t>CONSTRUÇÃO DE REDE MP ORDEM 299000192974</t>
  </si>
  <si>
    <t>240000002643</t>
  </si>
  <si>
    <t>CONSTRUÇÃO DE REDE MP ORDEM 299000192977</t>
  </si>
  <si>
    <t>240000002644</t>
  </si>
  <si>
    <t>CONSTRUÇÃO DE REDE MP ORDEM 299000196336</t>
  </si>
  <si>
    <t>240000002645</t>
  </si>
  <si>
    <t>CONSTRUÇÃO DE REDE MP ORDEM 299000198476</t>
  </si>
  <si>
    <t>240000002646</t>
  </si>
  <si>
    <t>CONSTRUÇÃO DE REDE MP ORDEM 299000198478</t>
  </si>
  <si>
    <t>240000002647</t>
  </si>
  <si>
    <t>CONSTRUÇÃO DE REDE MP ORDEM 299000200060</t>
  </si>
  <si>
    <t>240000002648</t>
  </si>
  <si>
    <t>CONSTRUÇÃO DE REDE MP ORDEM 299000200064</t>
  </si>
  <si>
    <t>240000002649</t>
  </si>
  <si>
    <t>CONSTRUÇÃO DE REDE MP ORDEM 299000200067</t>
  </si>
  <si>
    <t>240000002650</t>
  </si>
  <si>
    <t>CONSTRUÇÃO DE REDE MP ORDEM 299000203260</t>
  </si>
  <si>
    <t>240000002651</t>
  </si>
  <si>
    <t>CONSTRUÇÃO DE REDE MP ORDEM 299000203261</t>
  </si>
  <si>
    <t>260000001955</t>
  </si>
  <si>
    <t>CONSTRUÇÃO DE RAMAIS ORDEM 299000207183(GOR)</t>
  </si>
  <si>
    <t>260000001956</t>
  </si>
  <si>
    <t>CONSTRUÇÃO DE RAMAIS ORDEM 299000206355(GOR)</t>
  </si>
  <si>
    <t>260000001957</t>
  </si>
  <si>
    <t>CONSTRUÇÃO DE RAMAIS ORDEM 299000206347(GOR)</t>
  </si>
  <si>
    <t>260000001958</t>
  </si>
  <si>
    <t>CONSTRUÇÃO DE RAMAIS ORDEM 299000207240(GOR)</t>
  </si>
  <si>
    <t>260000001959</t>
  </si>
  <si>
    <t>CONSTRUÇÃO DE RAMAIS ORDEM 299000206358(GOR)</t>
  </si>
  <si>
    <t>260000001960</t>
  </si>
  <si>
    <t>CONSTRUÇÃO DE RAMAIS ORDEM 299000206364(GOR)</t>
  </si>
  <si>
    <t>260000001961</t>
  </si>
  <si>
    <t>260000001962</t>
  </si>
  <si>
    <t>260000001963</t>
  </si>
  <si>
    <t>260000001964</t>
  </si>
  <si>
    <t>CONSTRUÇÃO DE RAMAIS ORDEM 299000207452(GOR)</t>
  </si>
  <si>
    <t>260000001965</t>
  </si>
  <si>
    <t>CONSTRUÇÃO DE RAMAIS ORDEM 299000206350(GOR)</t>
  </si>
  <si>
    <t>260000001966</t>
  </si>
  <si>
    <t>260000001967</t>
  </si>
  <si>
    <t>CONSTRUÇÃO DE RAMAIS ORDEM 299000207211(GOR)</t>
  </si>
  <si>
    <t>260000001968</t>
  </si>
  <si>
    <t>CONSTRUÇÃO DE RAMAIS ORDEM 299000206342(GOR)</t>
  </si>
  <si>
    <t>260000001969</t>
  </si>
  <si>
    <t>CONSTRUÇÃO DE RAMAIS ORDEM 299000209739(GOR)</t>
  </si>
  <si>
    <t>260000001970</t>
  </si>
  <si>
    <t>CONSTRUÇÃO DE RAMAIS ORDEM 299000207434(GOR)</t>
  </si>
  <si>
    <t>260000001971</t>
  </si>
  <si>
    <t>CONSTRUÇÃO DE RAMAIS ORDEM 299000207239(GOR)</t>
  </si>
  <si>
    <t>260000001972</t>
  </si>
  <si>
    <t>CONSTRUÇÃO DE RAMAIS ORDEM 299000206363(GOR)</t>
  </si>
  <si>
    <t>260000001973</t>
  </si>
  <si>
    <t>260000001974</t>
  </si>
  <si>
    <t>260000001975</t>
  </si>
  <si>
    <t>260000001976</t>
  </si>
  <si>
    <t>CONSTRUÇÃO DE RAMAIS ORDEM 299000207449(GOR)</t>
  </si>
  <si>
    <t>260000001977</t>
  </si>
  <si>
    <t>260000001978</t>
  </si>
  <si>
    <t>260000001979</t>
  </si>
  <si>
    <t>260000001980</t>
  </si>
  <si>
    <t>260000001981</t>
  </si>
  <si>
    <t>260000001982</t>
  </si>
  <si>
    <t>CONSTRUÇÃO DE RAMAIS ORDEM 299000206346(GOR)</t>
  </si>
  <si>
    <t>260000001983</t>
  </si>
  <si>
    <t>CONSTRUÇÃO DE RAMAIS ORDEM 299000207228(GOR)</t>
  </si>
  <si>
    <t>260000001984</t>
  </si>
  <si>
    <t>CONSTRUÇÃO DE RAMAIS ORDEM 299000206365(GOR)</t>
  </si>
  <si>
    <t>270000000470</t>
  </si>
  <si>
    <t>CONSTRUÇÃO DE ERM ORDEM 299000184315</t>
  </si>
  <si>
    <t>270000000471</t>
  </si>
  <si>
    <t>CONSTRUÇÃO DE ERM ORDEM 299000192367</t>
  </si>
  <si>
    <t>300000000389</t>
  </si>
  <si>
    <t>INSTALAÇÕES AUX. DE REDE ORDEM 299000178268</t>
  </si>
  <si>
    <t>300000000390</t>
  </si>
  <si>
    <t>INSTALAÇÕES AUX. DE REDE ORDEM 299000196442</t>
  </si>
  <si>
    <t>300000000391</t>
  </si>
  <si>
    <t>INSTALAÇÕES AUX. DE REDE ORDEM 299000204181</t>
  </si>
  <si>
    <t>320000000367</t>
  </si>
  <si>
    <t>INSTALAÇÕES COMUNITÁRIAS ORDEM 299000180285</t>
  </si>
  <si>
    <t>270000000472</t>
  </si>
  <si>
    <t>CONSTRUÇÃO DE ERM ORDEM 299000174501</t>
  </si>
  <si>
    <t>240000002652</t>
  </si>
  <si>
    <t>CONSTRUÇÃO DE REDE MP ORDEM 299000192791</t>
  </si>
  <si>
    <t>240000002653</t>
  </si>
  <si>
    <t>CONSTRUÇÃO DE REDE MP ORDEM 299000192862</t>
  </si>
  <si>
    <t>240000002654</t>
  </si>
  <si>
    <t>CONSTRUÇÃO DE REDE MP ORDEM 299000192875</t>
  </si>
  <si>
    <t>240000002655</t>
  </si>
  <si>
    <t>CONSTRUÇÃO DE REDE MP ORDEM 299000193046</t>
  </si>
  <si>
    <t>240000002656</t>
  </si>
  <si>
    <t>CONSTRUÇÃO DE REDE MP ORDEM 299000194904</t>
  </si>
  <si>
    <t>240000002657</t>
  </si>
  <si>
    <t>CONSTRUÇÃO DE REDE MP ORDEM 299000198479</t>
  </si>
  <si>
    <t>240000002658</t>
  </si>
  <si>
    <t>CONSTRUÇÃO DE REDE MP ORDEM 299000198539</t>
  </si>
  <si>
    <t>240000002659</t>
  </si>
  <si>
    <t>CONSTRUÇÃO DE REDE MP ORDEM 299000201293</t>
  </si>
  <si>
    <t>300000000392</t>
  </si>
  <si>
    <t>INSTALAÇÕES AUX. DE REDE ORDEM 299000196195</t>
  </si>
  <si>
    <t>300000000393</t>
  </si>
  <si>
    <t>INSTALAÇÕES AUX. DE REDE ORDEM 299000192924</t>
  </si>
  <si>
    <t>300000000394</t>
  </si>
  <si>
    <t>INSTALAÇÕES AUX. DE REDE ORDEM 299000201261</t>
  </si>
  <si>
    <t>300000000395</t>
  </si>
  <si>
    <t>INSTALAÇÕES AUX. DE REDE ORDEM 299000192937</t>
  </si>
  <si>
    <t>300000000396</t>
  </si>
  <si>
    <t>INSTALAÇÕES AUX. DE REDE ORDEM 299000198418</t>
  </si>
  <si>
    <t>300000000397</t>
  </si>
  <si>
    <t>INSTALAÇÕES AUX. DE REDE ORDEM 299000203018</t>
  </si>
  <si>
    <t>300000000398</t>
  </si>
  <si>
    <t>INSTALAÇÕES AUX. DE REDE ORDEM 299000192994</t>
  </si>
  <si>
    <t>300000000399</t>
  </si>
  <si>
    <t>INSTALAÇÕES AUX. DE REDE ORDEM 299000200061</t>
  </si>
  <si>
    <t>300000000400</t>
  </si>
  <si>
    <t>INSTALAÇÕES AUX. DE REDE ORDEM 299000192935</t>
  </si>
  <si>
    <t>300000000401</t>
  </si>
  <si>
    <t>INSTALAÇÕES AUX. DE REDE ORDEM 299000198416</t>
  </si>
  <si>
    <t>300000000402</t>
  </si>
  <si>
    <t>INSTALAÇÕES AUX. DE REDE ORDEM 299000201271</t>
  </si>
  <si>
    <t>240000002660</t>
  </si>
  <si>
    <t>CONSTRUÇÃO DE REDE MP ORDEM 299000190860</t>
  </si>
  <si>
    <t>240000002661</t>
  </si>
  <si>
    <t>CONSTRUÇÃO DE REDE MP ORDEM 299000190861</t>
  </si>
  <si>
    <t>240000002662</t>
  </si>
  <si>
    <t>CONSTRUÇÃO DE REDE MP ORDEM 299000190863</t>
  </si>
  <si>
    <t>240000002663</t>
  </si>
  <si>
    <t>CONSTRUÇÃO DE REDE MP ORDEM 299000190891</t>
  </si>
  <si>
    <t>240000002664</t>
  </si>
  <si>
    <t>CONSTRUÇÃO DE REDE MP ORDEM 299000190893</t>
  </si>
  <si>
    <t>240000002665</t>
  </si>
  <si>
    <t>CONSTRUÇÃO DE REDE MP ORDEM 299000190902</t>
  </si>
  <si>
    <t>240000002666</t>
  </si>
  <si>
    <t>CONSTRUÇÃO DE REDE MP ORDEM 299000190914</t>
  </si>
  <si>
    <t>240000002667</t>
  </si>
  <si>
    <t>CONSTRUÇÃO DE REDE MP ORDEM 299000190921</t>
  </si>
  <si>
    <t>240000002668</t>
  </si>
  <si>
    <t>CONSTRUÇÃO DE REDE MP ORDEM 299000190929</t>
  </si>
  <si>
    <t>240000002669</t>
  </si>
  <si>
    <t>CONSTRUÇÃO DE REDE MP ORDEM 299000190930</t>
  </si>
  <si>
    <t>240000002670</t>
  </si>
  <si>
    <t>CONSTRUÇÃO DE REDE MP ORDEM 299000190931</t>
  </si>
  <si>
    <t>240000002671</t>
  </si>
  <si>
    <t>CONSTRUÇÃO DE REDE MP ORDEM 299000190932</t>
  </si>
  <si>
    <t>240000002672</t>
  </si>
  <si>
    <t>CONSTRUÇÃO DE REDE MP ORDEM 299000190939</t>
  </si>
  <si>
    <t>240000002673</t>
  </si>
  <si>
    <t>CONSTRUÇÃO DE REDE MP ORDEM 299000190940</t>
  </si>
  <si>
    <t>240000002674</t>
  </si>
  <si>
    <t>CONSTRUÇÃO DE REDE MP ORDEM 299000190942</t>
  </si>
  <si>
    <t>240000002675</t>
  </si>
  <si>
    <t>CONSTRUÇÃO DE REDE MP ORDEM 299000190945</t>
  </si>
  <si>
    <t>240000002676</t>
  </si>
  <si>
    <t>CONSTRUÇÃO DE REDE MP ORDEM 299000190946</t>
  </si>
  <si>
    <t>240000002677</t>
  </si>
  <si>
    <t>CONSTRUÇÃO DE REDE MP ORDEM 299000190947</t>
  </si>
  <si>
    <t>240000002678</t>
  </si>
  <si>
    <t>CONSTRUÇÃO DE REDE MP ORDEM 299000191844</t>
  </si>
  <si>
    <t>240000002679</t>
  </si>
  <si>
    <t>CONSTRUÇÃO DE REDE MP ORDEM 299000191848</t>
  </si>
  <si>
    <t>240000002680</t>
  </si>
  <si>
    <t>CONSTRUÇÃO DE REDE MP ORDEM 299000191858</t>
  </si>
  <si>
    <t>240000002681</t>
  </si>
  <si>
    <t>CONSTRUÇÃO DE REDE MP ORDEM 299000191859</t>
  </si>
  <si>
    <t>240000002682</t>
  </si>
  <si>
    <t>CONSTRUÇÃO DE REDE MP ORDEM 299000191861</t>
  </si>
  <si>
    <t>240000002683</t>
  </si>
  <si>
    <t>CONSTRUÇÃO DE REDE MP ORDEM 299000191864</t>
  </si>
  <si>
    <t>240000002684</t>
  </si>
  <si>
    <t>CONSTRUÇÃO DE REDE MP ORDEM 299000191865</t>
  </si>
  <si>
    <t>240000002685</t>
  </si>
  <si>
    <t>CONSTRUÇÃO DE REDE MP ORDEM 299000191868</t>
  </si>
  <si>
    <t>240000002686</t>
  </si>
  <si>
    <t>CONSTRUÇÃO DE REDE MP ORDEM 299000191878</t>
  </si>
  <si>
    <t>240000002687</t>
  </si>
  <si>
    <t>CONSTRUÇÃO DE REDE MP ORDEM 299000191879</t>
  </si>
  <si>
    <t>240000002688</t>
  </si>
  <si>
    <t>CONSTRUÇÃO DE REDE MP ORDEM 299000191881</t>
  </si>
  <si>
    <t>240000002689</t>
  </si>
  <si>
    <t>CONSTRUÇÃO DE REDE MP ORDEM 299000191884</t>
  </si>
  <si>
    <t>240000002690</t>
  </si>
  <si>
    <t>CONSTRUÇÃO DE REDE MP ORDEM 299000191885</t>
  </si>
  <si>
    <t>240000002691</t>
  </si>
  <si>
    <t>CONSTRUÇÃO DE REDE MP ORDEM 299000192711</t>
  </si>
  <si>
    <t>240000002692</t>
  </si>
  <si>
    <t>CONSTRUÇÃO DE REDE MP ORDEM 299000194892</t>
  </si>
  <si>
    <t>240000002693</t>
  </si>
  <si>
    <t>CONSTRUÇÃO DE REDE MP ORDEM 299000195822</t>
  </si>
  <si>
    <t>240000002694</t>
  </si>
  <si>
    <t>CONSTRUÇÃO DE REDE MP ORDEM 299000197865</t>
  </si>
  <si>
    <t>240000002695</t>
  </si>
  <si>
    <t>CONSTRUÇÃO DE REDE MP ORDEM 299000198813</t>
  </si>
  <si>
    <t>240000002696</t>
  </si>
  <si>
    <t>CONSTRUÇÃO DE REDE MP ORDEM 299000198814</t>
  </si>
  <si>
    <t>240000002697</t>
  </si>
  <si>
    <t>CONSTRUÇÃO DE REDE MP ORDEM 299000198815</t>
  </si>
  <si>
    <t>240000002698</t>
  </si>
  <si>
    <t>CONSTRUÇÃO DE REDE MP ORDEM 299000198913</t>
  </si>
  <si>
    <t>240000002699</t>
  </si>
  <si>
    <t>CONSTRUÇÃO DE REDE MP ORDEM 299000198915</t>
  </si>
  <si>
    <t>240000002700</t>
  </si>
  <si>
    <t>CONSTRUÇÃO DE REDE MP ORDEM 299000198916</t>
  </si>
  <si>
    <t>240000002701</t>
  </si>
  <si>
    <t>CONSTRUÇÃO DE REDE MP ORDEM 299000198965</t>
  </si>
  <si>
    <t>240000002702</t>
  </si>
  <si>
    <t>CONSTRUÇÃO DE REDE MP ORDEM 299000198966</t>
  </si>
  <si>
    <t>240000002703</t>
  </si>
  <si>
    <t>CONSTRUÇÃO DE REDE MP ORDEM 299000199578</t>
  </si>
  <si>
    <t>240000002704</t>
  </si>
  <si>
    <t>CONSTRUÇÃO DE REDE MP ORDEM 299000199579</t>
  </si>
  <si>
    <t>240000002705</t>
  </si>
  <si>
    <t>CONSTRUÇÃO DE REDE MP ORDEM 299000199580</t>
  </si>
  <si>
    <t>240000002706</t>
  </si>
  <si>
    <t>CONSTRUÇÃO DE REDE MP ORDEM 299000199581</t>
  </si>
  <si>
    <t>240000002707</t>
  </si>
  <si>
    <t>CONSTRUÇÃO DE REDE MP ORDEM 299000199582</t>
  </si>
  <si>
    <t>240000002708</t>
  </si>
  <si>
    <t>CONSTRUÇÃO DE REDE MP ORDEM 299000199583</t>
  </si>
  <si>
    <t>240000002709</t>
  </si>
  <si>
    <t>CONSTRUÇÃO DE REDE MP ORDEM 299000199584</t>
  </si>
  <si>
    <t>240000002710</t>
  </si>
  <si>
    <t>CONSTRUÇÃO DE REDE MP ORDEM 299000199585</t>
  </si>
  <si>
    <t>240000002711</t>
  </si>
  <si>
    <t>CONSTRUÇÃO DE REDE MP ORDEM 299000199586</t>
  </si>
  <si>
    <t>240000002712</t>
  </si>
  <si>
    <t>CONSTRUÇÃO DE REDE MP ORDEM 299000199705</t>
  </si>
  <si>
    <t>240000002713</t>
  </si>
  <si>
    <t>CONSTRUÇÃO DE REDE MP ORDEM 299000199711</t>
  </si>
  <si>
    <t>240000002714</t>
  </si>
  <si>
    <t>CONSTRUÇÃO DE REDE MP ORDEM 299000199712</t>
  </si>
  <si>
    <t>240000002715</t>
  </si>
  <si>
    <t>CONSTRUÇÃO DE REDE MP ORDEM 299000199713</t>
  </si>
  <si>
    <t>240000002716</t>
  </si>
  <si>
    <t>CONSTRUÇÃO DE REDE MP ORDEM 299000199714</t>
  </si>
  <si>
    <t>240000002717</t>
  </si>
  <si>
    <t>CONSTRUÇÃO DE REDE MP ORDEM 299000199715</t>
  </si>
  <si>
    <t>240000002718</t>
  </si>
  <si>
    <t>CONSTRUÇÃO DE REDE MP ORDEM 299000199716</t>
  </si>
  <si>
    <t>240000002719</t>
  </si>
  <si>
    <t>CONSTRUÇÃO DE REDE MP ORDEM 299000199717</t>
  </si>
  <si>
    <t>240000002720</t>
  </si>
  <si>
    <t>CONSTRUÇÃO DE REDE MP ORDEM 299000199718</t>
  </si>
  <si>
    <t>240000002721</t>
  </si>
  <si>
    <t>CONSTRUÇÃO DE REDE MP ORDEM 299000199719</t>
  </si>
  <si>
    <t>240000002722</t>
  </si>
  <si>
    <t>CONSTRUÇÃO DE REDE MP ORDEM 299000199720</t>
  </si>
  <si>
    <t>240000002723</t>
  </si>
  <si>
    <t>CONSTRUÇÃO DE REDE MP ORDEM 299000199887</t>
  </si>
  <si>
    <t>240000002724</t>
  </si>
  <si>
    <t>CONSTRUÇÃO DE REDE MP ORDEM 299000199888</t>
  </si>
  <si>
    <t>240000002725</t>
  </si>
  <si>
    <t>CONSTRUÇÃO DE REDE MP ORDEM 299000199890</t>
  </si>
  <si>
    <t>240000002726</t>
  </si>
  <si>
    <t>CONSTRUÇÃO DE REDE MP ORDEM 299000199900</t>
  </si>
  <si>
    <t>240000002727</t>
  </si>
  <si>
    <t>CONSTRUÇÃO DE REDE MP ORDEM 299000199901</t>
  </si>
  <si>
    <t>240000002728</t>
  </si>
  <si>
    <t>CONSTRUÇÃO DE REDE MP ORDEM 299000199902</t>
  </si>
  <si>
    <t>240000002729</t>
  </si>
  <si>
    <t>CONSTRUÇÃO DE REDE MP ORDEM 299000199904</t>
  </si>
  <si>
    <t>240000002730</t>
  </si>
  <si>
    <t>CONSTRUÇÃO DE REDE MP ORDEM 299000199905</t>
  </si>
  <si>
    <t>240000002731</t>
  </si>
  <si>
    <t>CONSTRUÇÃO DE REDE MP ORDEM 299000199910</t>
  </si>
  <si>
    <t>240000002732</t>
  </si>
  <si>
    <t>CONSTRUÇÃO DE REDE MP ORDEM 299000199915</t>
  </si>
  <si>
    <t>240000002733</t>
  </si>
  <si>
    <t>CONSTRUÇÃO DE REDE MP ORDEM 299000199922</t>
  </si>
  <si>
    <t>240000002734</t>
  </si>
  <si>
    <t>CONSTRUÇÃO DE REDE MP ORDEM 299000199924</t>
  </si>
  <si>
    <t>240000002735</t>
  </si>
  <si>
    <t>CONSTRUÇÃO DE REDE MP ORDEM 299000199926</t>
  </si>
  <si>
    <t>240000002736</t>
  </si>
  <si>
    <t>CONSTRUÇÃO DE REDE MP ORDEM 299000199928</t>
  </si>
  <si>
    <t>240000002737</t>
  </si>
  <si>
    <t>CONSTRUÇÃO DE REDE MP ORDEM 299000199929</t>
  </si>
  <si>
    <t>240000002738</t>
  </si>
  <si>
    <t>CONSTRUÇÃO DE REDE MP ORDEM 299000199930</t>
  </si>
  <si>
    <t>240000002739</t>
  </si>
  <si>
    <t>CONSTRUÇÃO DE REDE MP ORDEM 299000199937</t>
  </si>
  <si>
    <t>240000002740</t>
  </si>
  <si>
    <t>CONSTRUÇÃO DE REDE MP ORDEM 299000199941</t>
  </si>
  <si>
    <t>240000002741</t>
  </si>
  <si>
    <t>CONSTRUÇÃO DE REDE MP ORDEM 299000199998</t>
  </si>
  <si>
    <t>240000002742</t>
  </si>
  <si>
    <t>CONSTRUÇÃO DE REDE MP ORDEM 299000199999</t>
  </si>
  <si>
    <t>240000002743</t>
  </si>
  <si>
    <t>CONSTRUÇÃO DE REDE MP ORDEM 299000200000</t>
  </si>
  <si>
    <t>240000002744</t>
  </si>
  <si>
    <t>CONSTRUÇÃO DE REDE MP ORDEM 299000200001</t>
  </si>
  <si>
    <t>240000002745</t>
  </si>
  <si>
    <t>CONSTRUÇÃO DE REDE MP ORDEM 299000200002</t>
  </si>
  <si>
    <t>240000002746</t>
  </si>
  <si>
    <t>CONSTRUÇÃO DE REDE MP ORDEM 299000200003</t>
  </si>
  <si>
    <t>240000002747</t>
  </si>
  <si>
    <t>CONSTRUÇÃO DE REDE MP ORDEM 299000200004</t>
  </si>
  <si>
    <t>240000002748</t>
  </si>
  <si>
    <t>CONSTRUÇÃO DE REDE MP ORDEM 299000200005</t>
  </si>
  <si>
    <t>240000002749</t>
  </si>
  <si>
    <t>CONSTRUÇÃO DE REDE MP ORDEM 299000200006</t>
  </si>
  <si>
    <t>240000002750</t>
  </si>
  <si>
    <t>CONSTRUÇÃO DE REDE MP ORDEM 299000200007</t>
  </si>
  <si>
    <t>240000002751</t>
  </si>
  <si>
    <t>CONSTRUÇÃO DE REDE MP ORDEM 299000200008</t>
  </si>
  <si>
    <t>240000002752</t>
  </si>
  <si>
    <t>CONSTRUÇÃO DE REDE MP ORDEM 299000200009</t>
  </si>
  <si>
    <t>240000002753</t>
  </si>
  <si>
    <t>CONSTRUÇÃO DE REDE MP ORDEM 299000200010</t>
  </si>
  <si>
    <t>240000002754</t>
  </si>
  <si>
    <t>CONSTRUÇÃO DE REDE MP ORDEM 299000200013</t>
  </si>
  <si>
    <t>240000002755</t>
  </si>
  <si>
    <t>CONSTRUÇÃO DE REDE MP ORDEM 299000200382</t>
  </si>
  <si>
    <t>240000002756</t>
  </si>
  <si>
    <t>CONSTRUÇÃO DE REDE MP ORDEM 299000200384</t>
  </si>
  <si>
    <t>240000002757</t>
  </si>
  <si>
    <t>CONSTRUÇÃO DE REDE MP ORDEM 299000200404</t>
  </si>
  <si>
    <t>240000002758</t>
  </si>
  <si>
    <t>CONSTRUÇÃO DE REDE MP ORDEM 299000200405</t>
  </si>
  <si>
    <t>240000002759</t>
  </si>
  <si>
    <t>CONSTRUÇÃO DE REDE MP ORDEM 299000201230</t>
  </si>
  <si>
    <t>240000002760</t>
  </si>
  <si>
    <t>CONSTRUÇÃO DE REDE MP ORDEM 299000201237</t>
  </si>
  <si>
    <t>240000002761</t>
  </si>
  <si>
    <t>CONSTRUÇÃO DE REDE MP ORDEM 299000203262</t>
  </si>
  <si>
    <t>240000002764</t>
  </si>
  <si>
    <t>CONSTRUÇÃO DE REDE MP ORDEM 299000210743(GOR)</t>
  </si>
  <si>
    <t>240000002765</t>
  </si>
  <si>
    <t>CONSTRUÇÃO DE REDE MP ORDEM 299000200145</t>
  </si>
  <si>
    <t>240000002766</t>
  </si>
  <si>
    <t>CONSTRUÇÃO DE REDE MP ORDEM 299000183045</t>
  </si>
  <si>
    <t>240000002767</t>
  </si>
  <si>
    <t>CONSTRUÇÃO DE REDE MP ORDEM 299000193040</t>
  </si>
  <si>
    <t>260000001985</t>
  </si>
  <si>
    <t>CONSTRUÇÃO DE RAMAIS ORDEM 299000190949</t>
  </si>
  <si>
    <t>260000001986</t>
  </si>
  <si>
    <t>CONSTRUÇÃO DE RAMAIS ORDEM 299000190950</t>
  </si>
  <si>
    <t>260000001987</t>
  </si>
  <si>
    <t>CONSTRUÇÃO DE RAMAIS ORDEM 299000190952</t>
  </si>
  <si>
    <t>260000001988</t>
  </si>
  <si>
    <t>CONSTRUÇÃO DE RAMAIS ORDEM 299000190953</t>
  </si>
  <si>
    <t>260000001989</t>
  </si>
  <si>
    <t>CONSTRUÇÃO DE RAMAIS ORDEM 299000190962</t>
  </si>
  <si>
    <t>260000001990</t>
  </si>
  <si>
    <t>CONSTRUÇÃO DE RAMAIS ORDEM 299000190976</t>
  </si>
  <si>
    <t>260000001991</t>
  </si>
  <si>
    <t>CONSTRUÇÃO DE RAMAIS ORDEM 299000190980</t>
  </si>
  <si>
    <t>260000001992</t>
  </si>
  <si>
    <t>CONSTRUÇÃO DE RAMAIS ORDEM 299000190982</t>
  </si>
  <si>
    <t>260000001993</t>
  </si>
  <si>
    <t>CONSTRUÇÃO DE RAMAIS ORDEM 299000190991</t>
  </si>
  <si>
    <t>260000001994</t>
  </si>
  <si>
    <t>CONSTRUÇÃO DE RAMAIS ORDEM 299000191007</t>
  </si>
  <si>
    <t>260000001995</t>
  </si>
  <si>
    <t>CONSTRUÇÃO DE RAMAIS ORDEM 299000191010</t>
  </si>
  <si>
    <t>260000001996</t>
  </si>
  <si>
    <t>CONSTRUÇÃO DE RAMAIS ORDEM 299000191014</t>
  </si>
  <si>
    <t>260000001997</t>
  </si>
  <si>
    <t>CONSTRUÇÃO DE RAMAIS ORDEM 299000191018</t>
  </si>
  <si>
    <t>260000001998</t>
  </si>
  <si>
    <t>CONSTRUÇÃO DE RAMAIS ORDEM 299000191019</t>
  </si>
  <si>
    <t>260000001999</t>
  </si>
  <si>
    <t>CONSTRUÇÃO DE RAMAIS ORDEM 299000191028</t>
  </si>
  <si>
    <t>260000002000</t>
  </si>
  <si>
    <t>CONSTRUÇÃO DE RAMAIS ORDEM 299000191029</t>
  </si>
  <si>
    <t>260000002001</t>
  </si>
  <si>
    <t>CONSTRUÇÃO DE RAMAIS ORDEM 299000191031</t>
  </si>
  <si>
    <t>260000002002</t>
  </si>
  <si>
    <t>CONSTRUÇÃO DE RAMAIS ORDEM 299000191034</t>
  </si>
  <si>
    <t>260000002003</t>
  </si>
  <si>
    <t>CONSTRUÇÃO DE RAMAIS ORDEM 299000191035</t>
  </si>
  <si>
    <t>260000002004</t>
  </si>
  <si>
    <t>CONSTRUÇÃO DE RAMAIS ORDEM 299000191845</t>
  </si>
  <si>
    <t>260000002005</t>
  </si>
  <si>
    <t>CONSTRUÇÃO DE RAMAIS ORDEM 299000192826</t>
  </si>
  <si>
    <t>260000002006</t>
  </si>
  <si>
    <t>CONSTRUÇÃO DE RAMAIS ORDEM 299000192827</t>
  </si>
  <si>
    <t>260000002007</t>
  </si>
  <si>
    <t>CONSTRUÇÃO DE RAMAIS ORDEM 299000192829</t>
  </si>
  <si>
    <t>260000002008</t>
  </si>
  <si>
    <t>CONSTRUÇÃO DE RAMAIS ORDEM 299000192837</t>
  </si>
  <si>
    <t>260000002009</t>
  </si>
  <si>
    <t>CONSTRUÇÃO DE RAMAIS ORDEM 299000192838</t>
  </si>
  <si>
    <t>260000002010</t>
  </si>
  <si>
    <t>CONSTRUÇÃO DE RAMAIS ORDEM 299000192839</t>
  </si>
  <si>
    <t>260000002011</t>
  </si>
  <si>
    <t>CONSTRUÇÃO DE RAMAIS ORDEM 299000192841</t>
  </si>
  <si>
    <t>260000002012</t>
  </si>
  <si>
    <t>CONSTRUÇÃO DE RAMAIS ORDEM 299000192842</t>
  </si>
  <si>
    <t>260000002013</t>
  </si>
  <si>
    <t>CONSTRUÇÃO DE RAMAIS ORDEM 299000192843</t>
  </si>
  <si>
    <t>260000002014</t>
  </si>
  <si>
    <t>CONSTRUÇÃO DE RAMAIS ORDEM 299000192844</t>
  </si>
  <si>
    <t>260000002015</t>
  </si>
  <si>
    <t>CONSTRUÇÃO DE RAMAIS ORDEM 299000198816</t>
  </si>
  <si>
    <t>260000002016</t>
  </si>
  <si>
    <t>CONSTRUÇÃO DE RAMAIS ORDEM 299000198817</t>
  </si>
  <si>
    <t>260000002017</t>
  </si>
  <si>
    <t>CONSTRUÇÃO DE RAMAIS ORDEM 299000198818</t>
  </si>
  <si>
    <t>260000002018</t>
  </si>
  <si>
    <t>CONSTRUÇÃO DE RAMAIS ORDEM 299000198819</t>
  </si>
  <si>
    <t>260000002019</t>
  </si>
  <si>
    <t>CONSTRUÇÃO DE RAMAIS ORDEM 299000198820</t>
  </si>
  <si>
    <t>260000002020</t>
  </si>
  <si>
    <t>CONSTRUÇÃO DE RAMAIS ORDEM 299000198821</t>
  </si>
  <si>
    <t>260000002021</t>
  </si>
  <si>
    <t>CONSTRUÇÃO DE RAMAIS ORDEM 299000198822</t>
  </si>
  <si>
    <t>260000002022</t>
  </si>
  <si>
    <t>CONSTRUÇÃO DE RAMAIS ORDEM 299000198823</t>
  </si>
  <si>
    <t>260000002023</t>
  </si>
  <si>
    <t>CONSTRUÇÃO DE RAMAIS ORDEM 299000198824</t>
  </si>
  <si>
    <t>260000002024</t>
  </si>
  <si>
    <t>CONSTRUÇÃO DE RAMAIS ORDEM 299000198825</t>
  </si>
  <si>
    <t>260000002025</t>
  </si>
  <si>
    <t>CONSTRUÇÃO DE RAMAIS ORDEM 299000198826</t>
  </si>
  <si>
    <t>260000002026</t>
  </si>
  <si>
    <t>CONSTRUÇÃO DE RAMAIS ORDEM 299000198827</t>
  </si>
  <si>
    <t>260000002027</t>
  </si>
  <si>
    <t>CONSTRUÇÃO DE RAMAIS ORDEM 299000198828</t>
  </si>
  <si>
    <t>260000002028</t>
  </si>
  <si>
    <t>CONSTRUÇÃO DE RAMAIS ORDEM 299000198829</t>
  </si>
  <si>
    <t>260000002029</t>
  </si>
  <si>
    <t>CONSTRUÇÃO DE RAMAIS ORDEM 299000198830</t>
  </si>
  <si>
    <t>260000002030</t>
  </si>
  <si>
    <t>CONSTRUÇÃO DE RAMAIS ORDEM 299000198831</t>
  </si>
  <si>
    <t>260000002031</t>
  </si>
  <si>
    <t>CONSTRUÇÃO DE RAMAIS ORDEM 299000198833</t>
  </si>
  <si>
    <t>260000002032</t>
  </si>
  <si>
    <t>CONSTRUÇÃO DE RAMAIS ORDEM 299000198841</t>
  </si>
  <si>
    <t>260000002033</t>
  </si>
  <si>
    <t>CONSTRUÇÃO DE RAMAIS ORDEM 299000198848</t>
  </si>
  <si>
    <t>260000002034</t>
  </si>
  <si>
    <t>CONSTRUÇÃO DE RAMAIS ORDEM 299000198853</t>
  </si>
  <si>
    <t>260000002035</t>
  </si>
  <si>
    <t>CONSTRUÇÃO DE RAMAIS ORDEM 299000198859</t>
  </si>
  <si>
    <t>260000002038</t>
  </si>
  <si>
    <t>CONSTRUÇÃO DE RAMAIS ORDEM 299000198869</t>
  </si>
  <si>
    <t>260000002041</t>
  </si>
  <si>
    <t>CONSTRUÇÃO DE RAMAIS ORDEM 299000198874</t>
  </si>
  <si>
    <t>260000002043</t>
  </si>
  <si>
    <t>CONSTRUÇÃO DE RAMAIS ORDEM 299000198876</t>
  </si>
  <si>
    <t>260000002044</t>
  </si>
  <si>
    <t>CONSTRUÇÃO DE RAMAIS ORDEM 299000198877</t>
  </si>
  <si>
    <t>260000002045</t>
  </si>
  <si>
    <t>CONSTRUÇÃO DE RAMAIS ORDEM 299000198878</t>
  </si>
  <si>
    <t>260000002046</t>
  </si>
  <si>
    <t>CONSTRUÇÃO DE RAMAIS ORDEM 299000198879</t>
  </si>
  <si>
    <t>260000002047</t>
  </si>
  <si>
    <t>CONSTRUÇÃO DE RAMAIS ORDEM 299000198886</t>
  </si>
  <si>
    <t>260000002048</t>
  </si>
  <si>
    <t>CONSTRUÇÃO DE RAMAIS ORDEM 299000198887</t>
  </si>
  <si>
    <t>260000002049</t>
  </si>
  <si>
    <t>CONSTRUÇÃO DE RAMAIS ORDEM 299000198889</t>
  </si>
  <si>
    <t>260000002050</t>
  </si>
  <si>
    <t>CONSTRUÇÃO DE RAMAIS ORDEM 299000198892</t>
  </si>
  <si>
    <t>260000002051</t>
  </si>
  <si>
    <t>CONSTRUÇÃO DE RAMAIS ORDEM 299000198893</t>
  </si>
  <si>
    <t>260000002052</t>
  </si>
  <si>
    <t>CONSTRUÇÃO DE RAMAIS ORDEM 299000198894</t>
  </si>
  <si>
    <t>260000002053</t>
  </si>
  <si>
    <t>CONSTRUÇÃO DE RAMAIS ORDEM 299000200133</t>
  </si>
  <si>
    <t>260000002054</t>
  </si>
  <si>
    <t>CONSTRUÇÃO DE RAMAIS ORDEM 299000200134</t>
  </si>
  <si>
    <t>260000002055</t>
  </si>
  <si>
    <t>CONSTRUÇÃO DE RAMAIS ORDEM 299000200135</t>
  </si>
  <si>
    <t>260000002056</t>
  </si>
  <si>
    <t>CONSTRUÇÃO DE RAMAIS ORDEM 299000200136</t>
  </si>
  <si>
    <t>260000002057</t>
  </si>
  <si>
    <t>CONSTRUÇÃO DE RAMAIS ORDEM 299000200137</t>
  </si>
  <si>
    <t>260000002058</t>
  </si>
  <si>
    <t>CONSTRUÇÃO DE RAMAIS ORDEM 299000200138</t>
  </si>
  <si>
    <t>260000002059</t>
  </si>
  <si>
    <t>CONSTRUÇÃO DE RAMAIS ORDEM 299000200355</t>
  </si>
  <si>
    <t>260000002061</t>
  </si>
  <si>
    <t>CONSTRUÇÃO DE RAMAIS ORDEM 299000200357</t>
  </si>
  <si>
    <t>260000002062</t>
  </si>
  <si>
    <t>CONSTRUÇÃO DE RAMAIS ORDEM 299000200363</t>
  </si>
  <si>
    <t>260000002063</t>
  </si>
  <si>
    <t>CONSTRUÇÃO DE RAMAIS ORDEM 299000200364</t>
  </si>
  <si>
    <t>260000002064</t>
  </si>
  <si>
    <t>CONSTRUÇÃO DE RAMAIS ORDEM 299000200367</t>
  </si>
  <si>
    <t>260000002066</t>
  </si>
  <si>
    <t>CONSTRUÇÃO DE RAMAIS ORDEM 299000208966(GOR)</t>
  </si>
  <si>
    <t>270000000473</t>
  </si>
  <si>
    <t>CONSTRUÇÃO DE ERM ORDEM 299000191903</t>
  </si>
  <si>
    <t>270000000474</t>
  </si>
  <si>
    <t>CONSTRUÇÃO DE ERM ORDEM 299000198917</t>
  </si>
  <si>
    <t>270000000475</t>
  </si>
  <si>
    <t>CONSTRUÇÃO DE ERM ORDEM 299000200025</t>
  </si>
  <si>
    <t>270000000476</t>
  </si>
  <si>
    <t>CONSTRUÇÃO DE ERM ORDEM 299000200026</t>
  </si>
  <si>
    <t>270000000477</t>
  </si>
  <si>
    <t>CONSTRUÇÃO DE ERM ORDEM 299000200027</t>
  </si>
  <si>
    <t>270000000478</t>
  </si>
  <si>
    <t>CONSTRUÇÃO DE ERM ORDEM 299000200028</t>
  </si>
  <si>
    <t>270000000479</t>
  </si>
  <si>
    <t>CONSTRUÇÃO DE ERM ORDEM 299000200029</t>
  </si>
  <si>
    <t>270000000480</t>
  </si>
  <si>
    <t>CONSTRUÇÃO DE ERM ORDEM 299000200030</t>
  </si>
  <si>
    <t>270000000481</t>
  </si>
  <si>
    <t>CONSTRUÇÃO DE ERM ORDEM 299000200031</t>
  </si>
  <si>
    <t>270000000482</t>
  </si>
  <si>
    <t>CONSTRUÇÃO DE ERM ORDEM 299000200032</t>
  </si>
  <si>
    <t>270000000483</t>
  </si>
  <si>
    <t>CONSTRUÇÃO DE ERM ORDEM 299000200033</t>
  </si>
  <si>
    <t>270000000484</t>
  </si>
  <si>
    <t>CONSTRUÇÃO DE ERM ORDEM 299000200034</t>
  </si>
  <si>
    <t>270000000485</t>
  </si>
  <si>
    <t>CONSTRUÇÃO DE ERM ORDEM 299000200035</t>
  </si>
  <si>
    <t>270000000486</t>
  </si>
  <si>
    <t>CONSTRUÇÃO DE ERM ORDEM 299000200036</t>
  </si>
  <si>
    <t>270000000487</t>
  </si>
  <si>
    <t>CONSTRUÇÃO DE ERM ORDEM 299000200038</t>
  </si>
  <si>
    <t>270000000488</t>
  </si>
  <si>
    <t>CONSTRUÇÃO DE ERM ORDEM 299000200039</t>
  </si>
  <si>
    <t>270000000489</t>
  </si>
  <si>
    <t>CONSTRUÇÃO DE ERM ORDEM 299000200040</t>
  </si>
  <si>
    <t>300000000403</t>
  </si>
  <si>
    <t>INSTALAÇÕES AUX. DE REDE ORDEM 299000191906</t>
  </si>
  <si>
    <t>300000000404</t>
  </si>
  <si>
    <t>INSTALAÇÕES AUX. DE REDE ORDEM 299000191907</t>
  </si>
  <si>
    <t>300000000405</t>
  </si>
  <si>
    <t>INSTALAÇÕES AUX. DE REDE ORDEM 299000191924</t>
  </si>
  <si>
    <t>300000000406</t>
  </si>
  <si>
    <t>INSTALAÇÕES AUX. DE REDE ORDEM 299000191928</t>
  </si>
  <si>
    <t>300000000407</t>
  </si>
  <si>
    <t>INSTALAÇÕES AUX. DE REDE ORDEM 299000191946</t>
  </si>
  <si>
    <t>300000000408</t>
  </si>
  <si>
    <t>INSTALAÇÕES AUX. DE REDE ORDEM 299000191963</t>
  </si>
  <si>
    <t>300000000409</t>
  </si>
  <si>
    <t>INSTALAÇÕES AUX. DE REDE ORDEM 299000191964</t>
  </si>
  <si>
    <t>300000000410</t>
  </si>
  <si>
    <t>INSTALAÇÕES AUX. DE REDE ORDEM 299000191966</t>
  </si>
  <si>
    <t>300000000411</t>
  </si>
  <si>
    <t>INSTALAÇÕES AUX. DE REDE ORDEM 299000191982</t>
  </si>
  <si>
    <t>300000000412</t>
  </si>
  <si>
    <t>INSTALAÇÕES AUX. DE REDE ORDEM 299000192013</t>
  </si>
  <si>
    <t>300000000413</t>
  </si>
  <si>
    <t>INSTALAÇÕES AUX. DE REDE ORDEM 299000192039</t>
  </si>
  <si>
    <t>300000000414</t>
  </si>
  <si>
    <t>INSTALAÇÕES AUX. DE REDE ORDEM 299000192863</t>
  </si>
  <si>
    <t>300000000415</t>
  </si>
  <si>
    <t>INSTALAÇÕES AUX. DE REDE ORDEM 299000198967</t>
  </si>
  <si>
    <t>300000000416</t>
  </si>
  <si>
    <t>INSTALAÇÕES AUX. DE REDE ORDEM 299000198968</t>
  </si>
  <si>
    <t>300000000417</t>
  </si>
  <si>
    <t>INSTALAÇÕES AUX. DE REDE ORDEM 299000198969</t>
  </si>
  <si>
    <t>300000000418</t>
  </si>
  <si>
    <t>INSTALAÇÕES AUX. DE REDE ORDEM 299000198970</t>
  </si>
  <si>
    <t>300000000419</t>
  </si>
  <si>
    <t>INSTALAÇÕES AUX. DE REDE ORDEM 299000198971</t>
  </si>
  <si>
    <t>300000000420</t>
  </si>
  <si>
    <t>INSTALAÇÕES AUX. DE REDE ORDEM 299000199721</t>
  </si>
  <si>
    <t>300000000421</t>
  </si>
  <si>
    <t>INSTALAÇÕES AUX. DE REDE ORDEM 299000200042</t>
  </si>
  <si>
    <t>300000000422</t>
  </si>
  <si>
    <t>INSTALAÇÕES AUX. DE REDE ORDEM 299000200043</t>
  </si>
  <si>
    <t>300000000423</t>
  </si>
  <si>
    <t>INSTALAÇÕES AUX. DE REDE ORDEM 299000200044</t>
  </si>
  <si>
    <t>300000000424</t>
  </si>
  <si>
    <t>INSTALAÇÕES AUX. DE REDE ORDEM 299000200045</t>
  </si>
  <si>
    <t>300000000425</t>
  </si>
  <si>
    <t>INSTALAÇÕES AUX. DE REDE ORDEM 299000200046</t>
  </si>
  <si>
    <t>300000000426</t>
  </si>
  <si>
    <t>INSTALAÇÕES AUX. DE REDE ORDEM 299000200047</t>
  </si>
  <si>
    <t>300000000427</t>
  </si>
  <si>
    <t>INSTALAÇÕES AUX. DE REDE ORDEM 299000200048</t>
  </si>
  <si>
    <t>300000000428</t>
  </si>
  <si>
    <t>INSTALAÇÕES AUX. DE REDE ORDEM 299000200049</t>
  </si>
  <si>
    <t>300000000429</t>
  </si>
  <si>
    <t>INSTALAÇÕES AUX. DE REDE ORDEM 299000200050</t>
  </si>
  <si>
    <t>300000000430</t>
  </si>
  <si>
    <t>INSTALAÇÕES AUX. DE REDE ORDEM 299000200051</t>
  </si>
  <si>
    <t>300000000431</t>
  </si>
  <si>
    <t>INSTALAÇÕES AUX. DE REDE ORDEM 299000200155</t>
  </si>
  <si>
    <t>300000000432</t>
  </si>
  <si>
    <t>INSTALAÇÕES AUX. DE REDE ORDEM 299000200157</t>
  </si>
  <si>
    <t>300000000433</t>
  </si>
  <si>
    <t>INSTALAÇÕES AUX. DE REDE ORDEM 299000200158</t>
  </si>
  <si>
    <t>300000000434</t>
  </si>
  <si>
    <t>INSTALAÇÕES AUX. DE REDE ORDEM 299000200160</t>
  </si>
  <si>
    <t>300000000435</t>
  </si>
  <si>
    <t>INSTALAÇÕES AUX. DE REDE ORDEM 299000200161</t>
  </si>
  <si>
    <t>300000000436</t>
  </si>
  <si>
    <t>INSTALAÇÕES AUX. DE REDE ORDEM 299000200171</t>
  </si>
  <si>
    <t>300000000437</t>
  </si>
  <si>
    <t>INSTALAÇÕES AUX. DE REDE ORDEM 299000200174</t>
  </si>
  <si>
    <t>300000000438</t>
  </si>
  <si>
    <t>INSTALAÇÕES AUX. DE REDE ORDEM 299000200177</t>
  </si>
  <si>
    <t>300000000439</t>
  </si>
  <si>
    <t>INSTALAÇÕES AUX. DE REDE ORDEM 299000200189</t>
  </si>
  <si>
    <t>300000000440</t>
  </si>
  <si>
    <t>INSTALAÇÕES AUX. DE REDE ORDEM 299000200190</t>
  </si>
  <si>
    <t>300000000441</t>
  </si>
  <si>
    <t>INSTALAÇÕES AUX. DE REDE ORDEM 299000200195</t>
  </si>
  <si>
    <t>300000000442</t>
  </si>
  <si>
    <t>INSTALAÇÕES AUX. DE REDE ORDEM 299000200196</t>
  </si>
  <si>
    <t>300000000443</t>
  </si>
  <si>
    <t>INSTALAÇÕES AUX. DE REDE ORDEM 299000200209</t>
  </si>
  <si>
    <t>300000000444</t>
  </si>
  <si>
    <t>INSTALAÇÕES AUX. DE REDE ORDEM 299000200213</t>
  </si>
  <si>
    <t>300000000445</t>
  </si>
  <si>
    <t>INSTALAÇÕES AUX. DE REDE ORDEM 299000200225</t>
  </si>
  <si>
    <t>300000000446</t>
  </si>
  <si>
    <t>INSTALAÇÕES AUX. DE REDE ORDEM 299000200227</t>
  </si>
  <si>
    <t>300000000447</t>
  </si>
  <si>
    <t>INSTALAÇÕES AUX. DE REDE ORDEM 299000200232</t>
  </si>
  <si>
    <t>300000000448</t>
  </si>
  <si>
    <t>INSTALAÇÕES AUX. DE REDE ORDEM 299000200248</t>
  </si>
  <si>
    <t>300000000449</t>
  </si>
  <si>
    <t>INSTALAÇÕES AUX. DE REDE ORDEM 299000200370</t>
  </si>
  <si>
    <t>300000000450</t>
  </si>
  <si>
    <t>INSTALAÇÕES AUX. DE REDE ORDEM 299000200371</t>
  </si>
  <si>
    <t>300000000451</t>
  </si>
  <si>
    <t>INSTALAÇÕES AUX. DE REDE ORDEM 299000201415</t>
  </si>
  <si>
    <t>300000000452</t>
  </si>
  <si>
    <t>INSTALAÇÕES AUX. DE REDE ORDEM 299000201422</t>
  </si>
  <si>
    <t>300000000453</t>
  </si>
  <si>
    <t>INSTALAÇÕES AUX. DE REDE ORDEM 299000201431</t>
  </si>
  <si>
    <t>300000000454</t>
  </si>
  <si>
    <t>INSTALAÇÕES AUX. DE REDE ORDEM 299000201438</t>
  </si>
  <si>
    <t>300000000455</t>
  </si>
  <si>
    <t>INSTALAÇÕES AUX. DE REDE ORDEM 299000201445</t>
  </si>
  <si>
    <t>300000000456</t>
  </si>
  <si>
    <t>INSTALAÇÕES AUX. DE REDE ORDEM 299000201447</t>
  </si>
  <si>
    <t>320000000368</t>
  </si>
  <si>
    <t>INSTALAÇÕES COMUNITÁRIAS ORDEM 299000191062</t>
  </si>
  <si>
    <t>320000000369</t>
  </si>
  <si>
    <t>INSTALAÇÕES COMUNITÁRIAS ORDEM 299000191065</t>
  </si>
  <si>
    <t>320000000370</t>
  </si>
  <si>
    <t>INSTALAÇÕES COMUNITÁRIAS ORDEM 299000191073</t>
  </si>
  <si>
    <t>320000000371</t>
  </si>
  <si>
    <t>INSTALAÇÕES COMUNITÁRIAS ORDEM 299000191075</t>
  </si>
  <si>
    <t>320000000372</t>
  </si>
  <si>
    <t>INSTALAÇÕES COMUNITÁRIAS ORDEM 299000191086</t>
  </si>
  <si>
    <t>320000000373</t>
  </si>
  <si>
    <t>INSTALAÇÕES COMUNITÁRIAS ORDEM 299000191092</t>
  </si>
  <si>
    <t>320000000374</t>
  </si>
  <si>
    <t>INSTALAÇÕES COMUNITÁRIAS ORDEM 299000191093</t>
  </si>
  <si>
    <t>320000000375</t>
  </si>
  <si>
    <t>INSTALAÇÕES COMUNITÁRIAS ORDEM 299000192079</t>
  </si>
  <si>
    <t>320000000376</t>
  </si>
  <si>
    <t>INSTALAÇÕES COMUNITÁRIAS ORDEM 299000192089</t>
  </si>
  <si>
    <t>320000000377</t>
  </si>
  <si>
    <t>INSTALAÇÕES COMUNITÁRIAS ORDEM 299000192090</t>
  </si>
  <si>
    <t>320000000378</t>
  </si>
  <si>
    <t>INSTALAÇÕES COMUNITÁRIAS ORDEM 299000192092</t>
  </si>
  <si>
    <t>320000000379</t>
  </si>
  <si>
    <t>INSTALAÇÕES COMUNITÁRIAS ORDEM 299000192095</t>
  </si>
  <si>
    <t>320000000380</t>
  </si>
  <si>
    <t>INSTALAÇÕES COMUNITÁRIAS ORDEM 299000192096</t>
  </si>
  <si>
    <t>320000000381</t>
  </si>
  <si>
    <t>INSTALAÇÕES COMUNITÁRIAS ORDEM 299000198914</t>
  </si>
  <si>
    <t>320000000382</t>
  </si>
  <si>
    <t>INSTALAÇÕES COMUNITÁRIAS ORDEM 299000198919</t>
  </si>
  <si>
    <t>320000000383</t>
  </si>
  <si>
    <t>INSTALAÇÕES COMUNITÁRIAS ORDEM 299000199729</t>
  </si>
  <si>
    <t>320000000384</t>
  </si>
  <si>
    <t>INSTALAÇÕES COMUNITÁRIAS ORDEM 299000199730</t>
  </si>
  <si>
    <t>320000000385</t>
  </si>
  <si>
    <t>INSTALAÇÕES COMUNITÁRIAS ORDEM 299000199731</t>
  </si>
  <si>
    <t>320000000386</t>
  </si>
  <si>
    <t>INSTALAÇÕES COMUNITÁRIAS ORDEM 299000199732</t>
  </si>
  <si>
    <t>320000000387</t>
  </si>
  <si>
    <t>INSTALAÇÕES COMUNITÁRIAS ORDEM 299000199733</t>
  </si>
  <si>
    <t>320000000388</t>
  </si>
  <si>
    <t>INSTALAÇÕES COMUNITÁRIAS ORDEM 299000199943</t>
  </si>
  <si>
    <t>320000000389</t>
  </si>
  <si>
    <t>INSTALAÇÕES COMUNITÁRIAS ORDEM 299000199944</t>
  </si>
  <si>
    <t>320000000390</t>
  </si>
  <si>
    <t>INSTALAÇÕES COMUNITÁRIAS ORDEM 299000199948</t>
  </si>
  <si>
    <t>320000000391</t>
  </si>
  <si>
    <t>INSTALAÇÕES COMUNITÁRIAS ORDEM 299000199952</t>
  </si>
  <si>
    <t>320000000392</t>
  </si>
  <si>
    <t>INSTALAÇÕES COMUNITÁRIAS ORDEM 299000199953</t>
  </si>
  <si>
    <t>320000000393</t>
  </si>
  <si>
    <t>INSTALAÇÕES COMUNITÁRIAS ORDEM 299000199954</t>
  </si>
  <si>
    <t>320000000394</t>
  </si>
  <si>
    <t>INSTALAÇÕES COMUNITÁRIAS ORDEM 299000199955</t>
  </si>
  <si>
    <t>320000000395</t>
  </si>
  <si>
    <t>INSTALAÇÕES COMUNITÁRIAS ORDEM 299000199956</t>
  </si>
  <si>
    <t>320000000396</t>
  </si>
  <si>
    <t>INSTALAÇÕES COMUNITÁRIAS ORDEM 299000199963</t>
  </si>
  <si>
    <t>320000000397</t>
  </si>
  <si>
    <t>INSTALAÇÕES COMUNITÁRIAS ORDEM 299000199965</t>
  </si>
  <si>
    <t>320000000398</t>
  </si>
  <si>
    <t>INSTALAÇÕES COMUNITÁRIAS ORDEM 299000199966</t>
  </si>
  <si>
    <t>320000000399</t>
  </si>
  <si>
    <t>INSTALAÇÕES COMUNITÁRIAS ORDEM 299000199967</t>
  </si>
  <si>
    <t>320000000400</t>
  </si>
  <si>
    <t>INSTALAÇÕES COMUNITÁRIAS ORDEM 299000199968</t>
  </si>
  <si>
    <t>320000000401</t>
  </si>
  <si>
    <t>INSTALAÇÕES COMUNITÁRIAS ORDEM 299000199975</t>
  </si>
  <si>
    <t>320000000402</t>
  </si>
  <si>
    <t>INSTALAÇÕES COMUNITÁRIAS ORDEM 299000199976</t>
  </si>
  <si>
    <t>320000000403</t>
  </si>
  <si>
    <t>INSTALAÇÕES COMUNITÁRIAS ORDEM 299000199981</t>
  </si>
  <si>
    <t>320000000404</t>
  </si>
  <si>
    <t>INSTALAÇÕES COMUNITÁRIAS ORDEM 299000199983</t>
  </si>
  <si>
    <t>320000000405</t>
  </si>
  <si>
    <t>INSTALAÇÕES COMUNITÁRIAS ORDEM 299000199985</t>
  </si>
  <si>
    <t>320000000406</t>
  </si>
  <si>
    <t>INSTALAÇÕES COMUNITÁRIAS ORDEM 299000199991</t>
  </si>
  <si>
    <t>320000000407</t>
  </si>
  <si>
    <t>INSTALAÇÕES COMUNITÁRIAS ORDEM 299000199992</t>
  </si>
  <si>
    <t>320000000408</t>
  </si>
  <si>
    <t>INSTALAÇÕES COMUNITÁRIAS ORDEM 299000199994</t>
  </si>
  <si>
    <t>320000000409</t>
  </si>
  <si>
    <t>INSTALAÇÕES COMUNITÁRIAS ORDEM 299000199995</t>
  </si>
  <si>
    <t>320000000410</t>
  </si>
  <si>
    <t>INSTALAÇÕES COMUNITÁRIAS ORDEM 299000199996</t>
  </si>
  <si>
    <t>320000000411</t>
  </si>
  <si>
    <t>INSTALAÇÕES COMUNITÁRIAS ORDEM 299000199997</t>
  </si>
  <si>
    <t>360000000174</t>
  </si>
  <si>
    <t>339000000011</t>
  </si>
  <si>
    <t>Benfeitorias em Propr. de Terceiros</t>
  </si>
  <si>
    <t>360000000179</t>
  </si>
  <si>
    <t>360000000181</t>
  </si>
  <si>
    <t>360000000183</t>
  </si>
  <si>
    <t>Estação de Odorização do Gas Alta Todos os Mercado</t>
  </si>
  <si>
    <t>360000000184</t>
  </si>
  <si>
    <t>740000000207</t>
  </si>
  <si>
    <t>NUEVOS ABONADOS - GOR -INDUSTRIAL</t>
  </si>
  <si>
    <t>760000000056</t>
  </si>
  <si>
    <t>309000000130</t>
  </si>
  <si>
    <t>INSTALAÇÕES AUX DE REDE MÉDIA INDUSTRIAL</t>
  </si>
  <si>
    <t>240000002769</t>
  </si>
  <si>
    <t>CONSTRUÇÃO DE REDE MP ORDEM 299000206287(GOR)</t>
  </si>
  <si>
    <t>M00001</t>
  </si>
  <si>
    <t>240000002770</t>
  </si>
  <si>
    <t>CONSTRUÇÃO DE REDE MP ORDEM 299000212089(GOR)</t>
  </si>
  <si>
    <t>B00004</t>
  </si>
  <si>
    <t>260000002067</t>
  </si>
  <si>
    <t>CONSTRUÇÃO DE RAMAIS ORDEM 299000211263(GOR)</t>
  </si>
  <si>
    <t>P00012</t>
  </si>
  <si>
    <t>260000002068</t>
  </si>
  <si>
    <t>CONSTRUÇÃO DE RAMAIS ORDEM 299000206349(GOR)</t>
  </si>
  <si>
    <t>260000002069</t>
  </si>
  <si>
    <t>CONSTRUÇÃO DE RAMAIS ORDEM 299000211821(GOR)</t>
  </si>
  <si>
    <t>C00001</t>
  </si>
  <si>
    <t>740000000224</t>
  </si>
  <si>
    <t>MANUTENÇÃO DE REDE MÉDIA TODOS OS MERCADOS</t>
  </si>
  <si>
    <t>240000002771</t>
  </si>
  <si>
    <t>CONSTRUÇÃO DE REDE MP ORDEM 299000206284 (GOR)</t>
  </si>
  <si>
    <t>260000002070</t>
  </si>
  <si>
    <t>CONSTRUÇÃO DE RAMAIS ORDEM 299000207436 (GOR)</t>
  </si>
  <si>
    <t>260000002071</t>
  </si>
  <si>
    <t>CONSTRUÇÃO DE RAMAIS ORDEM 299000207437 (GOR)</t>
  </si>
  <si>
    <t>R00008</t>
  </si>
  <si>
    <t>240000002772</t>
  </si>
  <si>
    <t>CONSTRUÇÃO DE REDE MP ORDEM 299000201111 (GOR)</t>
  </si>
  <si>
    <t>240000002773</t>
  </si>
  <si>
    <t>CONSTRUÇÃO DE REDE MP ORDEM 299000207155 (GOR)</t>
  </si>
  <si>
    <t>C00003</t>
  </si>
  <si>
    <t>260000002072</t>
  </si>
  <si>
    <t>CONSTRUÇÃO DE RAMAIS ORDEM 299000198867</t>
  </si>
  <si>
    <t>260000002073</t>
  </si>
  <si>
    <t>CONSTRUÇÃO DE RAMAIS ORDEM 299000198868</t>
  </si>
  <si>
    <t>260000002074</t>
  </si>
  <si>
    <t>CONSTRUÇÃO DE RAMAIS ORDEM 299000198872</t>
  </si>
  <si>
    <t>260000002075</t>
  </si>
  <si>
    <t>CONSTRUÇÃO DE RAMAIS ORDEM 299000198873</t>
  </si>
  <si>
    <t>260000002076</t>
  </si>
  <si>
    <t>CONSTRUÇÃO DE RAMAIS ORDEM 299000198875</t>
  </si>
  <si>
    <t>260000002077</t>
  </si>
  <si>
    <t>CONSTRUÇÃO DE RAMAIS ORDEM 299000200356</t>
  </si>
  <si>
    <t>310000000445</t>
  </si>
  <si>
    <t>740000000225</t>
  </si>
  <si>
    <t>Resende (Puesto Pinheirinho de Resende)</t>
  </si>
  <si>
    <t>R00010</t>
  </si>
  <si>
    <t>309000000120</t>
  </si>
  <si>
    <t>Instalações Aux de Rede Outros Alta e Media Indust</t>
  </si>
  <si>
    <t>Demanda - Resultados</t>
  </si>
  <si>
    <t>CEG RIO- m³/ano</t>
  </si>
  <si>
    <t>Faixas de Consumo</t>
  </si>
  <si>
    <t>Domestico Residencial</t>
  </si>
  <si>
    <t>0 - 7</t>
  </si>
  <si>
    <t>8 - 23</t>
  </si>
  <si>
    <t>24 - 83</t>
  </si>
  <si>
    <t>acima de  83</t>
  </si>
  <si>
    <t>Domestico Residencial Social MCMV</t>
  </si>
  <si>
    <t>Residencial Social MCMV</t>
  </si>
  <si>
    <t>Comercial Comercial</t>
  </si>
  <si>
    <t>0 - 200</t>
  </si>
  <si>
    <t>201 - 500</t>
  </si>
  <si>
    <t>501 - 2.000</t>
  </si>
  <si>
    <t>2001 - 20.000</t>
  </si>
  <si>
    <t>20.001 - 50.000</t>
  </si>
  <si>
    <t>acima de 50.000</t>
  </si>
  <si>
    <t>Comercial Climatização</t>
  </si>
  <si>
    <t>201 - 5.000</t>
  </si>
  <si>
    <t>5.001 - 20.000</t>
  </si>
  <si>
    <t>20.001 - 70.000</t>
  </si>
  <si>
    <t>70.001 - 120.000</t>
  </si>
  <si>
    <t>120.001 - 300.000</t>
  </si>
  <si>
    <t>300.001 - 600.000</t>
  </si>
  <si>
    <t>600.001 - 1.500.000</t>
  </si>
  <si>
    <t>acima de 1.500.000</t>
  </si>
  <si>
    <t>Comercial Cogeração</t>
  </si>
  <si>
    <t>Comercial Geração Distribuída</t>
  </si>
  <si>
    <t>GNV GNV</t>
  </si>
  <si>
    <t>faixa única</t>
  </si>
  <si>
    <t>GNV GNV Transporte Público</t>
  </si>
  <si>
    <t>Industrial Industrial</t>
  </si>
  <si>
    <t>201 - 2.000</t>
  </si>
  <si>
    <t>2.001 - 10.000</t>
  </si>
  <si>
    <t>10.001 - 50.000</t>
  </si>
  <si>
    <t>50.001 - 100.000</t>
  </si>
  <si>
    <t>100.001 - 300.000</t>
  </si>
  <si>
    <t>1.500.001 - 3.000.000</t>
  </si>
  <si>
    <t>acima de 3.000.000</t>
  </si>
  <si>
    <t>200 - 2000</t>
  </si>
  <si>
    <t>2.000 - 10.000</t>
  </si>
  <si>
    <t>1.500.000 - 3.000.000</t>
  </si>
  <si>
    <t>acima de 100.000</t>
  </si>
  <si>
    <t>Domestico GLP Residencial</t>
  </si>
  <si>
    <t>GLP Residencial</t>
  </si>
  <si>
    <t>GLP Industrial</t>
  </si>
  <si>
    <t>fórmula</t>
  </si>
  <si>
    <t>Térmicas - CL, AI, AP</t>
  </si>
  <si>
    <t>Petroquímico - CL, AI, AP</t>
  </si>
  <si>
    <t>Salineira Livre</t>
  </si>
  <si>
    <t>Barrilhista Livre</t>
  </si>
  <si>
    <t>-</t>
  </si>
  <si>
    <t>CEG RIO- Clientes</t>
  </si>
  <si>
    <t>acima de 83</t>
  </si>
  <si>
    <t>Residencial MCMV</t>
  </si>
  <si>
    <t>2.001 - 20.000</t>
  </si>
  <si>
    <t>Resume Volume</t>
  </si>
  <si>
    <t>CEG RIO - m³/ano</t>
  </si>
  <si>
    <t>Histórico</t>
  </si>
  <si>
    <t>Projetado</t>
  </si>
  <si>
    <t>Segmento</t>
  </si>
  <si>
    <t>Var % 2024-2027</t>
  </si>
  <si>
    <t>Demanda - Inputs e Cálculos auxiliares</t>
  </si>
  <si>
    <t>Projeção do volume total</t>
  </si>
  <si>
    <t>BRR</t>
  </si>
  <si>
    <t>BRR INICIAL</t>
  </si>
  <si>
    <t>Base Bruta</t>
  </si>
  <si>
    <t xml:space="preserve">  Cap Inicial</t>
  </si>
  <si>
    <t xml:space="preserve">  Imobilizado (DFs)</t>
  </si>
  <si>
    <t xml:space="preserve">  Baixas</t>
  </si>
  <si>
    <t>Dep Acumulada</t>
  </si>
  <si>
    <t>Dep do exercicio</t>
  </si>
  <si>
    <t>Base Líquida</t>
  </si>
  <si>
    <t>dep inv</t>
  </si>
  <si>
    <t>Cálculo Subinvestimento para Relatório da 5ª RTI:</t>
  </si>
  <si>
    <t>Balanço entre valores de investimentos deliberados e realizados (2018 a 2022)</t>
  </si>
  <si>
    <t>A</t>
  </si>
  <si>
    <t>B</t>
  </si>
  <si>
    <t>C</t>
  </si>
  <si>
    <t>= A - B - C</t>
  </si>
  <si>
    <t xml:space="preserve">  Imobilizado (DFs) Milhões R$</t>
  </si>
  <si>
    <t>R$ dez21</t>
  </si>
  <si>
    <t>R$ dez16</t>
  </si>
  <si>
    <r>
      <rPr>
        <b/>
        <sz val="11"/>
        <color rgb="FFFFFF00"/>
        <rFont val="FS Emeric"/>
      </rPr>
      <t>CEG RIO</t>
    </r>
    <r>
      <rPr>
        <b/>
        <sz val="11"/>
        <color theme="0"/>
        <rFont val="FS Emeric"/>
      </rPr>
      <t xml:space="preserve"> - CAPEX (mil.R$/ano) - Moeda Corrente</t>
    </r>
  </si>
  <si>
    <t>Estações de ERM's e GNC's</t>
  </si>
  <si>
    <t>TOTAL INVESTIMENTOS</t>
  </si>
  <si>
    <t>ANO</t>
  </si>
  <si>
    <t>IGPM</t>
  </si>
  <si>
    <r>
      <rPr>
        <b/>
        <sz val="11"/>
        <color rgb="FFFFFF00"/>
        <rFont val="FS Emeric"/>
      </rPr>
      <t>CEG RIO</t>
    </r>
    <r>
      <rPr>
        <b/>
        <sz val="11"/>
        <color theme="0"/>
        <rFont val="FS Emeric"/>
      </rPr>
      <t xml:space="preserve"> - CAPEX (mil.R$/ano) - Moeda Dez/16</t>
    </r>
  </si>
  <si>
    <t>Pesos</t>
  </si>
  <si>
    <t>INVESTIMENTOS</t>
  </si>
  <si>
    <t>Investimentos</t>
  </si>
  <si>
    <t>Inv. Total</t>
  </si>
  <si>
    <t>OPEX</t>
  </si>
  <si>
    <t>OPEX (mil.R$/ano) - Moeda Dez 2021</t>
  </si>
  <si>
    <t>TOTAL OPEX</t>
  </si>
  <si>
    <t>1- Aluguéis</t>
  </si>
  <si>
    <t>Média de últimos 4 anos</t>
  </si>
  <si>
    <t>2- Manutenção e Conservação</t>
  </si>
  <si>
    <t>Extensão de rede (km)</t>
  </si>
  <si>
    <t>2.1- Bens Imóveis e Construções</t>
  </si>
  <si>
    <t>2.2- Equipamento de Informática</t>
  </si>
  <si>
    <t>2.3- Veículos</t>
  </si>
  <si>
    <t>2.4- Instalações Técnicas</t>
  </si>
  <si>
    <t>2.5- Outro Imobilizado</t>
  </si>
  <si>
    <t>3- Utilidades e Serviços</t>
  </si>
  <si>
    <t>3.1- Utilidades e Serviços</t>
  </si>
  <si>
    <t>3.2- Serviços Gerais</t>
  </si>
  <si>
    <t xml:space="preserve">4- Serviços Corporativos, Centrales e Associações </t>
  </si>
  <si>
    <t>Clientes (#)</t>
  </si>
  <si>
    <t>4.1- Serviços Corporativos</t>
  </si>
  <si>
    <t>4.2- Cotas de Associações</t>
  </si>
  <si>
    <t>5- Serviços Profissionais Independentes</t>
  </si>
  <si>
    <t xml:space="preserve">Auditoria para Conta Grafica, Auditoria Contábil, Auditoria taxa agenersa, Gastos de serviços jurídicos.
Base de Ativos ASSET, Base de Ativos QUANTUM
 </t>
  </si>
  <si>
    <t>5.1- Auditorias</t>
  </si>
  <si>
    <t>5.3- Jurídicos</t>
  </si>
  <si>
    <t>5.4- Outros Serviços</t>
  </si>
  <si>
    <t>6- Publicidade, Propaganda e Relações Públicas</t>
  </si>
  <si>
    <t>7- Seguros</t>
  </si>
  <si>
    <t>8- Despesas de Viagem, Transporte e Fretes</t>
  </si>
  <si>
    <t>8.1- Despesas de Viagem</t>
  </si>
  <si>
    <t>8.2- Transportes e Fretes</t>
  </si>
  <si>
    <t>9- Gastos de Atividade Comercial</t>
  </si>
  <si>
    <t>10- Gastos Serviço a Cliente</t>
  </si>
  <si>
    <t>10.1- Leitura de Medidores e Envio de Faturas</t>
  </si>
  <si>
    <t>10.2- Gestão de Serviço de Corte e Cobrança</t>
  </si>
  <si>
    <t>10.4- Serviços de Teleatendimento</t>
  </si>
  <si>
    <t>10.5- Controle de Qualidade de Leitura, Inspeções e Outras</t>
  </si>
  <si>
    <t>10.6- Custo de Atendimento ao Cliente</t>
  </si>
  <si>
    <t>11- Outros Serviços Exteriores</t>
  </si>
  <si>
    <t>11.1- Subscrições, documentos e Outros Serviços</t>
  </si>
  <si>
    <t>11.2- Colaborações Externas</t>
  </si>
  <si>
    <t>11.3- Outros serviços externos não detalhados</t>
  </si>
  <si>
    <t>12- Outros Gastos de Exploração</t>
  </si>
  <si>
    <t>13- Gastos para GNC</t>
  </si>
  <si>
    <t>14- Perdas de Gás</t>
  </si>
  <si>
    <t>Volume (mil m3/dia)</t>
  </si>
  <si>
    <t>15- Outros</t>
  </si>
  <si>
    <t>15.1- Tributos</t>
  </si>
  <si>
    <t>15.2- Fundos Estaduais - FEEF / FOT</t>
  </si>
  <si>
    <t>15- Pessoal</t>
  </si>
  <si>
    <t>16- Provisões</t>
  </si>
  <si>
    <t>Aba Inadimplência</t>
  </si>
  <si>
    <t>17- Gastos com Odorizante</t>
  </si>
  <si>
    <t>CEG RIO (R$) - Acumulado e Atualizado pela Taxa Selic</t>
  </si>
  <si>
    <t>Montante a Receber do Consumidor</t>
  </si>
  <si>
    <t>Posição Dez/21
 Moeda Dez/21</t>
  </si>
  <si>
    <t>Posição Dez/23 (moeda Dez/21)</t>
  </si>
  <si>
    <t>Mercado Cativo Gás Natural</t>
  </si>
  <si>
    <t>Mercado Cativo GLP</t>
  </si>
  <si>
    <t>Dez22~Dez21</t>
  </si>
  <si>
    <t>Mercado Livre Termelétrico</t>
  </si>
  <si>
    <t>Mercado Cativo Termelétrico</t>
  </si>
  <si>
    <t>Subtotal 1</t>
  </si>
  <si>
    <t>Posição Dez/22
 Moeda Dez/22</t>
  </si>
  <si>
    <t>Subtotal 2</t>
  </si>
  <si>
    <t>Mercado (ano regulatório)</t>
  </si>
  <si>
    <t>Mercado Cativo (ano regulatório)</t>
  </si>
  <si>
    <t>Mercado Livre (ano regulatório)</t>
  </si>
  <si>
    <t xml:space="preserve">Unidade: </t>
  </si>
  <si>
    <t>Milhares de  M³</t>
  </si>
  <si>
    <t>Segmento tarifário</t>
  </si>
  <si>
    <t>Faixa tarifária</t>
  </si>
  <si>
    <t>MÍN</t>
  </si>
  <si>
    <t>MAX</t>
  </si>
  <si>
    <t>Usuários com Distribuição da concessionária</t>
  </si>
  <si>
    <t>01 1</t>
  </si>
  <si>
    <t>Residencial - Medição Individual</t>
  </si>
  <si>
    <t>01 2</t>
  </si>
  <si>
    <t>01 3</t>
  </si>
  <si>
    <t>01 4</t>
  </si>
  <si>
    <t>02 1</t>
  </si>
  <si>
    <t>Residencial - Medição Coletiva</t>
  </si>
  <si>
    <t>02 2</t>
  </si>
  <si>
    <t>02 3</t>
  </si>
  <si>
    <t>02 4</t>
  </si>
  <si>
    <t>03 1</t>
  </si>
  <si>
    <t>03 2</t>
  </si>
  <si>
    <t>03 3</t>
  </si>
  <si>
    <t>03 4</t>
  </si>
  <si>
    <t>03 5</t>
  </si>
  <si>
    <t>03 6</t>
  </si>
  <si>
    <t>04 1</t>
  </si>
  <si>
    <t>04 2</t>
  </si>
  <si>
    <t>04 3</t>
  </si>
  <si>
    <t>04 4</t>
  </si>
  <si>
    <t>04 5</t>
  </si>
  <si>
    <t>04 6</t>
  </si>
  <si>
    <t>04 7</t>
  </si>
  <si>
    <t>04 8</t>
  </si>
  <si>
    <t>04 9</t>
  </si>
  <si>
    <t>05 1</t>
  </si>
  <si>
    <t>05 2</t>
  </si>
  <si>
    <t>05 3</t>
  </si>
  <si>
    <t>05 4</t>
  </si>
  <si>
    <t>05 5</t>
  </si>
  <si>
    <t>05 6</t>
  </si>
  <si>
    <t>05 7</t>
  </si>
  <si>
    <t>05 8</t>
  </si>
  <si>
    <t>05 9</t>
  </si>
  <si>
    <t>06 1</t>
  </si>
  <si>
    <t>06 2</t>
  </si>
  <si>
    <t>06 3</t>
  </si>
  <si>
    <t>06 4</t>
  </si>
  <si>
    <t>06 5</t>
  </si>
  <si>
    <t>06 6</t>
  </si>
  <si>
    <t>06 7</t>
  </si>
  <si>
    <t>06 8</t>
  </si>
  <si>
    <t>06 9</t>
  </si>
  <si>
    <t>07 1</t>
  </si>
  <si>
    <t>08 1</t>
  </si>
  <si>
    <t>10 1</t>
  </si>
  <si>
    <t>10 2</t>
  </si>
  <si>
    <t>10 3</t>
  </si>
  <si>
    <t>10 4</t>
  </si>
  <si>
    <t>10 5</t>
  </si>
  <si>
    <t>10 6</t>
  </si>
  <si>
    <t>10 7</t>
  </si>
  <si>
    <t>10 8</t>
  </si>
  <si>
    <t>10 9</t>
  </si>
  <si>
    <t>10 10</t>
  </si>
  <si>
    <t>11 1</t>
  </si>
  <si>
    <t>11 2</t>
  </si>
  <si>
    <t>11 3</t>
  </si>
  <si>
    <t>11 4</t>
  </si>
  <si>
    <t>11 5</t>
  </si>
  <si>
    <t>11 6</t>
  </si>
  <si>
    <t>11 7</t>
  </si>
  <si>
    <t>11 8</t>
  </si>
  <si>
    <t>11 9</t>
  </si>
  <si>
    <t>11 10</t>
  </si>
  <si>
    <t>09 1</t>
  </si>
  <si>
    <t>12 1</t>
  </si>
  <si>
    <t>13 1</t>
  </si>
  <si>
    <t>16 1</t>
  </si>
  <si>
    <t>14 1</t>
  </si>
  <si>
    <t>14 2</t>
  </si>
  <si>
    <t>14 3</t>
  </si>
  <si>
    <t>14 4</t>
  </si>
  <si>
    <t>14 5</t>
  </si>
  <si>
    <t>14 6</t>
  </si>
  <si>
    <t>14 7</t>
  </si>
  <si>
    <t>14 8</t>
  </si>
  <si>
    <t>14 9</t>
  </si>
  <si>
    <t>14 10</t>
  </si>
  <si>
    <t>15 1</t>
  </si>
  <si>
    <t>20 1</t>
  </si>
  <si>
    <t>Salineria</t>
  </si>
  <si>
    <t>20 2</t>
  </si>
  <si>
    <t>20 3</t>
  </si>
  <si>
    <t>20 4</t>
  </si>
  <si>
    <t>20 5</t>
  </si>
  <si>
    <t>20 6</t>
  </si>
  <si>
    <t>20 7</t>
  </si>
  <si>
    <t>20 8</t>
  </si>
  <si>
    <t>20 9</t>
  </si>
  <si>
    <t>20 10</t>
  </si>
  <si>
    <t>21 1</t>
  </si>
  <si>
    <t>21 2</t>
  </si>
  <si>
    <t>21 3</t>
  </si>
  <si>
    <t>21 4</t>
  </si>
  <si>
    <t>21 5</t>
  </si>
  <si>
    <t>21 6</t>
  </si>
  <si>
    <t>22 1</t>
  </si>
  <si>
    <t>22 2</t>
  </si>
  <si>
    <t>22 3</t>
  </si>
  <si>
    <t>22 4</t>
  </si>
  <si>
    <t>22 5</t>
  </si>
  <si>
    <t>22 6</t>
  </si>
  <si>
    <t>22 7</t>
  </si>
  <si>
    <t>22 8</t>
  </si>
  <si>
    <t>22 9</t>
  </si>
  <si>
    <t>22 10</t>
  </si>
  <si>
    <t>23 1</t>
  </si>
  <si>
    <t>Salineria - CL, AI, AP</t>
  </si>
  <si>
    <t>23 2</t>
  </si>
  <si>
    <t>23 3</t>
  </si>
  <si>
    <t>23 4</t>
  </si>
  <si>
    <t>23 5</t>
  </si>
  <si>
    <t>23 6</t>
  </si>
  <si>
    <t>23 7</t>
  </si>
  <si>
    <t>23 8</t>
  </si>
  <si>
    <t>23 9</t>
  </si>
  <si>
    <t>23 10</t>
  </si>
  <si>
    <t>24 1</t>
  </si>
  <si>
    <t>Barrilhista - CL, AI, AP</t>
  </si>
  <si>
    <t>24 2</t>
  </si>
  <si>
    <t>24 3</t>
  </si>
  <si>
    <t>24 4</t>
  </si>
  <si>
    <t>24 5</t>
  </si>
  <si>
    <t>24 6</t>
  </si>
  <si>
    <t>24 7</t>
  </si>
  <si>
    <t>24 8</t>
  </si>
  <si>
    <t>24 9</t>
  </si>
  <si>
    <t>24 10</t>
  </si>
  <si>
    <t>Volume Sem Termica</t>
  </si>
  <si>
    <t>Volume Termica</t>
  </si>
  <si>
    <t>Volume Total</t>
  </si>
  <si>
    <t>Unidades Usuárias</t>
  </si>
  <si>
    <t>Usuários Sem Termica</t>
  </si>
  <si>
    <t>Usuários Termica</t>
  </si>
  <si>
    <t>Usuários Total</t>
  </si>
  <si>
    <t>MARGEM VIGENTE (01-01-25)</t>
  </si>
  <si>
    <t>MARGEM RT (01-12-21)</t>
  </si>
  <si>
    <t>Proposta EC</t>
  </si>
  <si>
    <t>AJUSTE - margen ajustada (01-12-21)</t>
  </si>
  <si>
    <t>TARIFA VIGENTE COM TRIBUTOS (01-01-25)</t>
  </si>
  <si>
    <t>TARIFA COM TRIBUTOS (01-12-21)</t>
  </si>
  <si>
    <t>01</t>
  </si>
  <si>
    <t>Ajuste residencial</t>
  </si>
  <si>
    <t>independente</t>
  </si>
  <si>
    <t>Classes</t>
  </si>
  <si>
    <t>Volume</t>
  </si>
  <si>
    <t>Termos</t>
  </si>
  <si>
    <t>Fixo em R$</t>
  </si>
  <si>
    <t>Var.(marg) R$/m³</t>
  </si>
  <si>
    <t xml:space="preserve"> Residencial Social MCMV</t>
  </si>
  <si>
    <t>02</t>
  </si>
  <si>
    <t>Residencial - Medição coletiva</t>
  </si>
  <si>
    <t>03</t>
  </si>
  <si>
    <t>04</t>
  </si>
  <si>
    <t>Gás Natural Veicular</t>
  </si>
  <si>
    <t>Cogeração e Climatização</t>
  </si>
  <si>
    <t xml:space="preserve"> Geração Distribuída</t>
  </si>
  <si>
    <t>Matéria Prima</t>
  </si>
  <si>
    <t>cascata</t>
  </si>
  <si>
    <t>08</t>
  </si>
  <si>
    <t xml:space="preserve"> Petroquímico</t>
  </si>
  <si>
    <t>09</t>
  </si>
  <si>
    <t>12</t>
  </si>
  <si>
    <t>13</t>
  </si>
  <si>
    <t>14</t>
  </si>
  <si>
    <t>Petroquímico Livre</t>
  </si>
  <si>
    <t>15</t>
  </si>
  <si>
    <t>Termica</t>
  </si>
  <si>
    <t>Livre</t>
  </si>
  <si>
    <t>Cativo</t>
  </si>
  <si>
    <t>Salineira livre</t>
  </si>
  <si>
    <t>Variavel em Milhares de R$</t>
  </si>
  <si>
    <t>Total em Milhares de R$</t>
  </si>
  <si>
    <t>Com tarifa completa --&gt;</t>
  </si>
  <si>
    <t>Min</t>
  </si>
  <si>
    <t>Max</t>
  </si>
  <si>
    <t>TOTAL sem Térmicas</t>
  </si>
  <si>
    <t>[Milhares R$]</t>
  </si>
  <si>
    <t>Vendas Fixo</t>
  </si>
  <si>
    <t>Vendas Variavel</t>
  </si>
  <si>
    <t>Vendas Totais</t>
  </si>
  <si>
    <t>m</t>
  </si>
  <si>
    <t>Valores [Milhares R$]</t>
  </si>
  <si>
    <t>Objetivo [Milhares R$]</t>
  </si>
  <si>
    <t>Vendas Fixo (Sem Term)</t>
  </si>
  <si>
    <t>Vendas Variavel (Sem Term)</t>
  </si>
  <si>
    <t>Vendas Totais (Sem Term)</t>
  </si>
  <si>
    <t>VendasTérmicas</t>
  </si>
  <si>
    <t>Vendas Totais (Sem Term e Res)</t>
  </si>
  <si>
    <t>Vendas objetivos (Sem Term)</t>
  </si>
  <si>
    <t>Vendas Residencial objetivo</t>
  </si>
  <si>
    <t>fechar modelo</t>
  </si>
  <si>
    <t>Vendas Res vigentes</t>
  </si>
  <si>
    <t>com tarifas atuais</t>
  </si>
  <si>
    <t>Ajuste proporcional</t>
  </si>
  <si>
    <t>INADIMPLÊNCIA</t>
  </si>
  <si>
    <t>Inadimplência (mil.R$/ano) - Moeda Dez 2021</t>
  </si>
  <si>
    <t>Segmentos</t>
  </si>
  <si>
    <t>TOTAL Inadimplência</t>
  </si>
  <si>
    <t>Indicador 2-12</t>
  </si>
  <si>
    <t>Inadimplência %</t>
  </si>
  <si>
    <t>Média 2021-2024 (%)</t>
  </si>
  <si>
    <t>Vendas por segmento com tributos (R$ mil - moeda dez 21)</t>
  </si>
  <si>
    <t>Fonte: Excel "Morosidade RTI 2018 A 2025 CEG e CEG RIO"</t>
  </si>
  <si>
    <t>Indicador 6-60</t>
  </si>
  <si>
    <t>Órgão Publico</t>
  </si>
  <si>
    <t>Comercial +
Órgão Publico</t>
  </si>
  <si>
    <t>RECEITAS/DESPESAS CORRELATAS</t>
  </si>
  <si>
    <t>Receitas/Despesas Correlatas (mil.R$/ano) - Moeda Dez 2021</t>
  </si>
  <si>
    <t>Atividades correlatas com impato na margem</t>
  </si>
  <si>
    <t>DATA</t>
  </si>
  <si>
    <t>NÚMERO ÍNDICE IGPM</t>
  </si>
  <si>
    <t>(DEZ 93 = 100)</t>
  </si>
  <si>
    <t>Maio 25 - Dez 27 - Baseado em projeções de inflação interanuais do PN fornecido pela CEG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</si>
</sst>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3" formatCode="_-* #,##0.00_-;\-* #,##0.00_-;_-* &quot;-&quot;??_-;_-@_-"/>
    <numFmt numFmtId="164" formatCode="&quot;R$&quot;\ #,##0.00;[Red]\-&quot;R$&quot;\ #,##0.00"/>
    <numFmt numFmtId="165" formatCode="#,##0.0"/>
    <numFmt numFmtId="166" formatCode="0.0%"/>
    <numFmt numFmtId="167" formatCode="_(* #,##0.00_);_(* \(#,##0.00\);_(* &quot;-&quot;??_);_(@_)"/>
    <numFmt numFmtId="168" formatCode="#,##0.0000"/>
    <numFmt numFmtId="169" formatCode="#,##0.000000"/>
    <numFmt numFmtId="170" formatCode="_-* #,##0_-;\-* #,##0_-;_-* &quot;-&quot;??_-;_-@_-"/>
    <numFmt numFmtId="171" formatCode="#,##0;\-#,##0;"/>
    <numFmt numFmtId="172" formatCode="_-#,##0_-;\-#,##0_-;_-&quot;-&quot;??_-;_-@_-"/>
    <numFmt numFmtId="173" formatCode="0.0000"/>
    <numFmt numFmtId="174" formatCode="_-* #,##0.0_-;\-* #,##0.0_-;_-* &quot;-&quot;??_-;_-@_-"/>
    <numFmt numFmtId="175" formatCode="[$-C0A]mmm\-yy;@"/>
    <numFmt numFmtId="176" formatCode="_-* #,##0.0000_-;\-* #,##0.0000_-;_-* &quot;-&quot;??_-;_-@_-"/>
    <numFmt numFmtId="177" formatCode="_-* #,##0.00000\ _€_-;\-* #,##0.00000\ _€_-;_-* &quot;-&quot;?????\ _€_-;_-@_-"/>
    <numFmt numFmtId="178" formatCode="[$-416]mmm\-yy;@"/>
    <numFmt numFmtId="179" formatCode="#,##0_ ;[Red]\-#,##0\ "/>
    <numFmt numFmtId="180" formatCode="#,##0_ ;\-#,##0\ "/>
    <numFmt numFmtId="181" formatCode="_-* #,##0.00\ _€_-;\-* #,##0.00\ _€_-;_-* &quot;-&quot;??\ _€_-;_-@_-"/>
    <numFmt numFmtId="182" formatCode="_-* #,##0.000_-;\-* #,##0.000_-;_-* &quot;-&quot;??_-;_-@_-"/>
    <numFmt numFmtId="183" formatCode="#,##0;\-#,##0;\-;\-"/>
    <numFmt numFmtId="184" formatCode="_-* #,##0.0_-;\-* #,##0.0_-;_-* &quot;-&quot;?_-;_-@_-"/>
    <numFmt numFmtId="185" formatCode="_(* #,##0_);_(* \(#,##0\);_(* &quot;-&quot;??_);_(@_)"/>
    <numFmt numFmtId="186" formatCode="#,##0.00;\-#,##0.00;\-;\-"/>
    <numFmt numFmtId="187" formatCode="#,##0.000"/>
    <numFmt numFmtId="188" formatCode="#,##0.00;\-#,##0.00;"/>
    <numFmt numFmtId="189" formatCode="_-* #,##0.0000_-;\-* #,##0.0000_-;_-* &quot;-&quot;????_-;_-@_-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FS Emeric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FS Emeric"/>
    </font>
    <font>
      <sz val="10"/>
      <color rgb="FF000000"/>
      <name val="Times New Roman"/>
      <family val="1"/>
    </font>
    <font>
      <b/>
      <sz val="10"/>
      <color theme="0"/>
      <name val="FS Emeric"/>
    </font>
    <font>
      <sz val="10"/>
      <color theme="1"/>
      <name val="Arial"/>
      <family val="2"/>
    </font>
    <font>
      <b/>
      <sz val="10"/>
      <name val="FS Emeric"/>
    </font>
    <font>
      <sz val="12"/>
      <color theme="1"/>
      <name val="FS Emeric"/>
    </font>
    <font>
      <sz val="12"/>
      <name val="FS Emeric"/>
    </font>
    <font>
      <b/>
      <sz val="12"/>
      <name val="FS Emeric"/>
    </font>
    <font>
      <b/>
      <sz val="10"/>
      <color rgb="FFC00000"/>
      <name val="FS Emeric"/>
    </font>
    <font>
      <b/>
      <sz val="10"/>
      <color rgb="FFFF0000"/>
      <name val="FS Emeric"/>
    </font>
    <font>
      <b/>
      <sz val="11"/>
      <color rgb="FFC00000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9"/>
      <color theme="0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9"/>
      <color theme="1"/>
      <name val="Times New Roman"/>
      <family val="1"/>
    </font>
    <font>
      <b/>
      <sz val="9"/>
      <name val="Times New Roman"/>
      <family val="1"/>
    </font>
    <font>
      <sz val="9"/>
      <color rgb="FFFF0000"/>
      <name val="Times New Roman"/>
      <family val="1"/>
    </font>
    <font>
      <b/>
      <u/>
      <sz val="9"/>
      <color theme="1"/>
      <name val="Times New Roman"/>
      <family val="1"/>
    </font>
    <font>
      <b/>
      <i/>
      <sz val="9"/>
      <color theme="4" tint="-0.249977111117893"/>
      <name val="Times New Roman"/>
      <family val="1"/>
    </font>
    <font>
      <b/>
      <i/>
      <sz val="9"/>
      <color theme="5" tint="-0.249977111117893"/>
      <name val="Times New Roman"/>
      <family val="1"/>
    </font>
    <font>
      <i/>
      <sz val="9"/>
      <color theme="1"/>
      <name val="Times New Roman"/>
      <family val="1"/>
    </font>
    <font>
      <i/>
      <sz val="9"/>
      <name val="Times New Roman"/>
      <family val="1"/>
    </font>
    <font>
      <i/>
      <sz val="9"/>
      <color rgb="FFFF0000"/>
      <name val="Times New Roman"/>
      <family val="1"/>
    </font>
    <font>
      <b/>
      <sz val="9"/>
      <color rgb="FFFFFFFF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theme="0"/>
      <name val="Times New Roman"/>
      <family val="1"/>
    </font>
    <font>
      <b/>
      <sz val="10"/>
      <name val="Courier New"/>
      <family val="3"/>
    </font>
    <font>
      <sz val="8"/>
      <name val="Courier New"/>
      <family val="3"/>
    </font>
    <font>
      <sz val="11"/>
      <color theme="3" tint="9.9978637043366805E-2"/>
      <name val="Calibri"/>
      <family val="2"/>
      <scheme val="minor"/>
    </font>
    <font>
      <sz val="10"/>
      <color theme="0"/>
      <name val="FS Emeric"/>
    </font>
    <font>
      <i/>
      <u/>
      <sz val="9"/>
      <color theme="1"/>
      <name val="Times New Roman"/>
      <family val="1"/>
    </font>
    <font>
      <i/>
      <sz val="7"/>
      <color theme="1"/>
      <name val="Times New Roman"/>
      <family val="1"/>
    </font>
    <font>
      <b/>
      <u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C00000"/>
      <name val="Times New Roman"/>
      <family val="1"/>
    </font>
    <font>
      <sz val="11"/>
      <color theme="1"/>
      <name val="Roboto"/>
      <family val="2"/>
    </font>
    <font>
      <sz val="9"/>
      <color rgb="FF014750"/>
      <name val="Times New Roman"/>
      <family val="1"/>
    </font>
    <font>
      <b/>
      <sz val="9"/>
      <color theme="9"/>
      <name val="Times New Roman"/>
      <family val="1"/>
    </font>
    <font>
      <b/>
      <sz val="9"/>
      <color rgb="FFC00000"/>
      <name val="Times New Roman"/>
      <family val="1"/>
    </font>
    <font>
      <b/>
      <sz val="9"/>
      <color rgb="FF014750"/>
      <name val="Times New Roman"/>
      <family val="1"/>
    </font>
    <font>
      <i/>
      <sz val="11"/>
      <color theme="1"/>
      <name val="FS Emeric"/>
    </font>
    <font>
      <i/>
      <sz val="12"/>
      <name val="FS Emeric"/>
    </font>
    <font>
      <sz val="11"/>
      <color theme="0"/>
      <name val="Calibri"/>
      <family val="2"/>
      <scheme val="minor"/>
    </font>
    <font>
      <sz val="9"/>
      <color theme="7"/>
      <name val="Times New Roman"/>
      <family val="1"/>
    </font>
    <font>
      <b/>
      <sz val="8"/>
      <color rgb="FFFFFFFF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i/>
      <sz val="8"/>
      <color rgb="FF000000"/>
      <name val="Arial"/>
      <family val="2"/>
    </font>
    <font>
      <sz val="9"/>
      <color theme="1"/>
      <name val="Arial"/>
      <family val="2"/>
    </font>
    <font>
      <sz val="8"/>
      <color rgb="FF000000"/>
      <name val="Arial"/>
      <family val="2"/>
    </font>
    <font>
      <b/>
      <i/>
      <sz val="8"/>
      <color theme="1"/>
      <name val="Arial"/>
      <family val="2"/>
    </font>
    <font>
      <b/>
      <i/>
      <sz val="8"/>
      <color rgb="FF000000"/>
      <name val="Arial"/>
      <family val="2"/>
    </font>
    <font>
      <i/>
      <sz val="8"/>
      <color theme="1"/>
      <name val="Arial"/>
      <family val="2"/>
    </font>
    <font>
      <b/>
      <vertAlign val="superscript"/>
      <sz val="8"/>
      <color rgb="FF000000"/>
      <name val="Arial"/>
      <family val="2"/>
    </font>
    <font>
      <vertAlign val="subscript"/>
      <sz val="10"/>
      <color theme="1"/>
      <name val="Arial"/>
      <family val="2"/>
    </font>
    <font>
      <i/>
      <vertAlign val="subscript"/>
      <sz val="8"/>
      <color theme="1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11.6"/>
      <name val="Arial"/>
      <family val="2"/>
    </font>
    <font>
      <sz val="8"/>
      <color rgb="FF00B050"/>
      <name val="Arial"/>
      <family val="2"/>
    </font>
    <font>
      <b/>
      <sz val="10"/>
      <color theme="1"/>
      <name val="Arial"/>
      <family val="2"/>
    </font>
    <font>
      <sz val="11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0"/>
      <name val="FS Emeric"/>
    </font>
    <font>
      <b/>
      <sz val="11"/>
      <color rgb="FFFFFF00"/>
      <name val="FS Emeric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003D65"/>
      <name val="Calibri"/>
      <family val="2"/>
      <scheme val="minor"/>
    </font>
    <font>
      <b/>
      <sz val="8"/>
      <color rgb="FFC00000"/>
      <name val="Arial"/>
      <family val="2"/>
    </font>
    <font>
      <sz val="11"/>
      <color rgb="FFC00000"/>
      <name val="Calibri"/>
      <family val="2"/>
      <scheme val="minor"/>
    </font>
    <font>
      <b/>
      <sz val="9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u/>
      <sz val="12"/>
      <color rgb="FF0070C0"/>
      <name val="Calibri"/>
      <family val="2"/>
      <scheme val="minor"/>
    </font>
    <font>
      <i/>
      <sz val="10"/>
      <color theme="1"/>
      <name val="Arial"/>
      <family val="2"/>
    </font>
    <font>
      <b/>
      <sz val="6"/>
      <color theme="1"/>
      <name val="Arial"/>
      <family val="2"/>
    </font>
    <font>
      <b/>
      <sz val="6"/>
      <color rgb="FFFFFFFF"/>
      <name val="Arial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9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9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457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E572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E4E9E4"/>
        <bgColor indexed="64"/>
      </patternFill>
    </fill>
    <fill>
      <patternFill patternType="solid">
        <fgColor rgb="FF01475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05496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theme="3" tint="9.9948118533890809E-2"/>
      </left>
      <right style="medium">
        <color theme="0"/>
      </right>
      <top style="medium">
        <color theme="3" tint="9.9948118533890809E-2"/>
      </top>
      <bottom/>
      <diagonal/>
    </border>
    <border>
      <left/>
      <right style="medium">
        <color theme="0"/>
      </right>
      <top style="medium">
        <color theme="3" tint="9.9948118533890809E-2"/>
      </top>
      <bottom/>
      <diagonal/>
    </border>
    <border>
      <left style="thin">
        <color theme="1"/>
      </left>
      <right style="medium">
        <color theme="0"/>
      </right>
      <top style="medium">
        <color theme="3" tint="9.9948118533890809E-2"/>
      </top>
      <bottom/>
      <diagonal/>
    </border>
    <border>
      <left style="thin">
        <color theme="1"/>
      </left>
      <right/>
      <top style="medium">
        <color theme="3" tint="9.9948118533890809E-2"/>
      </top>
      <bottom/>
      <diagonal/>
    </border>
    <border>
      <left style="medium">
        <color theme="3" tint="9.9948118533890809E-2"/>
      </left>
      <right/>
      <top/>
      <bottom/>
      <diagonal/>
    </border>
    <border>
      <left style="medium">
        <color theme="3" tint="9.9948118533890809E-2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medium">
        <color theme="3" tint="9.9948118533890809E-2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theme="0"/>
      </left>
      <right style="medium">
        <color theme="3" tint="9.9948118533890809E-2"/>
      </right>
      <top/>
      <bottom/>
      <diagonal/>
    </border>
    <border>
      <left/>
      <right/>
      <top/>
      <bottom style="double">
        <color rgb="FF014750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 style="thin">
        <color rgb="FFE4E9E4"/>
      </left>
      <right style="thin">
        <color rgb="FFE4E9E4"/>
      </right>
      <top style="thin">
        <color rgb="FFE4E9E4"/>
      </top>
      <bottom style="thin">
        <color rgb="FFE4E9E4"/>
      </bottom>
      <diagonal/>
    </border>
    <border>
      <left style="thin">
        <color rgb="FFE4E9E4"/>
      </left>
      <right/>
      <top style="thin">
        <color rgb="FFE4E9E4"/>
      </top>
      <bottom style="thin">
        <color rgb="FFE4E9E4"/>
      </bottom>
      <diagonal/>
    </border>
    <border>
      <left style="thin">
        <color rgb="FFE4E9E4"/>
      </left>
      <right style="thin">
        <color rgb="FFE4E9E4"/>
      </right>
      <top style="thin">
        <color rgb="FFE4E9E4"/>
      </top>
      <bottom/>
      <diagonal/>
    </border>
    <border>
      <left style="thin">
        <color rgb="FFE4E9E4"/>
      </left>
      <right style="thin">
        <color rgb="FFE4E9E4"/>
      </right>
      <top/>
      <bottom style="thin">
        <color rgb="FFE4E9E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rgb="FF000000"/>
      </left>
      <right/>
      <top/>
      <bottom/>
      <diagonal/>
    </border>
  </borders>
  <cellStyleXfs count="5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9" fillId="0" borderId="0"/>
    <xf numFmtId="43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8" fillId="0" borderId="0"/>
    <xf numFmtId="43" fontId="9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5" fillId="0" borderId="0"/>
    <xf numFmtId="0" fontId="9" fillId="0" borderId="0"/>
    <xf numFmtId="0" fontId="1" fillId="0" borderId="0"/>
    <xf numFmtId="0" fontId="5" fillId="0" borderId="0"/>
  </cellStyleXfs>
  <cellXfs count="842">
    <xf numFmtId="0" fontId="0" fillId="0" borderId="0" xfId="0"/>
    <xf numFmtId="2" fontId="0" fillId="0" borderId="0" xfId="0" applyNumberFormat="1"/>
    <xf numFmtId="0" fontId="10" fillId="0" borderId="7" xfId="3" applyFont="1" applyBorder="1" applyAlignment="1">
      <alignment vertical="center"/>
    </xf>
    <xf numFmtId="0" fontId="8" fillId="2" borderId="9" xfId="3" applyFont="1" applyFill="1" applyBorder="1" applyAlignment="1">
      <alignment vertical="center"/>
    </xf>
    <xf numFmtId="0" fontId="8" fillId="2" borderId="12" xfId="3" applyFont="1" applyFill="1" applyBorder="1" applyAlignment="1">
      <alignment horizontal="center" vertical="center" wrapText="1"/>
    </xf>
    <xf numFmtId="0" fontId="6" fillId="0" borderId="10" xfId="3" applyFont="1" applyBorder="1" applyAlignment="1">
      <alignment vertical="center"/>
    </xf>
    <xf numFmtId="0" fontId="10" fillId="0" borderId="9" xfId="16" applyFont="1" applyBorder="1" applyAlignment="1">
      <alignment horizontal="center" vertical="center"/>
    </xf>
    <xf numFmtId="10" fontId="8" fillId="2" borderId="10" xfId="3" applyNumberFormat="1" applyFont="1" applyFill="1" applyBorder="1" applyAlignment="1">
      <alignment horizontal="center" vertical="center" wrapText="1"/>
    </xf>
    <xf numFmtId="0" fontId="2" fillId="0" borderId="0" xfId="3" applyFont="1" applyAlignment="1">
      <alignment vertical="center"/>
    </xf>
    <xf numFmtId="165" fontId="8" fillId="2" borderId="5" xfId="3" applyNumberFormat="1" applyFont="1" applyFill="1" applyBorder="1" applyAlignment="1">
      <alignment vertical="center"/>
    </xf>
    <xf numFmtId="168" fontId="10" fillId="6" borderId="9" xfId="3" applyNumberFormat="1" applyFont="1" applyFill="1" applyBorder="1" applyAlignment="1">
      <alignment vertical="center"/>
    </xf>
    <xf numFmtId="10" fontId="10" fillId="9" borderId="10" xfId="18" applyNumberFormat="1" applyFont="1" applyFill="1" applyBorder="1" applyAlignment="1">
      <alignment vertical="center"/>
    </xf>
    <xf numFmtId="0" fontId="11" fillId="0" borderId="14" xfId="3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10" fontId="10" fillId="0" borderId="8" xfId="4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70" fontId="0" fillId="0" borderId="0" xfId="0" applyNumberFormat="1"/>
    <xf numFmtId="0" fontId="15" fillId="0" borderId="0" xfId="0" applyFont="1"/>
    <xf numFmtId="173" fontId="16" fillId="0" borderId="3" xfId="0" applyNumberFormat="1" applyFont="1" applyBorder="1" applyAlignment="1">
      <alignment horizontal="center" vertical="center"/>
    </xf>
    <xf numFmtId="10" fontId="0" fillId="0" borderId="0" xfId="2" applyNumberFormat="1" applyFont="1"/>
    <xf numFmtId="4" fontId="0" fillId="0" borderId="0" xfId="0" applyNumberFormat="1"/>
    <xf numFmtId="2" fontId="2" fillId="0" borderId="0" xfId="3" applyNumberFormat="1" applyFont="1" applyAlignment="1">
      <alignment vertical="center"/>
    </xf>
    <xf numFmtId="0" fontId="6" fillId="0" borderId="14" xfId="3" applyFont="1" applyBorder="1" applyAlignment="1">
      <alignment vertical="center"/>
    </xf>
    <xf numFmtId="2" fontId="10" fillId="0" borderId="0" xfId="16" applyNumberFormat="1" applyFont="1" applyAlignment="1">
      <alignment horizontal="center" vertical="center"/>
    </xf>
    <xf numFmtId="171" fontId="2" fillId="0" borderId="0" xfId="3" applyNumberFormat="1" applyFont="1" applyAlignment="1">
      <alignment vertical="center"/>
    </xf>
    <xf numFmtId="9" fontId="2" fillId="0" borderId="0" xfId="3" applyNumberFormat="1" applyFont="1" applyAlignment="1">
      <alignment vertical="center"/>
    </xf>
    <xf numFmtId="0" fontId="20" fillId="15" borderId="9" xfId="0" applyFont="1" applyFill="1" applyBorder="1" applyAlignment="1">
      <alignment horizontal="center" vertical="center"/>
    </xf>
    <xf numFmtId="0" fontId="20" fillId="15" borderId="9" xfId="0" applyFont="1" applyFill="1" applyBorder="1" applyAlignment="1">
      <alignment horizontal="center" vertical="center" wrapText="1"/>
    </xf>
    <xf numFmtId="3" fontId="22" fillId="0" borderId="7" xfId="25" applyNumberFormat="1" applyFont="1" applyFill="1" applyBorder="1" applyAlignment="1">
      <alignment horizontal="center" vertical="center"/>
    </xf>
    <xf numFmtId="3" fontId="22" fillId="0" borderId="4" xfId="25" applyNumberFormat="1" applyFont="1" applyFill="1" applyBorder="1" applyAlignment="1">
      <alignment horizontal="center" vertical="center"/>
    </xf>
    <xf numFmtId="3" fontId="22" fillId="0" borderId="5" xfId="25" applyNumberFormat="1" applyFont="1" applyFill="1" applyBorder="1" applyAlignment="1">
      <alignment horizontal="center" vertical="center"/>
    </xf>
    <xf numFmtId="3" fontId="22" fillId="0" borderId="7" xfId="44" applyNumberFormat="1" applyFont="1" applyFill="1" applyBorder="1" applyAlignment="1">
      <alignment horizontal="center" vertical="center"/>
    </xf>
    <xf numFmtId="3" fontId="22" fillId="0" borderId="4" xfId="44" applyNumberFormat="1" applyFont="1" applyFill="1" applyBorder="1" applyAlignment="1">
      <alignment horizontal="center" vertical="center"/>
    </xf>
    <xf numFmtId="3" fontId="22" fillId="0" borderId="5" xfId="44" applyNumberFormat="1" applyFont="1" applyFill="1" applyBorder="1" applyAlignment="1">
      <alignment horizontal="center" vertical="center"/>
    </xf>
    <xf numFmtId="3" fontId="22" fillId="0" borderId="7" xfId="45" applyNumberFormat="1" applyFont="1" applyFill="1" applyBorder="1" applyAlignment="1">
      <alignment horizontal="center" vertical="center"/>
    </xf>
    <xf numFmtId="3" fontId="22" fillId="0" borderId="4" xfId="45" applyNumberFormat="1" applyFont="1" applyFill="1" applyBorder="1" applyAlignment="1">
      <alignment horizontal="center" vertical="center"/>
    </xf>
    <xf numFmtId="3" fontId="22" fillId="0" borderId="7" xfId="46" applyNumberFormat="1" applyFont="1" applyFill="1" applyBorder="1" applyAlignment="1">
      <alignment horizontal="center" vertical="center"/>
    </xf>
    <xf numFmtId="3" fontId="22" fillId="0" borderId="4" xfId="46" applyNumberFormat="1" applyFont="1" applyFill="1" applyBorder="1" applyAlignment="1">
      <alignment horizontal="center" vertical="center"/>
    </xf>
    <xf numFmtId="3" fontId="22" fillId="0" borderId="5" xfId="46" applyNumberFormat="1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3" fontId="22" fillId="0" borderId="9" xfId="47" applyNumberFormat="1" applyFont="1" applyFill="1" applyBorder="1" applyAlignment="1">
      <alignment horizontal="center" vertical="center"/>
    </xf>
    <xf numFmtId="3" fontId="22" fillId="0" borderId="7" xfId="48" applyNumberFormat="1" applyFont="1" applyFill="1" applyBorder="1" applyAlignment="1">
      <alignment horizontal="center" vertical="center"/>
    </xf>
    <xf numFmtId="3" fontId="22" fillId="0" borderId="4" xfId="48" applyNumberFormat="1" applyFont="1" applyFill="1" applyBorder="1" applyAlignment="1">
      <alignment horizontal="center" vertical="center"/>
    </xf>
    <xf numFmtId="3" fontId="22" fillId="0" borderId="5" xfId="48" applyNumberFormat="1" applyFont="1" applyFill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23" fillId="10" borderId="9" xfId="0" applyFont="1" applyFill="1" applyBorder="1" applyAlignment="1">
      <alignment horizontal="center" vertical="center"/>
    </xf>
    <xf numFmtId="3" fontId="24" fillId="10" borderId="9" xfId="49" applyNumberFormat="1" applyFont="1" applyFill="1" applyBorder="1" applyAlignment="1">
      <alignment horizontal="center" vertical="center"/>
    </xf>
    <xf numFmtId="3" fontId="24" fillId="10" borderId="9" xfId="1" applyNumberFormat="1" applyFont="1" applyFill="1" applyBorder="1" applyAlignment="1">
      <alignment vertical="center"/>
    </xf>
    <xf numFmtId="0" fontId="20" fillId="16" borderId="9" xfId="0" applyFont="1" applyFill="1" applyBorder="1" applyAlignment="1">
      <alignment horizontal="center" vertical="center" wrapText="1"/>
    </xf>
    <xf numFmtId="0" fontId="21" fillId="0" borderId="0" xfId="0" applyFont="1"/>
    <xf numFmtId="170" fontId="21" fillId="0" borderId="0" xfId="1" applyNumberFormat="1" applyFont="1"/>
    <xf numFmtId="0" fontId="23" fillId="0" borderId="0" xfId="0" applyFont="1"/>
    <xf numFmtId="0" fontId="23" fillId="12" borderId="0" xfId="0" applyFont="1" applyFill="1"/>
    <xf numFmtId="170" fontId="23" fillId="12" borderId="0" xfId="1" applyNumberFormat="1" applyFont="1" applyFill="1"/>
    <xf numFmtId="170" fontId="21" fillId="0" borderId="0" xfId="0" applyNumberFormat="1" applyFont="1"/>
    <xf numFmtId="9" fontId="21" fillId="0" borderId="0" xfId="2" applyFont="1"/>
    <xf numFmtId="0" fontId="26" fillId="0" borderId="0" xfId="0" applyFont="1"/>
    <xf numFmtId="43" fontId="21" fillId="0" borderId="0" xfId="1" applyFont="1"/>
    <xf numFmtId="3" fontId="21" fillId="0" borderId="0" xfId="0" applyNumberFormat="1" applyFont="1"/>
    <xf numFmtId="0" fontId="21" fillId="3" borderId="0" xfId="0" applyFont="1" applyFill="1"/>
    <xf numFmtId="0" fontId="29" fillId="0" borderId="0" xfId="0" applyFont="1"/>
    <xf numFmtId="0" fontId="21" fillId="0" borderId="0" xfId="0" applyFont="1" applyAlignment="1">
      <alignment horizontal="center"/>
    </xf>
    <xf numFmtId="10" fontId="21" fillId="0" borderId="0" xfId="2" applyNumberFormat="1" applyFont="1"/>
    <xf numFmtId="170" fontId="22" fillId="0" borderId="9" xfId="1" applyNumberFormat="1" applyFont="1" applyBorder="1" applyAlignment="1">
      <alignment vertical="center"/>
    </xf>
    <xf numFmtId="0" fontId="25" fillId="0" borderId="0" xfId="0" applyFont="1"/>
    <xf numFmtId="0" fontId="30" fillId="0" borderId="0" xfId="0" applyFont="1"/>
    <xf numFmtId="3" fontId="23" fillId="0" borderId="0" xfId="0" applyNumberFormat="1" applyFont="1"/>
    <xf numFmtId="0" fontId="23" fillId="0" borderId="2" xfId="0" applyFont="1" applyBorder="1"/>
    <xf numFmtId="170" fontId="23" fillId="0" borderId="2" xfId="1" applyNumberFormat="1" applyFont="1" applyBorder="1"/>
    <xf numFmtId="170" fontId="21" fillId="0" borderId="0" xfId="1" applyNumberFormat="1" applyFont="1" applyFill="1"/>
    <xf numFmtId="170" fontId="23" fillId="0" borderId="2" xfId="1" applyNumberFormat="1" applyFont="1" applyFill="1" applyBorder="1"/>
    <xf numFmtId="0" fontId="9" fillId="0" borderId="0" xfId="16"/>
    <xf numFmtId="0" fontId="31" fillId="0" borderId="0" xfId="0" applyFont="1"/>
    <xf numFmtId="0" fontId="20" fillId="15" borderId="1" xfId="3" applyFont="1" applyFill="1" applyBorder="1" applyAlignment="1">
      <alignment vertical="center"/>
    </xf>
    <xf numFmtId="0" fontId="20" fillId="15" borderId="2" xfId="3" applyFont="1" applyFill="1" applyBorder="1" applyAlignment="1">
      <alignment vertical="center"/>
    </xf>
    <xf numFmtId="0" fontId="32" fillId="15" borderId="14" xfId="0" applyFont="1" applyFill="1" applyBorder="1" applyAlignment="1">
      <alignment vertical="center"/>
    </xf>
    <xf numFmtId="0" fontId="32" fillId="15" borderId="0" xfId="0" applyFont="1" applyFill="1" applyAlignment="1">
      <alignment horizontal="center" vertical="center"/>
    </xf>
    <xf numFmtId="0" fontId="23" fillId="17" borderId="12" xfId="0" applyFont="1" applyFill="1" applyBorder="1" applyAlignment="1">
      <alignment vertical="center"/>
    </xf>
    <xf numFmtId="170" fontId="33" fillId="18" borderId="13" xfId="1" applyNumberFormat="1" applyFont="1" applyFill="1" applyBorder="1" applyAlignment="1">
      <alignment horizontal="right" vertical="center"/>
    </xf>
    <xf numFmtId="0" fontId="23" fillId="17" borderId="14" xfId="0" applyFont="1" applyFill="1" applyBorder="1" applyAlignment="1">
      <alignment vertical="center"/>
    </xf>
    <xf numFmtId="170" fontId="33" fillId="18" borderId="0" xfId="1" applyNumberFormat="1" applyFont="1" applyFill="1" applyAlignment="1">
      <alignment horizontal="right" vertical="center"/>
    </xf>
    <xf numFmtId="0" fontId="33" fillId="19" borderId="9" xfId="0" applyFont="1" applyFill="1" applyBorder="1" applyAlignment="1">
      <alignment vertical="center"/>
    </xf>
    <xf numFmtId="170" fontId="33" fillId="19" borderId="2" xfId="1" applyNumberFormat="1" applyFont="1" applyFill="1" applyBorder="1" applyAlignment="1">
      <alignment horizontal="right" vertical="center"/>
    </xf>
    <xf numFmtId="0" fontId="21" fillId="20" borderId="14" xfId="0" applyFont="1" applyFill="1" applyBorder="1" applyAlignment="1">
      <alignment horizontal="left" vertical="center" indent="2"/>
    </xf>
    <xf numFmtId="0" fontId="32" fillId="8" borderId="0" xfId="0" applyFont="1" applyFill="1" applyAlignment="1">
      <alignment horizontal="center" vertical="center"/>
    </xf>
    <xf numFmtId="170" fontId="34" fillId="20" borderId="0" xfId="1" applyNumberFormat="1" applyFont="1" applyFill="1" applyAlignment="1">
      <alignment horizontal="right" vertical="center"/>
    </xf>
    <xf numFmtId="0" fontId="35" fillId="21" borderId="0" xfId="0" applyFont="1" applyFill="1"/>
    <xf numFmtId="0" fontId="36" fillId="0" borderId="19" xfId="50" applyFont="1" applyBorder="1" applyAlignment="1">
      <alignment horizontal="center"/>
    </xf>
    <xf numFmtId="2" fontId="36" fillId="0" borderId="19" xfId="50" applyNumberFormat="1" applyFont="1" applyBorder="1" applyAlignment="1">
      <alignment horizontal="center"/>
    </xf>
    <xf numFmtId="0" fontId="36" fillId="0" borderId="20" xfId="50" applyFont="1" applyBorder="1" applyAlignment="1">
      <alignment horizontal="center"/>
    </xf>
    <xf numFmtId="2" fontId="36" fillId="0" borderId="21" xfId="50" applyNumberFormat="1" applyFont="1" applyBorder="1" applyAlignment="1">
      <alignment horizontal="center"/>
    </xf>
    <xf numFmtId="17" fontId="37" fillId="0" borderId="22" xfId="50" applyNumberFormat="1" applyFont="1" applyBorder="1" applyAlignment="1">
      <alignment horizontal="center"/>
    </xf>
    <xf numFmtId="2" fontId="37" fillId="0" borderId="19" xfId="50" applyNumberFormat="1" applyFont="1" applyBorder="1" applyAlignment="1">
      <alignment horizontal="right"/>
    </xf>
    <xf numFmtId="2" fontId="37" fillId="0" borderId="19" xfId="51" applyNumberFormat="1" applyFont="1" applyBorder="1" applyAlignment="1">
      <alignment horizontal="right"/>
    </xf>
    <xf numFmtId="175" fontId="21" fillId="0" borderId="0" xfId="0" applyNumberFormat="1" applyFont="1" applyAlignment="1">
      <alignment horizontal="left"/>
    </xf>
    <xf numFmtId="0" fontId="20" fillId="15" borderId="2" xfId="3" applyFont="1" applyFill="1" applyBorder="1" applyAlignment="1">
      <alignment horizontal="center" vertical="center"/>
    </xf>
    <xf numFmtId="0" fontId="20" fillId="21" borderId="0" xfId="0" applyFont="1" applyFill="1" applyAlignment="1">
      <alignment horizontal="center" vertical="center"/>
    </xf>
    <xf numFmtId="176" fontId="31" fillId="0" borderId="0" xfId="0" applyNumberFormat="1" applyFont="1"/>
    <xf numFmtId="177" fontId="31" fillId="0" borderId="0" xfId="0" applyNumberFormat="1" applyFont="1"/>
    <xf numFmtId="0" fontId="19" fillId="0" borderId="0" xfId="0" applyFont="1"/>
    <xf numFmtId="0" fontId="23" fillId="17" borderId="10" xfId="0" applyFont="1" applyFill="1" applyBorder="1" applyAlignment="1">
      <alignment vertical="center"/>
    </xf>
    <xf numFmtId="0" fontId="32" fillId="15" borderId="15" xfId="0" applyFont="1" applyFill="1" applyBorder="1" applyAlignment="1">
      <alignment horizontal="center" vertical="center"/>
    </xf>
    <xf numFmtId="170" fontId="33" fillId="18" borderId="8" xfId="1" applyNumberFormat="1" applyFont="1" applyFill="1" applyBorder="1" applyAlignment="1">
      <alignment horizontal="right" vertical="center"/>
    </xf>
    <xf numFmtId="170" fontId="33" fillId="19" borderId="3" xfId="1" applyNumberFormat="1" applyFont="1" applyFill="1" applyBorder="1" applyAlignment="1">
      <alignment horizontal="right" vertical="center"/>
    </xf>
    <xf numFmtId="0" fontId="33" fillId="19" borderId="1" xfId="0" applyFont="1" applyFill="1" applyBorder="1" applyAlignment="1">
      <alignment vertical="center"/>
    </xf>
    <xf numFmtId="0" fontId="24" fillId="0" borderId="0" xfId="0" applyFont="1" applyAlignment="1">
      <alignment horizontal="right"/>
    </xf>
    <xf numFmtId="0" fontId="25" fillId="3" borderId="0" xfId="0" applyFont="1" applyFill="1"/>
    <xf numFmtId="178" fontId="8" fillId="7" borderId="23" xfId="0" applyNumberFormat="1" applyFont="1" applyFill="1" applyBorder="1" applyAlignment="1">
      <alignment horizontal="center" vertical="center" wrapText="1"/>
    </xf>
    <xf numFmtId="178" fontId="8" fillId="7" borderId="24" xfId="0" applyNumberFormat="1" applyFont="1" applyFill="1" applyBorder="1" applyAlignment="1">
      <alignment horizontal="center" vertical="center" wrapText="1"/>
    </xf>
    <xf numFmtId="178" fontId="8" fillId="7" borderId="25" xfId="0" applyNumberFormat="1" applyFont="1" applyFill="1" applyBorder="1" applyAlignment="1">
      <alignment horizontal="center" vertical="center" wrapText="1"/>
    </xf>
    <xf numFmtId="178" fontId="8" fillId="7" borderId="26" xfId="0" applyNumberFormat="1" applyFont="1" applyFill="1" applyBorder="1" applyAlignment="1">
      <alignment horizontal="center" vertical="center" wrapText="1"/>
    </xf>
    <xf numFmtId="0" fontId="38" fillId="0" borderId="27" xfId="0" applyFont="1" applyBorder="1"/>
    <xf numFmtId="0" fontId="38" fillId="0" borderId="0" xfId="0" applyFont="1"/>
    <xf numFmtId="17" fontId="38" fillId="0" borderId="0" xfId="0" applyNumberFormat="1" applyFont="1"/>
    <xf numFmtId="0" fontId="39" fillId="22" borderId="28" xfId="0" applyFont="1" applyFill="1" applyBorder="1" applyAlignment="1">
      <alignment horizontal="left" vertical="center"/>
    </xf>
    <xf numFmtId="10" fontId="39" fillId="22" borderId="29" xfId="2" applyNumberFormat="1" applyFont="1" applyFill="1" applyBorder="1" applyAlignment="1">
      <alignment horizontal="center" vertical="center"/>
    </xf>
    <xf numFmtId="10" fontId="39" fillId="22" borderId="30" xfId="2" applyNumberFormat="1" applyFont="1" applyFill="1" applyBorder="1" applyAlignment="1">
      <alignment horizontal="center" vertical="center"/>
    </xf>
    <xf numFmtId="0" fontId="39" fillId="22" borderId="31" xfId="0" applyFont="1" applyFill="1" applyBorder="1" applyAlignment="1">
      <alignment horizontal="left" vertical="center"/>
    </xf>
    <xf numFmtId="10" fontId="39" fillId="22" borderId="32" xfId="2" applyNumberFormat="1" applyFont="1" applyFill="1" applyBorder="1" applyAlignment="1">
      <alignment horizontal="center" vertical="center"/>
    </xf>
    <xf numFmtId="10" fontId="39" fillId="22" borderId="33" xfId="2" applyNumberFormat="1" applyFont="1" applyFill="1" applyBorder="1" applyAlignment="1">
      <alignment horizontal="center" vertical="center"/>
    </xf>
    <xf numFmtId="17" fontId="38" fillId="0" borderId="34" xfId="0" applyNumberFormat="1" applyFont="1" applyBorder="1"/>
    <xf numFmtId="0" fontId="40" fillId="0" borderId="0" xfId="0" applyFont="1"/>
    <xf numFmtId="0" fontId="21" fillId="0" borderId="0" xfId="0" applyFont="1" applyAlignment="1">
      <alignment horizontal="center" vertical="center"/>
    </xf>
    <xf numFmtId="170" fontId="23" fillId="13" borderId="0" xfId="0" applyNumberFormat="1" applyFont="1" applyFill="1" applyAlignment="1">
      <alignment horizontal="center"/>
    </xf>
    <xf numFmtId="0" fontId="21" fillId="0" borderId="4" xfId="0" applyFont="1" applyBorder="1"/>
    <xf numFmtId="170" fontId="21" fillId="0" borderId="0" xfId="1" applyNumberFormat="1" applyFont="1" applyBorder="1"/>
    <xf numFmtId="174" fontId="21" fillId="0" borderId="0" xfId="1" applyNumberFormat="1" applyFont="1" applyBorder="1"/>
    <xf numFmtId="0" fontId="20" fillId="23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3" fillId="3" borderId="0" xfId="0" applyFont="1" applyFill="1"/>
    <xf numFmtId="170" fontId="21" fillId="3" borderId="0" xfId="0" applyNumberFormat="1" applyFont="1" applyFill="1"/>
    <xf numFmtId="0" fontId="21" fillId="3" borderId="0" xfId="0" applyFont="1" applyFill="1" applyAlignment="1">
      <alignment horizontal="center"/>
    </xf>
    <xf numFmtId="43" fontId="21" fillId="0" borderId="0" xfId="1" applyFont="1" applyBorder="1"/>
    <xf numFmtId="0" fontId="41" fillId="0" borderId="0" xfId="0" applyFont="1"/>
    <xf numFmtId="0" fontId="21" fillId="0" borderId="0" xfId="0" applyFont="1" applyAlignment="1">
      <alignment horizontal="left" indent="1"/>
    </xf>
    <xf numFmtId="180" fontId="23" fillId="0" borderId="0" xfId="0" applyNumberFormat="1" applyFont="1"/>
    <xf numFmtId="170" fontId="24" fillId="0" borderId="0" xfId="1" applyNumberFormat="1" applyFont="1"/>
    <xf numFmtId="0" fontId="21" fillId="0" borderId="0" xfId="0" applyFont="1" applyAlignment="1">
      <alignment horizontal="left" indent="2"/>
    </xf>
    <xf numFmtId="1" fontId="23" fillId="0" borderId="4" xfId="0" applyNumberFormat="1" applyFont="1" applyBorder="1" applyAlignment="1">
      <alignment horizontal="left" vertical="center" wrapText="1"/>
    </xf>
    <xf numFmtId="1" fontId="23" fillId="0" borderId="4" xfId="0" applyNumberFormat="1" applyFont="1" applyBorder="1" applyAlignment="1">
      <alignment horizontal="left" vertical="center" indent="2"/>
    </xf>
    <xf numFmtId="1" fontId="23" fillId="0" borderId="5" xfId="0" applyNumberFormat="1" applyFont="1" applyBorder="1" applyAlignment="1">
      <alignment horizontal="left" vertical="center" wrapText="1"/>
    </xf>
    <xf numFmtId="1" fontId="23" fillId="0" borderId="5" xfId="0" applyNumberFormat="1" applyFont="1" applyBorder="1" applyAlignment="1">
      <alignment horizontal="left" vertical="center" indent="2"/>
    </xf>
    <xf numFmtId="170" fontId="21" fillId="0" borderId="0" xfId="20" applyNumberFormat="1" applyFont="1" applyFill="1" applyBorder="1" applyAlignment="1">
      <alignment horizontal="center" vertical="center" wrapText="1"/>
    </xf>
    <xf numFmtId="170" fontId="21" fillId="0" borderId="0" xfId="20" applyNumberFormat="1" applyFont="1" applyFill="1" applyBorder="1" applyAlignment="1">
      <alignment horizontal="center" vertical="center"/>
    </xf>
    <xf numFmtId="170" fontId="21" fillId="0" borderId="6" xfId="20" applyNumberFormat="1" applyFont="1" applyFill="1" applyBorder="1" applyAlignment="1">
      <alignment horizontal="center" vertical="center"/>
    </xf>
    <xf numFmtId="0" fontId="22" fillId="0" borderId="0" xfId="0" applyFont="1"/>
    <xf numFmtId="0" fontId="42" fillId="9" borderId="0" xfId="0" applyFont="1" applyFill="1"/>
    <xf numFmtId="0" fontId="32" fillId="15" borderId="12" xfId="0" applyFont="1" applyFill="1" applyBorder="1" applyAlignment="1">
      <alignment horizontal="center" vertical="center"/>
    </xf>
    <xf numFmtId="10" fontId="33" fillId="18" borderId="12" xfId="2" applyNumberFormat="1" applyFont="1" applyFill="1" applyBorder="1" applyAlignment="1">
      <alignment horizontal="right" vertical="center"/>
    </xf>
    <xf numFmtId="10" fontId="33" fillId="18" borderId="14" xfId="2" applyNumberFormat="1" applyFont="1" applyFill="1" applyBorder="1" applyAlignment="1">
      <alignment horizontal="right" vertical="center"/>
    </xf>
    <xf numFmtId="10" fontId="33" fillId="18" borderId="10" xfId="2" applyNumberFormat="1" applyFont="1" applyFill="1" applyBorder="1" applyAlignment="1">
      <alignment horizontal="right" vertical="center"/>
    </xf>
    <xf numFmtId="0" fontId="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70" fontId="34" fillId="0" borderId="0" xfId="1" applyNumberFormat="1" applyFont="1" applyFill="1" applyBorder="1" applyAlignment="1">
      <alignment horizontal="right" vertical="center"/>
    </xf>
    <xf numFmtId="0" fontId="34" fillId="0" borderId="0" xfId="0" applyFont="1" applyAlignment="1">
      <alignment vertical="center"/>
    </xf>
    <xf numFmtId="0" fontId="20" fillId="15" borderId="7" xfId="3" applyFont="1" applyFill="1" applyBorder="1" applyAlignment="1">
      <alignment vertical="center"/>
    </xf>
    <xf numFmtId="0" fontId="32" fillId="15" borderId="7" xfId="0" applyFont="1" applyFill="1" applyBorder="1" applyAlignment="1">
      <alignment horizontal="center" vertical="center"/>
    </xf>
    <xf numFmtId="0" fontId="32" fillId="15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/>
    </xf>
    <xf numFmtId="0" fontId="32" fillId="8" borderId="8" xfId="0" applyFont="1" applyFill="1" applyBorder="1" applyAlignment="1">
      <alignment horizontal="center" vertical="center"/>
    </xf>
    <xf numFmtId="170" fontId="33" fillId="19" borderId="1" xfId="1" applyNumberFormat="1" applyFont="1" applyFill="1" applyBorder="1" applyAlignment="1">
      <alignment horizontal="right" vertical="center"/>
    </xf>
    <xf numFmtId="0" fontId="23" fillId="9" borderId="0" xfId="0" applyFont="1" applyFill="1"/>
    <xf numFmtId="10" fontId="23" fillId="9" borderId="0" xfId="0" applyNumberFormat="1" applyFont="1" applyFill="1"/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70" fontId="25" fillId="9" borderId="0" xfId="1" applyNumberFormat="1" applyFont="1" applyFill="1"/>
    <xf numFmtId="0" fontId="29" fillId="0" borderId="0" xfId="0" quotePrefix="1" applyFont="1"/>
    <xf numFmtId="0" fontId="22" fillId="0" borderId="0" xfId="0" applyFont="1" applyAlignment="1">
      <alignment vertical="center"/>
    </xf>
    <xf numFmtId="3" fontId="22" fillId="0" borderId="12" xfId="0" applyNumberFormat="1" applyFont="1" applyBorder="1" applyAlignment="1">
      <alignment horizontal="center" vertical="center" wrapText="1"/>
    </xf>
    <xf numFmtId="3" fontId="22" fillId="0" borderId="14" xfId="0" applyNumberFormat="1" applyFont="1" applyBorder="1" applyAlignment="1">
      <alignment horizontal="center" vertical="center" wrapText="1"/>
    </xf>
    <xf numFmtId="3" fontId="22" fillId="0" borderId="10" xfId="0" applyNumberFormat="1" applyFont="1" applyBorder="1" applyAlignment="1">
      <alignment horizontal="center" vertical="center" wrapText="1"/>
    </xf>
    <xf numFmtId="3" fontId="22" fillId="0" borderId="9" xfId="0" applyNumberFormat="1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179" fontId="22" fillId="0" borderId="0" xfId="0" applyNumberFormat="1" applyFont="1" applyAlignment="1">
      <alignment vertical="center"/>
    </xf>
    <xf numFmtId="170" fontId="22" fillId="0" borderId="12" xfId="1" applyNumberFormat="1" applyFont="1" applyFill="1" applyBorder="1" applyAlignment="1">
      <alignment vertical="center"/>
    </xf>
    <xf numFmtId="170" fontId="22" fillId="0" borderId="7" xfId="1" applyNumberFormat="1" applyFont="1" applyFill="1" applyBorder="1" applyAlignment="1">
      <alignment vertical="center"/>
    </xf>
    <xf numFmtId="170" fontId="22" fillId="0" borderId="14" xfId="1" applyNumberFormat="1" applyFont="1" applyFill="1" applyBorder="1" applyAlignment="1">
      <alignment vertical="center"/>
    </xf>
    <xf numFmtId="170" fontId="22" fillId="0" borderId="4" xfId="1" applyNumberFormat="1" applyFont="1" applyFill="1" applyBorder="1" applyAlignment="1">
      <alignment vertical="center"/>
    </xf>
    <xf numFmtId="170" fontId="22" fillId="0" borderId="10" xfId="1" applyNumberFormat="1" applyFont="1" applyFill="1" applyBorder="1" applyAlignment="1">
      <alignment vertical="center"/>
    </xf>
    <xf numFmtId="170" fontId="22" fillId="0" borderId="5" xfId="1" applyNumberFormat="1" applyFont="1" applyFill="1" applyBorder="1" applyAlignment="1">
      <alignment vertical="center"/>
    </xf>
    <xf numFmtId="170" fontId="22" fillId="0" borderId="9" xfId="1" applyNumberFormat="1" applyFont="1" applyFill="1" applyBorder="1" applyAlignment="1">
      <alignment vertical="center"/>
    </xf>
    <xf numFmtId="1" fontId="21" fillId="0" borderId="4" xfId="0" applyNumberFormat="1" applyFont="1" applyBorder="1" applyAlignment="1">
      <alignment horizontal="left" vertical="center" wrapText="1"/>
    </xf>
    <xf numFmtId="1" fontId="21" fillId="0" borderId="4" xfId="0" applyNumberFormat="1" applyFont="1" applyBorder="1" applyAlignment="1">
      <alignment horizontal="left" vertical="center" indent="2"/>
    </xf>
    <xf numFmtId="1" fontId="21" fillId="0" borderId="5" xfId="0" applyNumberFormat="1" applyFont="1" applyBorder="1" applyAlignment="1">
      <alignment horizontal="left" vertical="center" wrapText="1"/>
    </xf>
    <xf numFmtId="1" fontId="24" fillId="0" borderId="7" xfId="0" applyNumberFormat="1" applyFont="1" applyBorder="1" applyAlignment="1">
      <alignment horizontal="center" vertical="center"/>
    </xf>
    <xf numFmtId="1" fontId="24" fillId="0" borderId="13" xfId="0" applyNumberFormat="1" applyFont="1" applyBorder="1" applyAlignment="1">
      <alignment horizontal="right" vertical="center"/>
    </xf>
    <xf numFmtId="1" fontId="21" fillId="0" borderId="5" xfId="0" applyNumberFormat="1" applyFont="1" applyBorder="1" applyAlignment="1">
      <alignment horizontal="left" vertical="center" indent="2"/>
    </xf>
    <xf numFmtId="170" fontId="21" fillId="0" borderId="0" xfId="1" applyNumberFormat="1" applyFont="1" applyFill="1" applyBorder="1" applyAlignment="1">
      <alignment horizontal="center" vertical="center" wrapText="1"/>
    </xf>
    <xf numFmtId="170" fontId="7" fillId="0" borderId="0" xfId="1" applyNumberFormat="1" applyFont="1" applyFill="1" applyBorder="1"/>
    <xf numFmtId="170" fontId="7" fillId="0" borderId="6" xfId="1" applyNumberFormat="1" applyFont="1" applyFill="1" applyBorder="1"/>
    <xf numFmtId="0" fontId="44" fillId="0" borderId="0" xfId="52" applyFont="1" applyAlignment="1">
      <alignment horizontal="center" vertical="center"/>
    </xf>
    <xf numFmtId="0" fontId="44" fillId="26" borderId="0" xfId="52" applyFont="1" applyFill="1" applyAlignment="1">
      <alignment horizontal="center" vertical="center"/>
    </xf>
    <xf numFmtId="43" fontId="21" fillId="0" borderId="0" xfId="0" applyNumberFormat="1" applyFont="1"/>
    <xf numFmtId="0" fontId="24" fillId="24" borderId="6" xfId="0" applyFont="1" applyFill="1" applyBorder="1"/>
    <xf numFmtId="0" fontId="24" fillId="24" borderId="6" xfId="0" applyFont="1" applyFill="1" applyBorder="1" applyAlignment="1">
      <alignment horizontal="center"/>
    </xf>
    <xf numFmtId="0" fontId="23" fillId="25" borderId="0" xfId="0" applyFont="1" applyFill="1"/>
    <xf numFmtId="0" fontId="21" fillId="25" borderId="0" xfId="0" applyFont="1" applyFill="1"/>
    <xf numFmtId="170" fontId="23" fillId="25" borderId="0" xfId="1" applyNumberFormat="1" applyFont="1" applyFill="1"/>
    <xf numFmtId="170" fontId="23" fillId="25" borderId="0" xfId="8" applyNumberFormat="1" applyFont="1" applyFill="1"/>
    <xf numFmtId="170" fontId="21" fillId="0" borderId="0" xfId="8" applyNumberFormat="1" applyFont="1"/>
    <xf numFmtId="0" fontId="21" fillId="25" borderId="0" xfId="0" applyFont="1" applyFill="1" applyAlignment="1">
      <alignment horizontal="center" vertical="center"/>
    </xf>
    <xf numFmtId="170" fontId="21" fillId="25" borderId="0" xfId="0" applyNumberFormat="1" applyFont="1" applyFill="1"/>
    <xf numFmtId="43" fontId="21" fillId="0" borderId="0" xfId="1" applyFont="1" applyFill="1"/>
    <xf numFmtId="0" fontId="29" fillId="26" borderId="0" xfId="0" applyFont="1" applyFill="1"/>
    <xf numFmtId="0" fontId="21" fillId="26" borderId="0" xfId="0" applyFont="1" applyFill="1"/>
    <xf numFmtId="170" fontId="23" fillId="26" borderId="0" xfId="1" applyNumberFormat="1" applyFont="1" applyFill="1"/>
    <xf numFmtId="170" fontId="21" fillId="11" borderId="13" xfId="1" applyNumberFormat="1" applyFont="1" applyFill="1" applyBorder="1"/>
    <xf numFmtId="0" fontId="23" fillId="4" borderId="0" xfId="0" applyFont="1" applyFill="1" applyAlignment="1">
      <alignment horizontal="center"/>
    </xf>
    <xf numFmtId="166" fontId="21" fillId="0" borderId="0" xfId="2" applyNumberFormat="1" applyFont="1"/>
    <xf numFmtId="176" fontId="21" fillId="0" borderId="0" xfId="1" applyNumberFormat="1" applyFont="1"/>
    <xf numFmtId="0" fontId="46" fillId="0" borderId="0" xfId="53" applyFont="1"/>
    <xf numFmtId="0" fontId="47" fillId="0" borderId="0" xfId="53" applyFont="1"/>
    <xf numFmtId="0" fontId="47" fillId="0" borderId="35" xfId="53" applyFont="1" applyBorder="1"/>
    <xf numFmtId="4" fontId="47" fillId="0" borderId="35" xfId="53" applyNumberFormat="1" applyFont="1" applyBorder="1"/>
    <xf numFmtId="9" fontId="47" fillId="0" borderId="35" xfId="53" applyNumberFormat="1" applyFont="1" applyBorder="1"/>
    <xf numFmtId="4" fontId="47" fillId="0" borderId="0" xfId="53" applyNumberFormat="1" applyFont="1"/>
    <xf numFmtId="0" fontId="48" fillId="0" borderId="0" xfId="52" quotePrefix="1" applyFont="1" applyAlignment="1">
      <alignment horizontal="center"/>
    </xf>
    <xf numFmtId="0" fontId="49" fillId="0" borderId="0" xfId="52" applyFont="1" applyAlignment="1">
      <alignment horizontal="center" vertical="center"/>
    </xf>
    <xf numFmtId="169" fontId="46" fillId="0" borderId="0" xfId="52" applyNumberFormat="1" applyFont="1" applyAlignment="1">
      <alignment horizontal="center"/>
    </xf>
    <xf numFmtId="4" fontId="44" fillId="0" borderId="0" xfId="53" applyNumberFormat="1" applyFont="1"/>
    <xf numFmtId="0" fontId="44" fillId="0" borderId="0" xfId="52" applyFont="1" applyAlignment="1">
      <alignment horizontal="center"/>
    </xf>
    <xf numFmtId="0" fontId="20" fillId="28" borderId="39" xfId="52" applyFont="1" applyFill="1" applyBorder="1" applyAlignment="1">
      <alignment horizontal="center"/>
    </xf>
    <xf numFmtId="0" fontId="20" fillId="28" borderId="39" xfId="52" applyFont="1" applyFill="1" applyBorder="1"/>
    <xf numFmtId="0" fontId="46" fillId="0" borderId="39" xfId="52" applyFont="1" applyBorder="1" applyAlignment="1">
      <alignment horizontal="center" vertical="center"/>
    </xf>
    <xf numFmtId="3" fontId="46" fillId="0" borderId="39" xfId="52" applyNumberFormat="1" applyFont="1" applyBorder="1" applyAlignment="1">
      <alignment horizontal="center" vertical="center"/>
    </xf>
    <xf numFmtId="4" fontId="46" fillId="0" borderId="39" xfId="52" applyNumberFormat="1" applyFont="1" applyBorder="1" applyAlignment="1">
      <alignment horizontal="center" vertical="center"/>
    </xf>
    <xf numFmtId="169" fontId="46" fillId="0" borderId="39" xfId="52" applyNumberFormat="1" applyFont="1" applyBorder="1" applyAlignment="1">
      <alignment horizontal="center" vertical="center"/>
    </xf>
    <xf numFmtId="168" fontId="46" fillId="0" borderId="39" xfId="52" applyNumberFormat="1" applyFont="1" applyBorder="1" applyAlignment="1">
      <alignment horizontal="center" vertical="center"/>
    </xf>
    <xf numFmtId="4" fontId="46" fillId="0" borderId="40" xfId="52" applyNumberFormat="1" applyFont="1" applyBorder="1" applyAlignment="1">
      <alignment horizontal="center" vertical="center"/>
    </xf>
    <xf numFmtId="9" fontId="47" fillId="0" borderId="9" xfId="53" applyNumberFormat="1" applyFont="1" applyBorder="1" applyAlignment="1">
      <alignment horizontal="center" vertical="center"/>
    </xf>
    <xf numFmtId="0" fontId="46" fillId="0" borderId="0" xfId="52" applyFont="1" applyAlignment="1">
      <alignment horizontal="center"/>
    </xf>
    <xf numFmtId="3" fontId="46" fillId="0" borderId="0" xfId="52" applyNumberFormat="1" applyFont="1" applyAlignment="1">
      <alignment horizontal="center"/>
    </xf>
    <xf numFmtId="4" fontId="46" fillId="0" borderId="0" xfId="52" applyNumberFormat="1" applyFont="1" applyAlignment="1">
      <alignment horizontal="center"/>
    </xf>
    <xf numFmtId="169" fontId="46" fillId="0" borderId="38" xfId="52" applyNumberFormat="1" applyFont="1" applyBorder="1" applyAlignment="1">
      <alignment horizontal="center"/>
    </xf>
    <xf numFmtId="0" fontId="46" fillId="0" borderId="0" xfId="52" applyFont="1" applyAlignment="1">
      <alignment horizontal="center" vertical="center"/>
    </xf>
    <xf numFmtId="3" fontId="46" fillId="0" borderId="0" xfId="52" applyNumberFormat="1" applyFont="1" applyAlignment="1">
      <alignment horizontal="center" vertical="center"/>
    </xf>
    <xf numFmtId="4" fontId="46" fillId="0" borderId="0" xfId="52" applyNumberFormat="1" applyFont="1" applyAlignment="1">
      <alignment horizontal="center" vertical="center"/>
    </xf>
    <xf numFmtId="169" fontId="46" fillId="0" borderId="0" xfId="52" applyNumberFormat="1" applyFont="1" applyAlignment="1">
      <alignment horizontal="center" vertical="center"/>
    </xf>
    <xf numFmtId="0" fontId="44" fillId="0" borderId="0" xfId="53" applyFont="1"/>
    <xf numFmtId="43" fontId="44" fillId="0" borderId="0" xfId="1" applyFont="1"/>
    <xf numFmtId="0" fontId="20" fillId="29" borderId="6" xfId="0" applyFont="1" applyFill="1" applyBorder="1" applyAlignment="1">
      <alignment horizontal="center"/>
    </xf>
    <xf numFmtId="0" fontId="20" fillId="29" borderId="6" xfId="0" applyFont="1" applyFill="1" applyBorder="1" applyAlignment="1">
      <alignment horizontal="center" vertical="center"/>
    </xf>
    <xf numFmtId="0" fontId="20" fillId="16" borderId="6" xfId="0" applyFont="1" applyFill="1" applyBorder="1" applyAlignment="1">
      <alignment horizontal="center" vertical="center"/>
    </xf>
    <xf numFmtId="0" fontId="20" fillId="30" borderId="6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left"/>
    </xf>
    <xf numFmtId="0" fontId="22" fillId="0" borderId="0" xfId="0" applyFont="1" applyAlignment="1">
      <alignment horizontal="right"/>
    </xf>
    <xf numFmtId="3" fontId="34" fillId="0" borderId="6" xfId="0" applyNumberFormat="1" applyFont="1" applyBorder="1"/>
    <xf numFmtId="10" fontId="25" fillId="9" borderId="9" xfId="0" applyNumberFormat="1" applyFont="1" applyFill="1" applyBorder="1" applyAlignment="1">
      <alignment horizontal="right"/>
    </xf>
    <xf numFmtId="180" fontId="25" fillId="9" borderId="0" xfId="0" applyNumberFormat="1" applyFont="1" applyFill="1"/>
    <xf numFmtId="170" fontId="25" fillId="9" borderId="0" xfId="20" applyNumberFormat="1" applyFont="1" applyFill="1" applyBorder="1" applyAlignment="1">
      <alignment horizontal="center" vertical="center"/>
    </xf>
    <xf numFmtId="170" fontId="25" fillId="9" borderId="15" xfId="20" applyNumberFormat="1" applyFont="1" applyFill="1" applyBorder="1" applyAlignment="1">
      <alignment horizontal="center" vertical="center"/>
    </xf>
    <xf numFmtId="170" fontId="25" fillId="9" borderId="6" xfId="20" applyNumberFormat="1" applyFont="1" applyFill="1" applyBorder="1" applyAlignment="1">
      <alignment horizontal="center" vertical="center"/>
    </xf>
    <xf numFmtId="170" fontId="25" fillId="9" borderId="11" xfId="20" applyNumberFormat="1" applyFont="1" applyFill="1" applyBorder="1" applyAlignment="1">
      <alignment horizontal="center" vertical="center"/>
    </xf>
    <xf numFmtId="3" fontId="25" fillId="9" borderId="15" xfId="0" applyNumberFormat="1" applyFont="1" applyFill="1" applyBorder="1"/>
    <xf numFmtId="3" fontId="25" fillId="9" borderId="6" xfId="0" applyNumberFormat="1" applyFont="1" applyFill="1" applyBorder="1"/>
    <xf numFmtId="3" fontId="25" fillId="9" borderId="11" xfId="0" applyNumberFormat="1" applyFont="1" applyFill="1" applyBorder="1"/>
    <xf numFmtId="0" fontId="25" fillId="9" borderId="0" xfId="0" applyFont="1" applyFill="1"/>
    <xf numFmtId="170" fontId="22" fillId="0" borderId="0" xfId="1" applyNumberFormat="1" applyFont="1" applyFill="1"/>
    <xf numFmtId="170" fontId="33" fillId="18" borderId="7" xfId="1" applyNumberFormat="1" applyFont="1" applyFill="1" applyBorder="1" applyAlignment="1">
      <alignment horizontal="right" vertical="center"/>
    </xf>
    <xf numFmtId="170" fontId="33" fillId="18" borderId="4" xfId="1" applyNumberFormat="1" applyFont="1" applyFill="1" applyBorder="1" applyAlignment="1">
      <alignment horizontal="right" vertical="center"/>
    </xf>
    <xf numFmtId="170" fontId="33" fillId="18" borderId="0" xfId="1" applyNumberFormat="1" applyFont="1" applyFill="1" applyBorder="1" applyAlignment="1">
      <alignment horizontal="right" vertical="center"/>
    </xf>
    <xf numFmtId="170" fontId="33" fillId="18" borderId="15" xfId="1" applyNumberFormat="1" applyFont="1" applyFill="1" applyBorder="1" applyAlignment="1">
      <alignment horizontal="right" vertical="center"/>
    </xf>
    <xf numFmtId="1" fontId="23" fillId="0" borderId="7" xfId="0" applyNumberFormat="1" applyFont="1" applyBorder="1" applyAlignment="1">
      <alignment horizontal="left" vertical="center" wrapText="1"/>
    </xf>
    <xf numFmtId="170" fontId="21" fillId="0" borderId="13" xfId="20" applyNumberFormat="1" applyFont="1" applyFill="1" applyBorder="1" applyAlignment="1">
      <alignment horizontal="center" vertical="center" wrapText="1"/>
    </xf>
    <xf numFmtId="170" fontId="25" fillId="9" borderId="13" xfId="20" applyNumberFormat="1" applyFont="1" applyFill="1" applyBorder="1" applyAlignment="1">
      <alignment horizontal="center" vertical="center" wrapText="1"/>
    </xf>
    <xf numFmtId="170" fontId="25" fillId="9" borderId="8" xfId="20" applyNumberFormat="1" applyFont="1" applyFill="1" applyBorder="1" applyAlignment="1">
      <alignment horizontal="center" vertical="center" wrapText="1"/>
    </xf>
    <xf numFmtId="3" fontId="34" fillId="0" borderId="0" xfId="0" applyNumberFormat="1" applyFont="1"/>
    <xf numFmtId="3" fontId="25" fillId="9" borderId="0" xfId="0" applyNumberFormat="1" applyFont="1" applyFill="1"/>
    <xf numFmtId="0" fontId="47" fillId="5" borderId="35" xfId="53" applyFont="1" applyFill="1" applyBorder="1"/>
    <xf numFmtId="9" fontId="47" fillId="5" borderId="35" xfId="53" applyNumberFormat="1" applyFont="1" applyFill="1" applyBorder="1"/>
    <xf numFmtId="43" fontId="47" fillId="5" borderId="35" xfId="1" applyFont="1" applyFill="1" applyBorder="1"/>
    <xf numFmtId="0" fontId="21" fillId="31" borderId="0" xfId="0" applyFont="1" applyFill="1"/>
    <xf numFmtId="170" fontId="21" fillId="31" borderId="0" xfId="0" applyNumberFormat="1" applyFont="1" applyFill="1"/>
    <xf numFmtId="0" fontId="21" fillId="11" borderId="13" xfId="0" applyFont="1" applyFill="1" applyBorder="1"/>
    <xf numFmtId="0" fontId="50" fillId="0" borderId="14" xfId="3" applyFont="1" applyBorder="1" applyAlignment="1">
      <alignment horizontal="left" vertical="center" indent="1"/>
    </xf>
    <xf numFmtId="170" fontId="25" fillId="9" borderId="13" xfId="20" applyNumberFormat="1" applyFont="1" applyFill="1" applyBorder="1" applyAlignment="1">
      <alignment horizontal="center" vertical="center"/>
    </xf>
    <xf numFmtId="170" fontId="25" fillId="9" borderId="8" xfId="20" applyNumberFormat="1" applyFont="1" applyFill="1" applyBorder="1" applyAlignment="1">
      <alignment horizontal="center" vertical="center"/>
    </xf>
    <xf numFmtId="43" fontId="25" fillId="5" borderId="0" xfId="0" applyNumberFormat="1" applyFont="1" applyFill="1"/>
    <xf numFmtId="43" fontId="8" fillId="2" borderId="14" xfId="1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/>
    </xf>
    <xf numFmtId="3" fontId="49" fillId="27" borderId="36" xfId="52" applyNumberFormat="1" applyFont="1" applyFill="1" applyBorder="1" applyAlignment="1">
      <alignment horizontal="left" vertical="center" wrapText="1"/>
    </xf>
    <xf numFmtId="3" fontId="49" fillId="27" borderId="37" xfId="52" applyNumberFormat="1" applyFont="1" applyFill="1" applyBorder="1" applyAlignment="1">
      <alignment horizontal="left" vertical="center" wrapText="1"/>
    </xf>
    <xf numFmtId="0" fontId="49" fillId="27" borderId="38" xfId="52" applyFont="1" applyFill="1" applyBorder="1" applyAlignment="1">
      <alignment horizontal="left" vertical="center"/>
    </xf>
    <xf numFmtId="0" fontId="20" fillId="28" borderId="39" xfId="52" applyFont="1" applyFill="1" applyBorder="1" applyAlignment="1">
      <alignment horizontal="center" vertical="center"/>
    </xf>
    <xf numFmtId="0" fontId="20" fillId="28" borderId="41" xfId="52" applyFont="1" applyFill="1" applyBorder="1" applyAlignment="1">
      <alignment horizontal="center" vertical="center"/>
    </xf>
    <xf numFmtId="0" fontId="20" fillId="28" borderId="42" xfId="52" applyFont="1" applyFill="1" applyBorder="1" applyAlignment="1">
      <alignment horizontal="center" vertical="center"/>
    </xf>
    <xf numFmtId="168" fontId="46" fillId="5" borderId="40" xfId="52" applyNumberFormat="1" applyFont="1" applyFill="1" applyBorder="1" applyAlignment="1">
      <alignment horizontal="center" vertical="center"/>
    </xf>
    <xf numFmtId="170" fontId="0" fillId="0" borderId="0" xfId="1" applyNumberFormat="1" applyFont="1"/>
    <xf numFmtId="169" fontId="46" fillId="0" borderId="0" xfId="53" applyNumberFormat="1" applyFont="1"/>
    <xf numFmtId="4" fontId="46" fillId="0" borderId="0" xfId="53" applyNumberFormat="1" applyFont="1"/>
    <xf numFmtId="175" fontId="25" fillId="9" borderId="9" xfId="0" applyNumberFormat="1" applyFont="1" applyFill="1" applyBorder="1" applyAlignment="1">
      <alignment horizontal="right"/>
    </xf>
    <xf numFmtId="43" fontId="25" fillId="9" borderId="0" xfId="1" applyFont="1" applyFill="1"/>
    <xf numFmtId="181" fontId="0" fillId="0" borderId="0" xfId="0" applyNumberFormat="1"/>
    <xf numFmtId="176" fontId="25" fillId="9" borderId="0" xfId="1" applyNumberFormat="1" applyFont="1" applyFill="1"/>
    <xf numFmtId="0" fontId="23" fillId="0" borderId="0" xfId="0" applyFont="1" applyAlignment="1">
      <alignment horizontal="center"/>
    </xf>
    <xf numFmtId="170" fontId="33" fillId="18" borderId="0" xfId="1" applyNumberFormat="1" applyFont="1" applyFill="1" applyBorder="1" applyAlignment="1">
      <alignment horizontal="center" vertical="center"/>
    </xf>
    <xf numFmtId="0" fontId="21" fillId="9" borderId="0" xfId="0" applyFont="1" applyFill="1"/>
    <xf numFmtId="17" fontId="37" fillId="9" borderId="22" xfId="50" applyNumberFormat="1" applyFont="1" applyFill="1" applyBorder="1" applyAlignment="1">
      <alignment horizontal="center"/>
    </xf>
    <xf numFmtId="2" fontId="37" fillId="9" borderId="19" xfId="51" applyNumberFormat="1" applyFont="1" applyFill="1" applyBorder="1" applyAlignment="1">
      <alignment horizontal="right"/>
    </xf>
    <xf numFmtId="0" fontId="21" fillId="5" borderId="0" xfId="0" applyFont="1" applyFill="1"/>
    <xf numFmtId="9" fontId="47" fillId="13" borderId="9" xfId="53" applyNumberFormat="1" applyFont="1" applyFill="1" applyBorder="1" applyAlignment="1">
      <alignment horizontal="center" vertical="center"/>
    </xf>
    <xf numFmtId="43" fontId="25" fillId="9" borderId="9" xfId="1" applyFont="1" applyFill="1" applyBorder="1" applyAlignment="1">
      <alignment horizontal="right"/>
    </xf>
    <xf numFmtId="0" fontId="49" fillId="12" borderId="0" xfId="52" applyFont="1" applyFill="1" applyAlignment="1">
      <alignment horizontal="center" vertical="center"/>
    </xf>
    <xf numFmtId="166" fontId="21" fillId="12" borderId="0" xfId="2" applyNumberFormat="1" applyFont="1" applyFill="1"/>
    <xf numFmtId="182" fontId="25" fillId="9" borderId="9" xfId="1" applyNumberFormat="1" applyFont="1" applyFill="1" applyBorder="1" applyAlignment="1">
      <alignment horizontal="right"/>
    </xf>
    <xf numFmtId="170" fontId="21" fillId="31" borderId="0" xfId="1" applyNumberFormat="1" applyFont="1" applyFill="1"/>
    <xf numFmtId="169" fontId="46" fillId="5" borderId="39" xfId="52" applyNumberFormat="1" applyFont="1" applyFill="1" applyBorder="1" applyAlignment="1">
      <alignment horizontal="center" vertical="center"/>
    </xf>
    <xf numFmtId="17" fontId="0" fillId="0" borderId="0" xfId="0" applyNumberFormat="1"/>
    <xf numFmtId="9" fontId="0" fillId="0" borderId="0" xfId="2" applyFont="1"/>
    <xf numFmtId="0" fontId="53" fillId="33" borderId="0" xfId="0" applyFont="1" applyFill="1"/>
    <xf numFmtId="170" fontId="21" fillId="5" borderId="0" xfId="8" applyNumberFormat="1" applyFont="1" applyFill="1"/>
    <xf numFmtId="170" fontId="21" fillId="5" borderId="0" xfId="1" applyNumberFormat="1" applyFont="1" applyFill="1"/>
    <xf numFmtId="0" fontId="54" fillId="34" borderId="44" xfId="0" applyFont="1" applyFill="1" applyBorder="1" applyAlignment="1">
      <alignment vertical="center"/>
    </xf>
    <xf numFmtId="0" fontId="54" fillId="34" borderId="0" xfId="0" applyFont="1" applyFill="1" applyAlignment="1">
      <alignment horizontal="center" vertical="center"/>
    </xf>
    <xf numFmtId="0" fontId="55" fillId="0" borderId="46" xfId="0" applyFont="1" applyBorder="1" applyAlignment="1">
      <alignment vertical="center"/>
    </xf>
    <xf numFmtId="0" fontId="55" fillId="0" borderId="47" xfId="0" applyFont="1" applyBorder="1" applyAlignment="1">
      <alignment horizontal="center" vertical="center"/>
    </xf>
    <xf numFmtId="0" fontId="56" fillId="0" borderId="49" xfId="0" applyFont="1" applyBorder="1" applyAlignment="1">
      <alignment vertical="center"/>
    </xf>
    <xf numFmtId="0" fontId="56" fillId="0" borderId="46" xfId="0" applyFont="1" applyBorder="1" applyAlignment="1">
      <alignment vertical="center"/>
    </xf>
    <xf numFmtId="0" fontId="58" fillId="35" borderId="46" xfId="0" applyFont="1" applyFill="1" applyBorder="1" applyAlignment="1">
      <alignment vertical="center"/>
    </xf>
    <xf numFmtId="0" fontId="59" fillId="0" borderId="0" xfId="0" applyFont="1" applyAlignment="1">
      <alignment vertical="center"/>
    </xf>
    <xf numFmtId="0" fontId="9" fillId="0" borderId="0" xfId="0" applyFont="1"/>
    <xf numFmtId="0" fontId="55" fillId="0" borderId="17" xfId="0" applyFont="1" applyBorder="1" applyAlignment="1">
      <alignment horizontal="center" vertical="center"/>
    </xf>
    <xf numFmtId="0" fontId="58" fillId="0" borderId="46" xfId="0" applyFont="1" applyBorder="1" applyAlignment="1">
      <alignment vertical="center"/>
    </xf>
    <xf numFmtId="0" fontId="61" fillId="0" borderId="46" xfId="0" applyFont="1" applyBorder="1" applyAlignment="1">
      <alignment vertical="center"/>
    </xf>
    <xf numFmtId="0" fontId="54" fillId="34" borderId="53" xfId="0" applyFont="1" applyFill="1" applyBorder="1" applyAlignment="1">
      <alignment vertical="center"/>
    </xf>
    <xf numFmtId="0" fontId="58" fillId="0" borderId="44" xfId="0" applyFont="1" applyBorder="1" applyAlignment="1">
      <alignment vertical="center"/>
    </xf>
    <xf numFmtId="0" fontId="55" fillId="0" borderId="18" xfId="0" applyFont="1" applyBorder="1" applyAlignment="1">
      <alignment horizontal="center" vertical="center"/>
    </xf>
    <xf numFmtId="0" fontId="61" fillId="0" borderId="49" xfId="0" applyFont="1" applyBorder="1" applyAlignment="1">
      <alignment vertical="center"/>
    </xf>
    <xf numFmtId="0" fontId="55" fillId="0" borderId="54" xfId="0" applyFont="1" applyBorder="1" applyAlignment="1">
      <alignment vertical="center"/>
    </xf>
    <xf numFmtId="10" fontId="62" fillId="0" borderId="52" xfId="0" applyNumberFormat="1" applyFont="1" applyBorder="1" applyAlignment="1">
      <alignment horizontal="center" vertical="center"/>
    </xf>
    <xf numFmtId="0" fontId="54" fillId="34" borderId="52" xfId="0" applyFont="1" applyFill="1" applyBorder="1" applyAlignment="1">
      <alignment horizontal="center" vertical="center" wrapText="1"/>
    </xf>
    <xf numFmtId="0" fontId="54" fillId="34" borderId="48" xfId="0" applyFont="1" applyFill="1" applyBorder="1" applyAlignment="1">
      <alignment horizontal="center" vertical="center" wrapText="1"/>
    </xf>
    <xf numFmtId="0" fontId="55" fillId="0" borderId="16" xfId="0" applyFont="1" applyBorder="1" applyAlignment="1">
      <alignment vertical="center"/>
    </xf>
    <xf numFmtId="0" fontId="55" fillId="0" borderId="55" xfId="0" applyFont="1" applyBorder="1" applyAlignment="1">
      <alignment vertical="center"/>
    </xf>
    <xf numFmtId="0" fontId="54" fillId="34" borderId="55" xfId="0" applyFont="1" applyFill="1" applyBorder="1" applyAlignment="1">
      <alignment vertical="center"/>
    </xf>
    <xf numFmtId="0" fontId="59" fillId="0" borderId="0" xfId="0" applyFont="1" applyAlignment="1">
      <alignment horizontal="justify" vertical="center"/>
    </xf>
    <xf numFmtId="0" fontId="63" fillId="0" borderId="46" xfId="0" applyFont="1" applyBorder="1" applyAlignment="1">
      <alignment vertical="center"/>
    </xf>
    <xf numFmtId="0" fontId="55" fillId="0" borderId="47" xfId="0" applyFont="1" applyBorder="1" applyAlignment="1">
      <alignment horizontal="center" vertical="center" wrapText="1"/>
    </xf>
    <xf numFmtId="0" fontId="55" fillId="0" borderId="48" xfId="0" applyFont="1" applyBorder="1" applyAlignment="1">
      <alignment horizontal="center" vertical="center" wrapText="1"/>
    </xf>
    <xf numFmtId="0" fontId="58" fillId="35" borderId="55" xfId="0" applyFont="1" applyFill="1" applyBorder="1" applyAlignment="1">
      <alignment vertical="center"/>
    </xf>
    <xf numFmtId="0" fontId="54" fillId="34" borderId="54" xfId="0" applyFont="1" applyFill="1" applyBorder="1" applyAlignment="1">
      <alignment vertical="center"/>
    </xf>
    <xf numFmtId="0" fontId="55" fillId="0" borderId="16" xfId="0" applyFont="1" applyBorder="1" applyAlignment="1">
      <alignment horizontal="center" vertical="center"/>
    </xf>
    <xf numFmtId="0" fontId="58" fillId="34" borderId="18" xfId="0" applyFont="1" applyFill="1" applyBorder="1" applyAlignment="1">
      <alignment vertical="center"/>
    </xf>
    <xf numFmtId="0" fontId="54" fillId="34" borderId="49" xfId="0" applyFont="1" applyFill="1" applyBorder="1" applyAlignment="1">
      <alignment vertical="center"/>
    </xf>
    <xf numFmtId="0" fontId="54" fillId="34" borderId="50" xfId="0" applyFont="1" applyFill="1" applyBorder="1" applyAlignment="1">
      <alignment horizontal="center" vertical="center"/>
    </xf>
    <xf numFmtId="0" fontId="58" fillId="37" borderId="53" xfId="0" applyFont="1" applyFill="1" applyBorder="1" applyAlignment="1">
      <alignment horizontal="center" vertical="center"/>
    </xf>
    <xf numFmtId="0" fontId="63" fillId="38" borderId="49" xfId="0" applyFont="1" applyFill="1" applyBorder="1" applyAlignment="1">
      <alignment horizontal="center" vertical="center"/>
    </xf>
    <xf numFmtId="0" fontId="64" fillId="0" borderId="49" xfId="0" applyFont="1" applyBorder="1" applyAlignment="1">
      <alignment horizontal="center" vertical="center"/>
    </xf>
    <xf numFmtId="0" fontId="58" fillId="38" borderId="49" xfId="0" applyFont="1" applyFill="1" applyBorder="1" applyAlignment="1">
      <alignment horizontal="center" vertical="center"/>
    </xf>
    <xf numFmtId="0" fontId="58" fillId="37" borderId="49" xfId="0" applyFont="1" applyFill="1" applyBorder="1" applyAlignment="1">
      <alignment horizontal="center" vertical="center"/>
    </xf>
    <xf numFmtId="0" fontId="58" fillId="36" borderId="44" xfId="0" applyFont="1" applyFill="1" applyBorder="1" applyAlignment="1">
      <alignment horizontal="center" vertical="center" wrapText="1"/>
    </xf>
    <xf numFmtId="0" fontId="54" fillId="34" borderId="53" xfId="0" applyFont="1" applyFill="1" applyBorder="1" applyAlignment="1">
      <alignment horizontal="center" vertical="center"/>
    </xf>
    <xf numFmtId="0" fontId="58" fillId="38" borderId="47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8" fillId="36" borderId="44" xfId="0" applyFont="1" applyFill="1" applyBorder="1" applyAlignment="1">
      <alignment vertical="center"/>
    </xf>
    <xf numFmtId="0" fontId="55" fillId="0" borderId="49" xfId="0" applyFont="1" applyBorder="1" applyAlignment="1">
      <alignment horizontal="center" vertical="center"/>
    </xf>
    <xf numFmtId="0" fontId="54" fillId="39" borderId="53" xfId="0" applyFont="1" applyFill="1" applyBorder="1" applyAlignment="1">
      <alignment vertical="center"/>
    </xf>
    <xf numFmtId="0" fontId="58" fillId="35" borderId="49" xfId="0" applyFont="1" applyFill="1" applyBorder="1" applyAlignment="1">
      <alignment vertical="center"/>
    </xf>
    <xf numFmtId="0" fontId="55" fillId="0" borderId="53" xfId="0" applyFont="1" applyBorder="1" applyAlignment="1">
      <alignment vertical="center"/>
    </xf>
    <xf numFmtId="0" fontId="64" fillId="0" borderId="49" xfId="0" applyFont="1" applyBorder="1" applyAlignment="1">
      <alignment vertical="center"/>
    </xf>
    <xf numFmtId="0" fontId="57" fillId="0" borderId="51" xfId="0" applyFont="1" applyBorder="1" applyAlignment="1">
      <alignment horizontal="center" vertical="center"/>
    </xf>
    <xf numFmtId="0" fontId="57" fillId="0" borderId="51" xfId="0" applyFont="1" applyBorder="1" applyAlignment="1">
      <alignment vertical="center"/>
    </xf>
    <xf numFmtId="0" fontId="68" fillId="0" borderId="0" xfId="0" applyFont="1"/>
    <xf numFmtId="0" fontId="57" fillId="0" borderId="54" xfId="0" applyFont="1" applyBorder="1" applyAlignment="1">
      <alignment vertical="center"/>
    </xf>
    <xf numFmtId="0" fontId="68" fillId="0" borderId="51" xfId="0" applyFont="1" applyBorder="1"/>
    <xf numFmtId="3" fontId="69" fillId="35" borderId="55" xfId="0" applyNumberFormat="1" applyFont="1" applyFill="1" applyBorder="1" applyAlignment="1">
      <alignment horizontal="center" vertical="center"/>
    </xf>
    <xf numFmtId="3" fontId="69" fillId="35" borderId="47" xfId="0" applyNumberFormat="1" applyFont="1" applyFill="1" applyBorder="1" applyAlignment="1">
      <alignment horizontal="center" vertical="center"/>
    </xf>
    <xf numFmtId="3" fontId="69" fillId="35" borderId="17" xfId="0" applyNumberFormat="1" applyFont="1" applyFill="1" applyBorder="1" applyAlignment="1">
      <alignment horizontal="center" vertical="center"/>
    </xf>
    <xf numFmtId="3" fontId="69" fillId="35" borderId="18" xfId="0" applyNumberFormat="1" applyFont="1" applyFill="1" applyBorder="1" applyAlignment="1">
      <alignment horizontal="center" vertical="center"/>
    </xf>
    <xf numFmtId="3" fontId="69" fillId="35" borderId="48" xfId="0" applyNumberFormat="1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56" fillId="0" borderId="56" xfId="0" applyFont="1" applyBorder="1" applyAlignment="1">
      <alignment horizontal="left" vertical="center" indent="5"/>
    </xf>
    <xf numFmtId="0" fontId="56" fillId="0" borderId="49" xfId="0" applyFont="1" applyBorder="1" applyAlignment="1">
      <alignment horizontal="left" vertical="center" indent="5"/>
    </xf>
    <xf numFmtId="0" fontId="56" fillId="0" borderId="46" xfId="0" applyFont="1" applyBorder="1" applyAlignment="1">
      <alignment horizontal="left" vertical="center" indent="5"/>
    </xf>
    <xf numFmtId="0" fontId="56" fillId="0" borderId="0" xfId="0" applyFont="1"/>
    <xf numFmtId="0" fontId="70" fillId="15" borderId="12" xfId="3" applyFont="1" applyFill="1" applyBorder="1" applyAlignment="1">
      <alignment vertical="center"/>
    </xf>
    <xf numFmtId="0" fontId="70" fillId="15" borderId="14" xfId="3" applyFont="1" applyFill="1" applyBorder="1" applyAlignment="1">
      <alignment vertical="center"/>
    </xf>
    <xf numFmtId="0" fontId="54" fillId="15" borderId="13" xfId="0" applyFont="1" applyFill="1" applyBorder="1" applyAlignment="1">
      <alignment horizontal="center" vertical="center"/>
    </xf>
    <xf numFmtId="0" fontId="71" fillId="0" borderId="12" xfId="0" applyFont="1" applyBorder="1" applyAlignment="1">
      <alignment vertical="center"/>
    </xf>
    <xf numFmtId="183" fontId="75" fillId="14" borderId="13" xfId="0" applyNumberFormat="1" applyFont="1" applyFill="1" applyBorder="1" applyAlignment="1">
      <alignment horizontal="right" vertical="center"/>
    </xf>
    <xf numFmtId="183" fontId="61" fillId="14" borderId="13" xfId="0" applyNumberFormat="1" applyFont="1" applyFill="1" applyBorder="1" applyAlignment="1">
      <alignment horizontal="right" vertical="center"/>
    </xf>
    <xf numFmtId="183" fontId="61" fillId="14" borderId="8" xfId="0" applyNumberFormat="1" applyFont="1" applyFill="1" applyBorder="1" applyAlignment="1">
      <alignment horizontal="right" vertical="center"/>
    </xf>
    <xf numFmtId="0" fontId="56" fillId="0" borderId="14" xfId="0" applyFont="1" applyBorder="1" applyAlignment="1">
      <alignment horizontal="left" vertical="center" indent="2"/>
    </xf>
    <xf numFmtId="183" fontId="75" fillId="14" borderId="0" xfId="0" applyNumberFormat="1" applyFont="1" applyFill="1" applyAlignment="1">
      <alignment horizontal="right" vertical="center"/>
    </xf>
    <xf numFmtId="183" fontId="75" fillId="14" borderId="15" xfId="0" applyNumberFormat="1" applyFont="1" applyFill="1" applyBorder="1" applyAlignment="1">
      <alignment horizontal="right" vertical="center"/>
    </xf>
    <xf numFmtId="0" fontId="56" fillId="0" borderId="10" xfId="0" applyFont="1" applyBorder="1" applyAlignment="1">
      <alignment vertical="center"/>
    </xf>
    <xf numFmtId="183" fontId="61" fillId="14" borderId="6" xfId="0" applyNumberFormat="1" applyFont="1" applyFill="1" applyBorder="1" applyAlignment="1">
      <alignment horizontal="right" vertical="center"/>
    </xf>
    <xf numFmtId="183" fontId="61" fillId="14" borderId="11" xfId="0" applyNumberFormat="1" applyFont="1" applyFill="1" applyBorder="1" applyAlignment="1">
      <alignment horizontal="right" vertical="center"/>
    </xf>
    <xf numFmtId="0" fontId="55" fillId="4" borderId="12" xfId="0" applyFont="1" applyFill="1" applyBorder="1" applyAlignment="1">
      <alignment vertical="center"/>
    </xf>
    <xf numFmtId="183" fontId="58" fillId="4" borderId="13" xfId="0" applyNumberFormat="1" applyFont="1" applyFill="1" applyBorder="1" applyAlignment="1">
      <alignment horizontal="right" vertical="center"/>
    </xf>
    <xf numFmtId="183" fontId="58" fillId="4" borderId="8" xfId="0" applyNumberFormat="1" applyFont="1" applyFill="1" applyBorder="1" applyAlignment="1">
      <alignment horizontal="right" vertical="center"/>
    </xf>
    <xf numFmtId="0" fontId="55" fillId="4" borderId="10" xfId="0" applyFont="1" applyFill="1" applyBorder="1" applyAlignment="1">
      <alignment vertical="center"/>
    </xf>
    <xf numFmtId="183" fontId="58" fillId="4" borderId="6" xfId="0" applyNumberFormat="1" applyFont="1" applyFill="1" applyBorder="1" applyAlignment="1">
      <alignment horizontal="right" vertical="center"/>
    </xf>
    <xf numFmtId="183" fontId="58" fillId="4" borderId="11" xfId="0" applyNumberFormat="1" applyFont="1" applyFill="1" applyBorder="1" applyAlignment="1">
      <alignment horizontal="right" vertical="center"/>
    </xf>
    <xf numFmtId="183" fontId="71" fillId="14" borderId="13" xfId="0" applyNumberFormat="1" applyFont="1" applyFill="1" applyBorder="1" applyAlignment="1">
      <alignment horizontal="right" vertical="center"/>
    </xf>
    <xf numFmtId="183" fontId="71" fillId="14" borderId="8" xfId="0" applyNumberFormat="1" applyFont="1" applyFill="1" applyBorder="1" applyAlignment="1">
      <alignment horizontal="right" vertical="center"/>
    </xf>
    <xf numFmtId="0" fontId="55" fillId="4" borderId="14" xfId="0" applyFont="1" applyFill="1" applyBorder="1" applyAlignment="1">
      <alignment vertical="center"/>
    </xf>
    <xf numFmtId="183" fontId="58" fillId="4" borderId="0" xfId="0" applyNumberFormat="1" applyFont="1" applyFill="1" applyAlignment="1">
      <alignment horizontal="right" vertical="center"/>
    </xf>
    <xf numFmtId="183" fontId="58" fillId="4" borderId="15" xfId="0" applyNumberFormat="1" applyFont="1" applyFill="1" applyBorder="1" applyAlignment="1">
      <alignment horizontal="right" vertical="center"/>
    </xf>
    <xf numFmtId="183" fontId="58" fillId="14" borderId="6" xfId="0" applyNumberFormat="1" applyFont="1" applyFill="1" applyBorder="1" applyAlignment="1">
      <alignment horizontal="right" vertical="center"/>
    </xf>
    <xf numFmtId="183" fontId="58" fillId="14" borderId="11" xfId="0" applyNumberFormat="1" applyFont="1" applyFill="1" applyBorder="1" applyAlignment="1">
      <alignment horizontal="right" vertical="center"/>
    </xf>
    <xf numFmtId="0" fontId="70" fillId="40" borderId="12" xfId="0" applyFont="1" applyFill="1" applyBorder="1" applyAlignment="1">
      <alignment vertical="center"/>
    </xf>
    <xf numFmtId="183" fontId="70" fillId="40" borderId="13" xfId="0" applyNumberFormat="1" applyFont="1" applyFill="1" applyBorder="1" applyAlignment="1">
      <alignment horizontal="right" vertical="center"/>
    </xf>
    <xf numFmtId="183" fontId="70" fillId="40" borderId="8" xfId="0" applyNumberFormat="1" applyFont="1" applyFill="1" applyBorder="1" applyAlignment="1">
      <alignment horizontal="right" vertical="center"/>
    </xf>
    <xf numFmtId="0" fontId="70" fillId="40" borderId="10" xfId="0" applyFont="1" applyFill="1" applyBorder="1" applyAlignment="1">
      <alignment vertical="center"/>
    </xf>
    <xf numFmtId="183" fontId="70" fillId="40" borderId="6" xfId="0" applyNumberFormat="1" applyFont="1" applyFill="1" applyBorder="1" applyAlignment="1">
      <alignment horizontal="right" vertical="center"/>
    </xf>
    <xf numFmtId="183" fontId="70" fillId="40" borderId="11" xfId="0" applyNumberFormat="1" applyFont="1" applyFill="1" applyBorder="1" applyAlignment="1">
      <alignment horizontal="right" vertical="center"/>
    </xf>
    <xf numFmtId="170" fontId="68" fillId="0" borderId="0" xfId="1" applyNumberFormat="1" applyFont="1"/>
    <xf numFmtId="184" fontId="21" fillId="0" borderId="0" xfId="0" applyNumberFormat="1" applyFont="1"/>
    <xf numFmtId="3" fontId="22" fillId="32" borderId="4" xfId="25" applyNumberFormat="1" applyFont="1" applyFill="1" applyBorder="1" applyAlignment="1">
      <alignment horizontal="center" vertical="center"/>
    </xf>
    <xf numFmtId="3" fontId="22" fillId="32" borderId="5" xfId="25" applyNumberFormat="1" applyFont="1" applyFill="1" applyBorder="1" applyAlignment="1">
      <alignment horizontal="center" vertical="center"/>
    </xf>
    <xf numFmtId="170" fontId="22" fillId="0" borderId="11" xfId="1" applyNumberFormat="1" applyFont="1" applyFill="1" applyBorder="1" applyAlignment="1">
      <alignment vertical="center"/>
    </xf>
    <xf numFmtId="43" fontId="22" fillId="0" borderId="7" xfId="1" applyFont="1" applyFill="1" applyBorder="1" applyAlignment="1">
      <alignment horizontal="center" vertical="center"/>
    </xf>
    <xf numFmtId="43" fontId="22" fillId="0" borderId="4" xfId="1" applyFont="1" applyFill="1" applyBorder="1" applyAlignment="1">
      <alignment horizontal="center" vertical="center"/>
    </xf>
    <xf numFmtId="170" fontId="22" fillId="0" borderId="0" xfId="1" applyNumberFormat="1" applyFont="1" applyFill="1" applyBorder="1" applyAlignment="1">
      <alignment vertical="center"/>
    </xf>
    <xf numFmtId="170" fontId="22" fillId="0" borderId="13" xfId="1" applyNumberFormat="1" applyFont="1" applyFill="1" applyBorder="1" applyAlignment="1">
      <alignment vertical="center"/>
    </xf>
    <xf numFmtId="170" fontId="22" fillId="0" borderId="8" xfId="1" applyNumberFormat="1" applyFont="1" applyFill="1" applyBorder="1" applyAlignment="1">
      <alignment vertical="center"/>
    </xf>
    <xf numFmtId="170" fontId="22" fillId="0" borderId="15" xfId="1" applyNumberFormat="1" applyFont="1" applyFill="1" applyBorder="1" applyAlignment="1">
      <alignment vertical="center"/>
    </xf>
    <xf numFmtId="170" fontId="22" fillId="0" borderId="6" xfId="1" applyNumberFormat="1" applyFont="1" applyFill="1" applyBorder="1" applyAlignment="1">
      <alignment vertical="center"/>
    </xf>
    <xf numFmtId="1" fontId="21" fillId="0" borderId="0" xfId="0" applyNumberFormat="1" applyFont="1" applyAlignment="1">
      <alignment horizontal="left" vertical="center" indent="2"/>
    </xf>
    <xf numFmtId="3" fontId="24" fillId="10" borderId="10" xfId="1" applyNumberFormat="1" applyFont="1" applyFill="1" applyBorder="1" applyAlignment="1">
      <alignment vertical="center"/>
    </xf>
    <xf numFmtId="43" fontId="50" fillId="0" borderId="0" xfId="1" applyFont="1" applyFill="1" applyBorder="1" applyAlignment="1">
      <alignment horizontal="center" vertical="center"/>
    </xf>
    <xf numFmtId="43" fontId="11" fillId="32" borderId="0" xfId="1" applyFont="1" applyFill="1" applyBorder="1" applyAlignment="1">
      <alignment horizontal="center" vertical="center"/>
    </xf>
    <xf numFmtId="43" fontId="0" fillId="32" borderId="0" xfId="1" applyFont="1" applyFill="1" applyAlignment="1">
      <alignment horizontal="center" vertical="center"/>
    </xf>
    <xf numFmtId="0" fontId="56" fillId="0" borderId="56" xfId="0" applyFont="1" applyBorder="1" applyAlignment="1">
      <alignment vertical="center"/>
    </xf>
    <xf numFmtId="0" fontId="55" fillId="0" borderId="0" xfId="0" applyFont="1" applyAlignment="1">
      <alignment horizontal="center" vertical="center"/>
    </xf>
    <xf numFmtId="0" fontId="55" fillId="0" borderId="52" xfId="0" applyFont="1" applyBorder="1" applyAlignment="1">
      <alignment horizontal="center" vertical="center"/>
    </xf>
    <xf numFmtId="0" fontId="56" fillId="0" borderId="55" xfId="0" applyFont="1" applyBorder="1" applyAlignment="1">
      <alignment vertical="center"/>
    </xf>
    <xf numFmtId="0" fontId="61" fillId="0" borderId="56" xfId="0" applyFont="1" applyBorder="1" applyAlignment="1">
      <alignment vertical="center"/>
    </xf>
    <xf numFmtId="0" fontId="61" fillId="0" borderId="55" xfId="0" applyFont="1" applyBorder="1" applyAlignment="1">
      <alignment vertical="center"/>
    </xf>
    <xf numFmtId="174" fontId="21" fillId="0" borderId="0" xfId="1" applyNumberFormat="1" applyFont="1"/>
    <xf numFmtId="0" fontId="55" fillId="0" borderId="51" xfId="0" applyFont="1" applyBorder="1" applyAlignment="1">
      <alignment horizontal="center" vertical="center"/>
    </xf>
    <xf numFmtId="0" fontId="61" fillId="0" borderId="44" xfId="0" applyFont="1" applyBorder="1" applyAlignment="1">
      <alignment vertical="center"/>
    </xf>
    <xf numFmtId="176" fontId="21" fillId="0" borderId="0" xfId="0" applyNumberFormat="1" applyFont="1"/>
    <xf numFmtId="0" fontId="24" fillId="10" borderId="2" xfId="0" applyFont="1" applyFill="1" applyBorder="1" applyAlignment="1">
      <alignment vertical="center"/>
    </xf>
    <xf numFmtId="0" fontId="24" fillId="10" borderId="2" xfId="0" applyFont="1" applyFill="1" applyBorder="1" applyAlignment="1">
      <alignment horizontal="center" vertical="center"/>
    </xf>
    <xf numFmtId="43" fontId="0" fillId="0" borderId="13" xfId="0" applyNumberFormat="1" applyBorder="1"/>
    <xf numFmtId="0" fontId="0" fillId="0" borderId="6" xfId="0" applyBorder="1"/>
    <xf numFmtId="43" fontId="0" fillId="0" borderId="0" xfId="0" applyNumberFormat="1"/>
    <xf numFmtId="170" fontId="13" fillId="6" borderId="14" xfId="1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1" fontId="23" fillId="0" borderId="0" xfId="0" applyNumberFormat="1" applyFont="1" applyAlignment="1">
      <alignment horizontal="left" vertical="center"/>
    </xf>
    <xf numFmtId="1" fontId="23" fillId="0" borderId="0" xfId="0" applyNumberFormat="1" applyFont="1" applyAlignment="1">
      <alignment horizontal="left" vertical="center" wrapText="1"/>
    </xf>
    <xf numFmtId="0" fontId="21" fillId="41" borderId="0" xfId="0" applyFont="1" applyFill="1"/>
    <xf numFmtId="185" fontId="79" fillId="6" borderId="9" xfId="0" applyNumberFormat="1" applyFont="1" applyFill="1" applyBorder="1" applyAlignment="1">
      <alignment vertical="center"/>
    </xf>
    <xf numFmtId="185" fontId="79" fillId="6" borderId="3" xfId="0" applyNumberFormat="1" applyFont="1" applyFill="1" applyBorder="1" applyAlignment="1">
      <alignment vertical="center"/>
    </xf>
    <xf numFmtId="185" fontId="79" fillId="6" borderId="2" xfId="0" applyNumberFormat="1" applyFont="1" applyFill="1" applyBorder="1" applyAlignment="1">
      <alignment vertical="center"/>
    </xf>
    <xf numFmtId="185" fontId="79" fillId="6" borderId="1" xfId="0" applyNumberFormat="1" applyFont="1" applyFill="1" applyBorder="1" applyAlignment="1">
      <alignment vertical="center"/>
    </xf>
    <xf numFmtId="0" fontId="80" fillId="6" borderId="9" xfId="0" applyFont="1" applyFill="1" applyBorder="1" applyAlignment="1">
      <alignment horizontal="left" vertical="center" wrapText="1"/>
    </xf>
    <xf numFmtId="185" fontId="80" fillId="26" borderId="14" xfId="3" applyNumberFormat="1" applyFont="1" applyFill="1" applyBorder="1" applyAlignment="1">
      <alignment horizontal="right" vertical="center"/>
    </xf>
    <xf numFmtId="185" fontId="80" fillId="26" borderId="15" xfId="3" applyNumberFormat="1" applyFont="1" applyFill="1" applyBorder="1" applyAlignment="1">
      <alignment horizontal="right" vertical="center"/>
    </xf>
    <xf numFmtId="185" fontId="80" fillId="26" borderId="0" xfId="3" applyNumberFormat="1" applyFont="1" applyFill="1" applyAlignment="1">
      <alignment horizontal="right" vertical="center"/>
    </xf>
    <xf numFmtId="185" fontId="80" fillId="26" borderId="4" xfId="3" applyNumberFormat="1" applyFont="1" applyFill="1" applyBorder="1" applyAlignment="1">
      <alignment horizontal="right" vertical="center"/>
    </xf>
    <xf numFmtId="0" fontId="79" fillId="26" borderId="14" xfId="0" applyFont="1" applyFill="1" applyBorder="1" applyAlignment="1">
      <alignment vertical="center"/>
    </xf>
    <xf numFmtId="185" fontId="17" fillId="0" borderId="14" xfId="3" applyNumberFormat="1" applyFont="1" applyBorder="1" applyAlignment="1">
      <alignment horizontal="right" vertical="center"/>
    </xf>
    <xf numFmtId="185" fontId="17" fillId="0" borderId="15" xfId="3" applyNumberFormat="1" applyFont="1" applyBorder="1" applyAlignment="1">
      <alignment horizontal="right" vertical="center"/>
    </xf>
    <xf numFmtId="185" fontId="17" fillId="0" borderId="0" xfId="3" applyNumberFormat="1" applyFont="1" applyAlignment="1">
      <alignment horizontal="right" vertical="center"/>
    </xf>
    <xf numFmtId="185" fontId="17" fillId="0" borderId="4" xfId="3" applyNumberFormat="1" applyFont="1" applyBorder="1" applyAlignment="1">
      <alignment horizontal="right" vertical="center"/>
    </xf>
    <xf numFmtId="0" fontId="81" fillId="0" borderId="14" xfId="0" applyFont="1" applyBorder="1" applyAlignment="1">
      <alignment horizontal="left" vertical="center" indent="1"/>
    </xf>
    <xf numFmtId="185" fontId="82" fillId="13" borderId="14" xfId="3" applyNumberFormat="1" applyFont="1" applyFill="1" applyBorder="1" applyAlignment="1">
      <alignment horizontal="right" vertical="center"/>
    </xf>
    <xf numFmtId="185" fontId="82" fillId="13" borderId="15" xfId="3" applyNumberFormat="1" applyFont="1" applyFill="1" applyBorder="1" applyAlignment="1">
      <alignment horizontal="right" vertical="center"/>
    </xf>
    <xf numFmtId="185" fontId="82" fillId="13" borderId="0" xfId="3" applyNumberFormat="1" applyFont="1" applyFill="1" applyAlignment="1">
      <alignment horizontal="right" vertical="center"/>
    </xf>
    <xf numFmtId="185" fontId="82" fillId="13" borderId="4" xfId="3" applyNumberFormat="1" applyFont="1" applyFill="1" applyBorder="1" applyAlignment="1">
      <alignment horizontal="right" vertical="center"/>
    </xf>
    <xf numFmtId="0" fontId="79" fillId="13" borderId="14" xfId="0" applyFont="1" applyFill="1" applyBorder="1" applyAlignment="1">
      <alignment vertical="center"/>
    </xf>
    <xf numFmtId="0" fontId="83" fillId="13" borderId="14" xfId="0" applyFont="1" applyFill="1" applyBorder="1" applyAlignment="1">
      <alignment vertical="center"/>
    </xf>
    <xf numFmtId="185" fontId="80" fillId="26" borderId="12" xfId="3" applyNumberFormat="1" applyFont="1" applyFill="1" applyBorder="1" applyAlignment="1">
      <alignment horizontal="right" vertical="center"/>
    </xf>
    <xf numFmtId="185" fontId="80" fillId="26" borderId="8" xfId="3" applyNumberFormat="1" applyFont="1" applyFill="1" applyBorder="1" applyAlignment="1">
      <alignment horizontal="right" vertical="center"/>
    </xf>
    <xf numFmtId="185" fontId="80" fillId="26" borderId="13" xfId="3" applyNumberFormat="1" applyFont="1" applyFill="1" applyBorder="1" applyAlignment="1">
      <alignment horizontal="right" vertical="center"/>
    </xf>
    <xf numFmtId="185" fontId="80" fillId="26" borderId="7" xfId="3" applyNumberFormat="1" applyFont="1" applyFill="1" applyBorder="1" applyAlignment="1">
      <alignment horizontal="right" vertical="center"/>
    </xf>
    <xf numFmtId="0" fontId="79" fillId="26" borderId="12" xfId="0" applyFont="1" applyFill="1" applyBorder="1" applyAlignment="1">
      <alignment vertical="center"/>
    </xf>
    <xf numFmtId="0" fontId="84" fillId="15" borderId="9" xfId="0" applyFont="1" applyFill="1" applyBorder="1" applyAlignment="1">
      <alignment horizontal="center" vertical="center" wrapText="1"/>
    </xf>
    <xf numFmtId="0" fontId="84" fillId="15" borderId="8" xfId="0" applyFont="1" applyFill="1" applyBorder="1" applyAlignment="1">
      <alignment horizontal="center" vertical="center"/>
    </xf>
    <xf numFmtId="0" fontId="84" fillId="15" borderId="2" xfId="0" applyFont="1" applyFill="1" applyBorder="1" applyAlignment="1">
      <alignment horizontal="center" vertical="center"/>
    </xf>
    <xf numFmtId="0" fontId="84" fillId="15" borderId="1" xfId="0" applyFont="1" applyFill="1" applyBorder="1" applyAlignment="1">
      <alignment horizontal="center" vertical="center" wrapText="1"/>
    </xf>
    <xf numFmtId="0" fontId="84" fillId="15" borderId="12" xfId="0" applyFont="1" applyFill="1" applyBorder="1" applyAlignment="1">
      <alignment horizontal="left" vertical="center"/>
    </xf>
    <xf numFmtId="0" fontId="85" fillId="15" borderId="3" xfId="3" applyFont="1" applyFill="1" applyBorder="1" applyAlignment="1">
      <alignment vertical="center"/>
    </xf>
    <xf numFmtId="0" fontId="85" fillId="15" borderId="2" xfId="3" applyFont="1" applyFill="1" applyBorder="1" applyAlignment="1">
      <alignment vertical="center"/>
    </xf>
    <xf numFmtId="0" fontId="86" fillId="15" borderId="1" xfId="3" applyFont="1" applyFill="1" applyBorder="1" applyAlignment="1">
      <alignment vertical="center"/>
    </xf>
    <xf numFmtId="166" fontId="88" fillId="6" borderId="0" xfId="2" applyNumberFormat="1" applyFont="1" applyFill="1"/>
    <xf numFmtId="166" fontId="88" fillId="0" borderId="0" xfId="2" applyNumberFormat="1" applyFont="1"/>
    <xf numFmtId="0" fontId="84" fillId="15" borderId="3" xfId="0" applyFont="1" applyFill="1" applyBorder="1" applyAlignment="1">
      <alignment horizontal="center" vertical="center"/>
    </xf>
    <xf numFmtId="0" fontId="86" fillId="15" borderId="3" xfId="3" applyFont="1" applyFill="1" applyBorder="1" applyAlignment="1">
      <alignment vertical="center"/>
    </xf>
    <xf numFmtId="0" fontId="86" fillId="15" borderId="2" xfId="3" applyFont="1" applyFill="1" applyBorder="1" applyAlignment="1">
      <alignment vertical="center"/>
    </xf>
    <xf numFmtId="0" fontId="89" fillId="0" borderId="0" xfId="0" applyFont="1" applyAlignment="1">
      <alignment vertical="center"/>
    </xf>
    <xf numFmtId="2" fontId="56" fillId="41" borderId="0" xfId="54" applyNumberFormat="1" applyFont="1" applyFill="1"/>
    <xf numFmtId="2" fontId="90" fillId="10" borderId="58" xfId="3" applyNumberFormat="1" applyFont="1" applyFill="1" applyBorder="1" applyAlignment="1">
      <alignment horizontal="center"/>
    </xf>
    <xf numFmtId="1" fontId="90" fillId="10" borderId="58" xfId="55" applyNumberFormat="1" applyFont="1" applyFill="1" applyBorder="1" applyAlignment="1">
      <alignment horizontal="center"/>
    </xf>
    <xf numFmtId="17" fontId="90" fillId="10" borderId="58" xfId="3" applyNumberFormat="1" applyFont="1" applyFill="1" applyBorder="1" applyAlignment="1">
      <alignment horizontal="center"/>
    </xf>
    <xf numFmtId="17" fontId="90" fillId="10" borderId="58" xfId="55" applyNumberFormat="1" applyFont="1" applyFill="1" applyBorder="1" applyAlignment="1">
      <alignment horizontal="center"/>
    </xf>
    <xf numFmtId="0" fontId="85" fillId="15" borderId="3" xfId="3" applyFont="1" applyFill="1" applyBorder="1" applyAlignment="1">
      <alignment horizontal="center" vertical="center"/>
    </xf>
    <xf numFmtId="170" fontId="0" fillId="0" borderId="6" xfId="1" applyNumberFormat="1" applyFont="1" applyBorder="1"/>
    <xf numFmtId="167" fontId="69" fillId="10" borderId="9" xfId="13" applyFont="1" applyFill="1" applyBorder="1" applyAlignment="1">
      <alignment horizontal="right" vertical="center"/>
    </xf>
    <xf numFmtId="0" fontId="92" fillId="0" borderId="0" xfId="0" quotePrefix="1" applyFont="1"/>
    <xf numFmtId="0" fontId="92" fillId="0" borderId="0" xfId="0" applyFont="1"/>
    <xf numFmtId="167" fontId="69" fillId="10" borderId="10" xfId="13" applyFont="1" applyFill="1" applyBorder="1" applyAlignment="1">
      <alignment horizontal="right" vertical="center"/>
    </xf>
    <xf numFmtId="167" fontId="71" fillId="0" borderId="0" xfId="13" applyFont="1" applyFill="1" applyBorder="1" applyAlignment="1">
      <alignment horizontal="right" vertical="center"/>
    </xf>
    <xf numFmtId="167" fontId="71" fillId="0" borderId="4" xfId="13" applyFont="1" applyFill="1" applyBorder="1" applyAlignment="1">
      <alignment horizontal="right" vertical="center"/>
    </xf>
    <xf numFmtId="0" fontId="61" fillId="0" borderId="14" xfId="0" applyFont="1" applyBorder="1" applyAlignment="1">
      <alignment vertical="center"/>
    </xf>
    <xf numFmtId="167" fontId="69" fillId="10" borderId="14" xfId="13" applyFont="1" applyFill="1" applyBorder="1" applyAlignment="1">
      <alignment horizontal="right" vertical="center"/>
    </xf>
    <xf numFmtId="167" fontId="69" fillId="10" borderId="12" xfId="13" applyFont="1" applyFill="1" applyBorder="1" applyAlignment="1">
      <alignment horizontal="right" vertical="center"/>
    </xf>
    <xf numFmtId="167" fontId="69" fillId="10" borderId="0" xfId="13" applyFont="1" applyFill="1" applyBorder="1" applyAlignment="1">
      <alignment horizontal="right" vertical="center"/>
    </xf>
    <xf numFmtId="167" fontId="69" fillId="10" borderId="4" xfId="13" applyFont="1" applyFill="1" applyBorder="1" applyAlignment="1">
      <alignment horizontal="right" vertical="center"/>
    </xf>
    <xf numFmtId="0" fontId="58" fillId="10" borderId="12" xfId="0" applyFont="1" applyFill="1" applyBorder="1" applyAlignment="1">
      <alignment vertical="center"/>
    </xf>
    <xf numFmtId="167" fontId="71" fillId="0" borderId="14" xfId="13" applyFont="1" applyFill="1" applyBorder="1" applyAlignment="1">
      <alignment horizontal="right" vertical="center"/>
    </xf>
    <xf numFmtId="0" fontId="61" fillId="0" borderId="10" xfId="0" applyFont="1" applyBorder="1" applyAlignment="1">
      <alignment vertical="center"/>
    </xf>
    <xf numFmtId="167" fontId="71" fillId="0" borderId="12" xfId="13" applyFont="1" applyFill="1" applyBorder="1" applyAlignment="1">
      <alignment horizontal="right" vertical="center"/>
    </xf>
    <xf numFmtId="0" fontId="93" fillId="0" borderId="9" xfId="16" applyFont="1" applyBorder="1" applyAlignment="1">
      <alignment horizontal="center" vertical="center"/>
    </xf>
    <xf numFmtId="0" fontId="58" fillId="0" borderId="10" xfId="0" applyFont="1" applyBorder="1" applyAlignment="1">
      <alignment vertical="center"/>
    </xf>
    <xf numFmtId="0" fontId="54" fillId="34" borderId="12" xfId="0" applyFont="1" applyFill="1" applyBorder="1" applyAlignment="1">
      <alignment vertical="center"/>
    </xf>
    <xf numFmtId="9" fontId="0" fillId="0" borderId="0" xfId="14" applyFont="1"/>
    <xf numFmtId="0" fontId="56" fillId="0" borderId="0" xfId="0" applyFont="1" applyAlignment="1">
      <alignment horizontal="right"/>
    </xf>
    <xf numFmtId="3" fontId="60" fillId="0" borderId="0" xfId="0" applyNumberFormat="1" applyFont="1"/>
    <xf numFmtId="167" fontId="58" fillId="0" borderId="10" xfId="0" applyNumberFormat="1" applyFont="1" applyBorder="1" applyAlignment="1">
      <alignment horizontal="center" vertical="center"/>
    </xf>
    <xf numFmtId="167" fontId="58" fillId="0" borderId="14" xfId="0" applyNumberFormat="1" applyFont="1" applyBorder="1" applyAlignment="1">
      <alignment horizontal="center" vertical="center"/>
    </xf>
    <xf numFmtId="167" fontId="71" fillId="0" borderId="13" xfId="13" applyFont="1" applyFill="1" applyBorder="1" applyAlignment="1">
      <alignment horizontal="right" vertical="center"/>
    </xf>
    <xf numFmtId="0" fontId="58" fillId="0" borderId="10" xfId="0" applyFont="1" applyBorder="1" applyAlignment="1">
      <alignment horizontal="center" vertical="center"/>
    </xf>
    <xf numFmtId="0" fontId="93" fillId="0" borderId="7" xfId="16" applyFont="1" applyBorder="1" applyAlignment="1">
      <alignment horizontal="center" vertical="center"/>
    </xf>
    <xf numFmtId="0" fontId="93" fillId="0" borderId="12" xfId="16" applyFont="1" applyBorder="1" applyAlignment="1">
      <alignment horizontal="center" vertical="center"/>
    </xf>
    <xf numFmtId="0" fontId="54" fillId="34" borderId="12" xfId="0" applyFont="1" applyFill="1" applyBorder="1" applyAlignment="1">
      <alignment horizontal="center" vertical="center"/>
    </xf>
    <xf numFmtId="0" fontId="94" fillId="0" borderId="0" xfId="0" applyFont="1"/>
    <xf numFmtId="0" fontId="95" fillId="0" borderId="0" xfId="0" applyFont="1"/>
    <xf numFmtId="0" fontId="96" fillId="0" borderId="0" xfId="0" applyFont="1"/>
    <xf numFmtId="170" fontId="59" fillId="0" borderId="0" xfId="0" applyNumberFormat="1" applyFont="1" applyAlignment="1">
      <alignment vertical="center"/>
    </xf>
    <xf numFmtId="4" fontId="68" fillId="0" borderId="0" xfId="0" applyNumberFormat="1" applyFont="1"/>
    <xf numFmtId="0" fontId="97" fillId="0" borderId="0" xfId="0" applyFont="1"/>
    <xf numFmtId="0" fontId="56" fillId="0" borderId="53" xfId="0" applyFont="1" applyBorder="1" applyAlignment="1">
      <alignment vertical="center"/>
    </xf>
    <xf numFmtId="0" fontId="58" fillId="0" borderId="49" xfId="0" applyFont="1" applyBorder="1" applyAlignment="1">
      <alignment vertical="center"/>
    </xf>
    <xf numFmtId="0" fontId="56" fillId="0" borderId="54" xfId="0" applyFont="1" applyBorder="1" applyAlignment="1">
      <alignment vertical="center"/>
    </xf>
    <xf numFmtId="180" fontId="23" fillId="5" borderId="0" xfId="0" applyNumberFormat="1" applyFont="1" applyFill="1"/>
    <xf numFmtId="180" fontId="21" fillId="5" borderId="0" xfId="0" applyNumberFormat="1" applyFont="1" applyFill="1"/>
    <xf numFmtId="43" fontId="11" fillId="0" borderId="0" xfId="1" applyFont="1" applyFill="1" applyBorder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43" fontId="12" fillId="0" borderId="0" xfId="1" applyFont="1" applyFill="1" applyBorder="1" applyAlignment="1">
      <alignment horizontal="center" vertical="center"/>
    </xf>
    <xf numFmtId="10" fontId="0" fillId="0" borderId="0" xfId="0" applyNumberFormat="1"/>
    <xf numFmtId="174" fontId="58" fillId="35" borderId="55" xfId="1" applyNumberFormat="1" applyFont="1" applyFill="1" applyBorder="1" applyAlignment="1">
      <alignment horizontal="center" vertical="center"/>
    </xf>
    <xf numFmtId="182" fontId="58" fillId="35" borderId="47" xfId="1" applyNumberFormat="1" applyFont="1" applyFill="1" applyBorder="1" applyAlignment="1">
      <alignment horizontal="center" vertical="center"/>
    </xf>
    <xf numFmtId="182" fontId="58" fillId="35" borderId="48" xfId="1" applyNumberFormat="1" applyFont="1" applyFill="1" applyBorder="1" applyAlignment="1">
      <alignment horizontal="center" vertical="center"/>
    </xf>
    <xf numFmtId="0" fontId="64" fillId="0" borderId="0" xfId="0" applyFont="1"/>
    <xf numFmtId="43" fontId="68" fillId="0" borderId="0" xfId="1" applyFont="1"/>
    <xf numFmtId="0" fontId="61" fillId="0" borderId="0" xfId="0" applyFont="1" applyAlignment="1">
      <alignment vertical="center"/>
    </xf>
    <xf numFmtId="0" fontId="57" fillId="0" borderId="17" xfId="0" applyFont="1" applyBorder="1" applyAlignment="1">
      <alignment horizontal="center" vertical="center"/>
    </xf>
    <xf numFmtId="0" fontId="57" fillId="0" borderId="18" xfId="0" applyFont="1" applyBorder="1" applyAlignment="1">
      <alignment horizontal="center" vertical="center"/>
    </xf>
    <xf numFmtId="0" fontId="0" fillId="0" borderId="51" xfId="0" applyBorder="1"/>
    <xf numFmtId="0" fontId="58" fillId="35" borderId="44" xfId="0" applyFont="1" applyFill="1" applyBorder="1" applyAlignment="1">
      <alignment vertical="center"/>
    </xf>
    <xf numFmtId="3" fontId="69" fillId="35" borderId="16" xfId="0" applyNumberFormat="1" applyFont="1" applyFill="1" applyBorder="1" applyAlignment="1">
      <alignment horizontal="center" vertical="center"/>
    </xf>
    <xf numFmtId="2" fontId="58" fillId="35" borderId="47" xfId="1" applyNumberFormat="1" applyFont="1" applyFill="1" applyBorder="1" applyAlignment="1">
      <alignment horizontal="center" vertical="center"/>
    </xf>
    <xf numFmtId="2" fontId="58" fillId="35" borderId="48" xfId="1" applyNumberFormat="1" applyFont="1" applyFill="1" applyBorder="1" applyAlignment="1">
      <alignment horizontal="center" vertical="center"/>
    </xf>
    <xf numFmtId="2" fontId="58" fillId="35" borderId="16" xfId="1" applyNumberFormat="1" applyFont="1" applyFill="1" applyBorder="1" applyAlignment="1">
      <alignment horizontal="center" vertical="center"/>
    </xf>
    <xf numFmtId="2" fontId="58" fillId="35" borderId="17" xfId="1" applyNumberFormat="1" applyFont="1" applyFill="1" applyBorder="1" applyAlignment="1">
      <alignment horizontal="center" vertical="center"/>
    </xf>
    <xf numFmtId="2" fontId="58" fillId="35" borderId="18" xfId="1" applyNumberFormat="1" applyFont="1" applyFill="1" applyBorder="1" applyAlignment="1">
      <alignment horizontal="center" vertical="center"/>
    </xf>
    <xf numFmtId="166" fontId="0" fillId="0" borderId="0" xfId="0" applyNumberFormat="1"/>
    <xf numFmtId="9" fontId="68" fillId="0" borderId="0" xfId="2" applyFont="1"/>
    <xf numFmtId="166" fontId="68" fillId="0" borderId="0" xfId="2" applyNumberFormat="1" applyFont="1"/>
    <xf numFmtId="2" fontId="69" fillId="37" borderId="52" xfId="1" applyNumberFormat="1" applyFont="1" applyFill="1" applyBorder="1" applyAlignment="1">
      <alignment horizontal="center" vertical="center"/>
    </xf>
    <xf numFmtId="2" fontId="69" fillId="37" borderId="51" xfId="1" applyNumberFormat="1" applyFont="1" applyFill="1" applyBorder="1" applyAlignment="1">
      <alignment horizontal="center" vertical="center"/>
    </xf>
    <xf numFmtId="2" fontId="72" fillId="38" borderId="50" xfId="1" applyNumberFormat="1" applyFont="1" applyFill="1" applyBorder="1" applyAlignment="1">
      <alignment horizontal="center" vertical="center"/>
    </xf>
    <xf numFmtId="2" fontId="72" fillId="38" borderId="0" xfId="1" applyNumberFormat="1" applyFont="1" applyFill="1" applyBorder="1" applyAlignment="1">
      <alignment horizontal="center" vertical="center"/>
    </xf>
    <xf numFmtId="2" fontId="71" fillId="0" borderId="50" xfId="1" applyNumberFormat="1" applyFont="1" applyBorder="1" applyAlignment="1">
      <alignment horizontal="center" vertical="center"/>
    </xf>
    <xf numFmtId="2" fontId="71" fillId="0" borderId="0" xfId="1" applyNumberFormat="1" applyFont="1" applyBorder="1" applyAlignment="1">
      <alignment horizontal="center" vertical="center"/>
    </xf>
    <xf numFmtId="2" fontId="69" fillId="37" borderId="50" xfId="1" applyNumberFormat="1" applyFont="1" applyFill="1" applyBorder="1" applyAlignment="1">
      <alignment horizontal="center" vertical="center"/>
    </xf>
    <xf numFmtId="2" fontId="69" fillId="37" borderId="47" xfId="1" applyNumberFormat="1" applyFont="1" applyFill="1" applyBorder="1" applyAlignment="1">
      <alignment horizontal="center" vertical="center"/>
    </xf>
    <xf numFmtId="2" fontId="69" fillId="36" borderId="18" xfId="1" applyNumberFormat="1" applyFont="1" applyFill="1" applyBorder="1" applyAlignment="1">
      <alignment horizontal="center" vertical="center"/>
    </xf>
    <xf numFmtId="2" fontId="69" fillId="36" borderId="17" xfId="1" applyNumberFormat="1" applyFont="1" applyFill="1" applyBorder="1" applyAlignment="1">
      <alignment horizontal="center" vertical="center"/>
    </xf>
    <xf numFmtId="2" fontId="56" fillId="0" borderId="47" xfId="1" applyNumberFormat="1" applyFont="1" applyBorder="1" applyAlignment="1">
      <alignment horizontal="center" vertical="center"/>
    </xf>
    <xf numFmtId="2" fontId="55" fillId="0" borderId="53" xfId="0" applyNumberFormat="1" applyFont="1" applyBorder="1" applyAlignment="1">
      <alignment horizontal="center" vertical="center"/>
    </xf>
    <xf numFmtId="2" fontId="55" fillId="0" borderId="46" xfId="0" applyNumberFormat="1" applyFont="1" applyBorder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10" fontId="64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56" fillId="0" borderId="49" xfId="0" applyNumberFormat="1" applyFont="1" applyBorder="1" applyAlignment="1">
      <alignment horizontal="center" vertical="center"/>
    </xf>
    <xf numFmtId="2" fontId="56" fillId="0" borderId="47" xfId="0" applyNumberFormat="1" applyFont="1" applyBorder="1" applyAlignment="1">
      <alignment horizontal="center" vertical="center"/>
    </xf>
    <xf numFmtId="2" fontId="55" fillId="35" borderId="0" xfId="0" applyNumberFormat="1" applyFont="1" applyFill="1" applyAlignment="1">
      <alignment horizontal="center" vertical="center"/>
    </xf>
    <xf numFmtId="2" fontId="55" fillId="35" borderId="53" xfId="1" applyNumberFormat="1" applyFont="1" applyFill="1" applyBorder="1" applyAlignment="1">
      <alignment horizontal="center" vertical="center"/>
    </xf>
    <xf numFmtId="2" fontId="55" fillId="35" borderId="49" xfId="1" applyNumberFormat="1" applyFont="1" applyFill="1" applyBorder="1" applyAlignment="1">
      <alignment horizontal="center" vertical="center"/>
    </xf>
    <xf numFmtId="2" fontId="55" fillId="35" borderId="46" xfId="1" applyNumberFormat="1" applyFont="1" applyFill="1" applyBorder="1" applyAlignment="1">
      <alignment horizontal="center" vertical="center"/>
    </xf>
    <xf numFmtId="2" fontId="9" fillId="35" borderId="48" xfId="1" applyNumberFormat="1" applyFont="1" applyFill="1" applyBorder="1" applyAlignment="1">
      <alignment horizontal="center" vertical="center"/>
    </xf>
    <xf numFmtId="2" fontId="76" fillId="35" borderId="48" xfId="1" applyNumberFormat="1" applyFont="1" applyFill="1" applyBorder="1" applyAlignment="1">
      <alignment horizontal="center" vertical="center"/>
    </xf>
    <xf numFmtId="43" fontId="68" fillId="0" borderId="0" xfId="0" applyNumberFormat="1" applyFont="1"/>
    <xf numFmtId="183" fontId="68" fillId="0" borderId="0" xfId="0" applyNumberFormat="1" applyFont="1"/>
    <xf numFmtId="2" fontId="69" fillId="0" borderId="54" xfId="1" applyNumberFormat="1" applyFont="1" applyBorder="1" applyAlignment="1">
      <alignment horizontal="center" vertical="center"/>
    </xf>
    <xf numFmtId="2" fontId="69" fillId="0" borderId="51" xfId="1" applyNumberFormat="1" applyFont="1" applyBorder="1" applyAlignment="1">
      <alignment horizontal="center" vertical="center"/>
    </xf>
    <xf numFmtId="2" fontId="69" fillId="0" borderId="52" xfId="1" applyNumberFormat="1" applyFont="1" applyBorder="1" applyAlignment="1">
      <alignment horizontal="center" vertical="center"/>
    </xf>
    <xf numFmtId="2" fontId="73" fillId="0" borderId="56" xfId="1" applyNumberFormat="1" applyFont="1" applyBorder="1" applyAlignment="1">
      <alignment horizontal="center" vertical="center"/>
    </xf>
    <xf numFmtId="2" fontId="73" fillId="0" borderId="0" xfId="1" applyNumberFormat="1" applyFont="1" applyBorder="1" applyAlignment="1">
      <alignment horizontal="center" vertical="center"/>
    </xf>
    <xf numFmtId="2" fontId="73" fillId="0" borderId="50" xfId="1" applyNumberFormat="1" applyFont="1" applyBorder="1" applyAlignment="1">
      <alignment horizontal="center" vertical="center"/>
    </xf>
    <xf numFmtId="2" fontId="69" fillId="0" borderId="55" xfId="1" applyNumberFormat="1" applyFont="1" applyBorder="1" applyAlignment="1">
      <alignment horizontal="center" vertical="center"/>
    </xf>
    <xf numFmtId="2" fontId="69" fillId="0" borderId="47" xfId="1" applyNumberFormat="1" applyFont="1" applyBorder="1" applyAlignment="1">
      <alignment horizontal="center" vertical="center"/>
    </xf>
    <xf numFmtId="2" fontId="69" fillId="0" borderId="48" xfId="1" applyNumberFormat="1" applyFont="1" applyBorder="1" applyAlignment="1">
      <alignment horizontal="center" vertical="center"/>
    </xf>
    <xf numFmtId="186" fontId="68" fillId="0" borderId="0" xfId="0" applyNumberFormat="1" applyFont="1"/>
    <xf numFmtId="43" fontId="2" fillId="0" borderId="0" xfId="3" applyNumberFormat="1" applyFont="1" applyAlignment="1">
      <alignment vertical="center"/>
    </xf>
    <xf numFmtId="2" fontId="56" fillId="0" borderId="0" xfId="1" applyNumberFormat="1" applyFont="1" applyAlignment="1">
      <alignment horizontal="center" vertical="center"/>
    </xf>
    <xf numFmtId="2" fontId="56" fillId="38" borderId="0" xfId="0" applyNumberFormat="1" applyFont="1" applyFill="1" applyAlignment="1">
      <alignment horizontal="center" vertical="center"/>
    </xf>
    <xf numFmtId="2" fontId="56" fillId="0" borderId="50" xfId="0" applyNumberFormat="1" applyFont="1" applyBorder="1" applyAlignment="1">
      <alignment horizontal="center" vertical="center"/>
    </xf>
    <xf numFmtId="2" fontId="55" fillId="36" borderId="17" xfId="0" applyNumberFormat="1" applyFont="1" applyFill="1" applyBorder="1" applyAlignment="1">
      <alignment horizontal="center" vertical="center"/>
    </xf>
    <xf numFmtId="2" fontId="55" fillId="36" borderId="18" xfId="0" applyNumberFormat="1" applyFont="1" applyFill="1" applyBorder="1" applyAlignment="1">
      <alignment horizontal="center" vertical="center"/>
    </xf>
    <xf numFmtId="0" fontId="55" fillId="13" borderId="56" xfId="0" applyFont="1" applyFill="1" applyBorder="1" applyAlignment="1">
      <alignment horizontal="center" vertical="center"/>
    </xf>
    <xf numFmtId="0" fontId="55" fillId="13" borderId="0" xfId="0" applyFont="1" applyFill="1" applyAlignment="1">
      <alignment horizontal="center" vertical="center"/>
    </xf>
    <xf numFmtId="0" fontId="55" fillId="13" borderId="55" xfId="0" applyFont="1" applyFill="1" applyBorder="1" applyAlignment="1">
      <alignment horizontal="center" vertical="center"/>
    </xf>
    <xf numFmtId="0" fontId="55" fillId="13" borderId="47" xfId="0" applyFont="1" applyFill="1" applyBorder="1" applyAlignment="1">
      <alignment horizontal="center" vertical="center"/>
    </xf>
    <xf numFmtId="0" fontId="55" fillId="13" borderId="16" xfId="0" applyFont="1" applyFill="1" applyBorder="1" applyAlignment="1">
      <alignment horizontal="center" vertical="center"/>
    </xf>
    <xf numFmtId="0" fontId="55" fillId="13" borderId="17" xfId="0" applyFont="1" applyFill="1" applyBorder="1" applyAlignment="1">
      <alignment horizontal="center" vertical="center"/>
    </xf>
    <xf numFmtId="0" fontId="55" fillId="13" borderId="54" xfId="0" applyFont="1" applyFill="1" applyBorder="1" applyAlignment="1">
      <alignment horizontal="center" vertical="center"/>
    </xf>
    <xf numFmtId="0" fontId="55" fillId="13" borderId="51" xfId="0" applyFont="1" applyFill="1" applyBorder="1" applyAlignment="1">
      <alignment horizontal="center" vertical="center"/>
    </xf>
    <xf numFmtId="183" fontId="56" fillId="14" borderId="13" xfId="0" applyNumberFormat="1" applyFont="1" applyFill="1" applyBorder="1" applyAlignment="1">
      <alignment horizontal="right" vertical="center"/>
    </xf>
    <xf numFmtId="183" fontId="56" fillId="14" borderId="8" xfId="0" applyNumberFormat="1" applyFont="1" applyFill="1" applyBorder="1" applyAlignment="1">
      <alignment horizontal="right" vertical="center"/>
    </xf>
    <xf numFmtId="183" fontId="56" fillId="32" borderId="0" xfId="0" applyNumberFormat="1" applyFont="1" applyFill="1" applyAlignment="1">
      <alignment horizontal="right" vertical="center"/>
    </xf>
    <xf numFmtId="183" fontId="56" fillId="32" borderId="15" xfId="0" applyNumberFormat="1" applyFont="1" applyFill="1" applyBorder="1" applyAlignment="1">
      <alignment horizontal="right" vertical="center"/>
    </xf>
    <xf numFmtId="183" fontId="56" fillId="14" borderId="0" xfId="0" applyNumberFormat="1" applyFont="1" applyFill="1" applyAlignment="1">
      <alignment horizontal="right" vertical="center"/>
    </xf>
    <xf numFmtId="183" fontId="56" fillId="14" borderId="15" xfId="0" applyNumberFormat="1" applyFont="1" applyFill="1" applyBorder="1" applyAlignment="1">
      <alignment horizontal="right" vertical="center"/>
    </xf>
    <xf numFmtId="183" fontId="56" fillId="14" borderId="6" xfId="0" applyNumberFormat="1" applyFont="1" applyFill="1" applyBorder="1" applyAlignment="1">
      <alignment horizontal="right" vertical="center"/>
    </xf>
    <xf numFmtId="183" fontId="56" fillId="14" borderId="11" xfId="0" applyNumberFormat="1" applyFont="1" applyFill="1" applyBorder="1" applyAlignment="1">
      <alignment horizontal="right" vertical="center"/>
    </xf>
    <xf numFmtId="183" fontId="56" fillId="32" borderId="13" xfId="0" applyNumberFormat="1" applyFont="1" applyFill="1" applyBorder="1" applyAlignment="1">
      <alignment horizontal="right" vertical="center"/>
    </xf>
    <xf numFmtId="2" fontId="56" fillId="0" borderId="16" xfId="0" applyNumberFormat="1" applyFont="1" applyBorder="1" applyAlignment="1">
      <alignment horizontal="center" vertical="center"/>
    </xf>
    <xf numFmtId="2" fontId="56" fillId="0" borderId="17" xfId="0" applyNumberFormat="1" applyFont="1" applyBorder="1" applyAlignment="1">
      <alignment horizontal="center" vertical="center"/>
    </xf>
    <xf numFmtId="2" fontId="56" fillId="0" borderId="18" xfId="0" applyNumberFormat="1" applyFont="1" applyBorder="1" applyAlignment="1">
      <alignment horizontal="center" vertical="center"/>
    </xf>
    <xf numFmtId="2" fontId="56" fillId="0" borderId="55" xfId="0" applyNumberFormat="1" applyFont="1" applyBorder="1" applyAlignment="1">
      <alignment horizontal="center" vertical="center"/>
    </xf>
    <xf numFmtId="2" fontId="56" fillId="0" borderId="48" xfId="0" applyNumberFormat="1" applyFont="1" applyBorder="1" applyAlignment="1">
      <alignment horizontal="center" vertical="center"/>
    </xf>
    <xf numFmtId="2" fontId="56" fillId="0" borderId="55" xfId="1" applyNumberFormat="1" applyFont="1" applyBorder="1" applyAlignment="1">
      <alignment horizontal="center" vertical="center"/>
    </xf>
    <xf numFmtId="2" fontId="56" fillId="0" borderId="48" xfId="1" applyNumberFormat="1" applyFont="1" applyBorder="1" applyAlignment="1">
      <alignment horizontal="center" vertical="center"/>
    </xf>
    <xf numFmtId="2" fontId="56" fillId="0" borderId="56" xfId="1" applyNumberFormat="1" applyFont="1" applyBorder="1" applyAlignment="1">
      <alignment horizontal="center" vertical="center"/>
    </xf>
    <xf numFmtId="2" fontId="56" fillId="0" borderId="51" xfId="1" applyNumberFormat="1" applyFont="1" applyBorder="1" applyAlignment="1">
      <alignment horizontal="center" vertical="center"/>
    </xf>
    <xf numFmtId="2" fontId="56" fillId="0" borderId="50" xfId="1" applyNumberFormat="1" applyFont="1" applyBorder="1" applyAlignment="1">
      <alignment horizontal="center" vertical="center"/>
    </xf>
    <xf numFmtId="3" fontId="56" fillId="0" borderId="16" xfId="0" applyNumberFormat="1" applyFont="1" applyBorder="1" applyAlignment="1">
      <alignment horizontal="center" vertical="center"/>
    </xf>
    <xf numFmtId="3" fontId="56" fillId="0" borderId="17" xfId="0" applyNumberFormat="1" applyFont="1" applyBorder="1" applyAlignment="1">
      <alignment horizontal="center" vertical="center"/>
    </xf>
    <xf numFmtId="3" fontId="56" fillId="0" borderId="18" xfId="0" applyNumberFormat="1" applyFont="1" applyBorder="1" applyAlignment="1">
      <alignment horizontal="center" vertical="center"/>
    </xf>
    <xf numFmtId="182" fontId="56" fillId="0" borderId="54" xfId="1" applyNumberFormat="1" applyFont="1" applyBorder="1" applyAlignment="1">
      <alignment horizontal="center" vertical="center"/>
    </xf>
    <xf numFmtId="182" fontId="56" fillId="0" borderId="51" xfId="1" applyNumberFormat="1" applyFont="1" applyBorder="1" applyAlignment="1">
      <alignment horizontal="center" vertical="center"/>
    </xf>
    <xf numFmtId="182" fontId="56" fillId="0" borderId="52" xfId="1" applyNumberFormat="1" applyFont="1" applyBorder="1" applyAlignment="1">
      <alignment horizontal="center" vertical="center"/>
    </xf>
    <xf numFmtId="182" fontId="56" fillId="0" borderId="56" xfId="1" applyNumberFormat="1" applyFont="1" applyBorder="1" applyAlignment="1">
      <alignment horizontal="center" vertical="center"/>
    </xf>
    <xf numFmtId="182" fontId="56" fillId="0" borderId="0" xfId="1" applyNumberFormat="1" applyFont="1" applyBorder="1" applyAlignment="1">
      <alignment horizontal="center" vertical="center"/>
    </xf>
    <xf numFmtId="182" fontId="56" fillId="0" borderId="50" xfId="1" applyNumberFormat="1" applyFont="1" applyBorder="1" applyAlignment="1">
      <alignment horizontal="center" vertical="center"/>
    </xf>
    <xf numFmtId="3" fontId="56" fillId="0" borderId="54" xfId="1" applyNumberFormat="1" applyFont="1" applyBorder="1" applyAlignment="1">
      <alignment horizontal="center" vertical="center"/>
    </xf>
    <xf numFmtId="3" fontId="56" fillId="0" borderId="51" xfId="1" applyNumberFormat="1" applyFont="1" applyBorder="1" applyAlignment="1">
      <alignment horizontal="center" vertical="center"/>
    </xf>
    <xf numFmtId="3" fontId="56" fillId="0" borderId="52" xfId="1" applyNumberFormat="1" applyFont="1" applyBorder="1" applyAlignment="1">
      <alignment horizontal="center" vertical="center"/>
    </xf>
    <xf numFmtId="3" fontId="56" fillId="0" borderId="56" xfId="1" applyNumberFormat="1" applyFont="1" applyBorder="1" applyAlignment="1">
      <alignment horizontal="center" vertical="center"/>
    </xf>
    <xf numFmtId="3" fontId="56" fillId="0" borderId="0" xfId="1" applyNumberFormat="1" applyFont="1" applyAlignment="1">
      <alignment horizontal="center" vertical="center"/>
    </xf>
    <xf numFmtId="3" fontId="56" fillId="0" borderId="50" xfId="1" applyNumberFormat="1" applyFont="1" applyBorder="1" applyAlignment="1">
      <alignment horizontal="center" vertical="center"/>
    </xf>
    <xf numFmtId="1" fontId="56" fillId="0" borderId="56" xfId="1" applyNumberFormat="1" applyFont="1" applyBorder="1" applyAlignment="1">
      <alignment horizontal="center" vertical="center"/>
    </xf>
    <xf numFmtId="1" fontId="56" fillId="0" borderId="0" xfId="1" applyNumberFormat="1" applyFont="1" applyAlignment="1">
      <alignment horizontal="center" vertical="center"/>
    </xf>
    <xf numFmtId="1" fontId="56" fillId="0" borderId="50" xfId="1" applyNumberFormat="1" applyFont="1" applyBorder="1" applyAlignment="1">
      <alignment horizontal="center" vertical="center"/>
    </xf>
    <xf numFmtId="1" fontId="56" fillId="0" borderId="55" xfId="1" applyNumberFormat="1" applyFont="1" applyBorder="1" applyAlignment="1">
      <alignment horizontal="center" vertical="center"/>
    </xf>
    <xf numFmtId="1" fontId="56" fillId="0" borderId="47" xfId="1" applyNumberFormat="1" applyFont="1" applyBorder="1" applyAlignment="1">
      <alignment horizontal="center" vertical="center"/>
    </xf>
    <xf numFmtId="1" fontId="56" fillId="0" borderId="48" xfId="1" applyNumberFormat="1" applyFont="1" applyBorder="1" applyAlignment="1">
      <alignment horizontal="center" vertical="center"/>
    </xf>
    <xf numFmtId="170" fontId="56" fillId="0" borderId="54" xfId="1" applyNumberFormat="1" applyFont="1" applyBorder="1" applyAlignment="1">
      <alignment vertical="center"/>
    </xf>
    <xf numFmtId="170" fontId="56" fillId="0" borderId="51" xfId="1" applyNumberFormat="1" applyFont="1" applyBorder="1" applyAlignment="1">
      <alignment vertical="center"/>
    </xf>
    <xf numFmtId="170" fontId="56" fillId="0" borderId="52" xfId="1" applyNumberFormat="1" applyFont="1" applyBorder="1" applyAlignment="1">
      <alignment vertical="center"/>
    </xf>
    <xf numFmtId="170" fontId="56" fillId="0" borderId="56" xfId="1" applyNumberFormat="1" applyFont="1" applyBorder="1" applyAlignment="1">
      <alignment vertical="center"/>
    </xf>
    <xf numFmtId="170" fontId="56" fillId="0" borderId="0" xfId="1" applyNumberFormat="1" applyFont="1" applyAlignment="1">
      <alignment vertical="center"/>
    </xf>
    <xf numFmtId="170" fontId="56" fillId="0" borderId="50" xfId="1" applyNumberFormat="1" applyFont="1" applyBorder="1" applyAlignment="1">
      <alignment vertical="center"/>
    </xf>
    <xf numFmtId="170" fontId="56" fillId="0" borderId="55" xfId="1" applyNumberFormat="1" applyFont="1" applyBorder="1" applyAlignment="1">
      <alignment vertical="center"/>
    </xf>
    <xf numFmtId="170" fontId="56" fillId="0" borderId="47" xfId="1" applyNumberFormat="1" applyFont="1" applyBorder="1" applyAlignment="1">
      <alignment vertical="center"/>
    </xf>
    <xf numFmtId="170" fontId="56" fillId="0" borderId="48" xfId="1" applyNumberFormat="1" applyFont="1" applyBorder="1" applyAlignment="1">
      <alignment vertical="center"/>
    </xf>
    <xf numFmtId="2" fontId="56" fillId="0" borderId="16" xfId="1" applyNumberFormat="1" applyFont="1" applyBorder="1" applyAlignment="1">
      <alignment horizontal="center" vertical="center"/>
    </xf>
    <xf numFmtId="43" fontId="56" fillId="0" borderId="16" xfId="0" applyNumberFormat="1" applyFont="1" applyBorder="1" applyAlignment="1">
      <alignment horizontal="center" vertical="center"/>
    </xf>
    <xf numFmtId="43" fontId="56" fillId="0" borderId="54" xfId="0" applyNumberFormat="1" applyFont="1" applyBorder="1" applyAlignment="1">
      <alignment horizontal="center" vertical="center"/>
    </xf>
    <xf numFmtId="43" fontId="56" fillId="0" borderId="51" xfId="0" applyNumberFormat="1" applyFont="1" applyBorder="1" applyAlignment="1">
      <alignment horizontal="center" vertical="center"/>
    </xf>
    <xf numFmtId="43" fontId="56" fillId="0" borderId="52" xfId="0" applyNumberFormat="1" applyFont="1" applyBorder="1" applyAlignment="1">
      <alignment horizontal="center" vertical="center"/>
    </xf>
    <xf numFmtId="43" fontId="56" fillId="0" borderId="55" xfId="0" applyNumberFormat="1" applyFont="1" applyBorder="1" applyAlignment="1">
      <alignment horizontal="center" vertical="center"/>
    </xf>
    <xf numFmtId="43" fontId="56" fillId="0" borderId="47" xfId="0" applyNumberFormat="1" applyFont="1" applyBorder="1" applyAlignment="1">
      <alignment horizontal="center" vertical="center"/>
    </xf>
    <xf numFmtId="43" fontId="56" fillId="0" borderId="48" xfId="0" applyNumberFormat="1" applyFont="1" applyBorder="1" applyAlignment="1">
      <alignment horizontal="center" vertical="center"/>
    </xf>
    <xf numFmtId="4" fontId="56" fillId="0" borderId="54" xfId="0" applyNumberFormat="1" applyFont="1" applyBorder="1" applyAlignment="1">
      <alignment horizontal="center" vertical="center"/>
    </xf>
    <xf numFmtId="4" fontId="56" fillId="0" borderId="51" xfId="0" applyNumberFormat="1" applyFont="1" applyBorder="1" applyAlignment="1">
      <alignment horizontal="center" vertical="center"/>
    </xf>
    <xf numFmtId="4" fontId="56" fillId="0" borderId="52" xfId="0" applyNumberFormat="1" applyFont="1" applyBorder="1" applyAlignment="1">
      <alignment horizontal="center" vertical="center"/>
    </xf>
    <xf numFmtId="4" fontId="56" fillId="0" borderId="56" xfId="0" applyNumberFormat="1" applyFont="1" applyBorder="1" applyAlignment="1">
      <alignment horizontal="center" vertical="center"/>
    </xf>
    <xf numFmtId="4" fontId="56" fillId="0" borderId="0" xfId="0" applyNumberFormat="1" applyFont="1" applyAlignment="1">
      <alignment horizontal="center" vertical="center"/>
    </xf>
    <xf numFmtId="4" fontId="56" fillId="0" borderId="50" xfId="0" applyNumberFormat="1" applyFont="1" applyBorder="1" applyAlignment="1">
      <alignment horizontal="center" vertical="center"/>
    </xf>
    <xf numFmtId="4" fontId="56" fillId="0" borderId="55" xfId="0" applyNumberFormat="1" applyFont="1" applyBorder="1" applyAlignment="1">
      <alignment horizontal="center" vertical="center"/>
    </xf>
    <xf numFmtId="4" fontId="56" fillId="0" borderId="47" xfId="0" applyNumberFormat="1" applyFont="1" applyBorder="1" applyAlignment="1">
      <alignment horizontal="center" vertical="center"/>
    </xf>
    <xf numFmtId="4" fontId="56" fillId="0" borderId="48" xfId="0" applyNumberFormat="1" applyFont="1" applyBorder="1" applyAlignment="1">
      <alignment horizontal="center" vertical="center"/>
    </xf>
    <xf numFmtId="4" fontId="56" fillId="0" borderId="16" xfId="0" applyNumberFormat="1" applyFont="1" applyBorder="1" applyAlignment="1">
      <alignment horizontal="center" vertical="center"/>
    </xf>
    <xf numFmtId="4" fontId="56" fillId="0" borderId="17" xfId="0" applyNumberFormat="1" applyFont="1" applyBorder="1" applyAlignment="1">
      <alignment horizontal="center" vertical="center"/>
    </xf>
    <xf numFmtId="4" fontId="56" fillId="0" borderId="18" xfId="0" applyNumberFormat="1" applyFont="1" applyBorder="1" applyAlignment="1">
      <alignment horizontal="center" vertical="center"/>
    </xf>
    <xf numFmtId="43" fontId="13" fillId="6" borderId="14" xfId="1" applyFont="1" applyFill="1" applyBorder="1" applyAlignment="1">
      <alignment horizontal="center" vertical="center"/>
    </xf>
    <xf numFmtId="43" fontId="51" fillId="6" borderId="14" xfId="1" applyFont="1" applyFill="1" applyBorder="1" applyAlignment="1">
      <alignment horizontal="center" vertical="center"/>
    </xf>
    <xf numFmtId="167" fontId="71" fillId="0" borderId="6" xfId="13" applyFont="1" applyFill="1" applyBorder="1" applyAlignment="1">
      <alignment horizontal="right" vertical="center"/>
    </xf>
    <xf numFmtId="10" fontId="64" fillId="0" borderId="0" xfId="0" applyNumberFormat="1" applyFont="1"/>
    <xf numFmtId="0" fontId="78" fillId="0" borderId="0" xfId="0" applyFont="1"/>
    <xf numFmtId="0" fontId="78" fillId="0" borderId="0" xfId="0" applyFont="1" applyAlignment="1">
      <alignment horizontal="center"/>
    </xf>
    <xf numFmtId="171" fontId="11" fillId="0" borderId="0" xfId="13" applyNumberFormat="1" applyFont="1" applyFill="1" applyBorder="1" applyAlignment="1">
      <alignment horizontal="center" vertical="center"/>
    </xf>
    <xf numFmtId="10" fontId="10" fillId="0" borderId="0" xfId="18" applyNumberFormat="1" applyFont="1" applyFill="1" applyBorder="1" applyAlignment="1">
      <alignment vertical="center"/>
    </xf>
    <xf numFmtId="165" fontId="8" fillId="29" borderId="0" xfId="3" applyNumberFormat="1" applyFont="1" applyFill="1" applyAlignment="1">
      <alignment vertical="center"/>
    </xf>
    <xf numFmtId="43" fontId="0" fillId="9" borderId="0" xfId="1" applyFont="1" applyFill="1" applyBorder="1"/>
    <xf numFmtId="164" fontId="0" fillId="0" borderId="0" xfId="0" applyNumberFormat="1" applyAlignment="1">
      <alignment horizontal="center"/>
    </xf>
    <xf numFmtId="173" fontId="58" fillId="36" borderId="16" xfId="0" applyNumberFormat="1" applyFont="1" applyFill="1" applyBorder="1" applyAlignment="1">
      <alignment vertical="center"/>
    </xf>
    <xf numFmtId="9" fontId="68" fillId="0" borderId="0" xfId="0" applyNumberFormat="1" applyFont="1"/>
    <xf numFmtId="0" fontId="101" fillId="0" borderId="0" xfId="0" applyFont="1"/>
    <xf numFmtId="0" fontId="102" fillId="0" borderId="0" xfId="0" applyFont="1"/>
    <xf numFmtId="0" fontId="78" fillId="0" borderId="9" xfId="0" applyFont="1" applyBorder="1" applyAlignment="1">
      <alignment vertical="center"/>
    </xf>
    <xf numFmtId="17" fontId="78" fillId="0" borderId="9" xfId="0" applyNumberFormat="1" applyFont="1" applyBorder="1" applyAlignment="1">
      <alignment horizontal="center" vertical="center" wrapText="1"/>
    </xf>
    <xf numFmtId="0" fontId="103" fillId="0" borderId="9" xfId="0" applyFont="1" applyBorder="1" applyAlignment="1">
      <alignment vertical="center"/>
    </xf>
    <xf numFmtId="0" fontId="0" fillId="0" borderId="9" xfId="0" applyBorder="1" applyAlignment="1">
      <alignment vertical="center"/>
    </xf>
    <xf numFmtId="43" fontId="0" fillId="0" borderId="9" xfId="0" applyNumberFormat="1" applyBorder="1" applyAlignment="1">
      <alignment vertical="center"/>
    </xf>
    <xf numFmtId="0" fontId="100" fillId="0" borderId="9" xfId="0" applyFont="1" applyBorder="1" applyAlignment="1">
      <alignment vertical="center"/>
    </xf>
    <xf numFmtId="43" fontId="100" fillId="0" borderId="9" xfId="0" applyNumberFormat="1" applyFont="1" applyBorder="1" applyAlignment="1">
      <alignment vertical="center"/>
    </xf>
    <xf numFmtId="17" fontId="0" fillId="0" borderId="0" xfId="0" applyNumberFormat="1" applyAlignment="1">
      <alignment vertical="center"/>
    </xf>
    <xf numFmtId="0" fontId="101" fillId="0" borderId="0" xfId="0" applyFont="1" applyAlignment="1">
      <alignment vertical="center"/>
    </xf>
    <xf numFmtId="0" fontId="100" fillId="0" borderId="0" xfId="0" applyFont="1"/>
    <xf numFmtId="0" fontId="78" fillId="10" borderId="9" xfId="0" applyFont="1" applyFill="1" applyBorder="1" applyAlignment="1">
      <alignment vertical="center"/>
    </xf>
    <xf numFmtId="43" fontId="78" fillId="10" borderId="9" xfId="0" applyNumberFormat="1" applyFont="1" applyFill="1" applyBorder="1"/>
    <xf numFmtId="43" fontId="101" fillId="0" borderId="0" xfId="0" applyNumberFormat="1" applyFont="1"/>
    <xf numFmtId="14" fontId="0" fillId="0" borderId="0" xfId="0" applyNumberFormat="1"/>
    <xf numFmtId="49" fontId="0" fillId="0" borderId="0" xfId="0" applyNumberFormat="1"/>
    <xf numFmtId="187" fontId="0" fillId="0" borderId="0" xfId="0" applyNumberFormat="1"/>
    <xf numFmtId="0" fontId="71" fillId="43" borderId="9" xfId="0" applyFont="1" applyFill="1" applyBorder="1" applyAlignment="1">
      <alignment horizontal="center" vertical="center" wrapText="1"/>
    </xf>
    <xf numFmtId="0" fontId="71" fillId="44" borderId="9" xfId="0" applyFont="1" applyFill="1" applyBorder="1" applyAlignment="1">
      <alignment horizontal="center" vertical="center" wrapText="1"/>
    </xf>
    <xf numFmtId="0" fontId="52" fillId="45" borderId="0" xfId="0" applyFont="1" applyFill="1" applyAlignment="1">
      <alignment horizontal="left"/>
    </xf>
    <xf numFmtId="0" fontId="52" fillId="45" borderId="0" xfId="0" applyFont="1" applyFill="1"/>
    <xf numFmtId="17" fontId="19" fillId="0" borderId="0" xfId="0" applyNumberFormat="1" applyFont="1"/>
    <xf numFmtId="0" fontId="0" fillId="0" borderId="0" xfId="0" applyAlignment="1">
      <alignment horizontal="right" vertical="center"/>
    </xf>
    <xf numFmtId="0" fontId="104" fillId="0" borderId="0" xfId="0" applyFont="1"/>
    <xf numFmtId="0" fontId="0" fillId="0" borderId="0" xfId="0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105" fillId="0" borderId="0" xfId="0" applyFont="1"/>
    <xf numFmtId="0" fontId="0" fillId="0" borderId="0" xfId="0" applyAlignment="1">
      <alignment horizontal="right"/>
    </xf>
    <xf numFmtId="3" fontId="0" fillId="46" borderId="2" xfId="0" applyNumberFormat="1" applyFill="1" applyBorder="1"/>
    <xf numFmtId="3" fontId="0" fillId="46" borderId="2" xfId="0" applyNumberFormat="1" applyFill="1" applyBorder="1" applyAlignment="1">
      <alignment horizontal="right"/>
    </xf>
    <xf numFmtId="0" fontId="0" fillId="46" borderId="2" xfId="0" applyFill="1" applyBorder="1"/>
    <xf numFmtId="0" fontId="106" fillId="47" borderId="9" xfId="0" applyFont="1" applyFill="1" applyBorder="1" applyAlignment="1">
      <alignment vertical="center"/>
    </xf>
    <xf numFmtId="43" fontId="106" fillId="47" borderId="9" xfId="0" applyNumberFormat="1" applyFont="1" applyFill="1" applyBorder="1"/>
    <xf numFmtId="170" fontId="68" fillId="0" borderId="0" xfId="0" applyNumberFormat="1" applyFont="1"/>
    <xf numFmtId="184" fontId="68" fillId="0" borderId="0" xfId="0" applyNumberFormat="1" applyFont="1"/>
    <xf numFmtId="43" fontId="56" fillId="0" borderId="0" xfId="0" applyNumberFormat="1" applyFont="1" applyAlignment="1">
      <alignment horizontal="center" vertical="center"/>
    </xf>
    <xf numFmtId="4" fontId="55" fillId="36" borderId="49" xfId="0" applyNumberFormat="1" applyFont="1" applyFill="1" applyBorder="1" applyAlignment="1">
      <alignment horizontal="center" vertical="center"/>
    </xf>
    <xf numFmtId="0" fontId="77" fillId="0" borderId="0" xfId="0" applyFont="1"/>
    <xf numFmtId="0" fontId="56" fillId="0" borderId="44" xfId="0" applyFont="1" applyBorder="1" applyAlignment="1">
      <alignment vertical="center"/>
    </xf>
    <xf numFmtId="170" fontId="107" fillId="0" borderId="0" xfId="1" applyNumberFormat="1" applyFont="1"/>
    <xf numFmtId="0" fontId="6" fillId="13" borderId="9" xfId="3" applyFont="1" applyFill="1" applyBorder="1" applyAlignment="1">
      <alignment vertical="center"/>
    </xf>
    <xf numFmtId="0" fontId="10" fillId="13" borderId="9" xfId="16" applyFont="1" applyFill="1" applyBorder="1" applyAlignment="1">
      <alignment horizontal="center" vertical="center"/>
    </xf>
    <xf numFmtId="10" fontId="8" fillId="2" borderId="9" xfId="3" applyNumberFormat="1" applyFont="1" applyFill="1" applyBorder="1" applyAlignment="1">
      <alignment horizontal="center" vertical="center" wrapText="1"/>
    </xf>
    <xf numFmtId="0" fontId="2" fillId="13" borderId="7" xfId="3" applyFont="1" applyFill="1" applyBorder="1" applyAlignment="1">
      <alignment vertical="center"/>
    </xf>
    <xf numFmtId="43" fontId="2" fillId="13" borderId="7" xfId="1" applyFont="1" applyFill="1" applyBorder="1" applyAlignment="1">
      <alignment vertical="center"/>
    </xf>
    <xf numFmtId="43" fontId="2" fillId="13" borderId="13" xfId="1" applyFont="1" applyFill="1" applyBorder="1" applyAlignment="1">
      <alignment vertical="center"/>
    </xf>
    <xf numFmtId="43" fontId="6" fillId="13" borderId="12" xfId="1" applyFont="1" applyFill="1" applyBorder="1" applyAlignment="1">
      <alignment vertical="center"/>
    </xf>
    <xf numFmtId="43" fontId="0" fillId="0" borderId="0" xfId="1" applyFont="1"/>
    <xf numFmtId="43" fontId="0" fillId="5" borderId="0" xfId="0" applyNumberFormat="1" applyFill="1"/>
    <xf numFmtId="0" fontId="2" fillId="13" borderId="4" xfId="3" applyFont="1" applyFill="1" applyBorder="1" applyAlignment="1">
      <alignment vertical="center"/>
    </xf>
    <xf numFmtId="43" fontId="2" fillId="13" borderId="4" xfId="1" applyFont="1" applyFill="1" applyBorder="1" applyAlignment="1">
      <alignment vertical="center"/>
    </xf>
    <xf numFmtId="43" fontId="2" fillId="13" borderId="0" xfId="1" applyFont="1" applyFill="1" applyBorder="1" applyAlignment="1">
      <alignment vertical="center"/>
    </xf>
    <xf numFmtId="43" fontId="6" fillId="13" borderId="14" xfId="1" applyFont="1" applyFill="1" applyBorder="1" applyAlignment="1">
      <alignment vertical="center"/>
    </xf>
    <xf numFmtId="0" fontId="2" fillId="13" borderId="5" xfId="3" applyFont="1" applyFill="1" applyBorder="1" applyAlignment="1">
      <alignment vertical="center"/>
    </xf>
    <xf numFmtId="43" fontId="2" fillId="13" borderId="5" xfId="1" applyFont="1" applyFill="1" applyBorder="1" applyAlignment="1">
      <alignment vertical="center"/>
    </xf>
    <xf numFmtId="43" fontId="2" fillId="13" borderId="6" xfId="1" applyFont="1" applyFill="1" applyBorder="1" applyAlignment="1">
      <alignment vertical="center"/>
    </xf>
    <xf numFmtId="43" fontId="6" fillId="13" borderId="10" xfId="1" applyFont="1" applyFill="1" applyBorder="1" applyAlignment="1">
      <alignment vertical="center"/>
    </xf>
    <xf numFmtId="10" fontId="47" fillId="5" borderId="9" xfId="2" applyNumberFormat="1" applyFont="1" applyFill="1" applyBorder="1" applyAlignment="1">
      <alignment horizontal="center" vertical="center"/>
    </xf>
    <xf numFmtId="0" fontId="0" fillId="5" borderId="0" xfId="0" applyFill="1"/>
    <xf numFmtId="0" fontId="2" fillId="5" borderId="0" xfId="3" applyFont="1" applyFill="1" applyAlignment="1">
      <alignment vertical="center"/>
    </xf>
    <xf numFmtId="170" fontId="8" fillId="2" borderId="14" xfId="1" applyNumberFormat="1" applyFont="1" applyFill="1" applyBorder="1" applyAlignment="1">
      <alignment horizontal="center" vertical="center" wrapText="1"/>
    </xf>
    <xf numFmtId="2" fontId="11" fillId="0" borderId="0" xfId="13" applyNumberFormat="1" applyFont="1" applyFill="1" applyBorder="1" applyAlignment="1">
      <alignment horizontal="center" vertical="center"/>
    </xf>
    <xf numFmtId="188" fontId="13" fillId="6" borderId="14" xfId="13" applyNumberFormat="1" applyFont="1" applyFill="1" applyBorder="1" applyAlignment="1">
      <alignment horizontal="center" vertical="center"/>
    </xf>
    <xf numFmtId="2" fontId="11" fillId="0" borderId="0" xfId="1" applyNumberFormat="1" applyFont="1" applyFill="1" applyBorder="1" applyAlignment="1">
      <alignment horizontal="center" vertical="center"/>
    </xf>
    <xf numFmtId="10" fontId="2" fillId="0" borderId="0" xfId="2" applyNumberFormat="1" applyFont="1" applyAlignment="1">
      <alignment vertical="center"/>
    </xf>
    <xf numFmtId="188" fontId="13" fillId="6" borderId="12" xfId="13" applyNumberFormat="1" applyFont="1" applyFill="1" applyBorder="1" applyAlignment="1">
      <alignment horizontal="center" vertical="center"/>
    </xf>
    <xf numFmtId="170" fontId="2" fillId="13" borderId="0" xfId="3" applyNumberFormat="1" applyFont="1" applyFill="1" applyAlignment="1">
      <alignment vertical="center"/>
    </xf>
    <xf numFmtId="43" fontId="2" fillId="13" borderId="6" xfId="3" applyNumberFormat="1" applyFont="1" applyFill="1" applyBorder="1" applyAlignment="1">
      <alignment vertical="center"/>
    </xf>
    <xf numFmtId="188" fontId="13" fillId="6" borderId="10" xfId="13" applyNumberFormat="1" applyFont="1" applyFill="1" applyBorder="1" applyAlignment="1">
      <alignment horizontal="center" vertical="center"/>
    </xf>
    <xf numFmtId="189" fontId="2" fillId="0" borderId="0" xfId="3" applyNumberFormat="1" applyFont="1" applyAlignment="1">
      <alignment vertical="center"/>
    </xf>
    <xf numFmtId="168" fontId="46" fillId="0" borderId="40" xfId="52" applyNumberFormat="1" applyFont="1" applyBorder="1" applyAlignment="1">
      <alignment horizontal="center" vertical="center"/>
    </xf>
    <xf numFmtId="168" fontId="46" fillId="0" borderId="38" xfId="52" applyNumberFormat="1" applyFont="1" applyBorder="1" applyAlignment="1">
      <alignment horizontal="center"/>
    </xf>
    <xf numFmtId="169" fontId="46" fillId="5" borderId="40" xfId="52" applyNumberFormat="1" applyFont="1" applyFill="1" applyBorder="1" applyAlignment="1">
      <alignment horizontal="center" vertical="center"/>
    </xf>
    <xf numFmtId="169" fontId="46" fillId="0" borderId="40" xfId="52" applyNumberFormat="1" applyFont="1" applyBorder="1" applyAlignment="1">
      <alignment horizontal="center" vertical="center"/>
    </xf>
    <xf numFmtId="168" fontId="46" fillId="0" borderId="0" xfId="53" applyNumberFormat="1" applyFont="1"/>
    <xf numFmtId="0" fontId="47" fillId="13" borderId="35" xfId="53" applyFont="1" applyFill="1" applyBorder="1"/>
    <xf numFmtId="9" fontId="47" fillId="13" borderId="35" xfId="53" applyNumberFormat="1" applyFont="1" applyFill="1" applyBorder="1"/>
    <xf numFmtId="4" fontId="47" fillId="13" borderId="35" xfId="53" applyNumberFormat="1" applyFont="1" applyFill="1" applyBorder="1"/>
    <xf numFmtId="176" fontId="21" fillId="13" borderId="0" xfId="1" applyNumberFormat="1" applyFont="1" applyFill="1"/>
    <xf numFmtId="0" fontId="0" fillId="9" borderId="0" xfId="0" applyFill="1"/>
    <xf numFmtId="43" fontId="0" fillId="9" borderId="0" xfId="1" applyFont="1" applyFill="1"/>
    <xf numFmtId="0" fontId="21" fillId="0" borderId="0" xfId="0" applyFont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0" fillId="0" borderId="2" xfId="3" applyFont="1" applyBorder="1" applyAlignment="1">
      <alignment horizontal="right" vertical="center"/>
    </xf>
    <xf numFmtId="0" fontId="8" fillId="2" borderId="2" xfId="3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center" vertical="center"/>
    </xf>
    <xf numFmtId="0" fontId="10" fillId="0" borderId="1" xfId="3" applyFont="1" applyBorder="1" applyAlignment="1">
      <alignment horizontal="left" vertical="center"/>
    </xf>
    <xf numFmtId="0" fontId="10" fillId="0" borderId="2" xfId="3" applyFont="1" applyBorder="1" applyAlignment="1">
      <alignment horizontal="left" vertical="center"/>
    </xf>
    <xf numFmtId="0" fontId="10" fillId="0" borderId="3" xfId="3" applyFont="1" applyBorder="1" applyAlignment="1">
      <alignment horizontal="left" vertical="center"/>
    </xf>
    <xf numFmtId="0" fontId="54" fillId="34" borderId="16" xfId="0" applyFont="1" applyFill="1" applyBorder="1" applyAlignment="1">
      <alignment horizontal="center" vertical="center"/>
    </xf>
    <xf numFmtId="0" fontId="54" fillId="34" borderId="17" xfId="0" applyFont="1" applyFill="1" applyBorder="1" applyAlignment="1">
      <alignment horizontal="center" vertical="center"/>
    </xf>
    <xf numFmtId="0" fontId="54" fillId="34" borderId="45" xfId="0" applyFont="1" applyFill="1" applyBorder="1" applyAlignment="1">
      <alignment horizontal="center" vertical="center"/>
    </xf>
    <xf numFmtId="0" fontId="64" fillId="0" borderId="47" xfId="0" applyFont="1" applyBorder="1" applyAlignment="1">
      <alignment horizontal="right" vertical="center"/>
    </xf>
    <xf numFmtId="0" fontId="54" fillId="39" borderId="16" xfId="0" applyFont="1" applyFill="1" applyBorder="1" applyAlignment="1">
      <alignment horizontal="center" vertical="center"/>
    </xf>
    <xf numFmtId="0" fontId="54" fillId="39" borderId="17" xfId="0" applyFont="1" applyFill="1" applyBorder="1" applyAlignment="1">
      <alignment horizontal="center" vertical="center"/>
    </xf>
    <xf numFmtId="0" fontId="54" fillId="39" borderId="18" xfId="0" applyFont="1" applyFill="1" applyBorder="1" applyAlignment="1">
      <alignment horizontal="center" vertical="center"/>
    </xf>
    <xf numFmtId="0" fontId="54" fillId="39" borderId="53" xfId="0" applyFont="1" applyFill="1" applyBorder="1" applyAlignment="1">
      <alignment horizontal="center" vertical="center"/>
    </xf>
    <xf numFmtId="0" fontId="54" fillId="39" borderId="57" xfId="0" applyFont="1" applyFill="1" applyBorder="1" applyAlignment="1">
      <alignment horizontal="center" vertical="center"/>
    </xf>
    <xf numFmtId="0" fontId="55" fillId="0" borderId="16" xfId="0" applyFont="1" applyBorder="1" applyAlignment="1">
      <alignment horizontal="right" vertical="center"/>
    </xf>
    <xf numFmtId="0" fontId="55" fillId="0" borderId="17" xfId="0" applyFont="1" applyBorder="1" applyAlignment="1">
      <alignment horizontal="right" vertical="center"/>
    </xf>
    <xf numFmtId="0" fontId="55" fillId="0" borderId="45" xfId="0" applyFont="1" applyBorder="1" applyAlignment="1">
      <alignment horizontal="right" vertical="center"/>
    </xf>
    <xf numFmtId="0" fontId="55" fillId="0" borderId="16" xfId="0" applyFont="1" applyBorder="1" applyAlignment="1">
      <alignment horizontal="left" vertical="center"/>
    </xf>
    <xf numFmtId="0" fontId="55" fillId="0" borderId="17" xfId="0" applyFont="1" applyBorder="1" applyAlignment="1">
      <alignment horizontal="left" vertical="center"/>
    </xf>
    <xf numFmtId="0" fontId="55" fillId="0" borderId="45" xfId="0" applyFont="1" applyBorder="1" applyAlignment="1">
      <alignment horizontal="left" vertical="center"/>
    </xf>
    <xf numFmtId="0" fontId="64" fillId="0" borderId="0" xfId="0" applyFont="1" applyAlignment="1">
      <alignment horizontal="left"/>
    </xf>
    <xf numFmtId="0" fontId="59" fillId="0" borderId="0" xfId="0" applyFont="1" applyAlignment="1">
      <alignment vertical="center"/>
    </xf>
    <xf numFmtId="0" fontId="62" fillId="0" borderId="17" xfId="0" applyFont="1" applyBorder="1" applyAlignment="1">
      <alignment horizontal="center" vertical="center"/>
    </xf>
    <xf numFmtId="0" fontId="54" fillId="34" borderId="52" xfId="0" applyFont="1" applyFill="1" applyBorder="1" applyAlignment="1">
      <alignment horizontal="center" vertical="center"/>
    </xf>
    <xf numFmtId="0" fontId="64" fillId="0" borderId="51" xfId="0" applyFont="1" applyBorder="1" applyAlignment="1">
      <alignment horizontal="left"/>
    </xf>
    <xf numFmtId="0" fontId="54" fillId="34" borderId="18" xfId="0" applyFont="1" applyFill="1" applyBorder="1" applyAlignment="1">
      <alignment horizontal="center" vertical="center"/>
    </xf>
    <xf numFmtId="0" fontId="54" fillId="34" borderId="54" xfId="0" applyFont="1" applyFill="1" applyBorder="1" applyAlignment="1">
      <alignment horizontal="center" vertical="center"/>
    </xf>
    <xf numFmtId="0" fontId="54" fillId="34" borderId="51" xfId="0" applyFont="1" applyFill="1" applyBorder="1" applyAlignment="1">
      <alignment horizontal="center" vertical="center"/>
    </xf>
    <xf numFmtId="0" fontId="70" fillId="34" borderId="16" xfId="0" applyFont="1" applyFill="1" applyBorder="1" applyAlignment="1">
      <alignment horizontal="center" vertical="center"/>
    </xf>
    <xf numFmtId="0" fontId="70" fillId="34" borderId="17" xfId="0" applyFont="1" applyFill="1" applyBorder="1" applyAlignment="1">
      <alignment horizontal="center" vertical="center"/>
    </xf>
    <xf numFmtId="0" fontId="70" fillId="34" borderId="45" xfId="0" applyFont="1" applyFill="1" applyBorder="1" applyAlignment="1">
      <alignment horizontal="center" vertical="center"/>
    </xf>
    <xf numFmtId="0" fontId="70" fillId="15" borderId="2" xfId="3" applyFont="1" applyFill="1" applyBorder="1" applyAlignment="1">
      <alignment horizontal="center" vertical="center"/>
    </xf>
    <xf numFmtId="0" fontId="70" fillId="15" borderId="3" xfId="3" applyFont="1" applyFill="1" applyBorder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28" fillId="0" borderId="6" xfId="0" applyFont="1" applyBorder="1" applyAlignment="1">
      <alignment horizontal="center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/>
    </xf>
    <xf numFmtId="0" fontId="54" fillId="40" borderId="12" xfId="0" applyFont="1" applyFill="1" applyBorder="1" applyAlignment="1">
      <alignment horizontal="center" vertical="center"/>
    </xf>
    <xf numFmtId="0" fontId="54" fillId="40" borderId="10" xfId="0" applyFont="1" applyFill="1" applyBorder="1" applyAlignment="1">
      <alignment horizontal="center" vertical="center"/>
    </xf>
    <xf numFmtId="0" fontId="54" fillId="34" borderId="13" xfId="0" applyFont="1" applyFill="1" applyBorder="1" applyAlignment="1">
      <alignment horizontal="center" vertical="center"/>
    </xf>
    <xf numFmtId="0" fontId="64" fillId="0" borderId="6" xfId="0" applyFont="1" applyBorder="1" applyAlignment="1">
      <alignment horizontal="right"/>
    </xf>
    <xf numFmtId="0" fontId="91" fillId="0" borderId="1" xfId="0" applyFont="1" applyBorder="1" applyAlignment="1">
      <alignment horizontal="right" vertical="center"/>
    </xf>
    <xf numFmtId="0" fontId="91" fillId="0" borderId="2" xfId="0" applyFont="1" applyBorder="1" applyAlignment="1">
      <alignment horizontal="right" vertical="center"/>
    </xf>
    <xf numFmtId="0" fontId="91" fillId="0" borderId="3" xfId="0" applyFont="1" applyBorder="1" applyAlignment="1">
      <alignment horizontal="right" vertical="center"/>
    </xf>
    <xf numFmtId="0" fontId="54" fillId="40" borderId="13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left" vertical="top" wrapText="1"/>
    </xf>
    <xf numFmtId="0" fontId="54" fillId="42" borderId="59" xfId="0" applyFont="1" applyFill="1" applyBorder="1" applyAlignment="1">
      <alignment horizontal="center" vertical="center"/>
    </xf>
    <xf numFmtId="0" fontId="54" fillId="42" borderId="0" xfId="0" applyFont="1" applyFill="1" applyAlignment="1">
      <alignment horizontal="center" vertical="center"/>
    </xf>
    <xf numFmtId="0" fontId="20" fillId="28" borderId="39" xfId="52" applyFont="1" applyFill="1" applyBorder="1" applyAlignment="1">
      <alignment horizontal="center" vertical="center"/>
    </xf>
    <xf numFmtId="3" fontId="49" fillId="27" borderId="36" xfId="52" applyNumberFormat="1" applyFont="1" applyFill="1" applyBorder="1" applyAlignment="1">
      <alignment horizontal="left" vertical="center" wrapText="1"/>
    </xf>
    <xf numFmtId="3" fontId="49" fillId="27" borderId="37" xfId="52" applyNumberFormat="1" applyFont="1" applyFill="1" applyBorder="1" applyAlignment="1">
      <alignment horizontal="left" vertical="center" wrapText="1"/>
    </xf>
    <xf numFmtId="0" fontId="49" fillId="27" borderId="38" xfId="52" applyFont="1" applyFill="1" applyBorder="1" applyAlignment="1">
      <alignment horizontal="left" vertical="center"/>
    </xf>
    <xf numFmtId="0" fontId="20" fillId="28" borderId="41" xfId="52" applyFont="1" applyFill="1" applyBorder="1" applyAlignment="1">
      <alignment horizontal="center" vertical="center"/>
    </xf>
    <xf numFmtId="0" fontId="20" fillId="28" borderId="42" xfId="52" applyFont="1" applyFill="1" applyBorder="1" applyAlignment="1">
      <alignment horizontal="center" vertical="center"/>
    </xf>
    <xf numFmtId="0" fontId="20" fillId="28" borderId="39" xfId="52" applyFont="1" applyFill="1" applyBorder="1" applyAlignment="1">
      <alignment horizontal="center"/>
    </xf>
  </cellXfs>
  <cellStyles count="57">
    <cellStyle name="Millares 2" xfId="43" xr:uid="{987B7AF3-7172-48DA-873A-21D39ED3B738}"/>
    <cellStyle name="Normal" xfId="0" builtinId="0"/>
    <cellStyle name="Normal - Style1" xfId="29" xr:uid="{B1BE209A-883F-4179-BC7B-647F0C024572}"/>
    <cellStyle name="Normal 10" xfId="56" xr:uid="{83C2E8F3-E5FB-4968-A5DC-5FB5B71096D8}"/>
    <cellStyle name="Normal 10 8 2" xfId="31" xr:uid="{04B8346E-EF7A-42A7-8416-A6DABC36E5C1}"/>
    <cellStyle name="Normal 105 2 2" xfId="16" xr:uid="{73041CAA-EEB0-4A31-983C-C8A2CB23A62F}"/>
    <cellStyle name="Normal 2" xfId="7" xr:uid="{248CF596-7CBD-4D55-80F6-49B86BB471A8}"/>
    <cellStyle name="Normal 2 10" xfId="19" xr:uid="{62F725CE-FF13-4CCB-9E34-4D00D3DDCD95}"/>
    <cellStyle name="Normal 2 2" xfId="15" xr:uid="{90357CB4-CAEA-4A47-850E-D749F2532851}"/>
    <cellStyle name="Normal 2 2 2" xfId="3" xr:uid="{4023B42F-ABA4-4652-AC1B-C93C056D0CFA}"/>
    <cellStyle name="Normal 2 2 2 2" xfId="11" xr:uid="{012C30B9-3A42-4B29-B577-0727542A800D}"/>
    <cellStyle name="Normal 2 2 2 3" xfId="34" xr:uid="{EF07AA49-E1F3-4436-A1AD-69D0E1A7F8B4}"/>
    <cellStyle name="Normal 2 3" xfId="53" xr:uid="{C9FFE998-E481-482F-902B-FAEECC83A882}"/>
    <cellStyle name="Normal 2 4" xfId="52" xr:uid="{09776B11-69B0-4048-B8A0-6C7767D5B4BC}"/>
    <cellStyle name="Normal 2 5" xfId="54" xr:uid="{DA5A96B4-4941-4FD2-91A0-89154D29E8CB}"/>
    <cellStyle name="Normal 3" xfId="9" xr:uid="{8A73C26A-E6A0-450C-9447-EB8DB8DB1B6C}"/>
    <cellStyle name="Normal 3 2" xfId="24" xr:uid="{16941531-D006-4E3E-AF6C-EC809C368454}"/>
    <cellStyle name="Normal 4" xfId="55" xr:uid="{960C23DB-97DF-4315-BEDD-6F40D3F39DF6}"/>
    <cellStyle name="Normal_ipca_201707SerieHist" xfId="50" xr:uid="{5F99CD1E-F199-40D3-89BA-48E0CC4D472A}"/>
    <cellStyle name="Normal_ipca_201707SerieHist 2" xfId="51" xr:uid="{75611CEF-CB4F-4FEF-90F3-C8B3D275B36A}"/>
    <cellStyle name="Porcentagem" xfId="2" builtinId="5"/>
    <cellStyle name="Porcentagem 2" xfId="6" xr:uid="{FAF87F13-FA2A-49F0-A37B-1301BF3F6BA5}"/>
    <cellStyle name="Porcentagem 2 2" xfId="18" xr:uid="{E9C722DA-C628-466F-A7CB-C069E89517EA}"/>
    <cellStyle name="Porcentagem 2 2 2 2" xfId="14" xr:uid="{117AEF73-9396-4CEA-BDC4-2EC72B10BF96}"/>
    <cellStyle name="Porcentagem 2 3" xfId="33" xr:uid="{57778798-02CF-45AD-A31D-29CC7E361DA7}"/>
    <cellStyle name="Porcentagem 3" xfId="10" xr:uid="{76A09E59-AA80-4467-B009-DD977DAFC2CE}"/>
    <cellStyle name="Porcentagem 3 2" xfId="4" xr:uid="{9EB3931E-9E6F-43FA-B695-13F461D83D7B}"/>
    <cellStyle name="Porcentagem 4" xfId="23" xr:uid="{69C20904-6BC7-4B82-A795-BFB7C2D0F7F8}"/>
    <cellStyle name="Porcentual 3 2" xfId="36" xr:uid="{F15E9E72-1F71-4ADF-B89D-0AEF5D98037D}"/>
    <cellStyle name="Separador de milhares 10" xfId="48" xr:uid="{2ED083DE-ED82-456C-98AC-D7BCCE4ED1A2}"/>
    <cellStyle name="Separador de milhares 13" xfId="47" xr:uid="{AB2F3982-37EB-41B9-AC63-14F488A8C8F9}"/>
    <cellStyle name="Separador de milhares 14" xfId="49" xr:uid="{17316E30-88C8-4628-B2CA-C15DC192FF9D}"/>
    <cellStyle name="Separador de milhares 2" xfId="25" xr:uid="{FC0C7CE4-4FA7-4392-94E0-4E4C4FAB7CCC}"/>
    <cellStyle name="Separador de milhares 6" xfId="44" xr:uid="{378FA7ED-4A82-4F13-A991-5E0579B2324B}"/>
    <cellStyle name="Separador de milhares 7" xfId="45" xr:uid="{611D5E72-4D03-4742-881D-B0DEC563F3D9}"/>
    <cellStyle name="Separador de milhares 8" xfId="46" xr:uid="{5B58DC9E-C8DA-4EF2-84C1-1E07BAC57139}"/>
    <cellStyle name="Vírgula" xfId="1" builtinId="3"/>
    <cellStyle name="Vírgula 2" xfId="12" xr:uid="{C156168F-2D7C-4E5D-8B41-43F5177255B7}"/>
    <cellStyle name="Vírgula 2 2" xfId="8" xr:uid="{35E8EA8A-0280-46B6-AEDE-66285235599A}"/>
    <cellStyle name="Vírgula 2 2 2" xfId="40" xr:uid="{0798540F-5E02-46F2-8631-5DCD9DA8466D}"/>
    <cellStyle name="Vírgula 2 3" xfId="5" xr:uid="{745E71EE-A8DF-4D6D-8B21-04B5CB8DE8C0}"/>
    <cellStyle name="Vírgula 2 3 2" xfId="13" xr:uid="{F5898F16-2FBA-425E-9F5E-CEBF329BC475}"/>
    <cellStyle name="Vírgula 2 3 2 2" xfId="22" xr:uid="{F295F63D-9682-4CBC-90FF-98B737CF2447}"/>
    <cellStyle name="Vírgula 2 4" xfId="17" xr:uid="{F4637D96-70FD-4BF5-BB98-F0D9FD2FB3AD}"/>
    <cellStyle name="Vírgula 2 4 2" xfId="39" xr:uid="{7C07C365-1D8A-4B8A-808F-356198CE46A1}"/>
    <cellStyle name="Vírgula 2 5" xfId="30" xr:uid="{3F78457C-4EFC-428F-A623-CE804CFA6ABC}"/>
    <cellStyle name="Vírgula 3" xfId="21" xr:uid="{158A4234-610D-41B1-96C3-153D7E6799F0}"/>
    <cellStyle name="Vírgula 3 3" xfId="26" xr:uid="{0D679CD2-CD3C-4CA8-B7FD-D987AC33E410}"/>
    <cellStyle name="Vírgula 3 3 2" xfId="38" xr:uid="{AA0EE7C0-26EB-4941-BB95-B45B2DBF3606}"/>
    <cellStyle name="Vírgula 3 3 2 2" xfId="42" xr:uid="{4D538242-571D-499D-9B4B-ACD3F297FEEB}"/>
    <cellStyle name="Vírgula 4" xfId="20" xr:uid="{671C91AF-FD42-4E98-963D-DC2F7385ACC3}"/>
    <cellStyle name="Vírgula 4 2" xfId="32" xr:uid="{2FC5DA7F-DBD7-4166-A631-B9A2E048695C}"/>
    <cellStyle name="Vírgula 4 3" xfId="41" xr:uid="{9CB07001-D725-487D-86CF-7D41E26D8965}"/>
    <cellStyle name="Vírgula 4 4" xfId="27" xr:uid="{FE1F6186-31AD-49AB-B6F7-6B03F3042F72}"/>
    <cellStyle name="Vírgula 5" xfId="28" xr:uid="{B7110161-D909-40C9-8508-241F11284F68}"/>
    <cellStyle name="Vírgula 5 2" xfId="37" xr:uid="{3DC09111-E8BB-4D8D-B4DC-182E26211B90}"/>
    <cellStyle name="Vírgula 5 3" xfId="35" xr:uid="{AA90FB8B-47D0-405F-9A2C-C8A05CE6B6B5}"/>
  </cellStyles>
  <dxfs count="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66CC"/>
      <color rgb="FFFFB7E7"/>
      <color rgb="FF66FF66"/>
      <color rgb="FFFF85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7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39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37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0.xml"/><Relationship Id="rId67" Type="http://schemas.openxmlformats.org/officeDocument/2006/relationships/customXml" Target="../customXml/item2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3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0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'Tabelas PN'!$F$101</c:f>
              <c:strCache>
                <c:ptCount val="1"/>
                <c:pt idx="0">
                  <c:v>Vendas GNV (M m³)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'Tabelas PN'!$G$100:$M$100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'Tabelas PN'!$G$101:$M$101</c:f>
              <c:numCache>
                <c:formatCode>_-* #,##0.0_-;\-* #,##0.0_-;_-* "-"??_-;_-@_-</c:formatCode>
                <c:ptCount val="7"/>
                <c:pt idx="0">
                  <c:v>232.691551</c:v>
                </c:pt>
                <c:pt idx="1">
                  <c:v>231.070201</c:v>
                </c:pt>
                <c:pt idx="2">
                  <c:v>202.778222</c:v>
                </c:pt>
                <c:pt idx="3">
                  <c:v>225.303833</c:v>
                </c:pt>
                <c:pt idx="4">
                  <c:v>229.20486199999999</c:v>
                </c:pt>
                <c:pt idx="5">
                  <c:v>195.916</c:v>
                </c:pt>
                <c:pt idx="6">
                  <c:v>170.69513268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7-48CB-A3CE-80BD9E3B311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80196496"/>
        <c:axId val="80197744"/>
      </c:barChart>
      <c:catAx>
        <c:axId val="8019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0197744"/>
        <c:crosses val="autoZero"/>
        <c:auto val="1"/>
        <c:lblAlgn val="ctr"/>
        <c:lblOffset val="100"/>
        <c:noMultiLvlLbl val="0"/>
      </c:catAx>
      <c:valAx>
        <c:axId val="8019774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 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-* #,##0.0_-;\-* #,##0.0_-;_-* &quot;-&quot;??_-;_-@_-" sourceLinked="1"/>
        <c:majorTickMark val="none"/>
        <c:minorTickMark val="none"/>
        <c:tickLblPos val="nextTo"/>
        <c:crossAx val="8019649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'Tabelas PN'!$B$307</c:f>
              <c:strCache>
                <c:ptCount val="1"/>
                <c:pt idx="0">
                  <c:v>Consumo unitário  Residencial (m³/mes)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'Tabelas PN'!$C$306:$H$306</c:f>
              <c:numCache>
                <c:formatCode>General</c:formatCode>
                <c:ptCount val="6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</c:numCache>
            </c:numRef>
          </c:cat>
          <c:val>
            <c:numRef>
              <c:f>'Tabelas PN'!$C$307:$H$307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8-459B-A5BD-A683FEB6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557743"/>
        <c:axId val="1172559183"/>
      </c:lineChart>
      <c:catAx>
        <c:axId val="1172557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2559183"/>
        <c:crosses val="autoZero"/>
        <c:auto val="1"/>
        <c:lblAlgn val="ctr"/>
        <c:lblOffset val="100"/>
        <c:noMultiLvlLbl val="0"/>
      </c:catAx>
      <c:valAx>
        <c:axId val="1172559183"/>
        <c:scaling>
          <c:orientation val="minMax"/>
          <c:min val="5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2557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0" i="0" u="none" strike="noStrike" kern="1200" cap="none" spc="20" baseline="0">
                <a:solidFill>
                  <a:sysClr val="windowText" lastClr="000000">
                    <a:lumMod val="50000"/>
                    <a:lumOff val="50000"/>
                  </a:sysClr>
                </a:solidFill>
              </a:rPr>
              <a:t>Evolução Km de rede e Clientes - Ceg 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'Tabelas PN'!$B$329:$C$329</c:f>
              <c:strCache>
                <c:ptCount val="2"/>
                <c:pt idx="0">
                  <c:v>Extensão de rede total</c:v>
                </c:pt>
                <c:pt idx="1">
                  <c:v>km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'Tabelas PN'!$D$328:$L$328</c:f>
              <c:strCache>
                <c:ptCount val="9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2027(¹)</c:v>
                </c:pt>
              </c:strCache>
            </c:strRef>
          </c:cat>
          <c:val>
            <c:numRef>
              <c:f>'Tabelas PN'!$D$329:$L$329</c:f>
              <c:numCache>
                <c:formatCode>_-* #,##0_-;\-* #,##0_-;_-* "-"??_-;_-@_-</c:formatCode>
                <c:ptCount val="9"/>
                <c:pt idx="1">
                  <c:v>1298.2</c:v>
                </c:pt>
                <c:pt idx="2">
                  <c:v>1313.2</c:v>
                </c:pt>
                <c:pt idx="3">
                  <c:v>1322.3</c:v>
                </c:pt>
                <c:pt idx="4">
                  <c:v>1397</c:v>
                </c:pt>
                <c:pt idx="5">
                  <c:v>1405</c:v>
                </c:pt>
                <c:pt idx="6">
                  <c:v>2065.6433574841953</c:v>
                </c:pt>
                <c:pt idx="7">
                  <c:v>2975.5065583155229</c:v>
                </c:pt>
                <c:pt idx="8">
                  <c:v>3043.7044996358045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F-4FA7-9D47-6A0C3CF23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5429215"/>
        <c:axId val="555422975"/>
      </c:barChart>
      <c:lineChart>
        <c:grouping val="standard"/>
        <c:varyColors val="0"/>
        <c:ser>
          <c:idx val="1"/>
          <c:order val="1"/>
          <c:tx>
            <c:strRef>
              <c:f>'Tabelas PN'!$B$330:$C$330</c:f>
              <c:strCache>
                <c:ptCount val="2"/>
                <c:pt idx="0">
                  <c:v>Clientes totais</c:v>
                </c:pt>
                <c:pt idx="1">
                  <c:v>km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'Tabelas PN'!$D$328:$L$328</c:f>
              <c:strCache>
                <c:ptCount val="9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2027(¹)</c:v>
                </c:pt>
              </c:strCache>
            </c:strRef>
          </c:cat>
          <c:val>
            <c:numRef>
              <c:f>'Tabelas PN'!$D$330:$L$330</c:f>
              <c:numCache>
                <c:formatCode>_-* #,##0_-;\-* #,##0_-;_-* "-"??_-;_-@_-</c:formatCode>
                <c:ptCount val="9"/>
                <c:pt idx="1">
                  <c:v>84110</c:v>
                </c:pt>
                <c:pt idx="2">
                  <c:v>86659</c:v>
                </c:pt>
                <c:pt idx="3">
                  <c:v>88751</c:v>
                </c:pt>
                <c:pt idx="4">
                  <c:v>89862</c:v>
                </c:pt>
                <c:pt idx="5">
                  <c:v>91509</c:v>
                </c:pt>
                <c:pt idx="6">
                  <c:v>93573.428412339097</c:v>
                </c:pt>
                <c:pt idx="7">
                  <c:v>95672.223444369491</c:v>
                </c:pt>
                <c:pt idx="8">
                  <c:v>96836.83912738481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F-4FA7-9D47-6A0C3CF23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03231"/>
        <c:axId val="209901791"/>
      </c:lineChart>
      <c:catAx>
        <c:axId val="209903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01791"/>
        <c:crosses val="autoZero"/>
        <c:auto val="1"/>
        <c:lblAlgn val="ctr"/>
        <c:lblOffset val="100"/>
        <c:noMultiLvlLbl val="0"/>
      </c:catAx>
      <c:valAx>
        <c:axId val="209901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03231"/>
        <c:crosses val="autoZero"/>
        <c:crossBetween val="between"/>
      </c:valAx>
      <c:valAx>
        <c:axId val="555422975"/>
        <c:scaling>
          <c:orientation val="minMax"/>
          <c:max val="31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55429215"/>
        <c:crosses val="max"/>
        <c:crossBetween val="between"/>
      </c:valAx>
      <c:catAx>
        <c:axId val="555429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54229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97</xdr:row>
      <xdr:rowOff>100011</xdr:rowOff>
    </xdr:from>
    <xdr:to>
      <xdr:col>4</xdr:col>
      <xdr:colOff>223630</xdr:colOff>
      <xdr:row>112</xdr:row>
      <xdr:rowOff>171449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31B6EC-CF61-20A2-B5B0-1F7B205596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51954</xdr:colOff>
      <xdr:row>308</xdr:row>
      <xdr:rowOff>137968</xdr:rowOff>
    </xdr:from>
    <xdr:to>
      <xdr:col>7</xdr:col>
      <xdr:colOff>23090</xdr:colOff>
      <xdr:row>324</xdr:row>
      <xdr:rowOff>17895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0F1F81-6124-3518-F7E0-CCCAB6348E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408978</xdr:colOff>
      <xdr:row>308</xdr:row>
      <xdr:rowOff>147918</xdr:rowOff>
    </xdr:from>
    <xdr:to>
      <xdr:col>11</xdr:col>
      <xdr:colOff>362188</xdr:colOff>
      <xdr:row>324</xdr:row>
      <xdr:rowOff>1372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DD4060F6-CD4C-48E9-B952-5A11045A75B3}"/>
            </a:ext>
          </a:extLst>
        </xdr:cNvPr>
        <xdr:cNvGrpSpPr/>
      </xdr:nvGrpSpPr>
      <xdr:grpSpPr>
        <a:xfrm>
          <a:off x="9372003" y="54621393"/>
          <a:ext cx="3810835" cy="2596654"/>
          <a:chOff x="4000500" y="74303659"/>
          <a:chExt cx="3986781" cy="275479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2C4C25FC-FD4C-4672-8DF2-F514873D59F4}"/>
              </a:ext>
            </a:extLst>
          </xdr:cNvPr>
          <xdr:cNvGraphicFramePr>
            <a:graphicFrameLocks/>
          </xdr:cNvGraphicFramePr>
        </xdr:nvGraphicFramePr>
        <xdr:xfrm>
          <a:off x="4000500" y="74303659"/>
          <a:ext cx="3986781" cy="275479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AD94D2F7-B3D6-8D8C-02B7-EAB466FEDA18}"/>
              </a:ext>
            </a:extLst>
          </xdr:cNvPr>
          <xdr:cNvSpPr/>
        </xdr:nvSpPr>
        <xdr:spPr>
          <a:xfrm>
            <a:off x="6260522" y="74773559"/>
            <a:ext cx="311728" cy="1968788"/>
          </a:xfrm>
          <a:prstGeom prst="rect">
            <a:avLst/>
          </a:prstGeom>
          <a:noFill/>
          <a:ln>
            <a:solidFill>
              <a:srgbClr val="FFC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114300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A807768-E1D8-4CDB-A224-695ED8246F18}"/>
            </a:ext>
          </a:extLst>
        </xdr:cNvPr>
        <xdr:cNvSpPr>
          <a:spLocks noChangeAspect="1" noChangeArrowheads="1"/>
        </xdr:cNvSpPr>
      </xdr:nvSpPr>
      <xdr:spPr bwMode="auto">
        <a:xfrm>
          <a:off x="963930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114300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A52E28C2-06E7-4AD2-88B1-9EC5C469B72D}"/>
            </a:ext>
          </a:extLst>
        </xdr:cNvPr>
        <xdr:cNvSpPr>
          <a:spLocks noChangeAspect="1" noChangeArrowheads="1"/>
        </xdr:cNvSpPr>
      </xdr:nvSpPr>
      <xdr:spPr bwMode="auto">
        <a:xfrm>
          <a:off x="963930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8</xdr:col>
      <xdr:colOff>0</xdr:colOff>
      <xdr:row>22</xdr:row>
      <xdr:rowOff>0</xdr:rowOff>
    </xdr:from>
    <xdr:ext cx="304800" cy="304800"/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FEA2D810-F549-4A93-B3FE-A91EB2A8FFBA}"/>
            </a:ext>
          </a:extLst>
        </xdr:cNvPr>
        <xdr:cNvSpPr>
          <a:spLocks noChangeAspect="1" noChangeArrowheads="1"/>
        </xdr:cNvSpPr>
      </xdr:nvSpPr>
      <xdr:spPr bwMode="auto">
        <a:xfrm>
          <a:off x="963930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22</xdr:row>
      <xdr:rowOff>0</xdr:rowOff>
    </xdr:from>
    <xdr:ext cx="304800" cy="304800"/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A942E2C9-FD65-459E-97B1-C681B717B858}"/>
            </a:ext>
          </a:extLst>
        </xdr:cNvPr>
        <xdr:cNvSpPr>
          <a:spLocks noChangeAspect="1" noChangeArrowheads="1"/>
        </xdr:cNvSpPr>
      </xdr:nvSpPr>
      <xdr:spPr bwMode="auto">
        <a:xfrm>
          <a:off x="963930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12</xdr:row>
      <xdr:rowOff>0</xdr:rowOff>
    </xdr:from>
    <xdr:ext cx="304800" cy="304800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54FAB710-9A19-491D-B2BD-8041A143F9B7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304800" cy="304800"/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EE5F193E-B98B-4801-9171-5EF286D477E5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304800" cy="304800"/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C539029F-469D-4D45-AAAA-AD69D521FD54}"/>
            </a:ext>
          </a:extLst>
        </xdr:cNvPr>
        <xdr:cNvSpPr>
          <a:spLocks noChangeAspect="1" noChangeArrowheads="1"/>
        </xdr:cNvSpPr>
      </xdr:nvSpPr>
      <xdr:spPr bwMode="auto">
        <a:xfrm>
          <a:off x="1064895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B91B3EB6-D0EE-4190-A48A-E34613F47915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12</xdr:row>
      <xdr:rowOff>0</xdr:rowOff>
    </xdr:from>
    <xdr:ext cx="304800" cy="304800"/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77AB9A5A-3327-4FD9-9AA3-64C64C8A61DC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22</xdr:row>
      <xdr:rowOff>0</xdr:rowOff>
    </xdr:from>
    <xdr:ext cx="304800" cy="304800"/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F81AAD9C-4F84-41C5-A996-9C4FB481E9AA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22</xdr:row>
      <xdr:rowOff>0</xdr:rowOff>
    </xdr:from>
    <xdr:ext cx="304800" cy="304800"/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B9C4FBBB-EBC8-4015-8DD1-683C201E40A4}"/>
            </a:ext>
          </a:extLst>
        </xdr:cNvPr>
        <xdr:cNvSpPr>
          <a:spLocks noChangeAspect="1" noChangeArrowheads="1"/>
        </xdr:cNvSpPr>
      </xdr:nvSpPr>
      <xdr:spPr bwMode="auto">
        <a:xfrm>
          <a:off x="1156335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CON\conso2000\09-septiembre\Estados\Eoaf9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gas11\Planejamento_da_Demanda\EVT\RISK\ROBIN\PAPA\FORM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isa001\plgercg\GESTFDOS\Financieros\Presupuesto\Presupuesto2003\Enviado%20a%20PyC%20-%20version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SECOF\Estoque\Kardex%20Tes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gas11\Planejamento_da_Demanda\Planej_Finan\RISK\ROBIN\PAPA\FORM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gas11\Planejamento_da_Demanda\Planej_Finan\RISK\ROBIN\PAPA\FORM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CSC\Despesas%20Antecipadas\0016%20.%20FBL3N%20-%2018-10-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Usuarios\Pasta%20de%20Trabalho\Tesouraria\FLUXO\ANUAL95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sasf01\plgercg\GCG\ARG_PTO_2007\GNBAN\Renegociaci&#243;n\Para%20Price\Modelo%20Simplificado%20AUDITADO%202005081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Orcamentos\Consulta%20Investimentos%20CdG\03%20-%20Fechamento\Investimento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Documents%20and%20Settings\00011963\Configuraci&#243;n%20local\Archivos%20temporales%20de%20Internet\OLK10C\Seguimiento%20T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gas11\Planejamento_da_Demanda\RISK\ROBIN\PAPA\FORM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snatural.sharepoint.com/Documents%20and%20Settings/00099987/Desktop/Pessoal/MBA%20IBMEC/TCC/Vs%20Final/IndexServices/Melinda/Global%20Index%20Review/US%20Indic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snatural.sharepoint.com/Documents%20and%20Settings/00099987/Desktop/Pessoal/MBA%20IBMEC/TCC/Vs%20Final/IndexServices/Melinda/Global%20Index%20Review/Index%20Review%204%20(US%20Indices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\Planejamento\Tarifas\Acompanhamento%20tarif&#225;rio%2007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MPA%202007\MPA%20I%20'07\Presentaci&#243;n%20MPA%20I\Nuevas%20magnitudes%20I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cgas\DAF\Planejamento\Tarifas\AcompanhamentoTarif&#225;rio01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CON\WINDOWS\Escritorio\hojaseliminadaspresentac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gas11\Planejamento_da_Demanda\Documentos_Projetos_Bolsoes\Modelo%20Docs\Campinas\RISK\ROBIN\PAPA\FORM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ISK\ROBIN\PAPA\FORM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ANP\Ceg\OR&#199;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gas11\Planejamento_da_Demanda\Documentos_Projetos_Bolsoes\Modelo%20Docs\Campinas\RISK\ROBIN\PAPA\FORM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gas11\Planejamento_da_Demanda\Documentos_Projetos_Bolsoes\Projetos%20Aprovados%20RIC%20LL4%20e%20Integrados\2007\INT%20003_07%20-%20Santos\economics%20projeto%20santos\RISK\ROBIN\PAPA\FORM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&#225;lculo%20receit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OR13A\TMNCTRLGECON\MPA%202007\MPA%20II%20'07\MPA%20II%2020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ng&#233;lica\Apresenta&#231;&#245;es\Tarifas\BOLETIM\PREENCHIMENTO\Boletim%20Mensal%20Modificad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CON\DMC\Fichas\UPARDTO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GFAB\DIR_PLANEJ\Ang&#233;lica\Apresenta&#231;&#245;es\Tarifas\BOLETIM\PREENCHIMENTO\Boletim%20Mensal%20Modificad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Publica\2003\Publica%2012%20Diciembre%202003\Mes-cte\balance%2031-12-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ERGAN.WK3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Publica\2003\Publica%2012%20Diciembre%202003\Mes-cte\anexo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grupos_ceg\grupos_ceg\grupos_ceg\grupos_ceg\Publica\2003\Publica%2012%20Diciembre%202003\Mes-cte\notas%2031-12-03.xls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esar%20Yori\Downloads\CEG_RIO%20Modelo%20&amp;%20Tabelas%2017-12-25-orig.xlsx" TargetMode="External"/><Relationship Id="rId1" Type="http://schemas.openxmlformats.org/officeDocument/2006/relationships/externalLinkPath" Target="file:///C:\Users\Cesar%20Yori\Downloads\CEG_RIO%20Modelo%20&amp;%20Tabelas%2017-12-25-ori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gas11\Planejamento_da_Demanda\Projetos%20Aprovados%20RIC%20LL4%20e%20Integrados\2007\INT%20003_07%20-%20Santos\economics%20projeto%20santos\RISK\ROBIN\PAPA\FORM2.XLS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00100203\NATURGY\Regula&#231;&#227;o%20-%20000-%20DIREG\Regula&#231;&#227;o%20e%20tarifas\5&#170;%20RTI\5-Templates\Vers&#227;o%20atual\CEG_RIO%20Agenersa.xlsx" TargetMode="External"/><Relationship Id="rId1" Type="http://schemas.openxmlformats.org/officeDocument/2006/relationships/externalLinkPath" Target="https://gasnatural.sharepoint.com/sites/Regulao/Documentos%20Compartilhados/000-%20DIREG/Regula&#231;&#227;o%20e%20tarifas/5&#170;%20RTI/5-Templates/Vers&#227;o%20Taxa%208,92%25/CEG_RIO%20Agenersa.xlsx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quantumamerica0.sharepoint.com/sites/GNBP/Documentos%20compartidos/CEG/5%20RTI%20CEG%20e%20CEG%20RIO/Atualiza&#231;&#227;o%202025/02%20C&#225;lculos/m/CEG_RIO%20Agenersa.xlsx" TargetMode="External"/><Relationship Id="rId1" Type="http://schemas.openxmlformats.org/officeDocument/2006/relationships/externalLinkPath" Target="https://quantumamerica0.sharepoint.com/sites/GNBP/Documentos%20compartidos/CEG/5%20RTI%20CEG%20e%20CEG%20RIO/Atualiza&#231;&#227;o%202025/02%20C&#225;lculos/m/CEG_RIO%20Agenersa.xlsx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00100203\NATURGY\Regula&#231;&#227;o%20-%20000-%20DIREG\Regula&#231;&#227;o%20e%20tarifas\5&#170;%20RTI\5-Templates\Superado\CEG_RIO%20Modelo%20&amp;%20Tabelas%2014-11-25.xlsx" TargetMode="External"/><Relationship Id="rId1" Type="http://schemas.openxmlformats.org/officeDocument/2006/relationships/externalLinkPath" Target="https://quantumamerica0.sharepoint.com/Users/00100203/NATURGY/Regula&#231;&#227;o%20-%20000-%20DIREG/Regula&#231;&#227;o%20e%20tarifas/5&#170;%20RTI/5-Templates/Superado/CEG_RIO%20Modelo%20&amp;%20Tabelas%2014-11-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ISK\ROBIN\PAPA\FORM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egfs01\grupos_ceg\grupos_ceg\grupos_ceg\grupos_ceg\Usuarios\Pasta%20de%20Trabalho\Tesouraria\FLUXO\ANUAL95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BCN\SOCIET\Anexos\anex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NAPA121\APACONTABBCN\SOCIET\2000\IMA-ESSBASE\societari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gas11\Planejamento_da_Demanda\EVT\RISK\ROBIN\PAPA\FORM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TESIS"/>
      <sheetName val="EFTC"/>
      <sheetName val="BALANCE DE SITUACIÓN"/>
      <sheetName val="Indicadores"/>
      <sheetName val="A3"/>
      <sheetName val="LIST"/>
      <sheetName val="Sheet2"/>
      <sheetName val="LISTAS"/>
      <sheetName val="LISTA"/>
      <sheetName val="Lista Proveedores"/>
      <sheetName val="BExRepositorySheet"/>
      <sheetName val="Realidad CCRR (previo reparto)"/>
      <sheetName val="Cuadro presentación"/>
      <sheetName val="Graph"/>
      <sheetName val="WACC"/>
      <sheetName val="BALANCE_DE_SITUACIÓN"/>
      <sheetName val="Lista_Proveedores"/>
      <sheetName val="Realidad_CCRR_(previo_reparto)"/>
      <sheetName val="Cuadro_presentación"/>
      <sheetName val="Base"/>
      <sheetName val="PEP"/>
      <sheetName val="Tabla ADM"/>
      <sheetName val="Par."/>
      <sheetName val="A12"/>
      <sheetName val="ICIS shipping costs (2)"/>
      <sheetName val="Decodificador"/>
      <sheetName val="BALANCE_DE_SITUACIÓN1"/>
      <sheetName val="Lista_Proveedores1"/>
      <sheetName val="Clasificación transversales"/>
      <sheetName val="Leyenda"/>
      <sheetName val="Hoja1"/>
      <sheetName val="Hoja3"/>
      <sheetName val="Código TI"/>
      <sheetName val="Validaciones  Lean"/>
      <sheetName val="CONSOLIDADA"/>
      <sheetName val="Master de validación"/>
      <sheetName val="Validation list"/>
      <sheetName val="Hoja2"/>
      <sheetName val="Conf"/>
      <sheetName val="EQUIPO GRUPO PICK LIST"/>
      <sheetName val="Eoaf92000"/>
      <sheetName val="ene-feb-mar"/>
      <sheetName val="Instrucciones"/>
      <sheetName val="SECTORES DE PLURIANUAL"/>
      <sheetName val="SATURACION "/>
      <sheetName val="BALANCE_DE_SITUACIÓN2"/>
      <sheetName val="Lista_Proveedores2"/>
      <sheetName val="Realidad_CCRR_(previo_reparto)1"/>
      <sheetName val="Cuadro_presentación1"/>
      <sheetName val="Tabla_ADM"/>
      <sheetName val="Par_"/>
      <sheetName val="ICIS_shipping_costs_(2)"/>
      <sheetName val="Clasificación_transversales"/>
      <sheetName val="Código_TI"/>
      <sheetName val="Validaciones__Lean"/>
      <sheetName val="Master_de_validación"/>
      <sheetName val="Validation_list"/>
      <sheetName val="EQUIPO_GRUPO_PICK_LIST"/>
      <sheetName val="SECTORES_DE_PLURIANUAL"/>
      <sheetName val="SATURACION_"/>
      <sheetName val="Novo Modelo_Efic.diaria"/>
      <sheetName val="Parametros"/>
      <sheetName val="POR AREA + GRAFICO"/>
      <sheetName val="BALANCE_DE_SITUACIÓN4"/>
      <sheetName val="Lista_Proveedores4"/>
      <sheetName val="Realidad_CCRR_(previo_reparto)3"/>
      <sheetName val="Cuadro_presentación3"/>
      <sheetName val="Tabla_ADM2"/>
      <sheetName val="Par_2"/>
      <sheetName val="ICIS_shipping_costs_(2)2"/>
      <sheetName val="Clasificación_transversales2"/>
      <sheetName val="Código_TI2"/>
      <sheetName val="Validaciones__Lean2"/>
      <sheetName val="Master_de_validación2"/>
      <sheetName val="Validation_list2"/>
      <sheetName val="EQUIPO_GRUPO_PICK_LIST2"/>
      <sheetName val="SECTORES_DE_PLURIANUAL2"/>
      <sheetName val="SATURACION_2"/>
      <sheetName val="POR_AREA_+_GRAFICO1"/>
      <sheetName val="Novo_Modelo_Efic_diaria1"/>
      <sheetName val="BALANCE_DE_SITUACIÓN3"/>
      <sheetName val="Lista_Proveedores3"/>
      <sheetName val="Realidad_CCRR_(previo_reparto)2"/>
      <sheetName val="Cuadro_presentación2"/>
      <sheetName val="Tabla_ADM1"/>
      <sheetName val="Par_1"/>
      <sheetName val="ICIS_shipping_costs_(2)1"/>
      <sheetName val="Clasificación_transversales1"/>
      <sheetName val="Código_TI1"/>
      <sheetName val="Validaciones__Lean1"/>
      <sheetName val="Master_de_validación1"/>
      <sheetName val="Validation_list1"/>
      <sheetName val="EQUIPO_GRUPO_PICK_LIST1"/>
      <sheetName val="SECTORES_DE_PLURIANUAL1"/>
      <sheetName val="SATURACION_1"/>
      <sheetName val="POR_AREA_+_GRAFICO"/>
      <sheetName val="Novo_Modelo_Efic_diaria"/>
      <sheetName val="BALANCE_DE_SITUACIÓN5"/>
      <sheetName val="Lista_Proveedores5"/>
      <sheetName val="Realidad_CCRR_(previo_reparto)4"/>
      <sheetName val="Cuadro_presentación4"/>
      <sheetName val="Tabla_ADM3"/>
      <sheetName val="Par_3"/>
      <sheetName val="ICIS_shipping_costs_(2)3"/>
      <sheetName val="Clasificación_transversales3"/>
      <sheetName val="Código_TI3"/>
      <sheetName val="Validaciones__Lean3"/>
      <sheetName val="Master_de_validación3"/>
      <sheetName val="Validation_list3"/>
      <sheetName val="EQUIPO_GRUPO_PICK_LIST3"/>
      <sheetName val="SECTORES_DE_PLURIANUAL3"/>
      <sheetName val="SATURACION_3"/>
      <sheetName val="Novo_Modelo_Efic_diaria2"/>
      <sheetName val="POR_AREA_+_GRAFICO2"/>
      <sheetName val="Negocio"/>
      <sheetName val="BALANCE_DE_SITUACIÓN6"/>
      <sheetName val="Lista_Proveedores6"/>
      <sheetName val="Realidad_CCRR_(previo_reparto)5"/>
      <sheetName val="Cuadro_presentación5"/>
      <sheetName val="Tabla_ADM4"/>
      <sheetName val="Par_4"/>
      <sheetName val="ICIS_shipping_costs_(2)4"/>
      <sheetName val="Clasificación_transversales4"/>
      <sheetName val="Código_TI4"/>
      <sheetName val="Validaciones__Lean4"/>
      <sheetName val="Master_de_validación4"/>
      <sheetName val="Validation_list4"/>
      <sheetName val="EQUIPO_GRUPO_PICK_LIST4"/>
      <sheetName val="SECTORES_DE_PLURIANUAL4"/>
      <sheetName val="SATURACION_4"/>
      <sheetName val="Novo_Modelo_Efic_diaria3"/>
      <sheetName val="POR_AREA_+_GRAFICO3"/>
      <sheetName val="Drivers"/>
      <sheetName val="Input Variable"/>
      <sheetName val="tablas"/>
      <sheetName val="BALANCE_DE_SITUACIÓN7"/>
      <sheetName val="Lista_Proveedores7"/>
      <sheetName val="Realidad_CCRR_(previo_reparto)6"/>
      <sheetName val="Cuadro_presentación6"/>
      <sheetName val="Tabla_ADM5"/>
      <sheetName val="Par_5"/>
      <sheetName val="ICIS_shipping_costs_(2)5"/>
      <sheetName val="Clasificación_transversales5"/>
      <sheetName val="Código_TI5"/>
      <sheetName val="Validaciones__Lean5"/>
      <sheetName val="Master_de_validación5"/>
      <sheetName val="Validation_list5"/>
      <sheetName val="EQUIPO_GRUPO_PICK_LIST5"/>
      <sheetName val="SECTORES_DE_PLURIANUAL5"/>
      <sheetName val="SATURACION_5"/>
      <sheetName val="POR_AREA_+_GRAFICO4"/>
      <sheetName val="Novo_Modelo_Efic_diaria4"/>
      <sheetName val="Input_Variable"/>
      <sheetName val="Lista Suspensa"/>
      <sheetName val="Auxílio"/>
      <sheetName val="NO ELIMINAR"/>
      <sheetName val="Listados"/>
      <sheetName val="BALANCE_DE_SITUACIÓN8"/>
      <sheetName val="Lista_Proveedores8"/>
      <sheetName val="Realidad_CCRR_(previo_reparto)7"/>
      <sheetName val="Cuadro_presentación7"/>
      <sheetName val="Tabla_ADM6"/>
      <sheetName val="Par_6"/>
      <sheetName val="ICIS_shipping_costs_(2)6"/>
      <sheetName val="Clasificación_transversales6"/>
      <sheetName val="Código_TI6"/>
      <sheetName val="Validaciones__Lean6"/>
      <sheetName val="Master_de_validación6"/>
      <sheetName val="Validation_list6"/>
      <sheetName val="EQUIPO_GRUPO_PICK_LIST6"/>
      <sheetName val="SECTORES_DE_PLURIANUAL6"/>
      <sheetName val="SATURACION_6"/>
      <sheetName val="POR_AREA_+_GRAFICO5"/>
      <sheetName val="Novo_Modelo_Efic_diaria5"/>
      <sheetName val="Input_Variable1"/>
      <sheetName val="NO_ELIMINAR"/>
      <sheetName val="Lista_Suspensa"/>
      <sheetName val="Prefactura Montaje "/>
      <sheetName val="COP 10% Equipos EM DAP"/>
      <sheetName val="USD 10% Equipos EM DAP"/>
      <sheetName val="COP 20% Scada ING DET"/>
      <sheetName val="USD 20% Scada ING DET"/>
      <sheetName val="COP 5% Equipos EM Inicio Mont"/>
      <sheetName val="USD 5% Equipos EM Inicio Mont"/>
      <sheetName val="Resumen"/>
      <sheetName val="2019 10 Acta 8 EEM"/>
      <sheetName val="2019 10 Acta 1 EEM Mon"/>
      <sheetName val="HE"/>
      <sheetName val="Ejecutado (Monedas)"/>
      <sheetName val="2018 10 Acta 3"/>
      <sheetName val="2018 09 Acta 2"/>
      <sheetName val="2018 06 Acta 1"/>
      <sheetName val="Equipos"/>
      <sheetName val="Pre-factura Sum"/>
      <sheetName val="Pre-factura OC y Mon"/>
      <sheetName val="2019 11 Acta 08"/>
      <sheetName val="Acta Parcial No.13 (OC-MEM)"/>
      <sheetName val="CRITERIOS"/>
      <sheetName val="MAGDALENA"/>
      <sheetName val="O_Rebi_Opex"/>
      <sheetName val="BS - ARG, USA and ITA Sep21"/>
      <sheetName val="unido"/>
      <sheetName val="Sheet1"/>
      <sheetName val="Detalle Indemnizaciones"/>
      <sheetName val="Balance Zeuss"/>
      <sheetName val="Hoja Resumen"/>
      <sheetName val="Bankia 730K"/>
      <sheetName val="BS_-_ARG,_USA_and_ITA_Sep21"/>
      <sheetName val="Detalle_Indemnizaciones"/>
      <sheetName val="Balance_Zeuss"/>
      <sheetName val="Monthly ADJ  WC "/>
      <sheetName val="T&amp;G"/>
      <sheetName val="Deuda y Coberturas"/>
      <sheetName val="Información general"/>
      <sheetName val="INICIO"/>
      <sheetName val="Actividad (ACDL)"/>
      <sheetName val="Actividad (AUTOP)"/>
      <sheetName val="Actividad (AUTOP.)"/>
      <sheetName val="Actividad (SAT)"/>
      <sheetName val="Actividad (TELECOM) "/>
      <sheetName val="Balance"/>
      <sheetName val="Balance NIC"/>
      <sheetName val="BALANCE_DE_SITUACIÓN9"/>
      <sheetName val="Lista_Proveedores9"/>
      <sheetName val="Realidad_CCRR_(previo_reparto)8"/>
      <sheetName val="Cuadro_presentación8"/>
      <sheetName val="Tabla_ADM7"/>
      <sheetName val="Par_7"/>
      <sheetName val="ICIS_shipping_costs_(2)7"/>
      <sheetName val="Clasificación_transversales7"/>
      <sheetName val="Código_TI7"/>
      <sheetName val="Validaciones__Lean7"/>
      <sheetName val="Master_de_validación7"/>
      <sheetName val="Validation_list7"/>
      <sheetName val="EQUIPO_GRUPO_PICK_LIST7"/>
      <sheetName val="SECTORES_DE_PLURIANUAL7"/>
      <sheetName val="SATURACION_7"/>
      <sheetName val="POR_AREA_+_GRAFICO6"/>
      <sheetName val="Novo_Modelo_Efic_diaria6"/>
      <sheetName val="Input_Variable2"/>
      <sheetName val="NO_ELIMINAR1"/>
      <sheetName val="Lista_Suspensa1"/>
      <sheetName val="Prefactura_Montaje_"/>
      <sheetName val="COP_10%_Equipos_EM_DAP"/>
      <sheetName val="USD_10%_Equipos_EM_DAP"/>
      <sheetName val="COP_20%_Scada_ING_DET"/>
      <sheetName val="USD_20%_Scada_ING_DET"/>
      <sheetName val="COP_5%_Equipos_EM_Inicio_Mont"/>
      <sheetName val="USD_5%_Equipos_EM_Inicio_Mont"/>
      <sheetName val="2019_10_Acta_8_EEM"/>
      <sheetName val="2019_10_Acta_1_EEM_Mon"/>
      <sheetName val="Ejecutado_(Monedas)"/>
      <sheetName val="2018_10_Acta_3"/>
      <sheetName val="2018_09_Acta_2"/>
      <sheetName val="2018_06_Acta_1"/>
      <sheetName val="Pre-factura_Sum"/>
      <sheetName val="Pre-factura_OC_y_Mon"/>
      <sheetName val="2019_11_Acta_08"/>
      <sheetName val="Acta_Parcial_No_13_(OC-MEM)"/>
      <sheetName val="BS_-_ARG,_USA_and_ITA_Sep211"/>
      <sheetName val="Detalle_Indemnizaciones1"/>
      <sheetName val="Balance_Zeuss1"/>
      <sheetName val="Hoja_Resumen"/>
      <sheetName val="Bankia_730K"/>
      <sheetName val="Monthly_ADJ__WC_"/>
      <sheetName val="Deuda_y_Coberturas"/>
      <sheetName val="Información_general"/>
      <sheetName val="Actividad_(ACDL)"/>
      <sheetName val="Actividad_(AUTOP)"/>
      <sheetName val="Actividad_(AUTOP_)"/>
      <sheetName val="Actividad_(SAT)"/>
      <sheetName val="Actividad_(TELECOM)_"/>
      <sheetName val="Balance_NIC"/>
      <sheetName val="BALANCE_DE_SITUACIÓN10"/>
      <sheetName val="Lista_Proveedores10"/>
      <sheetName val="Realidad_CCRR_(previo_reparto)9"/>
      <sheetName val="Cuadro_presentación9"/>
      <sheetName val="Tabla_ADM8"/>
      <sheetName val="Par_8"/>
      <sheetName val="ICIS_shipping_costs_(2)8"/>
      <sheetName val="Clasificación_transversales8"/>
      <sheetName val="Código_TI8"/>
      <sheetName val="Validaciones__Lean8"/>
      <sheetName val="Master_de_validación8"/>
      <sheetName val="Validation_list8"/>
      <sheetName val="EQUIPO_GRUPO_PICK_LIST8"/>
      <sheetName val="SECTORES_DE_PLURIANUAL8"/>
      <sheetName val="SATURACION_8"/>
      <sheetName val="POR_AREA_+_GRAFICO7"/>
      <sheetName val="Novo_Modelo_Efic_diaria7"/>
      <sheetName val="Input_Variable3"/>
      <sheetName val="NO_ELIMINAR2"/>
      <sheetName val="Lista_Suspensa2"/>
      <sheetName val="Prefactura_Montaje_1"/>
      <sheetName val="COP_10%_Equipos_EM_DAP1"/>
      <sheetName val="USD_10%_Equipos_EM_DAP1"/>
      <sheetName val="COP_20%_Scada_ING_DET1"/>
      <sheetName val="USD_20%_Scada_ING_DET1"/>
      <sheetName val="COP_5%_Equipos_EM_Inicio_Mont1"/>
      <sheetName val="USD_5%_Equipos_EM_Inicio_Mont1"/>
      <sheetName val="2019_10_Acta_8_EEM1"/>
      <sheetName val="2019_10_Acta_1_EEM_Mon1"/>
      <sheetName val="Ejecutado_(Monedas)1"/>
      <sheetName val="2018_10_Acta_31"/>
      <sheetName val="2018_09_Acta_21"/>
      <sheetName val="2018_06_Acta_11"/>
      <sheetName val="Pre-factura_Sum1"/>
      <sheetName val="Pre-factura_OC_y_Mon1"/>
      <sheetName val="2019_11_Acta_081"/>
      <sheetName val="Acta_Parcial_No_13_(OC-MEM)1"/>
      <sheetName val="BS_-_ARG,_USA_and_ITA_Sep212"/>
      <sheetName val="Detalle_Indemnizaciones2"/>
      <sheetName val="Balance_Zeuss2"/>
      <sheetName val="Hoja_Resumen1"/>
      <sheetName val="Bankia_730K1"/>
      <sheetName val="Monthly_ADJ__WC_1"/>
      <sheetName val="Deuda_y_Coberturas1"/>
      <sheetName val="Información_general1"/>
      <sheetName val="Actividad_(ACDL)1"/>
      <sheetName val="Actividad_(AUTOP)1"/>
      <sheetName val="Actividad_(AUTOP_)1"/>
      <sheetName val="Actividad_(SAT)1"/>
      <sheetName val="Actividad_(TELECOM)_1"/>
      <sheetName val="Balance_NIC1"/>
      <sheetName val="Detalle M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emplate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 indirecto con caja exterio"/>
      <sheetName val="Indicadores"/>
      <sheetName val="EXTRA"/>
      <sheetName val="Sdo.Empres.Grupo."/>
      <sheetName val="SINTESI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.GNV"/>
      <sheetName val="Gás Natural"/>
      <sheetName val="Análse"/>
      <sheetName val="Entrada de Dados"/>
      <sheetName val="Contas"/>
      <sheetName val="Compara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A"/>
      <sheetName val="RESUMO DOS CLIENTES"/>
      <sheetName val="CONTRATOS"/>
      <sheetName val="base_data"/>
      <sheetName val="Compa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emplate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BL3N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952"/>
      <sheetName val="1996"/>
      <sheetName val="Trim96"/>
      <sheetName val="Trim95"/>
      <sheetName val="trim95ii"/>
      <sheetName val="Geração"/>
      <sheetName val="Simulação"/>
      <sheetName val="aux97"/>
      <sheetName val="1997"/>
      <sheetName val="Passiv97"/>
      <sheetName val="trim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Ingreso_Adicional"/>
      <sheetName val="Transporte"/>
      <sheetName val="EECC-Cuenta"/>
      <sheetName val="EECC-Anexo F"/>
      <sheetName val="EECC-Anexo H"/>
      <sheetName val="EECC-NOTAS H e I"/>
      <sheetName val="Serie Histórica"/>
      <sheetName val="A3"/>
      <sheetName val="EXTRA"/>
      <sheetName val="Operativo por sociedad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por Tipologia"/>
      <sheetName val="Consolidado_PTO19"/>
      <sheetName val="Apoio_questionamento"/>
      <sheetName val="PI's Singulares"/>
      <sheetName val="BASE_PI_SINGULAR"/>
      <sheetName val="Novo_PI_Singulares"/>
      <sheetName val="Template"/>
      <sheetName val="INF_COMERCIAL"/>
      <sheetName val="INF_TÉCNICO"/>
      <sheetName val="INF_TÉCNICO_2"/>
      <sheetName val="Informe_Tecnico"/>
      <sheetName val="AGENERSA"/>
      <sheetName val="GASPETRO"/>
      <sheetName val="Informe_AGENERSA_TARIFAS"/>
      <sheetName val="Resumo_Finanças"/>
      <sheetName val="Apoio_Controle_Ratios"/>
      <sheetName val="ESPELHO_REAL_FISICO"/>
      <sheetName val="Real_historico"/>
      <sheetName val="Base_ICM_Investimento"/>
      <sheetName val="Mantenimiento_Red_Gas_PGA"/>
      <sheetName val="Municipio.ordem"/>
      <sheetName val="Apoio"/>
      <sheetName val="MPA_PGA"/>
      <sheetName val="MPA_SINGULAR"/>
      <sheetName val="MPA_CMI"/>
      <sheetName val="Consolidado_Grupo"/>
      <sheetName val="BASE_RTI"/>
      <sheetName val="REAL"/>
      <sheetName val="Detalhe_PEP"/>
      <sheetName val="Produto_OT"/>
      <sheetName val="OTA"/>
      <sheetName val="PI"/>
      <sheetName val="ANO_ANTERIOR"/>
      <sheetName val="Apoio_Justificativa"/>
      <sheetName val="Capex_Mantenimiento"/>
      <sheetName val="Orcamento"/>
      <sheetName val="apoio_tecnico"/>
      <sheetName val="PTO"/>
      <sheetName val="PTO_mes"/>
      <sheetName val="Resumo_Contabilidade_2"/>
      <sheetName val="Resumo_Contabilidade"/>
      <sheetName val="AGENERS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1"/>
      <sheetName val="Paridad"/>
      <sheetName val="Input"/>
      <sheetName val="EECC-Cuenta"/>
      <sheetName val="EECC-NOTAS H e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A"/>
      <sheetName val="RESUMO DOS CLIENTES"/>
      <sheetName val="CONTRATOS"/>
      <sheetName val="base_data"/>
      <sheetName val="Compacto"/>
      <sheetName val="Capex Consolidado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hly Data"/>
      <sheetName val="Annual Data"/>
      <sheetName val="sectors"/>
      <sheetName val="sectors _ annual"/>
      <sheetName val="Stats"/>
      <sheetName val="size"/>
      <sheetName val="Excess Returns"/>
      <sheetName val="risk vs return"/>
      <sheetName val="S&amp;P 500"/>
      <sheetName val="cons disc"/>
      <sheetName val="cons staple"/>
      <sheetName val="energy"/>
      <sheetName val="Financial"/>
      <sheetName val="Healthcare"/>
      <sheetName val="Industrials"/>
      <sheetName val="Info Tech"/>
      <sheetName val="Materials"/>
      <sheetName val="Telecom"/>
      <sheetName val="Utilities"/>
      <sheetName val="mid cap"/>
      <sheetName val="sml cap"/>
      <sheetName val="total mkt"/>
      <sheetName val="large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thly Data"/>
      <sheetName val="Mthly Data (TR)"/>
      <sheetName val="sectors"/>
      <sheetName val="Qtrly Data"/>
      <sheetName val="Stats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500 portfolio"/>
      <sheetName val="500 pivot"/>
      <sheetName val="400 portfolio"/>
      <sheetName val="600 portfolio"/>
      <sheetName val="super portfolio"/>
      <sheetName val="900 portfolio"/>
      <sheetName val="1000 portfolio"/>
      <sheetName val="100 portfolio"/>
      <sheetName val="500 G portfolio"/>
      <sheetName val="500 V portfolio"/>
      <sheetName val="500 EWI portfolio"/>
      <sheetName val="1000 pivot"/>
      <sheetName val="400 G portfolio"/>
      <sheetName val="400 V portfolio"/>
      <sheetName val="600 G portfolio"/>
      <sheetName val="600 V portfolio"/>
      <sheetName val="sml mid pivot"/>
      <sheetName val="G&amp;V Comp"/>
      <sheetName val="Annual Data"/>
      <sheetName val="sectors annual"/>
      <sheetName val="34"/>
      <sheetName val="35"/>
      <sheetName val="36"/>
      <sheetName val="37"/>
      <sheetName val="38"/>
      <sheetName val="39"/>
      <sheetName val="Index Comp (TR)"/>
      <sheetName val="REIT"/>
      <sheetName val="REIT portfolio"/>
      <sheetName val="1000 porfolio"/>
      <sheetName val="4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tores"/>
      <sheetName val="Compra"/>
      <sheetName val="Margem Ind."/>
      <sheetName val="Concessão"/>
      <sheetName val="Descritivo Conc."/>
      <sheetName val="Tarifa"/>
      <sheetName val="Simula"/>
      <sheetName val="UTE"/>
      <sheetName val="Cog."/>
      <sheetName val="Portarias"/>
      <sheetName val="Energéticos"/>
      <sheetName val="Estados"/>
      <sheetName val="GNV"/>
      <sheetName val="Reajustes"/>
      <sheetName val="VN's"/>
      <sheetName val="Reajuste"/>
      <sheetName val="Cenário"/>
      <sheetName val="Transporte"/>
      <sheetName val="Diverso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+MID"/>
      <sheetName val="Gest. del gas"/>
      <sheetName val="Mayorista gas"/>
      <sheetName val="Mayorista Electr."/>
      <sheetName val="Distri. España."/>
      <sheetName val="Distri. Italia"/>
      <sheetName val="Distrib. Latin."/>
      <sheetName val="Minorista"/>
      <sheetName val="Desglose PS"/>
      <sheetName val="EECC-Cuenta"/>
      <sheetName val="EECC-NOTAS H e I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. Compra"/>
      <sheetName val="Fatores"/>
      <sheetName val="Portarias e Preços"/>
      <sheetName val="Compra"/>
      <sheetName val="Reajuste"/>
      <sheetName val="Tarifa"/>
      <sheetName val="Reajuste T"/>
      <sheetName val="Tarifa R"/>
      <sheetName val="Simulação"/>
      <sheetName val="Tarifa de Concessão"/>
      <sheetName val="Descritivo da TC"/>
      <sheetName val="Clientes menores"/>
      <sheetName val="ComparativoEnergético"/>
      <sheetName val="Tarifa Estados"/>
      <sheetName val="GNV"/>
      <sheetName val="Reajustes Acumulados"/>
      <sheetName val="VN's"/>
      <sheetName val="Compra Anual"/>
      <sheetName val="DB - Medie Mensili"/>
      <sheetName val="CTA"/>
      <sheetName val="Rel__Compra"/>
      <sheetName val="Portarias_e_Preços"/>
      <sheetName val="Reajuste_T"/>
      <sheetName val="Tarifa_R"/>
      <sheetName val="Tarifa_de_Concessão"/>
      <sheetName val="Descritivo_da_TC"/>
      <sheetName val="Clientes_menores"/>
      <sheetName val="Tarifa_Estados"/>
      <sheetName val="Reajustes_Acumulados"/>
      <sheetName val="Compra_Anual"/>
      <sheetName val="DB_-_Medie_Mensili"/>
      <sheetName val="Rel__Compra2"/>
      <sheetName val="Portarias_e_Preços2"/>
      <sheetName val="Reajuste_T2"/>
      <sheetName val="Tarifa_R2"/>
      <sheetName val="Tarifa_de_Concessão2"/>
      <sheetName val="Descritivo_da_TC2"/>
      <sheetName val="Clientes_menores2"/>
      <sheetName val="Tarifa_Estados2"/>
      <sheetName val="Reajustes_Acumulados2"/>
      <sheetName val="Compra_Anual2"/>
      <sheetName val="DB_-_Medie_Mensili2"/>
      <sheetName val="Rel__Compra1"/>
      <sheetName val="Portarias_e_Preços1"/>
      <sheetName val="Reajuste_T1"/>
      <sheetName val="Tarifa_R1"/>
      <sheetName val="Tarifa_de_Concessão1"/>
      <sheetName val="Descritivo_da_TC1"/>
      <sheetName val="Clientes_menores1"/>
      <sheetName val="Tarifa_Estados1"/>
      <sheetName val="Reajustes_Acumulados1"/>
      <sheetName val="Compra_Anual1"/>
      <sheetName val="DB_-_Medie_Mensili1"/>
      <sheetName val="Rel__Compra3"/>
      <sheetName val="Portarias_e_Preços3"/>
      <sheetName val="Reajuste_T3"/>
      <sheetName val="Tarifa_R3"/>
      <sheetName val="Tarifa_de_Concessão3"/>
      <sheetName val="Descritivo_da_TC3"/>
      <sheetName val="Clientes_menores3"/>
      <sheetName val="Tarifa_Estados3"/>
      <sheetName val="Reajustes_Acumulados3"/>
      <sheetName val="Compra_Anual3"/>
      <sheetName val="DB_-_Medie_Mensili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IT OP"/>
      <sheetName val="SPLIT NETO"/>
      <sheetName val="Rtdo. Oper.Margen gas"/>
      <sheetName val="Rdto operativo rto margen"/>
      <sheetName val="#REF"/>
      <sheetName val="Inputs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base_data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Fluxo_Caixa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ORÇ99"/>
      <sheetName val="Puntas"/>
    </sheetNames>
    <sheetDataSet>
      <sheetData sheetId="0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sto Gás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 N"/>
      <sheetName val="IND (2)"/>
      <sheetName val="COM"/>
      <sheetName val="RES"/>
      <sheetName val="GNV GLP"/>
      <sheetName val="ENTRADA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Salida (Nuevo Método)"/>
      <sheetName val="IND_N"/>
      <sheetName val="IND_(2)"/>
      <sheetName val="GNV_GLP"/>
      <sheetName val="Salida_(Nuevo_Métod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es Mag. Económicas"/>
      <sheetName val="Índice"/>
      <sheetName val="bases"/>
      <sheetName val="Ventas-Compras"/>
      <sheetName val="Cuenta de Resultados"/>
      <sheetName val="Gastos personal -Otos conceptos"/>
      <sheetName val="Provisiones circulante"/>
      <sheetName val="Rdos Finacieros"/>
      <sheetName val="Intereses minoritarios"/>
      <sheetName val="Rtdo enaj. asociadas"/>
      <sheetName val="Particip. R2 Asociadas"/>
      <sheetName val="Conciliación PTO 07 MPAII07"/>
      <sheetName val="Gráfico conciliación EBITDA"/>
      <sheetName val="Tabla Concil.EBITDA (2)"/>
      <sheetName val="Grafico Concil.Ebitda vs PTO"/>
      <sheetName val="HOLDING"/>
      <sheetName val="Ebitda x negoc con ajustes"/>
      <sheetName val="Ebitda x negoc"/>
      <sheetName val="Margen x negoc"/>
      <sheetName val="Margen x negoc con ajustes"/>
      <sheetName val="TablaGrafEbitdaNeg"/>
      <sheetName val="GrafEbitda"/>
      <sheetName val="GrafInv"/>
      <sheetName val="Inversiones Mat. e Intang."/>
      <sheetName val="Resumen inv."/>
      <sheetName val="DetalleInv"/>
      <sheetName val="BS"/>
      <sheetName val="BS CALCULO"/>
      <sheetName val="Balance de Situación"/>
      <sheetName val="Factorial TDC"/>
      <sheetName val="Tabla Deuda Fin Neta"/>
      <sheetName val="Grafico Deuda Fin Neta"/>
      <sheetName val="Deuda"/>
      <sheetName val="Tabla Divisas"/>
      <sheetName val="Grafico Divisas"/>
      <sheetName val="Tabla EOAF"/>
      <sheetName val="Grafico EOAF"/>
      <sheetName val="EOAF"/>
      <sheetName val="Detalle Deuda Financiera"/>
      <sheetName val="Ratios"/>
      <sheetName val="CALCULO Ratios 2007"/>
      <sheetName val="Detalle ROACE-ROE"/>
      <sheetName val="Ventas de gas"/>
      <sheetName val="Detalle Ventas de Gas"/>
      <sheetName val="Aprov y Comerc"/>
      <sheetName val="Mdo Exterior"/>
      <sheetName val="Distr y Transp"/>
      <sheetName val="Detalle Ventas America"/>
      <sheetName val="Ventas Actividad Electricidad"/>
      <sheetName val="Otras Magnitudes"/>
      <sheetName val="Evol indices"/>
      <sheetName val="CUOTAS"/>
      <sheetName val="Gráficos - Cuotas"/>
      <sheetName val="Cuotas Grupo"/>
      <sheetName val="Bce O-D gas"/>
      <sheetName val="AASS"/>
      <sheetName val="UP+Midstream"/>
      <sheetName val="Mayorista gas"/>
      <sheetName val="Gener. elect."/>
      <sheetName val="Pool y CO2"/>
      <sheetName val="Distr.Esp."/>
      <sheetName val="Distr. Italia"/>
      <sheetName val="Distr.Latam"/>
      <sheetName val="Clientes Latam"/>
      <sheetName val="Distr. Resum"/>
      <sheetName val="Minorista gas"/>
      <sheetName val="Minorista Otros servicios"/>
      <sheetName val="ComerMinorista"/>
      <sheetName val="Detalle contratos"/>
      <sheetName val="Cuotas Grupo (2)"/>
      <sheetName val="Cuotas Mercado (2)"/>
      <sheetName val="CJ_MdoGasEsp"/>
      <sheetName val="CJ_DemGNEsp"/>
      <sheetName val="CJ_OfertaGN"/>
      <sheetName val="CJ_PreciosGas"/>
      <sheetName val="CJ_ElectricidadEsp"/>
      <sheetName val="CJ_Dist.Esp(2)"/>
      <sheetName val="CJ_Dist.Italia"/>
      <sheetName val="CJ_DistribuciónLatam"/>
      <sheetName val="CJ_Com.Minor."/>
      <sheetName val="CJ_EBITDA"/>
      <sheetName val="CJ_Provisiones"/>
      <sheetName val="CJ_CtaRdos"/>
      <sheetName val="CJ_Inversiones"/>
      <sheetName val="Regulados "/>
      <sheetName val="Up+Mid"/>
      <sheetName val="Mayorista"/>
      <sheetName val="C.Minoristas"/>
      <sheetName val="Lat.Am "/>
      <sheetName val="Minoristas"/>
      <sheetName val="CJ_DistribuciónEsp"/>
      <sheetName val="CJ Dist.Esp"/>
      <sheetName val="Minorista"/>
      <sheetName val="Contratos gas y electricidad"/>
      <sheetName val="Margen América"/>
      <sheetName val="Margen Europa"/>
      <sheetName val="Ebitda Distribución"/>
      <sheetName val="Ratios Distribución"/>
      <sheetName val="Ratios Distribución América"/>
      <sheetName val="Compra Gas Grupo"/>
      <sheetName val="Compras Gas América"/>
      <sheetName val="Movimiento Clientes"/>
      <sheetName val="Contratos X cliente-Servicios"/>
      <sheetName val="Incremento Clientes Resid."/>
      <sheetName val="Plantilla"/>
      <sheetName val="Gestión del gas"/>
      <sheetName val="Regulados"/>
      <sheetName val="Lat.Am"/>
      <sheetName val="NOTAS-INV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Prima - Extra"/>
      <sheetName val="CEG"/>
      <sheetName val="Petrobras"/>
      <sheetName val="Tarifas Gás"/>
      <sheetName val="GLP"/>
      <sheetName val="óleo combustível"/>
      <sheetName val="Boletim Combustíveis Gerais"/>
      <sheetName val="Veicular"/>
      <sheetName val="Cogeração"/>
      <sheetName val="E D Light "/>
      <sheetName val="E D CERJ"/>
      <sheetName val="COMGAS e GASMIG"/>
      <sheetName val="CEGxCOMGASxCEMIG"/>
      <sheetName val="Tabela Consolidada"/>
      <sheetName val="Comp Indust"/>
      <sheetName val="Competitividade"/>
      <sheetName val="Índices"/>
      <sheetName val=" Internacional Ago99"/>
      <sheetName val="E. E. HS"/>
      <sheetName val="PCS-MESP"/>
      <sheetName val="Tabelas Conversão - icms"/>
      <sheetName val="Brasil Energia"/>
      <sheetName val="Evolução de Consumo Ano99"/>
      <sheetName val="Evolução de Preços"/>
      <sheetName val="Dados para os Gráfico"/>
      <sheetName val="Boletim Mensal Modific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vo por sociedades"/>
      <sheetName val="UPARDTO10"/>
      <sheetName val="Principales Mag. Económicas"/>
      <sheetName val="NOTAS-INV"/>
      <sheetName val="EXTRA"/>
      <sheetName val="PERIODIFICACIÓN"/>
      <sheetName val="Menus"/>
      <sheetName val="Listas Desplegables"/>
      <sheetName val="Inputs"/>
      <sheetName val="Operativo_por_sociedades"/>
      <sheetName val="Principales_Mag__Económicas"/>
      <sheetName val="Listas_Desplegables"/>
      <sheetName val="Print_Controls"/>
      <sheetName val="CMPC"/>
      <sheetName val="Hoja1"/>
      <sheetName val="Input"/>
      <sheetName val="Datos"/>
      <sheetName val="04"/>
      <sheetName val="Operativo_por_sociedades1"/>
      <sheetName val="Principales_Mag__Económicas1"/>
      <sheetName val="Listas_Desplegables1"/>
      <sheetName val="Operativo_por_sociedades3"/>
      <sheetName val="Principales_Mag__Económicas3"/>
      <sheetName val="Listas_Desplegables3"/>
      <sheetName val="Operativo_por_sociedades2"/>
      <sheetName val="Principales_Mag__Económicas2"/>
      <sheetName val="Listas_Desplegables2"/>
      <sheetName val="Operativo_por_sociedades4"/>
      <sheetName val="Principales_Mag__Económicas4"/>
      <sheetName val="Listas_Desplegables4"/>
      <sheetName val="flujo de caja li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Prima - Extra"/>
      <sheetName val="CEG"/>
      <sheetName val="Petrobras"/>
      <sheetName val="Tarifas Gás"/>
      <sheetName val="GLP"/>
      <sheetName val="óleo combustível"/>
      <sheetName val="Boletim Combustíveis Gerais"/>
      <sheetName val="Veicular"/>
      <sheetName val="Cogeração"/>
      <sheetName val="E D Light "/>
      <sheetName val="E D CERJ"/>
      <sheetName val="COMGAS e GASMIG"/>
      <sheetName val="CEGxCOMGASxCEMIG"/>
      <sheetName val="Tabela Consolidada"/>
      <sheetName val="Comp Indust"/>
      <sheetName val="Competitividade"/>
      <sheetName val="Índices"/>
      <sheetName val=" Internacional Ago99"/>
      <sheetName val="E. E. HS"/>
      <sheetName val="PCS-MESP"/>
      <sheetName val="Tabelas Conversão - icms"/>
      <sheetName val="Brasil Energia"/>
      <sheetName val="Evolução de Consumo Ano99"/>
      <sheetName val="Evolução de Preços"/>
      <sheetName val="Dados para os Grá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"/>
      <sheetName val="INV"/>
      <sheetName val="CON"/>
      <sheetName val="BAN ING"/>
      <sheetName val="INV ING"/>
      <sheetName val="CON ING"/>
      <sheetName val="NOTAS-INV"/>
      <sheetName val="Operativo por sociedades"/>
      <sheetName val="Principales Mag. Económicas"/>
      <sheetName val="balance 31-12-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"/>
      <sheetName val="E"/>
      <sheetName val="Seguim Rent"/>
      <sheetName val="Seg Rent exec "/>
      <sheetName val="Operativo por sociedades"/>
      <sheetName val="Parâmetros"/>
      <sheetName val="Tablas"/>
      <sheetName val="Inputs"/>
      <sheetName val="Seguim_Rent"/>
      <sheetName val="Seg_Rent_exec_"/>
      <sheetName val="Operativo_por_socie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"/>
      <sheetName val="inv"/>
      <sheetName val="con"/>
      <sheetName val="ban ing"/>
      <sheetName val="inv ing"/>
      <sheetName val="con ing"/>
      <sheetName val="Operativo por sociedad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"/>
      <sheetName val="INV"/>
      <sheetName val="CON"/>
      <sheetName val="BAN ING"/>
      <sheetName val="INV ING"/>
      <sheetName val="CON 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Resultados"/>
      <sheetName val="Ratios unitários"/>
      <sheetName val="Tabelas PN"/>
      <sheetName val="Juros CP"/>
      <sheetName val="Reposição"/>
      <sheetName val="Demanda"/>
      <sheetName val="BRR"/>
      <sheetName val="Subinvest 18-22"/>
      <sheetName val="Investimentos"/>
      <sheetName val="OPEX"/>
      <sheetName val="IGPM Represado"/>
      <sheetName val="Industrial"/>
      <sheetName val="Mercado"/>
      <sheetName val="Usuarios"/>
      <sheetName val="Tarifas"/>
      <sheetName val="Competitividade"/>
      <sheetName val="Vendas Vigente"/>
      <sheetName val="Vendas ajustada"/>
      <sheetName val="Inadimplência"/>
      <sheetName val="Correlatas"/>
      <sheetName val="IGPM"/>
    </sheetNames>
    <sheetDataSet>
      <sheetData sheetId="0">
        <row r="6">
          <cell r="C6">
            <v>8.9200000000000002E-2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Resultados"/>
      <sheetName val="Tabelas PN"/>
      <sheetName val="Demanda"/>
      <sheetName val="Mercado"/>
      <sheetName val="BRR"/>
      <sheetName val="Reposição"/>
      <sheetName val="Subinvest 18-22"/>
      <sheetName val="Investimentos"/>
      <sheetName val="Juros CP"/>
      <sheetName val="OPEX"/>
      <sheetName val="IGPM Represado"/>
      <sheetName val="Correlatas"/>
      <sheetName val="Inadimplência"/>
      <sheetName val="Tarifas"/>
      <sheetName val="Vendas Vigente"/>
      <sheetName val="Vendas ajustada"/>
      <sheetName val="IGPM"/>
    </sheetNames>
    <sheetDataSet>
      <sheetData sheetId="0" refreshError="1"/>
      <sheetData sheetId="1" refreshError="1"/>
      <sheetData sheetId="2">
        <row r="20">
          <cell r="C20">
            <v>996.31799999999998</v>
          </cell>
        </row>
        <row r="306">
          <cell r="C306">
            <v>28.171128223334737</v>
          </cell>
          <cell r="D306">
            <v>26.751646824676271</v>
          </cell>
          <cell r="E306">
            <v>30.89592454012465</v>
          </cell>
          <cell r="F306">
            <v>37.611313680856306</v>
          </cell>
          <cell r="G306">
            <v>20.00602629295118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Resultados"/>
      <sheetName val="Tabelas PN"/>
      <sheetName val="Demanda"/>
      <sheetName val="Mercado"/>
      <sheetName val="BRR"/>
      <sheetName val="Reposição"/>
      <sheetName val="Subinvest 18-22"/>
      <sheetName val="Investimentos"/>
      <sheetName val="Juros CP"/>
      <sheetName val="OPEX"/>
      <sheetName val="IGPM Represado"/>
      <sheetName val="Correlatas"/>
      <sheetName val="Inadimplência"/>
      <sheetName val="Tarifas"/>
      <sheetName val="Vendas Vigente"/>
      <sheetName val="Vendas ajustada"/>
      <sheetName val="IGPM"/>
    </sheetNames>
    <sheetDataSet>
      <sheetData sheetId="0">
        <row r="54">
          <cell r="B54" t="str">
            <v>Input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s"/>
      <sheetName val="Resultados"/>
      <sheetName val="Ratios unitários"/>
      <sheetName val="Tabelas PN"/>
      <sheetName val="Juros CP"/>
      <sheetName val="Demanda"/>
      <sheetName val="Compara"/>
      <sheetName val="BRR"/>
      <sheetName val="Subinvest 18-22"/>
      <sheetName val="Investimentos"/>
      <sheetName val="OPEX"/>
      <sheetName val="IGPM Represado"/>
      <sheetName val="Industrial"/>
      <sheetName val="Mercado"/>
      <sheetName val="Usuarios"/>
      <sheetName val="Tarifas"/>
      <sheetName val="Competitividade"/>
      <sheetName val="Vendas Vigente"/>
      <sheetName val="Vendas ajustada"/>
      <sheetName val="Inadimplência"/>
      <sheetName val="Correlatas"/>
      <sheetName val="IGP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98">
          <cell r="B98">
            <v>1100.9880000000001</v>
          </cell>
        </row>
        <row r="110">
          <cell r="B110">
            <v>1161.0060000000001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Info. Referência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952"/>
      <sheetName val="1996"/>
      <sheetName val="Trim96"/>
      <sheetName val="Trim95"/>
      <sheetName val="trim95ii"/>
      <sheetName val="Geração"/>
      <sheetName val="Simulação"/>
      <sheetName val="aux97"/>
      <sheetName val="1997"/>
      <sheetName val="Passiv97"/>
      <sheetName val="trim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RA"/>
      <sheetName val="IMPUESTO (2)"/>
      <sheetName val="CARTERA "/>
      <sheetName val="Moneda Extr."/>
      <sheetName val="Sdo.Empres.Grupo."/>
      <sheetName val="Fonpe"/>
      <sheetName val="Prov.Riesg.Gtos."/>
      <sheetName val="Dif.Cambio"/>
      <sheetName val="IMPUESTO"/>
      <sheetName val="Ant.y Dif."/>
      <sheetName val="SINTESIS"/>
      <sheetName val="Indicadores"/>
      <sheetName val="A3"/>
      <sheetName val="Plan1"/>
      <sheetName val="Intragrupo MIN"/>
      <sheetName val="Leyenda"/>
      <sheetName val="Datos Semanales"/>
      <sheetName val="Datos Mensuales"/>
      <sheetName val="Hoja1"/>
      <sheetName val="BASE ACUM"/>
      <sheetName val="PTO original"/>
      <sheetName val="Listas"/>
      <sheetName val="IMPUESTO_(2)"/>
      <sheetName val="CARTERA_"/>
      <sheetName val="Moneda_Extr_"/>
      <sheetName val="Sdo_Empres_Grupo_"/>
      <sheetName val="Prov_Riesg_Gtos_"/>
      <sheetName val="Dif_Cambio"/>
      <sheetName val="Ant_y_Dif_"/>
      <sheetName val="Intragrupo_MIN"/>
      <sheetName val="Datos_Semanales"/>
      <sheetName val="Datos_Mensuales"/>
      <sheetName val="BASE_ACUM"/>
      <sheetName val="PTO_original"/>
      <sheetName val="IMPUESTO_(2)1"/>
      <sheetName val="CARTERA_1"/>
      <sheetName val="Moneda_Extr_1"/>
      <sheetName val="Sdo_Empres_Grupo_1"/>
      <sheetName val="Prov_Riesg_Gtos_1"/>
      <sheetName val="Dif_Cambio1"/>
      <sheetName val="Ant_y_Dif_1"/>
      <sheetName val="Intragrupo_MIN1"/>
      <sheetName val="Datos_Semanales1"/>
      <sheetName val="Datos_Mensuales1"/>
      <sheetName val="BASE_ACUM1"/>
      <sheetName val="PTO_original1"/>
      <sheetName val="IMPUESTO_(2)2"/>
      <sheetName val="CARTERA_2"/>
      <sheetName val="Moneda_Extr_2"/>
      <sheetName val="Sdo_Empres_Grupo_2"/>
      <sheetName val="Prov_Riesg_Gtos_2"/>
      <sheetName val="Dif_Cambio2"/>
      <sheetName val="Ant_y_Dif_2"/>
      <sheetName val="Intragrupo_MIN2"/>
      <sheetName val="Datos_Semanales2"/>
      <sheetName val="Datos_Mensuales2"/>
      <sheetName val="BASE_ACUM2"/>
      <sheetName val="PTO_original2"/>
      <sheetName val="IMPUESTO_(2)3"/>
      <sheetName val="CARTERA_3"/>
      <sheetName val="Moneda_Extr_3"/>
      <sheetName val="Sdo_Empres_Grupo_3"/>
      <sheetName val="Prov_Riesg_Gtos_3"/>
      <sheetName val="Dif_Cambio3"/>
      <sheetName val="Ant_y_Dif_3"/>
      <sheetName val="Intragrupo_MIN3"/>
      <sheetName val="Datos_Semanales3"/>
      <sheetName val="Datos_Mensuales3"/>
      <sheetName val="BASE_ACUM3"/>
      <sheetName val="PTO_original3"/>
      <sheetName val="IMPUESTO_(2)4"/>
      <sheetName val="CARTERA_4"/>
      <sheetName val="Moneda_Extr_4"/>
      <sheetName val="Sdo_Empres_Grupo_4"/>
      <sheetName val="Prov_Riesg_Gtos_4"/>
      <sheetName val="Dif_Cambio4"/>
      <sheetName val="Ant_y_Dif_4"/>
      <sheetName val="Intragrupo_MIN4"/>
      <sheetName val="Datos_Semanales4"/>
      <sheetName val="Datos_Mensuales4"/>
      <sheetName val="BASE_ACUM4"/>
      <sheetName val="PTO_original4"/>
      <sheetName val="gp"/>
      <sheetName val="IMPUESTO_(2)5"/>
      <sheetName val="CARTERA_5"/>
      <sheetName val="Moneda_Extr_5"/>
      <sheetName val="Sdo_Empres_Grupo_5"/>
      <sheetName val="Prov_Riesg_Gtos_5"/>
      <sheetName val="Dif_Cambio5"/>
      <sheetName val="Ant_y_Dif_5"/>
      <sheetName val="Intragrupo_MIN5"/>
      <sheetName val="Datos_Semanales5"/>
      <sheetName val="Datos_Mensuales5"/>
      <sheetName val="BASE_ACUM5"/>
      <sheetName val="PTO_original5"/>
      <sheetName val="IMPUESTO_(2)6"/>
      <sheetName val="CARTERA_6"/>
      <sheetName val="Moneda_Extr_6"/>
      <sheetName val="Sdo_Empres_Grupo_6"/>
      <sheetName val="Prov_Riesg_Gtos_6"/>
      <sheetName val="Dif_Cambio6"/>
      <sheetName val="Ant_y_Dif_6"/>
      <sheetName val="Intragrupo_MIN6"/>
      <sheetName val="Datos_Semanales6"/>
      <sheetName val="Datos_Mensuales6"/>
      <sheetName val="BASE_ACUM6"/>
      <sheetName val="PTO_original6"/>
      <sheetName val="EGS-002"/>
      <sheetName val="JUNIO MICOL Pago"/>
      <sheetName val="Precios (2)"/>
      <sheetName val="Precios NE"/>
      <sheetName val="Factura"/>
      <sheetName val="Precios"/>
      <sheetName val="Toma de Relectura Sin Soporte F"/>
      <sheetName val="Multiservicios MI-MS"/>
      <sheetName val="Multiservicios NS"/>
      <sheetName val="Ctos del Plan 2019"/>
      <sheetName val="Imputación 2019"/>
      <sheetName val="Lista Cheque facturacion"/>
      <sheetName val="Prom Dia"/>
      <sheetName val="Act x OS"/>
      <sheetName val="Prefactura Montaje "/>
      <sheetName val="COP 10% Equipos EM DAP"/>
      <sheetName val="USD 10% Equipos EM DAP"/>
      <sheetName val="COP 20% Scada ING DET"/>
      <sheetName val="USD 20% Scada ING DET"/>
      <sheetName val="COP 5% Equipos EM Inicio Mont"/>
      <sheetName val="USD 5% Equipos EM Inicio Mont"/>
      <sheetName val="Resumen"/>
      <sheetName val="2019 10 Acta 8 EEM"/>
      <sheetName val="2019 10 Acta 1 EEM Mon"/>
      <sheetName val="HE"/>
      <sheetName val="Ejecutado (Monedas)"/>
      <sheetName val="2018 10 Acta 3"/>
      <sheetName val="2018 09 Acta 2"/>
      <sheetName val="2018 06 Acta 1"/>
      <sheetName val="Equipos"/>
      <sheetName val="Pre-factura Sum"/>
      <sheetName val="Pre-factura OC y Mon"/>
      <sheetName val="2019 11 Acta 08"/>
      <sheetName val="Acta Parcial No.13 (OC-MEM)"/>
      <sheetName val="CONSOLIDADO"/>
      <sheetName val="DATOS"/>
      <sheetName val="GRAFICOS"/>
      <sheetName val="ListadoHitos"/>
      <sheetName val="Cronograma Presupuesto"/>
      <sheetName val="ESRI_MAPINFO_SHEET"/>
      <sheetName val="costo elementos n1"/>
      <sheetName val="synergies old"/>
      <sheetName val="inputs"/>
      <sheetName val="Trans. assmpt and  New Utility"/>
      <sheetName val="IMPUESTO_(2)7"/>
      <sheetName val="CARTERA_7"/>
      <sheetName val="Moneda_Extr_7"/>
      <sheetName val="Sdo_Empres_Grupo_7"/>
      <sheetName val="Prov_Riesg_Gtos_7"/>
      <sheetName val="Dif_Cambio7"/>
      <sheetName val="Ant_y_Dif_7"/>
      <sheetName val="Intragrupo_MIN7"/>
      <sheetName val="Datos_Semanales7"/>
      <sheetName val="Datos_Mensuales7"/>
      <sheetName val="BASE_ACUM7"/>
      <sheetName val="PTO_original7"/>
      <sheetName val="JUNIO_MICOL_Pago"/>
      <sheetName val="Precios_(2)"/>
      <sheetName val="Precios_NE"/>
      <sheetName val="Toma_de_Relectura_Sin_Soporte_F"/>
      <sheetName val="Multiservicios_MI-MS"/>
      <sheetName val="Multiservicios_NS"/>
      <sheetName val="Ctos_del_Plan_2019"/>
      <sheetName val="Imputación_2019"/>
      <sheetName val="Lista_Cheque_facturacion"/>
      <sheetName val="Prom_Dia"/>
      <sheetName val="Act_x_OS"/>
      <sheetName val="Prefactura_Montaje_"/>
      <sheetName val="COP_10%_Equipos_EM_DAP"/>
      <sheetName val="USD_10%_Equipos_EM_DAP"/>
      <sheetName val="COP_20%_Scada_ING_DET"/>
      <sheetName val="USD_20%_Scada_ING_DET"/>
      <sheetName val="COP_5%_Equipos_EM_Inicio_Mont"/>
      <sheetName val="USD_5%_Equipos_EM_Inicio_Mont"/>
      <sheetName val="2019_10_Acta_8_EEM"/>
      <sheetName val="2019_10_Acta_1_EEM_Mon"/>
      <sheetName val="Ejecutado_(Monedas)"/>
      <sheetName val="2018_10_Acta_3"/>
      <sheetName val="2018_09_Acta_2"/>
      <sheetName val="2018_06_Acta_1"/>
      <sheetName val="Pre-factura_Sum"/>
      <sheetName val="Pre-factura_OC_y_Mon"/>
      <sheetName val="2019_11_Acta_08"/>
      <sheetName val="Acta_Parcial_No_13_(OC-MEM)"/>
      <sheetName val="Cronograma_Presupuesto"/>
      <sheetName val="costo_elementos_n1"/>
      <sheetName val="synergies_old"/>
      <sheetName val="Trans__assmpt_and__New_Ut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Índice"/>
      <sheetName val="Resumen"/>
      <sheetName val="balance"/>
      <sheetName val="Observaciones balance (2)"/>
      <sheetName val="Observaciones balance"/>
      <sheetName val="Inversiones"/>
      <sheetName val="Resto Inversiones"/>
      <sheetName val="EXTRA"/>
      <sheetName val="CARTERA"/>
      <sheetName val="Moneda Extr."/>
      <sheetName val="Sdo.Empres.Grupo."/>
      <sheetName val="Fonpe"/>
      <sheetName val="Prov.Riesg.Gtos."/>
      <sheetName val="ratios balance"/>
      <sheetName val="cta rtados"/>
      <sheetName val="observaciones cta rtados"/>
      <sheetName val="ratios cta rtados"/>
      <sheetName val="ratios cta rtados 2"/>
      <sheetName val="Margen Gas"/>
      <sheetName val="Dif.Cambio"/>
      <sheetName val="IMPUESTO"/>
      <sheetName val="Ant.y Dif."/>
      <sheetName val="eoaf"/>
      <sheetName val="Instrucciones"/>
      <sheetName val="A3"/>
      <sheetName val="SINTESIS"/>
      <sheetName val="societario"/>
      <sheetName val="Observaciones_balance_(2)"/>
      <sheetName val="Observaciones_balance"/>
      <sheetName val="Resto_Inversiones"/>
      <sheetName val="Moneda_Extr_"/>
      <sheetName val="Sdo_Empres_Grupo_"/>
      <sheetName val="Prov_Riesg_Gtos_"/>
      <sheetName val="ratios_balance"/>
      <sheetName val="cta_rtados"/>
      <sheetName val="observaciones_cta_rtados"/>
      <sheetName val="ratios_cta_rtados"/>
      <sheetName val="ratios_cta_rtados_2"/>
      <sheetName val="Margen_Gas"/>
      <sheetName val="Dif_Cambio"/>
      <sheetName val="Ant_y_Dif_"/>
      <sheetName val="Monthly_Recs_Numbers"/>
      <sheetName val="Market cap contribution"/>
      <sheetName val="Assets Rose"/>
      <sheetName val="gas oil"/>
      <sheetName val="Elba assets"/>
      <sheetName val="Master de validación"/>
      <sheetName val="Validation list"/>
      <sheetName val="INVE98"/>
      <sheetName val="Observaciones_balance_(2)1"/>
      <sheetName val="Observaciones_balance1"/>
      <sheetName val="Resto_Inversiones1"/>
      <sheetName val="Moneda_Extr_1"/>
      <sheetName val="Sdo_Empres_Grupo_1"/>
      <sheetName val="Prov_Riesg_Gtos_1"/>
      <sheetName val="ratios_balance1"/>
      <sheetName val="cta_rtados1"/>
      <sheetName val="observaciones_cta_rtados1"/>
      <sheetName val="ratios_cta_rtados1"/>
      <sheetName val="ratios_cta_rtados_21"/>
      <sheetName val="Margen_Gas1"/>
      <sheetName val="Dif_Cambio1"/>
      <sheetName val="Ant_y_Dif_1"/>
      <sheetName val="Market_cap_contribution"/>
      <sheetName val="Assets_Rose"/>
      <sheetName val="gas_oil"/>
      <sheetName val="Elba_assets"/>
      <sheetName val="Master_de_validación"/>
      <sheetName val="Validation_list"/>
      <sheetName val="Observaciones_balance_(2)2"/>
      <sheetName val="Observaciones_balance2"/>
      <sheetName val="Resto_Inversiones2"/>
      <sheetName val="Moneda_Extr_2"/>
      <sheetName val="Sdo_Empres_Grupo_2"/>
      <sheetName val="Prov_Riesg_Gtos_2"/>
      <sheetName val="ratios_balance2"/>
      <sheetName val="cta_rtados2"/>
      <sheetName val="observaciones_cta_rtados2"/>
      <sheetName val="ratios_cta_rtados2"/>
      <sheetName val="ratios_cta_rtados_22"/>
      <sheetName val="Margen_Gas2"/>
      <sheetName val="Dif_Cambio2"/>
      <sheetName val="Ant_y_Dif_2"/>
      <sheetName val="Market_cap_contribution1"/>
      <sheetName val="Assets_Rose1"/>
      <sheetName val="gas_oil1"/>
      <sheetName val="Elba_assets1"/>
      <sheetName val="Master_de_validación1"/>
      <sheetName val="Validation_list1"/>
      <sheetName val="Observaciones_balance_(2)3"/>
      <sheetName val="Observaciones_balance3"/>
      <sheetName val="Resto_Inversiones3"/>
      <sheetName val="Moneda_Extr_3"/>
      <sheetName val="Sdo_Empres_Grupo_3"/>
      <sheetName val="Prov_Riesg_Gtos_3"/>
      <sheetName val="ratios_balance3"/>
      <sheetName val="cta_rtados3"/>
      <sheetName val="observaciones_cta_rtados3"/>
      <sheetName val="ratios_cta_rtados3"/>
      <sheetName val="ratios_cta_rtados_23"/>
      <sheetName val="Margen_Gas3"/>
      <sheetName val="Dif_Cambio3"/>
      <sheetName val="Ant_y_Dif_3"/>
      <sheetName val="Market_cap_contribution2"/>
      <sheetName val="Assets_Rose2"/>
      <sheetName val="gas_oil2"/>
      <sheetName val="Elba_assets2"/>
      <sheetName val="Master_de_validación2"/>
      <sheetName val="Validation_list2"/>
      <sheetName val="Observaciones_balance_(2)4"/>
      <sheetName val="Observaciones_balance4"/>
      <sheetName val="Resto_Inversiones4"/>
      <sheetName val="Moneda_Extr_4"/>
      <sheetName val="Sdo_Empres_Grupo_4"/>
      <sheetName val="Prov_Riesg_Gtos_4"/>
      <sheetName val="ratios_balance4"/>
      <sheetName val="cta_rtados4"/>
      <sheetName val="observaciones_cta_rtados4"/>
      <sheetName val="ratios_cta_rtados4"/>
      <sheetName val="ratios_cta_rtados_24"/>
      <sheetName val="Margen_Gas4"/>
      <sheetName val="Dif_Cambio4"/>
      <sheetName val="Ant_y_Dif_4"/>
      <sheetName val="Market_cap_contribution3"/>
      <sheetName val="Assets_Rose3"/>
      <sheetName val="gas_oil3"/>
      <sheetName val="Elba_assets3"/>
      <sheetName val="Master_de_validación3"/>
      <sheetName val="Validation_list3"/>
      <sheetName val="input"/>
      <sheetName val="Observaciones_balance_(2)5"/>
      <sheetName val="Observaciones_balance5"/>
      <sheetName val="Resto_Inversiones5"/>
      <sheetName val="Moneda_Extr_5"/>
      <sheetName val="Sdo_Empres_Grupo_5"/>
      <sheetName val="Prov_Riesg_Gtos_5"/>
      <sheetName val="ratios_balance5"/>
      <sheetName val="cta_rtados5"/>
      <sheetName val="observaciones_cta_rtados5"/>
      <sheetName val="ratios_cta_rtados5"/>
      <sheetName val="ratios_cta_rtados_25"/>
      <sheetName val="Margen_Gas5"/>
      <sheetName val="Dif_Cambio5"/>
      <sheetName val="Ant_y_Dif_5"/>
      <sheetName val="Market_cap_contribution4"/>
      <sheetName val="Assets_Rose4"/>
      <sheetName val="gas_oil4"/>
      <sheetName val="Elba_assets4"/>
      <sheetName val="Master_de_validación4"/>
      <sheetName val="Validation_list4"/>
      <sheetName val="UPA JUNIO."/>
      <sheetName val="Observaciones_balance_(2)6"/>
      <sheetName val="Observaciones_balance6"/>
      <sheetName val="Resto_Inversiones6"/>
      <sheetName val="Moneda_Extr_6"/>
      <sheetName val="Sdo_Empres_Grupo_6"/>
      <sheetName val="Prov_Riesg_Gtos_6"/>
      <sheetName val="ratios_balance6"/>
      <sheetName val="cta_rtados6"/>
      <sheetName val="observaciones_cta_rtados6"/>
      <sheetName val="ratios_cta_rtados6"/>
      <sheetName val="ratios_cta_rtados_26"/>
      <sheetName val="Margen_Gas6"/>
      <sheetName val="Dif_Cambio6"/>
      <sheetName val="Ant_y_Dif_6"/>
      <sheetName val="Market_cap_contribution5"/>
      <sheetName val="Assets_Rose5"/>
      <sheetName val="gas_oil5"/>
      <sheetName val="Elba_assets5"/>
      <sheetName val="Master_de_validación5"/>
      <sheetName val="Validation_list5"/>
      <sheetName val="Observaciones_balance_(2)7"/>
      <sheetName val="Observaciones_balance7"/>
      <sheetName val="Resto_Inversiones7"/>
      <sheetName val="Moneda_Extr_7"/>
      <sheetName val="Sdo_Empres_Grupo_7"/>
      <sheetName val="Prov_Riesg_Gtos_7"/>
      <sheetName val="ratios_balance7"/>
      <sheetName val="cta_rtados7"/>
      <sheetName val="observaciones_cta_rtados7"/>
      <sheetName val="ratios_cta_rtados7"/>
      <sheetName val="ratios_cta_rtados_27"/>
      <sheetName val="Margen_Gas7"/>
      <sheetName val="Dif_Cambio7"/>
      <sheetName val="Ant_y_Dif_7"/>
      <sheetName val="Market_cap_contribution6"/>
      <sheetName val="Assets_Rose6"/>
      <sheetName val="gas_oil6"/>
      <sheetName val="Elba_assets6"/>
      <sheetName val="Master_de_validación6"/>
      <sheetName val="Validation_list6"/>
      <sheetName val="UPA_JUNIO_"/>
      <sheetName val="EGS-002"/>
      <sheetName val="cálculo"/>
      <sheetName val="Prog por EPSA"/>
      <sheetName val="Project Seed"/>
      <sheetName val="Spain brownfield"/>
      <sheetName val="ESP_IT-Codes"/>
      <sheetName val="Production Monthly"/>
      <sheetName val="Production Yearly"/>
      <sheetName val="IS Monthly"/>
      <sheetName val="IS Yearly"/>
      <sheetName val="Market"/>
      <sheetName val="Mkt.Share"/>
      <sheetName val="Observaciones_balance_(2)8"/>
      <sheetName val="Observaciones_balance8"/>
      <sheetName val="Resto_Inversiones8"/>
      <sheetName val="Moneda_Extr_8"/>
      <sheetName val="Sdo_Empres_Grupo_8"/>
      <sheetName val="Prov_Riesg_Gtos_8"/>
      <sheetName val="ratios_balance8"/>
      <sheetName val="cta_rtados8"/>
      <sheetName val="observaciones_cta_rtados8"/>
      <sheetName val="ratios_cta_rtados8"/>
      <sheetName val="ratios_cta_rtados_28"/>
      <sheetName val="Margen_Gas8"/>
      <sheetName val="Dif_Cambio8"/>
      <sheetName val="Ant_y_Dif_8"/>
      <sheetName val="Market_cap_contribution7"/>
      <sheetName val="Assets_Rose7"/>
      <sheetName val="gas_oil7"/>
      <sheetName val="Elba_assets7"/>
      <sheetName val="Master_de_validación7"/>
      <sheetName val="Validation_list7"/>
      <sheetName val="UPA_JUNIO_1"/>
      <sheetName val="Prog_por_EPSA"/>
      <sheetName val="Project_Seed"/>
      <sheetName val="Spain_brownfield"/>
      <sheetName val="Production_Monthly"/>
      <sheetName val="Production_Yearly"/>
      <sheetName val="IS_Monthly"/>
      <sheetName val="IS_Yearly"/>
      <sheetName val="Mkt_Sh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4AE9-795E-406E-BF27-DD3511DC037D}">
  <sheetPr>
    <tabColor rgb="FFC00000"/>
  </sheetPr>
  <dimension ref="A2:AK153"/>
  <sheetViews>
    <sheetView showGridLines="0" zoomScale="70" zoomScaleNormal="70" workbookViewId="0">
      <selection activeCell="M31" sqref="M31"/>
    </sheetView>
  </sheetViews>
  <sheetFormatPr defaultColWidth="11.42578125" defaultRowHeight="11.45"/>
  <cols>
    <col min="1" max="1" width="11.42578125" style="50"/>
    <col min="2" max="2" width="42.28515625" style="50" customWidth="1"/>
    <col min="3" max="3" width="26" style="50" bestFit="1" customWidth="1"/>
    <col min="4" max="4" width="18.42578125" style="50" bestFit="1" customWidth="1"/>
    <col min="5" max="12" width="11.42578125" style="50"/>
    <col min="13" max="13" width="28.7109375" style="50" customWidth="1"/>
    <col min="14" max="16384" width="11.42578125" style="50"/>
  </cols>
  <sheetData>
    <row r="2" spans="1:19">
      <c r="A2" s="122"/>
      <c r="B2" s="57" t="s">
        <v>0</v>
      </c>
    </row>
    <row r="3" spans="1:19">
      <c r="A3" s="122"/>
    </row>
    <row r="4" spans="1:19">
      <c r="A4" s="122"/>
      <c r="B4" s="246" t="s">
        <v>1</v>
      </c>
      <c r="C4" s="292">
        <v>44531</v>
      </c>
    </row>
    <row r="5" spans="1:19">
      <c r="A5" s="122"/>
    </row>
    <row r="6" spans="1:19">
      <c r="A6" s="122"/>
      <c r="B6" s="246" t="s">
        <v>2</v>
      </c>
      <c r="C6" s="249">
        <f>8.92%</f>
        <v>8.9200000000000002E-2</v>
      </c>
    </row>
    <row r="7" spans="1:19">
      <c r="A7" s="122"/>
      <c r="B7" s="146"/>
      <c r="C7" s="247"/>
    </row>
    <row r="8" spans="1:19">
      <c r="A8" s="122"/>
      <c r="B8" s="246" t="s">
        <v>3</v>
      </c>
      <c r="C8" s="306">
        <v>0.79459999999999997</v>
      </c>
    </row>
    <row r="9" spans="1:19">
      <c r="A9" s="122"/>
      <c r="B9" s="246" t="s">
        <v>4</v>
      </c>
      <c r="C9" s="306">
        <v>0.995</v>
      </c>
    </row>
    <row r="10" spans="1:19">
      <c r="A10" s="122"/>
      <c r="B10" s="146"/>
      <c r="C10" s="247"/>
    </row>
    <row r="11" spans="1:19">
      <c r="A11" s="122"/>
      <c r="B11" s="246" t="s">
        <v>5</v>
      </c>
      <c r="C11" s="303">
        <f>201/365</f>
        <v>0.55068493150684927</v>
      </c>
    </row>
    <row r="12" spans="1:19">
      <c r="A12" s="122"/>
    </row>
    <row r="13" spans="1:19">
      <c r="A13" s="122"/>
      <c r="B13" s="246" t="s">
        <v>6</v>
      </c>
      <c r="C13" s="306">
        <f>+Reposição!AK3/1000</f>
        <v>32305.428565017766</v>
      </c>
    </row>
    <row r="14" spans="1:19">
      <c r="A14" s="122"/>
    </row>
    <row r="15" spans="1:19">
      <c r="A15" s="122"/>
      <c r="B15" s="61"/>
    </row>
    <row r="16" spans="1:19" ht="14.45">
      <c r="A16" s="122"/>
      <c r="B16" s="128" t="s">
        <v>7</v>
      </c>
      <c r="C16" s="128">
        <v>2023</v>
      </c>
      <c r="D16" s="128">
        <v>2024</v>
      </c>
      <c r="E16" s="129">
        <v>2025</v>
      </c>
      <c r="F16" s="129">
        <v>2026</v>
      </c>
      <c r="G16" s="129">
        <v>2027</v>
      </c>
      <c r="I16"/>
      <c r="J16"/>
      <c r="K16"/>
      <c r="L16"/>
      <c r="M16"/>
      <c r="N16"/>
      <c r="O16"/>
      <c r="P16"/>
      <c r="Q16"/>
      <c r="R16"/>
      <c r="S16"/>
    </row>
    <row r="17" spans="1:37" ht="14.45">
      <c r="A17" s="122"/>
      <c r="B17" s="52" t="s">
        <v>8</v>
      </c>
      <c r="C17" s="530">
        <v>43.991078710000004</v>
      </c>
      <c r="D17" s="530">
        <v>47.465326480000002</v>
      </c>
      <c r="E17" s="136">
        <f t="shared" ref="E17:G17" si="0">+SUM(E18:E20)</f>
        <v>315.9846893946617</v>
      </c>
      <c r="F17" s="136">
        <f t="shared" si="0"/>
        <v>485.67279777081882</v>
      </c>
      <c r="G17" s="136">
        <f t="shared" si="0"/>
        <v>95.271342781197575</v>
      </c>
      <c r="I17"/>
      <c r="J17"/>
      <c r="K17"/>
      <c r="L17"/>
      <c r="M17"/>
      <c r="N17"/>
      <c r="O17"/>
      <c r="P17"/>
      <c r="Q17"/>
      <c r="R17"/>
      <c r="S17"/>
    </row>
    <row r="18" spans="1:37" ht="14.45">
      <c r="A18" s="122"/>
      <c r="B18" s="135" t="s">
        <v>9</v>
      </c>
      <c r="C18" s="531">
        <v>22.94187187</v>
      </c>
      <c r="D18" s="531">
        <v>23.711026919999995</v>
      </c>
      <c r="E18" s="250">
        <v>271.8241100064904</v>
      </c>
      <c r="F18" s="250">
        <v>387.09498182267521</v>
      </c>
      <c r="G18" s="250">
        <v>54.652467119203749</v>
      </c>
      <c r="I18"/>
      <c r="J18"/>
      <c r="K18"/>
      <c r="L18"/>
      <c r="M18"/>
      <c r="N18"/>
      <c r="O18"/>
      <c r="P18"/>
      <c r="Q18"/>
      <c r="R18"/>
      <c r="S18"/>
    </row>
    <row r="19" spans="1:37" ht="14.45">
      <c r="A19" s="122"/>
      <c r="B19" s="135" t="s">
        <v>10</v>
      </c>
      <c r="C19" s="531">
        <v>20.192741829999999</v>
      </c>
      <c r="D19" s="531">
        <v>23.29043244</v>
      </c>
      <c r="E19" s="250">
        <v>43.02501381782087</v>
      </c>
      <c r="F19" s="250">
        <v>77.736924115399887</v>
      </c>
      <c r="G19" s="250">
        <v>23.694240485458277</v>
      </c>
      <c r="I19"/>
      <c r="J19"/>
      <c r="K19"/>
      <c r="L19"/>
      <c r="M19"/>
      <c r="N19"/>
      <c r="O19"/>
      <c r="P19"/>
      <c r="Q19"/>
      <c r="R19"/>
      <c r="S19"/>
    </row>
    <row r="20" spans="1:37" ht="14.45">
      <c r="A20" s="122"/>
      <c r="B20" s="135" t="s">
        <v>11</v>
      </c>
      <c r="C20" s="531">
        <v>0.85646501000000008</v>
      </c>
      <c r="D20" s="531">
        <v>0.46386711999999991</v>
      </c>
      <c r="E20" s="250">
        <v>1.1355655703504459</v>
      </c>
      <c r="F20" s="250">
        <v>20.840891832743683</v>
      </c>
      <c r="G20" s="250">
        <v>16.924635176535539</v>
      </c>
      <c r="I20"/>
      <c r="J20"/>
      <c r="K20"/>
      <c r="L20"/>
      <c r="M20"/>
      <c r="N20"/>
      <c r="O20"/>
      <c r="P20"/>
      <c r="Q20"/>
      <c r="R20"/>
      <c r="S20"/>
    </row>
    <row r="21" spans="1:37" ht="14.45">
      <c r="A21" s="122"/>
      <c r="B21" s="135" t="s">
        <v>12</v>
      </c>
      <c r="E21" s="301"/>
      <c r="F21" s="301"/>
      <c r="G21" s="301"/>
      <c r="I21"/>
      <c r="J21"/>
      <c r="K21"/>
      <c r="L21"/>
      <c r="M21"/>
      <c r="N21"/>
      <c r="O21"/>
      <c r="P21"/>
      <c r="Q21"/>
      <c r="R21"/>
      <c r="S21"/>
    </row>
    <row r="22" spans="1:37" ht="14.45">
      <c r="A22" s="122"/>
      <c r="E22" s="445">
        <v>122.19</v>
      </c>
      <c r="I22"/>
      <c r="J22"/>
      <c r="K22"/>
      <c r="L22"/>
      <c r="M22"/>
      <c r="N22"/>
      <c r="O22"/>
      <c r="P22"/>
      <c r="Q22"/>
      <c r="R22"/>
      <c r="S22"/>
    </row>
    <row r="23" spans="1:37" ht="14.45">
      <c r="A23" s="122"/>
      <c r="I23"/>
      <c r="J23"/>
      <c r="K23"/>
      <c r="L23"/>
      <c r="M23"/>
      <c r="N23"/>
      <c r="O23"/>
      <c r="P23"/>
      <c r="Q23"/>
      <c r="R23"/>
      <c r="S23"/>
    </row>
    <row r="24" spans="1:37" ht="14.45">
      <c r="B24" s="61"/>
      <c r="I24"/>
      <c r="J24"/>
      <c r="K24"/>
      <c r="L24"/>
      <c r="M24"/>
      <c r="N24"/>
      <c r="O24"/>
      <c r="P24"/>
      <c r="Q24"/>
      <c r="R24"/>
      <c r="S24"/>
    </row>
    <row r="25" spans="1:37" ht="14.45">
      <c r="B25" s="128" t="s">
        <v>13</v>
      </c>
      <c r="C25" s="128">
        <v>2023</v>
      </c>
      <c r="D25" s="128">
        <v>2024</v>
      </c>
      <c r="E25" s="129">
        <v>2025</v>
      </c>
      <c r="F25" s="129">
        <v>2026</v>
      </c>
      <c r="G25" s="129">
        <v>2027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ht="14.45">
      <c r="B26" s="264" t="s">
        <v>14</v>
      </c>
      <c r="C26" s="265">
        <f>C27+C32</f>
        <v>996318</v>
      </c>
      <c r="D26" s="265">
        <f t="shared" ref="D26:G26" si="1">D27+D32</f>
        <v>1403812.4093700002</v>
      </c>
      <c r="E26" s="277">
        <f t="shared" si="1"/>
        <v>812267.53910257865</v>
      </c>
      <c r="F26" s="277">
        <f t="shared" si="1"/>
        <v>1100453.7662054668</v>
      </c>
      <c r="G26" s="278">
        <f t="shared" si="1"/>
        <v>1085338.7791384994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ht="14.45">
      <c r="B27" s="139" t="s">
        <v>15</v>
      </c>
      <c r="C27" s="143">
        <f>SUM(C28:C31)</f>
        <v>841439</v>
      </c>
      <c r="D27" s="143">
        <f t="shared" ref="D27:G27" si="2">SUM(D28:D31)</f>
        <v>823262.54337000009</v>
      </c>
      <c r="E27" s="251">
        <f t="shared" si="2"/>
        <v>719340.13910257863</v>
      </c>
      <c r="F27" s="251">
        <f t="shared" si="2"/>
        <v>697597.2314208661</v>
      </c>
      <c r="G27" s="252">
        <f t="shared" si="2"/>
        <v>682482.24435389857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 ht="14.45">
      <c r="B28" s="140" t="s">
        <v>16</v>
      </c>
      <c r="C28" s="144">
        <v>6625</v>
      </c>
      <c r="D28" s="144">
        <v>6579.9724400000014</v>
      </c>
      <c r="E28" s="251">
        <v>6582.9725917207224</v>
      </c>
      <c r="F28" s="251">
        <v>6598.3670128778531</v>
      </c>
      <c r="G28" s="252">
        <v>6610.5124681520101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ht="14.45">
      <c r="B29" s="140" t="s">
        <v>17</v>
      </c>
      <c r="C29" s="144">
        <v>5132</v>
      </c>
      <c r="D29" s="144">
        <v>5151.4188100000001</v>
      </c>
      <c r="E29" s="251">
        <v>5018.1128396578915</v>
      </c>
      <c r="F29" s="251">
        <v>4925.1776481321986</v>
      </c>
      <c r="G29" s="252">
        <v>4916.4878269406445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ht="14.45">
      <c r="B30" s="140" t="s">
        <v>18</v>
      </c>
      <c r="C30" s="144">
        <v>633766</v>
      </c>
      <c r="D30" s="144">
        <v>640836.01944000006</v>
      </c>
      <c r="E30" s="251">
        <v>557527.33691280009</v>
      </c>
      <c r="F30" s="251">
        <v>546376.79017454409</v>
      </c>
      <c r="G30" s="252">
        <v>535449.25437105319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ht="14.45">
      <c r="B31" s="140" t="s">
        <v>19</v>
      </c>
      <c r="C31" s="144">
        <v>195916</v>
      </c>
      <c r="D31" s="144">
        <v>170695.13268000001</v>
      </c>
      <c r="E31" s="251">
        <v>150211.7167584</v>
      </c>
      <c r="F31" s="251">
        <v>139696.896585312</v>
      </c>
      <c r="G31" s="252">
        <v>135505.98968775265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ht="14.45">
      <c r="B32" s="141" t="s">
        <v>20</v>
      </c>
      <c r="C32" s="145">
        <v>154879</v>
      </c>
      <c r="D32" s="145">
        <v>580549.86600000015</v>
      </c>
      <c r="E32" s="253">
        <v>92927.4</v>
      </c>
      <c r="F32" s="253">
        <v>402856.53478460072</v>
      </c>
      <c r="G32" s="254">
        <v>402856.53478460072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4.45"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4.45">
      <c r="B34" s="128" t="s">
        <v>21</v>
      </c>
      <c r="C34" s="128">
        <v>2023</v>
      </c>
      <c r="D34" s="128">
        <v>2024</v>
      </c>
      <c r="E34" s="129">
        <v>2025</v>
      </c>
      <c r="F34" s="129">
        <v>2026</v>
      </c>
      <c r="G34" s="129">
        <v>2027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4.45">
      <c r="B35" s="264" t="s">
        <v>22</v>
      </c>
      <c r="C35" s="265">
        <f>SUM(C36:C40)</f>
        <v>89862</v>
      </c>
      <c r="D35" s="265">
        <f t="shared" ref="D35:G35" si="3">SUM(D36:D40)</f>
        <v>91509</v>
      </c>
      <c r="E35" s="266">
        <f t="shared" si="3"/>
        <v>93573</v>
      </c>
      <c r="F35" s="266">
        <f t="shared" si="3"/>
        <v>95671.755798028622</v>
      </c>
      <c r="G35" s="267">
        <f t="shared" si="3"/>
        <v>97789.684421556274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4.45">
      <c r="B36" s="140" t="s">
        <v>23</v>
      </c>
      <c r="C36" s="268">
        <v>88048</v>
      </c>
      <c r="D36" s="268">
        <v>89690</v>
      </c>
      <c r="E36" s="269">
        <v>91758</v>
      </c>
      <c r="F36" s="269">
        <v>93826</v>
      </c>
      <c r="G36" s="255">
        <v>95894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4.45">
      <c r="B37" s="140" t="s">
        <v>17</v>
      </c>
      <c r="C37" s="268">
        <v>1586</v>
      </c>
      <c r="D37" s="268">
        <v>1582</v>
      </c>
      <c r="E37" s="269">
        <v>1567</v>
      </c>
      <c r="F37" s="269">
        <v>1586.7557980286228</v>
      </c>
      <c r="G37" s="255">
        <v>1625.6844215562708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4.45">
      <c r="B38" s="140" t="s">
        <v>18</v>
      </c>
      <c r="C38" s="268">
        <v>82</v>
      </c>
      <c r="D38" s="268">
        <v>85</v>
      </c>
      <c r="E38" s="269">
        <v>86</v>
      </c>
      <c r="F38" s="269">
        <v>90</v>
      </c>
      <c r="G38" s="255">
        <v>94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4.45">
      <c r="B39" s="140" t="s">
        <v>19</v>
      </c>
      <c r="C39" s="268">
        <v>144</v>
      </c>
      <c r="D39" s="268">
        <v>150</v>
      </c>
      <c r="E39" s="269">
        <v>159</v>
      </c>
      <c r="F39" s="269">
        <v>166</v>
      </c>
      <c r="G39" s="255">
        <v>173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4.45">
      <c r="B40" s="142" t="s">
        <v>24</v>
      </c>
      <c r="C40" s="248">
        <v>2</v>
      </c>
      <c r="D40" s="248">
        <v>2</v>
      </c>
      <c r="E40" s="256">
        <v>3</v>
      </c>
      <c r="F40" s="256">
        <v>3</v>
      </c>
      <c r="G40" s="257">
        <v>3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4.45">
      <c r="A41" s="122"/>
      <c r="I41"/>
      <c r="J41"/>
      <c r="K41"/>
      <c r="L41"/>
      <c r="M41"/>
      <c r="N41"/>
      <c r="O41"/>
      <c r="P41"/>
      <c r="Q41"/>
      <c r="R41"/>
      <c r="S41"/>
    </row>
    <row r="42" spans="1:37" ht="14.45">
      <c r="A42" s="122"/>
      <c r="I42"/>
      <c r="J42"/>
      <c r="K42"/>
      <c r="L42"/>
      <c r="M42"/>
      <c r="N42"/>
      <c r="O42"/>
      <c r="P42"/>
      <c r="Q42"/>
      <c r="R42"/>
      <c r="S42"/>
    </row>
    <row r="43" spans="1:37" ht="14.45">
      <c r="A43" s="122"/>
      <c r="I43"/>
      <c r="J43"/>
      <c r="K43"/>
      <c r="L43"/>
      <c r="M43"/>
      <c r="N43"/>
      <c r="O43"/>
      <c r="P43"/>
      <c r="Q43"/>
      <c r="R43"/>
      <c r="S43"/>
    </row>
    <row r="44" spans="1:37" ht="14.45">
      <c r="A44" s="122"/>
      <c r="B44" s="128" t="s">
        <v>25</v>
      </c>
      <c r="C44" s="128">
        <v>2023</v>
      </c>
      <c r="D44" s="128">
        <v>2024</v>
      </c>
      <c r="E44" s="129">
        <v>2025</v>
      </c>
      <c r="F44" s="129">
        <v>2026</v>
      </c>
      <c r="G44" s="129">
        <v>2027</v>
      </c>
      <c r="I44"/>
      <c r="J44"/>
      <c r="K44"/>
      <c r="L44"/>
      <c r="M44"/>
      <c r="N44"/>
      <c r="O44"/>
      <c r="P44"/>
      <c r="Q44"/>
      <c r="R44"/>
      <c r="S44"/>
    </row>
    <row r="45" spans="1:37" ht="14.45">
      <c r="A45" s="122"/>
      <c r="B45" s="50" t="s">
        <v>25</v>
      </c>
      <c r="C45" s="51"/>
      <c r="D45" s="51"/>
      <c r="E45" s="167"/>
      <c r="F45" s="167"/>
      <c r="G45" s="167"/>
      <c r="H45" s="168"/>
      <c r="I45"/>
      <c r="J45"/>
      <c r="K45"/>
      <c r="L45"/>
      <c r="M45"/>
      <c r="N45"/>
      <c r="O45"/>
      <c r="P45"/>
      <c r="Q45"/>
      <c r="R45"/>
      <c r="S45"/>
    </row>
    <row r="46" spans="1:37" ht="14.45">
      <c r="A46" s="122"/>
      <c r="I46"/>
      <c r="J46"/>
      <c r="K46"/>
      <c r="L46"/>
      <c r="M46"/>
      <c r="N46"/>
      <c r="O46"/>
      <c r="P46"/>
      <c r="Q46"/>
      <c r="R46"/>
      <c r="S46"/>
    </row>
    <row r="47" spans="1:37" ht="14.45">
      <c r="A47" s="122"/>
      <c r="I47"/>
      <c r="J47"/>
      <c r="K47"/>
      <c r="L47"/>
      <c r="M47"/>
      <c r="N47"/>
      <c r="O47"/>
      <c r="P47"/>
      <c r="Q47"/>
      <c r="R47"/>
      <c r="S47"/>
    </row>
    <row r="48" spans="1:37" ht="14.45">
      <c r="A48" s="122"/>
      <c r="B48" s="128" t="s">
        <v>26</v>
      </c>
      <c r="C48" s="128">
        <v>2023</v>
      </c>
      <c r="D48" s="128">
        <v>2024</v>
      </c>
      <c r="E48" s="129">
        <v>2025</v>
      </c>
      <c r="F48" s="129">
        <v>2026</v>
      </c>
      <c r="G48" s="129">
        <v>2027</v>
      </c>
      <c r="I48"/>
      <c r="J48"/>
      <c r="K48"/>
      <c r="L48"/>
      <c r="M48"/>
      <c r="N48"/>
      <c r="O48"/>
      <c r="P48"/>
      <c r="Q48"/>
      <c r="R48"/>
      <c r="S48"/>
    </row>
    <row r="49" spans="1:19" ht="14.45">
      <c r="A49" s="122"/>
      <c r="B49" s="50" t="s">
        <v>27</v>
      </c>
      <c r="C49" s="259">
        <v>4541.1450699999987</v>
      </c>
      <c r="D49" s="259">
        <v>-109.46683999999972</v>
      </c>
      <c r="E49" s="167">
        <v>-2623.9579100000001</v>
      </c>
      <c r="F49" s="167">
        <v>-2703.1844245568996</v>
      </c>
      <c r="G49" s="167">
        <v>-2786.6045090882376</v>
      </c>
      <c r="I49"/>
      <c r="J49"/>
      <c r="K49"/>
      <c r="L49"/>
      <c r="M49"/>
      <c r="N49"/>
      <c r="O49"/>
      <c r="P49"/>
      <c r="Q49"/>
      <c r="R49"/>
      <c r="S49"/>
    </row>
    <row r="50" spans="1:19" ht="14.45">
      <c r="A50" s="122"/>
      <c r="I50"/>
      <c r="J50"/>
      <c r="K50"/>
      <c r="L50"/>
      <c r="M50"/>
      <c r="N50"/>
      <c r="O50"/>
      <c r="P50"/>
      <c r="Q50"/>
      <c r="R50"/>
      <c r="S50"/>
    </row>
    <row r="51" spans="1:19" ht="14.45">
      <c r="A51" s="122"/>
      <c r="I51"/>
      <c r="J51"/>
      <c r="K51"/>
      <c r="L51"/>
      <c r="M51"/>
      <c r="N51"/>
      <c r="O51"/>
      <c r="P51"/>
      <c r="Q51"/>
      <c r="R51"/>
      <c r="S51"/>
    </row>
    <row r="52" spans="1:19" ht="14.45">
      <c r="A52" s="122"/>
      <c r="B52" s="128" t="s">
        <v>28</v>
      </c>
      <c r="C52" s="128">
        <v>2023</v>
      </c>
      <c r="D52" s="128">
        <v>2024</v>
      </c>
      <c r="E52" s="129">
        <v>2025</v>
      </c>
      <c r="F52" s="129">
        <v>2026</v>
      </c>
      <c r="G52" s="129">
        <v>2027</v>
      </c>
      <c r="I52"/>
      <c r="J52"/>
      <c r="K52"/>
      <c r="L52"/>
      <c r="M52"/>
      <c r="N52"/>
      <c r="O52"/>
      <c r="P52"/>
      <c r="Q52"/>
      <c r="R52"/>
      <c r="S52"/>
    </row>
    <row r="53" spans="1:19" ht="14.45">
      <c r="A53" s="122"/>
      <c r="B53" s="50" t="s">
        <v>29</v>
      </c>
      <c r="C53" s="58">
        <v>79064.332270000014</v>
      </c>
      <c r="D53" s="58">
        <v>130115.68558999999</v>
      </c>
      <c r="E53" s="293">
        <v>194519.90786810202</v>
      </c>
      <c r="F53" s="293">
        <v>216092.086142441</v>
      </c>
      <c r="G53" s="293">
        <v>228626.99819572282</v>
      </c>
      <c r="I53"/>
      <c r="J53"/>
      <c r="K53"/>
      <c r="L53"/>
      <c r="M53"/>
      <c r="N53"/>
      <c r="O53"/>
      <c r="P53"/>
      <c r="Q53"/>
      <c r="R53"/>
      <c r="S53"/>
    </row>
    <row r="54" spans="1:19" ht="14.45">
      <c r="A54" s="122"/>
      <c r="B54" s="50" t="s">
        <v>30</v>
      </c>
      <c r="C54" s="58">
        <v>5013.8892100000012</v>
      </c>
      <c r="D54" s="58">
        <v>5161.8214099999996</v>
      </c>
      <c r="E54" s="293">
        <v>5562.7302244666125</v>
      </c>
      <c r="F54" s="293">
        <v>6131.0551432480006</v>
      </c>
      <c r="G54" s="293">
        <v>6314.9867975454408</v>
      </c>
      <c r="I54"/>
      <c r="J54"/>
      <c r="K54"/>
      <c r="L54"/>
      <c r="M54"/>
      <c r="N54"/>
      <c r="O54"/>
      <c r="P54"/>
      <c r="Q54"/>
      <c r="R54"/>
      <c r="S54"/>
    </row>
    <row r="55" spans="1:19" ht="14.45">
      <c r="A55" s="122"/>
      <c r="I55"/>
      <c r="J55"/>
      <c r="K55"/>
      <c r="L55"/>
      <c r="M55"/>
      <c r="N55"/>
      <c r="O55"/>
      <c r="P55"/>
      <c r="Q55"/>
      <c r="R55"/>
      <c r="S55"/>
    </row>
    <row r="56" spans="1:19" ht="14.45">
      <c r="A56" s="122"/>
      <c r="B56" s="128" t="s">
        <v>31</v>
      </c>
      <c r="C56" s="128">
        <v>2023</v>
      </c>
      <c r="D56" s="128">
        <v>2024</v>
      </c>
      <c r="E56" s="129">
        <v>2025</v>
      </c>
      <c r="F56" s="129">
        <v>2026</v>
      </c>
      <c r="G56" s="129">
        <v>2027</v>
      </c>
      <c r="I56"/>
      <c r="J56"/>
      <c r="K56"/>
      <c r="L56"/>
      <c r="M56"/>
      <c r="N56"/>
      <c r="O56"/>
      <c r="P56"/>
      <c r="Q56"/>
      <c r="R56"/>
      <c r="S56"/>
    </row>
    <row r="57" spans="1:19" ht="14.45">
      <c r="A57" s="122"/>
      <c r="B57" s="258" t="s">
        <v>32</v>
      </c>
      <c r="C57" s="51">
        <v>28761.781640000001</v>
      </c>
      <c r="D57" s="51">
        <v>29100.428069999998</v>
      </c>
      <c r="E57" s="167">
        <v>34784.87129691193</v>
      </c>
      <c r="F57" s="167">
        <v>43785.29161453565</v>
      </c>
      <c r="G57" s="167">
        <v>43815.436393616226</v>
      </c>
      <c r="I57"/>
      <c r="J57"/>
      <c r="K57"/>
      <c r="L57"/>
      <c r="M57"/>
      <c r="N57"/>
      <c r="O57"/>
      <c r="P57"/>
      <c r="Q57"/>
      <c r="R57"/>
      <c r="S57"/>
    </row>
    <row r="58" spans="1:19" ht="14.45">
      <c r="A58" s="122"/>
      <c r="I58"/>
      <c r="J58"/>
      <c r="K58"/>
      <c r="L58"/>
      <c r="M58"/>
      <c r="N58"/>
      <c r="O58"/>
      <c r="P58"/>
      <c r="Q58"/>
      <c r="R58"/>
      <c r="S58"/>
    </row>
    <row r="59" spans="1:19" ht="14.45">
      <c r="A59" s="122"/>
      <c r="B59" s="128" t="s">
        <v>33</v>
      </c>
      <c r="C59" s="128">
        <v>2023</v>
      </c>
      <c r="D59" s="128">
        <v>2024</v>
      </c>
      <c r="E59" s="129">
        <v>2025</v>
      </c>
      <c r="F59" s="129">
        <v>2026</v>
      </c>
      <c r="G59" s="129">
        <v>2027</v>
      </c>
      <c r="I59"/>
      <c r="J59"/>
      <c r="K59"/>
      <c r="L59"/>
      <c r="M59"/>
      <c r="N59"/>
      <c r="O59"/>
      <c r="P59"/>
      <c r="Q59"/>
      <c r="R59"/>
      <c r="S59"/>
    </row>
    <row r="60" spans="1:19" ht="14.45">
      <c r="A60" s="122"/>
      <c r="C60" s="211">
        <v>2.179965965281105</v>
      </c>
      <c r="D60" s="211">
        <v>2.6750482335273831</v>
      </c>
      <c r="E60" s="295">
        <v>2.3807940944308812</v>
      </c>
      <c r="F60" s="295">
        <v>2.4512417916850908</v>
      </c>
      <c r="G60" s="295">
        <v>2.5254408807193984</v>
      </c>
      <c r="I60"/>
      <c r="J60"/>
      <c r="K60"/>
      <c r="L60"/>
      <c r="M60"/>
      <c r="N60"/>
      <c r="O60"/>
      <c r="P60"/>
      <c r="Q60"/>
      <c r="R60"/>
      <c r="S60"/>
    </row>
    <row r="61" spans="1:19" ht="12.75" customHeight="1">
      <c r="A61" s="122"/>
      <c r="C61" s="51"/>
      <c r="D61" s="51"/>
      <c r="E61" s="51"/>
      <c r="F61" s="51"/>
      <c r="G61" s="51"/>
      <c r="I61"/>
      <c r="J61"/>
      <c r="K61"/>
      <c r="L61"/>
      <c r="M61"/>
      <c r="N61"/>
      <c r="O61"/>
      <c r="P61"/>
      <c r="Q61"/>
      <c r="R61"/>
      <c r="S61"/>
    </row>
    <row r="62" spans="1:19" ht="12.75" customHeight="1">
      <c r="A62" s="122"/>
      <c r="B62" s="128" t="s">
        <v>34</v>
      </c>
      <c r="C62" s="128">
        <v>2023</v>
      </c>
      <c r="D62" s="128">
        <v>2024</v>
      </c>
      <c r="E62" s="129">
        <v>2025</v>
      </c>
      <c r="F62" s="129">
        <v>2026</v>
      </c>
      <c r="G62" s="129">
        <v>2027</v>
      </c>
      <c r="I62"/>
      <c r="J62"/>
      <c r="K62"/>
      <c r="L62"/>
      <c r="M62"/>
      <c r="N62"/>
      <c r="O62"/>
      <c r="P62"/>
      <c r="Q62"/>
      <c r="R62"/>
      <c r="S62"/>
    </row>
    <row r="63" spans="1:19" ht="12.75" customHeight="1">
      <c r="A63" s="122"/>
      <c r="B63" s="258" t="s">
        <v>32</v>
      </c>
      <c r="C63" s="51">
        <v>3425.8409699999997</v>
      </c>
      <c r="D63" s="51">
        <v>13120.73733</v>
      </c>
      <c r="E63" s="167">
        <v>20249.936664610726</v>
      </c>
      <c r="F63" s="167">
        <v>10180.632318757112</v>
      </c>
      <c r="G63" s="167">
        <v>10269.907106404395</v>
      </c>
      <c r="I63"/>
      <c r="J63"/>
      <c r="K63"/>
      <c r="L63"/>
      <c r="M63"/>
      <c r="N63"/>
      <c r="O63"/>
      <c r="P63"/>
      <c r="Q63"/>
      <c r="R63"/>
      <c r="S63"/>
    </row>
    <row r="64" spans="1:19" ht="12.75" customHeight="1">
      <c r="A64" s="122"/>
      <c r="C64" s="51"/>
      <c r="D64" s="51"/>
      <c r="E64" s="51"/>
      <c r="F64" s="51"/>
      <c r="G64" s="51"/>
      <c r="I64"/>
      <c r="J64"/>
      <c r="K64"/>
      <c r="L64"/>
      <c r="M64"/>
      <c r="N64"/>
      <c r="O64"/>
      <c r="P64"/>
      <c r="Q64"/>
      <c r="R64"/>
      <c r="S64"/>
    </row>
    <row r="65" spans="1:19" ht="12.75" customHeight="1">
      <c r="A65" s="122"/>
      <c r="C65" s="51"/>
      <c r="D65" s="51"/>
      <c r="E65" s="51"/>
      <c r="F65" s="51"/>
      <c r="G65" s="51"/>
      <c r="I65"/>
      <c r="J65"/>
      <c r="K65"/>
      <c r="L65"/>
      <c r="M65"/>
      <c r="N65"/>
      <c r="O65"/>
      <c r="P65"/>
      <c r="Q65"/>
      <c r="R65"/>
      <c r="S65"/>
    </row>
    <row r="66" spans="1:19" ht="12.75" customHeight="1">
      <c r="A66" s="122"/>
      <c r="C66" s="51"/>
      <c r="D66" s="51"/>
      <c r="E66" s="51"/>
      <c r="F66" s="51"/>
      <c r="G66" s="51"/>
    </row>
    <row r="67" spans="1:19">
      <c r="A67" s="122"/>
    </row>
    <row r="68" spans="1:19">
      <c r="B68" s="57" t="s">
        <v>35</v>
      </c>
    </row>
    <row r="69" spans="1:19">
      <c r="B69" s="57"/>
    </row>
    <row r="70" spans="1:19">
      <c r="B70" s="61"/>
      <c r="D70" s="769"/>
      <c r="E70" s="769"/>
      <c r="F70" s="769"/>
      <c r="G70" s="769"/>
      <c r="H70" s="769"/>
      <c r="I70" s="769"/>
    </row>
    <row r="71" spans="1:19">
      <c r="B71" s="128" t="s">
        <v>36</v>
      </c>
      <c r="C71" s="128" t="s">
        <v>37</v>
      </c>
      <c r="D71" s="128">
        <v>2019</v>
      </c>
      <c r="E71" s="128">
        <f t="shared" ref="E71:H71" si="4">+D71+1</f>
        <v>2020</v>
      </c>
      <c r="F71" s="128">
        <f t="shared" si="4"/>
        <v>2021</v>
      </c>
      <c r="G71" s="128">
        <f t="shared" si="4"/>
        <v>2022</v>
      </c>
      <c r="H71" s="128">
        <f t="shared" si="4"/>
        <v>2023</v>
      </c>
      <c r="I71" s="128">
        <f>+H71+1</f>
        <v>2024</v>
      </c>
    </row>
    <row r="72" spans="1:19">
      <c r="B72" s="50" t="s">
        <v>30</v>
      </c>
      <c r="C72" s="123" t="s">
        <v>38</v>
      </c>
      <c r="D72" s="126">
        <v>1365.8059599999999</v>
      </c>
      <c r="E72" s="126">
        <v>1333.5211899999999</v>
      </c>
      <c r="F72" s="126">
        <v>1334.8086000000001</v>
      </c>
      <c r="G72" s="126">
        <v>1512.66353</v>
      </c>
      <c r="H72" s="126">
        <v>1624.21226</v>
      </c>
      <c r="I72" s="126">
        <v>5161.8214099999996</v>
      </c>
      <c r="J72" s="311" t="s">
        <v>39</v>
      </c>
    </row>
    <row r="73" spans="1:19">
      <c r="B73" s="50" t="s">
        <v>40</v>
      </c>
      <c r="C73" s="123" t="s">
        <v>38</v>
      </c>
      <c r="D73" s="126">
        <v>125355.93288998146</v>
      </c>
      <c r="E73" s="126">
        <v>99378.513336834265</v>
      </c>
      <c r="F73" s="126">
        <v>76529.106250000012</v>
      </c>
      <c r="G73" s="126">
        <v>109192.31003659226</v>
      </c>
      <c r="H73" s="126">
        <v>100521.14262851671</v>
      </c>
      <c r="I73" s="126">
        <v>122244.82160837823</v>
      </c>
      <c r="J73" s="311"/>
    </row>
    <row r="74" spans="1:19">
      <c r="B74" s="50" t="s">
        <v>41</v>
      </c>
      <c r="C74" s="123" t="s">
        <v>42</v>
      </c>
      <c r="D74" s="126"/>
      <c r="E74" s="126">
        <v>361</v>
      </c>
      <c r="F74" s="126">
        <v>321</v>
      </c>
      <c r="G74" s="126">
        <v>316</v>
      </c>
      <c r="H74" s="126">
        <v>295</v>
      </c>
      <c r="I74" s="126">
        <v>291</v>
      </c>
      <c r="J74" s="311"/>
    </row>
    <row r="75" spans="1:19">
      <c r="B75" s="50" t="s">
        <v>43</v>
      </c>
      <c r="C75" s="123" t="s">
        <v>44</v>
      </c>
      <c r="D75" s="126"/>
      <c r="E75" s="126">
        <v>1298.2</v>
      </c>
      <c r="F75" s="126">
        <v>1313.2</v>
      </c>
      <c r="G75" s="126">
        <v>1322.3</v>
      </c>
      <c r="H75" s="126">
        <v>1397</v>
      </c>
      <c r="I75" s="126">
        <v>1405</v>
      </c>
      <c r="J75" s="311" t="s">
        <v>39</v>
      </c>
    </row>
    <row r="76" spans="1:19">
      <c r="B76" s="50" t="s">
        <v>45</v>
      </c>
      <c r="C76" s="123" t="s">
        <v>38</v>
      </c>
      <c r="D76" s="126"/>
      <c r="E76" s="126">
        <v>27625</v>
      </c>
      <c r="F76" s="126">
        <v>20861</v>
      </c>
      <c r="G76" s="126">
        <v>33016</v>
      </c>
      <c r="H76" s="126">
        <v>43992</v>
      </c>
      <c r="I76" s="126">
        <v>47465</v>
      </c>
      <c r="J76" s="311" t="s">
        <v>39</v>
      </c>
    </row>
    <row r="77" spans="1:19">
      <c r="B77" s="50" t="s">
        <v>46</v>
      </c>
      <c r="C77" s="123" t="s">
        <v>42</v>
      </c>
      <c r="D77" s="126">
        <v>0</v>
      </c>
      <c r="E77" s="126">
        <f>SUM(E78:E82)</f>
        <v>84110</v>
      </c>
      <c r="F77" s="126">
        <f t="shared" ref="F77:I77" si="5">SUM(F78:F82)</f>
        <v>86659</v>
      </c>
      <c r="G77" s="126">
        <f t="shared" si="5"/>
        <v>88751</v>
      </c>
      <c r="H77" s="126">
        <f t="shared" si="5"/>
        <v>89862</v>
      </c>
      <c r="I77" s="126">
        <f t="shared" si="5"/>
        <v>91509</v>
      </c>
      <c r="J77" s="311" t="s">
        <v>39</v>
      </c>
    </row>
    <row r="78" spans="1:19">
      <c r="B78" s="138" t="s">
        <v>47</v>
      </c>
      <c r="C78" s="123" t="s">
        <v>42</v>
      </c>
      <c r="D78" s="126"/>
      <c r="E78" s="126">
        <v>82304</v>
      </c>
      <c r="F78" s="126">
        <v>84814</v>
      </c>
      <c r="G78" s="126">
        <v>86872</v>
      </c>
      <c r="H78" s="126">
        <v>88048</v>
      </c>
      <c r="I78" s="126">
        <v>89690</v>
      </c>
      <c r="J78" s="311" t="s">
        <v>39</v>
      </c>
    </row>
    <row r="79" spans="1:19">
      <c r="B79" s="138" t="s">
        <v>17</v>
      </c>
      <c r="C79" s="123" t="s">
        <v>42</v>
      </c>
      <c r="D79" s="126"/>
      <c r="E79" s="126">
        <v>1591</v>
      </c>
      <c r="F79" s="126">
        <v>1625</v>
      </c>
      <c r="G79" s="126">
        <v>1653</v>
      </c>
      <c r="H79" s="126">
        <v>1586</v>
      </c>
      <c r="I79" s="126">
        <v>1582</v>
      </c>
      <c r="J79" s="311" t="s">
        <v>39</v>
      </c>
    </row>
    <row r="80" spans="1:19">
      <c r="B80" s="138" t="s">
        <v>18</v>
      </c>
      <c r="C80" s="123" t="s">
        <v>42</v>
      </c>
      <c r="D80" s="126"/>
      <c r="E80" s="126">
        <v>86</v>
      </c>
      <c r="F80" s="126">
        <v>85</v>
      </c>
      <c r="G80" s="126">
        <v>86</v>
      </c>
      <c r="H80" s="126">
        <v>82</v>
      </c>
      <c r="I80" s="126">
        <v>85</v>
      </c>
      <c r="J80" s="311" t="s">
        <v>39</v>
      </c>
    </row>
    <row r="81" spans="2:16">
      <c r="B81" s="138" t="s">
        <v>24</v>
      </c>
      <c r="C81" s="123" t="s">
        <v>42</v>
      </c>
      <c r="D81" s="126"/>
      <c r="E81" s="126">
        <v>2</v>
      </c>
      <c r="F81" s="126">
        <v>2</v>
      </c>
      <c r="G81" s="126">
        <v>2</v>
      </c>
      <c r="H81" s="126">
        <v>2</v>
      </c>
      <c r="I81" s="126">
        <v>2</v>
      </c>
      <c r="J81" s="311" t="s">
        <v>39</v>
      </c>
    </row>
    <row r="82" spans="2:16">
      <c r="B82" s="138" t="s">
        <v>19</v>
      </c>
      <c r="C82" s="123" t="s">
        <v>42</v>
      </c>
      <c r="D82" s="126"/>
      <c r="E82" s="126">
        <v>127</v>
      </c>
      <c r="F82" s="126">
        <v>133</v>
      </c>
      <c r="G82" s="126">
        <v>138</v>
      </c>
      <c r="H82" s="126">
        <v>144</v>
      </c>
      <c r="I82" s="126">
        <v>150</v>
      </c>
      <c r="J82" s="311" t="s">
        <v>39</v>
      </c>
    </row>
    <row r="83" spans="2:16">
      <c r="B83" s="50" t="s">
        <v>48</v>
      </c>
      <c r="C83" s="123" t="s">
        <v>49</v>
      </c>
      <c r="D83" s="127">
        <v>0</v>
      </c>
      <c r="E83" s="127">
        <v>5850.33</v>
      </c>
      <c r="F83" s="127">
        <v>9209.48</v>
      </c>
      <c r="G83" s="127">
        <v>3249.15</v>
      </c>
      <c r="H83" s="127">
        <v>2729.65</v>
      </c>
      <c r="I83" s="127">
        <v>3846.27</v>
      </c>
      <c r="J83" s="311" t="s">
        <v>39</v>
      </c>
      <c r="L83" s="410"/>
      <c r="M83" s="410"/>
      <c r="N83" s="410"/>
      <c r="O83" s="410"/>
      <c r="P83" s="410"/>
    </row>
    <row r="84" spans="2:16">
      <c r="B84" s="138" t="s">
        <v>47</v>
      </c>
      <c r="C84" s="123" t="s">
        <v>49</v>
      </c>
      <c r="D84" s="127"/>
      <c r="E84" s="127">
        <v>18.420000000000002</v>
      </c>
      <c r="F84" s="127">
        <v>18.57</v>
      </c>
      <c r="G84" s="127">
        <v>18.61</v>
      </c>
      <c r="H84" s="127">
        <v>18.149999999999999</v>
      </c>
      <c r="I84" s="133">
        <v>18.03</v>
      </c>
      <c r="J84" s="311" t="s">
        <v>39</v>
      </c>
    </row>
    <row r="85" spans="2:16">
      <c r="B85" s="138" t="s">
        <v>17</v>
      </c>
      <c r="C85" s="123" t="s">
        <v>49</v>
      </c>
      <c r="D85" s="127"/>
      <c r="E85" s="127">
        <v>11.34</v>
      </c>
      <c r="F85" s="127">
        <v>13.89</v>
      </c>
      <c r="G85" s="127">
        <v>14.57</v>
      </c>
      <c r="H85" s="127">
        <v>14.06</v>
      </c>
      <c r="I85" s="127">
        <v>14.11</v>
      </c>
      <c r="J85" s="311" t="s">
        <v>39</v>
      </c>
    </row>
    <row r="86" spans="2:16">
      <c r="B86" s="138" t="s">
        <v>18</v>
      </c>
      <c r="C86" s="123" t="s">
        <v>49</v>
      </c>
      <c r="D86" s="127"/>
      <c r="E86" s="127">
        <v>1612.11</v>
      </c>
      <c r="F86" s="127">
        <v>1787.48</v>
      </c>
      <c r="G86" s="127">
        <v>1646.47</v>
      </c>
      <c r="H86" s="127">
        <v>1736.35</v>
      </c>
      <c r="I86" s="127">
        <v>1755.72</v>
      </c>
      <c r="J86" s="311" t="s">
        <v>39</v>
      </c>
    </row>
    <row r="87" spans="2:16">
      <c r="B87" s="138" t="s">
        <v>24</v>
      </c>
      <c r="C87" s="123" t="s">
        <v>49</v>
      </c>
      <c r="D87" s="127"/>
      <c r="E87" s="127">
        <v>3658.27</v>
      </c>
      <c r="F87" s="127">
        <v>6766.74</v>
      </c>
      <c r="G87" s="127">
        <v>950.9</v>
      </c>
      <c r="H87" s="127">
        <v>424.32</v>
      </c>
      <c r="I87" s="127">
        <v>1590.55</v>
      </c>
      <c r="J87" s="311" t="s">
        <v>39</v>
      </c>
    </row>
    <row r="88" spans="2:16">
      <c r="B88" s="138" t="s">
        <v>19</v>
      </c>
      <c r="C88" s="123" t="s">
        <v>49</v>
      </c>
      <c r="D88" s="127"/>
      <c r="E88" s="127">
        <v>550.19000000000005</v>
      </c>
      <c r="F88" s="127">
        <v>622.79999999999995</v>
      </c>
      <c r="G88" s="127">
        <v>618.6</v>
      </c>
      <c r="H88" s="127">
        <v>536.77</v>
      </c>
      <c r="I88" s="127">
        <v>467.86</v>
      </c>
      <c r="J88" s="311" t="s">
        <v>39</v>
      </c>
    </row>
    <row r="89" spans="2:16">
      <c r="D89" s="123"/>
      <c r="I89" s="55"/>
      <c r="J89" s="55"/>
    </row>
    <row r="90" spans="2:16">
      <c r="I90" s="51"/>
      <c r="J90" s="51"/>
    </row>
    <row r="91" spans="2:16">
      <c r="B91" s="61"/>
      <c r="J91" s="51"/>
    </row>
    <row r="92" spans="2:16">
      <c r="B92" s="128" t="s">
        <v>50</v>
      </c>
      <c r="C92" s="128">
        <v>2018</v>
      </c>
      <c r="D92" s="128">
        <v>2019</v>
      </c>
      <c r="E92" s="128">
        <v>2020</v>
      </c>
      <c r="F92" s="128">
        <v>2021</v>
      </c>
      <c r="G92" s="128">
        <v>2022</v>
      </c>
      <c r="H92" s="128">
        <v>2023</v>
      </c>
      <c r="I92" s="128">
        <v>2024</v>
      </c>
      <c r="J92" s="51"/>
    </row>
    <row r="93" spans="2:16">
      <c r="B93" s="153" t="s">
        <v>51</v>
      </c>
      <c r="C93" s="154">
        <v>40533.242460000001</v>
      </c>
      <c r="D93" s="154">
        <v>29041.529210000001</v>
      </c>
      <c r="E93" s="154">
        <v>24663.022929999999</v>
      </c>
      <c r="F93" s="154">
        <v>22225.532640000001</v>
      </c>
      <c r="G93" s="154">
        <v>32796.285860000004</v>
      </c>
      <c r="H93" s="154">
        <v>42926.690009999998</v>
      </c>
      <c r="I93" s="154">
        <v>49359.151689999999</v>
      </c>
      <c r="J93" s="311" t="s">
        <v>39</v>
      </c>
    </row>
    <row r="94" spans="2:16">
      <c r="B94" s="153" t="s">
        <v>52</v>
      </c>
      <c r="C94" s="154">
        <v>208.69299000000001</v>
      </c>
      <c r="D94" s="154">
        <v>8039.2925699999996</v>
      </c>
      <c r="E94" s="154">
        <v>2281.8224399999999</v>
      </c>
      <c r="F94" s="154">
        <v>3877.9955500000001</v>
      </c>
      <c r="G94" s="154">
        <v>4445.17382</v>
      </c>
      <c r="H94" s="154">
        <v>4976.3362100000004</v>
      </c>
      <c r="I94" s="154">
        <v>6292.3070500000003</v>
      </c>
      <c r="J94" s="311" t="s">
        <v>39</v>
      </c>
    </row>
    <row r="95" spans="2:16">
      <c r="B95" s="155" t="s">
        <v>53</v>
      </c>
      <c r="C95" s="154">
        <v>40324.549469999998</v>
      </c>
      <c r="D95" s="154">
        <v>21002.236640000003</v>
      </c>
      <c r="E95" s="154">
        <v>22381.200489999999</v>
      </c>
      <c r="F95" s="154">
        <v>18347.537090000002</v>
      </c>
      <c r="G95" s="154">
        <v>28351.112040000004</v>
      </c>
      <c r="H95" s="154">
        <v>37950.353799999997</v>
      </c>
      <c r="I95" s="154">
        <v>43066.844639999996</v>
      </c>
      <c r="J95" s="311" t="s">
        <v>39</v>
      </c>
    </row>
    <row r="96" spans="2:16">
      <c r="I96" s="51"/>
      <c r="J96" s="51"/>
    </row>
    <row r="97" spans="2:10">
      <c r="I97" s="51"/>
      <c r="J97" s="51"/>
    </row>
    <row r="98" spans="2:10">
      <c r="B98" s="61"/>
      <c r="I98" s="51"/>
      <c r="J98" s="51"/>
    </row>
    <row r="99" spans="2:10">
      <c r="B99" s="128" t="s">
        <v>54</v>
      </c>
      <c r="C99" s="128">
        <v>2018</v>
      </c>
      <c r="D99" s="128">
        <v>2019</v>
      </c>
      <c r="E99" s="128">
        <v>2020</v>
      </c>
      <c r="F99" s="128">
        <v>2021</v>
      </c>
      <c r="G99" s="128">
        <v>2022</v>
      </c>
      <c r="H99" s="128">
        <v>2023</v>
      </c>
      <c r="I99" s="128">
        <v>2024</v>
      </c>
      <c r="J99" s="51"/>
    </row>
    <row r="100" spans="2:10">
      <c r="B100" s="51" t="s">
        <v>54</v>
      </c>
      <c r="C100" s="51">
        <v>2067007.16074</v>
      </c>
      <c r="D100" s="51">
        <v>2712169.3390199998</v>
      </c>
      <c r="E100" s="51">
        <v>2161668.5186100001</v>
      </c>
      <c r="F100" s="51">
        <v>3112529.4711600002</v>
      </c>
      <c r="G100" s="51">
        <v>3374412.5279000001</v>
      </c>
      <c r="H100" s="51">
        <v>3134746.8167500002</v>
      </c>
      <c r="I100" s="51">
        <v>2681546.8274400001</v>
      </c>
      <c r="J100" s="311" t="s">
        <v>39</v>
      </c>
    </row>
    <row r="101" spans="2:10">
      <c r="I101" s="51"/>
      <c r="J101" s="51"/>
    </row>
    <row r="102" spans="2:10">
      <c r="I102" s="51"/>
      <c r="J102" s="51"/>
    </row>
    <row r="103" spans="2:10">
      <c r="I103" s="51"/>
      <c r="J103" s="51"/>
    </row>
    <row r="104" spans="2:10">
      <c r="I104" s="51"/>
      <c r="J104" s="51"/>
    </row>
    <row r="105" spans="2:10">
      <c r="B105" s="57" t="s">
        <v>55</v>
      </c>
    </row>
    <row r="107" spans="2:10">
      <c r="B107" s="128" t="str">
        <f t="shared" ref="B107:I107" si="6">B71</f>
        <v>Conceito</v>
      </c>
      <c r="C107" s="128" t="str">
        <f t="shared" si="6"/>
        <v>Unidade</v>
      </c>
      <c r="D107" s="128">
        <f t="shared" si="6"/>
        <v>2019</v>
      </c>
      <c r="E107" s="128">
        <f t="shared" si="6"/>
        <v>2020</v>
      </c>
      <c r="F107" s="128">
        <f t="shared" si="6"/>
        <v>2021</v>
      </c>
      <c r="G107" s="128">
        <f t="shared" si="6"/>
        <v>2022</v>
      </c>
      <c r="H107" s="128">
        <f t="shared" si="6"/>
        <v>2023</v>
      </c>
      <c r="I107" s="128">
        <f t="shared" si="6"/>
        <v>2024</v>
      </c>
      <c r="J107" s="128" t="s">
        <v>56</v>
      </c>
    </row>
    <row r="108" spans="2:10">
      <c r="B108" s="50" t="s">
        <v>57</v>
      </c>
      <c r="C108" s="50" t="s">
        <v>58</v>
      </c>
      <c r="D108" s="58" t="str">
        <f t="shared" ref="D108:I109" si="7">+IF(OR(D72="",D74=""),"",D72/D74)</f>
        <v/>
      </c>
      <c r="E108" s="58">
        <f t="shared" si="7"/>
        <v>3.6939645152354568</v>
      </c>
      <c r="F108" s="58">
        <f t="shared" si="7"/>
        <v>4.1582822429906541</v>
      </c>
      <c r="G108" s="58">
        <f t="shared" si="7"/>
        <v>4.7869099050632915</v>
      </c>
      <c r="H108" s="58">
        <f t="shared" si="7"/>
        <v>5.5058042711864408</v>
      </c>
      <c r="I108" s="58">
        <f t="shared" si="7"/>
        <v>17.738217903780068</v>
      </c>
      <c r="J108" s="124">
        <f>+AVERAGE(F108:I108)</f>
        <v>8.0473035807551128</v>
      </c>
    </row>
    <row r="109" spans="2:10">
      <c r="B109" s="50" t="s">
        <v>59</v>
      </c>
      <c r="C109" s="50" t="s">
        <v>60</v>
      </c>
      <c r="D109" s="58" t="str">
        <f t="shared" si="7"/>
        <v/>
      </c>
      <c r="E109" s="58">
        <f t="shared" si="7"/>
        <v>76.551003956889744</v>
      </c>
      <c r="F109" s="58">
        <f t="shared" si="7"/>
        <v>58.276809511117889</v>
      </c>
      <c r="G109" s="58">
        <f t="shared" si="7"/>
        <v>82.57756185176757</v>
      </c>
      <c r="H109" s="58">
        <f t="shared" si="7"/>
        <v>71.955005460641885</v>
      </c>
      <c r="I109" s="58">
        <f t="shared" si="7"/>
        <v>87.006990468596612</v>
      </c>
      <c r="J109" s="124">
        <f>+AVERAGE(F109:I109)</f>
        <v>74.954091823030979</v>
      </c>
    </row>
    <row r="110" spans="2:10">
      <c r="B110" s="50" t="s">
        <v>61</v>
      </c>
      <c r="C110" s="50" t="s">
        <v>62</v>
      </c>
      <c r="D110" s="58" t="str">
        <f t="shared" ref="D110:I110" si="8">+IF(OR(D74="",D75=""),"",D74/D75)</f>
        <v/>
      </c>
      <c r="E110" s="58">
        <f t="shared" si="8"/>
        <v>0.27807733785241101</v>
      </c>
      <c r="F110" s="58">
        <f t="shared" si="8"/>
        <v>0.24444106000609198</v>
      </c>
      <c r="G110" s="58">
        <f t="shared" si="8"/>
        <v>0.23897753913635333</v>
      </c>
      <c r="H110" s="58">
        <f t="shared" si="8"/>
        <v>0.21116678596993557</v>
      </c>
      <c r="I110" s="58">
        <f t="shared" si="8"/>
        <v>0.20711743772241992</v>
      </c>
      <c r="J110" s="124">
        <f t="shared" ref="J110:J111" si="9">+AVERAGE(F110:I110)</f>
        <v>0.22542570570870019</v>
      </c>
    </row>
    <row r="111" spans="2:10">
      <c r="B111" s="50" t="s">
        <v>63</v>
      </c>
      <c r="C111" s="50" t="s">
        <v>62</v>
      </c>
      <c r="D111" s="58" t="str">
        <f t="shared" ref="D111:I111" si="10">+IF(OR(D77="",D75=""),"",D77/D75)</f>
        <v/>
      </c>
      <c r="E111" s="58">
        <f t="shared" si="10"/>
        <v>64.789708827607456</v>
      </c>
      <c r="F111" s="58">
        <f t="shared" si="10"/>
        <v>65.990709716722506</v>
      </c>
      <c r="G111" s="58">
        <f t="shared" si="10"/>
        <v>67.118656885729408</v>
      </c>
      <c r="H111" s="58">
        <f t="shared" si="10"/>
        <v>64.324982104509658</v>
      </c>
      <c r="I111" s="58">
        <f t="shared" si="10"/>
        <v>65.130960854092521</v>
      </c>
      <c r="J111" s="124">
        <f t="shared" si="9"/>
        <v>65.641327390263527</v>
      </c>
    </row>
    <row r="116" spans="2:10">
      <c r="I116" s="51"/>
      <c r="J116" s="51"/>
    </row>
    <row r="117" spans="2:10">
      <c r="B117" s="61"/>
      <c r="I117" s="51"/>
      <c r="J117" s="51"/>
    </row>
    <row r="118" spans="2:10">
      <c r="I118" s="51"/>
      <c r="J118" s="51"/>
    </row>
    <row r="119" spans="2:10">
      <c r="I119" s="51"/>
      <c r="J119" s="51"/>
    </row>
    <row r="120" spans="2:10">
      <c r="I120" s="51"/>
      <c r="J120" s="51"/>
    </row>
    <row r="121" spans="2:10">
      <c r="I121" s="51"/>
      <c r="J121" s="51"/>
    </row>
    <row r="138" s="123" customFormat="1"/>
    <row r="147" spans="3:3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</row>
    <row r="148" spans="3:37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</row>
    <row r="149" spans="3:37"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</row>
    <row r="150" spans="3:37"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</row>
    <row r="151" spans="3:37"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</row>
    <row r="152" spans="3:37"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</row>
    <row r="153" spans="3:37"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</row>
  </sheetData>
  <mergeCells count="1">
    <mergeCell ref="D70:I70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FD98DC0-1906-4A3F-A572-59F1A8421704}">
          <x14:formula1>
            <xm:f>'Juros CP'!$B$28:$B$29</xm:f>
          </x14:formula1>
          <xm:sqref>B57 B63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AE669-8939-45C6-BA83-B72B097CC5DC}">
  <sheetPr>
    <tabColor theme="4" tint="0.79998168889431442"/>
  </sheetPr>
  <dimension ref="A1:N58"/>
  <sheetViews>
    <sheetView showGridLines="0" topLeftCell="A27" zoomScale="55" zoomScaleNormal="55" workbookViewId="0">
      <selection activeCell="M49" sqref="M49"/>
    </sheetView>
  </sheetViews>
  <sheetFormatPr defaultColWidth="11.42578125" defaultRowHeight="11.45"/>
  <cols>
    <col min="1" max="1" width="11.42578125" style="50"/>
    <col min="2" max="2" width="69" style="50" customWidth="1"/>
    <col min="3" max="11" width="11.42578125" style="50"/>
    <col min="12" max="12" width="14.140625" style="50" customWidth="1"/>
    <col min="13" max="13" width="17.7109375" style="50" customWidth="1"/>
    <col min="14" max="15" width="11.42578125" style="50"/>
    <col min="16" max="16" width="13.5703125" style="50" bestFit="1" customWidth="1"/>
    <col min="17" max="16384" width="11.42578125" style="50"/>
  </cols>
  <sheetData>
    <row r="1" spans="1:14">
      <c r="A1" s="50" t="s">
        <v>279</v>
      </c>
      <c r="B1" s="95">
        <f>+Inputs!C4</f>
        <v>44531</v>
      </c>
    </row>
    <row r="2" spans="1:14" ht="14.45">
      <c r="J2"/>
    </row>
    <row r="3" spans="1:14" ht="14.45">
      <c r="J3"/>
    </row>
    <row r="4" spans="1:14" ht="14.45">
      <c r="B4" s="57" t="s">
        <v>4681</v>
      </c>
      <c r="J4"/>
    </row>
    <row r="6" spans="1:14">
      <c r="B6" s="74" t="s">
        <v>4682</v>
      </c>
      <c r="C6" s="75"/>
      <c r="D6" s="75"/>
      <c r="E6" s="75"/>
      <c r="F6" s="75"/>
      <c r="G6" s="75"/>
      <c r="H6" s="75"/>
      <c r="I6" s="75"/>
      <c r="J6" s="75"/>
      <c r="K6" s="75"/>
      <c r="L6" s="75"/>
    </row>
    <row r="7" spans="1:14">
      <c r="B7" s="76" t="s">
        <v>178</v>
      </c>
      <c r="C7" s="77">
        <v>2018</v>
      </c>
      <c r="D7" s="77">
        <f>+C7+1</f>
        <v>2019</v>
      </c>
      <c r="E7" s="77">
        <f t="shared" ref="E7:L7" si="0">+D7+1</f>
        <v>2020</v>
      </c>
      <c r="F7" s="77">
        <f t="shared" si="0"/>
        <v>2021</v>
      </c>
      <c r="G7" s="77">
        <f t="shared" si="0"/>
        <v>2022</v>
      </c>
      <c r="H7" s="77">
        <f t="shared" si="0"/>
        <v>2023</v>
      </c>
      <c r="I7" s="77">
        <f t="shared" si="0"/>
        <v>2024</v>
      </c>
      <c r="J7" s="85">
        <f t="shared" si="0"/>
        <v>2025</v>
      </c>
      <c r="K7" s="85">
        <f t="shared" si="0"/>
        <v>2026</v>
      </c>
      <c r="L7" s="85">
        <f t="shared" si="0"/>
        <v>2027</v>
      </c>
    </row>
    <row r="8" spans="1:14">
      <c r="B8" s="78" t="s">
        <v>40</v>
      </c>
      <c r="C8" s="79">
        <f>+C58-C55</f>
        <v>120662.35523226303</v>
      </c>
      <c r="D8" s="79">
        <f t="shared" ref="D8:L8" si="1">+D58-D55</f>
        <v>96545.492857737991</v>
      </c>
      <c r="E8" s="79">
        <f t="shared" si="1"/>
        <v>75338.211256707931</v>
      </c>
      <c r="F8" s="79">
        <f t="shared" si="1"/>
        <v>62515.885550000006</v>
      </c>
      <c r="G8" s="79">
        <f t="shared" si="1"/>
        <v>86331.651724935771</v>
      </c>
      <c r="H8" s="79">
        <f>+H58-H55</f>
        <v>71809.884906591367</v>
      </c>
      <c r="I8" s="79">
        <f t="shared" si="1"/>
        <v>102331.48962237081</v>
      </c>
      <c r="J8" s="79">
        <f t="shared" si="1"/>
        <v>167831.77525543887</v>
      </c>
      <c r="K8" s="79">
        <f t="shared" si="1"/>
        <v>180355.31810972479</v>
      </c>
      <c r="L8" s="79">
        <f t="shared" si="1"/>
        <v>184328.89888034845</v>
      </c>
    </row>
    <row r="9" spans="1:14">
      <c r="B9" s="80" t="s">
        <v>171</v>
      </c>
      <c r="C9" s="81">
        <f>+C55</f>
        <v>4725.4027526956452</v>
      </c>
      <c r="D9" s="81">
        <f t="shared" ref="D9:L9" si="2">+D55</f>
        <v>1980.9145057494547</v>
      </c>
      <c r="E9" s="81">
        <f t="shared" si="2"/>
        <v>1570.6640948092661</v>
      </c>
      <c r="F9" s="81">
        <f t="shared" si="2"/>
        <v>1334.8086000000001</v>
      </c>
      <c r="G9" s="81">
        <f t="shared" si="2"/>
        <v>1434.466656130666</v>
      </c>
      <c r="H9" s="81">
        <f>+H55</f>
        <v>4910.9237251167906</v>
      </c>
      <c r="I9" s="81">
        <f>+I55</f>
        <v>4745.1956033158276</v>
      </c>
      <c r="J9" s="81">
        <f t="shared" si="2"/>
        <v>4940.8172818925659</v>
      </c>
      <c r="K9" s="81">
        <f t="shared" si="2"/>
        <v>5266.5411073972473</v>
      </c>
      <c r="L9" s="81">
        <f t="shared" si="2"/>
        <v>5236.0399040725533</v>
      </c>
    </row>
    <row r="10" spans="1:14">
      <c r="B10" s="82" t="s">
        <v>4683</v>
      </c>
      <c r="C10" s="83">
        <f t="shared" ref="C10:L10" si="3">+SUM(C8:C9)</f>
        <v>125387.75798495868</v>
      </c>
      <c r="D10" s="83">
        <f t="shared" si="3"/>
        <v>98526.407363487451</v>
      </c>
      <c r="E10" s="83">
        <f t="shared" si="3"/>
        <v>76908.875351517199</v>
      </c>
      <c r="F10" s="83">
        <f t="shared" si="3"/>
        <v>63850.694150000003</v>
      </c>
      <c r="G10" s="83">
        <f t="shared" si="3"/>
        <v>87766.118381066437</v>
      </c>
      <c r="H10" s="83">
        <f t="shared" si="3"/>
        <v>76720.808631708162</v>
      </c>
      <c r="I10" s="83">
        <f t="shared" si="3"/>
        <v>107076.68522568664</v>
      </c>
      <c r="J10" s="83">
        <f t="shared" si="3"/>
        <v>172772.59253733142</v>
      </c>
      <c r="K10" s="83">
        <f t="shared" si="3"/>
        <v>185621.85921712202</v>
      </c>
      <c r="L10" s="83">
        <f t="shared" si="3"/>
        <v>189564.93878442101</v>
      </c>
    </row>
    <row r="11" spans="1:14"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</row>
    <row r="12" spans="1:14"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1:14">
      <c r="B13" s="73"/>
      <c r="C13" s="98"/>
      <c r="D13" s="99"/>
      <c r="E13" s="73"/>
      <c r="F13" s="73"/>
      <c r="G13" s="73"/>
      <c r="H13" s="73"/>
      <c r="I13" s="73"/>
      <c r="J13" s="73"/>
      <c r="K13" s="73"/>
      <c r="L13" s="73"/>
      <c r="M13" s="73"/>
    </row>
    <row r="14" spans="1:14" ht="14.45">
      <c r="B14" s="74" t="s">
        <v>4682</v>
      </c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87"/>
      <c r="N14"/>
    </row>
    <row r="15" spans="1:14" ht="14.45">
      <c r="B15" s="76" t="s">
        <v>178</v>
      </c>
      <c r="C15" s="77">
        <v>2018</v>
      </c>
      <c r="D15" s="77">
        <v>2019</v>
      </c>
      <c r="E15" s="77">
        <v>2020</v>
      </c>
      <c r="F15" s="77">
        <v>2021</v>
      </c>
      <c r="G15" s="77">
        <v>2022</v>
      </c>
      <c r="H15" s="77">
        <v>2023</v>
      </c>
      <c r="I15" s="77">
        <v>2024</v>
      </c>
      <c r="J15" s="85">
        <v>2025</v>
      </c>
      <c r="K15" s="85">
        <v>2026</v>
      </c>
      <c r="L15" s="85">
        <v>2027</v>
      </c>
      <c r="M15" s="97" t="s">
        <v>27</v>
      </c>
      <c r="N15"/>
    </row>
    <row r="16" spans="1:14" ht="14.45">
      <c r="B16" s="78" t="s">
        <v>4684</v>
      </c>
      <c r="C16" s="79">
        <v>1186.2336620321978</v>
      </c>
      <c r="D16" s="79">
        <v>170.99306158938342</v>
      </c>
      <c r="E16" s="79">
        <v>245.15601581290557</v>
      </c>
      <c r="F16" s="79">
        <v>356.18664000000001</v>
      </c>
      <c r="G16" s="79">
        <v>804.6173314936874</v>
      </c>
      <c r="H16" s="79">
        <v>866.08669699332438</v>
      </c>
      <c r="I16" s="79">
        <v>760.19336205724323</v>
      </c>
      <c r="J16" s="79">
        <v>696.7710076360637</v>
      </c>
      <c r="K16" s="79">
        <v>696.7710076360637</v>
      </c>
      <c r="L16" s="79">
        <v>696.7710076360637</v>
      </c>
      <c r="M16" s="107" t="s">
        <v>4685</v>
      </c>
      <c r="N16"/>
    </row>
    <row r="17" spans="2:14" ht="14.45">
      <c r="B17" s="80" t="s">
        <v>4686</v>
      </c>
      <c r="C17" s="81">
        <v>15060.285369681882</v>
      </c>
      <c r="D17" s="81">
        <v>13536.863622109837</v>
      </c>
      <c r="E17" s="81">
        <v>9634.2970831984749</v>
      </c>
      <c r="F17" s="81">
        <v>7695.9883900000004</v>
      </c>
      <c r="G17" s="81">
        <v>10278.846370761496</v>
      </c>
      <c r="H17" s="81">
        <v>12315.272791849955</v>
      </c>
      <c r="I17" s="81">
        <v>12374.584219013072</v>
      </c>
      <c r="J17" s="81">
        <v>16141.449388418028</v>
      </c>
      <c r="K17" s="81">
        <v>23251.346047679679</v>
      </c>
      <c r="L17" s="81">
        <v>24220.283545333805</v>
      </c>
      <c r="M17" s="107" t="s">
        <v>4687</v>
      </c>
      <c r="N17"/>
    </row>
    <row r="18" spans="2:14" ht="14.45">
      <c r="B18" s="84" t="s">
        <v>4688</v>
      </c>
      <c r="C18" s="86">
        <v>2005.6027481218648</v>
      </c>
      <c r="D18" s="86">
        <v>1481.976256717059</v>
      </c>
      <c r="E18" s="86">
        <v>713.88839618994427</v>
      </c>
      <c r="F18" s="86">
        <v>326.71008</v>
      </c>
      <c r="G18" s="86">
        <v>719.18621558948018</v>
      </c>
      <c r="H18" s="86">
        <v>661.64589025396958</v>
      </c>
      <c r="I18" s="86">
        <v>573.97711559676418</v>
      </c>
      <c r="J18" s="86">
        <v>1220.4691442726348</v>
      </c>
      <c r="K18" s="86">
        <v>1758.0546660425839</v>
      </c>
      <c r="L18" s="86">
        <v>1831.3168799961907</v>
      </c>
      <c r="M18" s="65"/>
      <c r="N18"/>
    </row>
    <row r="19" spans="2:14" ht="14.45">
      <c r="B19" s="84" t="s">
        <v>4689</v>
      </c>
      <c r="C19" s="86">
        <v>0.56493565399800116</v>
      </c>
      <c r="D19" s="86">
        <v>0.88798478090189592</v>
      </c>
      <c r="E19" s="86">
        <v>0.8138819972656024</v>
      </c>
      <c r="F19" s="86">
        <v>0.23400000000000004</v>
      </c>
      <c r="G19" s="86">
        <v>0.21811019064500958</v>
      </c>
      <c r="H19" s="86">
        <v>6.0192859035008439</v>
      </c>
      <c r="I19" s="86">
        <v>0.21143602268925465</v>
      </c>
      <c r="J19" s="86">
        <v>1.7180583908620679</v>
      </c>
      <c r="K19" s="86">
        <v>2.4748192813909848</v>
      </c>
      <c r="L19" s="86">
        <v>2.5779507386726359</v>
      </c>
      <c r="M19" s="65"/>
      <c r="N19"/>
    </row>
    <row r="20" spans="2:14" ht="14.45">
      <c r="B20" s="84" t="s">
        <v>4690</v>
      </c>
      <c r="C20" s="86">
        <v>185.55103011824309</v>
      </c>
      <c r="D20" s="86">
        <v>198.45764404072128</v>
      </c>
      <c r="E20" s="86">
        <v>138.13505604783271</v>
      </c>
      <c r="F20" s="86">
        <v>59.980459999999994</v>
      </c>
      <c r="G20" s="86">
        <v>163.53057154650364</v>
      </c>
      <c r="H20" s="86">
        <v>178.89449658587708</v>
      </c>
      <c r="I20" s="86">
        <v>135.36972562360398</v>
      </c>
      <c r="J20" s="86">
        <v>208.65741648614775</v>
      </c>
      <c r="K20" s="86">
        <v>300.56568523613419</v>
      </c>
      <c r="L20" s="86">
        <v>313.09095419631382</v>
      </c>
      <c r="M20" s="65"/>
      <c r="N20"/>
    </row>
    <row r="21" spans="2:14" ht="14.45">
      <c r="B21" s="84" t="s">
        <v>4691</v>
      </c>
      <c r="C21" s="86">
        <v>9167.9426591975316</v>
      </c>
      <c r="D21" s="86">
        <v>8994.4667380004539</v>
      </c>
      <c r="E21" s="86">
        <v>6104.1491955152023</v>
      </c>
      <c r="F21" s="86">
        <v>5164.5913200000005</v>
      </c>
      <c r="G21" s="86">
        <v>7714.7239465369166</v>
      </c>
      <c r="H21" s="86">
        <v>8521.1025282497594</v>
      </c>
      <c r="I21" s="86">
        <v>8947.6793563388437</v>
      </c>
      <c r="J21" s="86">
        <v>10937.859774855806</v>
      </c>
      <c r="K21" s="86">
        <v>15755.707961928763</v>
      </c>
      <c r="L21" s="86">
        <v>16412.284842041212</v>
      </c>
      <c r="M21" s="65"/>
      <c r="N21"/>
    </row>
    <row r="22" spans="2:14" ht="14.45">
      <c r="B22" s="84" t="s">
        <v>4692</v>
      </c>
      <c r="C22" s="86">
        <v>3700.623996590246</v>
      </c>
      <c r="D22" s="86">
        <v>2861.0749985706989</v>
      </c>
      <c r="E22" s="86">
        <v>2677.3105534482297</v>
      </c>
      <c r="F22" s="86">
        <v>2144.47253</v>
      </c>
      <c r="G22" s="86">
        <v>1681.1875268979488</v>
      </c>
      <c r="H22" s="86">
        <v>2947.6105908568497</v>
      </c>
      <c r="I22" s="86">
        <v>2717.3465854311694</v>
      </c>
      <c r="J22" s="86">
        <v>3772.7449944125756</v>
      </c>
      <c r="K22" s="86">
        <v>5434.5429151908038</v>
      </c>
      <c r="L22" s="86">
        <v>5661.0129183614126</v>
      </c>
      <c r="M22" s="65"/>
      <c r="N22"/>
    </row>
    <row r="23" spans="2:14" ht="14.45">
      <c r="B23" s="80" t="s">
        <v>4693</v>
      </c>
      <c r="C23" s="81">
        <v>6822.0293496195454</v>
      </c>
      <c r="D23" s="81">
        <v>3695.5351461531372</v>
      </c>
      <c r="E23" s="81">
        <v>2530.0525633536809</v>
      </c>
      <c r="F23" s="81">
        <v>1875.15183</v>
      </c>
      <c r="G23" s="81">
        <v>1992.5211329486667</v>
      </c>
      <c r="H23" s="81">
        <v>2049.2817428784638</v>
      </c>
      <c r="I23" s="81">
        <v>2003.1259140660504</v>
      </c>
      <c r="J23" s="81">
        <v>1980.0201549732953</v>
      </c>
      <c r="K23" s="81">
        <v>1980.0201549732953</v>
      </c>
      <c r="L23" s="81">
        <v>1980.0201549732953</v>
      </c>
      <c r="M23" s="107" t="s">
        <v>4685</v>
      </c>
      <c r="N23"/>
    </row>
    <row r="24" spans="2:14" ht="14.45">
      <c r="B24" s="84" t="s">
        <v>4694</v>
      </c>
      <c r="C24" s="86">
        <v>4657.0155331640663</v>
      </c>
      <c r="D24" s="86">
        <v>2019.4285486085848</v>
      </c>
      <c r="E24" s="86">
        <v>1252.7445903283201</v>
      </c>
      <c r="F24" s="86">
        <v>908.60157000000004</v>
      </c>
      <c r="G24" s="86">
        <v>883.50709518720828</v>
      </c>
      <c r="H24" s="86">
        <v>824.07990749973328</v>
      </c>
      <c r="I24" s="86">
        <v>841.14763709542422</v>
      </c>
      <c r="J24" s="86">
        <v>982.72610282627011</v>
      </c>
      <c r="K24" s="86">
        <v>982.72610282627011</v>
      </c>
      <c r="L24" s="86">
        <v>982.72610282627011</v>
      </c>
      <c r="M24" s="65"/>
      <c r="N24"/>
    </row>
    <row r="25" spans="2:14" ht="14.45">
      <c r="B25" s="84" t="s">
        <v>4695</v>
      </c>
      <c r="C25" s="86">
        <v>2165.0138164554783</v>
      </c>
      <c r="D25" s="86">
        <v>1676.1065975445524</v>
      </c>
      <c r="E25" s="86">
        <v>1277.3079730253608</v>
      </c>
      <c r="F25" s="86">
        <v>966.55025999999987</v>
      </c>
      <c r="G25" s="86">
        <v>1109.0140377614584</v>
      </c>
      <c r="H25" s="86">
        <v>1225.2018353787305</v>
      </c>
      <c r="I25" s="86">
        <v>1161.9782769706262</v>
      </c>
      <c r="J25" s="86">
        <v>997.29405214702513</v>
      </c>
      <c r="K25" s="86">
        <v>997.29405214702513</v>
      </c>
      <c r="L25" s="86">
        <v>997.29405214702513</v>
      </c>
      <c r="M25" s="65"/>
      <c r="N25"/>
    </row>
    <row r="26" spans="2:14" ht="14.45">
      <c r="B26" s="80" t="s">
        <v>4696</v>
      </c>
      <c r="C26" s="81">
        <v>10154.902879572148</v>
      </c>
      <c r="D26" s="81">
        <v>22415.288305891198</v>
      </c>
      <c r="E26" s="81">
        <v>21590.948319579053</v>
      </c>
      <c r="F26" s="81">
        <v>19168.608090000002</v>
      </c>
      <c r="G26" s="81">
        <v>19985.444241447018</v>
      </c>
      <c r="H26" s="81">
        <v>21719.422120993499</v>
      </c>
      <c r="I26" s="81">
        <v>18098.861168573505</v>
      </c>
      <c r="J26" s="81">
        <v>20723.172611904676</v>
      </c>
      <c r="K26" s="81">
        <v>21187.974196472693</v>
      </c>
      <c r="L26" s="81">
        <v>21657.021896611164</v>
      </c>
      <c r="M26" s="107" t="s">
        <v>4697</v>
      </c>
      <c r="N26"/>
    </row>
    <row r="27" spans="2:14" ht="14.45">
      <c r="B27" s="84" t="s">
        <v>4698</v>
      </c>
      <c r="C27" s="86">
        <v>9394.4226704922676</v>
      </c>
      <c r="D27" s="86">
        <v>22375.033696832459</v>
      </c>
      <c r="E27" s="86">
        <v>21556.151142246443</v>
      </c>
      <c r="F27" s="86">
        <v>19128.77808</v>
      </c>
      <c r="G27" s="86">
        <v>19964.795123817239</v>
      </c>
      <c r="H27" s="86">
        <v>18395.166719769841</v>
      </c>
      <c r="I27" s="86">
        <v>18078.621078393884</v>
      </c>
      <c r="J27" s="86">
        <v>20025.750838224045</v>
      </c>
      <c r="K27" s="86">
        <v>20474.909897798916</v>
      </c>
      <c r="L27" s="86">
        <v>20928.172173326126</v>
      </c>
      <c r="M27" s="65"/>
      <c r="N27"/>
    </row>
    <row r="28" spans="2:14" ht="14.45">
      <c r="B28" s="84" t="s">
        <v>4699</v>
      </c>
      <c r="C28" s="86">
        <v>760.48020907988086</v>
      </c>
      <c r="D28" s="86">
        <v>40.254609058742325</v>
      </c>
      <c r="E28" s="86">
        <v>34.797177332614432</v>
      </c>
      <c r="F28" s="86">
        <v>39.830010000000001</v>
      </c>
      <c r="G28" s="86">
        <v>20.649117629779692</v>
      </c>
      <c r="H28" s="86">
        <v>4.1890301846145093</v>
      </c>
      <c r="I28" s="86">
        <v>20.240090179621522</v>
      </c>
      <c r="J28" s="86">
        <v>244.88205332775968</v>
      </c>
      <c r="K28" s="86">
        <v>250.37453117131275</v>
      </c>
      <c r="L28" s="86">
        <v>255.91718460906816</v>
      </c>
      <c r="M28" s="65"/>
      <c r="N28"/>
    </row>
    <row r="29" spans="2:14" ht="14.45">
      <c r="B29" s="80" t="s">
        <v>4700</v>
      </c>
      <c r="C29" s="81">
        <v>4988.9816526253917</v>
      </c>
      <c r="D29" s="81">
        <v>2728.7210011358534</v>
      </c>
      <c r="E29" s="81">
        <v>1977.4204564784043</v>
      </c>
      <c r="F29" s="81">
        <v>1954.6296099999997</v>
      </c>
      <c r="G29" s="81">
        <v>4280.3879682364432</v>
      </c>
      <c r="H29" s="81">
        <v>3564.5520324198096</v>
      </c>
      <c r="I29" s="81">
        <v>10734.419236252628</v>
      </c>
      <c r="J29" s="81">
        <v>17899.485634336219</v>
      </c>
      <c r="K29" s="81">
        <v>10883.497211727221</v>
      </c>
      <c r="L29" s="81">
        <v>5133.4972117272209</v>
      </c>
      <c r="M29" s="832" t="s">
        <v>4701</v>
      </c>
      <c r="N29"/>
    </row>
    <row r="30" spans="2:14" ht="14.45">
      <c r="B30" s="84" t="s">
        <v>4702</v>
      </c>
      <c r="C30" s="86">
        <v>523.15520740646923</v>
      </c>
      <c r="D30" s="86">
        <v>540.22879440736028</v>
      </c>
      <c r="E30" s="86">
        <v>475.73566417785139</v>
      </c>
      <c r="F30" s="86">
        <v>300.42498999999998</v>
      </c>
      <c r="G30" s="86">
        <v>315.88883738233909</v>
      </c>
      <c r="H30" s="86">
        <v>345.48198947490914</v>
      </c>
      <c r="I30" s="86">
        <v>352.02211400723689</v>
      </c>
      <c r="J30" s="86">
        <v>2302.9951327427671</v>
      </c>
      <c r="K30" s="86">
        <v>1400.2995179786774</v>
      </c>
      <c r="L30" s="86">
        <v>660.48931986501611</v>
      </c>
      <c r="M30" s="832"/>
      <c r="N30"/>
    </row>
    <row r="31" spans="2:14" ht="14.45">
      <c r="B31" s="84" t="s">
        <v>4703</v>
      </c>
      <c r="C31" s="86">
        <v>1709.0081370463968</v>
      </c>
      <c r="D31" s="86">
        <v>1156.4487374662503</v>
      </c>
      <c r="E31" s="86">
        <v>1076.1659535903409</v>
      </c>
      <c r="F31" s="86">
        <v>1357.1821399999999</v>
      </c>
      <c r="G31" s="86">
        <v>3027.9605721846401</v>
      </c>
      <c r="H31" s="86">
        <v>2571.3327366585063</v>
      </c>
      <c r="I31" s="86">
        <v>9706.9973272978004</v>
      </c>
      <c r="J31" s="86">
        <v>11092.527934658941</v>
      </c>
      <c r="K31" s="86">
        <v>6744.634975224184</v>
      </c>
      <c r="L31" s="86">
        <v>3181.2903670452129</v>
      </c>
      <c r="M31" s="832"/>
      <c r="N31"/>
    </row>
    <row r="32" spans="2:14" ht="14.45">
      <c r="B32" s="84" t="s">
        <v>4704</v>
      </c>
      <c r="C32" s="86">
        <v>2756.818308172526</v>
      </c>
      <c r="D32" s="86">
        <v>1032.0434692622434</v>
      </c>
      <c r="E32" s="86">
        <v>425.5188387102117</v>
      </c>
      <c r="F32" s="86">
        <v>297.02247999999997</v>
      </c>
      <c r="G32" s="86">
        <v>936.53855866946412</v>
      </c>
      <c r="H32" s="86">
        <v>647.73730628639453</v>
      </c>
      <c r="I32" s="86">
        <v>675.3997949475887</v>
      </c>
      <c r="J32" s="86">
        <v>4503.9625669345087</v>
      </c>
      <c r="K32" s="86">
        <v>2738.5627185243588</v>
      </c>
      <c r="L32" s="86">
        <v>1291.7175248169915</v>
      </c>
      <c r="M32" s="832"/>
      <c r="N32"/>
    </row>
    <row r="33" spans="2:14" ht="14.45">
      <c r="B33" s="80" t="s">
        <v>4705</v>
      </c>
      <c r="C33" s="81">
        <v>2440.5634850119231</v>
      </c>
      <c r="D33" s="81">
        <v>1744.2203023094355</v>
      </c>
      <c r="E33" s="81">
        <v>1277.5951991669715</v>
      </c>
      <c r="F33" s="81">
        <v>641.86802</v>
      </c>
      <c r="G33" s="81">
        <v>806.45743234164161</v>
      </c>
      <c r="H33" s="81">
        <v>1011.8711199997155</v>
      </c>
      <c r="I33" s="81">
        <v>1283.509505716348</v>
      </c>
      <c r="J33" s="81">
        <v>977.36744655359348</v>
      </c>
      <c r="K33" s="81">
        <v>999.28889392899862</v>
      </c>
      <c r="L33" s="81">
        <v>1021.4106009466211</v>
      </c>
      <c r="M33" s="107" t="s">
        <v>4697</v>
      </c>
      <c r="N33" s="294"/>
    </row>
    <row r="34" spans="2:14" ht="14.45">
      <c r="B34" s="80" t="s">
        <v>4706</v>
      </c>
      <c r="C34" s="81">
        <v>844.05443972452827</v>
      </c>
      <c r="D34" s="81">
        <v>823.93888039230046</v>
      </c>
      <c r="E34" s="81">
        <v>901.45846807687133</v>
      </c>
      <c r="F34" s="81">
        <v>1109.8258599999999</v>
      </c>
      <c r="G34" s="81">
        <v>1200.8594898809824</v>
      </c>
      <c r="H34" s="81">
        <v>2089.1298036232556</v>
      </c>
      <c r="I34" s="81">
        <v>1988.6151793362037</v>
      </c>
      <c r="J34" s="81">
        <v>1597.1075832101105</v>
      </c>
      <c r="K34" s="81">
        <v>1597.1075832101105</v>
      </c>
      <c r="L34" s="81">
        <v>1597.1075832101105</v>
      </c>
      <c r="M34" s="107" t="s">
        <v>4685</v>
      </c>
      <c r="N34"/>
    </row>
    <row r="35" spans="2:14" ht="14.45">
      <c r="B35" s="80" t="s">
        <v>4707</v>
      </c>
      <c r="C35" s="81">
        <v>255.93241025657267</v>
      </c>
      <c r="D35" s="81">
        <v>197.91003046175007</v>
      </c>
      <c r="E35" s="81">
        <v>114.74428767788027</v>
      </c>
      <c r="F35" s="81">
        <v>75.97945</v>
      </c>
      <c r="G35" s="81">
        <v>61.645725461780557</v>
      </c>
      <c r="H35" s="81">
        <v>129.41573902757122</v>
      </c>
      <c r="I35" s="81">
        <v>78.839887232676659</v>
      </c>
      <c r="J35" s="81">
        <v>86.470200430507106</v>
      </c>
      <c r="K35" s="81">
        <v>86.470200430507106</v>
      </c>
      <c r="L35" s="81">
        <v>86.470200430507106</v>
      </c>
      <c r="M35" s="107" t="s">
        <v>4685</v>
      </c>
      <c r="N35"/>
    </row>
    <row r="36" spans="2:14" ht="14.45">
      <c r="B36" s="84" t="s">
        <v>4708</v>
      </c>
      <c r="C36" s="86">
        <v>1.0761168245549804</v>
      </c>
      <c r="D36" s="86">
        <v>0</v>
      </c>
      <c r="E36" s="86">
        <v>0</v>
      </c>
      <c r="F36" s="86">
        <v>0</v>
      </c>
      <c r="G36" s="86">
        <v>0</v>
      </c>
      <c r="H36" s="86">
        <v>0</v>
      </c>
      <c r="I36" s="86">
        <v>3.0153626625358743</v>
      </c>
      <c r="J36" s="86">
        <v>0.52439674302418815</v>
      </c>
      <c r="K36" s="86">
        <v>0.52439674302418815</v>
      </c>
      <c r="L36" s="86">
        <v>0.52439674302418815</v>
      </c>
      <c r="M36" s="65"/>
      <c r="N36"/>
    </row>
    <row r="37" spans="2:14" ht="14.45">
      <c r="B37" s="84" t="s">
        <v>4709</v>
      </c>
      <c r="C37" s="86">
        <v>254.85629343201768</v>
      </c>
      <c r="D37" s="86">
        <v>197.91003046175007</v>
      </c>
      <c r="E37" s="86">
        <v>114.74428767788027</v>
      </c>
      <c r="F37" s="86">
        <v>75.97945</v>
      </c>
      <c r="G37" s="86">
        <v>61.645725461780557</v>
      </c>
      <c r="H37" s="86">
        <v>129.41573902757122</v>
      </c>
      <c r="I37" s="86">
        <v>75.824524570140781</v>
      </c>
      <c r="J37" s="86">
        <v>85.945803687482922</v>
      </c>
      <c r="K37" s="86">
        <v>85.945803687482922</v>
      </c>
      <c r="L37" s="86">
        <v>85.945803687482922</v>
      </c>
      <c r="M37" s="65"/>
      <c r="N37"/>
    </row>
    <row r="38" spans="2:14" ht="14.45">
      <c r="B38" s="80" t="s">
        <v>4710</v>
      </c>
      <c r="C38" s="81">
        <v>20150.885624562896</v>
      </c>
      <c r="D38" s="81">
        <v>13345.847964951892</v>
      </c>
      <c r="E38" s="81">
        <v>4218.6525057672679</v>
      </c>
      <c r="F38" s="81">
        <v>1822.7783099999999</v>
      </c>
      <c r="G38" s="81">
        <v>1168.433246981876</v>
      </c>
      <c r="H38" s="81">
        <v>387.36643412663966</v>
      </c>
      <c r="I38" s="81">
        <v>399.72556482387182</v>
      </c>
      <c r="J38" s="81">
        <v>944.57588898309689</v>
      </c>
      <c r="K38" s="81">
        <v>944.57588898309689</v>
      </c>
      <c r="L38" s="81">
        <v>944.57588898309689</v>
      </c>
      <c r="M38" s="107" t="s">
        <v>4685</v>
      </c>
      <c r="N38"/>
    </row>
    <row r="39" spans="2:14" ht="14.45">
      <c r="B39" s="80" t="s">
        <v>4711</v>
      </c>
      <c r="C39" s="81">
        <v>11577.402343396891</v>
      </c>
      <c r="D39" s="81">
        <v>10652.493240224316</v>
      </c>
      <c r="E39" s="81">
        <v>8143.9357922574181</v>
      </c>
      <c r="F39" s="81">
        <v>6369.9430400000001</v>
      </c>
      <c r="G39" s="81">
        <v>6037.6571659877727</v>
      </c>
      <c r="H39" s="81">
        <v>6628.8768795019541</v>
      </c>
      <c r="I39" s="81">
        <v>6652.0605980743549</v>
      </c>
      <c r="J39" s="81">
        <v>6737.1456233047747</v>
      </c>
      <c r="K39" s="81">
        <v>6888.2535651157032</v>
      </c>
      <c r="L39" s="81">
        <v>7040.7419277467106</v>
      </c>
      <c r="M39" s="107" t="s">
        <v>4697</v>
      </c>
      <c r="N39"/>
    </row>
    <row r="40" spans="2:14" ht="14.45">
      <c r="B40" s="84" t="s">
        <v>4712</v>
      </c>
      <c r="C40" s="86">
        <v>5017.8801033869968</v>
      </c>
      <c r="D40" s="86">
        <v>4542.9119660450115</v>
      </c>
      <c r="E40" s="86">
        <v>3850.4736443007064</v>
      </c>
      <c r="F40" s="86">
        <v>3411.3206700000001</v>
      </c>
      <c r="G40" s="86">
        <v>3103.2710433361067</v>
      </c>
      <c r="H40" s="86">
        <v>3181.6969112955403</v>
      </c>
      <c r="I40" s="86">
        <v>2977.7578649992761</v>
      </c>
      <c r="J40" s="86">
        <v>3185.5409420738451</v>
      </c>
      <c r="K40" s="86">
        <v>3256.9896775214102</v>
      </c>
      <c r="L40" s="86">
        <v>3329.0911207009326</v>
      </c>
      <c r="M40" s="65"/>
      <c r="N40"/>
    </row>
    <row r="41" spans="2:14" ht="14.45">
      <c r="B41" s="84" t="s">
        <v>4713</v>
      </c>
      <c r="C41" s="86">
        <v>926.52337298398027</v>
      </c>
      <c r="D41" s="86">
        <v>1035.8065087286197</v>
      </c>
      <c r="E41" s="86">
        <v>800.95366430301749</v>
      </c>
      <c r="F41" s="86">
        <v>673.77499</v>
      </c>
      <c r="G41" s="86">
        <v>631.87218285858989</v>
      </c>
      <c r="H41" s="86">
        <v>687.16789990687437</v>
      </c>
      <c r="I41" s="86">
        <v>599.20798762029551</v>
      </c>
      <c r="J41" s="86">
        <v>654.25866035483</v>
      </c>
      <c r="K41" s="86">
        <v>668.93307665900033</v>
      </c>
      <c r="L41" s="86">
        <v>683.74154858953966</v>
      </c>
      <c r="M41" s="65"/>
      <c r="N41"/>
    </row>
    <row r="42" spans="2:14" ht="14.45">
      <c r="B42" s="84" t="s">
        <v>4714</v>
      </c>
      <c r="C42" s="86">
        <v>1120.2091652604811</v>
      </c>
      <c r="D42" s="86">
        <v>810.37972625641532</v>
      </c>
      <c r="E42" s="86">
        <v>820.85569392347543</v>
      </c>
      <c r="F42" s="86">
        <v>590.68568000000005</v>
      </c>
      <c r="G42" s="86">
        <v>965.26167933654085</v>
      </c>
      <c r="H42" s="86">
        <v>1108.6754403388397</v>
      </c>
      <c r="I42" s="86">
        <v>1174.1171959409089</v>
      </c>
      <c r="J42" s="86">
        <v>837.31483684817988</v>
      </c>
      <c r="K42" s="86">
        <v>856.09503379185492</v>
      </c>
      <c r="L42" s="86">
        <v>875.04679402039471</v>
      </c>
      <c r="M42" s="65"/>
      <c r="N42"/>
    </row>
    <row r="43" spans="2:14" ht="14.45">
      <c r="B43" s="84" t="s">
        <v>4715</v>
      </c>
      <c r="C43" s="86">
        <v>3826.4733271274354</v>
      </c>
      <c r="D43" s="86">
        <v>3223.948902391689</v>
      </c>
      <c r="E43" s="86">
        <v>2312.265196562747</v>
      </c>
      <c r="F43" s="86">
        <v>1072.1703500000001</v>
      </c>
      <c r="G43" s="86">
        <v>498.83122537930035</v>
      </c>
      <c r="H43" s="86">
        <v>1146.5878844277593</v>
      </c>
      <c r="I43" s="86">
        <v>1495.850033324926</v>
      </c>
      <c r="J43" s="86">
        <v>1507.061281181823</v>
      </c>
      <c r="K43" s="86">
        <v>1540.8632710919976</v>
      </c>
      <c r="L43" s="86">
        <v>1574.9740533136348</v>
      </c>
      <c r="M43" s="65"/>
      <c r="N43"/>
    </row>
    <row r="44" spans="2:14" ht="14.45">
      <c r="B44" s="84" t="s">
        <v>4716</v>
      </c>
      <c r="C44" s="86">
        <v>686.31637463799814</v>
      </c>
      <c r="D44" s="86">
        <v>1039.44613680258</v>
      </c>
      <c r="E44" s="86">
        <v>359.38759316747218</v>
      </c>
      <c r="F44" s="86">
        <v>621.99135000000001</v>
      </c>
      <c r="G44" s="86">
        <v>838.42103507723482</v>
      </c>
      <c r="H44" s="86">
        <v>504.74874353294103</v>
      </c>
      <c r="I44" s="86">
        <v>405.12751618894794</v>
      </c>
      <c r="J44" s="86">
        <v>552.96990284609683</v>
      </c>
      <c r="K44" s="86">
        <v>565.37250605143993</v>
      </c>
      <c r="L44" s="86">
        <v>577.88841112220871</v>
      </c>
      <c r="M44" s="65"/>
      <c r="N44"/>
    </row>
    <row r="45" spans="2:14" ht="14.45">
      <c r="B45" s="80" t="s">
        <v>4717</v>
      </c>
      <c r="C45" s="81">
        <v>16342.794883416484</v>
      </c>
      <c r="D45" s="81">
        <v>4438.594226163571</v>
      </c>
      <c r="E45" s="81">
        <v>383.93797259787021</v>
      </c>
      <c r="F45" s="81">
        <v>114.42733999999999</v>
      </c>
      <c r="G45" s="81">
        <v>1058.2580894490468</v>
      </c>
      <c r="H45" s="81">
        <v>-163.64450735632596</v>
      </c>
      <c r="I45" s="81">
        <v>22.393731542381506</v>
      </c>
      <c r="J45" s="81">
        <v>257.85866340877561</v>
      </c>
      <c r="K45" s="81">
        <v>257.85866340877561</v>
      </c>
      <c r="L45" s="81">
        <v>257.85866340877561</v>
      </c>
      <c r="M45" s="107" t="s">
        <v>4685</v>
      </c>
      <c r="N45"/>
    </row>
    <row r="46" spans="2:14" ht="14.45">
      <c r="B46" s="84" t="s">
        <v>4718</v>
      </c>
      <c r="C46" s="86">
        <v>1.6107202584526483</v>
      </c>
      <c r="D46" s="86">
        <v>57.694050010433251</v>
      </c>
      <c r="E46" s="86">
        <v>50.067382127823457</v>
      </c>
      <c r="F46" s="86">
        <v>42.64808</v>
      </c>
      <c r="G46" s="86">
        <v>40.258911751980605</v>
      </c>
      <c r="H46" s="86">
        <v>37.855214010383683</v>
      </c>
      <c r="I46" s="86">
        <v>39.016868417692919</v>
      </c>
      <c r="J46" s="86">
        <v>76.077120812442587</v>
      </c>
      <c r="K46" s="86">
        <v>76.077120812442587</v>
      </c>
      <c r="L46" s="86">
        <v>76.077120812442587</v>
      </c>
      <c r="M46" s="65"/>
      <c r="N46"/>
    </row>
    <row r="47" spans="2:14" ht="14.45">
      <c r="B47" s="84" t="s">
        <v>4719</v>
      </c>
      <c r="C47" s="86">
        <v>0</v>
      </c>
      <c r="D47" s="86">
        <v>42.687506063031542</v>
      </c>
      <c r="E47" s="86">
        <v>0</v>
      </c>
      <c r="F47" s="86">
        <v>0</v>
      </c>
      <c r="G47" s="86">
        <v>0</v>
      </c>
      <c r="H47" s="86">
        <v>0</v>
      </c>
      <c r="I47" s="86">
        <v>0</v>
      </c>
      <c r="J47" s="86">
        <v>0.35427379213200449</v>
      </c>
      <c r="K47" s="86">
        <v>0.35427379213200449</v>
      </c>
      <c r="L47" s="86">
        <v>0.35427379213200449</v>
      </c>
      <c r="M47" s="65"/>
      <c r="N47"/>
    </row>
    <row r="48" spans="2:14" ht="14.45">
      <c r="B48" s="84" t="s">
        <v>4720</v>
      </c>
      <c r="C48" s="86">
        <v>16341.184163158028</v>
      </c>
      <c r="D48" s="86">
        <v>4338.2126700901063</v>
      </c>
      <c r="E48" s="86">
        <v>333.87059047004681</v>
      </c>
      <c r="F48" s="86">
        <v>71.779259999999994</v>
      </c>
      <c r="G48" s="86">
        <v>1017.9991776970662</v>
      </c>
      <c r="H48" s="86">
        <v>-201.49972136670965</v>
      </c>
      <c r="I48" s="86">
        <v>-16.623136875311406</v>
      </c>
      <c r="J48" s="86">
        <v>181.42726880420102</v>
      </c>
      <c r="K48" s="86">
        <v>181.42726880420102</v>
      </c>
      <c r="L48" s="86">
        <v>181.42726880420102</v>
      </c>
      <c r="M48" s="65"/>
      <c r="N48"/>
    </row>
    <row r="49" spans="2:14" ht="14.45">
      <c r="B49" s="80" t="s">
        <v>4721</v>
      </c>
      <c r="C49" s="81">
        <v>12353.416711102182</v>
      </c>
      <c r="D49" s="81">
        <v>1977.1582829894371</v>
      </c>
      <c r="E49" s="81">
        <v>435.13533152991533</v>
      </c>
      <c r="F49" s="81">
        <v>-95.544749999999112</v>
      </c>
      <c r="G49" s="81">
        <v>11380.230221791413</v>
      </c>
      <c r="H49" s="81">
        <v>-602.99563016593424</v>
      </c>
      <c r="I49" s="81">
        <v>5172.570029403978</v>
      </c>
      <c r="J49" s="81">
        <v>6345.6046297800976</v>
      </c>
      <c r="K49" s="81">
        <v>4751.5479415201471</v>
      </c>
      <c r="L49" s="81">
        <v>11927.221372379576</v>
      </c>
      <c r="M49" s="107"/>
      <c r="N49"/>
    </row>
    <row r="50" spans="2:14" ht="14.45">
      <c r="B50" s="80" t="s">
        <v>4722</v>
      </c>
      <c r="C50" s="81">
        <v>17723.996305896719</v>
      </c>
      <c r="D50" s="81">
        <v>15162.539732863612</v>
      </c>
      <c r="E50" s="81">
        <v>12591.348407768772</v>
      </c>
      <c r="F50" s="81">
        <v>10850.652889999999</v>
      </c>
      <c r="G50" s="81">
        <v>9487.2565902601018</v>
      </c>
      <c r="H50" s="81">
        <v>9311.4747128576491</v>
      </c>
      <c r="I50" s="81">
        <v>7716.368265809836</v>
      </c>
      <c r="J50" s="81">
        <v>9341.4381147318963</v>
      </c>
      <c r="K50" s="81">
        <v>9341.4381147318963</v>
      </c>
      <c r="L50" s="81">
        <v>9341.4381147318963</v>
      </c>
      <c r="M50" s="107" t="s">
        <v>4685</v>
      </c>
      <c r="N50"/>
    </row>
    <row r="51" spans="2:14" ht="14.45">
      <c r="B51" s="80" t="s">
        <v>4723</v>
      </c>
      <c r="C51" s="81">
        <v>-7937.461945018058</v>
      </c>
      <c r="D51" s="81">
        <v>-2338.1642497272605</v>
      </c>
      <c r="E51" s="81">
        <v>5801.471239173904</v>
      </c>
      <c r="F51" s="81">
        <v>8840.75216</v>
      </c>
      <c r="G51" s="81">
        <v>10699.153337711536</v>
      </c>
      <c r="H51" s="81">
        <v>4346.7532643104723</v>
      </c>
      <c r="I51" s="81">
        <v>13194.284484625061</v>
      </c>
      <c r="J51" s="81">
        <v>58015</v>
      </c>
      <c r="K51" s="81">
        <v>80924</v>
      </c>
      <c r="L51" s="81">
        <v>82229</v>
      </c>
      <c r="M51" s="107" t="s">
        <v>4724</v>
      </c>
      <c r="N51"/>
    </row>
    <row r="52" spans="2:14" ht="14.45">
      <c r="B52" s="80" t="s">
        <v>4725</v>
      </c>
      <c r="C52" s="81">
        <v>8698.3380603817441</v>
      </c>
      <c r="D52" s="81">
        <v>7993.5533102295321</v>
      </c>
      <c r="E52" s="81">
        <v>5492.0576142685486</v>
      </c>
      <c r="F52" s="81">
        <v>1734.6386700000003</v>
      </c>
      <c r="G52" s="81">
        <v>7089.8833801823257</v>
      </c>
      <c r="H52" s="81">
        <v>4422.492811794441</v>
      </c>
      <c r="I52" s="81">
        <v>9497.8629879586715</v>
      </c>
      <c r="J52" s="81">
        <v>7807.1878899999992</v>
      </c>
      <c r="K52" s="81">
        <v>7524.9384356582796</v>
      </c>
      <c r="L52" s="81">
        <v>7385.1127057177164</v>
      </c>
      <c r="M52" s="107" t="s">
        <v>4685</v>
      </c>
      <c r="N52"/>
    </row>
    <row r="53" spans="2:14" ht="14.45">
      <c r="B53" s="84" t="s">
        <v>4726</v>
      </c>
      <c r="C53" s="86">
        <v>-6269.5551334300389</v>
      </c>
      <c r="D53" s="86">
        <v>-3974.1766338634093</v>
      </c>
      <c r="E53" s="86">
        <v>-3071.4099193410489</v>
      </c>
      <c r="F53" s="86">
        <v>-3110.2600499999999</v>
      </c>
      <c r="G53" s="86">
        <v>-3106.68403159932</v>
      </c>
      <c r="H53" s="86">
        <v>-3441.6795435352187</v>
      </c>
      <c r="I53" s="86">
        <v>109.15699067505639</v>
      </c>
      <c r="J53" s="86">
        <v>109.15699067505639</v>
      </c>
      <c r="K53" s="86">
        <v>109.15699067505639</v>
      </c>
      <c r="L53" s="86">
        <v>109.15699067505639</v>
      </c>
      <c r="M53" s="65"/>
      <c r="N53"/>
    </row>
    <row r="54" spans="2:14" ht="14.45">
      <c r="B54" s="84" t="s">
        <v>4727</v>
      </c>
      <c r="C54" s="86">
        <v>14967.893193811784</v>
      </c>
      <c r="D54" s="86">
        <v>11967.729944092942</v>
      </c>
      <c r="E54" s="86">
        <v>8563.467533609597</v>
      </c>
      <c r="F54" s="86">
        <v>4844.8987200000001</v>
      </c>
      <c r="G54" s="86">
        <v>10196.567411781645</v>
      </c>
      <c r="H54" s="86">
        <v>7864.1723553296597</v>
      </c>
      <c r="I54" s="86">
        <v>9388.7059972836141</v>
      </c>
      <c r="J54" s="86">
        <v>7698.0308993249428</v>
      </c>
      <c r="K54" s="86">
        <v>7415.7814449832231</v>
      </c>
      <c r="L54" s="86">
        <v>7275.9557150426599</v>
      </c>
      <c r="M54" s="65"/>
      <c r="N54"/>
    </row>
    <row r="55" spans="2:14" ht="14.45">
      <c r="B55" s="80" t="s">
        <v>4728</v>
      </c>
      <c r="C55" s="81">
        <v>4725.4027526956452</v>
      </c>
      <c r="D55" s="81">
        <v>1980.9145057494547</v>
      </c>
      <c r="E55" s="81">
        <v>1570.6640948092661</v>
      </c>
      <c r="F55" s="81">
        <v>1334.8086000000001</v>
      </c>
      <c r="G55" s="81">
        <v>1434.466656130666</v>
      </c>
      <c r="H55" s="81">
        <v>4910.9237251167906</v>
      </c>
      <c r="I55" s="81">
        <v>4745.1956033158276</v>
      </c>
      <c r="J55" s="81">
        <v>4940.8172818925659</v>
      </c>
      <c r="K55" s="81">
        <v>5266.5411073972473</v>
      </c>
      <c r="L55" s="81">
        <v>5236.0399040725533</v>
      </c>
      <c r="M55"/>
      <c r="N55"/>
    </row>
    <row r="56" spans="2:14" ht="14.45">
      <c r="B56" s="80" t="s">
        <v>4729</v>
      </c>
      <c r="C56" s="81"/>
      <c r="D56" s="81"/>
      <c r="E56" s="81"/>
      <c r="F56" s="81"/>
      <c r="G56" s="81"/>
      <c r="H56" s="81">
        <v>3355.4877248773746</v>
      </c>
      <c r="I56" s="81">
        <v>12061.723981763611</v>
      </c>
      <c r="J56" s="81">
        <v>17985.994824930069</v>
      </c>
      <c r="K56" s="81">
        <v>8745.1046114106848</v>
      </c>
      <c r="L56" s="81">
        <v>8515.2424136742229</v>
      </c>
      <c r="M56" s="107" t="s">
        <v>4730</v>
      </c>
      <c r="N56"/>
    </row>
    <row r="57" spans="2:14" ht="14.45">
      <c r="B57" s="80" t="s">
        <v>4731</v>
      </c>
      <c r="C57" s="81"/>
      <c r="D57" s="81"/>
      <c r="E57" s="81"/>
      <c r="F57" s="81"/>
      <c r="G57" s="81"/>
      <c r="H57" s="81">
        <v>379.04116885950828</v>
      </c>
      <c r="I57" s="81">
        <v>292.35150612130167</v>
      </c>
      <c r="J57" s="81">
        <v>295.12559283765495</v>
      </c>
      <c r="K57" s="81">
        <v>295.12559283765495</v>
      </c>
      <c r="L57" s="81">
        <v>295.12559283765495</v>
      </c>
      <c r="M57" s="107"/>
      <c r="N57"/>
    </row>
    <row r="58" spans="2:14" ht="14.45">
      <c r="B58" s="82" t="s">
        <v>4683</v>
      </c>
      <c r="C58" s="83">
        <v>125387.75798495868</v>
      </c>
      <c r="D58" s="83">
        <v>98526.407363487451</v>
      </c>
      <c r="E58" s="83">
        <v>76908.875351517199</v>
      </c>
      <c r="F58" s="83">
        <v>63850.694150000003</v>
      </c>
      <c r="G58" s="83">
        <v>87766.118381066437</v>
      </c>
      <c r="H58" s="83">
        <v>76720.808631708162</v>
      </c>
      <c r="I58" s="83">
        <v>107076.68522568663</v>
      </c>
      <c r="J58" s="83">
        <v>172772.59253733142</v>
      </c>
      <c r="K58" s="83">
        <v>185621.85921712202</v>
      </c>
      <c r="L58" s="83">
        <v>189564.93878442101</v>
      </c>
      <c r="N58"/>
    </row>
  </sheetData>
  <mergeCells count="1">
    <mergeCell ref="M29:M32"/>
  </mergeCells>
  <dataValidations count="3">
    <dataValidation showDropDown="1" showInputMessage="1" showErrorMessage="1" sqref="M29" xr:uid="{882EB767-2819-4AA1-8589-34A7B5FB616A}"/>
    <dataValidation type="list" allowBlank="1" showInputMessage="1" showErrorMessage="1" sqref="M16:M17 M45 M38:M39 M33:M35 M49:M52 M26 M23" xr:uid="{96E0566A-378D-452E-BBA5-793F4F25AA79}">
      <formula1>$B$56:$B$60</formula1>
    </dataValidation>
    <dataValidation type="list" allowBlank="1" showInputMessage="1" showErrorMessage="1" sqref="M57" xr:uid="{86B70640-D138-41BD-8B91-0EECE342A8DD}">
      <formula1>$B$61:$B$65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E9460-0635-44F7-AA71-EC65F2169941}">
  <dimension ref="B3:K21"/>
  <sheetViews>
    <sheetView showGridLines="0" zoomScale="85" zoomScaleNormal="85" workbookViewId="0">
      <selection activeCell="K12" sqref="K12:K13"/>
    </sheetView>
  </sheetViews>
  <sheetFormatPr defaultColWidth="9.140625" defaultRowHeight="14.45"/>
  <cols>
    <col min="1" max="1" width="11.85546875" bestFit="1" customWidth="1"/>
    <col min="2" max="2" width="31.5703125" bestFit="1" customWidth="1"/>
    <col min="3" max="3" width="17.28515625" customWidth="1"/>
    <col min="4" max="4" width="1.5703125" customWidth="1"/>
    <col min="5" max="5" width="18.7109375" customWidth="1"/>
    <col min="6" max="6" width="17.140625" customWidth="1"/>
    <col min="7" max="7" width="11.85546875" customWidth="1"/>
    <col min="8" max="8" width="11.140625" customWidth="1"/>
    <col min="9" max="9" width="1.5703125" customWidth="1"/>
    <col min="10" max="10" width="14.85546875" bestFit="1" customWidth="1"/>
    <col min="11" max="11" width="44.5703125" bestFit="1" customWidth="1"/>
  </cols>
  <sheetData>
    <row r="3" spans="2:11">
      <c r="B3" s="833" t="s">
        <v>4732</v>
      </c>
      <c r="C3" s="834"/>
      <c r="D3" s="834"/>
      <c r="E3" s="834"/>
      <c r="K3" s="687"/>
    </row>
    <row r="4" spans="2:11" ht="29.1">
      <c r="B4" s="689" t="s">
        <v>4733</v>
      </c>
      <c r="C4" s="690" t="s">
        <v>4734</v>
      </c>
      <c r="E4" s="690" t="s">
        <v>4735</v>
      </c>
      <c r="G4" s="309">
        <v>44562</v>
      </c>
      <c r="H4" s="535">
        <v>9.1499999999999998E-2</v>
      </c>
      <c r="K4" s="687"/>
    </row>
    <row r="5" spans="2:11">
      <c r="B5" s="692" t="s">
        <v>4736</v>
      </c>
      <c r="C5" s="693">
        <v>36893200.889282599</v>
      </c>
      <c r="E5" s="693">
        <f>C5*(1+$H$4)*(1+$H$5)</f>
        <v>45805906.476616591</v>
      </c>
      <c r="G5" s="309">
        <v>44927</v>
      </c>
      <c r="H5" s="535">
        <v>0.13750000000000001</v>
      </c>
      <c r="K5" s="701"/>
    </row>
    <row r="6" spans="2:11">
      <c r="B6" s="692" t="s">
        <v>4737</v>
      </c>
      <c r="C6" s="693">
        <v>0</v>
      </c>
      <c r="E6" s="693">
        <f>C6*(1+$H$4)*(1+$H$5)</f>
        <v>0</v>
      </c>
      <c r="G6" t="s">
        <v>4738</v>
      </c>
      <c r="H6" s="310">
        <f>[42]IGPM!B98/[42]IGPM!B110</f>
        <v>0.94830517671743297</v>
      </c>
      <c r="K6" s="687"/>
    </row>
    <row r="7" spans="2:11">
      <c r="B7" s="692" t="s">
        <v>4739</v>
      </c>
      <c r="C7" s="693">
        <v>7795207.0693470454</v>
      </c>
      <c r="D7" s="696"/>
      <c r="E7" s="693">
        <f>C7*(1+$H$4)*(1+$H$5)</f>
        <v>9678382.9371687416</v>
      </c>
      <c r="K7" s="697"/>
    </row>
    <row r="8" spans="2:11">
      <c r="B8" s="692" t="s">
        <v>4740</v>
      </c>
      <c r="C8" s="693">
        <v>7693431.1637844602</v>
      </c>
      <c r="E8" s="693">
        <f>C8*(1+$H$4)*(1+$H$5)</f>
        <v>9552019.8811204638</v>
      </c>
      <c r="K8" s="697"/>
    </row>
    <row r="9" spans="2:11">
      <c r="C9" s="440"/>
      <c r="D9" s="440"/>
      <c r="E9" s="440"/>
      <c r="F9" s="440"/>
      <c r="K9" s="698"/>
    </row>
    <row r="10" spans="2:11">
      <c r="B10" s="699" t="s">
        <v>4741</v>
      </c>
      <c r="C10" s="700">
        <v>52381839.12241412</v>
      </c>
      <c r="E10" s="700">
        <f>C10*(1+$H$4)*(1+$H$5)</f>
        <v>65036309.294905819</v>
      </c>
      <c r="K10" s="698"/>
    </row>
    <row r="11" spans="2:11">
      <c r="G11" s="698"/>
      <c r="H11" s="698"/>
      <c r="J11" s="688"/>
      <c r="K11" s="698"/>
    </row>
    <row r="12" spans="2:11">
      <c r="B12" s="833" t="s">
        <v>4732</v>
      </c>
      <c r="C12" s="834"/>
      <c r="D12" s="834"/>
      <c r="E12" s="834"/>
      <c r="G12" s="698"/>
      <c r="H12" s="698"/>
      <c r="J12" s="688"/>
      <c r="K12" s="698"/>
    </row>
    <row r="13" spans="2:11" ht="29.1">
      <c r="B13" s="691" t="s">
        <v>4733</v>
      </c>
      <c r="C13" s="690" t="s">
        <v>4742</v>
      </c>
      <c r="E13" s="690" t="s">
        <v>4735</v>
      </c>
      <c r="G13" s="698"/>
      <c r="H13" s="698"/>
      <c r="J13" s="688"/>
      <c r="K13" s="698"/>
    </row>
    <row r="14" spans="2:11">
      <c r="B14" s="694" t="s">
        <v>4736</v>
      </c>
      <c r="C14" s="695">
        <v>37667081.155122519</v>
      </c>
      <c r="E14" s="693">
        <f>C14*(1+$H$5)*$H$6</f>
        <v>40631372.658283621</v>
      </c>
      <c r="G14" s="698"/>
      <c r="H14" s="698"/>
      <c r="J14" s="688"/>
      <c r="K14" s="698"/>
    </row>
    <row r="15" spans="2:11">
      <c r="B15" s="694" t="s">
        <v>4737</v>
      </c>
      <c r="C15" s="695">
        <v>0</v>
      </c>
      <c r="E15" s="693">
        <f>C15*(1+$H$5)*$H$6</f>
        <v>0</v>
      </c>
      <c r="G15" s="698"/>
      <c r="H15" s="698"/>
      <c r="J15" s="688"/>
      <c r="K15" s="698"/>
    </row>
    <row r="16" spans="2:11">
      <c r="B16" s="694" t="s">
        <v>4739</v>
      </c>
      <c r="C16" s="695">
        <v>1297067.8063586226</v>
      </c>
      <c r="E16" s="693">
        <f>C16*(1+$H$5)*$H$6</f>
        <v>1399143.3311803751</v>
      </c>
      <c r="G16" s="698"/>
      <c r="H16" s="698"/>
      <c r="J16" s="688"/>
      <c r="K16" s="698"/>
    </row>
    <row r="17" spans="2:11">
      <c r="B17" s="694" t="s">
        <v>4740</v>
      </c>
      <c r="C17" s="695">
        <v>2533687.3270166665</v>
      </c>
      <c r="E17" s="693">
        <f>C17*(1+$H$5)*$H$6</f>
        <v>2733081.2695473335</v>
      </c>
      <c r="G17" s="698"/>
      <c r="H17" s="698"/>
      <c r="J17" s="688"/>
      <c r="K17" s="698"/>
    </row>
    <row r="18" spans="2:11">
      <c r="B18" s="440"/>
      <c r="C18" s="440"/>
      <c r="D18" s="440"/>
      <c r="E18" s="440"/>
      <c r="G18" s="698"/>
      <c r="H18" s="698"/>
      <c r="J18" s="688"/>
      <c r="K18" s="698"/>
    </row>
    <row r="19" spans="2:11">
      <c r="B19" s="699" t="s">
        <v>4743</v>
      </c>
      <c r="C19" s="700">
        <v>41497836.288497806</v>
      </c>
      <c r="E19" s="700">
        <f>C19*(1+$H$5)*$H$6</f>
        <v>44763597.259011328</v>
      </c>
      <c r="G19" s="698"/>
      <c r="H19" s="698"/>
      <c r="J19" s="688"/>
      <c r="K19" s="698"/>
    </row>
    <row r="20" spans="2:11">
      <c r="K20" s="698"/>
    </row>
    <row r="21" spans="2:11">
      <c r="B21" s="719" t="s">
        <v>167</v>
      </c>
      <c r="C21" s="720">
        <f>C10+C19</f>
        <v>93879675.410911918</v>
      </c>
      <c r="E21" s="720">
        <f>E10+E19</f>
        <v>109799906.55391714</v>
      </c>
    </row>
  </sheetData>
  <mergeCells count="2">
    <mergeCell ref="B3:E3"/>
    <mergeCell ref="B12:E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A18A5-B04F-45A7-805E-58978AC58DEB}">
  <sheetPr>
    <tabColor theme="4" tint="0.79998168889431442"/>
  </sheetPr>
  <dimension ref="A1:AQ166"/>
  <sheetViews>
    <sheetView showGridLines="0" zoomScale="70" zoomScaleNormal="70" workbookViewId="0">
      <selection activeCell="I43" sqref="I43"/>
    </sheetView>
  </sheetViews>
  <sheetFormatPr defaultColWidth="10.28515625" defaultRowHeight="11.45"/>
  <cols>
    <col min="1" max="1" width="7.28515625" style="50" customWidth="1"/>
    <col min="2" max="2" width="42.140625" style="50" bestFit="1" customWidth="1"/>
    <col min="3" max="5" width="24.7109375" style="50" customWidth="1"/>
    <col min="6" max="6" width="18" style="50" customWidth="1"/>
    <col min="7" max="11" width="23.5703125" style="50" customWidth="1"/>
    <col min="12" max="12" width="13.28515625" style="50" bestFit="1" customWidth="1"/>
    <col min="13" max="13" width="42.140625" style="50" bestFit="1" customWidth="1"/>
    <col min="14" max="14" width="14.28515625" style="50" bestFit="1" customWidth="1"/>
    <col min="15" max="19" width="18.28515625" style="50" customWidth="1"/>
    <col min="20" max="20" width="10.28515625" style="50"/>
    <col min="21" max="21" width="42.140625" style="50" bestFit="1" customWidth="1"/>
    <col min="22" max="22" width="14.28515625" style="50" bestFit="1" customWidth="1"/>
    <col min="23" max="27" width="20.140625" style="50" customWidth="1"/>
    <col min="28" max="29" width="10.28515625" style="50"/>
    <col min="30" max="30" width="16.28515625" style="50" customWidth="1"/>
    <col min="31" max="31" width="10.28515625" style="50"/>
    <col min="32" max="32" width="18.7109375" style="50" customWidth="1"/>
    <col min="33" max="33" width="10.28515625" style="50"/>
    <col min="34" max="34" width="11.7109375" style="50" customWidth="1"/>
    <col min="35" max="35" width="10.28515625" style="50"/>
    <col min="36" max="36" width="12.85546875" style="50" customWidth="1"/>
    <col min="37" max="37" width="11.7109375" style="50" customWidth="1"/>
    <col min="38" max="16384" width="10.28515625" style="50"/>
  </cols>
  <sheetData>
    <row r="1" spans="1:43" ht="8.25" customHeight="1"/>
    <row r="2" spans="1:43">
      <c r="B2" s="57" t="s">
        <v>4744</v>
      </c>
      <c r="M2" s="57" t="s">
        <v>4745</v>
      </c>
      <c r="U2" s="57" t="s">
        <v>4746</v>
      </c>
    </row>
    <row r="3" spans="1:43">
      <c r="B3" s="61"/>
      <c r="C3" s="61"/>
      <c r="D3" s="61"/>
      <c r="E3" s="61"/>
    </row>
    <row r="4" spans="1:43">
      <c r="B4" s="61" t="s">
        <v>4747</v>
      </c>
      <c r="C4" s="61" t="s">
        <v>4748</v>
      </c>
      <c r="D4" s="61"/>
      <c r="E4" s="61"/>
      <c r="F4" s="55"/>
      <c r="M4" s="61" t="s">
        <v>4747</v>
      </c>
      <c r="N4" s="61" t="s">
        <v>4748</v>
      </c>
      <c r="U4" s="61" t="s">
        <v>4747</v>
      </c>
      <c r="V4" s="61" t="s">
        <v>4748</v>
      </c>
    </row>
    <row r="5" spans="1:43">
      <c r="B5" s="61"/>
      <c r="C5" s="61"/>
      <c r="D5" s="61"/>
      <c r="E5" s="61"/>
      <c r="F5" s="194"/>
      <c r="M5" s="61"/>
      <c r="N5" s="61"/>
      <c r="U5" s="61"/>
      <c r="V5" s="61"/>
    </row>
    <row r="6" spans="1:43">
      <c r="B6" s="195" t="s">
        <v>4749</v>
      </c>
      <c r="C6" s="196" t="s">
        <v>4750</v>
      </c>
      <c r="D6" s="196" t="s">
        <v>4751</v>
      </c>
      <c r="E6" s="196" t="s">
        <v>4752</v>
      </c>
      <c r="F6" s="27">
        <v>2022</v>
      </c>
      <c r="G6" s="27">
        <v>2023</v>
      </c>
      <c r="H6" s="27">
        <v>2024</v>
      </c>
      <c r="I6" s="49">
        <v>2025</v>
      </c>
      <c r="J6" s="49">
        <v>2026</v>
      </c>
      <c r="K6" s="49">
        <v>2027</v>
      </c>
      <c r="M6" s="195" t="s">
        <v>4749</v>
      </c>
      <c r="N6" s="196" t="s">
        <v>4750</v>
      </c>
      <c r="O6" s="27">
        <v>2023</v>
      </c>
      <c r="P6" s="27">
        <v>2024</v>
      </c>
      <c r="Q6" s="49">
        <v>2025</v>
      </c>
      <c r="R6" s="49">
        <v>2026</v>
      </c>
      <c r="S6" s="49">
        <v>2027</v>
      </c>
      <c r="U6" s="195" t="s">
        <v>4749</v>
      </c>
      <c r="V6" s="196" t="s">
        <v>4750</v>
      </c>
      <c r="W6" s="27">
        <v>2023</v>
      </c>
      <c r="X6" s="27">
        <v>2024</v>
      </c>
      <c r="Y6" s="49">
        <v>2025</v>
      </c>
      <c r="Z6" s="49">
        <v>2026</v>
      </c>
      <c r="AA6" s="49">
        <v>2027</v>
      </c>
      <c r="AG6" s="27">
        <v>2023</v>
      </c>
      <c r="AH6" s="27">
        <v>2024</v>
      </c>
      <c r="AI6" s="49">
        <v>2025</v>
      </c>
      <c r="AJ6" s="49">
        <v>2026</v>
      </c>
      <c r="AK6" s="49">
        <v>2027</v>
      </c>
      <c r="AM6" s="27">
        <v>2023</v>
      </c>
      <c r="AN6" s="27">
        <v>2024</v>
      </c>
      <c r="AO6" s="49">
        <v>2025</v>
      </c>
      <c r="AP6" s="49">
        <v>2026</v>
      </c>
      <c r="AQ6" s="49">
        <v>2027</v>
      </c>
    </row>
    <row r="7" spans="1:43">
      <c r="B7" s="197" t="s">
        <v>4753</v>
      </c>
      <c r="C7" s="198"/>
      <c r="D7" s="198"/>
      <c r="E7" s="198"/>
      <c r="F7" s="199"/>
      <c r="G7" s="199"/>
      <c r="H7" s="199"/>
      <c r="I7" s="199"/>
      <c r="J7" s="199"/>
      <c r="K7" s="199"/>
      <c r="M7" s="197" t="s">
        <v>4753</v>
      </c>
      <c r="U7" s="197" t="s">
        <v>4753</v>
      </c>
      <c r="AE7" s="51">
        <v>1</v>
      </c>
      <c r="AF7" s="443" t="s">
        <v>16</v>
      </c>
      <c r="AG7" s="51">
        <f>SUMIFS(G$8:G$154,$L$8:$L$154,$AE7)</f>
        <v>6625</v>
      </c>
      <c r="AH7" s="51">
        <f t="shared" ref="AH7:AK11" si="0">SUMIFS(H$8:H$154,$L$8:$L$154,$AE7)</f>
        <v>6579.9724400000014</v>
      </c>
      <c r="AI7" s="51">
        <f t="shared" si="0"/>
        <v>6582.9725917207224</v>
      </c>
      <c r="AJ7" s="51">
        <f t="shared" si="0"/>
        <v>6598.367012877854</v>
      </c>
      <c r="AK7" s="51">
        <f t="shared" si="0"/>
        <v>6610.5124681520101</v>
      </c>
      <c r="AM7" s="55">
        <f>AG7-Inputs!C28</f>
        <v>0</v>
      </c>
      <c r="AN7" s="55">
        <f>AH7-Inputs!D28</f>
        <v>0</v>
      </c>
      <c r="AO7" s="55">
        <f>AI7-Inputs!E28</f>
        <v>0</v>
      </c>
      <c r="AP7" s="55">
        <f>AJ7-Inputs!F28</f>
        <v>0</v>
      </c>
      <c r="AQ7" s="55">
        <f>AK7-Inputs!G28</f>
        <v>0</v>
      </c>
    </row>
    <row r="8" spans="1:43">
      <c r="B8" s="197"/>
      <c r="C8" s="198"/>
      <c r="D8" s="198"/>
      <c r="E8" s="198"/>
      <c r="F8" s="200">
        <f>SUM(F9:F12)</f>
        <v>6744.6079999999993</v>
      </c>
      <c r="G8" s="200">
        <f t="shared" ref="G8:K8" si="1">SUM(G9:G12)</f>
        <v>6569.415</v>
      </c>
      <c r="H8" s="200">
        <f t="shared" si="1"/>
        <v>6535.0894400000016</v>
      </c>
      <c r="I8" s="200">
        <f t="shared" si="1"/>
        <v>6524.8663070008679</v>
      </c>
      <c r="J8" s="200">
        <f t="shared" si="1"/>
        <v>6540.1248453776307</v>
      </c>
      <c r="K8" s="200">
        <f t="shared" si="1"/>
        <v>6552.1630956965209</v>
      </c>
      <c r="L8" s="50">
        <v>1</v>
      </c>
      <c r="M8" s="197"/>
      <c r="O8" s="200">
        <f>SUM(O9:O12)</f>
        <v>6569.415</v>
      </c>
      <c r="P8" s="200">
        <f>SUM(P9:P12)</f>
        <v>6535.0894400000016</v>
      </c>
      <c r="Q8" s="200">
        <f>SUM(Q9:Q12)</f>
        <v>6524.8663070008679</v>
      </c>
      <c r="R8" s="200">
        <f>SUM(R9:R12)</f>
        <v>6540.1248453776307</v>
      </c>
      <c r="S8" s="200">
        <f>SUM(S9:S12)</f>
        <v>6552.1630956965209</v>
      </c>
      <c r="U8" s="197"/>
      <c r="W8" s="200">
        <f>SUM(W9:W12)</f>
        <v>0</v>
      </c>
      <c r="X8" s="200">
        <f>SUM(X9:X12)</f>
        <v>0</v>
      </c>
      <c r="Y8" s="200">
        <f>SUM(Y9:Y12)</f>
        <v>0</v>
      </c>
      <c r="Z8" s="200">
        <f>SUM(Z9:Z12)</f>
        <v>0</v>
      </c>
      <c r="AA8" s="200">
        <f>SUM(AA9:AA12)</f>
        <v>0</v>
      </c>
      <c r="AE8" s="51">
        <v>2</v>
      </c>
      <c r="AF8" s="443" t="s">
        <v>17</v>
      </c>
      <c r="AG8" s="51">
        <f t="shared" ref="AG8:AG11" si="2">SUMIFS(G$8:G$154,$L$8:$L$154,$AE8)</f>
        <v>5131.9969999999994</v>
      </c>
      <c r="AH8" s="51">
        <f t="shared" si="0"/>
        <v>5151.418810000001</v>
      </c>
      <c r="AI8" s="51">
        <f t="shared" si="0"/>
        <v>5018.1128396578915</v>
      </c>
      <c r="AJ8" s="51">
        <f t="shared" si="0"/>
        <v>4925.1776481321995</v>
      </c>
      <c r="AK8" s="51">
        <f t="shared" si="0"/>
        <v>4916.4878269406445</v>
      </c>
      <c r="AM8" s="55">
        <f>AG8-Inputs!C29</f>
        <v>-3.0000000006111804E-3</v>
      </c>
      <c r="AN8" s="55">
        <f>AH8-Inputs!D29</f>
        <v>0</v>
      </c>
      <c r="AO8" s="55">
        <f>AI8-Inputs!E29</f>
        <v>0</v>
      </c>
      <c r="AP8" s="55">
        <f>AJ8-Inputs!F29</f>
        <v>0</v>
      </c>
      <c r="AQ8" s="55">
        <f>AK8-Inputs!G29</f>
        <v>0</v>
      </c>
    </row>
    <row r="9" spans="1:43">
      <c r="A9" s="192" t="s">
        <v>4754</v>
      </c>
      <c r="B9" s="61" t="s">
        <v>47</v>
      </c>
      <c r="C9" s="123">
        <v>1</v>
      </c>
      <c r="D9" s="51">
        <v>0</v>
      </c>
      <c r="E9" s="51">
        <v>7</v>
      </c>
      <c r="F9" s="201">
        <f>Demanda!J4/1000</f>
        <v>2346.1129999999998</v>
      </c>
      <c r="G9" s="201">
        <f>Demanda!K4/1000</f>
        <v>2423.7049999999999</v>
      </c>
      <c r="H9" s="201">
        <f>Demanda!L4/1000</f>
        <v>2466.92</v>
      </c>
      <c r="I9" s="201">
        <f>Demanda!M4/1000</f>
        <v>2516.0542930638821</v>
      </c>
      <c r="J9" s="201">
        <f>Demanda!N4/1000</f>
        <v>2572.6715209377394</v>
      </c>
      <c r="K9" s="201">
        <f>Demanda!O4/1000</f>
        <v>2626.1911706182577</v>
      </c>
      <c r="M9" s="61" t="s">
        <v>4755</v>
      </c>
      <c r="O9" s="55">
        <f t="shared" ref="O9:S12" si="3">G9</f>
        <v>2423.7049999999999</v>
      </c>
      <c r="P9" s="55">
        <f t="shared" si="3"/>
        <v>2466.92</v>
      </c>
      <c r="Q9" s="55">
        <f t="shared" si="3"/>
        <v>2516.0542930638821</v>
      </c>
      <c r="R9" s="55">
        <f t="shared" si="3"/>
        <v>2572.6715209377394</v>
      </c>
      <c r="S9" s="55">
        <f t="shared" si="3"/>
        <v>2626.1911706182577</v>
      </c>
      <c r="U9" s="61" t="str">
        <f t="shared" ref="U9:U12" si="4">B9</f>
        <v>Residencial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D9" s="58">
        <f>NPV(Inputs!$C$6,Mercado!G9:J9)+(Mercado!K9*Inputs!$C$11)/(1+Inputs!$C$6)^(4.55)</f>
        <v>9060.0391913254189</v>
      </c>
      <c r="AE9" s="51">
        <v>3</v>
      </c>
      <c r="AF9" s="443" t="s">
        <v>18</v>
      </c>
      <c r="AG9" s="51">
        <f t="shared" si="2"/>
        <v>633766.00300000003</v>
      </c>
      <c r="AH9" s="51">
        <f t="shared" si="0"/>
        <v>640836.01944000006</v>
      </c>
      <c r="AI9" s="51">
        <f t="shared" si="0"/>
        <v>557527.33691280009</v>
      </c>
      <c r="AJ9" s="51">
        <f t="shared" si="0"/>
        <v>546376.79017454409</v>
      </c>
      <c r="AK9" s="51">
        <f t="shared" si="0"/>
        <v>535449.25437105319</v>
      </c>
      <c r="AM9" s="55">
        <f>AG9-Inputs!C30</f>
        <v>3.0000000260770321E-3</v>
      </c>
      <c r="AN9" s="55">
        <f>AH9-Inputs!D30</f>
        <v>0</v>
      </c>
      <c r="AO9" s="55">
        <f>AI9-Inputs!E30</f>
        <v>0</v>
      </c>
      <c r="AP9" s="55">
        <f>AJ9-Inputs!F30</f>
        <v>0</v>
      </c>
      <c r="AQ9" s="55">
        <f>AK9-Inputs!G30</f>
        <v>0</v>
      </c>
    </row>
    <row r="10" spans="1:43">
      <c r="A10" s="192" t="s">
        <v>4756</v>
      </c>
      <c r="B10" s="61" t="s">
        <v>47</v>
      </c>
      <c r="C10" s="123">
        <v>2</v>
      </c>
      <c r="D10" s="51">
        <v>8</v>
      </c>
      <c r="E10" s="51">
        <v>23</v>
      </c>
      <c r="F10" s="201">
        <f>Demanda!J5/1000</f>
        <v>3190.6689999999999</v>
      </c>
      <c r="G10" s="201">
        <f>Demanda!K5/1000</f>
        <v>3142.0320000000002</v>
      </c>
      <c r="H10" s="201">
        <f>Demanda!L5/1000</f>
        <v>3099.6750000000002</v>
      </c>
      <c r="I10" s="201">
        <f>Demanda!M5/1000</f>
        <v>3069.1418495990602</v>
      </c>
      <c r="J10" s="201">
        <f>Demanda!N5/1000</f>
        <v>3050.7885033846092</v>
      </c>
      <c r="K10" s="201">
        <f>Demanda!O5/1000</f>
        <v>3031.0386935114866</v>
      </c>
      <c r="M10" s="61" t="s">
        <v>4755</v>
      </c>
      <c r="O10" s="55">
        <f t="shared" si="3"/>
        <v>3142.0320000000002</v>
      </c>
      <c r="P10" s="55">
        <f t="shared" si="3"/>
        <v>3099.6750000000002</v>
      </c>
      <c r="Q10" s="55">
        <f t="shared" si="3"/>
        <v>3069.1418495990602</v>
      </c>
      <c r="R10" s="55">
        <f t="shared" si="3"/>
        <v>3050.7885033846092</v>
      </c>
      <c r="S10" s="55">
        <f t="shared" si="3"/>
        <v>3031.0386935114866</v>
      </c>
      <c r="U10" s="61" t="str">
        <f t="shared" si="4"/>
        <v>Residencial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D10" s="58">
        <f>NPV(Inputs!$C$6,Mercado!G10:J10)+(Mercado!K10*Inputs!$C$11)/(1+Inputs!$C$6)^(4.55)</f>
        <v>11171.763316613624</v>
      </c>
      <c r="AE10" s="51">
        <v>4</v>
      </c>
      <c r="AF10" s="443" t="s">
        <v>19</v>
      </c>
      <c r="AG10" s="51">
        <f t="shared" si="2"/>
        <v>195916</v>
      </c>
      <c r="AH10" s="51">
        <f t="shared" si="0"/>
        <v>170695.13268000001</v>
      </c>
      <c r="AI10" s="51">
        <f t="shared" si="0"/>
        <v>150211.7167584</v>
      </c>
      <c r="AJ10" s="51">
        <f t="shared" si="0"/>
        <v>139696.896585312</v>
      </c>
      <c r="AK10" s="51">
        <f t="shared" si="0"/>
        <v>135505.98968775265</v>
      </c>
      <c r="AM10" s="55">
        <f>AG10-Inputs!C31</f>
        <v>0</v>
      </c>
      <c r="AN10" s="55">
        <f>AH10-Inputs!D31</f>
        <v>0</v>
      </c>
      <c r="AO10" s="55">
        <f>AI10-Inputs!E31</f>
        <v>0</v>
      </c>
      <c r="AP10" s="55">
        <f>AJ10-Inputs!F31</f>
        <v>0</v>
      </c>
      <c r="AQ10" s="55">
        <f>AK10-Inputs!G31</f>
        <v>0</v>
      </c>
    </row>
    <row r="11" spans="1:43">
      <c r="A11" s="192" t="s">
        <v>4757</v>
      </c>
      <c r="B11" s="61" t="s">
        <v>47</v>
      </c>
      <c r="C11" s="123">
        <v>3</v>
      </c>
      <c r="D11" s="51">
        <v>24</v>
      </c>
      <c r="E11" s="51">
        <v>83</v>
      </c>
      <c r="F11" s="201">
        <f>Demanda!J6/1000</f>
        <v>1141.0150000000001</v>
      </c>
      <c r="G11" s="201">
        <f>Demanda!K6/1000</f>
        <v>935.98800000000006</v>
      </c>
      <c r="H11" s="201">
        <f>Demanda!L6/1000</f>
        <v>913.47744000000137</v>
      </c>
      <c r="I11" s="201">
        <f>Demanda!M6/1000</f>
        <v>894.78895608280618</v>
      </c>
      <c r="J11" s="201">
        <f>Demanda!N6/1000</f>
        <v>879.90896733378929</v>
      </c>
      <c r="K11" s="201">
        <f>Demanda!O6/1000</f>
        <v>864.84665816423956</v>
      </c>
      <c r="M11" s="61" t="s">
        <v>4755</v>
      </c>
      <c r="O11" s="55">
        <f t="shared" si="3"/>
        <v>935.98800000000006</v>
      </c>
      <c r="P11" s="55">
        <f t="shared" si="3"/>
        <v>913.47744000000137</v>
      </c>
      <c r="Q11" s="55">
        <f t="shared" si="3"/>
        <v>894.78895608280618</v>
      </c>
      <c r="R11" s="55">
        <f t="shared" si="3"/>
        <v>879.90896733378929</v>
      </c>
      <c r="S11" s="55">
        <f t="shared" si="3"/>
        <v>864.84665816423956</v>
      </c>
      <c r="U11" s="61" t="str">
        <f t="shared" si="4"/>
        <v>Residencial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D11" s="58">
        <f>NPV(Inputs!$C$6,Mercado!G11:J11)+(Mercado!K11*Inputs!$C$11)/(1+Inputs!$C$6)^(4.55)</f>
        <v>3269.8200443852343</v>
      </c>
      <c r="AE11" s="51">
        <v>5</v>
      </c>
      <c r="AF11" s="444" t="s">
        <v>20</v>
      </c>
      <c r="AG11" s="51">
        <f t="shared" si="2"/>
        <v>154879</v>
      </c>
      <c r="AH11" s="51">
        <f t="shared" si="0"/>
        <v>580549.86600000015</v>
      </c>
      <c r="AI11" s="51">
        <f t="shared" si="0"/>
        <v>92927.4</v>
      </c>
      <c r="AJ11" s="51">
        <f t="shared" si="0"/>
        <v>402856.53478460072</v>
      </c>
      <c r="AK11" s="51">
        <f t="shared" si="0"/>
        <v>402856.53478460072</v>
      </c>
      <c r="AM11" s="55">
        <f>AG11-Inputs!C32</f>
        <v>0</v>
      </c>
      <c r="AN11" s="55">
        <f>AH11-Inputs!D32</f>
        <v>0</v>
      </c>
      <c r="AO11" s="55">
        <f>AI11-Inputs!E32</f>
        <v>0</v>
      </c>
      <c r="AP11" s="55">
        <f>AJ11-Inputs!F32</f>
        <v>0</v>
      </c>
      <c r="AQ11" s="55">
        <f>AK11-Inputs!G32</f>
        <v>0</v>
      </c>
    </row>
    <row r="12" spans="1:43">
      <c r="A12" s="192" t="s">
        <v>4758</v>
      </c>
      <c r="B12" s="61" t="s">
        <v>47</v>
      </c>
      <c r="C12" s="123">
        <v>4</v>
      </c>
      <c r="D12" s="51">
        <v>83</v>
      </c>
      <c r="E12" s="51">
        <v>999999999</v>
      </c>
      <c r="F12" s="201">
        <f>Demanda!J7/1000</f>
        <v>66.811000000000007</v>
      </c>
      <c r="G12" s="201">
        <f>Demanda!K7/1000</f>
        <v>67.69</v>
      </c>
      <c r="H12" s="201">
        <f>Demanda!L7/1000</f>
        <v>55.017000000000003</v>
      </c>
      <c r="I12" s="201">
        <f>Demanda!M7/1000</f>
        <v>44.881208255119603</v>
      </c>
      <c r="J12" s="201">
        <f>Demanda!N7/1000</f>
        <v>36.755853721492556</v>
      </c>
      <c r="K12" s="201">
        <f>Demanda!O7/1000</f>
        <v>30.086573402537176</v>
      </c>
      <c r="M12" s="61" t="s">
        <v>4755</v>
      </c>
      <c r="O12" s="55">
        <f t="shared" si="3"/>
        <v>67.69</v>
      </c>
      <c r="P12" s="55">
        <f t="shared" si="3"/>
        <v>55.017000000000003</v>
      </c>
      <c r="Q12" s="55">
        <f t="shared" si="3"/>
        <v>44.881208255119603</v>
      </c>
      <c r="R12" s="55">
        <f t="shared" si="3"/>
        <v>36.755853721492556</v>
      </c>
      <c r="S12" s="55">
        <f t="shared" si="3"/>
        <v>30.086573402537176</v>
      </c>
      <c r="U12" s="61" t="str">
        <f t="shared" si="4"/>
        <v>Residencial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D12" s="58">
        <f>NPV(Inputs!$C$6,Mercado!G12:J12)+(Mercado!K12*Inputs!$C$11)/(1+Inputs!$C$6)^(4.55)</f>
        <v>180.60105091996888</v>
      </c>
      <c r="AG12" s="55">
        <f>SUM(AG7:AG11)</f>
        <v>996318</v>
      </c>
      <c r="AH12" s="55">
        <f t="shared" ref="AH12:AK12" si="5">SUM(AH7:AH11)</f>
        <v>1403812.4093700002</v>
      </c>
      <c r="AI12" s="55">
        <f t="shared" si="5"/>
        <v>812267.53910257865</v>
      </c>
      <c r="AJ12" s="55">
        <f t="shared" si="5"/>
        <v>1100453.7662054668</v>
      </c>
      <c r="AK12" s="55">
        <f t="shared" si="5"/>
        <v>1085338.7791384994</v>
      </c>
    </row>
    <row r="13" spans="1:43">
      <c r="B13" s="197"/>
      <c r="C13" s="202"/>
      <c r="D13" s="203"/>
      <c r="E13" s="203"/>
      <c r="F13" s="200">
        <f t="shared" ref="F13:K13" si="6">SUM(F14:F17)</f>
        <v>64.491</v>
      </c>
      <c r="G13" s="200">
        <f t="shared" si="6"/>
        <v>55.584999999999994</v>
      </c>
      <c r="H13" s="200">
        <f t="shared" si="6"/>
        <v>44.882999999999996</v>
      </c>
      <c r="I13" s="200">
        <f t="shared" si="6"/>
        <v>58.106284719854763</v>
      </c>
      <c r="J13" s="200">
        <f t="shared" si="6"/>
        <v>58.242167500223402</v>
      </c>
      <c r="K13" s="200">
        <f t="shared" si="6"/>
        <v>58.349372455489352</v>
      </c>
      <c r="L13" s="50">
        <v>1</v>
      </c>
      <c r="M13" s="197"/>
      <c r="O13" s="200">
        <f>SUM(O14:O17)</f>
        <v>55.584999999999994</v>
      </c>
      <c r="P13" s="200">
        <f>SUM(P14:P17)</f>
        <v>44.882999999999996</v>
      </c>
      <c r="Q13" s="200">
        <f>SUM(Q14:Q17)</f>
        <v>58.106284719854763</v>
      </c>
      <c r="R13" s="200">
        <f>SUM(R14:R17)</f>
        <v>58.242167500223402</v>
      </c>
      <c r="S13" s="200">
        <f>SUM(S14:S17)</f>
        <v>58.349372455489352</v>
      </c>
      <c r="U13" s="197"/>
      <c r="W13" s="200">
        <f>SUM(W14:W17)</f>
        <v>0</v>
      </c>
      <c r="X13" s="200">
        <f>SUM(X14:X17)</f>
        <v>0</v>
      </c>
      <c r="Y13" s="200">
        <f>SUM(Y14:Y17)</f>
        <v>0</v>
      </c>
      <c r="Z13" s="200">
        <f>SUM(Z14:Z17)</f>
        <v>0</v>
      </c>
      <c r="AA13" s="200">
        <f>SUM(AA14:AA17)</f>
        <v>0</v>
      </c>
      <c r="AD13" s="58">
        <f>NPV(Inputs!$C$6,Mercado!G13:J13)+(Mercado!K13*Inputs!$C$11)/(1+Inputs!$C$6)^(4.55)</f>
        <v>196.99682552018828</v>
      </c>
    </row>
    <row r="14" spans="1:43">
      <c r="A14" s="192" t="s">
        <v>4759</v>
      </c>
      <c r="B14" s="61" t="s">
        <v>4597</v>
      </c>
      <c r="C14" s="123">
        <v>1</v>
      </c>
      <c r="D14" s="51">
        <v>0</v>
      </c>
      <c r="E14" s="51">
        <v>7</v>
      </c>
      <c r="F14" s="201">
        <f>Demanda!J8/1000</f>
        <v>13.832000000000001</v>
      </c>
      <c r="G14" s="201">
        <f>Demanda!K8/1000</f>
        <v>14.616</v>
      </c>
      <c r="H14" s="201">
        <f>Demanda!L8/1000</f>
        <v>13.087999999999999</v>
      </c>
      <c r="I14" s="201">
        <f>Demanda!M8/1000</f>
        <v>16.943944353395697</v>
      </c>
      <c r="J14" s="201">
        <f>Demanda!N8/1000</f>
        <v>16.983568126972884</v>
      </c>
      <c r="K14" s="201">
        <f>Demanda!O8/1000</f>
        <v>17.014829371865623</v>
      </c>
      <c r="M14" s="61" t="s">
        <v>4760</v>
      </c>
      <c r="O14" s="55">
        <f t="shared" ref="O14:S17" si="7">G14</f>
        <v>14.616</v>
      </c>
      <c r="P14" s="55">
        <f t="shared" si="7"/>
        <v>13.087999999999999</v>
      </c>
      <c r="Q14" s="55">
        <f t="shared" si="7"/>
        <v>16.943944353395697</v>
      </c>
      <c r="R14" s="55">
        <f t="shared" si="7"/>
        <v>16.983568126972884</v>
      </c>
      <c r="S14" s="55">
        <f t="shared" si="7"/>
        <v>17.014829371865623</v>
      </c>
      <c r="U14" s="61" t="str">
        <f t="shared" ref="U14:U17" si="8">B14</f>
        <v>Residencial Social MCMV</v>
      </c>
      <c r="W14" s="55">
        <v>0</v>
      </c>
      <c r="X14" s="55">
        <v>0</v>
      </c>
      <c r="Y14" s="55">
        <v>0</v>
      </c>
      <c r="Z14" s="55">
        <v>0</v>
      </c>
      <c r="AA14" s="55">
        <v>0</v>
      </c>
      <c r="AD14" s="58">
        <f>NPV(Inputs!$C$6,Mercado!G14:J14)+(Mercado!K14*Inputs!$C$11)/(1+Inputs!$C$6)^(4.55)</f>
        <v>55.982494248440858</v>
      </c>
    </row>
    <row r="15" spans="1:43">
      <c r="A15" s="192" t="s">
        <v>4761</v>
      </c>
      <c r="B15" s="61" t="s">
        <v>4597</v>
      </c>
      <c r="C15" s="123">
        <v>2</v>
      </c>
      <c r="D15" s="51">
        <v>8</v>
      </c>
      <c r="E15" s="51">
        <v>23</v>
      </c>
      <c r="F15" s="201">
        <f>Demanda!J9/1000</f>
        <v>44.223999999999997</v>
      </c>
      <c r="G15" s="201">
        <f>Demanda!K9/1000</f>
        <v>36.866999999999997</v>
      </c>
      <c r="H15" s="201">
        <f>Demanda!L9/1000</f>
        <v>29.49</v>
      </c>
      <c r="I15" s="201">
        <f>Demanda!M9/1000</f>
        <v>37.820625626795</v>
      </c>
      <c r="J15" s="201">
        <f>Demanda!N9/1000</f>
        <v>37.553968339349076</v>
      </c>
      <c r="K15" s="201">
        <f>Demanda!O9/1000</f>
        <v>37.270670202747418</v>
      </c>
      <c r="M15" s="61" t="s">
        <v>4760</v>
      </c>
      <c r="O15" s="55">
        <f t="shared" si="7"/>
        <v>36.866999999999997</v>
      </c>
      <c r="P15" s="55">
        <f t="shared" si="7"/>
        <v>29.49</v>
      </c>
      <c r="Q15" s="55">
        <f t="shared" si="7"/>
        <v>37.820625626795</v>
      </c>
      <c r="R15" s="55">
        <f t="shared" si="7"/>
        <v>37.553968339349076</v>
      </c>
      <c r="S15" s="55">
        <f t="shared" si="7"/>
        <v>37.270670202747418</v>
      </c>
      <c r="U15" s="61" t="str">
        <f t="shared" si="8"/>
        <v>Residencial Social MCMV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D15" s="58">
        <f>NPV(Inputs!$C$6,Mercado!G15:J15)+(Mercado!K15*Inputs!$C$11)/(1+Inputs!$C$6)^(4.55)</f>
        <v>128.56999831042953</v>
      </c>
    </row>
    <row r="16" spans="1:43">
      <c r="A16" s="192" t="s">
        <v>4762</v>
      </c>
      <c r="B16" s="61" t="s">
        <v>4597</v>
      </c>
      <c r="C16" s="123">
        <v>3</v>
      </c>
      <c r="D16" s="51">
        <v>24</v>
      </c>
      <c r="E16" s="51">
        <v>83</v>
      </c>
      <c r="F16" s="201">
        <f>Demanda!J10/1000</f>
        <v>6.42</v>
      </c>
      <c r="G16" s="201">
        <f>Demanda!K10/1000</f>
        <v>3.5579999999999998</v>
      </c>
      <c r="H16" s="201">
        <f>Demanda!L10/1000</f>
        <v>2.3050000000000002</v>
      </c>
      <c r="I16" s="201">
        <f>Demanda!M10/1000</f>
        <v>2.3941583878465447</v>
      </c>
      <c r="J16" s="201">
        <f>Demanda!N10/1000</f>
        <v>1.9253425893878391</v>
      </c>
      <c r="K16" s="201">
        <f>Demanda!O10/1000</f>
        <v>1.5475596461084118</v>
      </c>
      <c r="M16" s="61" t="s">
        <v>4760</v>
      </c>
      <c r="O16" s="55">
        <f t="shared" si="7"/>
        <v>3.5579999999999998</v>
      </c>
      <c r="P16" s="55">
        <f t="shared" si="7"/>
        <v>2.3050000000000002</v>
      </c>
      <c r="Q16" s="55">
        <f t="shared" si="7"/>
        <v>2.3941583878465447</v>
      </c>
      <c r="R16" s="55">
        <f t="shared" si="7"/>
        <v>1.9253425893878391</v>
      </c>
      <c r="S16" s="55">
        <f t="shared" si="7"/>
        <v>1.5475596461084118</v>
      </c>
      <c r="U16" s="61" t="str">
        <f t="shared" si="8"/>
        <v>Residencial Social MCMV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D16" s="58">
        <f>NPV(Inputs!$C$6,Mercado!G16:J16)+(Mercado!K16*Inputs!$C$11)/(1+Inputs!$C$6)^(4.55)</f>
        <v>9.0080313482162602</v>
      </c>
    </row>
    <row r="17" spans="1:30">
      <c r="A17" s="192" t="s">
        <v>4763</v>
      </c>
      <c r="B17" s="61" t="s">
        <v>4597</v>
      </c>
      <c r="C17" s="123">
        <v>4</v>
      </c>
      <c r="D17" s="51">
        <v>83</v>
      </c>
      <c r="E17" s="51">
        <v>999999999</v>
      </c>
      <c r="F17" s="201">
        <f>Demanda!J11/1000</f>
        <v>1.4999999999999999E-2</v>
      </c>
      <c r="G17" s="201">
        <f>Demanda!K11/1000</f>
        <v>0.54400000000000004</v>
      </c>
      <c r="H17" s="201">
        <f>Demanda!L11/1000</f>
        <v>0</v>
      </c>
      <c r="I17" s="201">
        <f>Demanda!M11/1000</f>
        <v>0.94755635181752074</v>
      </c>
      <c r="J17" s="201">
        <f>Demanda!N11/1000</f>
        <v>1.779288444513605</v>
      </c>
      <c r="K17" s="201">
        <f>Demanda!O11/1000</f>
        <v>2.5163132347679023</v>
      </c>
      <c r="M17" s="61" t="s">
        <v>4760</v>
      </c>
      <c r="O17" s="55">
        <f t="shared" si="7"/>
        <v>0.54400000000000004</v>
      </c>
      <c r="P17" s="55">
        <f t="shared" si="7"/>
        <v>0</v>
      </c>
      <c r="Q17" s="55">
        <f t="shared" si="7"/>
        <v>0.94755635181752074</v>
      </c>
      <c r="R17" s="55">
        <f t="shared" si="7"/>
        <v>1.779288444513605</v>
      </c>
      <c r="S17" s="55">
        <f t="shared" si="7"/>
        <v>2.5163132347679023</v>
      </c>
      <c r="U17" s="61" t="str">
        <f t="shared" si="8"/>
        <v>Residencial Social MCMV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D17" s="58">
        <f>NPV(Inputs!$C$6,Mercado!G17:J17)+(Mercado!K17*Inputs!$C$11)/(1+Inputs!$C$6)^(4.55)</f>
        <v>3.4363016131016688</v>
      </c>
    </row>
    <row r="18" spans="1:30" ht="13.9" customHeight="1">
      <c r="B18" s="197"/>
      <c r="C18" s="202"/>
      <c r="D18" s="203"/>
      <c r="E18" s="203"/>
      <c r="F18" s="200">
        <f>SUM(F19:F24)</f>
        <v>5173.6390000000001</v>
      </c>
      <c r="G18" s="200">
        <f t="shared" ref="G18:K18" si="9">SUM(G19:G24)</f>
        <v>4717.4599999999991</v>
      </c>
      <c r="H18" s="200">
        <f t="shared" si="9"/>
        <v>4748.1808100000007</v>
      </c>
      <c r="I18" s="200">
        <f t="shared" si="9"/>
        <v>4640.9016857241422</v>
      </c>
      <c r="J18" s="200">
        <f t="shared" si="9"/>
        <v>4554.952425355561</v>
      </c>
      <c r="K18" s="200">
        <f t="shared" si="9"/>
        <v>4546.9158173506921</v>
      </c>
      <c r="L18" s="50">
        <v>2</v>
      </c>
      <c r="M18" s="197"/>
      <c r="O18" s="200">
        <f>SUM(O19:O24)</f>
        <v>4717.4599999999991</v>
      </c>
      <c r="P18" s="200">
        <f t="shared" ref="P18:S18" si="10">SUM(P19:P24)</f>
        <v>4748.1808100000007</v>
      </c>
      <c r="Q18" s="200">
        <f t="shared" si="10"/>
        <v>4640.9016857241422</v>
      </c>
      <c r="R18" s="200">
        <f t="shared" si="10"/>
        <v>4554.952425355561</v>
      </c>
      <c r="S18" s="200">
        <f t="shared" si="10"/>
        <v>4546.9158173506921</v>
      </c>
      <c r="U18" s="197"/>
      <c r="W18" s="200">
        <f>SUM(W19:W24)</f>
        <v>0</v>
      </c>
      <c r="X18" s="200">
        <f t="shared" ref="X18:AA18" si="11">SUM(X19:X24)</f>
        <v>0</v>
      </c>
      <c r="Y18" s="200">
        <f t="shared" si="11"/>
        <v>0</v>
      </c>
      <c r="Z18" s="200">
        <f t="shared" si="11"/>
        <v>0</v>
      </c>
      <c r="AA18" s="200">
        <f t="shared" si="11"/>
        <v>0</v>
      </c>
      <c r="AD18" s="58">
        <f>NPV(Inputs!$C$6,Mercado!G18:J18)+(Mercado!K18*Inputs!$C$11)/(1+Inputs!$C$6)^(4.55)</f>
        <v>16858.694043953001</v>
      </c>
    </row>
    <row r="19" spans="1:30">
      <c r="A19" s="192" t="s">
        <v>4764</v>
      </c>
      <c r="B19" s="61" t="s">
        <v>17</v>
      </c>
      <c r="C19" s="123">
        <v>1</v>
      </c>
      <c r="D19" s="51">
        <v>0</v>
      </c>
      <c r="E19" s="51">
        <v>200</v>
      </c>
      <c r="F19" s="201">
        <f>Demanda!J12/1000</f>
        <v>804.25300000000004</v>
      </c>
      <c r="G19" s="201">
        <f>Demanda!K12/1000</f>
        <v>774.84699999999998</v>
      </c>
      <c r="H19" s="201">
        <f>Demanda!L12/1000</f>
        <v>748.61</v>
      </c>
      <c r="I19" s="201">
        <f>Demanda!M12/1000</f>
        <v>721.43787060687828</v>
      </c>
      <c r="J19" s="201">
        <f>Demanda!N12/1000</f>
        <v>708.07687837313074</v>
      </c>
      <c r="K19" s="201">
        <f>Demanda!O12/1000</f>
        <v>706.82757085520393</v>
      </c>
      <c r="M19" s="61" t="s">
        <v>17</v>
      </c>
      <c r="O19" s="55">
        <f t="shared" ref="O19:S24" si="12">G19</f>
        <v>774.84699999999998</v>
      </c>
      <c r="P19" s="55">
        <f t="shared" si="12"/>
        <v>748.61</v>
      </c>
      <c r="Q19" s="55">
        <f t="shared" si="12"/>
        <v>721.43787060687828</v>
      </c>
      <c r="R19" s="55">
        <f t="shared" si="12"/>
        <v>708.07687837313074</v>
      </c>
      <c r="S19" s="55">
        <f t="shared" si="12"/>
        <v>706.82757085520393</v>
      </c>
      <c r="U19" s="61" t="str">
        <f t="shared" ref="U19:U24" si="13">B19</f>
        <v>Comercial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D19" s="58">
        <f>NPV(Inputs!$C$6,Mercado!G19:J19)+(Mercado!K19*Inputs!$C$11)/(1+Inputs!$C$6)^(4.55)</f>
        <v>2667.6746434728266</v>
      </c>
    </row>
    <row r="20" spans="1:30">
      <c r="A20" s="192" t="s">
        <v>4765</v>
      </c>
      <c r="B20" s="61" t="s">
        <v>17</v>
      </c>
      <c r="C20" s="123">
        <v>2</v>
      </c>
      <c r="D20" s="51">
        <v>201</v>
      </c>
      <c r="E20" s="51">
        <v>500</v>
      </c>
      <c r="F20" s="201">
        <f>Demanda!J13/1000</f>
        <v>1298.933</v>
      </c>
      <c r="G20" s="201">
        <f>Demanda!K13/1000</f>
        <v>1263.2529999999999</v>
      </c>
      <c r="H20" s="201">
        <f>Demanda!L13/1000</f>
        <v>1239.5930000000001</v>
      </c>
      <c r="I20" s="201">
        <f>Demanda!M13/1000</f>
        <v>1165.1799341513231</v>
      </c>
      <c r="J20" s="201">
        <f>Demanda!N13/1000</f>
        <v>1143.6008617385894</v>
      </c>
      <c r="K20" s="201">
        <f>Demanda!O13/1000</f>
        <v>1141.5831300519399</v>
      </c>
      <c r="M20" s="61" t="s">
        <v>17</v>
      </c>
      <c r="O20" s="55">
        <f t="shared" si="12"/>
        <v>1263.2529999999999</v>
      </c>
      <c r="P20" s="55">
        <f t="shared" si="12"/>
        <v>1239.5930000000001</v>
      </c>
      <c r="Q20" s="55">
        <f t="shared" si="12"/>
        <v>1165.1799341513231</v>
      </c>
      <c r="R20" s="55">
        <f t="shared" si="12"/>
        <v>1143.6008617385894</v>
      </c>
      <c r="S20" s="55">
        <f t="shared" si="12"/>
        <v>1141.5831300519399</v>
      </c>
      <c r="U20" s="61" t="str">
        <f t="shared" si="13"/>
        <v>Comercial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D20" s="58">
        <f>NPV(Inputs!$C$6,Mercado!G20:J20)+(Mercado!K20*Inputs!$C$11)/(1+Inputs!$C$6)^(4.55)</f>
        <v>4345.086275925587</v>
      </c>
    </row>
    <row r="21" spans="1:30">
      <c r="A21" s="192" t="s">
        <v>4766</v>
      </c>
      <c r="B21" s="61" t="s">
        <v>17</v>
      </c>
      <c r="C21" s="123">
        <v>3</v>
      </c>
      <c r="D21" s="51">
        <v>501</v>
      </c>
      <c r="E21" s="51">
        <v>2000</v>
      </c>
      <c r="F21" s="201">
        <f>Demanda!J14/1000</f>
        <v>1916.7260000000001</v>
      </c>
      <c r="G21" s="201">
        <f>Demanda!K14/1000</f>
        <v>1912.0229999999999</v>
      </c>
      <c r="H21" s="201">
        <f>Demanda!L14/1000</f>
        <v>1954.682</v>
      </c>
      <c r="I21" s="201">
        <f>Demanda!M14/1000</f>
        <v>1719.3578687015645</v>
      </c>
      <c r="J21" s="201">
        <f>Demanda!N14/1000</f>
        <v>1687.5154494625663</v>
      </c>
      <c r="K21" s="201">
        <f>Demanda!O14/1000</f>
        <v>1684.5380527955899</v>
      </c>
      <c r="M21" s="61" t="s">
        <v>17</v>
      </c>
      <c r="O21" s="55">
        <f t="shared" si="12"/>
        <v>1912.0229999999999</v>
      </c>
      <c r="P21" s="55">
        <f t="shared" si="12"/>
        <v>1954.682</v>
      </c>
      <c r="Q21" s="55">
        <f t="shared" si="12"/>
        <v>1719.3578687015645</v>
      </c>
      <c r="R21" s="55">
        <f t="shared" si="12"/>
        <v>1687.5154494625663</v>
      </c>
      <c r="S21" s="55">
        <f t="shared" si="12"/>
        <v>1684.5380527955899</v>
      </c>
      <c r="U21" s="61" t="str">
        <f t="shared" si="13"/>
        <v>Comercial</v>
      </c>
      <c r="W21" s="55">
        <v>0</v>
      </c>
      <c r="X21" s="55">
        <v>0</v>
      </c>
      <c r="Y21" s="55">
        <v>0</v>
      </c>
      <c r="Z21" s="55">
        <v>0</v>
      </c>
      <c r="AA21" s="55">
        <v>0</v>
      </c>
      <c r="AD21" s="58">
        <f>NPV(Inputs!$C$6,Mercado!G21:J21)+(Mercado!K21*Inputs!$C$11)/(1+Inputs!$C$6)^(4.55)</f>
        <v>6561.5002345242938</v>
      </c>
    </row>
    <row r="22" spans="1:30">
      <c r="A22" s="192" t="s">
        <v>4767</v>
      </c>
      <c r="B22" s="61" t="s">
        <v>17</v>
      </c>
      <c r="C22" s="123">
        <v>4</v>
      </c>
      <c r="D22" s="51">
        <v>2001</v>
      </c>
      <c r="E22" s="51">
        <v>20000</v>
      </c>
      <c r="F22" s="201">
        <f>Demanda!J15/1000</f>
        <v>896.44100000000003</v>
      </c>
      <c r="G22" s="201">
        <f>Demanda!K15/1000</f>
        <v>655.87</v>
      </c>
      <c r="H22" s="201">
        <f>Demanda!L15/1000</f>
        <v>580.70281000000057</v>
      </c>
      <c r="I22" s="201">
        <f>Demanda!M15/1000</f>
        <v>804.13313492731822</v>
      </c>
      <c r="J22" s="201">
        <f>Demanda!N15/1000</f>
        <v>789.24063065439316</v>
      </c>
      <c r="K22" s="201">
        <f>Demanda!O15/1000</f>
        <v>787.84812048573008</v>
      </c>
      <c r="M22" s="61" t="s">
        <v>17</v>
      </c>
      <c r="O22" s="55">
        <f t="shared" si="12"/>
        <v>655.87</v>
      </c>
      <c r="P22" s="55">
        <f t="shared" si="12"/>
        <v>580.70281000000057</v>
      </c>
      <c r="Q22" s="55">
        <f t="shared" si="12"/>
        <v>804.13313492731822</v>
      </c>
      <c r="R22" s="55">
        <f t="shared" si="12"/>
        <v>789.24063065439316</v>
      </c>
      <c r="S22" s="55">
        <f t="shared" si="12"/>
        <v>787.84812048573008</v>
      </c>
      <c r="U22" s="61" t="str">
        <f t="shared" si="13"/>
        <v>Comercial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  <c r="AD22" s="58">
        <f>NPV(Inputs!$C$6,Mercado!G22:J22)+(Mercado!K22*Inputs!$C$11)/(1+Inputs!$C$6)^(4.55)</f>
        <v>2568.8190993103499</v>
      </c>
    </row>
    <row r="23" spans="1:30">
      <c r="A23" s="192" t="s">
        <v>4768</v>
      </c>
      <c r="B23" s="61" t="s">
        <v>17</v>
      </c>
      <c r="C23" s="123">
        <v>5</v>
      </c>
      <c r="D23" s="51">
        <v>20001</v>
      </c>
      <c r="E23" s="51">
        <v>50000</v>
      </c>
      <c r="F23" s="201">
        <f>Demanda!J16/1000</f>
        <v>257.286</v>
      </c>
      <c r="G23" s="201">
        <f>Demanda!K16/1000</f>
        <v>111.467</v>
      </c>
      <c r="H23" s="201">
        <f>Demanda!L16/1000</f>
        <v>224.59299999999999</v>
      </c>
      <c r="I23" s="201">
        <f>Demanda!M16/1000</f>
        <v>230.79287733705843</v>
      </c>
      <c r="J23" s="201">
        <f>Demanda!N16/1000</f>
        <v>226.51860512688083</v>
      </c>
      <c r="K23" s="201">
        <f>Demanda!O16/1000</f>
        <v>226.11894316222879</v>
      </c>
      <c r="M23" s="61" t="s">
        <v>17</v>
      </c>
      <c r="O23" s="55">
        <f t="shared" si="12"/>
        <v>111.467</v>
      </c>
      <c r="P23" s="55">
        <f t="shared" si="12"/>
        <v>224.59299999999999</v>
      </c>
      <c r="Q23" s="55">
        <f t="shared" si="12"/>
        <v>230.79287733705843</v>
      </c>
      <c r="R23" s="55">
        <f t="shared" si="12"/>
        <v>226.51860512688083</v>
      </c>
      <c r="S23" s="55">
        <f t="shared" si="12"/>
        <v>226.11894316222879</v>
      </c>
      <c r="U23" s="61" t="str">
        <f t="shared" si="13"/>
        <v>Comercial</v>
      </c>
      <c r="W23" s="55">
        <v>0</v>
      </c>
      <c r="X23" s="55">
        <v>0</v>
      </c>
      <c r="Y23" s="55">
        <v>0</v>
      </c>
      <c r="Z23" s="55">
        <v>0</v>
      </c>
      <c r="AA23" s="55">
        <v>0</v>
      </c>
      <c r="AD23" s="58">
        <f>NPV(Inputs!$C$6,Mercado!G23:J23)+(Mercado!K23*Inputs!$C$11)/(1+Inputs!$C$6)^(4.55)</f>
        <v>715.61379071994065</v>
      </c>
    </row>
    <row r="24" spans="1:30">
      <c r="A24" s="192" t="s">
        <v>4769</v>
      </c>
      <c r="B24" s="61" t="s">
        <v>17</v>
      </c>
      <c r="C24" s="123">
        <v>6</v>
      </c>
      <c r="D24" s="51">
        <v>50001</v>
      </c>
      <c r="E24" s="51">
        <v>999999999</v>
      </c>
      <c r="F24" s="201">
        <f>Demanda!J17/1000</f>
        <v>0</v>
      </c>
      <c r="G24" s="201">
        <f>Demanda!K17/1000</f>
        <v>0</v>
      </c>
      <c r="H24" s="201">
        <f>Demanda!L17/1000</f>
        <v>0</v>
      </c>
      <c r="I24" s="201">
        <f>Demanda!M17/1000</f>
        <v>0</v>
      </c>
      <c r="J24" s="201">
        <f>Demanda!N17/1000</f>
        <v>0</v>
      </c>
      <c r="K24" s="201">
        <f>Demanda!O17/1000</f>
        <v>0</v>
      </c>
      <c r="M24" s="61" t="s">
        <v>17</v>
      </c>
      <c r="O24" s="55">
        <f t="shared" si="12"/>
        <v>0</v>
      </c>
      <c r="P24" s="55">
        <f t="shared" si="12"/>
        <v>0</v>
      </c>
      <c r="Q24" s="55">
        <f t="shared" si="12"/>
        <v>0</v>
      </c>
      <c r="R24" s="55">
        <f t="shared" si="12"/>
        <v>0</v>
      </c>
      <c r="S24" s="55">
        <f t="shared" si="12"/>
        <v>0</v>
      </c>
      <c r="U24" s="61" t="str">
        <f t="shared" si="13"/>
        <v>Comercial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D24" s="58">
        <f>NPV(Inputs!$C$6,Mercado!G24:J24)+(Mercado!K24*Inputs!$C$11)/(1+Inputs!$C$6)^(4.55)</f>
        <v>0</v>
      </c>
    </row>
    <row r="25" spans="1:30" ht="13.9" customHeight="1">
      <c r="B25" s="197"/>
      <c r="C25" s="202"/>
      <c r="D25" s="203"/>
      <c r="E25" s="203"/>
      <c r="F25" s="200">
        <f>SUM(F26:F34)</f>
        <v>141.72999999999999</v>
      </c>
      <c r="G25" s="200">
        <f t="shared" ref="G25:K25" si="14">SUM(G26:G34)</f>
        <v>158.33500000000001</v>
      </c>
      <c r="H25" s="200">
        <f t="shared" si="14"/>
        <v>178.55099999999999</v>
      </c>
      <c r="I25" s="200">
        <f t="shared" si="14"/>
        <v>167.02649240901115</v>
      </c>
      <c r="J25" s="200">
        <f t="shared" si="14"/>
        <v>163.93317036586745</v>
      </c>
      <c r="K25" s="200">
        <f t="shared" si="14"/>
        <v>163.64393208054707</v>
      </c>
      <c r="L25" s="50">
        <v>2</v>
      </c>
      <c r="M25" s="197"/>
      <c r="O25" s="200">
        <f>SUM(O26:O34)</f>
        <v>158.33500000000001</v>
      </c>
      <c r="P25" s="200">
        <f t="shared" ref="P25:S25" si="15">SUM(P26:P34)</f>
        <v>178.55099999999999</v>
      </c>
      <c r="Q25" s="200">
        <f t="shared" si="15"/>
        <v>167.02649240901115</v>
      </c>
      <c r="R25" s="200">
        <f t="shared" si="15"/>
        <v>163.93317036586745</v>
      </c>
      <c r="S25" s="200">
        <f t="shared" si="15"/>
        <v>163.64393208054707</v>
      </c>
      <c r="U25" s="197"/>
      <c r="W25" s="200">
        <f>SUM(W26:W34)</f>
        <v>0</v>
      </c>
      <c r="X25" s="200">
        <f t="shared" ref="X25:AA25" si="16">SUM(X26:X34)</f>
        <v>0</v>
      </c>
      <c r="Y25" s="200">
        <f t="shared" si="16"/>
        <v>0</v>
      </c>
      <c r="Z25" s="200">
        <f t="shared" si="16"/>
        <v>0</v>
      </c>
      <c r="AA25" s="200">
        <f t="shared" si="16"/>
        <v>0</v>
      </c>
      <c r="AD25" s="58">
        <f>NPV(Inputs!$C$6,Mercado!G25:J25)+(Mercado!K25*Inputs!$C$11)/(1+Inputs!$C$6)^(4.55)</f>
        <v>602.69631591790289</v>
      </c>
    </row>
    <row r="26" spans="1:30" ht="13.9" customHeight="1">
      <c r="A26" s="192" t="s">
        <v>4770</v>
      </c>
      <c r="B26" s="61" t="s">
        <v>103</v>
      </c>
      <c r="C26" s="123">
        <v>1</v>
      </c>
      <c r="D26" s="51">
        <v>0</v>
      </c>
      <c r="E26" s="70">
        <v>200</v>
      </c>
      <c r="F26" s="201">
        <f>Demanda!J18/1000</f>
        <v>84.063999999999993</v>
      </c>
      <c r="G26" s="201">
        <f>Demanda!K18/1000</f>
        <v>79.158000000000001</v>
      </c>
      <c r="H26" s="201">
        <f>Demanda!L18/1000</f>
        <v>94.632000000000005</v>
      </c>
      <c r="I26" s="201">
        <f>Demanda!M18/1000</f>
        <v>99.068052338044964</v>
      </c>
      <c r="J26" s="201">
        <f>Demanda!N18/1000</f>
        <v>97.233317107431603</v>
      </c>
      <c r="K26" s="201">
        <f>Demanda!O18/1000</f>
        <v>97.061761845897891</v>
      </c>
      <c r="M26" s="61" t="str">
        <f>B26</f>
        <v>Climatização</v>
      </c>
      <c r="O26" s="55">
        <f t="shared" ref="O26:S34" si="17">G26</f>
        <v>79.158000000000001</v>
      </c>
      <c r="P26" s="55">
        <f t="shared" si="17"/>
        <v>94.632000000000005</v>
      </c>
      <c r="Q26" s="55">
        <f t="shared" si="17"/>
        <v>99.068052338044964</v>
      </c>
      <c r="R26" s="55">
        <f t="shared" si="17"/>
        <v>97.233317107431603</v>
      </c>
      <c r="S26" s="55">
        <f t="shared" si="17"/>
        <v>97.061761845897891</v>
      </c>
      <c r="U26" s="61" t="str">
        <f t="shared" ref="U26:U34" si="18">B26</f>
        <v>Climatização</v>
      </c>
      <c r="W26" s="55">
        <v>0</v>
      </c>
      <c r="X26" s="55">
        <v>0</v>
      </c>
      <c r="Y26" s="55">
        <v>0</v>
      </c>
      <c r="Z26" s="55">
        <v>0</v>
      </c>
      <c r="AA26" s="55">
        <v>0</v>
      </c>
      <c r="AD26" s="58">
        <f>NPV(Inputs!$C$6,Mercado!G26:J26)+(Mercado!K26*Inputs!$C$11)/(1+Inputs!$C$6)^(4.55)</f>
        <v>334.42840492748195</v>
      </c>
    </row>
    <row r="27" spans="1:30" ht="13.9" customHeight="1">
      <c r="A27" s="192" t="s">
        <v>4771</v>
      </c>
      <c r="B27" s="61" t="s">
        <v>103</v>
      </c>
      <c r="C27" s="123">
        <v>2</v>
      </c>
      <c r="D27" s="51">
        <v>201</v>
      </c>
      <c r="E27" s="70">
        <v>5000</v>
      </c>
      <c r="F27" s="201">
        <f>Demanda!J19/1000</f>
        <v>57.665999999999997</v>
      </c>
      <c r="G27" s="201">
        <f>Demanda!K19/1000</f>
        <v>79.177000000000007</v>
      </c>
      <c r="H27" s="201">
        <f>Demanda!L19/1000</f>
        <v>83.918999999999997</v>
      </c>
      <c r="I27" s="201">
        <f>Demanda!M19/1000</f>
        <v>67.958440070966176</v>
      </c>
      <c r="J27" s="201">
        <f>Demanda!N19/1000</f>
        <v>66.699853258435837</v>
      </c>
      <c r="K27" s="201">
        <f>Demanda!O19/1000</f>
        <v>66.582170234649169</v>
      </c>
      <c r="M27" s="61" t="str">
        <f t="shared" ref="M27:M34" si="19">B27</f>
        <v>Climatização</v>
      </c>
      <c r="O27" s="55">
        <f t="shared" si="17"/>
        <v>79.177000000000007</v>
      </c>
      <c r="P27" s="55">
        <f t="shared" si="17"/>
        <v>83.918999999999997</v>
      </c>
      <c r="Q27" s="55">
        <f t="shared" si="17"/>
        <v>67.958440070966176</v>
      </c>
      <c r="R27" s="55">
        <f t="shared" si="17"/>
        <v>66.699853258435837</v>
      </c>
      <c r="S27" s="55">
        <f t="shared" si="17"/>
        <v>66.582170234649169</v>
      </c>
      <c r="U27" s="61" t="str">
        <f t="shared" si="18"/>
        <v>Climatização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D27" s="58">
        <f>NPV(Inputs!$C$6,Mercado!G27:J27)+(Mercado!K27*Inputs!$C$11)/(1+Inputs!$C$6)^(4.55)</f>
        <v>268.26791099042083</v>
      </c>
    </row>
    <row r="28" spans="1:30" ht="13.9" customHeight="1">
      <c r="A28" s="192" t="s">
        <v>4772</v>
      </c>
      <c r="B28" s="61" t="s">
        <v>103</v>
      </c>
      <c r="C28" s="123">
        <v>3</v>
      </c>
      <c r="D28" s="70">
        <v>5001</v>
      </c>
      <c r="E28" s="70">
        <v>20000</v>
      </c>
      <c r="F28" s="201">
        <f>Demanda!J20/1000</f>
        <v>0</v>
      </c>
      <c r="G28" s="201">
        <f>Demanda!K20/1000</f>
        <v>0</v>
      </c>
      <c r="H28" s="201">
        <f>Demanda!L20/1000</f>
        <v>0</v>
      </c>
      <c r="I28" s="201">
        <f>Demanda!M20/1000</f>
        <v>0</v>
      </c>
      <c r="J28" s="201">
        <f>Demanda!N20/1000</f>
        <v>0</v>
      </c>
      <c r="K28" s="201">
        <f>Demanda!O20/1000</f>
        <v>0</v>
      </c>
      <c r="M28" s="61" t="str">
        <f t="shared" si="19"/>
        <v>Climatização</v>
      </c>
      <c r="O28" s="55">
        <f t="shared" si="17"/>
        <v>0</v>
      </c>
      <c r="P28" s="55">
        <f t="shared" si="17"/>
        <v>0</v>
      </c>
      <c r="Q28" s="55">
        <f t="shared" si="17"/>
        <v>0</v>
      </c>
      <c r="R28" s="55">
        <f t="shared" si="17"/>
        <v>0</v>
      </c>
      <c r="S28" s="55">
        <f t="shared" si="17"/>
        <v>0</v>
      </c>
      <c r="U28" s="61" t="str">
        <f t="shared" si="18"/>
        <v>Climatização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D28" s="58">
        <f>NPV(Inputs!$C$6,Mercado!G28:J28)+(Mercado!K28*Inputs!$C$11)/(1+Inputs!$C$6)^(4.55)</f>
        <v>0</v>
      </c>
    </row>
    <row r="29" spans="1:30" ht="13.9" customHeight="1">
      <c r="A29" s="192" t="s">
        <v>4773</v>
      </c>
      <c r="B29" s="61" t="s">
        <v>103</v>
      </c>
      <c r="C29" s="123">
        <v>4</v>
      </c>
      <c r="D29" s="70">
        <v>20001</v>
      </c>
      <c r="E29" s="70">
        <v>70000</v>
      </c>
      <c r="F29" s="201">
        <f>Demanda!J21/1000</f>
        <v>0</v>
      </c>
      <c r="G29" s="201">
        <f>Demanda!K21/1000</f>
        <v>0</v>
      </c>
      <c r="H29" s="201">
        <f>Demanda!L21/1000</f>
        <v>0</v>
      </c>
      <c r="I29" s="201">
        <f>Demanda!M21/1000</f>
        <v>0</v>
      </c>
      <c r="J29" s="201">
        <f>Demanda!N21/1000</f>
        <v>0</v>
      </c>
      <c r="K29" s="201">
        <f>Demanda!O21/1000</f>
        <v>0</v>
      </c>
      <c r="M29" s="61" t="str">
        <f t="shared" si="19"/>
        <v>Climatização</v>
      </c>
      <c r="O29" s="55">
        <f t="shared" si="17"/>
        <v>0</v>
      </c>
      <c r="P29" s="55">
        <f t="shared" si="17"/>
        <v>0</v>
      </c>
      <c r="Q29" s="55">
        <f t="shared" si="17"/>
        <v>0</v>
      </c>
      <c r="R29" s="55">
        <f t="shared" si="17"/>
        <v>0</v>
      </c>
      <c r="S29" s="55">
        <f t="shared" si="17"/>
        <v>0</v>
      </c>
      <c r="U29" s="61" t="str">
        <f t="shared" si="18"/>
        <v>Climatização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D29" s="58">
        <f>NPV(Inputs!$C$6,Mercado!G29:J29)+(Mercado!K29*Inputs!$C$11)/(1+Inputs!$C$6)^(4.55)</f>
        <v>0</v>
      </c>
    </row>
    <row r="30" spans="1:30" ht="13.9" customHeight="1">
      <c r="A30" s="192" t="s">
        <v>4774</v>
      </c>
      <c r="B30" s="61" t="s">
        <v>103</v>
      </c>
      <c r="C30" s="123">
        <v>5</v>
      </c>
      <c r="D30" s="70">
        <v>70001</v>
      </c>
      <c r="E30" s="70">
        <v>120000</v>
      </c>
      <c r="F30" s="201">
        <f>Demanda!J22/1000</f>
        <v>0</v>
      </c>
      <c r="G30" s="201">
        <f>Demanda!K22/1000</f>
        <v>0</v>
      </c>
      <c r="H30" s="201">
        <f>Demanda!L22/1000</f>
        <v>0</v>
      </c>
      <c r="I30" s="201">
        <f>Demanda!M22/1000</f>
        <v>0</v>
      </c>
      <c r="J30" s="201">
        <f>Demanda!N22/1000</f>
        <v>0</v>
      </c>
      <c r="K30" s="201">
        <f>Demanda!O22/1000</f>
        <v>0</v>
      </c>
      <c r="M30" s="61" t="str">
        <f t="shared" si="19"/>
        <v>Climatização</v>
      </c>
      <c r="O30" s="55">
        <f t="shared" si="17"/>
        <v>0</v>
      </c>
      <c r="P30" s="55">
        <f t="shared" si="17"/>
        <v>0</v>
      </c>
      <c r="Q30" s="55">
        <f t="shared" si="17"/>
        <v>0</v>
      </c>
      <c r="R30" s="55">
        <f t="shared" si="17"/>
        <v>0</v>
      </c>
      <c r="S30" s="55">
        <f t="shared" si="17"/>
        <v>0</v>
      </c>
      <c r="U30" s="61" t="str">
        <f t="shared" si="18"/>
        <v>Climatização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  <c r="AD30" s="58">
        <f>NPV(Inputs!$C$6,Mercado!G30:J30)+(Mercado!K30*Inputs!$C$11)/(1+Inputs!$C$6)^(4.55)</f>
        <v>0</v>
      </c>
    </row>
    <row r="31" spans="1:30" ht="13.9" customHeight="1">
      <c r="A31" s="192" t="s">
        <v>4775</v>
      </c>
      <c r="B31" s="61" t="s">
        <v>103</v>
      </c>
      <c r="C31" s="123">
        <v>6</v>
      </c>
      <c r="D31" s="70">
        <v>120001</v>
      </c>
      <c r="E31" s="70">
        <v>300000</v>
      </c>
      <c r="F31" s="201">
        <f>Demanda!J23/1000</f>
        <v>0</v>
      </c>
      <c r="G31" s="201">
        <f>Demanda!K23/1000</f>
        <v>0</v>
      </c>
      <c r="H31" s="201">
        <f>Demanda!L23/1000</f>
        <v>0</v>
      </c>
      <c r="I31" s="201">
        <f>Demanda!M23/1000</f>
        <v>0</v>
      </c>
      <c r="J31" s="201">
        <f>Demanda!N23/1000</f>
        <v>0</v>
      </c>
      <c r="K31" s="201">
        <f>Demanda!O23/1000</f>
        <v>0</v>
      </c>
      <c r="M31" s="61" t="str">
        <f t="shared" si="19"/>
        <v>Climatização</v>
      </c>
      <c r="O31" s="55">
        <f t="shared" si="17"/>
        <v>0</v>
      </c>
      <c r="P31" s="55">
        <f t="shared" si="17"/>
        <v>0</v>
      </c>
      <c r="Q31" s="55">
        <f t="shared" si="17"/>
        <v>0</v>
      </c>
      <c r="R31" s="55">
        <f t="shared" si="17"/>
        <v>0</v>
      </c>
      <c r="S31" s="55">
        <f t="shared" si="17"/>
        <v>0</v>
      </c>
      <c r="U31" s="61" t="str">
        <f t="shared" si="18"/>
        <v>Climatização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  <c r="AD31" s="58">
        <f>NPV(Inputs!$C$6,Mercado!G31:J31)+(Mercado!K31*Inputs!$C$11)/(1+Inputs!$C$6)^(4.55)</f>
        <v>0</v>
      </c>
    </row>
    <row r="32" spans="1:30" ht="13.9" customHeight="1">
      <c r="A32" s="192" t="s">
        <v>4776</v>
      </c>
      <c r="B32" s="61" t="s">
        <v>103</v>
      </c>
      <c r="C32" s="123">
        <v>7</v>
      </c>
      <c r="D32" s="70">
        <v>300001</v>
      </c>
      <c r="E32" s="70">
        <v>600000</v>
      </c>
      <c r="F32" s="201">
        <f>Demanda!J24/1000</f>
        <v>0</v>
      </c>
      <c r="G32" s="201">
        <f>Demanda!K24/1000</f>
        <v>0</v>
      </c>
      <c r="H32" s="201">
        <f>Demanda!L24/1000</f>
        <v>0</v>
      </c>
      <c r="I32" s="201">
        <f>Demanda!M24/1000</f>
        <v>0</v>
      </c>
      <c r="J32" s="201">
        <f>Demanda!N24/1000</f>
        <v>0</v>
      </c>
      <c r="K32" s="201">
        <f>Demanda!O24/1000</f>
        <v>0</v>
      </c>
      <c r="M32" s="61" t="str">
        <f t="shared" si="19"/>
        <v>Climatização</v>
      </c>
      <c r="O32" s="55">
        <f t="shared" si="17"/>
        <v>0</v>
      </c>
      <c r="P32" s="55">
        <f t="shared" si="17"/>
        <v>0</v>
      </c>
      <c r="Q32" s="55">
        <f t="shared" si="17"/>
        <v>0</v>
      </c>
      <c r="R32" s="55">
        <f t="shared" si="17"/>
        <v>0</v>
      </c>
      <c r="S32" s="55">
        <f t="shared" si="17"/>
        <v>0</v>
      </c>
      <c r="U32" s="61" t="str">
        <f t="shared" si="18"/>
        <v>Climatização</v>
      </c>
      <c r="W32" s="55">
        <v>0</v>
      </c>
      <c r="X32" s="55">
        <v>0</v>
      </c>
      <c r="Y32" s="55">
        <v>0</v>
      </c>
      <c r="Z32" s="55">
        <v>0</v>
      </c>
      <c r="AA32" s="55">
        <v>0</v>
      </c>
      <c r="AD32" s="58">
        <f>NPV(Inputs!$C$6,Mercado!G32:J32)+(Mercado!K32*Inputs!$C$11)/(1+Inputs!$C$6)^(4.55)</f>
        <v>0</v>
      </c>
    </row>
    <row r="33" spans="1:30" ht="13.9" customHeight="1">
      <c r="A33" s="192" t="s">
        <v>4777</v>
      </c>
      <c r="B33" s="61" t="s">
        <v>103</v>
      </c>
      <c r="C33" s="123">
        <v>8</v>
      </c>
      <c r="D33" s="70">
        <v>600001</v>
      </c>
      <c r="E33" s="70">
        <v>1500000</v>
      </c>
      <c r="F33" s="201">
        <f>Demanda!J25/1000</f>
        <v>0</v>
      </c>
      <c r="G33" s="201">
        <f>Demanda!K25/1000</f>
        <v>0</v>
      </c>
      <c r="H33" s="201">
        <f>Demanda!L25/1000</f>
        <v>0</v>
      </c>
      <c r="I33" s="201">
        <f>Demanda!M25/1000</f>
        <v>0</v>
      </c>
      <c r="J33" s="201">
        <f>Demanda!N25/1000</f>
        <v>0</v>
      </c>
      <c r="K33" s="201">
        <f>Demanda!O25/1000</f>
        <v>0</v>
      </c>
      <c r="M33" s="61" t="str">
        <f t="shared" si="19"/>
        <v>Climatização</v>
      </c>
      <c r="O33" s="55">
        <f t="shared" si="17"/>
        <v>0</v>
      </c>
      <c r="P33" s="55">
        <f t="shared" si="17"/>
        <v>0</v>
      </c>
      <c r="Q33" s="55">
        <f t="shared" si="17"/>
        <v>0</v>
      </c>
      <c r="R33" s="55">
        <f t="shared" si="17"/>
        <v>0</v>
      </c>
      <c r="S33" s="55">
        <f t="shared" si="17"/>
        <v>0</v>
      </c>
      <c r="U33" s="61" t="str">
        <f t="shared" si="18"/>
        <v>Climatização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  <c r="AD33" s="58">
        <f>NPV(Inputs!$C$6,Mercado!G33:J33)+(Mercado!K33*Inputs!$C$11)/(1+Inputs!$C$6)^(4.55)</f>
        <v>0</v>
      </c>
    </row>
    <row r="34" spans="1:30" ht="13.9" customHeight="1">
      <c r="A34" s="192" t="s">
        <v>4778</v>
      </c>
      <c r="B34" s="61" t="s">
        <v>103</v>
      </c>
      <c r="C34" s="123">
        <v>9</v>
      </c>
      <c r="D34" s="70">
        <v>1500001</v>
      </c>
      <c r="E34" s="51">
        <v>999999999</v>
      </c>
      <c r="F34" s="201">
        <f>Demanda!J26/1000</f>
        <v>0</v>
      </c>
      <c r="G34" s="201">
        <f>Demanda!K26/1000</f>
        <v>0</v>
      </c>
      <c r="H34" s="201">
        <f>Demanda!L26/1000</f>
        <v>0</v>
      </c>
      <c r="I34" s="201">
        <f>Demanda!M26/1000</f>
        <v>0</v>
      </c>
      <c r="J34" s="201">
        <f>Demanda!N26/1000</f>
        <v>0</v>
      </c>
      <c r="K34" s="201">
        <f>Demanda!O26/1000</f>
        <v>0</v>
      </c>
      <c r="M34" s="61" t="str">
        <f t="shared" si="19"/>
        <v>Climatização</v>
      </c>
      <c r="O34" s="55">
        <f t="shared" si="17"/>
        <v>0</v>
      </c>
      <c r="P34" s="55">
        <f t="shared" si="17"/>
        <v>0</v>
      </c>
      <c r="Q34" s="55">
        <f t="shared" si="17"/>
        <v>0</v>
      </c>
      <c r="R34" s="55">
        <f t="shared" si="17"/>
        <v>0</v>
      </c>
      <c r="S34" s="55">
        <f t="shared" si="17"/>
        <v>0</v>
      </c>
      <c r="U34" s="61" t="str">
        <f t="shared" si="18"/>
        <v>Climatização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D34" s="58">
        <f>NPV(Inputs!$C$6,Mercado!G34:J34)+(Mercado!K34*Inputs!$C$11)/(1+Inputs!$C$6)^(4.55)</f>
        <v>0</v>
      </c>
    </row>
    <row r="35" spans="1:30" ht="13.9" customHeight="1">
      <c r="B35" s="197"/>
      <c r="C35" s="202"/>
      <c r="D35" s="203"/>
      <c r="E35" s="203"/>
      <c r="F35" s="200">
        <f>SUM(F36:F44)</f>
        <v>14.701000000000001</v>
      </c>
      <c r="G35" s="200">
        <f t="shared" ref="G35:J35" si="20">SUM(G36:G44)</f>
        <v>3.0000000000000001E-3</v>
      </c>
      <c r="H35" s="200">
        <f t="shared" si="20"/>
        <v>0</v>
      </c>
      <c r="I35" s="200">
        <f t="shared" si="20"/>
        <v>0</v>
      </c>
      <c r="J35" s="200">
        <f t="shared" si="20"/>
        <v>0</v>
      </c>
      <c r="K35" s="200">
        <f>SUM(K36:K44)</f>
        <v>0</v>
      </c>
      <c r="L35" s="50">
        <v>3</v>
      </c>
      <c r="M35" s="197"/>
      <c r="O35" s="200">
        <f>SUM(O36:O44)</f>
        <v>3.0000000000000001E-3</v>
      </c>
      <c r="P35" s="200">
        <f t="shared" ref="P35:S35" si="21">SUM(P36:P44)</f>
        <v>0</v>
      </c>
      <c r="Q35" s="200">
        <f t="shared" si="21"/>
        <v>0</v>
      </c>
      <c r="R35" s="200">
        <f t="shared" si="21"/>
        <v>0</v>
      </c>
      <c r="S35" s="200">
        <f t="shared" si="21"/>
        <v>0</v>
      </c>
      <c r="U35" s="197"/>
      <c r="W35" s="200">
        <f>SUM(W36:W44)</f>
        <v>0</v>
      </c>
      <c r="X35" s="200">
        <f t="shared" ref="X35:AA35" si="22">SUM(X36:X44)</f>
        <v>0</v>
      </c>
      <c r="Y35" s="200">
        <f t="shared" si="22"/>
        <v>0</v>
      </c>
      <c r="Z35" s="200">
        <f t="shared" si="22"/>
        <v>0</v>
      </c>
      <c r="AA35" s="200">
        <f t="shared" si="22"/>
        <v>0</v>
      </c>
      <c r="AD35" s="58">
        <f>NPV(Inputs!$C$6,Mercado!G35:J35)+(Mercado!K35*Inputs!$C$11)/(1+Inputs!$C$6)^(4.55)</f>
        <v>2.7543150936467134E-3</v>
      </c>
    </row>
    <row r="36" spans="1:30" ht="13.9" customHeight="1">
      <c r="A36" s="192" t="s">
        <v>4779</v>
      </c>
      <c r="B36" s="61" t="s">
        <v>105</v>
      </c>
      <c r="C36" s="123">
        <v>1</v>
      </c>
      <c r="D36" s="51">
        <v>0</v>
      </c>
      <c r="E36" s="70">
        <v>200</v>
      </c>
      <c r="F36" s="201">
        <f>Demanda!J27/1000</f>
        <v>0.436</v>
      </c>
      <c r="G36" s="201">
        <f>Demanda!K27/1000</f>
        <v>3.0000000000000001E-3</v>
      </c>
      <c r="H36" s="201">
        <f>Demanda!L27/1000</f>
        <v>0</v>
      </c>
      <c r="I36" s="201">
        <f>Demanda!M27/1000</f>
        <v>0</v>
      </c>
      <c r="J36" s="201">
        <f>Demanda!N27/1000</f>
        <v>0</v>
      </c>
      <c r="K36" s="201">
        <f>Demanda!O27/1000</f>
        <v>0</v>
      </c>
      <c r="M36" s="61" t="str">
        <f>B36</f>
        <v>Cogeração</v>
      </c>
      <c r="O36" s="55">
        <f t="shared" ref="O36:S44" si="23">G36</f>
        <v>3.0000000000000001E-3</v>
      </c>
      <c r="P36" s="55">
        <f t="shared" si="23"/>
        <v>0</v>
      </c>
      <c r="Q36" s="55">
        <f t="shared" si="23"/>
        <v>0</v>
      </c>
      <c r="R36" s="55">
        <f t="shared" si="23"/>
        <v>0</v>
      </c>
      <c r="S36" s="55">
        <f t="shared" si="23"/>
        <v>0</v>
      </c>
      <c r="U36" s="61" t="str">
        <f t="shared" ref="U36:U44" si="24">B36</f>
        <v>Cogeração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D36" s="58">
        <f>NPV(Inputs!$C$6,Mercado!G36:J36)+(Mercado!K36*Inputs!$C$11)/(1+Inputs!$C$6)^(4.55)</f>
        <v>2.7543150936467134E-3</v>
      </c>
    </row>
    <row r="37" spans="1:30" ht="13.9" customHeight="1">
      <c r="A37" s="192" t="s">
        <v>4780</v>
      </c>
      <c r="B37" s="61" t="s">
        <v>105</v>
      </c>
      <c r="C37" s="123">
        <v>2</v>
      </c>
      <c r="D37" s="51">
        <v>201</v>
      </c>
      <c r="E37" s="70">
        <v>5000</v>
      </c>
      <c r="F37" s="201">
        <f>Demanda!J28/1000</f>
        <v>5.4379999999999997</v>
      </c>
      <c r="G37" s="201">
        <f>Demanda!K28/1000</f>
        <v>0</v>
      </c>
      <c r="H37" s="201">
        <f>Demanda!L28/1000</f>
        <v>0</v>
      </c>
      <c r="I37" s="201">
        <f>Demanda!M28/1000</f>
        <v>0</v>
      </c>
      <c r="J37" s="201">
        <f>Demanda!N28/1000</f>
        <v>0</v>
      </c>
      <c r="K37" s="201">
        <f>Demanda!O28/1000</f>
        <v>0</v>
      </c>
      <c r="M37" s="61" t="str">
        <f t="shared" ref="M37:M102" si="25">B37</f>
        <v>Cogeração</v>
      </c>
      <c r="O37" s="55">
        <f t="shared" si="23"/>
        <v>0</v>
      </c>
      <c r="P37" s="55">
        <f t="shared" si="23"/>
        <v>0</v>
      </c>
      <c r="Q37" s="55">
        <f t="shared" si="23"/>
        <v>0</v>
      </c>
      <c r="R37" s="55">
        <f t="shared" si="23"/>
        <v>0</v>
      </c>
      <c r="S37" s="55">
        <f t="shared" si="23"/>
        <v>0</v>
      </c>
      <c r="U37" s="61" t="str">
        <f t="shared" si="24"/>
        <v>Cogeração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D37" s="58">
        <f>NPV(Inputs!$C$6,Mercado!G37:J37)+(Mercado!K37*Inputs!$C$11)/(1+Inputs!$C$6)^(4.55)</f>
        <v>0</v>
      </c>
    </row>
    <row r="38" spans="1:30" ht="13.9" customHeight="1">
      <c r="A38" s="192" t="s">
        <v>4781</v>
      </c>
      <c r="B38" s="61" t="s">
        <v>105</v>
      </c>
      <c r="C38" s="123">
        <v>3</v>
      </c>
      <c r="D38" s="70">
        <v>5001</v>
      </c>
      <c r="E38" s="70">
        <v>20000</v>
      </c>
      <c r="F38" s="201">
        <f>Demanda!J29/1000</f>
        <v>8.827</v>
      </c>
      <c r="G38" s="201">
        <f>Demanda!K29/1000</f>
        <v>0</v>
      </c>
      <c r="H38" s="201">
        <f>Demanda!L29/1000</f>
        <v>0</v>
      </c>
      <c r="I38" s="201">
        <f>Demanda!M29/1000</f>
        <v>0</v>
      </c>
      <c r="J38" s="201">
        <f>Demanda!N29/1000</f>
        <v>0</v>
      </c>
      <c r="K38" s="201">
        <f>Demanda!O29/1000</f>
        <v>0</v>
      </c>
      <c r="M38" s="61" t="str">
        <f t="shared" si="25"/>
        <v>Cogeração</v>
      </c>
      <c r="O38" s="55">
        <f t="shared" si="23"/>
        <v>0</v>
      </c>
      <c r="P38" s="55">
        <f t="shared" si="23"/>
        <v>0</v>
      </c>
      <c r="Q38" s="55">
        <f t="shared" si="23"/>
        <v>0</v>
      </c>
      <c r="R38" s="55">
        <f t="shared" si="23"/>
        <v>0</v>
      </c>
      <c r="S38" s="55">
        <f t="shared" si="23"/>
        <v>0</v>
      </c>
      <c r="U38" s="61" t="str">
        <f t="shared" si="24"/>
        <v>Cogeração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D38" s="58">
        <f>NPV(Inputs!$C$6,Mercado!G38:J38)+(Mercado!K38*Inputs!$C$11)/(1+Inputs!$C$6)^(4.55)</f>
        <v>0</v>
      </c>
    </row>
    <row r="39" spans="1:30" ht="13.9" customHeight="1">
      <c r="A39" s="192" t="s">
        <v>4782</v>
      </c>
      <c r="B39" s="61" t="s">
        <v>105</v>
      </c>
      <c r="C39" s="123">
        <v>4</v>
      </c>
      <c r="D39" s="70">
        <v>20001</v>
      </c>
      <c r="E39" s="70">
        <v>70000</v>
      </c>
      <c r="F39" s="201">
        <f>Demanda!J30/1000</f>
        <v>0</v>
      </c>
      <c r="G39" s="201">
        <f>Demanda!K30/1000</f>
        <v>0</v>
      </c>
      <c r="H39" s="201">
        <f>Demanda!L30/1000</f>
        <v>0</v>
      </c>
      <c r="I39" s="201">
        <f>Demanda!M30/1000</f>
        <v>0</v>
      </c>
      <c r="J39" s="201">
        <f>Demanda!N30/1000</f>
        <v>0</v>
      </c>
      <c r="K39" s="201">
        <f>Demanda!O30/1000</f>
        <v>0</v>
      </c>
      <c r="M39" s="61" t="str">
        <f t="shared" si="25"/>
        <v>Cogeração</v>
      </c>
      <c r="O39" s="55">
        <f t="shared" si="23"/>
        <v>0</v>
      </c>
      <c r="P39" s="55">
        <f t="shared" si="23"/>
        <v>0</v>
      </c>
      <c r="Q39" s="55">
        <f t="shared" si="23"/>
        <v>0</v>
      </c>
      <c r="R39" s="55">
        <f t="shared" si="23"/>
        <v>0</v>
      </c>
      <c r="S39" s="55">
        <f t="shared" si="23"/>
        <v>0</v>
      </c>
      <c r="U39" s="61" t="str">
        <f t="shared" si="24"/>
        <v>Cogeração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  <c r="AD39" s="58">
        <f>NPV(Inputs!$C$6,Mercado!G39:J39)+(Mercado!K39*Inputs!$C$11)/(1+Inputs!$C$6)^(4.55)</f>
        <v>0</v>
      </c>
    </row>
    <row r="40" spans="1:30" ht="13.9" customHeight="1">
      <c r="A40" s="192" t="s">
        <v>4783</v>
      </c>
      <c r="B40" s="61" t="s">
        <v>105</v>
      </c>
      <c r="C40" s="123">
        <v>5</v>
      </c>
      <c r="D40" s="70">
        <v>70001</v>
      </c>
      <c r="E40" s="70">
        <v>120000</v>
      </c>
      <c r="F40" s="201">
        <f>Demanda!J31/1000</f>
        <v>0</v>
      </c>
      <c r="G40" s="201">
        <f>Demanda!K31/1000</f>
        <v>0</v>
      </c>
      <c r="H40" s="201">
        <f>Demanda!L31/1000</f>
        <v>0</v>
      </c>
      <c r="I40" s="201">
        <f>Demanda!M31/1000</f>
        <v>0</v>
      </c>
      <c r="J40" s="201">
        <f>Demanda!N31/1000</f>
        <v>0</v>
      </c>
      <c r="K40" s="201">
        <f>Demanda!O31/1000</f>
        <v>0</v>
      </c>
      <c r="M40" s="61" t="str">
        <f t="shared" si="25"/>
        <v>Cogeração</v>
      </c>
      <c r="O40" s="55">
        <f t="shared" si="23"/>
        <v>0</v>
      </c>
      <c r="P40" s="55">
        <f t="shared" si="23"/>
        <v>0</v>
      </c>
      <c r="Q40" s="55">
        <f t="shared" si="23"/>
        <v>0</v>
      </c>
      <c r="R40" s="55">
        <f t="shared" si="23"/>
        <v>0</v>
      </c>
      <c r="S40" s="55">
        <f t="shared" si="23"/>
        <v>0</v>
      </c>
      <c r="U40" s="61" t="str">
        <f t="shared" si="24"/>
        <v>Cogeração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D40" s="58">
        <f>NPV(Inputs!$C$6,Mercado!G40:J40)+(Mercado!K40*Inputs!$C$11)/(1+Inputs!$C$6)^(4.55)</f>
        <v>0</v>
      </c>
    </row>
    <row r="41" spans="1:30" ht="13.9" customHeight="1">
      <c r="A41" s="192" t="s">
        <v>4784</v>
      </c>
      <c r="B41" s="61" t="s">
        <v>105</v>
      </c>
      <c r="C41" s="123">
        <v>6</v>
      </c>
      <c r="D41" s="70">
        <v>120001</v>
      </c>
      <c r="E41" s="70">
        <v>300000</v>
      </c>
      <c r="F41" s="201">
        <f>Demanda!J32/1000</f>
        <v>0</v>
      </c>
      <c r="G41" s="201">
        <f>Demanda!K32/1000</f>
        <v>0</v>
      </c>
      <c r="H41" s="201">
        <f>Demanda!L32/1000</f>
        <v>0</v>
      </c>
      <c r="I41" s="201">
        <f>Demanda!M32/1000</f>
        <v>0</v>
      </c>
      <c r="J41" s="201">
        <f>Demanda!N32/1000</f>
        <v>0</v>
      </c>
      <c r="K41" s="201">
        <f>Demanda!O32/1000</f>
        <v>0</v>
      </c>
      <c r="M41" s="61" t="str">
        <f t="shared" si="25"/>
        <v>Cogeração</v>
      </c>
      <c r="O41" s="55">
        <f t="shared" si="23"/>
        <v>0</v>
      </c>
      <c r="P41" s="55">
        <f t="shared" si="23"/>
        <v>0</v>
      </c>
      <c r="Q41" s="55">
        <f t="shared" si="23"/>
        <v>0</v>
      </c>
      <c r="R41" s="55">
        <f t="shared" si="23"/>
        <v>0</v>
      </c>
      <c r="S41" s="55">
        <f t="shared" si="23"/>
        <v>0</v>
      </c>
      <c r="U41" s="61" t="str">
        <f t="shared" si="24"/>
        <v>Cogeração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  <c r="AD41" s="58">
        <f>NPV(Inputs!$C$6,Mercado!G41:J41)+(Mercado!K41*Inputs!$C$11)/(1+Inputs!$C$6)^(4.55)</f>
        <v>0</v>
      </c>
    </row>
    <row r="42" spans="1:30" ht="13.9" customHeight="1">
      <c r="A42" s="192" t="s">
        <v>4785</v>
      </c>
      <c r="B42" s="61" t="s">
        <v>105</v>
      </c>
      <c r="C42" s="123">
        <v>7</v>
      </c>
      <c r="D42" s="70">
        <v>300001</v>
      </c>
      <c r="E42" s="70">
        <v>600000</v>
      </c>
      <c r="F42" s="201">
        <f>Demanda!J33/1000</f>
        <v>0</v>
      </c>
      <c r="G42" s="201">
        <f>Demanda!K33/1000</f>
        <v>0</v>
      </c>
      <c r="H42" s="201">
        <f>Demanda!L33/1000</f>
        <v>0</v>
      </c>
      <c r="I42" s="201">
        <f>Demanda!M33/1000</f>
        <v>0</v>
      </c>
      <c r="J42" s="201">
        <f>Demanda!N33/1000</f>
        <v>0</v>
      </c>
      <c r="K42" s="201">
        <f>Demanda!O33/1000</f>
        <v>0</v>
      </c>
      <c r="M42" s="61" t="str">
        <f t="shared" si="25"/>
        <v>Cogeração</v>
      </c>
      <c r="O42" s="55">
        <f t="shared" si="23"/>
        <v>0</v>
      </c>
      <c r="P42" s="55">
        <f t="shared" si="23"/>
        <v>0</v>
      </c>
      <c r="Q42" s="55">
        <f t="shared" si="23"/>
        <v>0</v>
      </c>
      <c r="R42" s="55">
        <f t="shared" si="23"/>
        <v>0</v>
      </c>
      <c r="S42" s="55">
        <f t="shared" si="23"/>
        <v>0</v>
      </c>
      <c r="U42" s="61" t="str">
        <f t="shared" si="24"/>
        <v>Cogeração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  <c r="AD42" s="58">
        <f>NPV(Inputs!$C$6,Mercado!G42:J42)+(Mercado!K42*Inputs!$C$11)/(1+Inputs!$C$6)^(4.55)</f>
        <v>0</v>
      </c>
    </row>
    <row r="43" spans="1:30" ht="13.9" customHeight="1">
      <c r="A43" s="192" t="s">
        <v>4786</v>
      </c>
      <c r="B43" s="61" t="s">
        <v>105</v>
      </c>
      <c r="C43" s="123">
        <v>8</v>
      </c>
      <c r="D43" s="70">
        <v>600001</v>
      </c>
      <c r="E43" s="70">
        <v>1500000</v>
      </c>
      <c r="F43" s="201">
        <f>Demanda!J34/1000</f>
        <v>0</v>
      </c>
      <c r="G43" s="201">
        <f>Demanda!K34/1000</f>
        <v>0</v>
      </c>
      <c r="H43" s="201">
        <f>Demanda!L34/1000</f>
        <v>0</v>
      </c>
      <c r="I43" s="201">
        <f>Demanda!M34/1000</f>
        <v>0</v>
      </c>
      <c r="J43" s="201">
        <f>Demanda!N34/1000</f>
        <v>0</v>
      </c>
      <c r="K43" s="201">
        <f>Demanda!O34/1000</f>
        <v>0</v>
      </c>
      <c r="M43" s="61" t="str">
        <f t="shared" si="25"/>
        <v>Cogeração</v>
      </c>
      <c r="O43" s="55">
        <f t="shared" si="23"/>
        <v>0</v>
      </c>
      <c r="P43" s="55">
        <f t="shared" si="23"/>
        <v>0</v>
      </c>
      <c r="Q43" s="55">
        <f t="shared" si="23"/>
        <v>0</v>
      </c>
      <c r="R43" s="55">
        <f t="shared" si="23"/>
        <v>0</v>
      </c>
      <c r="S43" s="55">
        <f t="shared" si="23"/>
        <v>0</v>
      </c>
      <c r="U43" s="61" t="str">
        <f t="shared" si="24"/>
        <v>Cogeração</v>
      </c>
      <c r="W43" s="55">
        <v>0</v>
      </c>
      <c r="X43" s="55">
        <v>0</v>
      </c>
      <c r="Y43" s="55">
        <v>0</v>
      </c>
      <c r="Z43" s="55">
        <v>0</v>
      </c>
      <c r="AA43" s="55">
        <v>0</v>
      </c>
      <c r="AD43" s="58">
        <f>NPV(Inputs!$C$6,Mercado!G43:J43)+(Mercado!K43*Inputs!$C$11)/(1+Inputs!$C$6)^(4.55)</f>
        <v>0</v>
      </c>
    </row>
    <row r="44" spans="1:30" ht="13.9" customHeight="1">
      <c r="A44" s="192" t="s">
        <v>4787</v>
      </c>
      <c r="B44" s="61" t="s">
        <v>105</v>
      </c>
      <c r="C44" s="123">
        <v>9</v>
      </c>
      <c r="D44" s="70">
        <v>1500001</v>
      </c>
      <c r="E44" s="51">
        <v>999999999</v>
      </c>
      <c r="F44" s="201">
        <f>Demanda!J35/1000</f>
        <v>0</v>
      </c>
      <c r="G44" s="201">
        <f>Demanda!K35/1000</f>
        <v>0</v>
      </c>
      <c r="H44" s="201">
        <f>Demanda!L35/1000</f>
        <v>0</v>
      </c>
      <c r="I44" s="201">
        <f>Demanda!M35/1000</f>
        <v>0</v>
      </c>
      <c r="J44" s="201">
        <f>Demanda!N35/1000</f>
        <v>0</v>
      </c>
      <c r="K44" s="201">
        <f>Demanda!O35/1000</f>
        <v>0</v>
      </c>
      <c r="M44" s="61" t="str">
        <f t="shared" si="25"/>
        <v>Cogeração</v>
      </c>
      <c r="O44" s="55">
        <f t="shared" si="23"/>
        <v>0</v>
      </c>
      <c r="P44" s="55">
        <f t="shared" si="23"/>
        <v>0</v>
      </c>
      <c r="Q44" s="55">
        <f t="shared" si="23"/>
        <v>0</v>
      </c>
      <c r="R44" s="55">
        <f t="shared" si="23"/>
        <v>0</v>
      </c>
      <c r="S44" s="55">
        <f t="shared" si="23"/>
        <v>0</v>
      </c>
      <c r="U44" s="61" t="str">
        <f t="shared" si="24"/>
        <v>Cogeração</v>
      </c>
      <c r="W44" s="55">
        <v>0</v>
      </c>
      <c r="X44" s="55">
        <v>0</v>
      </c>
      <c r="Y44" s="55">
        <v>0</v>
      </c>
      <c r="Z44" s="55">
        <v>0</v>
      </c>
      <c r="AA44" s="55">
        <v>0</v>
      </c>
      <c r="AD44" s="58">
        <f>NPV(Inputs!$C$6,Mercado!G44:J44)+(Mercado!K44*Inputs!$C$11)/(1+Inputs!$C$6)^(4.55)</f>
        <v>0</v>
      </c>
    </row>
    <row r="45" spans="1:30" ht="13.9" customHeight="1">
      <c r="B45" s="197"/>
      <c r="C45" s="202"/>
      <c r="D45" s="203"/>
      <c r="E45" s="203"/>
      <c r="F45" s="200">
        <f>SUM(F46:F54)</f>
        <v>291.892</v>
      </c>
      <c r="G45" s="200">
        <f t="shared" ref="G45:J45" si="26">SUM(G46:G54)</f>
        <v>256.202</v>
      </c>
      <c r="H45" s="200">
        <f t="shared" si="26"/>
        <v>224.68699999999998</v>
      </c>
      <c r="I45" s="200">
        <f t="shared" si="26"/>
        <v>210.18466152473795</v>
      </c>
      <c r="J45" s="200">
        <f t="shared" si="26"/>
        <v>206.29205241077148</v>
      </c>
      <c r="K45" s="200">
        <f>SUM(K46:K54)</f>
        <v>205.92807750940563</v>
      </c>
      <c r="L45" s="50">
        <v>2</v>
      </c>
      <c r="M45" s="197"/>
      <c r="O45" s="200">
        <f>SUM(O46:O54)</f>
        <v>256.202</v>
      </c>
      <c r="P45" s="200">
        <f t="shared" ref="P45:S45" si="27">SUM(P46:P54)</f>
        <v>224.68699999999998</v>
      </c>
      <c r="Q45" s="200">
        <f t="shared" si="27"/>
        <v>210.18466152473795</v>
      </c>
      <c r="R45" s="200">
        <f t="shared" si="27"/>
        <v>206.29205241077148</v>
      </c>
      <c r="S45" s="200">
        <f t="shared" si="27"/>
        <v>205.92807750940563</v>
      </c>
      <c r="U45" s="197"/>
      <c r="W45" s="200">
        <f>SUM(W46:W54)</f>
        <v>0</v>
      </c>
      <c r="X45" s="200">
        <f t="shared" ref="X45:AA45" si="28">SUM(X46:X54)</f>
        <v>0</v>
      </c>
      <c r="Y45" s="200">
        <f t="shared" si="28"/>
        <v>0</v>
      </c>
      <c r="Z45" s="200">
        <f t="shared" si="28"/>
        <v>0</v>
      </c>
      <c r="AA45" s="200">
        <f t="shared" si="28"/>
        <v>0</v>
      </c>
      <c r="AD45" s="58">
        <f>NPV(Inputs!$C$6,Mercado!G45:J45)+(Mercado!K45*Inputs!$C$11)/(1+Inputs!$C$6)^(4.55)</f>
        <v>810.71805366233775</v>
      </c>
    </row>
    <row r="46" spans="1:30" ht="13.9" customHeight="1">
      <c r="A46" s="192" t="s">
        <v>4788</v>
      </c>
      <c r="B46" s="61" t="s">
        <v>104</v>
      </c>
      <c r="C46" s="123">
        <v>1</v>
      </c>
      <c r="D46" s="51">
        <v>0</v>
      </c>
      <c r="E46" s="70">
        <v>200</v>
      </c>
      <c r="F46" s="201">
        <f>Demanda!J36/1000</f>
        <v>1.2669999999999999</v>
      </c>
      <c r="G46" s="201">
        <f>Demanda!K36/1000</f>
        <v>1.123</v>
      </c>
      <c r="H46" s="201">
        <f>Demanda!L36/1000</f>
        <v>0.99199999999999999</v>
      </c>
      <c r="I46" s="201">
        <f>Demanda!M36/1000</f>
        <v>0.91233732391378641</v>
      </c>
      <c r="J46" s="201">
        <f>Demanda!N36/1000</f>
        <v>0.89544088362972418</v>
      </c>
      <c r="K46" s="201">
        <f>Demanda!O36/1000</f>
        <v>0.89386099723328116</v>
      </c>
      <c r="M46" s="61" t="str">
        <f t="shared" si="25"/>
        <v>Geração Distribuída</v>
      </c>
      <c r="O46" s="55">
        <f t="shared" ref="O46:S54" si="29">G46</f>
        <v>1.123</v>
      </c>
      <c r="P46" s="55">
        <f t="shared" si="29"/>
        <v>0.99199999999999999</v>
      </c>
      <c r="Q46" s="55">
        <f t="shared" si="29"/>
        <v>0.91233732391378641</v>
      </c>
      <c r="R46" s="55">
        <f t="shared" si="29"/>
        <v>0.89544088362972418</v>
      </c>
      <c r="S46" s="55">
        <f t="shared" si="29"/>
        <v>0.89386099723328116</v>
      </c>
      <c r="U46" s="61" t="str">
        <f t="shared" ref="U46:U54" si="30">B46</f>
        <v>Geração Distribuída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D46" s="58">
        <f>NPV(Inputs!$C$6,Mercado!G46:J46)+(Mercado!K46*Inputs!$C$11)/(1+Inputs!$C$6)^(4.55)</f>
        <v>3.5431518836858045</v>
      </c>
    </row>
    <row r="47" spans="1:30" ht="13.9" customHeight="1">
      <c r="A47" s="192" t="s">
        <v>4789</v>
      </c>
      <c r="B47" s="61" t="s">
        <v>104</v>
      </c>
      <c r="C47" s="123">
        <v>2</v>
      </c>
      <c r="D47" s="51">
        <v>201</v>
      </c>
      <c r="E47" s="70">
        <v>5000</v>
      </c>
      <c r="F47" s="201">
        <f>Demanda!J37/1000</f>
        <v>42.491999999999997</v>
      </c>
      <c r="G47" s="201">
        <f>Demanda!K37/1000</f>
        <v>17.795999999999999</v>
      </c>
      <c r="H47" s="201">
        <f>Demanda!L37/1000</f>
        <v>10.066000000000001</v>
      </c>
      <c r="I47" s="201">
        <f>Demanda!M37/1000</f>
        <v>30.597503999798434</v>
      </c>
      <c r="J47" s="201">
        <f>Demanda!N37/1000</f>
        <v>30.030839800469014</v>
      </c>
      <c r="K47" s="201">
        <f>Demanda!O37/1000</f>
        <v>29.977854376035189</v>
      </c>
      <c r="M47" s="61" t="str">
        <f t="shared" si="25"/>
        <v>Geração Distribuída</v>
      </c>
      <c r="O47" s="55">
        <f t="shared" si="29"/>
        <v>17.795999999999999</v>
      </c>
      <c r="P47" s="55">
        <f t="shared" si="29"/>
        <v>10.066000000000001</v>
      </c>
      <c r="Q47" s="55">
        <f t="shared" si="29"/>
        <v>30.597503999798434</v>
      </c>
      <c r="R47" s="55">
        <f t="shared" si="29"/>
        <v>30.030839800469014</v>
      </c>
      <c r="S47" s="55">
        <f t="shared" si="29"/>
        <v>29.977854376035189</v>
      </c>
      <c r="U47" s="61" t="str">
        <f t="shared" si="30"/>
        <v>Geração Distribuída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  <c r="AD47" s="58">
        <f>NPV(Inputs!$C$6,Mercado!G47:J47)+(Mercado!K47*Inputs!$C$11)/(1+Inputs!$C$6)^(4.55)</f>
        <v>81.030434659578489</v>
      </c>
    </row>
    <row r="48" spans="1:30" ht="13.9" customHeight="1">
      <c r="A48" s="192" t="s">
        <v>4790</v>
      </c>
      <c r="B48" s="61" t="s">
        <v>104</v>
      </c>
      <c r="C48" s="123">
        <v>3</v>
      </c>
      <c r="D48" s="70">
        <v>5001</v>
      </c>
      <c r="E48" s="70">
        <v>20000</v>
      </c>
      <c r="F48" s="201">
        <f>Demanda!J38/1000</f>
        <v>83.028000000000006</v>
      </c>
      <c r="G48" s="201">
        <f>Demanda!K38/1000</f>
        <v>100.625</v>
      </c>
      <c r="H48" s="201">
        <f>Demanda!L38/1000</f>
        <v>208.947</v>
      </c>
      <c r="I48" s="201">
        <f>Demanda!M38/1000</f>
        <v>59.786537750523969</v>
      </c>
      <c r="J48" s="201">
        <f>Demanda!N38/1000</f>
        <v>58.679294148388905</v>
      </c>
      <c r="K48" s="201">
        <f>Demanda!O38/1000</f>
        <v>58.575762334873616</v>
      </c>
      <c r="M48" s="61" t="str">
        <f t="shared" si="25"/>
        <v>Geração Distribuída</v>
      </c>
      <c r="O48" s="55">
        <f t="shared" si="29"/>
        <v>100.625</v>
      </c>
      <c r="P48" s="55">
        <f t="shared" si="29"/>
        <v>208.947</v>
      </c>
      <c r="Q48" s="55">
        <f t="shared" si="29"/>
        <v>59.786537750523969</v>
      </c>
      <c r="R48" s="55">
        <f t="shared" si="29"/>
        <v>58.679294148388905</v>
      </c>
      <c r="S48" s="55">
        <f t="shared" si="29"/>
        <v>58.575762334873616</v>
      </c>
      <c r="U48" s="61" t="str">
        <f t="shared" si="30"/>
        <v>Geração Distribuída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D48" s="58">
        <f>NPV(Inputs!$C$6,Mercado!G48:J48)+(Mercado!K48*Inputs!$C$11)/(1+Inputs!$C$6)^(4.55)</f>
        <v>378.33600530789295</v>
      </c>
    </row>
    <row r="49" spans="1:30" ht="13.9" customHeight="1">
      <c r="A49" s="192" t="s">
        <v>4791</v>
      </c>
      <c r="B49" s="61" t="s">
        <v>104</v>
      </c>
      <c r="C49" s="123">
        <v>4</v>
      </c>
      <c r="D49" s="70">
        <v>20001</v>
      </c>
      <c r="E49" s="70">
        <v>70000</v>
      </c>
      <c r="F49" s="201">
        <f>Demanda!J39/1000</f>
        <v>165.10499999999999</v>
      </c>
      <c r="G49" s="201">
        <f>Demanda!K39/1000</f>
        <v>136.65799999999999</v>
      </c>
      <c r="H49" s="201">
        <f>Demanda!L39/1000</f>
        <v>4.6820000000000004</v>
      </c>
      <c r="I49" s="201">
        <f>Demanda!M39/1000</f>
        <v>118.88828245050176</v>
      </c>
      <c r="J49" s="201">
        <f>Demanda!N39/1000</f>
        <v>116.68647757828384</v>
      </c>
      <c r="K49" s="201">
        <f>Demanda!O39/1000</f>
        <v>116.48059980126354</v>
      </c>
      <c r="M49" s="61" t="str">
        <f t="shared" si="25"/>
        <v>Geração Distribuída</v>
      </c>
      <c r="O49" s="55">
        <f t="shared" si="29"/>
        <v>136.65799999999999</v>
      </c>
      <c r="P49" s="55">
        <f t="shared" si="29"/>
        <v>4.6820000000000004</v>
      </c>
      <c r="Q49" s="55">
        <f t="shared" si="29"/>
        <v>118.88828245050176</v>
      </c>
      <c r="R49" s="55">
        <f t="shared" si="29"/>
        <v>116.68647757828384</v>
      </c>
      <c r="S49" s="55">
        <f t="shared" si="29"/>
        <v>116.48059980126354</v>
      </c>
      <c r="U49" s="61" t="str">
        <f t="shared" si="30"/>
        <v>Geração Distribuída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D49" s="58">
        <f>NPV(Inputs!$C$6,Mercado!G49:J49)+(Mercado!K49*Inputs!$C$11)/(1+Inputs!$C$6)^(4.55)</f>
        <v>347.80846181118034</v>
      </c>
    </row>
    <row r="50" spans="1:30" ht="13.9" customHeight="1">
      <c r="A50" s="192" t="s">
        <v>4792</v>
      </c>
      <c r="B50" s="61" t="s">
        <v>104</v>
      </c>
      <c r="C50" s="123">
        <v>5</v>
      </c>
      <c r="D50" s="70">
        <v>70001</v>
      </c>
      <c r="E50" s="70">
        <v>120000</v>
      </c>
      <c r="F50" s="201">
        <f>Demanda!J40/1000</f>
        <v>0</v>
      </c>
      <c r="G50" s="201">
        <f>Demanda!K40/1000</f>
        <v>0</v>
      </c>
      <c r="H50" s="201">
        <f>Demanda!L40/1000</f>
        <v>0</v>
      </c>
      <c r="I50" s="201">
        <f>Demanda!M40/1000</f>
        <v>0</v>
      </c>
      <c r="J50" s="201">
        <f>Demanda!N40/1000</f>
        <v>0</v>
      </c>
      <c r="K50" s="201">
        <f>Demanda!O40/1000</f>
        <v>0</v>
      </c>
      <c r="M50" s="61" t="str">
        <f t="shared" si="25"/>
        <v>Geração Distribuída</v>
      </c>
      <c r="O50" s="55">
        <f t="shared" si="29"/>
        <v>0</v>
      </c>
      <c r="P50" s="55">
        <f t="shared" si="29"/>
        <v>0</v>
      </c>
      <c r="Q50" s="55">
        <f t="shared" si="29"/>
        <v>0</v>
      </c>
      <c r="R50" s="55">
        <f t="shared" si="29"/>
        <v>0</v>
      </c>
      <c r="S50" s="55">
        <f t="shared" si="29"/>
        <v>0</v>
      </c>
      <c r="U50" s="61" t="str">
        <f t="shared" si="30"/>
        <v>Geração Distribuída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D50" s="58">
        <f>NPV(Inputs!$C$6,Mercado!G50:J50)+(Mercado!K50*Inputs!$C$11)/(1+Inputs!$C$6)^(4.55)</f>
        <v>0</v>
      </c>
    </row>
    <row r="51" spans="1:30" ht="13.9" customHeight="1">
      <c r="A51" s="192" t="s">
        <v>4793</v>
      </c>
      <c r="B51" s="61" t="s">
        <v>104</v>
      </c>
      <c r="C51" s="123">
        <v>6</v>
      </c>
      <c r="D51" s="70">
        <v>120001</v>
      </c>
      <c r="E51" s="70">
        <v>300000</v>
      </c>
      <c r="F51" s="201">
        <f>Demanda!J41/1000</f>
        <v>0</v>
      </c>
      <c r="G51" s="201">
        <f>Demanda!K41/1000</f>
        <v>0</v>
      </c>
      <c r="H51" s="201">
        <f>Demanda!L41/1000</f>
        <v>0</v>
      </c>
      <c r="I51" s="201">
        <f>Demanda!M41/1000</f>
        <v>0</v>
      </c>
      <c r="J51" s="201">
        <f>Demanda!N41/1000</f>
        <v>0</v>
      </c>
      <c r="K51" s="201">
        <f>Demanda!O41/1000</f>
        <v>0</v>
      </c>
      <c r="M51" s="61" t="str">
        <f t="shared" si="25"/>
        <v>Geração Distribuída</v>
      </c>
      <c r="O51" s="55">
        <f t="shared" si="29"/>
        <v>0</v>
      </c>
      <c r="P51" s="55">
        <f t="shared" si="29"/>
        <v>0</v>
      </c>
      <c r="Q51" s="55">
        <f t="shared" si="29"/>
        <v>0</v>
      </c>
      <c r="R51" s="55">
        <f t="shared" si="29"/>
        <v>0</v>
      </c>
      <c r="S51" s="55">
        <f t="shared" si="29"/>
        <v>0</v>
      </c>
      <c r="U51" s="61" t="str">
        <f t="shared" si="30"/>
        <v>Geração Distribuída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D51" s="58">
        <f>NPV(Inputs!$C$6,Mercado!G51:J51)+(Mercado!K51*Inputs!$C$11)/(1+Inputs!$C$6)^(4.55)</f>
        <v>0</v>
      </c>
    </row>
    <row r="52" spans="1:30" ht="13.9" customHeight="1">
      <c r="A52" s="192" t="s">
        <v>4794</v>
      </c>
      <c r="B52" s="61" t="s">
        <v>104</v>
      </c>
      <c r="C52" s="123">
        <v>7</v>
      </c>
      <c r="D52" s="70">
        <v>300001</v>
      </c>
      <c r="E52" s="70">
        <v>600000</v>
      </c>
      <c r="F52" s="201">
        <f>Demanda!J42/1000</f>
        <v>0</v>
      </c>
      <c r="G52" s="201">
        <f>Demanda!K42/1000</f>
        <v>0</v>
      </c>
      <c r="H52" s="201">
        <f>Demanda!L42/1000</f>
        <v>0</v>
      </c>
      <c r="I52" s="201">
        <f>Demanda!M42/1000</f>
        <v>0</v>
      </c>
      <c r="J52" s="201">
        <f>Demanda!N42/1000</f>
        <v>0</v>
      </c>
      <c r="K52" s="201">
        <f>Demanda!O42/1000</f>
        <v>0</v>
      </c>
      <c r="M52" s="61" t="str">
        <f t="shared" si="25"/>
        <v>Geração Distribuída</v>
      </c>
      <c r="O52" s="55">
        <f t="shared" si="29"/>
        <v>0</v>
      </c>
      <c r="P52" s="55">
        <f t="shared" si="29"/>
        <v>0</v>
      </c>
      <c r="Q52" s="55">
        <f t="shared" si="29"/>
        <v>0</v>
      </c>
      <c r="R52" s="55">
        <f t="shared" si="29"/>
        <v>0</v>
      </c>
      <c r="S52" s="55">
        <f t="shared" si="29"/>
        <v>0</v>
      </c>
      <c r="U52" s="61" t="str">
        <f t="shared" si="30"/>
        <v>Geração Distribuída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D52" s="58">
        <f>NPV(Inputs!$C$6,Mercado!G52:J52)+(Mercado!K52*Inputs!$C$11)/(1+Inputs!$C$6)^(4.55)</f>
        <v>0</v>
      </c>
    </row>
    <row r="53" spans="1:30" ht="13.9" customHeight="1">
      <c r="A53" s="192" t="s">
        <v>4795</v>
      </c>
      <c r="B53" s="61" t="s">
        <v>104</v>
      </c>
      <c r="C53" s="123">
        <v>8</v>
      </c>
      <c r="D53" s="70">
        <v>600001</v>
      </c>
      <c r="E53" s="70">
        <v>1500000</v>
      </c>
      <c r="F53" s="201">
        <f>Demanda!J43/1000</f>
        <v>0</v>
      </c>
      <c r="G53" s="201">
        <f>Demanda!K43/1000</f>
        <v>0</v>
      </c>
      <c r="H53" s="201">
        <f>Demanda!L43/1000</f>
        <v>0</v>
      </c>
      <c r="I53" s="201">
        <f>Demanda!M43/1000</f>
        <v>0</v>
      </c>
      <c r="J53" s="201">
        <f>Demanda!N43/1000</f>
        <v>0</v>
      </c>
      <c r="K53" s="201">
        <f>Demanda!O43/1000</f>
        <v>0</v>
      </c>
      <c r="M53" s="61" t="str">
        <f t="shared" si="25"/>
        <v>Geração Distribuída</v>
      </c>
      <c r="O53" s="55">
        <f t="shared" si="29"/>
        <v>0</v>
      </c>
      <c r="P53" s="55">
        <f t="shared" si="29"/>
        <v>0</v>
      </c>
      <c r="Q53" s="55">
        <f t="shared" si="29"/>
        <v>0</v>
      </c>
      <c r="R53" s="55">
        <f t="shared" si="29"/>
        <v>0</v>
      </c>
      <c r="S53" s="55">
        <f t="shared" si="29"/>
        <v>0</v>
      </c>
      <c r="U53" s="61" t="str">
        <f t="shared" si="30"/>
        <v>Geração Distribuída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  <c r="AD53" s="58">
        <f>NPV(Inputs!$C$6,Mercado!G53:J53)+(Mercado!K53*Inputs!$C$11)/(1+Inputs!$C$6)^(4.55)</f>
        <v>0</v>
      </c>
    </row>
    <row r="54" spans="1:30" ht="13.9" customHeight="1">
      <c r="A54" s="192" t="s">
        <v>4796</v>
      </c>
      <c r="B54" s="61" t="s">
        <v>104</v>
      </c>
      <c r="C54" s="123">
        <v>9</v>
      </c>
      <c r="D54" s="70">
        <v>1500001</v>
      </c>
      <c r="E54" s="51">
        <v>999999999</v>
      </c>
      <c r="F54" s="201">
        <f>Demanda!J44/1000</f>
        <v>0</v>
      </c>
      <c r="G54" s="201">
        <f>Demanda!K44/1000</f>
        <v>0</v>
      </c>
      <c r="H54" s="201">
        <f>Demanda!L44/1000</f>
        <v>0</v>
      </c>
      <c r="I54" s="201">
        <f>Demanda!M44/1000</f>
        <v>0</v>
      </c>
      <c r="J54" s="201">
        <f>Demanda!N44/1000</f>
        <v>0</v>
      </c>
      <c r="K54" s="201">
        <f>Demanda!O44/1000</f>
        <v>0</v>
      </c>
      <c r="M54" s="61" t="str">
        <f t="shared" si="25"/>
        <v>Geração Distribuída</v>
      </c>
      <c r="O54" s="55">
        <f t="shared" si="29"/>
        <v>0</v>
      </c>
      <c r="P54" s="55">
        <f t="shared" si="29"/>
        <v>0</v>
      </c>
      <c r="Q54" s="55">
        <f t="shared" si="29"/>
        <v>0</v>
      </c>
      <c r="R54" s="55">
        <f t="shared" si="29"/>
        <v>0</v>
      </c>
      <c r="S54" s="55">
        <f t="shared" si="29"/>
        <v>0</v>
      </c>
      <c r="U54" s="61" t="str">
        <f t="shared" si="30"/>
        <v>Geração Distribuída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  <c r="AD54" s="58">
        <f>NPV(Inputs!$C$6,Mercado!G54:J54)+(Mercado!K54*Inputs!$C$11)/(1+Inputs!$C$6)^(4.55)</f>
        <v>0</v>
      </c>
    </row>
    <row r="55" spans="1:30" ht="13.9" customHeight="1">
      <c r="B55" s="197"/>
      <c r="C55" s="202"/>
      <c r="D55" s="203"/>
      <c r="E55" s="203"/>
      <c r="F55" s="199">
        <f>SUM(F56)</f>
        <v>229204.86199999999</v>
      </c>
      <c r="G55" s="199">
        <f t="shared" ref="G55:K55" si="31">SUM(G56)</f>
        <v>195916</v>
      </c>
      <c r="H55" s="199">
        <f t="shared" si="31"/>
        <v>170695.13268000001</v>
      </c>
      <c r="I55" s="199">
        <f t="shared" si="31"/>
        <v>150211.7167584</v>
      </c>
      <c r="J55" s="199">
        <f t="shared" si="31"/>
        <v>139696.896585312</v>
      </c>
      <c r="K55" s="199">
        <f t="shared" si="31"/>
        <v>135505.98968775265</v>
      </c>
      <c r="L55" s="50">
        <v>4</v>
      </c>
      <c r="M55" s="197"/>
      <c r="O55" s="200">
        <f>SUM(O56:O57)</f>
        <v>195916</v>
      </c>
      <c r="P55" s="200">
        <f t="shared" ref="P55:S55" si="32">SUM(P56:P57)</f>
        <v>170695.13268000001</v>
      </c>
      <c r="Q55" s="200">
        <f t="shared" si="32"/>
        <v>150211.7167584</v>
      </c>
      <c r="R55" s="200">
        <f t="shared" si="32"/>
        <v>139696.896585312</v>
      </c>
      <c r="S55" s="200">
        <f t="shared" si="32"/>
        <v>135505.98968775265</v>
      </c>
      <c r="U55" s="197"/>
      <c r="W55" s="200">
        <f>SUM(W56:W57)</f>
        <v>0</v>
      </c>
      <c r="X55" s="200">
        <f t="shared" ref="X55:AA55" si="33">SUM(X56:X57)</f>
        <v>0</v>
      </c>
      <c r="Y55" s="200">
        <f t="shared" si="33"/>
        <v>0</v>
      </c>
      <c r="Z55" s="200">
        <f t="shared" si="33"/>
        <v>0</v>
      </c>
      <c r="AA55" s="200">
        <f t="shared" si="33"/>
        <v>0</v>
      </c>
      <c r="AD55" s="58">
        <f>NPV(Inputs!$C$6,Mercado!G55:J55)+(Mercado!K55*Inputs!$C$11)/(1+Inputs!$C$6)^(4.55)</f>
        <v>589840.94293109479</v>
      </c>
    </row>
    <row r="56" spans="1:30">
      <c r="A56" s="192" t="s">
        <v>4797</v>
      </c>
      <c r="B56" s="61" t="s">
        <v>19</v>
      </c>
      <c r="C56" s="123">
        <v>1</v>
      </c>
      <c r="D56" s="58">
        <v>0</v>
      </c>
      <c r="E56" s="51">
        <v>999999999</v>
      </c>
      <c r="F56" s="201">
        <f>Demanda!J45/1000</f>
        <v>229204.86199999999</v>
      </c>
      <c r="G56" s="201">
        <f>Demanda!K45/1000</f>
        <v>195916</v>
      </c>
      <c r="H56" s="201">
        <f>Demanda!L45/1000</f>
        <v>170695.13268000001</v>
      </c>
      <c r="I56" s="201">
        <f>Demanda!M45/1000</f>
        <v>150211.7167584</v>
      </c>
      <c r="J56" s="201">
        <f>Demanda!N45/1000</f>
        <v>139696.896585312</v>
      </c>
      <c r="K56" s="201">
        <f>Demanda!O45/1000</f>
        <v>135505.98968775265</v>
      </c>
      <c r="M56" s="61" t="str">
        <f t="shared" si="25"/>
        <v>GNV</v>
      </c>
      <c r="O56" s="55">
        <f t="shared" ref="O56:S57" si="34">G56</f>
        <v>195916</v>
      </c>
      <c r="P56" s="55">
        <f t="shared" si="34"/>
        <v>170695.13268000001</v>
      </c>
      <c r="Q56" s="55">
        <f t="shared" si="34"/>
        <v>150211.7167584</v>
      </c>
      <c r="R56" s="55">
        <f t="shared" si="34"/>
        <v>139696.896585312</v>
      </c>
      <c r="S56" s="55">
        <f t="shared" si="34"/>
        <v>135505.98968775265</v>
      </c>
      <c r="U56" s="61" t="str">
        <f t="shared" ref="U56:U57" si="35">B56</f>
        <v>GNV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  <c r="AD56" s="58">
        <f>NPV(Inputs!$C$6,Mercado!G56:J56)+(Mercado!K56*Inputs!$C$11)/(1+Inputs!$C$6)^(4.55)</f>
        <v>589840.94293109479</v>
      </c>
    </row>
    <row r="57" spans="1:30">
      <c r="A57" s="192" t="s">
        <v>4798</v>
      </c>
      <c r="B57" s="61" t="s">
        <v>148</v>
      </c>
      <c r="C57" s="123">
        <v>1</v>
      </c>
      <c r="D57" s="58">
        <v>0</v>
      </c>
      <c r="E57" s="51">
        <v>999999999</v>
      </c>
      <c r="F57" s="201">
        <f>Demanda!J46/1000</f>
        <v>0</v>
      </c>
      <c r="G57" s="201">
        <f>Demanda!K46/1000</f>
        <v>0</v>
      </c>
      <c r="H57" s="201">
        <f>Demanda!L46/1000</f>
        <v>0</v>
      </c>
      <c r="I57" s="201">
        <f>Demanda!M46/1000</f>
        <v>0</v>
      </c>
      <c r="J57" s="201">
        <f>Demanda!N46/1000</f>
        <v>0</v>
      </c>
      <c r="K57" s="201">
        <f>Demanda!O46/1000</f>
        <v>0</v>
      </c>
      <c r="M57" s="61" t="str">
        <f t="shared" si="25"/>
        <v>GNV Transporte Público</v>
      </c>
      <c r="O57" s="55">
        <f t="shared" si="34"/>
        <v>0</v>
      </c>
      <c r="P57" s="55">
        <f t="shared" si="34"/>
        <v>0</v>
      </c>
      <c r="Q57" s="55">
        <f t="shared" si="34"/>
        <v>0</v>
      </c>
      <c r="R57" s="55">
        <f t="shared" si="34"/>
        <v>0</v>
      </c>
      <c r="S57" s="55">
        <f t="shared" si="34"/>
        <v>0</v>
      </c>
      <c r="U57" s="61" t="str">
        <f t="shared" si="35"/>
        <v>GNV Transporte Público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  <c r="AD57" s="58">
        <f>NPV(Inputs!$C$6,Mercado!G57:J57)+(Mercado!K57*Inputs!$C$11)/(1+Inputs!$C$6)^(4.55)</f>
        <v>0</v>
      </c>
    </row>
    <row r="58" spans="1:30">
      <c r="B58" s="198"/>
      <c r="C58" s="202"/>
      <c r="D58" s="198"/>
      <c r="E58" s="198"/>
      <c r="F58" s="199">
        <f>SUM(F59:F68)</f>
        <v>561207.23699999996</v>
      </c>
      <c r="G58" s="199">
        <f t="shared" ref="G58:K58" si="36">SUM(G59:G68)</f>
        <v>589983.38899999997</v>
      </c>
      <c r="H58" s="199">
        <f t="shared" si="36"/>
        <v>356387.57644000009</v>
      </c>
      <c r="I58" s="199">
        <f t="shared" si="36"/>
        <v>168370.21393830312</v>
      </c>
      <c r="J58" s="199">
        <f t="shared" si="36"/>
        <v>164044.85933953707</v>
      </c>
      <c r="K58" s="199">
        <f t="shared" si="36"/>
        <v>159806.0118327463</v>
      </c>
      <c r="L58" s="50">
        <v>3</v>
      </c>
      <c r="M58" s="198"/>
      <c r="O58" s="200">
        <f>SUM(O59:O68)</f>
        <v>589983.38899999997</v>
      </c>
      <c r="P58" s="200">
        <f t="shared" ref="P58:S58" si="37">SUM(P59:P68)</f>
        <v>356387.57644000009</v>
      </c>
      <c r="Q58" s="200">
        <f t="shared" si="37"/>
        <v>168370.21393830312</v>
      </c>
      <c r="R58" s="200">
        <f t="shared" si="37"/>
        <v>164044.85933953707</v>
      </c>
      <c r="S58" s="200">
        <f t="shared" si="37"/>
        <v>159806.0118327463</v>
      </c>
      <c r="U58" s="198"/>
      <c r="W58" s="199">
        <f>SUM(W59:W68)</f>
        <v>0</v>
      </c>
      <c r="X58" s="199">
        <f t="shared" ref="X58:AA58" si="38">SUM(X59:X68)</f>
        <v>0</v>
      </c>
      <c r="Y58" s="199">
        <f t="shared" si="38"/>
        <v>0</v>
      </c>
      <c r="Z58" s="199">
        <f t="shared" si="38"/>
        <v>0</v>
      </c>
      <c r="AA58" s="199">
        <f t="shared" si="38"/>
        <v>0</v>
      </c>
      <c r="AD58" s="58">
        <f>NPV(Inputs!$C$6,Mercado!G58:J58)+(Mercado!K58*Inputs!$C$11)/(1+Inputs!$C$6)^(4.55)</f>
        <v>1148582.849967177</v>
      </c>
    </row>
    <row r="59" spans="1:30">
      <c r="A59" s="192" t="s">
        <v>4799</v>
      </c>
      <c r="B59" s="61" t="s">
        <v>18</v>
      </c>
      <c r="C59" s="123">
        <v>1</v>
      </c>
      <c r="D59" s="58">
        <v>0</v>
      </c>
      <c r="E59" s="70">
        <v>200</v>
      </c>
      <c r="F59" s="51">
        <f>Demanda!J47/1000</f>
        <v>26.792000000000002</v>
      </c>
      <c r="G59" s="51">
        <f>Demanda!K47/1000</f>
        <v>24.989000000000001</v>
      </c>
      <c r="H59" s="51">
        <f>Demanda!L47/1000</f>
        <v>22.946999999999999</v>
      </c>
      <c r="I59" s="51">
        <f>Demanda!M47/1000</f>
        <v>26.316003381060749</v>
      </c>
      <c r="J59" s="51">
        <f>Demanda!N47/1000</f>
        <v>25.597683313439536</v>
      </c>
      <c r="K59" s="51">
        <f>Demanda!O47/1000</f>
        <v>24.893729647170744</v>
      </c>
      <c r="M59" s="61" t="str">
        <f t="shared" si="25"/>
        <v>Industrial</v>
      </c>
      <c r="N59" s="58"/>
      <c r="O59" s="51">
        <f t="shared" ref="O59:S68" si="39">G59</f>
        <v>24.989000000000001</v>
      </c>
      <c r="P59" s="51">
        <f t="shared" si="39"/>
        <v>22.946999999999999</v>
      </c>
      <c r="Q59" s="51">
        <f t="shared" si="39"/>
        <v>26.316003381060749</v>
      </c>
      <c r="R59" s="51">
        <f t="shared" si="39"/>
        <v>25.597683313439536</v>
      </c>
      <c r="S59" s="51">
        <f t="shared" si="39"/>
        <v>24.893729647170744</v>
      </c>
      <c r="U59" s="61" t="str">
        <f t="shared" ref="U59:U68" si="40">B59</f>
        <v>Industrial</v>
      </c>
      <c r="V59" s="58"/>
      <c r="W59" s="55">
        <v>0</v>
      </c>
      <c r="X59" s="55">
        <v>0</v>
      </c>
      <c r="Y59" s="55">
        <v>0</v>
      </c>
      <c r="Z59" s="55">
        <v>0</v>
      </c>
      <c r="AA59" s="55">
        <v>0</v>
      </c>
      <c r="AD59" s="58">
        <f>NPV(Inputs!$C$6,Mercado!G59:J59)+(Mercado!K59*Inputs!$C$11)/(1+Inputs!$C$6)^(4.55)</f>
        <v>90.130857391783209</v>
      </c>
    </row>
    <row r="60" spans="1:30">
      <c r="A60" s="192" t="s">
        <v>4800</v>
      </c>
      <c r="B60" s="61" t="s">
        <v>18</v>
      </c>
      <c r="C60" s="123">
        <v>2</v>
      </c>
      <c r="D60" s="51">
        <f>E59+1</f>
        <v>201</v>
      </c>
      <c r="E60" s="70">
        <v>2000</v>
      </c>
      <c r="F60" s="51">
        <f>Demanda!J48/1000</f>
        <v>275.81599999999997</v>
      </c>
      <c r="G60" s="51">
        <f>Demanda!K48/1000</f>
        <v>241.404</v>
      </c>
      <c r="H60" s="51">
        <f>Demanda!L48/1000</f>
        <v>234.50800000000001</v>
      </c>
      <c r="I60" s="51">
        <f>Demanda!M48/1000</f>
        <v>280.6453706752863</v>
      </c>
      <c r="J60" s="51">
        <f>Demanda!N48/1000</f>
        <v>273.30446326178048</v>
      </c>
      <c r="K60" s="51">
        <f>Demanda!O48/1000</f>
        <v>266.11037399654492</v>
      </c>
      <c r="M60" s="61" t="str">
        <f t="shared" si="25"/>
        <v>Industrial</v>
      </c>
      <c r="N60" s="58"/>
      <c r="O60" s="51">
        <f t="shared" si="39"/>
        <v>241.404</v>
      </c>
      <c r="P60" s="51">
        <f t="shared" si="39"/>
        <v>234.50800000000001</v>
      </c>
      <c r="Q60" s="51">
        <f t="shared" si="39"/>
        <v>280.6453706752863</v>
      </c>
      <c r="R60" s="51">
        <f t="shared" si="39"/>
        <v>273.30446326178048</v>
      </c>
      <c r="S60" s="51">
        <f t="shared" si="39"/>
        <v>266.11037399654492</v>
      </c>
      <c r="U60" s="61" t="str">
        <f t="shared" si="40"/>
        <v>Industrial</v>
      </c>
      <c r="V60" s="58"/>
      <c r="W60" s="55">
        <v>0</v>
      </c>
      <c r="X60" s="55">
        <v>0</v>
      </c>
      <c r="Y60" s="55">
        <v>0</v>
      </c>
      <c r="Z60" s="55">
        <v>0</v>
      </c>
      <c r="AA60" s="55">
        <v>0</v>
      </c>
      <c r="AD60" s="58">
        <f>NPV(Inputs!$C$6,Mercado!G60:J60)+(Mercado!K60*Inputs!$C$11)/(1+Inputs!$C$6)^(4.55)</f>
        <v>930.01803516262657</v>
      </c>
    </row>
    <row r="61" spans="1:30">
      <c r="A61" s="192" t="s">
        <v>4801</v>
      </c>
      <c r="B61" s="61" t="s">
        <v>18</v>
      </c>
      <c r="C61" s="123">
        <v>3</v>
      </c>
      <c r="D61" s="51">
        <f t="shared" ref="D61:D68" si="41">E60+1</f>
        <v>2001</v>
      </c>
      <c r="E61" s="70">
        <v>10000</v>
      </c>
      <c r="F61" s="51">
        <f>Demanda!J49/1000</f>
        <v>715.28499999999997</v>
      </c>
      <c r="G61" s="51">
        <f>Demanda!K49/1000</f>
        <v>709.029</v>
      </c>
      <c r="H61" s="51">
        <f>Demanda!L49/1000</f>
        <v>703.63499999999999</v>
      </c>
      <c r="I61" s="51">
        <f>Demanda!M49/1000</f>
        <v>717.30984612510053</v>
      </c>
      <c r="J61" s="51">
        <f>Demanda!N49/1000</f>
        <v>695.28364920259821</v>
      </c>
      <c r="K61" s="51">
        <f>Demanda!O49/1000</f>
        <v>673.69797621854627</v>
      </c>
      <c r="M61" s="61" t="str">
        <f t="shared" si="25"/>
        <v>Industrial</v>
      </c>
      <c r="N61" s="58"/>
      <c r="O61" s="51">
        <f t="shared" si="39"/>
        <v>709.029</v>
      </c>
      <c r="P61" s="51">
        <f t="shared" si="39"/>
        <v>703.63499999999999</v>
      </c>
      <c r="Q61" s="51">
        <f t="shared" si="39"/>
        <v>717.30984612510053</v>
      </c>
      <c r="R61" s="51">
        <f t="shared" si="39"/>
        <v>695.28364920259821</v>
      </c>
      <c r="S61" s="51">
        <f t="shared" si="39"/>
        <v>673.69797621854627</v>
      </c>
      <c r="U61" s="61" t="str">
        <f t="shared" si="40"/>
        <v>Industrial</v>
      </c>
      <c r="V61" s="58"/>
      <c r="W61" s="55">
        <v>0</v>
      </c>
      <c r="X61" s="55">
        <v>0</v>
      </c>
      <c r="Y61" s="55">
        <v>0</v>
      </c>
      <c r="Z61" s="55">
        <v>0</v>
      </c>
      <c r="AA61" s="55">
        <v>0</v>
      </c>
      <c r="AD61" s="58">
        <f>NPV(Inputs!$C$6,Mercado!G61:J61)+(Mercado!K61*Inputs!$C$11)/(1+Inputs!$C$6)^(4.55)</f>
        <v>2544.6848644500428</v>
      </c>
    </row>
    <row r="62" spans="1:30">
      <c r="A62" s="192" t="s">
        <v>4802</v>
      </c>
      <c r="B62" s="61" t="s">
        <v>18</v>
      </c>
      <c r="C62" s="123">
        <v>4</v>
      </c>
      <c r="D62" s="51">
        <f t="shared" si="41"/>
        <v>10001</v>
      </c>
      <c r="E62" s="70">
        <v>50000</v>
      </c>
      <c r="F62" s="51">
        <f>Demanda!J50/1000</f>
        <v>4906.8469999999998</v>
      </c>
      <c r="G62" s="51">
        <f>Demanda!K50/1000</f>
        <v>3997.1849999999999</v>
      </c>
      <c r="H62" s="51">
        <f>Demanda!L50/1000</f>
        <v>3999.8809999999999</v>
      </c>
      <c r="I62" s="51">
        <f>Demanda!M50/1000</f>
        <v>4340.5020054839697</v>
      </c>
      <c r="J62" s="51">
        <f>Demanda!N50/1000</f>
        <v>4461.6999653742896</v>
      </c>
      <c r="K62" s="51">
        <f>Demanda!O50/1000</f>
        <v>4338.9941260668038</v>
      </c>
      <c r="M62" s="61" t="str">
        <f t="shared" si="25"/>
        <v>Industrial</v>
      </c>
      <c r="N62" s="58"/>
      <c r="O62" s="51">
        <f t="shared" si="39"/>
        <v>3997.1849999999999</v>
      </c>
      <c r="P62" s="51">
        <f t="shared" si="39"/>
        <v>3999.8809999999999</v>
      </c>
      <c r="Q62" s="51">
        <f t="shared" si="39"/>
        <v>4340.5020054839697</v>
      </c>
      <c r="R62" s="51">
        <f t="shared" si="39"/>
        <v>4461.6999653742896</v>
      </c>
      <c r="S62" s="51">
        <f t="shared" si="39"/>
        <v>4338.9941260668038</v>
      </c>
      <c r="U62" s="61" t="str">
        <f t="shared" si="40"/>
        <v>Industrial</v>
      </c>
      <c r="V62" s="58"/>
      <c r="W62" s="55">
        <v>0</v>
      </c>
      <c r="X62" s="55">
        <v>0</v>
      </c>
      <c r="Y62" s="55">
        <v>0</v>
      </c>
      <c r="Z62" s="55">
        <v>0</v>
      </c>
      <c r="AA62" s="55">
        <v>0</v>
      </c>
      <c r="AD62" s="58">
        <f>NPV(Inputs!$C$6,Mercado!G62:J62)+(Mercado!K62*Inputs!$C$11)/(1+Inputs!$C$6)^(4.55)</f>
        <v>15190.301417883999</v>
      </c>
    </row>
    <row r="63" spans="1:30">
      <c r="A63" s="192" t="s">
        <v>4803</v>
      </c>
      <c r="B63" s="61" t="s">
        <v>18</v>
      </c>
      <c r="C63" s="123">
        <v>5</v>
      </c>
      <c r="D63" s="51">
        <f t="shared" si="41"/>
        <v>50001</v>
      </c>
      <c r="E63" s="70">
        <v>100000</v>
      </c>
      <c r="F63" s="51">
        <f>Demanda!J51/1000</f>
        <v>6140.0810000000001</v>
      </c>
      <c r="G63" s="51">
        <f>Demanda!K51/1000</f>
        <v>6181.1260000000002</v>
      </c>
      <c r="H63" s="51">
        <f>Demanda!L51/1000</f>
        <v>5823.5879999999997</v>
      </c>
      <c r="I63" s="51">
        <f>Demanda!M51/1000</f>
        <v>6714.9172570664941</v>
      </c>
      <c r="J63" s="51">
        <f>Demanda!N51/1000</f>
        <v>7132.618911925163</v>
      </c>
      <c r="K63" s="51">
        <f>Demanda!O51/1000</f>
        <v>6953.9665336866601</v>
      </c>
      <c r="M63" s="61" t="str">
        <f t="shared" si="25"/>
        <v>Industrial</v>
      </c>
      <c r="N63" s="58"/>
      <c r="O63" s="51">
        <f t="shared" si="39"/>
        <v>6181.1260000000002</v>
      </c>
      <c r="P63" s="51">
        <f t="shared" si="39"/>
        <v>5823.5879999999997</v>
      </c>
      <c r="Q63" s="51">
        <f t="shared" si="39"/>
        <v>6714.9172570664941</v>
      </c>
      <c r="R63" s="51">
        <f t="shared" si="39"/>
        <v>7132.618911925163</v>
      </c>
      <c r="S63" s="51">
        <f t="shared" si="39"/>
        <v>6953.9665336866601</v>
      </c>
      <c r="U63" s="61" t="str">
        <f t="shared" si="40"/>
        <v>Industrial</v>
      </c>
      <c r="V63" s="58"/>
      <c r="W63" s="55">
        <v>0</v>
      </c>
      <c r="X63" s="55">
        <v>0</v>
      </c>
      <c r="Y63" s="55">
        <v>0</v>
      </c>
      <c r="Z63" s="55">
        <v>0</v>
      </c>
      <c r="AA63" s="55">
        <v>0</v>
      </c>
      <c r="AD63" s="58">
        <f>NPV(Inputs!$C$6,Mercado!G63:J63)+(Mercado!K63*Inputs!$C$11)/(1+Inputs!$C$6)^(4.55)</f>
        <v>23444.042144994888</v>
      </c>
    </row>
    <row r="64" spans="1:30">
      <c r="A64" s="192" t="s">
        <v>4804</v>
      </c>
      <c r="B64" s="61" t="s">
        <v>18</v>
      </c>
      <c r="C64" s="123">
        <v>6</v>
      </c>
      <c r="D64" s="51">
        <f t="shared" si="41"/>
        <v>100001</v>
      </c>
      <c r="E64" s="70">
        <v>300000</v>
      </c>
      <c r="F64" s="51">
        <f>Demanda!J52/1000</f>
        <v>18737.963</v>
      </c>
      <c r="G64" s="51">
        <f>Demanda!K52/1000</f>
        <v>21228.014999999999</v>
      </c>
      <c r="H64" s="51">
        <f>Demanda!L52/1000</f>
        <v>22452.135999999999</v>
      </c>
      <c r="I64" s="51">
        <f>Demanda!M52/1000</f>
        <v>25541.45607216785</v>
      </c>
      <c r="J64" s="51">
        <f>Demanda!N52/1000</f>
        <v>27238.626950724498</v>
      </c>
      <c r="K64" s="51">
        <f>Demanda!O52/1000</f>
        <v>26549.854411710003</v>
      </c>
      <c r="M64" s="61" t="str">
        <f t="shared" si="25"/>
        <v>Industrial</v>
      </c>
      <c r="N64" s="58"/>
      <c r="O64" s="51">
        <f t="shared" si="39"/>
        <v>21228.014999999999</v>
      </c>
      <c r="P64" s="51">
        <f t="shared" si="39"/>
        <v>22452.135999999999</v>
      </c>
      <c r="Q64" s="51">
        <f t="shared" si="39"/>
        <v>25541.45607216785</v>
      </c>
      <c r="R64" s="51">
        <f t="shared" si="39"/>
        <v>27238.626950724498</v>
      </c>
      <c r="S64" s="51">
        <f t="shared" si="39"/>
        <v>26549.854411710003</v>
      </c>
      <c r="U64" s="61" t="str">
        <f t="shared" si="40"/>
        <v>Industrial</v>
      </c>
      <c r="V64" s="58"/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D64" s="58">
        <f>NPV(Inputs!$C$6,Mercado!G64:J64)+(Mercado!K64*Inputs!$C$11)/(1+Inputs!$C$6)^(4.55)</f>
        <v>87445.481548528624</v>
      </c>
    </row>
    <row r="65" spans="1:30">
      <c r="A65" s="192" t="s">
        <v>4805</v>
      </c>
      <c r="B65" s="61" t="s">
        <v>18</v>
      </c>
      <c r="C65" s="123">
        <v>7</v>
      </c>
      <c r="D65" s="51">
        <f t="shared" si="41"/>
        <v>300001</v>
      </c>
      <c r="E65" s="70">
        <v>600000</v>
      </c>
      <c r="F65" s="51">
        <f>Demanda!J53/1000</f>
        <v>22031.562000000002</v>
      </c>
      <c r="G65" s="51">
        <f>Demanda!K53/1000</f>
        <v>21606.712</v>
      </c>
      <c r="H65" s="51">
        <f>Demanda!L53/1000</f>
        <v>19720.988000000001</v>
      </c>
      <c r="I65" s="51">
        <f>Demanda!M53/1000</f>
        <v>23313.147516531943</v>
      </c>
      <c r="J65" s="51">
        <f>Demanda!N53/1000</f>
        <v>19449.404726201305</v>
      </c>
      <c r="K65" s="51">
        <f>Demanda!O53/1000</f>
        <v>18844.416631677279</v>
      </c>
      <c r="M65" s="61" t="str">
        <f t="shared" si="25"/>
        <v>Industrial</v>
      </c>
      <c r="N65" s="58"/>
      <c r="O65" s="51">
        <f t="shared" si="39"/>
        <v>21606.712</v>
      </c>
      <c r="P65" s="51">
        <f t="shared" si="39"/>
        <v>19720.988000000001</v>
      </c>
      <c r="Q65" s="51">
        <f t="shared" si="39"/>
        <v>23313.147516531943</v>
      </c>
      <c r="R65" s="51">
        <f t="shared" si="39"/>
        <v>19449.404726201305</v>
      </c>
      <c r="S65" s="51">
        <f t="shared" si="39"/>
        <v>18844.416631677279</v>
      </c>
      <c r="U65" s="61" t="str">
        <f t="shared" si="40"/>
        <v>Industrial</v>
      </c>
      <c r="V65" s="58"/>
      <c r="W65" s="55">
        <v>0</v>
      </c>
      <c r="X65" s="55">
        <v>0</v>
      </c>
      <c r="Y65" s="55">
        <v>0</v>
      </c>
      <c r="Z65" s="55">
        <v>0</v>
      </c>
      <c r="AA65" s="55">
        <v>0</v>
      </c>
      <c r="AD65" s="58">
        <f>NPV(Inputs!$C$6,Mercado!G65:J65)+(Mercado!K65*Inputs!$C$11)/(1+Inputs!$C$6)^(4.55)</f>
        <v>75355.790045418209</v>
      </c>
    </row>
    <row r="66" spans="1:30">
      <c r="A66" s="192" t="s">
        <v>4806</v>
      </c>
      <c r="B66" s="61" t="s">
        <v>18</v>
      </c>
      <c r="C66" s="123">
        <v>8</v>
      </c>
      <c r="D66" s="51">
        <f t="shared" si="41"/>
        <v>600001</v>
      </c>
      <c r="E66" s="70">
        <v>1500000</v>
      </c>
      <c r="F66" s="51">
        <f>Demanda!J54/1000</f>
        <v>72730.106</v>
      </c>
      <c r="G66" s="51">
        <f>Demanda!K54/1000</f>
        <v>80175.553</v>
      </c>
      <c r="H66" s="51">
        <f>Demanda!L54/1000</f>
        <v>62934.436000000002</v>
      </c>
      <c r="I66" s="51">
        <f>Demanda!M54/1000</f>
        <v>73185.670168830417</v>
      </c>
      <c r="J66" s="51">
        <f>Demanda!N54/1000</f>
        <v>71215.60574545381</v>
      </c>
      <c r="K66" s="51">
        <f>Demanda!O54/1000</f>
        <v>69284.942610544706</v>
      </c>
      <c r="M66" s="61" t="str">
        <f t="shared" si="25"/>
        <v>Industrial</v>
      </c>
      <c r="N66" s="58"/>
      <c r="O66" s="51">
        <f t="shared" si="39"/>
        <v>80175.553</v>
      </c>
      <c r="P66" s="51">
        <f t="shared" si="39"/>
        <v>62934.436000000002</v>
      </c>
      <c r="Q66" s="51">
        <f t="shared" si="39"/>
        <v>73185.670168830417</v>
      </c>
      <c r="R66" s="51">
        <f t="shared" si="39"/>
        <v>71215.60574545381</v>
      </c>
      <c r="S66" s="51">
        <f t="shared" si="39"/>
        <v>69284.942610544706</v>
      </c>
      <c r="U66" s="61" t="str">
        <f t="shared" si="40"/>
        <v>Industrial</v>
      </c>
      <c r="V66" s="58"/>
      <c r="W66" s="55">
        <v>0</v>
      </c>
      <c r="X66" s="55">
        <v>0</v>
      </c>
      <c r="Y66" s="55">
        <v>0</v>
      </c>
      <c r="Z66" s="55">
        <v>0</v>
      </c>
      <c r="AA66" s="55">
        <v>0</v>
      </c>
      <c r="AD66" s="58">
        <f>NPV(Inputs!$C$6,Mercado!G66:J66)+(Mercado!K66*Inputs!$C$11)/(1+Inputs!$C$6)^(4.55)</f>
        <v>259759.16579291061</v>
      </c>
    </row>
    <row r="67" spans="1:30">
      <c r="A67" s="192" t="s">
        <v>4807</v>
      </c>
      <c r="B67" s="61" t="s">
        <v>18</v>
      </c>
      <c r="C67" s="123">
        <v>9</v>
      </c>
      <c r="D67" s="51">
        <f t="shared" si="41"/>
        <v>1500001</v>
      </c>
      <c r="E67" s="70">
        <v>3000000</v>
      </c>
      <c r="F67" s="51">
        <f>Demanda!J55/1000</f>
        <v>21216.13</v>
      </c>
      <c r="G67" s="51">
        <f>Demanda!K55/1000</f>
        <v>7935.4040000000005</v>
      </c>
      <c r="H67" s="51">
        <f>Demanda!L55/1000</f>
        <v>22282.932000000001</v>
      </c>
      <c r="I67" s="51">
        <f>Demanda!M55/1000</f>
        <v>34250.249698041</v>
      </c>
      <c r="J67" s="51">
        <f>Demanda!N55/1000</f>
        <v>33552.717244080181</v>
      </c>
      <c r="K67" s="51">
        <f>Demanda!O55/1000</f>
        <v>32869.135439198581</v>
      </c>
      <c r="M67" s="61" t="str">
        <f t="shared" si="25"/>
        <v>Industrial</v>
      </c>
      <c r="N67" s="204"/>
      <c r="O67" s="51">
        <f t="shared" si="39"/>
        <v>7935.4040000000005</v>
      </c>
      <c r="P67" s="51">
        <f t="shared" si="39"/>
        <v>22282.932000000001</v>
      </c>
      <c r="Q67" s="51">
        <f t="shared" si="39"/>
        <v>34250.249698041</v>
      </c>
      <c r="R67" s="51">
        <f t="shared" si="39"/>
        <v>33552.717244080181</v>
      </c>
      <c r="S67" s="51">
        <f t="shared" si="39"/>
        <v>32869.135439198581</v>
      </c>
      <c r="U67" s="61" t="str">
        <f t="shared" si="40"/>
        <v>Industrial</v>
      </c>
      <c r="V67" s="204"/>
      <c r="W67" s="55">
        <v>0</v>
      </c>
      <c r="X67" s="55">
        <v>0</v>
      </c>
      <c r="Y67" s="55">
        <v>0</v>
      </c>
      <c r="Z67" s="55">
        <v>0</v>
      </c>
      <c r="AA67" s="55">
        <v>0</v>
      </c>
      <c r="AD67" s="58">
        <f>NPV(Inputs!$C$6,Mercado!G67:J67)+(Mercado!K67*Inputs!$C$11)/(1+Inputs!$C$6)^(4.55)</f>
        <v>88683.692953495571</v>
      </c>
    </row>
    <row r="68" spans="1:30">
      <c r="A68" s="192" t="s">
        <v>4808</v>
      </c>
      <c r="B68" s="61" t="s">
        <v>18</v>
      </c>
      <c r="C68" s="123">
        <v>10</v>
      </c>
      <c r="D68" s="51">
        <f t="shared" si="41"/>
        <v>3000001</v>
      </c>
      <c r="E68" s="51">
        <v>999999999</v>
      </c>
      <c r="F68" s="51">
        <f>Demanda!J56/1000</f>
        <v>414426.65500000003</v>
      </c>
      <c r="G68" s="51">
        <f>Demanda!K56/1000</f>
        <v>447883.97200000001</v>
      </c>
      <c r="H68" s="51">
        <f>Demanda!L56/1000</f>
        <v>218212.52544000006</v>
      </c>
      <c r="I68" s="51">
        <f>Demanda!M56/1000</f>
        <v>0</v>
      </c>
      <c r="J68" s="51">
        <f>Demanda!N56/1000</f>
        <v>0</v>
      </c>
      <c r="K68" s="51">
        <f>Demanda!O56/1000</f>
        <v>0</v>
      </c>
      <c r="M68" s="61" t="str">
        <f t="shared" si="25"/>
        <v>Industrial</v>
      </c>
      <c r="N68" s="204"/>
      <c r="O68" s="51">
        <f t="shared" si="39"/>
        <v>447883.97200000001</v>
      </c>
      <c r="P68" s="51">
        <f t="shared" si="39"/>
        <v>218212.52544000006</v>
      </c>
      <c r="Q68" s="51">
        <f t="shared" si="39"/>
        <v>0</v>
      </c>
      <c r="R68" s="51">
        <f t="shared" si="39"/>
        <v>0</v>
      </c>
      <c r="S68" s="51">
        <f t="shared" si="39"/>
        <v>0</v>
      </c>
      <c r="U68" s="61" t="str">
        <f t="shared" si="40"/>
        <v>Industrial</v>
      </c>
      <c r="V68" s="204"/>
      <c r="W68" s="55">
        <v>0</v>
      </c>
      <c r="X68" s="55">
        <v>0</v>
      </c>
      <c r="Y68" s="55">
        <v>0</v>
      </c>
      <c r="Z68" s="55">
        <v>0</v>
      </c>
      <c r="AA68" s="55">
        <v>0</v>
      </c>
      <c r="AD68" s="58">
        <f>NPV(Inputs!$C$6,Mercado!G68:J68)+(Mercado!K68*Inputs!$C$11)/(1+Inputs!$C$6)^(4.55)</f>
        <v>595139.54230694077</v>
      </c>
    </row>
    <row r="69" spans="1:30">
      <c r="B69" s="198"/>
      <c r="C69" s="202"/>
      <c r="D69" s="198"/>
      <c r="E69" s="198"/>
      <c r="F69" s="199">
        <f>SUM(F70:F79)</f>
        <v>35348.328000000001</v>
      </c>
      <c r="G69" s="199">
        <f t="shared" ref="G69:K69" si="42">SUM(G70:G79)</f>
        <v>32976.315999999999</v>
      </c>
      <c r="H69" s="199">
        <f t="shared" si="42"/>
        <v>35908.756000000001</v>
      </c>
      <c r="I69" s="199">
        <f t="shared" si="42"/>
        <v>35908.756000000001</v>
      </c>
      <c r="J69" s="199">
        <f t="shared" si="42"/>
        <v>35908.756000000001</v>
      </c>
      <c r="K69" s="199">
        <f t="shared" si="42"/>
        <v>35908.756000000001</v>
      </c>
      <c r="L69" s="50">
        <v>3</v>
      </c>
      <c r="M69" s="198"/>
      <c r="O69" s="200">
        <f>SUM(O70:O79)</f>
        <v>32976.315999999999</v>
      </c>
      <c r="P69" s="200">
        <f t="shared" ref="P69:S69" si="43">SUM(P70:P79)</f>
        <v>35908.756000000001</v>
      </c>
      <c r="Q69" s="200">
        <f t="shared" si="43"/>
        <v>35908.756000000001</v>
      </c>
      <c r="R69" s="200">
        <f t="shared" si="43"/>
        <v>35908.756000000001</v>
      </c>
      <c r="S69" s="200">
        <f t="shared" si="43"/>
        <v>35908.756000000001</v>
      </c>
      <c r="U69" s="198"/>
      <c r="W69" s="199">
        <f>SUM(W70:W79)</f>
        <v>0</v>
      </c>
      <c r="X69" s="199">
        <f t="shared" ref="X69:AA69" si="44">SUM(X70:X79)</f>
        <v>0</v>
      </c>
      <c r="Y69" s="199">
        <f t="shared" si="44"/>
        <v>0</v>
      </c>
      <c r="Z69" s="199">
        <f t="shared" si="44"/>
        <v>0</v>
      </c>
      <c r="AA69" s="199">
        <f t="shared" si="44"/>
        <v>0</v>
      </c>
      <c r="AD69" s="58">
        <f>NPV(Inputs!$C$6,Mercado!G69:J69)+(Mercado!K69*Inputs!$C$11)/(1+Inputs!$C$6)^(4.55)</f>
        <v>127251.50296660695</v>
      </c>
    </row>
    <row r="70" spans="1:30">
      <c r="A70" s="192" t="s">
        <v>4809</v>
      </c>
      <c r="B70" s="61" t="s">
        <v>106</v>
      </c>
      <c r="C70" s="123">
        <v>1</v>
      </c>
      <c r="D70" s="58">
        <v>0</v>
      </c>
      <c r="E70" s="70">
        <v>200</v>
      </c>
      <c r="F70" s="51">
        <f>Demanda!J57/1000</f>
        <v>4.8</v>
      </c>
      <c r="G70" s="51">
        <f>Demanda!K57/1000</f>
        <v>4.8</v>
      </c>
      <c r="H70" s="51">
        <f>Demanda!L57/1000</f>
        <v>4.8</v>
      </c>
      <c r="I70" s="51">
        <f>Demanda!M57/1000</f>
        <v>4.8</v>
      </c>
      <c r="J70" s="51">
        <f>Demanda!N57/1000</f>
        <v>4.8</v>
      </c>
      <c r="K70" s="51">
        <f>Demanda!O57/1000</f>
        <v>4.8</v>
      </c>
      <c r="M70" s="61" t="str">
        <f t="shared" si="25"/>
        <v>Vidreiras</v>
      </c>
      <c r="N70" s="58"/>
      <c r="O70" s="51">
        <f t="shared" ref="O70:S79" si="45">G70</f>
        <v>4.8</v>
      </c>
      <c r="P70" s="51">
        <f t="shared" si="45"/>
        <v>4.8</v>
      </c>
      <c r="Q70" s="51">
        <f t="shared" si="45"/>
        <v>4.8</v>
      </c>
      <c r="R70" s="51">
        <f t="shared" si="45"/>
        <v>4.8</v>
      </c>
      <c r="S70" s="51">
        <f t="shared" si="45"/>
        <v>4.8</v>
      </c>
      <c r="U70" s="61" t="str">
        <f t="shared" ref="U70:U79" si="46">B70</f>
        <v>Vidreiras</v>
      </c>
      <c r="V70" s="58"/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D70" s="58">
        <f>NPV(Inputs!$C$6,Mercado!G70:J70)+(Mercado!K70*Inputs!$C$11)/(1+Inputs!$C$6)^(4.55)</f>
        <v>17.369863669040907</v>
      </c>
    </row>
    <row r="71" spans="1:30">
      <c r="A71" s="192" t="s">
        <v>4810</v>
      </c>
      <c r="B71" s="61" t="s">
        <v>106</v>
      </c>
      <c r="C71" s="123">
        <v>2</v>
      </c>
      <c r="D71" s="51">
        <f>E70+1</f>
        <v>201</v>
      </c>
      <c r="E71" s="70">
        <v>2000</v>
      </c>
      <c r="F71" s="51">
        <f>Demanda!J58/1000</f>
        <v>43.2</v>
      </c>
      <c r="G71" s="51">
        <f>Demanda!K58/1000</f>
        <v>43.2</v>
      </c>
      <c r="H71" s="51">
        <f>Demanda!L58/1000</f>
        <v>43.2</v>
      </c>
      <c r="I71" s="51">
        <f>Demanda!M58/1000</f>
        <v>43.2</v>
      </c>
      <c r="J71" s="51">
        <f>Demanda!N58/1000</f>
        <v>43.2</v>
      </c>
      <c r="K71" s="51">
        <f>Demanda!O58/1000</f>
        <v>43.2</v>
      </c>
      <c r="M71" s="61" t="str">
        <f t="shared" si="25"/>
        <v>Vidreiras</v>
      </c>
      <c r="N71" s="58"/>
      <c r="O71" s="51">
        <f t="shared" si="45"/>
        <v>43.2</v>
      </c>
      <c r="P71" s="51">
        <f t="shared" si="45"/>
        <v>43.2</v>
      </c>
      <c r="Q71" s="51">
        <f t="shared" si="45"/>
        <v>43.2</v>
      </c>
      <c r="R71" s="51">
        <f t="shared" si="45"/>
        <v>43.2</v>
      </c>
      <c r="S71" s="51">
        <f t="shared" si="45"/>
        <v>43.2</v>
      </c>
      <c r="U71" s="61" t="str">
        <f t="shared" si="46"/>
        <v>Vidreiras</v>
      </c>
      <c r="V71" s="58"/>
      <c r="W71" s="55">
        <v>0</v>
      </c>
      <c r="X71" s="55">
        <v>0</v>
      </c>
      <c r="Y71" s="55">
        <v>0</v>
      </c>
      <c r="Z71" s="55">
        <v>0</v>
      </c>
      <c r="AA71" s="55">
        <v>0</v>
      </c>
      <c r="AD71" s="58">
        <f>NPV(Inputs!$C$6,Mercado!G71:J71)+(Mercado!K71*Inputs!$C$11)/(1+Inputs!$C$6)^(4.55)</f>
        <v>156.32877302136819</v>
      </c>
    </row>
    <row r="72" spans="1:30">
      <c r="A72" s="192" t="s">
        <v>4811</v>
      </c>
      <c r="B72" s="61" t="s">
        <v>106</v>
      </c>
      <c r="C72" s="123">
        <v>3</v>
      </c>
      <c r="D72" s="51">
        <f t="shared" ref="D72:D79" si="47">E71+1</f>
        <v>2001</v>
      </c>
      <c r="E72" s="70">
        <v>10000</v>
      </c>
      <c r="F72" s="51">
        <f>Demanda!J59/1000</f>
        <v>192</v>
      </c>
      <c r="G72" s="51">
        <f>Demanda!K59/1000</f>
        <v>192</v>
      </c>
      <c r="H72" s="51">
        <f>Demanda!L59/1000</f>
        <v>192</v>
      </c>
      <c r="I72" s="51">
        <f>Demanda!M59/1000</f>
        <v>192</v>
      </c>
      <c r="J72" s="51">
        <f>Demanda!N59/1000</f>
        <v>192</v>
      </c>
      <c r="K72" s="51">
        <f>Demanda!O59/1000</f>
        <v>192</v>
      </c>
      <c r="M72" s="61" t="str">
        <f t="shared" si="25"/>
        <v>Vidreiras</v>
      </c>
      <c r="N72" s="58"/>
      <c r="O72" s="51">
        <f t="shared" si="45"/>
        <v>192</v>
      </c>
      <c r="P72" s="51">
        <f t="shared" si="45"/>
        <v>192</v>
      </c>
      <c r="Q72" s="51">
        <f t="shared" si="45"/>
        <v>192</v>
      </c>
      <c r="R72" s="51">
        <f t="shared" si="45"/>
        <v>192</v>
      </c>
      <c r="S72" s="51">
        <f t="shared" si="45"/>
        <v>192</v>
      </c>
      <c r="U72" s="61" t="str">
        <f t="shared" si="46"/>
        <v>Vidreiras</v>
      </c>
      <c r="V72" s="58"/>
      <c r="W72" s="55">
        <v>0</v>
      </c>
      <c r="X72" s="55">
        <v>0</v>
      </c>
      <c r="Y72" s="55">
        <v>0</v>
      </c>
      <c r="Z72" s="55">
        <v>0</v>
      </c>
      <c r="AA72" s="55">
        <v>0</v>
      </c>
      <c r="AD72" s="58">
        <f>NPV(Inputs!$C$6,Mercado!G72:J72)+(Mercado!K72*Inputs!$C$11)/(1+Inputs!$C$6)^(4.55)</f>
        <v>694.79454676163641</v>
      </c>
    </row>
    <row r="73" spans="1:30">
      <c r="A73" s="192" t="s">
        <v>4812</v>
      </c>
      <c r="B73" s="61" t="s">
        <v>106</v>
      </c>
      <c r="C73" s="123">
        <v>4</v>
      </c>
      <c r="D73" s="51">
        <f t="shared" si="47"/>
        <v>10001</v>
      </c>
      <c r="E73" s="70">
        <v>50000</v>
      </c>
      <c r="F73" s="51">
        <f>Demanda!J60/1000</f>
        <v>960</v>
      </c>
      <c r="G73" s="51">
        <f>Demanda!K60/1000</f>
        <v>960</v>
      </c>
      <c r="H73" s="51">
        <f>Demanda!L60/1000</f>
        <v>960</v>
      </c>
      <c r="I73" s="51">
        <f>Demanda!M60/1000</f>
        <v>960</v>
      </c>
      <c r="J73" s="51">
        <f>Demanda!N60/1000</f>
        <v>960</v>
      </c>
      <c r="K73" s="51">
        <f>Demanda!O60/1000</f>
        <v>960</v>
      </c>
      <c r="M73" s="61" t="str">
        <f t="shared" si="25"/>
        <v>Vidreiras</v>
      </c>
      <c r="N73" s="58"/>
      <c r="O73" s="51">
        <f t="shared" si="45"/>
        <v>960</v>
      </c>
      <c r="P73" s="51">
        <f t="shared" si="45"/>
        <v>960</v>
      </c>
      <c r="Q73" s="51">
        <f t="shared" si="45"/>
        <v>960</v>
      </c>
      <c r="R73" s="51">
        <f t="shared" si="45"/>
        <v>960</v>
      </c>
      <c r="S73" s="51">
        <f t="shared" si="45"/>
        <v>960</v>
      </c>
      <c r="U73" s="61" t="str">
        <f t="shared" si="46"/>
        <v>Vidreiras</v>
      </c>
      <c r="V73" s="58"/>
      <c r="W73" s="55">
        <v>0</v>
      </c>
      <c r="X73" s="55">
        <v>0</v>
      </c>
      <c r="Y73" s="55">
        <v>0</v>
      </c>
      <c r="Z73" s="55">
        <v>0</v>
      </c>
      <c r="AA73" s="55">
        <v>0</v>
      </c>
      <c r="AD73" s="58">
        <f>NPV(Inputs!$C$6,Mercado!G73:J73)+(Mercado!K73*Inputs!$C$11)/(1+Inputs!$C$6)^(4.55)</f>
        <v>3473.9727338081821</v>
      </c>
    </row>
    <row r="74" spans="1:30">
      <c r="A74" s="192" t="s">
        <v>4813</v>
      </c>
      <c r="B74" s="61" t="s">
        <v>106</v>
      </c>
      <c r="C74" s="123">
        <v>5</v>
      </c>
      <c r="D74" s="51">
        <f t="shared" si="47"/>
        <v>50001</v>
      </c>
      <c r="E74" s="70">
        <v>100000</v>
      </c>
      <c r="F74" s="51">
        <f>Demanda!J61/1000</f>
        <v>1200</v>
      </c>
      <c r="G74" s="51">
        <f>Demanda!K61/1000</f>
        <v>1200</v>
      </c>
      <c r="H74" s="51">
        <f>Demanda!L61/1000</f>
        <v>1200</v>
      </c>
      <c r="I74" s="51">
        <f>Demanda!M61/1000</f>
        <v>1200</v>
      </c>
      <c r="J74" s="51">
        <f>Demanda!N61/1000</f>
        <v>1200</v>
      </c>
      <c r="K74" s="51">
        <f>Demanda!O61/1000</f>
        <v>1200</v>
      </c>
      <c r="M74" s="61" t="str">
        <f t="shared" si="25"/>
        <v>Vidreiras</v>
      </c>
      <c r="N74" s="58"/>
      <c r="O74" s="51">
        <f t="shared" si="45"/>
        <v>1200</v>
      </c>
      <c r="P74" s="51">
        <f t="shared" si="45"/>
        <v>1200</v>
      </c>
      <c r="Q74" s="51">
        <f t="shared" si="45"/>
        <v>1200</v>
      </c>
      <c r="R74" s="51">
        <f t="shared" si="45"/>
        <v>1200</v>
      </c>
      <c r="S74" s="51">
        <f t="shared" si="45"/>
        <v>1200</v>
      </c>
      <c r="U74" s="61" t="str">
        <f t="shared" si="46"/>
        <v>Vidreiras</v>
      </c>
      <c r="V74" s="58"/>
      <c r="W74" s="55">
        <v>0</v>
      </c>
      <c r="X74" s="55">
        <v>0</v>
      </c>
      <c r="Y74" s="55">
        <v>0</v>
      </c>
      <c r="Z74" s="55">
        <v>0</v>
      </c>
      <c r="AA74" s="55">
        <v>0</v>
      </c>
      <c r="AD74" s="58">
        <f>NPV(Inputs!$C$6,Mercado!G74:J74)+(Mercado!K74*Inputs!$C$11)/(1+Inputs!$C$6)^(4.55)</f>
        <v>4342.4659172602278</v>
      </c>
    </row>
    <row r="75" spans="1:30">
      <c r="A75" s="192" t="s">
        <v>4814</v>
      </c>
      <c r="B75" s="61" t="s">
        <v>106</v>
      </c>
      <c r="C75" s="123">
        <v>6</v>
      </c>
      <c r="D75" s="51">
        <f t="shared" si="47"/>
        <v>100001</v>
      </c>
      <c r="E75" s="70">
        <v>300000</v>
      </c>
      <c r="F75" s="51">
        <f>Demanda!J62/1000</f>
        <v>4800</v>
      </c>
      <c r="G75" s="51">
        <f>Demanda!K62/1000</f>
        <v>4800</v>
      </c>
      <c r="H75" s="51">
        <f>Demanda!L62/1000</f>
        <v>4800</v>
      </c>
      <c r="I75" s="51">
        <f>Demanda!M62/1000</f>
        <v>4800</v>
      </c>
      <c r="J75" s="51">
        <f>Demanda!N62/1000</f>
        <v>4800</v>
      </c>
      <c r="K75" s="51">
        <f>Demanda!O62/1000</f>
        <v>4800</v>
      </c>
      <c r="M75" s="61" t="str">
        <f t="shared" si="25"/>
        <v>Vidreiras</v>
      </c>
      <c r="N75" s="58"/>
      <c r="O75" s="51">
        <f t="shared" si="45"/>
        <v>4800</v>
      </c>
      <c r="P75" s="51">
        <f t="shared" si="45"/>
        <v>4800</v>
      </c>
      <c r="Q75" s="51">
        <f t="shared" si="45"/>
        <v>4800</v>
      </c>
      <c r="R75" s="51">
        <f t="shared" si="45"/>
        <v>4800</v>
      </c>
      <c r="S75" s="51">
        <f t="shared" si="45"/>
        <v>4800</v>
      </c>
      <c r="U75" s="61" t="str">
        <f t="shared" si="46"/>
        <v>Vidreiras</v>
      </c>
      <c r="V75" s="58"/>
      <c r="W75" s="55">
        <v>0</v>
      </c>
      <c r="X75" s="55">
        <v>0</v>
      </c>
      <c r="Y75" s="55">
        <v>0</v>
      </c>
      <c r="Z75" s="55">
        <v>0</v>
      </c>
      <c r="AA75" s="55">
        <v>0</v>
      </c>
      <c r="AD75" s="58">
        <f>NPV(Inputs!$C$6,Mercado!G75:J75)+(Mercado!K75*Inputs!$C$11)/(1+Inputs!$C$6)^(4.55)</f>
        <v>17369.863669040911</v>
      </c>
    </row>
    <row r="76" spans="1:30">
      <c r="A76" s="192" t="s">
        <v>4815</v>
      </c>
      <c r="B76" s="61" t="s">
        <v>106</v>
      </c>
      <c r="C76" s="123">
        <v>7</v>
      </c>
      <c r="D76" s="51">
        <f t="shared" si="47"/>
        <v>300001</v>
      </c>
      <c r="E76" s="70">
        <v>600000</v>
      </c>
      <c r="F76" s="51">
        <f>Demanda!J63/1000</f>
        <v>7200</v>
      </c>
      <c r="G76" s="51">
        <f>Demanda!K63/1000</f>
        <v>7200</v>
      </c>
      <c r="H76" s="51">
        <f>Demanda!L63/1000</f>
        <v>7200</v>
      </c>
      <c r="I76" s="51">
        <f>Demanda!M63/1000</f>
        <v>7200</v>
      </c>
      <c r="J76" s="51">
        <f>Demanda!N63/1000</f>
        <v>7200</v>
      </c>
      <c r="K76" s="51">
        <f>Demanda!O63/1000</f>
        <v>7200</v>
      </c>
      <c r="M76" s="61" t="str">
        <f t="shared" si="25"/>
        <v>Vidreiras</v>
      </c>
      <c r="N76" s="58"/>
      <c r="O76" s="51">
        <f t="shared" si="45"/>
        <v>7200</v>
      </c>
      <c r="P76" s="51">
        <f t="shared" si="45"/>
        <v>7200</v>
      </c>
      <c r="Q76" s="51">
        <f t="shared" si="45"/>
        <v>7200</v>
      </c>
      <c r="R76" s="51">
        <f t="shared" si="45"/>
        <v>7200</v>
      </c>
      <c r="S76" s="51">
        <f t="shared" si="45"/>
        <v>7200</v>
      </c>
      <c r="U76" s="61" t="str">
        <f t="shared" si="46"/>
        <v>Vidreiras</v>
      </c>
      <c r="V76" s="58"/>
      <c r="W76" s="55">
        <v>0</v>
      </c>
      <c r="X76" s="55">
        <v>0</v>
      </c>
      <c r="Y76" s="55">
        <v>0</v>
      </c>
      <c r="Z76" s="55">
        <v>0</v>
      </c>
      <c r="AA76" s="55">
        <v>0</v>
      </c>
      <c r="AD76" s="58">
        <f>NPV(Inputs!$C$6,Mercado!G76:J76)+(Mercado!K76*Inputs!$C$11)/(1+Inputs!$C$6)^(4.55)</f>
        <v>26054.795503561363</v>
      </c>
    </row>
    <row r="77" spans="1:30">
      <c r="A77" s="192" t="s">
        <v>4816</v>
      </c>
      <c r="B77" s="61" t="s">
        <v>106</v>
      </c>
      <c r="C77" s="123">
        <v>8</v>
      </c>
      <c r="D77" s="51">
        <f t="shared" si="47"/>
        <v>600001</v>
      </c>
      <c r="E77" s="70">
        <v>1500000</v>
      </c>
      <c r="F77" s="51">
        <f>Demanda!J64/1000</f>
        <v>16693.261999999999</v>
      </c>
      <c r="G77" s="51">
        <f>Demanda!K64/1000</f>
        <v>18576.315999999999</v>
      </c>
      <c r="H77" s="51">
        <f>Demanda!L64/1000</f>
        <v>20882.383000000002</v>
      </c>
      <c r="I77" s="51">
        <f>Demanda!M64/1000</f>
        <v>20882.383000000002</v>
      </c>
      <c r="J77" s="51">
        <f>Demanda!N64/1000</f>
        <v>20882.383000000002</v>
      </c>
      <c r="K77" s="51">
        <f>Demanda!O64/1000</f>
        <v>20882.383000000002</v>
      </c>
      <c r="M77" s="61" t="str">
        <f t="shared" si="25"/>
        <v>Vidreiras</v>
      </c>
      <c r="N77" s="58"/>
      <c r="O77" s="51">
        <f t="shared" si="45"/>
        <v>18576.315999999999</v>
      </c>
      <c r="P77" s="51">
        <f t="shared" si="45"/>
        <v>20882.383000000002</v>
      </c>
      <c r="Q77" s="51">
        <f t="shared" si="45"/>
        <v>20882.383000000002</v>
      </c>
      <c r="R77" s="51">
        <f t="shared" si="45"/>
        <v>20882.383000000002</v>
      </c>
      <c r="S77" s="51">
        <f t="shared" si="45"/>
        <v>20882.383000000002</v>
      </c>
      <c r="U77" s="61" t="str">
        <f t="shared" si="46"/>
        <v>Vidreiras</v>
      </c>
      <c r="V77" s="58"/>
      <c r="W77" s="55">
        <v>0</v>
      </c>
      <c r="X77" s="55">
        <v>0</v>
      </c>
      <c r="Y77" s="55">
        <v>0</v>
      </c>
      <c r="Z77" s="55">
        <v>0</v>
      </c>
      <c r="AA77" s="55">
        <v>0</v>
      </c>
      <c r="AD77" s="58">
        <f>NPV(Inputs!$C$6,Mercado!G77:J77)+(Mercado!K77*Inputs!$C$11)/(1+Inputs!$C$6)^(4.55)</f>
        <v>73450.318658875112</v>
      </c>
    </row>
    <row r="78" spans="1:30">
      <c r="A78" s="192" t="s">
        <v>4817</v>
      </c>
      <c r="B78" s="61" t="s">
        <v>106</v>
      </c>
      <c r="C78" s="123">
        <v>9</v>
      </c>
      <c r="D78" s="51">
        <f t="shared" si="47"/>
        <v>1500001</v>
      </c>
      <c r="E78" s="70">
        <v>3000000</v>
      </c>
      <c r="F78" s="51">
        <f>Demanda!J65/1000</f>
        <v>4255.0659999999998</v>
      </c>
      <c r="G78" s="51">
        <f>Demanda!K65/1000</f>
        <v>0</v>
      </c>
      <c r="H78" s="51">
        <f>Demanda!L65/1000</f>
        <v>626.37300000000005</v>
      </c>
      <c r="I78" s="51">
        <f>Demanda!M65/1000</f>
        <v>626.37300000000005</v>
      </c>
      <c r="J78" s="51">
        <f>Demanda!N65/1000</f>
        <v>626.37300000000005</v>
      </c>
      <c r="K78" s="51">
        <f>Demanda!O65/1000</f>
        <v>626.37300000000005</v>
      </c>
      <c r="M78" s="61" t="str">
        <f t="shared" si="25"/>
        <v>Vidreiras</v>
      </c>
      <c r="N78" s="204"/>
      <c r="O78" s="51">
        <f t="shared" si="45"/>
        <v>0</v>
      </c>
      <c r="P78" s="51">
        <f t="shared" si="45"/>
        <v>626.37300000000005</v>
      </c>
      <c r="Q78" s="51">
        <f t="shared" si="45"/>
        <v>626.37300000000005</v>
      </c>
      <c r="R78" s="51">
        <f t="shared" si="45"/>
        <v>626.37300000000005</v>
      </c>
      <c r="S78" s="51">
        <f t="shared" si="45"/>
        <v>626.37300000000005</v>
      </c>
      <c r="U78" s="61" t="str">
        <f t="shared" si="46"/>
        <v>Vidreiras</v>
      </c>
      <c r="V78" s="204"/>
      <c r="W78" s="55">
        <v>0</v>
      </c>
      <c r="X78" s="55">
        <v>0</v>
      </c>
      <c r="Y78" s="55">
        <v>0</v>
      </c>
      <c r="Z78" s="55">
        <v>0</v>
      </c>
      <c r="AA78" s="55">
        <v>0</v>
      </c>
      <c r="AD78" s="58">
        <f>NPV(Inputs!$C$6,Mercado!G78:J78)+(Mercado!K78*Inputs!$C$11)/(1+Inputs!$C$6)^(4.55)</f>
        <v>1691.5933006091095</v>
      </c>
    </row>
    <row r="79" spans="1:30">
      <c r="A79" s="192" t="s">
        <v>4818</v>
      </c>
      <c r="B79" s="61" t="s">
        <v>106</v>
      </c>
      <c r="C79" s="123">
        <v>10</v>
      </c>
      <c r="D79" s="51">
        <f t="shared" si="47"/>
        <v>3000001</v>
      </c>
      <c r="E79" s="51">
        <v>999999999</v>
      </c>
      <c r="F79" s="51">
        <f>Demanda!J66/1000</f>
        <v>0</v>
      </c>
      <c r="G79" s="51">
        <f>Demanda!K66/1000</f>
        <v>0</v>
      </c>
      <c r="H79" s="51">
        <f>Demanda!L66/1000</f>
        <v>0</v>
      </c>
      <c r="I79" s="51">
        <f>Demanda!M66/1000</f>
        <v>0</v>
      </c>
      <c r="J79" s="51">
        <f>Demanda!N66/1000</f>
        <v>0</v>
      </c>
      <c r="K79" s="51">
        <f>Demanda!O66/1000</f>
        <v>0</v>
      </c>
      <c r="M79" s="61" t="str">
        <f t="shared" si="25"/>
        <v>Vidreiras</v>
      </c>
      <c r="N79" s="204"/>
      <c r="O79" s="51">
        <f t="shared" si="45"/>
        <v>0</v>
      </c>
      <c r="P79" s="51">
        <f t="shared" si="45"/>
        <v>0</v>
      </c>
      <c r="Q79" s="51">
        <f t="shared" si="45"/>
        <v>0</v>
      </c>
      <c r="R79" s="51">
        <f t="shared" si="45"/>
        <v>0</v>
      </c>
      <c r="S79" s="51">
        <f t="shared" si="45"/>
        <v>0</v>
      </c>
      <c r="U79" s="61" t="str">
        <f t="shared" si="46"/>
        <v>Vidreiras</v>
      </c>
      <c r="V79" s="204"/>
      <c r="W79" s="55">
        <v>0</v>
      </c>
      <c r="X79" s="55">
        <v>0</v>
      </c>
      <c r="Y79" s="55">
        <v>0</v>
      </c>
      <c r="Z79" s="55">
        <v>0</v>
      </c>
      <c r="AA79" s="55">
        <v>0</v>
      </c>
      <c r="AD79" s="58">
        <f>NPV(Inputs!$C$6,Mercado!G79:J79)+(Mercado!K79*Inputs!$C$11)/(1+Inputs!$C$6)^(4.55)</f>
        <v>0</v>
      </c>
    </row>
    <row r="80" spans="1:30" ht="13.5" customHeight="1">
      <c r="B80" s="197"/>
      <c r="C80" s="202"/>
      <c r="D80" s="198"/>
      <c r="E80" s="198"/>
      <c r="F80" s="199">
        <f>SUM(F81)</f>
        <v>0</v>
      </c>
      <c r="G80" s="199">
        <f t="shared" ref="G80:K80" si="48">SUM(G81)</f>
        <v>0</v>
      </c>
      <c r="H80" s="199">
        <f t="shared" si="48"/>
        <v>0</v>
      </c>
      <c r="I80" s="199">
        <f t="shared" si="48"/>
        <v>0</v>
      </c>
      <c r="J80" s="199">
        <f t="shared" si="48"/>
        <v>0</v>
      </c>
      <c r="K80" s="199">
        <f t="shared" si="48"/>
        <v>0</v>
      </c>
      <c r="L80" s="50">
        <v>3</v>
      </c>
      <c r="M80" s="197"/>
      <c r="O80" s="199">
        <f>O81</f>
        <v>0</v>
      </c>
      <c r="P80" s="199">
        <f t="shared" ref="P80:S80" si="49">P81</f>
        <v>0</v>
      </c>
      <c r="Q80" s="199">
        <f t="shared" si="49"/>
        <v>0</v>
      </c>
      <c r="R80" s="199">
        <f t="shared" si="49"/>
        <v>0</v>
      </c>
      <c r="S80" s="199">
        <f t="shared" si="49"/>
        <v>0</v>
      </c>
      <c r="U80" s="197"/>
      <c r="W80" s="199">
        <f>W81</f>
        <v>0</v>
      </c>
      <c r="X80" s="199">
        <f t="shared" ref="X80:AA80" si="50">X81</f>
        <v>0</v>
      </c>
      <c r="Y80" s="199">
        <f t="shared" si="50"/>
        <v>0</v>
      </c>
      <c r="Z80" s="199">
        <f t="shared" si="50"/>
        <v>0</v>
      </c>
      <c r="AA80" s="199">
        <f t="shared" si="50"/>
        <v>0</v>
      </c>
      <c r="AD80" s="58">
        <f>NPV(Inputs!$C$6,Mercado!G80:J80)+(Mercado!K80*Inputs!$C$11)/(1+Inputs!$C$6)^(4.55)</f>
        <v>0</v>
      </c>
    </row>
    <row r="81" spans="1:30">
      <c r="A81" s="192" t="s">
        <v>4819</v>
      </c>
      <c r="B81" s="61" t="s">
        <v>110</v>
      </c>
      <c r="C81" s="123">
        <v>1</v>
      </c>
      <c r="D81" s="58">
        <v>0</v>
      </c>
      <c r="E81" s="51">
        <v>999999999</v>
      </c>
      <c r="F81" s="201">
        <f>Demanda!J93/1000</f>
        <v>0</v>
      </c>
      <c r="G81" s="201">
        <f>Demanda!K93/1000</f>
        <v>0</v>
      </c>
      <c r="H81" s="201">
        <f>Demanda!L93/1000</f>
        <v>0</v>
      </c>
      <c r="I81" s="201">
        <f>Demanda!M93/1000</f>
        <v>0</v>
      </c>
      <c r="J81" s="201">
        <f>Demanda!N93/1000</f>
        <v>0</v>
      </c>
      <c r="K81" s="201">
        <f>Demanda!O93/1000</f>
        <v>0</v>
      </c>
      <c r="M81" s="61" t="str">
        <f t="shared" si="25"/>
        <v>Petroquímico</v>
      </c>
      <c r="O81" s="55">
        <f>G81</f>
        <v>0</v>
      </c>
      <c r="P81" s="55">
        <f>H81</f>
        <v>0</v>
      </c>
      <c r="Q81" s="55">
        <f>I81</f>
        <v>0</v>
      </c>
      <c r="R81" s="55">
        <f>J81</f>
        <v>0</v>
      </c>
      <c r="S81" s="55">
        <f>K81</f>
        <v>0</v>
      </c>
      <c r="U81" s="61" t="str">
        <f t="shared" ref="U81" si="51">B81</f>
        <v>Petroquímico</v>
      </c>
      <c r="W81" s="55">
        <v>0</v>
      </c>
      <c r="X81" s="55">
        <v>0</v>
      </c>
      <c r="Y81" s="55">
        <v>0</v>
      </c>
      <c r="Z81" s="55">
        <v>0</v>
      </c>
      <c r="AA81" s="55">
        <v>0</v>
      </c>
      <c r="AD81" s="58">
        <f>NPV(Inputs!$C$6,Mercado!G81:J81)+(Mercado!K81*Inputs!$C$11)/(1+Inputs!$C$6)^(4.55)</f>
        <v>0</v>
      </c>
    </row>
    <row r="82" spans="1:30">
      <c r="A82" s="192"/>
      <c r="B82" s="197"/>
      <c r="C82" s="202"/>
      <c r="D82" s="198"/>
      <c r="E82" s="198"/>
      <c r="F82" s="199">
        <f>SUM(F83)</f>
        <v>0</v>
      </c>
      <c r="G82" s="199">
        <f t="shared" ref="G82:K82" si="52">SUM(G83)</f>
        <v>94716.909</v>
      </c>
      <c r="H82" s="199">
        <f t="shared" si="52"/>
        <v>353181.63199999998</v>
      </c>
      <c r="I82" s="199">
        <f t="shared" si="52"/>
        <v>0</v>
      </c>
      <c r="J82" s="199">
        <f t="shared" si="52"/>
        <v>0</v>
      </c>
      <c r="K82" s="199">
        <f t="shared" si="52"/>
        <v>0</v>
      </c>
      <c r="L82" s="50">
        <v>5</v>
      </c>
      <c r="M82" s="197"/>
      <c r="O82" s="199">
        <f>O83</f>
        <v>94716.909</v>
      </c>
      <c r="P82" s="199">
        <f t="shared" ref="P82:S82" si="53">P83</f>
        <v>353181.63199999998</v>
      </c>
      <c r="Q82" s="199">
        <f t="shared" si="53"/>
        <v>0</v>
      </c>
      <c r="R82" s="199">
        <f t="shared" si="53"/>
        <v>0</v>
      </c>
      <c r="S82" s="199">
        <f t="shared" si="53"/>
        <v>0</v>
      </c>
      <c r="U82" s="197"/>
      <c r="W82" s="199">
        <f>W83</f>
        <v>94716.909</v>
      </c>
      <c r="X82" s="199">
        <f t="shared" ref="X82:AA82" si="54">X83</f>
        <v>353181.63199999998</v>
      </c>
      <c r="Y82" s="199">
        <f t="shared" si="54"/>
        <v>0</v>
      </c>
      <c r="Z82" s="199">
        <f t="shared" si="54"/>
        <v>0</v>
      </c>
      <c r="AA82" s="199">
        <f t="shared" si="54"/>
        <v>0</v>
      </c>
      <c r="AD82" s="58">
        <f>NPV(Inputs!$C$6,Mercado!G82:J82)+(Mercado!K82*Inputs!$C$11)/(1+Inputs!$C$6)^(4.55)</f>
        <v>384662.8188322864</v>
      </c>
    </row>
    <row r="83" spans="1:30">
      <c r="A83" s="192">
        <v>100</v>
      </c>
      <c r="B83" s="61" t="s">
        <v>111</v>
      </c>
      <c r="C83" s="123">
        <v>1</v>
      </c>
      <c r="D83" s="58">
        <v>0</v>
      </c>
      <c r="E83" s="51">
        <v>999999999</v>
      </c>
      <c r="F83" s="201">
        <f>Demanda!J94/1000</f>
        <v>0</v>
      </c>
      <c r="G83" s="201">
        <f>Demanda!K94/1000</f>
        <v>94716.909</v>
      </c>
      <c r="H83" s="201">
        <f>Demanda!L94/1000</f>
        <v>353181.63199999998</v>
      </c>
      <c r="I83" s="201">
        <f>Demanda!M94/1000</f>
        <v>0</v>
      </c>
      <c r="J83" s="201">
        <f>Demanda!N94/1000</f>
        <v>0</v>
      </c>
      <c r="K83" s="201">
        <f>Demanda!O94/1000</f>
        <v>0</v>
      </c>
      <c r="M83" s="61" t="str">
        <f t="shared" si="25"/>
        <v>Térmicas</v>
      </c>
      <c r="O83" s="55">
        <f>G83</f>
        <v>94716.909</v>
      </c>
      <c r="P83" s="55">
        <f>H83</f>
        <v>353181.63199999998</v>
      </c>
      <c r="Q83" s="55">
        <f>I83</f>
        <v>0</v>
      </c>
      <c r="R83" s="55">
        <f>J83</f>
        <v>0</v>
      </c>
      <c r="S83" s="55">
        <f>K83</f>
        <v>0</v>
      </c>
      <c r="U83" s="61" t="str">
        <f t="shared" ref="U83" si="55">B83</f>
        <v>Térmicas</v>
      </c>
      <c r="W83" s="55">
        <f>G83</f>
        <v>94716.909</v>
      </c>
      <c r="X83" s="55">
        <f t="shared" ref="X83:AA83" si="56">H83</f>
        <v>353181.63199999998</v>
      </c>
      <c r="Y83" s="55">
        <f t="shared" si="56"/>
        <v>0</v>
      </c>
      <c r="Z83" s="55">
        <f t="shared" si="56"/>
        <v>0</v>
      </c>
      <c r="AA83" s="55">
        <f t="shared" si="56"/>
        <v>0</v>
      </c>
      <c r="AD83" s="58">
        <f>NPV(Inputs!$C$6,Mercado!G83:J83)+(Mercado!K83*Inputs!$C$11)/(1+Inputs!$C$6)^(4.55)</f>
        <v>384662.8188322864</v>
      </c>
    </row>
    <row r="84" spans="1:30" ht="13.5" customHeight="1">
      <c r="B84" s="197"/>
      <c r="C84" s="202"/>
      <c r="D84" s="198"/>
      <c r="E84" s="198"/>
      <c r="F84" s="199">
        <f>SUM(F85)</f>
        <v>0</v>
      </c>
      <c r="G84" s="199">
        <f t="shared" ref="G84:K84" si="57">SUM(G85)</f>
        <v>0</v>
      </c>
      <c r="H84" s="199">
        <f t="shared" si="57"/>
        <v>0</v>
      </c>
      <c r="I84" s="199">
        <f t="shared" si="57"/>
        <v>0</v>
      </c>
      <c r="J84" s="199">
        <f t="shared" si="57"/>
        <v>0</v>
      </c>
      <c r="K84" s="199">
        <f t="shared" si="57"/>
        <v>0</v>
      </c>
      <c r="L84" s="50">
        <v>1</v>
      </c>
      <c r="M84" s="197"/>
      <c r="O84" s="199">
        <f>O85</f>
        <v>0</v>
      </c>
      <c r="P84" s="199">
        <f t="shared" ref="P84:S84" si="58">P85</f>
        <v>0</v>
      </c>
      <c r="Q84" s="199">
        <f t="shared" si="58"/>
        <v>0</v>
      </c>
      <c r="R84" s="199">
        <f t="shared" si="58"/>
        <v>0</v>
      </c>
      <c r="S84" s="199">
        <f t="shared" si="58"/>
        <v>0</v>
      </c>
      <c r="U84" s="197"/>
      <c r="W84" s="199">
        <f>W85</f>
        <v>0</v>
      </c>
      <c r="X84" s="199">
        <f t="shared" ref="X84:AA84" si="59">X85</f>
        <v>0</v>
      </c>
      <c r="Y84" s="199">
        <f t="shared" si="59"/>
        <v>0</v>
      </c>
      <c r="Z84" s="199">
        <f t="shared" si="59"/>
        <v>0</v>
      </c>
      <c r="AA84" s="199">
        <f t="shared" si="59"/>
        <v>0</v>
      </c>
      <c r="AD84" s="58">
        <f>NPV(Inputs!$C$6,Mercado!G84:J84)+(Mercado!K84*Inputs!$C$11)/(1+Inputs!$C$6)^(4.55)</f>
        <v>0</v>
      </c>
    </row>
    <row r="85" spans="1:30">
      <c r="A85" s="192" t="s">
        <v>4820</v>
      </c>
      <c r="B85" s="61" t="s">
        <v>4632</v>
      </c>
      <c r="C85" s="123">
        <v>1</v>
      </c>
      <c r="D85" s="58">
        <v>0</v>
      </c>
      <c r="E85" s="51">
        <v>999999999</v>
      </c>
      <c r="F85" s="201">
        <f>Demanda!J95/1000</f>
        <v>0</v>
      </c>
      <c r="G85" s="201">
        <f>Demanda!K95/1000</f>
        <v>0</v>
      </c>
      <c r="H85" s="201">
        <f>Demanda!L95/1000</f>
        <v>0</v>
      </c>
      <c r="I85" s="201">
        <f>Demanda!M95/1000</f>
        <v>0</v>
      </c>
      <c r="J85" s="201">
        <f>Demanda!N95/1000</f>
        <v>0</v>
      </c>
      <c r="K85" s="201">
        <f>Demanda!O95/1000</f>
        <v>0</v>
      </c>
      <c r="M85" s="61" t="str">
        <f t="shared" si="25"/>
        <v>GLP Residencial</v>
      </c>
      <c r="O85" s="55">
        <f>G85</f>
        <v>0</v>
      </c>
      <c r="P85" s="55">
        <f>H85</f>
        <v>0</v>
      </c>
      <c r="Q85" s="55">
        <f>I85</f>
        <v>0</v>
      </c>
      <c r="R85" s="55">
        <f>J85</f>
        <v>0</v>
      </c>
      <c r="S85" s="55">
        <f>K85</f>
        <v>0</v>
      </c>
      <c r="U85" s="61" t="str">
        <f t="shared" ref="U85" si="60">B85</f>
        <v>GLP Residencial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  <c r="AD85" s="58">
        <f>NPV(Inputs!$C$6,Mercado!G85:J85)+(Mercado!K85*Inputs!$C$11)/(1+Inputs!$C$6)^(4.55)</f>
        <v>0</v>
      </c>
    </row>
    <row r="86" spans="1:30">
      <c r="A86" s="192"/>
      <c r="B86" s="197"/>
      <c r="C86" s="202"/>
      <c r="D86" s="198"/>
      <c r="E86" s="198"/>
      <c r="F86" s="199">
        <f>SUM(F87)</f>
        <v>0</v>
      </c>
      <c r="G86" s="199">
        <f t="shared" ref="G86:K86" si="61">SUM(G87)</f>
        <v>0</v>
      </c>
      <c r="H86" s="199">
        <f t="shared" si="61"/>
        <v>0</v>
      </c>
      <c r="I86" s="199">
        <f t="shared" si="61"/>
        <v>0</v>
      </c>
      <c r="J86" s="199">
        <f t="shared" si="61"/>
        <v>0</v>
      </c>
      <c r="K86" s="199">
        <f t="shared" si="61"/>
        <v>0</v>
      </c>
      <c r="L86" s="50">
        <v>3</v>
      </c>
      <c r="M86" s="197"/>
      <c r="O86" s="199">
        <f>O87</f>
        <v>0</v>
      </c>
      <c r="P86" s="199">
        <f t="shared" ref="P86:S86" si="62">P87</f>
        <v>0</v>
      </c>
      <c r="Q86" s="199">
        <f t="shared" si="62"/>
        <v>0</v>
      </c>
      <c r="R86" s="199">
        <f t="shared" si="62"/>
        <v>0</v>
      </c>
      <c r="S86" s="199">
        <f t="shared" si="62"/>
        <v>0</v>
      </c>
      <c r="U86" s="197"/>
      <c r="W86" s="199">
        <f>W87</f>
        <v>0</v>
      </c>
      <c r="X86" s="199">
        <f t="shared" ref="X86:AA86" si="63">X87</f>
        <v>0</v>
      </c>
      <c r="Y86" s="199">
        <f t="shared" si="63"/>
        <v>0</v>
      </c>
      <c r="Z86" s="199">
        <f t="shared" si="63"/>
        <v>0</v>
      </c>
      <c r="AA86" s="199">
        <f t="shared" si="63"/>
        <v>0</v>
      </c>
      <c r="AD86" s="58">
        <f>NPV(Inputs!$C$6,Mercado!G86:J86)+(Mercado!K86*Inputs!$C$11)/(1+Inputs!$C$6)^(4.55)</f>
        <v>0</v>
      </c>
    </row>
    <row r="87" spans="1:30">
      <c r="A87" s="192" t="s">
        <v>4821</v>
      </c>
      <c r="B87" s="61" t="s">
        <v>4633</v>
      </c>
      <c r="C87" s="123">
        <v>1</v>
      </c>
      <c r="D87" s="58">
        <v>0</v>
      </c>
      <c r="E87" s="51">
        <v>999999999</v>
      </c>
      <c r="F87" s="201">
        <f>Demanda!J96/1000</f>
        <v>0</v>
      </c>
      <c r="G87" s="201">
        <f>Demanda!K96/1000</f>
        <v>0</v>
      </c>
      <c r="H87" s="201">
        <f>Demanda!L96/1000</f>
        <v>0</v>
      </c>
      <c r="I87" s="201">
        <f>Demanda!M96/1000</f>
        <v>0</v>
      </c>
      <c r="J87" s="201">
        <f>Demanda!N96/1000</f>
        <v>0</v>
      </c>
      <c r="K87" s="201">
        <f>Demanda!O96/1000</f>
        <v>0</v>
      </c>
      <c r="M87" s="61" t="str">
        <f t="shared" si="25"/>
        <v>GLP Industrial</v>
      </c>
      <c r="O87" s="55">
        <f>G87</f>
        <v>0</v>
      </c>
      <c r="P87" s="55">
        <f>H87</f>
        <v>0</v>
      </c>
      <c r="Q87" s="55">
        <f>I87</f>
        <v>0</v>
      </c>
      <c r="R87" s="55">
        <f>J87</f>
        <v>0</v>
      </c>
      <c r="S87" s="55">
        <f>K87</f>
        <v>0</v>
      </c>
      <c r="U87" s="61" t="str">
        <f t="shared" ref="U87" si="64">B87</f>
        <v>GLP Industrial</v>
      </c>
      <c r="W87" s="55">
        <v>0</v>
      </c>
      <c r="X87" s="55">
        <v>0</v>
      </c>
      <c r="Y87" s="55">
        <v>0</v>
      </c>
      <c r="Z87" s="55">
        <v>0</v>
      </c>
      <c r="AA87" s="55">
        <v>0</v>
      </c>
      <c r="AD87" s="58">
        <f>NPV(Inputs!$C$6,Mercado!G87:J87)+(Mercado!K87*Inputs!$C$11)/(1+Inputs!$C$6)^(4.55)</f>
        <v>0</v>
      </c>
    </row>
    <row r="88" spans="1:30">
      <c r="A88" s="192"/>
      <c r="B88" s="197"/>
      <c r="C88" s="202"/>
      <c r="D88" s="198"/>
      <c r="E88" s="198"/>
      <c r="F88" s="199">
        <f>SUM(F89)</f>
        <v>0</v>
      </c>
      <c r="G88" s="199">
        <f t="shared" ref="G88:K88" si="65">SUM(G89)</f>
        <v>60162.091</v>
      </c>
      <c r="H88" s="199">
        <f t="shared" si="65"/>
        <v>227368.23400000011</v>
      </c>
      <c r="I88" s="199">
        <f t="shared" si="65"/>
        <v>92927.4</v>
      </c>
      <c r="J88" s="199">
        <f t="shared" si="65"/>
        <v>402856.53478460072</v>
      </c>
      <c r="K88" s="199">
        <f t="shared" si="65"/>
        <v>402856.53478460072</v>
      </c>
      <c r="L88" s="50">
        <v>5</v>
      </c>
      <c r="M88" s="197"/>
      <c r="O88" s="199">
        <f>O89</f>
        <v>0</v>
      </c>
      <c r="P88" s="199">
        <f t="shared" ref="P88:S88" si="66">P89</f>
        <v>0</v>
      </c>
      <c r="Q88" s="199">
        <f t="shared" si="66"/>
        <v>0</v>
      </c>
      <c r="R88" s="199">
        <f t="shared" si="66"/>
        <v>0</v>
      </c>
      <c r="S88" s="199">
        <f t="shared" si="66"/>
        <v>0</v>
      </c>
      <c r="U88" s="197"/>
      <c r="W88" s="199">
        <f>W89</f>
        <v>60162.091</v>
      </c>
      <c r="X88" s="199">
        <f t="shared" ref="X88:AA88" si="67">X89</f>
        <v>227368.23400000011</v>
      </c>
      <c r="Y88" s="199">
        <f t="shared" si="67"/>
        <v>92927.4</v>
      </c>
      <c r="Z88" s="199">
        <f t="shared" si="67"/>
        <v>402856.53478460072</v>
      </c>
      <c r="AA88" s="199">
        <f t="shared" si="67"/>
        <v>402856.53478460072</v>
      </c>
      <c r="AD88" s="58">
        <f>NPV(Inputs!$C$6,Mercado!G88:J88)+(Mercado!K88*Inputs!$C$11)/(1+Inputs!$C$6)^(4.55)</f>
        <v>755424.22459014738</v>
      </c>
    </row>
    <row r="89" spans="1:30">
      <c r="A89" s="192" t="s">
        <v>4822</v>
      </c>
      <c r="B89" s="61" t="s">
        <v>4635</v>
      </c>
      <c r="C89" s="123">
        <v>1</v>
      </c>
      <c r="D89" s="58">
        <v>0</v>
      </c>
      <c r="E89" s="51">
        <v>999999999</v>
      </c>
      <c r="F89" s="201">
        <f>Demanda!J97/1000</f>
        <v>0</v>
      </c>
      <c r="G89" s="201">
        <f>Demanda!K97/1000</f>
        <v>60162.091</v>
      </c>
      <c r="H89" s="201">
        <f>Demanda!L97/1000</f>
        <v>227368.23400000011</v>
      </c>
      <c r="I89" s="201">
        <f>Demanda!M97/1000</f>
        <v>92927.4</v>
      </c>
      <c r="J89" s="201">
        <f>Demanda!N97/1000</f>
        <v>402856.53478460072</v>
      </c>
      <c r="K89" s="201">
        <f>Demanda!O97/1000</f>
        <v>402856.53478460072</v>
      </c>
      <c r="M89" s="61" t="str">
        <f t="shared" si="25"/>
        <v>Térmicas - CL, AI, AP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/>
      <c r="U89" s="61" t="str">
        <f t="shared" ref="U89" si="68">B89</f>
        <v>Térmicas - CL, AI, AP</v>
      </c>
      <c r="W89" s="55">
        <f>G89</f>
        <v>60162.091</v>
      </c>
      <c r="X89" s="55">
        <f t="shared" ref="X89:AA89" si="69">H89</f>
        <v>227368.23400000011</v>
      </c>
      <c r="Y89" s="55">
        <f t="shared" si="69"/>
        <v>92927.4</v>
      </c>
      <c r="Z89" s="55">
        <f t="shared" si="69"/>
        <v>402856.53478460072</v>
      </c>
      <c r="AA89" s="55">
        <f t="shared" si="69"/>
        <v>402856.53478460072</v>
      </c>
      <c r="AD89" s="58">
        <f>NPV(Inputs!$C$6,Mercado!G89:J89)+(Mercado!K89*Inputs!$C$11)/(1+Inputs!$C$6)^(4.55)</f>
        <v>755424.22459014738</v>
      </c>
    </row>
    <row r="90" spans="1:30">
      <c r="B90" s="198"/>
      <c r="C90" s="202"/>
      <c r="D90" s="198"/>
      <c r="E90" s="198"/>
      <c r="F90" s="199">
        <f>SUM(F91:F100)</f>
        <v>0</v>
      </c>
      <c r="G90" s="199">
        <f t="shared" ref="G90:K90" si="70">SUM(G91:G100)</f>
        <v>0</v>
      </c>
      <c r="H90" s="199">
        <f t="shared" si="70"/>
        <v>236550.927</v>
      </c>
      <c r="I90" s="199">
        <f t="shared" si="70"/>
        <v>341259.60697449703</v>
      </c>
      <c r="J90" s="199">
        <f t="shared" si="70"/>
        <v>334434.41483500699</v>
      </c>
      <c r="K90" s="199">
        <f t="shared" si="70"/>
        <v>327745.72653830686</v>
      </c>
      <c r="L90" s="50">
        <v>3</v>
      </c>
      <c r="M90" s="198"/>
      <c r="O90" s="200">
        <f>SUM(O91:O100)</f>
        <v>0</v>
      </c>
      <c r="P90" s="200">
        <f t="shared" ref="P90:S90" si="71">SUM(P91:P100)</f>
        <v>0</v>
      </c>
      <c r="Q90" s="200">
        <f t="shared" si="71"/>
        <v>0</v>
      </c>
      <c r="R90" s="200">
        <f t="shared" si="71"/>
        <v>0</v>
      </c>
      <c r="S90" s="200">
        <f t="shared" si="71"/>
        <v>0</v>
      </c>
      <c r="U90" s="198"/>
      <c r="W90" s="200">
        <f>SUM(W91:W100)</f>
        <v>0</v>
      </c>
      <c r="X90" s="200">
        <f t="shared" ref="X90:AA90" si="72">SUM(X91:X100)</f>
        <v>236550.927</v>
      </c>
      <c r="Y90" s="200">
        <f t="shared" si="72"/>
        <v>341259.60697449703</v>
      </c>
      <c r="Z90" s="200">
        <f t="shared" si="72"/>
        <v>334434.41483500699</v>
      </c>
      <c r="AA90" s="200">
        <f t="shared" si="72"/>
        <v>327745.72653830686</v>
      </c>
      <c r="AD90" s="58">
        <f>NPV(Inputs!$C$6,Mercado!G90:J90)+(Mercado!K90*Inputs!$C$11)/(1+Inputs!$C$6)^(4.55)</f>
        <v>823456.48323028674</v>
      </c>
    </row>
    <row r="91" spans="1:30">
      <c r="A91" s="192" t="s">
        <v>4823</v>
      </c>
      <c r="B91" s="61" t="s">
        <v>152</v>
      </c>
      <c r="C91" s="123">
        <v>1</v>
      </c>
      <c r="D91" s="58">
        <v>0</v>
      </c>
      <c r="E91" s="70">
        <v>200</v>
      </c>
      <c r="F91" s="51">
        <f>Demanda!J98/1000</f>
        <v>0</v>
      </c>
      <c r="G91" s="51">
        <f>Demanda!K98/1000</f>
        <v>0</v>
      </c>
      <c r="H91" s="51">
        <f>Demanda!L98/1000</f>
        <v>2.4</v>
      </c>
      <c r="I91" s="51">
        <f>Demanda!M98/1000</f>
        <v>2.4</v>
      </c>
      <c r="J91" s="51">
        <f>Demanda!N98/1000</f>
        <v>2.4</v>
      </c>
      <c r="K91" s="51">
        <f>Demanda!O98/1000</f>
        <v>2.4</v>
      </c>
      <c r="M91" s="61" t="str">
        <f t="shared" si="25"/>
        <v>Industrial - Consumidor Livre/Auto-importador/Autoprodutor</v>
      </c>
      <c r="N91" s="58"/>
      <c r="O91" s="51">
        <v>0</v>
      </c>
      <c r="P91" s="51">
        <v>0</v>
      </c>
      <c r="Q91" s="51">
        <v>0</v>
      </c>
      <c r="R91" s="51">
        <v>0</v>
      </c>
      <c r="S91" s="51">
        <v>0</v>
      </c>
      <c r="U91" s="61" t="str">
        <f>B91</f>
        <v>Industrial - Consumidor Livre/Auto-importador/Autoprodutor</v>
      </c>
      <c r="V91" s="58"/>
      <c r="W91" s="55">
        <f>G91</f>
        <v>0</v>
      </c>
      <c r="X91" s="55">
        <f t="shared" ref="X91:AA100" si="73">H91</f>
        <v>2.4</v>
      </c>
      <c r="Y91" s="55">
        <f t="shared" si="73"/>
        <v>2.4</v>
      </c>
      <c r="Z91" s="55">
        <f t="shared" si="73"/>
        <v>2.4</v>
      </c>
      <c r="AA91" s="55">
        <f t="shared" si="73"/>
        <v>2.4</v>
      </c>
      <c r="AD91" s="58">
        <f>NPV(Inputs!$C$6,Mercado!G91:J91)+(Mercado!K91*Inputs!$C$11)/(1+Inputs!$C$6)^(4.55)</f>
        <v>6.4814797596030838</v>
      </c>
    </row>
    <row r="92" spans="1:30">
      <c r="A92" s="192" t="s">
        <v>4824</v>
      </c>
      <c r="B92" s="61" t="s">
        <v>152</v>
      </c>
      <c r="C92" s="123">
        <v>2</v>
      </c>
      <c r="D92" s="51">
        <f>E91+1</f>
        <v>201</v>
      </c>
      <c r="E92" s="70">
        <v>2000</v>
      </c>
      <c r="F92" s="51">
        <f>Demanda!J99/1000</f>
        <v>0</v>
      </c>
      <c r="G92" s="51">
        <f>Demanda!K99/1000</f>
        <v>0</v>
      </c>
      <c r="H92" s="51">
        <f>Demanda!L99/1000</f>
        <v>21.6</v>
      </c>
      <c r="I92" s="51">
        <f>Demanda!M99/1000</f>
        <v>21.6</v>
      </c>
      <c r="J92" s="51">
        <f>Demanda!N99/1000</f>
        <v>21.6</v>
      </c>
      <c r="K92" s="51">
        <f>Demanda!O99/1000</f>
        <v>21.6</v>
      </c>
      <c r="M92" s="61" t="str">
        <f t="shared" si="25"/>
        <v>Industrial - Consumidor Livre/Auto-importador/Autoprodutor</v>
      </c>
      <c r="N92" s="58"/>
      <c r="O92" s="51">
        <v>0</v>
      </c>
      <c r="P92" s="51">
        <v>0</v>
      </c>
      <c r="Q92" s="51">
        <v>0</v>
      </c>
      <c r="R92" s="51">
        <v>0</v>
      </c>
      <c r="S92" s="51">
        <v>0</v>
      </c>
      <c r="U92" s="61" t="str">
        <f t="shared" ref="U92:U102" si="74">B92</f>
        <v>Industrial - Consumidor Livre/Auto-importador/Autoprodutor</v>
      </c>
      <c r="V92" s="58"/>
      <c r="W92" s="55">
        <f t="shared" ref="W92:W100" si="75">G92</f>
        <v>0</v>
      </c>
      <c r="X92" s="55">
        <f t="shared" si="73"/>
        <v>21.6</v>
      </c>
      <c r="Y92" s="55">
        <f t="shared" si="73"/>
        <v>21.6</v>
      </c>
      <c r="Z92" s="55">
        <f t="shared" si="73"/>
        <v>21.6</v>
      </c>
      <c r="AA92" s="55">
        <f t="shared" si="73"/>
        <v>21.6</v>
      </c>
      <c r="AD92" s="58">
        <f>NPV(Inputs!$C$6,Mercado!G92:J92)+(Mercado!K92*Inputs!$C$11)/(1+Inputs!$C$6)^(4.55)</f>
        <v>58.333317836427753</v>
      </c>
    </row>
    <row r="93" spans="1:30">
      <c r="A93" s="192" t="s">
        <v>4825</v>
      </c>
      <c r="B93" s="61" t="s">
        <v>152</v>
      </c>
      <c r="C93" s="123">
        <v>3</v>
      </c>
      <c r="D93" s="51">
        <f t="shared" ref="D93:D100" si="76">E92+1</f>
        <v>2001</v>
      </c>
      <c r="E93" s="70">
        <v>10000</v>
      </c>
      <c r="F93" s="51">
        <f>Demanda!J100/1000</f>
        <v>0</v>
      </c>
      <c r="G93" s="51">
        <f>Demanda!K100/1000</f>
        <v>0</v>
      </c>
      <c r="H93" s="51">
        <f>Demanda!L100/1000</f>
        <v>96</v>
      </c>
      <c r="I93" s="51">
        <f>Demanda!M100/1000</f>
        <v>96</v>
      </c>
      <c r="J93" s="51">
        <f>Demanda!N100/1000</f>
        <v>96</v>
      </c>
      <c r="K93" s="51">
        <f>Demanda!O100/1000</f>
        <v>96</v>
      </c>
      <c r="M93" s="61" t="str">
        <f t="shared" si="25"/>
        <v>Industrial - Consumidor Livre/Auto-importador/Autoprodutor</v>
      </c>
      <c r="N93" s="58"/>
      <c r="O93" s="51">
        <v>0</v>
      </c>
      <c r="P93" s="51">
        <v>0</v>
      </c>
      <c r="Q93" s="51">
        <v>0</v>
      </c>
      <c r="R93" s="51">
        <v>0</v>
      </c>
      <c r="S93" s="51">
        <v>0</v>
      </c>
      <c r="U93" s="61" t="str">
        <f t="shared" si="74"/>
        <v>Industrial - Consumidor Livre/Auto-importador/Autoprodutor</v>
      </c>
      <c r="V93" s="58"/>
      <c r="W93" s="55">
        <f t="shared" si="75"/>
        <v>0</v>
      </c>
      <c r="X93" s="55">
        <f t="shared" si="73"/>
        <v>96</v>
      </c>
      <c r="Y93" s="55">
        <f t="shared" si="73"/>
        <v>96</v>
      </c>
      <c r="Z93" s="55">
        <f t="shared" si="73"/>
        <v>96</v>
      </c>
      <c r="AA93" s="55">
        <f t="shared" si="73"/>
        <v>96</v>
      </c>
      <c r="AD93" s="58">
        <f>NPV(Inputs!$C$6,Mercado!G93:J93)+(Mercado!K93*Inputs!$C$11)/(1+Inputs!$C$6)^(4.55)</f>
        <v>259.25919038412337</v>
      </c>
    </row>
    <row r="94" spans="1:30">
      <c r="A94" s="192" t="s">
        <v>4826</v>
      </c>
      <c r="B94" s="61" t="s">
        <v>152</v>
      </c>
      <c r="C94" s="123">
        <v>4</v>
      </c>
      <c r="D94" s="51">
        <f t="shared" si="76"/>
        <v>10001</v>
      </c>
      <c r="E94" s="70">
        <v>50000</v>
      </c>
      <c r="F94" s="51">
        <f>Demanda!J101/1000</f>
        <v>0</v>
      </c>
      <c r="G94" s="51">
        <f>Demanda!K101/1000</f>
        <v>0</v>
      </c>
      <c r="H94" s="51">
        <f>Demanda!L101/1000</f>
        <v>480</v>
      </c>
      <c r="I94" s="51">
        <f>Demanda!M101/1000</f>
        <v>480</v>
      </c>
      <c r="J94" s="51">
        <f>Demanda!N101/1000</f>
        <v>480</v>
      </c>
      <c r="K94" s="51">
        <f>Demanda!O101/1000</f>
        <v>480</v>
      </c>
      <c r="M94" s="61" t="str">
        <f t="shared" si="25"/>
        <v>Industrial - Consumidor Livre/Auto-importador/Autoprodutor</v>
      </c>
      <c r="N94" s="58"/>
      <c r="O94" s="51">
        <v>0</v>
      </c>
      <c r="P94" s="51">
        <v>0</v>
      </c>
      <c r="Q94" s="51">
        <v>0</v>
      </c>
      <c r="R94" s="51">
        <v>0</v>
      </c>
      <c r="S94" s="51">
        <v>0</v>
      </c>
      <c r="U94" s="61" t="str">
        <f t="shared" si="74"/>
        <v>Industrial - Consumidor Livre/Auto-importador/Autoprodutor</v>
      </c>
      <c r="V94" s="58"/>
      <c r="W94" s="55">
        <f t="shared" si="75"/>
        <v>0</v>
      </c>
      <c r="X94" s="55">
        <f t="shared" si="73"/>
        <v>480</v>
      </c>
      <c r="Y94" s="55">
        <f t="shared" si="73"/>
        <v>480</v>
      </c>
      <c r="Z94" s="55">
        <f t="shared" si="73"/>
        <v>480</v>
      </c>
      <c r="AA94" s="55">
        <f t="shared" si="73"/>
        <v>480</v>
      </c>
      <c r="AD94" s="58">
        <f>NPV(Inputs!$C$6,Mercado!G94:J94)+(Mercado!K94*Inputs!$C$11)/(1+Inputs!$C$6)^(4.55)</f>
        <v>1296.295951920617</v>
      </c>
    </row>
    <row r="95" spans="1:30">
      <c r="A95" s="192" t="s">
        <v>4827</v>
      </c>
      <c r="B95" s="61" t="s">
        <v>152</v>
      </c>
      <c r="C95" s="123">
        <v>5</v>
      </c>
      <c r="D95" s="51">
        <f t="shared" si="76"/>
        <v>50001</v>
      </c>
      <c r="E95" s="70">
        <v>100000</v>
      </c>
      <c r="F95" s="51">
        <f>Demanda!J102/1000</f>
        <v>0</v>
      </c>
      <c r="G95" s="51">
        <f>Demanda!K102/1000</f>
        <v>0</v>
      </c>
      <c r="H95" s="51">
        <f>Demanda!L102/1000</f>
        <v>600</v>
      </c>
      <c r="I95" s="51">
        <f>Demanda!M102/1000</f>
        <v>600</v>
      </c>
      <c r="J95" s="51">
        <f>Demanda!N102/1000</f>
        <v>600</v>
      </c>
      <c r="K95" s="51">
        <f>Demanda!O102/1000</f>
        <v>600</v>
      </c>
      <c r="M95" s="61" t="str">
        <f t="shared" si="25"/>
        <v>Industrial - Consumidor Livre/Auto-importador/Autoprodutor</v>
      </c>
      <c r="N95" s="58"/>
      <c r="O95" s="51">
        <v>0</v>
      </c>
      <c r="P95" s="51">
        <v>0</v>
      </c>
      <c r="Q95" s="51">
        <v>0</v>
      </c>
      <c r="R95" s="51">
        <v>0</v>
      </c>
      <c r="S95" s="51">
        <v>0</v>
      </c>
      <c r="U95" s="61" t="str">
        <f t="shared" si="74"/>
        <v>Industrial - Consumidor Livre/Auto-importador/Autoprodutor</v>
      </c>
      <c r="V95" s="58"/>
      <c r="W95" s="55">
        <f t="shared" si="75"/>
        <v>0</v>
      </c>
      <c r="X95" s="55">
        <f t="shared" si="73"/>
        <v>600</v>
      </c>
      <c r="Y95" s="55">
        <f t="shared" si="73"/>
        <v>600</v>
      </c>
      <c r="Z95" s="55">
        <f t="shared" si="73"/>
        <v>600</v>
      </c>
      <c r="AA95" s="55">
        <f t="shared" si="73"/>
        <v>600</v>
      </c>
      <c r="AD95" s="58">
        <f>NPV(Inputs!$C$6,Mercado!G95:J95)+(Mercado!K95*Inputs!$C$11)/(1+Inputs!$C$6)^(4.55)</f>
        <v>1620.369939900771</v>
      </c>
    </row>
    <row r="96" spans="1:30">
      <c r="A96" s="192" t="s">
        <v>4828</v>
      </c>
      <c r="B96" s="61" t="s">
        <v>152</v>
      </c>
      <c r="C96" s="123">
        <v>6</v>
      </c>
      <c r="D96" s="51">
        <f t="shared" si="76"/>
        <v>100001</v>
      </c>
      <c r="E96" s="70">
        <v>300000</v>
      </c>
      <c r="F96" s="51">
        <f>Demanda!J103/1000</f>
        <v>0</v>
      </c>
      <c r="G96" s="51">
        <f>Demanda!K103/1000</f>
        <v>0</v>
      </c>
      <c r="H96" s="51">
        <f>Demanda!L103/1000</f>
        <v>2400</v>
      </c>
      <c r="I96" s="51">
        <f>Demanda!M103/1000</f>
        <v>2400</v>
      </c>
      <c r="J96" s="51">
        <f>Demanda!N103/1000</f>
        <v>2400</v>
      </c>
      <c r="K96" s="51">
        <f>Demanda!O103/1000</f>
        <v>2400</v>
      </c>
      <c r="M96" s="61" t="str">
        <f t="shared" si="25"/>
        <v>Industrial - Consumidor Livre/Auto-importador/Autoprodutor</v>
      </c>
      <c r="N96" s="58"/>
      <c r="O96" s="51">
        <v>0</v>
      </c>
      <c r="P96" s="51">
        <v>0</v>
      </c>
      <c r="Q96" s="51">
        <v>0</v>
      </c>
      <c r="R96" s="51">
        <v>0</v>
      </c>
      <c r="S96" s="51">
        <v>0</v>
      </c>
      <c r="U96" s="61" t="str">
        <f t="shared" si="74"/>
        <v>Industrial - Consumidor Livre/Auto-importador/Autoprodutor</v>
      </c>
      <c r="V96" s="58"/>
      <c r="W96" s="55">
        <f t="shared" si="75"/>
        <v>0</v>
      </c>
      <c r="X96" s="55">
        <f t="shared" si="73"/>
        <v>2400</v>
      </c>
      <c r="Y96" s="55">
        <f t="shared" si="73"/>
        <v>2400</v>
      </c>
      <c r="Z96" s="55">
        <f t="shared" si="73"/>
        <v>2400</v>
      </c>
      <c r="AA96" s="55">
        <f t="shared" si="73"/>
        <v>2400</v>
      </c>
      <c r="AD96" s="58">
        <f>NPV(Inputs!$C$6,Mercado!G96:J96)+(Mercado!K96*Inputs!$C$11)/(1+Inputs!$C$6)^(4.55)</f>
        <v>6481.4797596030839</v>
      </c>
    </row>
    <row r="97" spans="1:30">
      <c r="A97" s="192" t="s">
        <v>4829</v>
      </c>
      <c r="B97" s="61" t="s">
        <v>152</v>
      </c>
      <c r="C97" s="123">
        <v>7</v>
      </c>
      <c r="D97" s="51">
        <f t="shared" si="76"/>
        <v>300001</v>
      </c>
      <c r="E97" s="70">
        <v>600000</v>
      </c>
      <c r="F97" s="51">
        <f>Demanda!J104/1000</f>
        <v>0</v>
      </c>
      <c r="G97" s="51">
        <f>Demanda!K104/1000</f>
        <v>0</v>
      </c>
      <c r="H97" s="51">
        <f>Demanda!L104/1000</f>
        <v>3600</v>
      </c>
      <c r="I97" s="51">
        <f>Demanda!M104/1000</f>
        <v>3600</v>
      </c>
      <c r="J97" s="51">
        <f>Demanda!N104/1000</f>
        <v>3600</v>
      </c>
      <c r="K97" s="51">
        <f>Demanda!O104/1000</f>
        <v>3600</v>
      </c>
      <c r="M97" s="61" t="str">
        <f t="shared" si="25"/>
        <v>Industrial - Consumidor Livre/Auto-importador/Autoprodutor</v>
      </c>
      <c r="N97" s="58"/>
      <c r="O97" s="51">
        <v>0</v>
      </c>
      <c r="P97" s="51">
        <v>0</v>
      </c>
      <c r="Q97" s="51">
        <v>0</v>
      </c>
      <c r="R97" s="51">
        <v>0</v>
      </c>
      <c r="S97" s="51">
        <v>0</v>
      </c>
      <c r="U97" s="61" t="str">
        <f t="shared" si="74"/>
        <v>Industrial - Consumidor Livre/Auto-importador/Autoprodutor</v>
      </c>
      <c r="V97" s="58"/>
      <c r="W97" s="55">
        <f t="shared" si="75"/>
        <v>0</v>
      </c>
      <c r="X97" s="55">
        <f t="shared" si="73"/>
        <v>3600</v>
      </c>
      <c r="Y97" s="55">
        <f t="shared" si="73"/>
        <v>3600</v>
      </c>
      <c r="Z97" s="55">
        <f t="shared" si="73"/>
        <v>3600</v>
      </c>
      <c r="AA97" s="55">
        <f t="shared" si="73"/>
        <v>3600</v>
      </c>
      <c r="AD97" s="58">
        <f>NPV(Inputs!$C$6,Mercado!G97:J97)+(Mercado!K97*Inputs!$C$11)/(1+Inputs!$C$6)^(4.55)</f>
        <v>9722.2196394046259</v>
      </c>
    </row>
    <row r="98" spans="1:30">
      <c r="A98" s="192" t="s">
        <v>4830</v>
      </c>
      <c r="B98" s="61" t="s">
        <v>152</v>
      </c>
      <c r="C98" s="123">
        <v>8</v>
      </c>
      <c r="D98" s="51">
        <f t="shared" si="76"/>
        <v>600001</v>
      </c>
      <c r="E98" s="70">
        <v>1500000</v>
      </c>
      <c r="F98" s="51">
        <f>Demanda!J105/1000</f>
        <v>0</v>
      </c>
      <c r="G98" s="51">
        <f>Demanda!K105/1000</f>
        <v>0</v>
      </c>
      <c r="H98" s="51">
        <f>Demanda!L105/1000</f>
        <v>10800</v>
      </c>
      <c r="I98" s="51">
        <f>Demanda!M105/1000</f>
        <v>10800</v>
      </c>
      <c r="J98" s="51">
        <f>Demanda!N105/1000</f>
        <v>10800</v>
      </c>
      <c r="K98" s="51">
        <f>Demanda!O105/1000</f>
        <v>10800</v>
      </c>
      <c r="M98" s="61" t="str">
        <f t="shared" si="25"/>
        <v>Industrial - Consumidor Livre/Auto-importador/Autoprodutor</v>
      </c>
      <c r="N98" s="58"/>
      <c r="O98" s="51">
        <v>0</v>
      </c>
      <c r="P98" s="51">
        <v>0</v>
      </c>
      <c r="Q98" s="51">
        <v>0</v>
      </c>
      <c r="R98" s="51">
        <v>0</v>
      </c>
      <c r="S98" s="51">
        <v>0</v>
      </c>
      <c r="U98" s="61" t="str">
        <f t="shared" si="74"/>
        <v>Industrial - Consumidor Livre/Auto-importador/Autoprodutor</v>
      </c>
      <c r="V98" s="58"/>
      <c r="W98" s="55">
        <f t="shared" si="75"/>
        <v>0</v>
      </c>
      <c r="X98" s="55">
        <f t="shared" si="73"/>
        <v>10800</v>
      </c>
      <c r="Y98" s="55">
        <f t="shared" si="73"/>
        <v>10800</v>
      </c>
      <c r="Z98" s="55">
        <f t="shared" si="73"/>
        <v>10800</v>
      </c>
      <c r="AA98" s="55">
        <f t="shared" si="73"/>
        <v>10800</v>
      </c>
      <c r="AD98" s="58">
        <f>NPV(Inputs!$C$6,Mercado!G98:J98)+(Mercado!K98*Inputs!$C$11)/(1+Inputs!$C$6)^(4.55)</f>
        <v>29166.658918213881</v>
      </c>
    </row>
    <row r="99" spans="1:30">
      <c r="A99" s="192" t="s">
        <v>4831</v>
      </c>
      <c r="B99" s="61" t="s">
        <v>152</v>
      </c>
      <c r="C99" s="123">
        <v>9</v>
      </c>
      <c r="D99" s="51">
        <f t="shared" si="76"/>
        <v>1500001</v>
      </c>
      <c r="E99" s="70">
        <v>3000000</v>
      </c>
      <c r="F99" s="51">
        <f>Demanda!J106/1000</f>
        <v>0</v>
      </c>
      <c r="G99" s="51">
        <f>Demanda!K106/1000</f>
        <v>0</v>
      </c>
      <c r="H99" s="51">
        <f>Demanda!L106/1000</f>
        <v>18000</v>
      </c>
      <c r="I99" s="51">
        <f>Demanda!M106/1000</f>
        <v>18000</v>
      </c>
      <c r="J99" s="51">
        <f>Demanda!N106/1000</f>
        <v>18000</v>
      </c>
      <c r="K99" s="51">
        <f>Demanda!O106/1000</f>
        <v>18000</v>
      </c>
      <c r="M99" s="61" t="str">
        <f t="shared" si="25"/>
        <v>Industrial - Consumidor Livre/Auto-importador/Autoprodutor</v>
      </c>
      <c r="N99" s="204"/>
      <c r="O99" s="51">
        <v>0</v>
      </c>
      <c r="P99" s="51">
        <v>0</v>
      </c>
      <c r="Q99" s="51">
        <v>0</v>
      </c>
      <c r="R99" s="51">
        <v>0</v>
      </c>
      <c r="S99" s="51">
        <v>0</v>
      </c>
      <c r="U99" s="61" t="str">
        <f t="shared" si="74"/>
        <v>Industrial - Consumidor Livre/Auto-importador/Autoprodutor</v>
      </c>
      <c r="V99" s="204"/>
      <c r="W99" s="55">
        <f t="shared" si="75"/>
        <v>0</v>
      </c>
      <c r="X99" s="55">
        <f t="shared" si="73"/>
        <v>18000</v>
      </c>
      <c r="Y99" s="55">
        <f t="shared" si="73"/>
        <v>18000</v>
      </c>
      <c r="Z99" s="55">
        <f t="shared" si="73"/>
        <v>18000</v>
      </c>
      <c r="AA99" s="55">
        <f t="shared" si="73"/>
        <v>18000</v>
      </c>
      <c r="AD99" s="58">
        <f>NPV(Inputs!$C$6,Mercado!G99:J99)+(Mercado!K99*Inputs!$C$11)/(1+Inputs!$C$6)^(4.55)</f>
        <v>48611.09819702313</v>
      </c>
    </row>
    <row r="100" spans="1:30">
      <c r="A100" s="192" t="s">
        <v>4832</v>
      </c>
      <c r="B100" s="61" t="s">
        <v>152</v>
      </c>
      <c r="C100" s="123">
        <v>10</v>
      </c>
      <c r="D100" s="51">
        <f t="shared" si="76"/>
        <v>3000001</v>
      </c>
      <c r="E100" s="51">
        <v>999999999</v>
      </c>
      <c r="F100" s="51">
        <f>Demanda!J107/1000</f>
        <v>0</v>
      </c>
      <c r="G100" s="51">
        <f>Demanda!K107/1000</f>
        <v>0</v>
      </c>
      <c r="H100" s="51">
        <f>Demanda!L107/1000</f>
        <v>200550.927</v>
      </c>
      <c r="I100" s="51">
        <f>Demanda!M107/1000</f>
        <v>305259.60697449703</v>
      </c>
      <c r="J100" s="51">
        <f>Demanda!N107/1000</f>
        <v>298434.41483500699</v>
      </c>
      <c r="K100" s="51">
        <f>Demanda!O107/1000</f>
        <v>291745.72653830686</v>
      </c>
      <c r="M100" s="61" t="str">
        <f t="shared" si="25"/>
        <v>Industrial - Consumidor Livre/Auto-importador/Autoprodutor</v>
      </c>
      <c r="N100" s="204"/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U100" s="61" t="str">
        <f t="shared" si="74"/>
        <v>Industrial - Consumidor Livre/Auto-importador/Autoprodutor</v>
      </c>
      <c r="V100" s="204"/>
      <c r="W100" s="55">
        <f t="shared" si="75"/>
        <v>0</v>
      </c>
      <c r="X100" s="55">
        <f t="shared" si="73"/>
        <v>200550.927</v>
      </c>
      <c r="Y100" s="55">
        <f t="shared" si="73"/>
        <v>305259.60697449703</v>
      </c>
      <c r="Z100" s="55">
        <f t="shared" si="73"/>
        <v>298434.41483500699</v>
      </c>
      <c r="AA100" s="55">
        <f t="shared" si="73"/>
        <v>291745.72653830686</v>
      </c>
      <c r="AD100" s="58">
        <f>NPV(Inputs!$C$6,Mercado!G100:J100)+(Mercado!K100*Inputs!$C$11)/(1+Inputs!$C$6)^(4.55)</f>
        <v>726234.28683624044</v>
      </c>
    </row>
    <row r="101" spans="1:30" ht="13.9" customHeight="1">
      <c r="B101" s="197"/>
      <c r="C101" s="202"/>
      <c r="D101" s="198"/>
      <c r="E101" s="198"/>
      <c r="F101" s="200">
        <f>SUM(F102)</f>
        <v>0</v>
      </c>
      <c r="G101" s="200">
        <f t="shared" ref="G101:K101" si="77">SUM(G102)</f>
        <v>0</v>
      </c>
      <c r="H101" s="200">
        <f t="shared" si="77"/>
        <v>0</v>
      </c>
      <c r="I101" s="200">
        <f t="shared" si="77"/>
        <v>0</v>
      </c>
      <c r="J101" s="200">
        <f t="shared" si="77"/>
        <v>0</v>
      </c>
      <c r="K101" s="200">
        <f t="shared" si="77"/>
        <v>0</v>
      </c>
      <c r="L101" s="50">
        <v>3</v>
      </c>
      <c r="M101" s="197"/>
      <c r="O101" s="200">
        <f>SUM(O102:O103)</f>
        <v>10806.295</v>
      </c>
      <c r="P101" s="200">
        <f>SUM(P102:P103)</f>
        <v>11988.759999999998</v>
      </c>
      <c r="Q101" s="200">
        <f>SUM(Q102:Q103)</f>
        <v>11988.759999999998</v>
      </c>
      <c r="R101" s="200">
        <f>SUM(R102:R103)</f>
        <v>11988.759999999998</v>
      </c>
      <c r="S101" s="200">
        <f>SUM(S102:S103)</f>
        <v>11988.759999999998</v>
      </c>
      <c r="U101" s="197"/>
      <c r="W101" s="200">
        <f>SUM(W102:W103)</f>
        <v>0</v>
      </c>
      <c r="X101" s="200">
        <f>SUM(X102:X103)</f>
        <v>0</v>
      </c>
      <c r="Y101" s="200">
        <f>SUM(Y102:Y103)</f>
        <v>0</v>
      </c>
      <c r="Z101" s="200">
        <f>SUM(Z102:Z103)</f>
        <v>0</v>
      </c>
      <c r="AA101" s="200">
        <f>SUM(AA102:AA103)</f>
        <v>0</v>
      </c>
      <c r="AD101" s="58">
        <f>NPV(Inputs!$C$6,Mercado!G101:J101)+(Mercado!K101*Inputs!$C$11)/(1+Inputs!$C$6)^(4.55)</f>
        <v>0</v>
      </c>
    </row>
    <row r="102" spans="1:30">
      <c r="A102" s="192" t="s">
        <v>4833</v>
      </c>
      <c r="B102" s="61" t="s">
        <v>4636</v>
      </c>
      <c r="C102" s="123">
        <v>1</v>
      </c>
      <c r="D102" s="58">
        <v>0</v>
      </c>
      <c r="E102" s="51">
        <v>999999999</v>
      </c>
      <c r="F102" s="201">
        <f>Demanda!J108/1000</f>
        <v>0</v>
      </c>
      <c r="G102" s="201">
        <f>Demanda!K108/1000</f>
        <v>0</v>
      </c>
      <c r="H102" s="201">
        <f>Demanda!L108/1000</f>
        <v>0</v>
      </c>
      <c r="I102" s="201">
        <f>Demanda!M108/1000</f>
        <v>0</v>
      </c>
      <c r="J102" s="201">
        <f>Demanda!N108/1000</f>
        <v>0</v>
      </c>
      <c r="K102" s="201">
        <f>Demanda!O108/1000</f>
        <v>0</v>
      </c>
      <c r="M102" s="61" t="str">
        <f t="shared" si="25"/>
        <v>Petroquímico - CL, AI, AP</v>
      </c>
      <c r="O102" s="55">
        <f>G102-W102</f>
        <v>0</v>
      </c>
      <c r="P102" s="55">
        <f>H102-X102</f>
        <v>0</v>
      </c>
      <c r="Q102" s="55">
        <f>I102-Y102</f>
        <v>0</v>
      </c>
      <c r="R102" s="55">
        <f>J102-Z102</f>
        <v>0</v>
      </c>
      <c r="S102" s="55">
        <f>K102-AA102</f>
        <v>0</v>
      </c>
      <c r="U102" s="61" t="str">
        <f t="shared" si="74"/>
        <v>Petroquímico - CL, AI, AP</v>
      </c>
      <c r="W102" s="55">
        <f>G102</f>
        <v>0</v>
      </c>
      <c r="X102" s="55">
        <f>H102</f>
        <v>0</v>
      </c>
      <c r="Y102" s="55">
        <f>I102</f>
        <v>0</v>
      </c>
      <c r="Z102" s="55">
        <f>J102</f>
        <v>0</v>
      </c>
      <c r="AA102" s="55">
        <f>K102</f>
        <v>0</v>
      </c>
      <c r="AD102" s="58"/>
    </row>
    <row r="103" spans="1:30">
      <c r="B103" s="198"/>
      <c r="C103" s="202"/>
      <c r="D103" s="198"/>
      <c r="E103" s="198"/>
      <c r="F103" s="199">
        <f>SUM(F104:F113)</f>
        <v>10656.425999999999</v>
      </c>
      <c r="G103" s="199">
        <f t="shared" ref="G103:K103" si="78">SUM(G104:G113)</f>
        <v>10806.295</v>
      </c>
      <c r="H103" s="199">
        <f t="shared" si="78"/>
        <v>11988.759999999998</v>
      </c>
      <c r="I103" s="199">
        <f t="shared" si="78"/>
        <v>11988.759999999998</v>
      </c>
      <c r="J103" s="199">
        <f t="shared" si="78"/>
        <v>11988.759999999998</v>
      </c>
      <c r="K103" s="199">
        <f t="shared" si="78"/>
        <v>11988.759999999998</v>
      </c>
      <c r="L103" s="50">
        <v>3</v>
      </c>
      <c r="M103" s="198"/>
      <c r="O103" s="199">
        <f>SUM(O104:O113)</f>
        <v>10806.295</v>
      </c>
      <c r="P103" s="199">
        <f t="shared" ref="P103:S103" si="79">SUM(P104:P113)</f>
        <v>11988.759999999998</v>
      </c>
      <c r="Q103" s="199">
        <f t="shared" si="79"/>
        <v>11988.759999999998</v>
      </c>
      <c r="R103" s="199">
        <f t="shared" si="79"/>
        <v>11988.759999999998</v>
      </c>
      <c r="S103" s="199">
        <f t="shared" si="79"/>
        <v>11988.759999999998</v>
      </c>
      <c r="U103" s="198"/>
      <c r="W103" s="199">
        <f>SUM(W104:W113)</f>
        <v>0</v>
      </c>
      <c r="X103" s="199">
        <f t="shared" ref="X103:AA103" si="80">SUM(X104:X113)</f>
        <v>0</v>
      </c>
      <c r="Y103" s="199">
        <f t="shared" si="80"/>
        <v>0</v>
      </c>
      <c r="Z103" s="199">
        <f t="shared" si="80"/>
        <v>0</v>
      </c>
      <c r="AA103" s="199">
        <f t="shared" si="80"/>
        <v>0</v>
      </c>
      <c r="AD103" s="58">
        <f>NPV(Inputs!$C$6,Mercado!G103:J103)+(Mercado!K103*Inputs!$C$11)/(1+Inputs!$C$6)^(4.55)</f>
        <v>42298.357676107611</v>
      </c>
    </row>
    <row r="104" spans="1:30">
      <c r="A104" s="192" t="s">
        <v>4834</v>
      </c>
      <c r="B104" s="61" t="s">
        <v>4835</v>
      </c>
      <c r="C104" s="123">
        <v>1</v>
      </c>
      <c r="D104" s="58">
        <v>0</v>
      </c>
      <c r="E104" s="70">
        <v>200</v>
      </c>
      <c r="F104" s="312">
        <f>Demanda!J67/1000</f>
        <v>4.8</v>
      </c>
      <c r="G104" s="312">
        <f>Demanda!K67/1000</f>
        <v>4.8</v>
      </c>
      <c r="H104" s="312">
        <f>Demanda!L67/1000</f>
        <v>4.8</v>
      </c>
      <c r="I104" s="312">
        <f>Demanda!M67/1000</f>
        <v>4.8</v>
      </c>
      <c r="J104" s="312">
        <f>Demanda!N67/1000</f>
        <v>4.8</v>
      </c>
      <c r="K104" s="312">
        <f>Demanda!O67/1000</f>
        <v>4.8</v>
      </c>
      <c r="M104" s="61" t="s">
        <v>4835</v>
      </c>
      <c r="O104" s="312">
        <f>G104</f>
        <v>4.8</v>
      </c>
      <c r="P104" s="312">
        <f t="shared" ref="P104:S113" si="81">H104</f>
        <v>4.8</v>
      </c>
      <c r="Q104" s="312">
        <f t="shared" si="81"/>
        <v>4.8</v>
      </c>
      <c r="R104" s="312">
        <f t="shared" si="81"/>
        <v>4.8</v>
      </c>
      <c r="S104" s="312">
        <f t="shared" si="81"/>
        <v>4.8</v>
      </c>
      <c r="U104" s="61" t="s">
        <v>4835</v>
      </c>
      <c r="W104" s="312"/>
      <c r="X104" s="312"/>
      <c r="Y104" s="312"/>
      <c r="Z104" s="312"/>
      <c r="AA104" s="312"/>
      <c r="AD104" s="58">
        <f>NPV(Inputs!$C$6,Mercado!G104:J104)+(Mercado!K104*Inputs!$C$11)/(1+Inputs!$C$6)^(4.55)</f>
        <v>17.369863669040907</v>
      </c>
    </row>
    <row r="105" spans="1:30">
      <c r="A105" s="192" t="s">
        <v>4836</v>
      </c>
      <c r="B105" s="61" t="s">
        <v>4835</v>
      </c>
      <c r="C105" s="123">
        <v>2</v>
      </c>
      <c r="D105" s="51">
        <f>E104+1</f>
        <v>201</v>
      </c>
      <c r="E105" s="70">
        <v>2000</v>
      </c>
      <c r="F105" s="312">
        <f>Demanda!J68/1000</f>
        <v>43.2</v>
      </c>
      <c r="G105" s="312">
        <f>Demanda!K68/1000</f>
        <v>43.2</v>
      </c>
      <c r="H105" s="312">
        <f>Demanda!L68/1000</f>
        <v>43.2</v>
      </c>
      <c r="I105" s="312">
        <f>Demanda!M68/1000</f>
        <v>43.2</v>
      </c>
      <c r="J105" s="312">
        <f>Demanda!N68/1000</f>
        <v>43.2</v>
      </c>
      <c r="K105" s="312">
        <f>Demanda!O68/1000</f>
        <v>43.2</v>
      </c>
      <c r="M105" s="61" t="s">
        <v>4835</v>
      </c>
      <c r="O105" s="312">
        <f t="shared" ref="O105:O113" si="82">G105</f>
        <v>43.2</v>
      </c>
      <c r="P105" s="312">
        <f t="shared" si="81"/>
        <v>43.2</v>
      </c>
      <c r="Q105" s="312">
        <f t="shared" si="81"/>
        <v>43.2</v>
      </c>
      <c r="R105" s="312">
        <f t="shared" si="81"/>
        <v>43.2</v>
      </c>
      <c r="S105" s="312">
        <f t="shared" si="81"/>
        <v>43.2</v>
      </c>
      <c r="U105" s="61" t="s">
        <v>4835</v>
      </c>
      <c r="W105" s="312"/>
      <c r="X105" s="312"/>
      <c r="Y105" s="312"/>
      <c r="Z105" s="312"/>
      <c r="AA105" s="312"/>
      <c r="AD105" s="58">
        <f>NPV(Inputs!$C$6,Mercado!G105:J105)+(Mercado!K105*Inputs!$C$11)/(1+Inputs!$C$6)^(4.55)</f>
        <v>156.32877302136819</v>
      </c>
    </row>
    <row r="106" spans="1:30">
      <c r="A106" s="192" t="s">
        <v>4837</v>
      </c>
      <c r="B106" s="61" t="s">
        <v>4835</v>
      </c>
      <c r="C106" s="123">
        <v>3</v>
      </c>
      <c r="D106" s="51">
        <f t="shared" ref="D106:D113" si="83">E105+1</f>
        <v>2001</v>
      </c>
      <c r="E106" s="70">
        <v>10000</v>
      </c>
      <c r="F106" s="312">
        <f>Demanda!J69/1000</f>
        <v>192</v>
      </c>
      <c r="G106" s="312">
        <f>Demanda!K69/1000</f>
        <v>192</v>
      </c>
      <c r="H106" s="312">
        <f>Demanda!L69/1000</f>
        <v>192</v>
      </c>
      <c r="I106" s="312">
        <f>Demanda!M69/1000</f>
        <v>192</v>
      </c>
      <c r="J106" s="312">
        <f>Demanda!N69/1000</f>
        <v>192</v>
      </c>
      <c r="K106" s="312">
        <f>Demanda!O69/1000</f>
        <v>192</v>
      </c>
      <c r="M106" s="61" t="s">
        <v>4835</v>
      </c>
      <c r="O106" s="312">
        <f t="shared" si="82"/>
        <v>192</v>
      </c>
      <c r="P106" s="312">
        <f t="shared" si="81"/>
        <v>192</v>
      </c>
      <c r="Q106" s="312">
        <f t="shared" si="81"/>
        <v>192</v>
      </c>
      <c r="R106" s="312">
        <f t="shared" si="81"/>
        <v>192</v>
      </c>
      <c r="S106" s="312">
        <f t="shared" si="81"/>
        <v>192</v>
      </c>
      <c r="U106" s="61" t="s">
        <v>4835</v>
      </c>
      <c r="W106" s="312"/>
      <c r="X106" s="312"/>
      <c r="Y106" s="312"/>
      <c r="Z106" s="312"/>
      <c r="AA106" s="312"/>
      <c r="AD106" s="58">
        <f>NPV(Inputs!$C$6,Mercado!G106:J106)+(Mercado!K106*Inputs!$C$11)/(1+Inputs!$C$6)^(4.55)</f>
        <v>694.79454676163641</v>
      </c>
    </row>
    <row r="107" spans="1:30">
      <c r="A107" s="192" t="s">
        <v>4838</v>
      </c>
      <c r="B107" s="61" t="s">
        <v>4835</v>
      </c>
      <c r="C107" s="123">
        <v>4</v>
      </c>
      <c r="D107" s="51">
        <f t="shared" si="83"/>
        <v>10001</v>
      </c>
      <c r="E107" s="70">
        <v>50000</v>
      </c>
      <c r="F107" s="312">
        <f>Demanda!J70/1000</f>
        <v>960</v>
      </c>
      <c r="G107" s="312">
        <f>Demanda!K70/1000</f>
        <v>960</v>
      </c>
      <c r="H107" s="312">
        <f>Demanda!L70/1000</f>
        <v>960</v>
      </c>
      <c r="I107" s="312">
        <f>Demanda!M70/1000</f>
        <v>960</v>
      </c>
      <c r="J107" s="312">
        <f>Demanda!N70/1000</f>
        <v>960</v>
      </c>
      <c r="K107" s="312">
        <f>Demanda!O70/1000</f>
        <v>960</v>
      </c>
      <c r="M107" s="61" t="s">
        <v>4835</v>
      </c>
      <c r="O107" s="312">
        <f t="shared" si="82"/>
        <v>960</v>
      </c>
      <c r="P107" s="312">
        <f t="shared" si="81"/>
        <v>960</v>
      </c>
      <c r="Q107" s="312">
        <f t="shared" si="81"/>
        <v>960</v>
      </c>
      <c r="R107" s="312">
        <f t="shared" si="81"/>
        <v>960</v>
      </c>
      <c r="S107" s="312">
        <f t="shared" si="81"/>
        <v>960</v>
      </c>
      <c r="U107" s="61" t="s">
        <v>4835</v>
      </c>
      <c r="W107" s="312"/>
      <c r="X107" s="312"/>
      <c r="Y107" s="312"/>
      <c r="Z107" s="312"/>
      <c r="AA107" s="312"/>
      <c r="AD107" s="58">
        <f>NPV(Inputs!$C$6,Mercado!G107:J107)+(Mercado!K107*Inputs!$C$11)/(1+Inputs!$C$6)^(4.55)</f>
        <v>3473.9727338081821</v>
      </c>
    </row>
    <row r="108" spans="1:30">
      <c r="A108" s="192" t="s">
        <v>4839</v>
      </c>
      <c r="B108" s="61" t="s">
        <v>4835</v>
      </c>
      <c r="C108" s="123">
        <v>5</v>
      </c>
      <c r="D108" s="51">
        <f t="shared" si="83"/>
        <v>50001</v>
      </c>
      <c r="E108" s="70">
        <v>100000</v>
      </c>
      <c r="F108" s="312">
        <f>Demanda!J71/1000</f>
        <v>1200</v>
      </c>
      <c r="G108" s="312">
        <f>Demanda!K71/1000</f>
        <v>1200</v>
      </c>
      <c r="H108" s="312">
        <f>Demanda!L71/1000</f>
        <v>1200</v>
      </c>
      <c r="I108" s="312">
        <f>Demanda!M71/1000</f>
        <v>1200</v>
      </c>
      <c r="J108" s="312">
        <f>Demanda!N71/1000</f>
        <v>1200</v>
      </c>
      <c r="K108" s="312">
        <f>Demanda!O71/1000</f>
        <v>1200</v>
      </c>
      <c r="M108" s="61" t="s">
        <v>4835</v>
      </c>
      <c r="O108" s="312">
        <f t="shared" si="82"/>
        <v>1200</v>
      </c>
      <c r="P108" s="312">
        <f t="shared" si="81"/>
        <v>1200</v>
      </c>
      <c r="Q108" s="312">
        <f t="shared" si="81"/>
        <v>1200</v>
      </c>
      <c r="R108" s="312">
        <f t="shared" si="81"/>
        <v>1200</v>
      </c>
      <c r="S108" s="312">
        <f t="shared" si="81"/>
        <v>1200</v>
      </c>
      <c r="U108" s="61" t="s">
        <v>4835</v>
      </c>
      <c r="W108" s="312"/>
      <c r="X108" s="312"/>
      <c r="Y108" s="312"/>
      <c r="Z108" s="312"/>
      <c r="AA108" s="312"/>
      <c r="AD108" s="58">
        <f>NPV(Inputs!$C$6,Mercado!G108:J108)+(Mercado!K108*Inputs!$C$11)/(1+Inputs!$C$6)^(4.55)</f>
        <v>4342.4659172602278</v>
      </c>
    </row>
    <row r="109" spans="1:30">
      <c r="A109" s="192" t="s">
        <v>4840</v>
      </c>
      <c r="B109" s="61" t="s">
        <v>4835</v>
      </c>
      <c r="C109" s="123">
        <v>6</v>
      </c>
      <c r="D109" s="51">
        <f t="shared" si="83"/>
        <v>100001</v>
      </c>
      <c r="E109" s="70">
        <v>300000</v>
      </c>
      <c r="F109" s="312">
        <f>Demanda!J72/1000</f>
        <v>1441.7</v>
      </c>
      <c r="G109" s="312">
        <f>Demanda!K72/1000</f>
        <v>4800</v>
      </c>
      <c r="H109" s="312">
        <f>Demanda!L72/1000</f>
        <v>4800</v>
      </c>
      <c r="I109" s="312">
        <f>Demanda!M72/1000</f>
        <v>4800</v>
      </c>
      <c r="J109" s="312">
        <f>Demanda!N72/1000</f>
        <v>4800</v>
      </c>
      <c r="K109" s="312">
        <f>Demanda!O72/1000</f>
        <v>4800</v>
      </c>
      <c r="M109" s="61" t="s">
        <v>4835</v>
      </c>
      <c r="O109" s="312">
        <f t="shared" si="82"/>
        <v>4800</v>
      </c>
      <c r="P109" s="312">
        <f t="shared" si="81"/>
        <v>4800</v>
      </c>
      <c r="Q109" s="312">
        <f t="shared" si="81"/>
        <v>4800</v>
      </c>
      <c r="R109" s="312">
        <f t="shared" si="81"/>
        <v>4800</v>
      </c>
      <c r="S109" s="312">
        <f t="shared" si="81"/>
        <v>4800</v>
      </c>
      <c r="U109" s="61" t="s">
        <v>4835</v>
      </c>
      <c r="W109" s="312"/>
      <c r="X109" s="312"/>
      <c r="Y109" s="312"/>
      <c r="Z109" s="312"/>
      <c r="AA109" s="312"/>
      <c r="AD109" s="58">
        <f>NPV(Inputs!$C$6,Mercado!G109:J109)+(Mercado!K109*Inputs!$C$11)/(1+Inputs!$C$6)^(4.55)</f>
        <v>17369.863669040911</v>
      </c>
    </row>
    <row r="110" spans="1:30">
      <c r="A110" s="192" t="s">
        <v>4841</v>
      </c>
      <c r="B110" s="61" t="s">
        <v>4835</v>
      </c>
      <c r="C110" s="123">
        <v>7</v>
      </c>
      <c r="D110" s="51">
        <f t="shared" si="83"/>
        <v>300001</v>
      </c>
      <c r="E110" s="70">
        <v>600000</v>
      </c>
      <c r="F110" s="312">
        <f>Demanda!J73/1000</f>
        <v>3600</v>
      </c>
      <c r="G110" s="312">
        <f>Demanda!K73/1000</f>
        <v>350.11099999999999</v>
      </c>
      <c r="H110" s="312">
        <f>Demanda!L73/1000</f>
        <v>353.59199999999998</v>
      </c>
      <c r="I110" s="312">
        <f>Demanda!M73/1000</f>
        <v>353.59199999999998</v>
      </c>
      <c r="J110" s="312">
        <f>Demanda!N73/1000</f>
        <v>353.59199999999998</v>
      </c>
      <c r="K110" s="312">
        <f>Demanda!O73/1000</f>
        <v>353.59199999999998</v>
      </c>
      <c r="M110" s="61" t="s">
        <v>4835</v>
      </c>
      <c r="O110" s="312">
        <f t="shared" si="82"/>
        <v>350.11099999999999</v>
      </c>
      <c r="P110" s="312">
        <f t="shared" si="81"/>
        <v>353.59199999999998</v>
      </c>
      <c r="Q110" s="312">
        <f t="shared" si="81"/>
        <v>353.59199999999998</v>
      </c>
      <c r="R110" s="312">
        <f t="shared" si="81"/>
        <v>353.59199999999998</v>
      </c>
      <c r="S110" s="312">
        <f t="shared" si="81"/>
        <v>353.59199999999998</v>
      </c>
      <c r="U110" s="61" t="s">
        <v>4835</v>
      </c>
      <c r="W110" s="312"/>
      <c r="X110" s="312"/>
      <c r="Y110" s="312"/>
      <c r="Z110" s="312"/>
      <c r="AA110" s="312"/>
      <c r="AD110" s="58">
        <f>NPV(Inputs!$C$6,Mercado!G110:J110)+(Mercado!K110*Inputs!$C$11)/(1+Inputs!$C$6)^(4.55)</f>
        <v>1276.355083566237</v>
      </c>
    </row>
    <row r="111" spans="1:30">
      <c r="A111" s="192" t="s">
        <v>4842</v>
      </c>
      <c r="B111" s="61" t="s">
        <v>4835</v>
      </c>
      <c r="C111" s="123">
        <v>8</v>
      </c>
      <c r="D111" s="51">
        <f t="shared" si="83"/>
        <v>600001</v>
      </c>
      <c r="E111" s="70">
        <v>1500000</v>
      </c>
      <c r="F111" s="312">
        <f>Demanda!J74/1000</f>
        <v>3214.7260000000001</v>
      </c>
      <c r="G111" s="312">
        <f>Demanda!K74/1000</f>
        <v>3256.1840000000002</v>
      </c>
      <c r="H111" s="312">
        <f>Demanda!L74/1000</f>
        <v>4435.1679999999997</v>
      </c>
      <c r="I111" s="312">
        <f>Demanda!M74/1000</f>
        <v>4435.1679999999997</v>
      </c>
      <c r="J111" s="312">
        <f>Demanda!N74/1000</f>
        <v>4435.1679999999997</v>
      </c>
      <c r="K111" s="312">
        <f>Demanda!O74/1000</f>
        <v>4435.1679999999997</v>
      </c>
      <c r="M111" s="61" t="s">
        <v>4835</v>
      </c>
      <c r="O111" s="312">
        <f t="shared" si="82"/>
        <v>3256.1840000000002</v>
      </c>
      <c r="P111" s="312">
        <f t="shared" si="81"/>
        <v>4435.1679999999997</v>
      </c>
      <c r="Q111" s="312">
        <f t="shared" si="81"/>
        <v>4435.1679999999997</v>
      </c>
      <c r="R111" s="312">
        <f t="shared" si="81"/>
        <v>4435.1679999999997</v>
      </c>
      <c r="S111" s="312">
        <f t="shared" si="81"/>
        <v>4435.1679999999997</v>
      </c>
      <c r="U111" s="61" t="s">
        <v>4835</v>
      </c>
      <c r="W111" s="312"/>
      <c r="X111" s="312"/>
      <c r="Y111" s="312"/>
      <c r="Z111" s="312"/>
      <c r="AA111" s="312"/>
      <c r="AD111" s="58">
        <f>NPV(Inputs!$C$6,Mercado!G111:J111)+(Mercado!K111*Inputs!$C$11)/(1+Inputs!$C$6)^(4.55)</f>
        <v>14967.207088980014</v>
      </c>
    </row>
    <row r="112" spans="1:30">
      <c r="A112" s="192" t="s">
        <v>4843</v>
      </c>
      <c r="B112" s="61" t="s">
        <v>4835</v>
      </c>
      <c r="C112" s="123">
        <v>9</v>
      </c>
      <c r="D112" s="51">
        <f t="shared" si="83"/>
        <v>1500001</v>
      </c>
      <c r="E112" s="70">
        <v>3000000</v>
      </c>
      <c r="F112" s="312">
        <f>Demanda!J75/1000</f>
        <v>0</v>
      </c>
      <c r="G112" s="312">
        <f>Demanda!K75/1000</f>
        <v>0</v>
      </c>
      <c r="H112" s="312">
        <f>Demanda!L75/1000</f>
        <v>0</v>
      </c>
      <c r="I112" s="312">
        <f>Demanda!M75/1000</f>
        <v>0</v>
      </c>
      <c r="J112" s="312">
        <f>Demanda!N75/1000</f>
        <v>0</v>
      </c>
      <c r="K112" s="312">
        <f>Demanda!O75/1000</f>
        <v>0</v>
      </c>
      <c r="M112" s="61" t="s">
        <v>4835</v>
      </c>
      <c r="O112" s="312">
        <f t="shared" si="82"/>
        <v>0</v>
      </c>
      <c r="P112" s="312">
        <f t="shared" si="81"/>
        <v>0</v>
      </c>
      <c r="Q112" s="312">
        <f t="shared" si="81"/>
        <v>0</v>
      </c>
      <c r="R112" s="312">
        <f t="shared" si="81"/>
        <v>0</v>
      </c>
      <c r="S112" s="312">
        <f t="shared" si="81"/>
        <v>0</v>
      </c>
      <c r="U112" s="61" t="s">
        <v>4835</v>
      </c>
      <c r="W112" s="312"/>
      <c r="X112" s="312"/>
      <c r="Y112" s="312"/>
      <c r="Z112" s="312"/>
      <c r="AA112" s="312"/>
      <c r="AD112" s="58">
        <f>NPV(Inputs!$C$6,Mercado!G112:J112)+(Mercado!K112*Inputs!$C$11)/(1+Inputs!$C$6)^(4.55)</f>
        <v>0</v>
      </c>
    </row>
    <row r="113" spans="1:30">
      <c r="A113" s="192" t="s">
        <v>4844</v>
      </c>
      <c r="B113" s="61" t="s">
        <v>4835</v>
      </c>
      <c r="C113" s="123">
        <v>10</v>
      </c>
      <c r="D113" s="51">
        <f t="shared" si="83"/>
        <v>3000001</v>
      </c>
      <c r="E113" s="51">
        <v>999999999</v>
      </c>
      <c r="F113" s="312">
        <f>Demanda!J76/1000</f>
        <v>0</v>
      </c>
      <c r="G113" s="312">
        <f>Demanda!K76/1000</f>
        <v>0</v>
      </c>
      <c r="H113" s="312">
        <f>Demanda!L76/1000</f>
        <v>0</v>
      </c>
      <c r="I113" s="312">
        <f>Demanda!M76/1000</f>
        <v>0</v>
      </c>
      <c r="J113" s="312">
        <f>Demanda!N76/1000</f>
        <v>0</v>
      </c>
      <c r="K113" s="312">
        <f>Demanda!O76/1000</f>
        <v>0</v>
      </c>
      <c r="M113" s="61" t="s">
        <v>4835</v>
      </c>
      <c r="O113" s="312">
        <f t="shared" si="82"/>
        <v>0</v>
      </c>
      <c r="P113" s="312">
        <f t="shared" si="81"/>
        <v>0</v>
      </c>
      <c r="Q113" s="312">
        <f t="shared" si="81"/>
        <v>0</v>
      </c>
      <c r="R113" s="312">
        <f t="shared" si="81"/>
        <v>0</v>
      </c>
      <c r="S113" s="312">
        <f t="shared" si="81"/>
        <v>0</v>
      </c>
      <c r="U113" s="61" t="s">
        <v>4835</v>
      </c>
      <c r="W113" s="312"/>
      <c r="X113" s="312"/>
      <c r="Y113" s="312"/>
      <c r="Z113" s="312"/>
      <c r="AA113" s="312"/>
      <c r="AD113" s="58">
        <f>NPV(Inputs!$C$6,Mercado!G113:J113)+(Mercado!K113*Inputs!$C$11)/(1+Inputs!$C$6)^(4.55)</f>
        <v>0</v>
      </c>
    </row>
    <row r="114" spans="1:30">
      <c r="A114" s="192"/>
      <c r="B114" s="198"/>
      <c r="C114" s="202"/>
      <c r="D114" s="198"/>
      <c r="E114" s="198"/>
      <c r="F114" s="199">
        <f t="shared" ref="F114:J114" si="84">SUM(F115:F120)</f>
        <v>0.17499999999999999</v>
      </c>
      <c r="G114" s="199">
        <f t="shared" si="84"/>
        <v>0</v>
      </c>
      <c r="H114" s="199">
        <f t="shared" si="84"/>
        <v>0</v>
      </c>
      <c r="I114" s="199">
        <f t="shared" si="84"/>
        <v>0</v>
      </c>
      <c r="J114" s="199">
        <f t="shared" si="84"/>
        <v>0</v>
      </c>
      <c r="K114" s="199">
        <f>SUM(K115:K120)</f>
        <v>0</v>
      </c>
      <c r="L114" s="50">
        <v>3</v>
      </c>
      <c r="M114" s="198"/>
      <c r="O114" s="199">
        <f t="shared" ref="O114" si="85">SUM(O115:O120)</f>
        <v>0</v>
      </c>
      <c r="P114" s="199">
        <f t="shared" ref="P114" si="86">SUM(P115:P120)</f>
        <v>0</v>
      </c>
      <c r="Q114" s="199">
        <f t="shared" ref="Q114" si="87">SUM(Q115:Q120)</f>
        <v>0</v>
      </c>
      <c r="R114" s="199">
        <f t="shared" ref="R114" si="88">SUM(R115:R120)</f>
        <v>0</v>
      </c>
      <c r="S114" s="199">
        <f t="shared" ref="S114" si="89">SUM(S115:S120)</f>
        <v>0</v>
      </c>
      <c r="U114" s="198"/>
      <c r="W114" s="199">
        <f t="shared" ref="W114" si="90">SUM(W115:W120)</f>
        <v>0</v>
      </c>
      <c r="X114" s="199">
        <f t="shared" ref="X114" si="91">SUM(X115:X120)</f>
        <v>0</v>
      </c>
      <c r="Y114" s="199">
        <f t="shared" ref="Y114" si="92">SUM(Y115:Y120)</f>
        <v>0</v>
      </c>
      <c r="Z114" s="199">
        <f t="shared" ref="Z114" si="93">SUM(Z115:Z120)</f>
        <v>0</v>
      </c>
      <c r="AA114" s="199">
        <f t="shared" ref="AA114" si="94">SUM(AA115:AA120)</f>
        <v>0</v>
      </c>
      <c r="AD114" s="58">
        <f>NPV(Inputs!$C$6,Mercado!G114:J114)+(Mercado!K114*Inputs!$C$11)/(1+Inputs!$C$6)^(4.55)</f>
        <v>0</v>
      </c>
    </row>
    <row r="115" spans="1:30">
      <c r="A115" s="192" t="s">
        <v>4845</v>
      </c>
      <c r="B115" s="61" t="s">
        <v>108</v>
      </c>
      <c r="C115" s="123">
        <v>1</v>
      </c>
      <c r="D115" s="58">
        <v>0</v>
      </c>
      <c r="E115" s="70">
        <v>200</v>
      </c>
      <c r="F115" s="312">
        <f>Demanda!J77/1000</f>
        <v>0.17499999999999999</v>
      </c>
      <c r="G115" s="312">
        <f>Demanda!K77/1000</f>
        <v>0</v>
      </c>
      <c r="H115" s="312">
        <f>Demanda!L77/1000</f>
        <v>0</v>
      </c>
      <c r="I115" s="312">
        <f>Demanda!M77/1000</f>
        <v>0</v>
      </c>
      <c r="J115" s="312">
        <f>Demanda!N77/1000</f>
        <v>0</v>
      </c>
      <c r="K115" s="312">
        <f>Demanda!O77/1000</f>
        <v>0</v>
      </c>
      <c r="M115" s="61" t="s">
        <v>108</v>
      </c>
      <c r="O115" s="312">
        <f>G115</f>
        <v>0</v>
      </c>
      <c r="P115" s="312">
        <f t="shared" ref="P115:S120" si="95">H115</f>
        <v>0</v>
      </c>
      <c r="Q115" s="312">
        <f t="shared" si="95"/>
        <v>0</v>
      </c>
      <c r="R115" s="312">
        <f t="shared" si="95"/>
        <v>0</v>
      </c>
      <c r="S115" s="312">
        <f t="shared" si="95"/>
        <v>0</v>
      </c>
      <c r="U115" s="61" t="s">
        <v>108</v>
      </c>
      <c r="W115" s="312"/>
      <c r="X115" s="312"/>
      <c r="Y115" s="312"/>
      <c r="Z115" s="312"/>
      <c r="AA115" s="312"/>
      <c r="AD115" s="58">
        <f>NPV(Inputs!$C$6,Mercado!G115:J115)+(Mercado!K115*Inputs!$C$11)/(1+Inputs!$C$6)^(4.55)</f>
        <v>0</v>
      </c>
    </row>
    <row r="116" spans="1:30">
      <c r="A116" s="192" t="s">
        <v>4846</v>
      </c>
      <c r="B116" s="61" t="s">
        <v>108</v>
      </c>
      <c r="C116" s="123">
        <v>2</v>
      </c>
      <c r="D116" s="51">
        <f>E115+1</f>
        <v>201</v>
      </c>
      <c r="E116" s="70">
        <v>2000</v>
      </c>
      <c r="F116" s="312">
        <f>Demanda!J78/1000</f>
        <v>0</v>
      </c>
      <c r="G116" s="312">
        <f>Demanda!K78/1000</f>
        <v>0</v>
      </c>
      <c r="H116" s="312">
        <f>Demanda!L78/1000</f>
        <v>0</v>
      </c>
      <c r="I116" s="312">
        <f>Demanda!M78/1000</f>
        <v>0</v>
      </c>
      <c r="J116" s="312">
        <f>Demanda!N78/1000</f>
        <v>0</v>
      </c>
      <c r="K116" s="312">
        <f>Demanda!O78/1000</f>
        <v>0</v>
      </c>
      <c r="M116" s="61" t="s">
        <v>108</v>
      </c>
      <c r="O116" s="312">
        <f t="shared" ref="O116:O120" si="96">G116</f>
        <v>0</v>
      </c>
      <c r="P116" s="312">
        <f t="shared" si="95"/>
        <v>0</v>
      </c>
      <c r="Q116" s="312">
        <f t="shared" si="95"/>
        <v>0</v>
      </c>
      <c r="R116" s="312">
        <f t="shared" si="95"/>
        <v>0</v>
      </c>
      <c r="S116" s="312">
        <f t="shared" si="95"/>
        <v>0</v>
      </c>
      <c r="U116" s="61" t="s">
        <v>108</v>
      </c>
      <c r="W116" s="312"/>
      <c r="X116" s="312"/>
      <c r="Y116" s="312"/>
      <c r="Z116" s="312"/>
      <c r="AA116" s="312"/>
      <c r="AD116" s="58">
        <f>NPV(Inputs!$C$6,Mercado!G116:J116)+(Mercado!K116*Inputs!$C$11)/(1+Inputs!$C$6)^(4.55)</f>
        <v>0</v>
      </c>
    </row>
    <row r="117" spans="1:30">
      <c r="A117" s="192" t="s">
        <v>4847</v>
      </c>
      <c r="B117" s="61" t="s">
        <v>108</v>
      </c>
      <c r="C117" s="123">
        <v>3</v>
      </c>
      <c r="D117" s="51">
        <f t="shared" ref="D117:D120" si="97">E116+1</f>
        <v>2001</v>
      </c>
      <c r="E117" s="70">
        <v>10000</v>
      </c>
      <c r="F117" s="312">
        <f>Demanda!J79/1000</f>
        <v>0</v>
      </c>
      <c r="G117" s="312">
        <f>Demanda!K79/1000</f>
        <v>0</v>
      </c>
      <c r="H117" s="312">
        <f>Demanda!L79/1000</f>
        <v>0</v>
      </c>
      <c r="I117" s="312">
        <f>Demanda!M79/1000</f>
        <v>0</v>
      </c>
      <c r="J117" s="312">
        <f>Demanda!N79/1000</f>
        <v>0</v>
      </c>
      <c r="K117" s="312">
        <f>Demanda!O79/1000</f>
        <v>0</v>
      </c>
      <c r="M117" s="61" t="s">
        <v>108</v>
      </c>
      <c r="O117" s="312">
        <f t="shared" si="96"/>
        <v>0</v>
      </c>
      <c r="P117" s="312">
        <f t="shared" si="95"/>
        <v>0</v>
      </c>
      <c r="Q117" s="312">
        <f t="shared" si="95"/>
        <v>0</v>
      </c>
      <c r="R117" s="312">
        <f t="shared" si="95"/>
        <v>0</v>
      </c>
      <c r="S117" s="312">
        <f t="shared" si="95"/>
        <v>0</v>
      </c>
      <c r="U117" s="61" t="s">
        <v>108</v>
      </c>
      <c r="W117" s="312"/>
      <c r="X117" s="312"/>
      <c r="Y117" s="312"/>
      <c r="Z117" s="312"/>
      <c r="AA117" s="312"/>
      <c r="AD117" s="58">
        <f>NPV(Inputs!$C$6,Mercado!G117:J117)+(Mercado!K117*Inputs!$C$11)/(1+Inputs!$C$6)^(4.55)</f>
        <v>0</v>
      </c>
    </row>
    <row r="118" spans="1:30">
      <c r="A118" s="192" t="s">
        <v>4848</v>
      </c>
      <c r="B118" s="61" t="s">
        <v>108</v>
      </c>
      <c r="C118" s="123">
        <v>4</v>
      </c>
      <c r="D118" s="51">
        <f t="shared" si="97"/>
        <v>10001</v>
      </c>
      <c r="E118" s="70">
        <v>50000</v>
      </c>
      <c r="F118" s="312">
        <f>Demanda!J80/1000</f>
        <v>0</v>
      </c>
      <c r="G118" s="312">
        <f>Demanda!K80/1000</f>
        <v>0</v>
      </c>
      <c r="H118" s="312">
        <f>Demanda!L80/1000</f>
        <v>0</v>
      </c>
      <c r="I118" s="312">
        <f>Demanda!M80/1000</f>
        <v>0</v>
      </c>
      <c r="J118" s="312">
        <f>Demanda!N80/1000</f>
        <v>0</v>
      </c>
      <c r="K118" s="312">
        <f>Demanda!O80/1000</f>
        <v>0</v>
      </c>
      <c r="M118" s="61" t="s">
        <v>108</v>
      </c>
      <c r="O118" s="312">
        <f t="shared" si="96"/>
        <v>0</v>
      </c>
      <c r="P118" s="312">
        <f t="shared" si="95"/>
        <v>0</v>
      </c>
      <c r="Q118" s="312">
        <f t="shared" si="95"/>
        <v>0</v>
      </c>
      <c r="R118" s="312">
        <f t="shared" si="95"/>
        <v>0</v>
      </c>
      <c r="S118" s="312">
        <f t="shared" si="95"/>
        <v>0</v>
      </c>
      <c r="U118" s="61" t="s">
        <v>108</v>
      </c>
      <c r="W118" s="312"/>
      <c r="X118" s="312"/>
      <c r="Y118" s="312"/>
      <c r="Z118" s="312"/>
      <c r="AA118" s="312"/>
      <c r="AD118" s="58">
        <f>NPV(Inputs!$C$6,Mercado!G118:J118)+(Mercado!K118*Inputs!$C$11)/(1+Inputs!$C$6)^(4.55)</f>
        <v>0</v>
      </c>
    </row>
    <row r="119" spans="1:30">
      <c r="A119" s="192" t="s">
        <v>4849</v>
      </c>
      <c r="B119" s="61" t="s">
        <v>108</v>
      </c>
      <c r="C119" s="123">
        <v>5</v>
      </c>
      <c r="D119" s="51">
        <f t="shared" si="97"/>
        <v>50001</v>
      </c>
      <c r="E119" s="70">
        <v>100000</v>
      </c>
      <c r="F119" s="312">
        <f>Demanda!J81/1000</f>
        <v>0</v>
      </c>
      <c r="G119" s="312">
        <f>Demanda!K81/1000</f>
        <v>0</v>
      </c>
      <c r="H119" s="312">
        <f>Demanda!L81/1000</f>
        <v>0</v>
      </c>
      <c r="I119" s="312">
        <f>Demanda!M81/1000</f>
        <v>0</v>
      </c>
      <c r="J119" s="312">
        <f>Demanda!N81/1000</f>
        <v>0</v>
      </c>
      <c r="K119" s="312">
        <f>Demanda!O81/1000</f>
        <v>0</v>
      </c>
      <c r="M119" s="61" t="s">
        <v>108</v>
      </c>
      <c r="O119" s="312">
        <f t="shared" si="96"/>
        <v>0</v>
      </c>
      <c r="P119" s="312">
        <f t="shared" si="95"/>
        <v>0</v>
      </c>
      <c r="Q119" s="312">
        <f t="shared" si="95"/>
        <v>0</v>
      </c>
      <c r="R119" s="312">
        <f t="shared" si="95"/>
        <v>0</v>
      </c>
      <c r="S119" s="312">
        <f t="shared" si="95"/>
        <v>0</v>
      </c>
      <c r="U119" s="61" t="s">
        <v>108</v>
      </c>
      <c r="W119" s="312"/>
      <c r="X119" s="312"/>
      <c r="Y119" s="312"/>
      <c r="Z119" s="312"/>
      <c r="AA119" s="312"/>
      <c r="AD119" s="58">
        <f>NPV(Inputs!$C$6,Mercado!G119:J119)+(Mercado!K119*Inputs!$C$11)/(1+Inputs!$C$6)^(4.55)</f>
        <v>0</v>
      </c>
    </row>
    <row r="120" spans="1:30">
      <c r="A120" s="192" t="s">
        <v>4850</v>
      </c>
      <c r="B120" s="61" t="s">
        <v>108</v>
      </c>
      <c r="C120" s="123">
        <v>6</v>
      </c>
      <c r="D120" s="51">
        <f t="shared" si="97"/>
        <v>100001</v>
      </c>
      <c r="E120" s="51">
        <v>999999999</v>
      </c>
      <c r="F120" s="312">
        <f>Demanda!J82/1000</f>
        <v>0</v>
      </c>
      <c r="G120" s="312">
        <f>Demanda!K82/1000</f>
        <v>0</v>
      </c>
      <c r="H120" s="312">
        <f>Demanda!L82/1000</f>
        <v>0</v>
      </c>
      <c r="I120" s="312">
        <f>Demanda!M82/1000</f>
        <v>0</v>
      </c>
      <c r="J120" s="312">
        <f>Demanda!N82/1000</f>
        <v>0</v>
      </c>
      <c r="K120" s="312">
        <f>Demanda!O82/1000</f>
        <v>0</v>
      </c>
      <c r="M120" s="61" t="s">
        <v>108</v>
      </c>
      <c r="O120" s="312">
        <f t="shared" si="96"/>
        <v>0</v>
      </c>
      <c r="P120" s="312">
        <f t="shared" si="95"/>
        <v>0</v>
      </c>
      <c r="Q120" s="312">
        <f t="shared" si="95"/>
        <v>0</v>
      </c>
      <c r="R120" s="312">
        <f t="shared" si="95"/>
        <v>0</v>
      </c>
      <c r="S120" s="312">
        <f t="shared" si="95"/>
        <v>0</v>
      </c>
      <c r="U120" s="61" t="s">
        <v>108</v>
      </c>
      <c r="W120" s="312"/>
      <c r="X120" s="312"/>
      <c r="Y120" s="312"/>
      <c r="Z120" s="312"/>
      <c r="AA120" s="312"/>
      <c r="AD120" s="58">
        <f>NPV(Inputs!$C$6,Mercado!G120:J120)+(Mercado!K120*Inputs!$C$11)/(1+Inputs!$C$6)^(4.55)</f>
        <v>0</v>
      </c>
    </row>
    <row r="121" spans="1:30">
      <c r="A121" s="192"/>
      <c r="B121" s="198"/>
      <c r="C121" s="202"/>
      <c r="D121" s="198"/>
      <c r="E121" s="198"/>
      <c r="F121" s="199">
        <f>SUM(F122:F131)</f>
        <v>0</v>
      </c>
      <c r="G121" s="199">
        <f t="shared" ref="G121:K121" si="98">SUM(G122:G131)</f>
        <v>0</v>
      </c>
      <c r="H121" s="199">
        <f t="shared" si="98"/>
        <v>0</v>
      </c>
      <c r="I121" s="199">
        <f t="shared" si="98"/>
        <v>0</v>
      </c>
      <c r="J121" s="199">
        <f t="shared" si="98"/>
        <v>0</v>
      </c>
      <c r="K121" s="199">
        <f t="shared" si="98"/>
        <v>0</v>
      </c>
      <c r="L121" s="50">
        <v>3</v>
      </c>
      <c r="M121" s="198"/>
      <c r="O121" s="199">
        <f>SUM(O122:O131)</f>
        <v>0</v>
      </c>
      <c r="P121" s="199">
        <f t="shared" ref="P121:S121" si="99">SUM(P122:P131)</f>
        <v>0</v>
      </c>
      <c r="Q121" s="199">
        <f t="shared" si="99"/>
        <v>0</v>
      </c>
      <c r="R121" s="199">
        <f t="shared" si="99"/>
        <v>0</v>
      </c>
      <c r="S121" s="199">
        <f t="shared" si="99"/>
        <v>0</v>
      </c>
      <c r="U121" s="198"/>
      <c r="W121" s="199">
        <f>SUM(W122:W131)</f>
        <v>0</v>
      </c>
      <c r="X121" s="199">
        <f t="shared" ref="X121:AA121" si="100">SUM(X122:X131)</f>
        <v>0</v>
      </c>
      <c r="Y121" s="199">
        <f t="shared" si="100"/>
        <v>0</v>
      </c>
      <c r="Z121" s="199">
        <f t="shared" si="100"/>
        <v>0</v>
      </c>
      <c r="AA121" s="199">
        <f t="shared" si="100"/>
        <v>0</v>
      </c>
      <c r="AD121" s="58">
        <f>NPV(Inputs!$C$6,Mercado!G121:J121)+(Mercado!K121*Inputs!$C$11)/(1+Inputs!$C$6)^(4.55)</f>
        <v>0</v>
      </c>
    </row>
    <row r="122" spans="1:30">
      <c r="A122" s="192" t="s">
        <v>4851</v>
      </c>
      <c r="B122" s="61" t="s">
        <v>109</v>
      </c>
      <c r="C122" s="123">
        <v>1</v>
      </c>
      <c r="D122" s="58">
        <v>0</v>
      </c>
      <c r="E122" s="70">
        <v>200</v>
      </c>
      <c r="F122" s="312">
        <f>Demanda!J83/1000</f>
        <v>0</v>
      </c>
      <c r="G122" s="312">
        <f>Demanda!K83/1000</f>
        <v>0</v>
      </c>
      <c r="H122" s="312">
        <f>Demanda!L83/1000</f>
        <v>0</v>
      </c>
      <c r="I122" s="312">
        <f>Demanda!M83/1000</f>
        <v>0</v>
      </c>
      <c r="J122" s="312">
        <f>Demanda!N83/1000</f>
        <v>0</v>
      </c>
      <c r="K122" s="312">
        <f>Demanda!O83/1000</f>
        <v>0</v>
      </c>
      <c r="M122" s="61" t="s">
        <v>109</v>
      </c>
      <c r="O122" s="312">
        <f>G122</f>
        <v>0</v>
      </c>
      <c r="P122" s="312">
        <f t="shared" ref="P122:P131" si="101">H122</f>
        <v>0</v>
      </c>
      <c r="Q122" s="312">
        <f t="shared" ref="Q122:Q131" si="102">I122</f>
        <v>0</v>
      </c>
      <c r="R122" s="312">
        <f t="shared" ref="R122:R131" si="103">J122</f>
        <v>0</v>
      </c>
      <c r="S122" s="312">
        <f t="shared" ref="S122:S131" si="104">K122</f>
        <v>0</v>
      </c>
      <c r="U122" s="61" t="s">
        <v>109</v>
      </c>
      <c r="W122" s="312"/>
      <c r="X122" s="312"/>
      <c r="Y122" s="312"/>
      <c r="Z122" s="312"/>
      <c r="AA122" s="312"/>
      <c r="AD122" s="58">
        <f>NPV(Inputs!$C$6,Mercado!G122:J122)+(Mercado!K122*Inputs!$C$11)/(1+Inputs!$C$6)^(4.55)</f>
        <v>0</v>
      </c>
    </row>
    <row r="123" spans="1:30">
      <c r="A123" s="192" t="s">
        <v>4852</v>
      </c>
      <c r="B123" s="61" t="s">
        <v>109</v>
      </c>
      <c r="C123" s="123">
        <v>2</v>
      </c>
      <c r="D123" s="51">
        <f>E122+1</f>
        <v>201</v>
      </c>
      <c r="E123" s="70">
        <v>2000</v>
      </c>
      <c r="F123" s="312">
        <f>Demanda!J84/1000</f>
        <v>0</v>
      </c>
      <c r="G123" s="312">
        <f>Demanda!K84/1000</f>
        <v>0</v>
      </c>
      <c r="H123" s="312">
        <f>Demanda!L84/1000</f>
        <v>0</v>
      </c>
      <c r="I123" s="312">
        <f>Demanda!M84/1000</f>
        <v>0</v>
      </c>
      <c r="J123" s="312">
        <f>Demanda!N84/1000</f>
        <v>0</v>
      </c>
      <c r="K123" s="312">
        <f>Demanda!O84/1000</f>
        <v>0</v>
      </c>
      <c r="M123" s="61" t="s">
        <v>109</v>
      </c>
      <c r="O123" s="312">
        <f t="shared" ref="O123:O131" si="105">G123</f>
        <v>0</v>
      </c>
      <c r="P123" s="312">
        <f t="shared" si="101"/>
        <v>0</v>
      </c>
      <c r="Q123" s="312">
        <f t="shared" si="102"/>
        <v>0</v>
      </c>
      <c r="R123" s="312">
        <f t="shared" si="103"/>
        <v>0</v>
      </c>
      <c r="S123" s="312">
        <f t="shared" si="104"/>
        <v>0</v>
      </c>
      <c r="U123" s="61" t="s">
        <v>109</v>
      </c>
      <c r="W123" s="312"/>
      <c r="X123" s="312"/>
      <c r="Y123" s="312"/>
      <c r="Z123" s="312"/>
      <c r="AA123" s="312"/>
      <c r="AD123" s="58">
        <f>NPV(Inputs!$C$6,Mercado!G123:J123)+(Mercado!K123*Inputs!$C$11)/(1+Inputs!$C$6)^(4.55)</f>
        <v>0</v>
      </c>
    </row>
    <row r="124" spans="1:30">
      <c r="A124" s="192" t="s">
        <v>4853</v>
      </c>
      <c r="B124" s="61" t="s">
        <v>109</v>
      </c>
      <c r="C124" s="123">
        <v>3</v>
      </c>
      <c r="D124" s="51">
        <f t="shared" ref="D124:D131" si="106">E123+1</f>
        <v>2001</v>
      </c>
      <c r="E124" s="70">
        <v>10000</v>
      </c>
      <c r="F124" s="312">
        <f>Demanda!J85/1000</f>
        <v>0</v>
      </c>
      <c r="G124" s="312">
        <f>Demanda!K85/1000</f>
        <v>0</v>
      </c>
      <c r="H124" s="312">
        <f>Demanda!L85/1000</f>
        <v>0</v>
      </c>
      <c r="I124" s="312">
        <f>Demanda!M85/1000</f>
        <v>0</v>
      </c>
      <c r="J124" s="312">
        <f>Demanda!N85/1000</f>
        <v>0</v>
      </c>
      <c r="K124" s="312">
        <f>Demanda!O85/1000</f>
        <v>0</v>
      </c>
      <c r="M124" s="61" t="s">
        <v>109</v>
      </c>
      <c r="O124" s="312">
        <f t="shared" si="105"/>
        <v>0</v>
      </c>
      <c r="P124" s="312">
        <f t="shared" si="101"/>
        <v>0</v>
      </c>
      <c r="Q124" s="312">
        <f t="shared" si="102"/>
        <v>0</v>
      </c>
      <c r="R124" s="312">
        <f t="shared" si="103"/>
        <v>0</v>
      </c>
      <c r="S124" s="312">
        <f t="shared" si="104"/>
        <v>0</v>
      </c>
      <c r="U124" s="61" t="s">
        <v>109</v>
      </c>
      <c r="W124" s="312"/>
      <c r="X124" s="312"/>
      <c r="Y124" s="312"/>
      <c r="Z124" s="312"/>
      <c r="AA124" s="312"/>
      <c r="AD124" s="58">
        <f>NPV(Inputs!$C$6,Mercado!G124:J124)+(Mercado!K124*Inputs!$C$11)/(1+Inputs!$C$6)^(4.55)</f>
        <v>0</v>
      </c>
    </row>
    <row r="125" spans="1:30">
      <c r="A125" s="192" t="s">
        <v>4854</v>
      </c>
      <c r="B125" s="61" t="s">
        <v>109</v>
      </c>
      <c r="C125" s="123">
        <v>4</v>
      </c>
      <c r="D125" s="51">
        <f t="shared" si="106"/>
        <v>10001</v>
      </c>
      <c r="E125" s="70">
        <v>50000</v>
      </c>
      <c r="F125" s="312">
        <f>Demanda!J86/1000</f>
        <v>0</v>
      </c>
      <c r="G125" s="312">
        <f>Demanda!K86/1000</f>
        <v>0</v>
      </c>
      <c r="H125" s="312">
        <f>Demanda!L86/1000</f>
        <v>0</v>
      </c>
      <c r="I125" s="312">
        <f>Demanda!M86/1000</f>
        <v>0</v>
      </c>
      <c r="J125" s="312">
        <f>Demanda!N86/1000</f>
        <v>0</v>
      </c>
      <c r="K125" s="312">
        <f>Demanda!O86/1000</f>
        <v>0</v>
      </c>
      <c r="M125" s="61" t="s">
        <v>109</v>
      </c>
      <c r="O125" s="312">
        <f t="shared" si="105"/>
        <v>0</v>
      </c>
      <c r="P125" s="312">
        <f t="shared" si="101"/>
        <v>0</v>
      </c>
      <c r="Q125" s="312">
        <f t="shared" si="102"/>
        <v>0</v>
      </c>
      <c r="R125" s="312">
        <f t="shared" si="103"/>
        <v>0</v>
      </c>
      <c r="S125" s="312">
        <f t="shared" si="104"/>
        <v>0</v>
      </c>
      <c r="U125" s="61" t="s">
        <v>109</v>
      </c>
      <c r="W125" s="312"/>
      <c r="X125" s="312"/>
      <c r="Y125" s="312"/>
      <c r="Z125" s="312"/>
      <c r="AA125" s="312"/>
      <c r="AD125" s="58">
        <f>NPV(Inputs!$C$6,Mercado!G125:J125)+(Mercado!K125*Inputs!$C$11)/(1+Inputs!$C$6)^(4.55)</f>
        <v>0</v>
      </c>
    </row>
    <row r="126" spans="1:30">
      <c r="A126" s="192" t="s">
        <v>4855</v>
      </c>
      <c r="B126" s="61" t="s">
        <v>109</v>
      </c>
      <c r="C126" s="123">
        <v>5</v>
      </c>
      <c r="D126" s="51">
        <f t="shared" si="106"/>
        <v>50001</v>
      </c>
      <c r="E126" s="70">
        <v>100000</v>
      </c>
      <c r="F126" s="312">
        <f>Demanda!J87/1000</f>
        <v>0</v>
      </c>
      <c r="G126" s="312">
        <f>Demanda!K87/1000</f>
        <v>0</v>
      </c>
      <c r="H126" s="312">
        <f>Demanda!L87/1000</f>
        <v>0</v>
      </c>
      <c r="I126" s="312">
        <f>Demanda!M87/1000</f>
        <v>0</v>
      </c>
      <c r="J126" s="312">
        <f>Demanda!N87/1000</f>
        <v>0</v>
      </c>
      <c r="K126" s="312">
        <f>Demanda!O87/1000</f>
        <v>0</v>
      </c>
      <c r="M126" s="61" t="s">
        <v>109</v>
      </c>
      <c r="O126" s="312">
        <f t="shared" si="105"/>
        <v>0</v>
      </c>
      <c r="P126" s="312">
        <f t="shared" si="101"/>
        <v>0</v>
      </c>
      <c r="Q126" s="312">
        <f t="shared" si="102"/>
        <v>0</v>
      </c>
      <c r="R126" s="312">
        <f t="shared" si="103"/>
        <v>0</v>
      </c>
      <c r="S126" s="312">
        <f t="shared" si="104"/>
        <v>0</v>
      </c>
      <c r="U126" s="61" t="s">
        <v>109</v>
      </c>
      <c r="W126" s="312"/>
      <c r="X126" s="312"/>
      <c r="Y126" s="312"/>
      <c r="Z126" s="312"/>
      <c r="AA126" s="312"/>
      <c r="AD126" s="58">
        <f>NPV(Inputs!$C$6,Mercado!G126:J126)+(Mercado!K126*Inputs!$C$11)/(1+Inputs!$C$6)^(4.55)</f>
        <v>0</v>
      </c>
    </row>
    <row r="127" spans="1:30">
      <c r="A127" s="192" t="s">
        <v>4856</v>
      </c>
      <c r="B127" s="61" t="s">
        <v>109</v>
      </c>
      <c r="C127" s="123">
        <v>6</v>
      </c>
      <c r="D127" s="51">
        <f t="shared" si="106"/>
        <v>100001</v>
      </c>
      <c r="E127" s="70">
        <v>300000</v>
      </c>
      <c r="F127" s="312">
        <f>Demanda!J88/1000</f>
        <v>0</v>
      </c>
      <c r="G127" s="312">
        <f>Demanda!K88/1000</f>
        <v>0</v>
      </c>
      <c r="H127" s="312">
        <f>Demanda!L88/1000</f>
        <v>0</v>
      </c>
      <c r="I127" s="312">
        <f>Demanda!M88/1000</f>
        <v>0</v>
      </c>
      <c r="J127" s="312">
        <f>Demanda!N88/1000</f>
        <v>0</v>
      </c>
      <c r="K127" s="312">
        <f>Demanda!O88/1000</f>
        <v>0</v>
      </c>
      <c r="M127" s="61" t="s">
        <v>109</v>
      </c>
      <c r="O127" s="312">
        <f t="shared" si="105"/>
        <v>0</v>
      </c>
      <c r="P127" s="312">
        <f t="shared" si="101"/>
        <v>0</v>
      </c>
      <c r="Q127" s="312">
        <f t="shared" si="102"/>
        <v>0</v>
      </c>
      <c r="R127" s="312">
        <f t="shared" si="103"/>
        <v>0</v>
      </c>
      <c r="S127" s="312">
        <f t="shared" si="104"/>
        <v>0</v>
      </c>
      <c r="U127" s="61" t="s">
        <v>109</v>
      </c>
      <c r="W127" s="312"/>
      <c r="X127" s="312"/>
      <c r="Y127" s="312"/>
      <c r="Z127" s="312"/>
      <c r="AA127" s="312"/>
      <c r="AD127" s="58">
        <f>NPV(Inputs!$C$6,Mercado!G127:J127)+(Mercado!K127*Inputs!$C$11)/(1+Inputs!$C$6)^(4.55)</f>
        <v>0</v>
      </c>
    </row>
    <row r="128" spans="1:30">
      <c r="A128" s="192" t="s">
        <v>4857</v>
      </c>
      <c r="B128" s="61" t="s">
        <v>109</v>
      </c>
      <c r="C128" s="123">
        <v>7</v>
      </c>
      <c r="D128" s="51">
        <f t="shared" si="106"/>
        <v>300001</v>
      </c>
      <c r="E128" s="70">
        <v>600000</v>
      </c>
      <c r="F128" s="312">
        <f>Demanda!J89/1000</f>
        <v>0</v>
      </c>
      <c r="G128" s="312">
        <f>Demanda!K89/1000</f>
        <v>0</v>
      </c>
      <c r="H128" s="312">
        <f>Demanda!L89/1000</f>
        <v>0</v>
      </c>
      <c r="I128" s="312">
        <f>Demanda!M89/1000</f>
        <v>0</v>
      </c>
      <c r="J128" s="312">
        <f>Demanda!N89/1000</f>
        <v>0</v>
      </c>
      <c r="K128" s="312">
        <f>Demanda!O89/1000</f>
        <v>0</v>
      </c>
      <c r="M128" s="61" t="s">
        <v>109</v>
      </c>
      <c r="O128" s="312">
        <f t="shared" si="105"/>
        <v>0</v>
      </c>
      <c r="P128" s="312">
        <f t="shared" si="101"/>
        <v>0</v>
      </c>
      <c r="Q128" s="312">
        <f t="shared" si="102"/>
        <v>0</v>
      </c>
      <c r="R128" s="312">
        <f t="shared" si="103"/>
        <v>0</v>
      </c>
      <c r="S128" s="312">
        <f t="shared" si="104"/>
        <v>0</v>
      </c>
      <c r="U128" s="61" t="s">
        <v>109</v>
      </c>
      <c r="W128" s="312"/>
      <c r="X128" s="312"/>
      <c r="Y128" s="312"/>
      <c r="Z128" s="312"/>
      <c r="AA128" s="312"/>
      <c r="AD128" s="58">
        <f>NPV(Inputs!$C$6,Mercado!G128:J128)+(Mercado!K128*Inputs!$C$11)/(1+Inputs!$C$6)^(4.55)</f>
        <v>0</v>
      </c>
    </row>
    <row r="129" spans="1:30">
      <c r="A129" s="192" t="s">
        <v>4858</v>
      </c>
      <c r="B129" s="61" t="s">
        <v>109</v>
      </c>
      <c r="C129" s="123">
        <v>8</v>
      </c>
      <c r="D129" s="51">
        <f t="shared" si="106"/>
        <v>600001</v>
      </c>
      <c r="E129" s="70">
        <v>1500000</v>
      </c>
      <c r="F129" s="312">
        <f>Demanda!J90/1000</f>
        <v>0</v>
      </c>
      <c r="G129" s="312">
        <f>Demanda!K90/1000</f>
        <v>0</v>
      </c>
      <c r="H129" s="312">
        <f>Demanda!L90/1000</f>
        <v>0</v>
      </c>
      <c r="I129" s="312">
        <f>Demanda!M90/1000</f>
        <v>0</v>
      </c>
      <c r="J129" s="312">
        <f>Demanda!N90/1000</f>
        <v>0</v>
      </c>
      <c r="K129" s="312">
        <f>Demanda!O90/1000</f>
        <v>0</v>
      </c>
      <c r="M129" s="61" t="s">
        <v>109</v>
      </c>
      <c r="O129" s="312">
        <f t="shared" si="105"/>
        <v>0</v>
      </c>
      <c r="P129" s="312">
        <f t="shared" si="101"/>
        <v>0</v>
      </c>
      <c r="Q129" s="312">
        <f t="shared" si="102"/>
        <v>0</v>
      </c>
      <c r="R129" s="312">
        <f t="shared" si="103"/>
        <v>0</v>
      </c>
      <c r="S129" s="312">
        <f t="shared" si="104"/>
        <v>0</v>
      </c>
      <c r="U129" s="61" t="s">
        <v>109</v>
      </c>
      <c r="W129" s="312"/>
      <c r="X129" s="312"/>
      <c r="Y129" s="312"/>
      <c r="Z129" s="312"/>
      <c r="AA129" s="312"/>
      <c r="AD129" s="58">
        <f>NPV(Inputs!$C$6,Mercado!G129:J129)+(Mercado!K129*Inputs!$C$11)/(1+Inputs!$C$6)^(4.55)</f>
        <v>0</v>
      </c>
    </row>
    <row r="130" spans="1:30">
      <c r="A130" s="192" t="s">
        <v>4859</v>
      </c>
      <c r="B130" s="61" t="s">
        <v>109</v>
      </c>
      <c r="C130" s="123">
        <v>9</v>
      </c>
      <c r="D130" s="51">
        <f t="shared" si="106"/>
        <v>1500001</v>
      </c>
      <c r="E130" s="70">
        <v>3000000</v>
      </c>
      <c r="F130" s="312">
        <f>Demanda!J91/1000</f>
        <v>0</v>
      </c>
      <c r="G130" s="312">
        <f>Demanda!K91/1000</f>
        <v>0</v>
      </c>
      <c r="H130" s="312">
        <f>Demanda!L91/1000</f>
        <v>0</v>
      </c>
      <c r="I130" s="312">
        <f>Demanda!M91/1000</f>
        <v>0</v>
      </c>
      <c r="J130" s="312">
        <f>Demanda!N91/1000</f>
        <v>0</v>
      </c>
      <c r="K130" s="312">
        <f>Demanda!O91/1000</f>
        <v>0</v>
      </c>
      <c r="M130" s="61" t="s">
        <v>109</v>
      </c>
      <c r="O130" s="312">
        <f t="shared" si="105"/>
        <v>0</v>
      </c>
      <c r="P130" s="312">
        <f t="shared" si="101"/>
        <v>0</v>
      </c>
      <c r="Q130" s="312">
        <f t="shared" si="102"/>
        <v>0</v>
      </c>
      <c r="R130" s="312">
        <f t="shared" si="103"/>
        <v>0</v>
      </c>
      <c r="S130" s="312">
        <f t="shared" si="104"/>
        <v>0</v>
      </c>
      <c r="U130" s="61" t="s">
        <v>109</v>
      </c>
      <c r="W130" s="312"/>
      <c r="X130" s="312"/>
      <c r="Y130" s="312"/>
      <c r="Z130" s="312"/>
      <c r="AA130" s="312"/>
      <c r="AD130" s="58">
        <f>NPV(Inputs!$C$6,Mercado!G130:J130)+(Mercado!K130*Inputs!$C$11)/(1+Inputs!$C$6)^(4.55)</f>
        <v>0</v>
      </c>
    </row>
    <row r="131" spans="1:30">
      <c r="A131" s="192" t="s">
        <v>4860</v>
      </c>
      <c r="B131" s="61" t="s">
        <v>109</v>
      </c>
      <c r="C131" s="123">
        <v>10</v>
      </c>
      <c r="D131" s="51">
        <f t="shared" si="106"/>
        <v>3000001</v>
      </c>
      <c r="E131" s="51">
        <v>999999999</v>
      </c>
      <c r="F131" s="312">
        <f>Demanda!J92/1000</f>
        <v>0</v>
      </c>
      <c r="G131" s="312">
        <f>Demanda!K92/1000</f>
        <v>0</v>
      </c>
      <c r="H131" s="312">
        <f>Demanda!L92/1000</f>
        <v>0</v>
      </c>
      <c r="I131" s="312">
        <f>Demanda!M92/1000</f>
        <v>0</v>
      </c>
      <c r="J131" s="312">
        <f>Demanda!N92/1000</f>
        <v>0</v>
      </c>
      <c r="K131" s="312">
        <f>Demanda!O92/1000</f>
        <v>0</v>
      </c>
      <c r="M131" s="61" t="s">
        <v>109</v>
      </c>
      <c r="O131" s="312">
        <f t="shared" si="105"/>
        <v>0</v>
      </c>
      <c r="P131" s="312">
        <f t="shared" si="101"/>
        <v>0</v>
      </c>
      <c r="Q131" s="312">
        <f t="shared" si="102"/>
        <v>0</v>
      </c>
      <c r="R131" s="312">
        <f t="shared" si="103"/>
        <v>0</v>
      </c>
      <c r="S131" s="312">
        <f t="shared" si="104"/>
        <v>0</v>
      </c>
      <c r="U131" s="61" t="s">
        <v>109</v>
      </c>
      <c r="W131" s="312"/>
      <c r="X131" s="312"/>
      <c r="Y131" s="312"/>
      <c r="Z131" s="312"/>
      <c r="AA131" s="312"/>
      <c r="AD131" s="58">
        <f>NPV(Inputs!$C$6,Mercado!G131:J131)+(Mercado!K131*Inputs!$C$11)/(1+Inputs!$C$6)^(4.55)</f>
        <v>0</v>
      </c>
    </row>
    <row r="132" spans="1:30">
      <c r="A132" s="192"/>
      <c r="B132" s="198"/>
      <c r="C132" s="202"/>
      <c r="D132" s="198"/>
      <c r="E132" s="198"/>
      <c r="F132" s="199">
        <f>SUM(F133:F142)</f>
        <v>0</v>
      </c>
      <c r="G132" s="199">
        <f t="shared" ref="G132:K132" si="107">SUM(G133:G142)</f>
        <v>0</v>
      </c>
      <c r="H132" s="199">
        <f t="shared" si="107"/>
        <v>0</v>
      </c>
      <c r="I132" s="199">
        <f t="shared" si="107"/>
        <v>0</v>
      </c>
      <c r="J132" s="199">
        <f t="shared" si="107"/>
        <v>0</v>
      </c>
      <c r="K132" s="199">
        <f t="shared" si="107"/>
        <v>0</v>
      </c>
      <c r="L132" s="50">
        <v>3</v>
      </c>
      <c r="M132" s="198"/>
      <c r="O132" s="199">
        <f>SUM(O133:O142)</f>
        <v>0</v>
      </c>
      <c r="P132" s="199">
        <f t="shared" ref="P132:S132" si="108">SUM(P133:P142)</f>
        <v>0</v>
      </c>
      <c r="Q132" s="199">
        <f t="shared" si="108"/>
        <v>0</v>
      </c>
      <c r="R132" s="199">
        <f t="shared" si="108"/>
        <v>0</v>
      </c>
      <c r="S132" s="199">
        <f t="shared" si="108"/>
        <v>0</v>
      </c>
      <c r="U132" s="198"/>
      <c r="W132" s="199">
        <f>SUM(W133:W142)</f>
        <v>0</v>
      </c>
      <c r="X132" s="199">
        <f t="shared" ref="X132:AA132" si="109">SUM(X133:X142)</f>
        <v>0</v>
      </c>
      <c r="Y132" s="199">
        <f t="shared" si="109"/>
        <v>0</v>
      </c>
      <c r="Z132" s="199">
        <f t="shared" si="109"/>
        <v>0</v>
      </c>
      <c r="AA132" s="199">
        <f t="shared" si="109"/>
        <v>0</v>
      </c>
      <c r="AD132" s="58">
        <f>NPV(Inputs!$C$6,Mercado!G132:J132)+(Mercado!K132*Inputs!$C$11)/(1+Inputs!$C$6)^(4.55)</f>
        <v>0</v>
      </c>
    </row>
    <row r="133" spans="1:30">
      <c r="A133" s="192" t="s">
        <v>4861</v>
      </c>
      <c r="B133" s="61" t="s">
        <v>4862</v>
      </c>
      <c r="C133" s="123">
        <v>1</v>
      </c>
      <c r="D133" s="58">
        <v>0</v>
      </c>
      <c r="E133" s="70">
        <v>200</v>
      </c>
      <c r="F133" s="312"/>
      <c r="G133" s="313"/>
      <c r="H133" s="313"/>
      <c r="I133" s="313"/>
      <c r="J133" s="313"/>
      <c r="K133" s="313"/>
      <c r="M133" s="61" t="s">
        <v>4862</v>
      </c>
      <c r="O133" s="312"/>
      <c r="P133" s="312"/>
      <c r="Q133" s="312"/>
      <c r="R133" s="312"/>
      <c r="S133" s="312"/>
      <c r="U133" s="61" t="s">
        <v>4862</v>
      </c>
      <c r="W133" s="312">
        <f>G133</f>
        <v>0</v>
      </c>
      <c r="X133" s="312">
        <f t="shared" ref="X133:AA142" si="110">H133</f>
        <v>0</v>
      </c>
      <c r="Y133" s="312">
        <f t="shared" si="110"/>
        <v>0</v>
      </c>
      <c r="Z133" s="312">
        <f t="shared" si="110"/>
        <v>0</v>
      </c>
      <c r="AA133" s="312">
        <f t="shared" si="110"/>
        <v>0</v>
      </c>
      <c r="AD133" s="58">
        <f>NPV(Inputs!$C$6,Mercado!G133:J133)+(Mercado!K133*Inputs!$C$11)/(1+Inputs!$C$6)^(4.55)</f>
        <v>0</v>
      </c>
    </row>
    <row r="134" spans="1:30">
      <c r="A134" s="192" t="s">
        <v>4863</v>
      </c>
      <c r="B134" s="61" t="s">
        <v>4862</v>
      </c>
      <c r="C134" s="123">
        <v>2</v>
      </c>
      <c r="D134" s="51">
        <f>E133+1</f>
        <v>201</v>
      </c>
      <c r="E134" s="70">
        <v>2000</v>
      </c>
      <c r="F134" s="312"/>
      <c r="G134" s="313"/>
      <c r="H134" s="313"/>
      <c r="I134" s="313"/>
      <c r="J134" s="313"/>
      <c r="K134" s="313"/>
      <c r="M134" s="61" t="s">
        <v>4862</v>
      </c>
      <c r="O134" s="312"/>
      <c r="P134" s="312"/>
      <c r="Q134" s="312"/>
      <c r="R134" s="312"/>
      <c r="S134" s="312"/>
      <c r="U134" s="61" t="s">
        <v>4862</v>
      </c>
      <c r="W134" s="312">
        <f t="shared" ref="W134:W142" si="111">G134</f>
        <v>0</v>
      </c>
      <c r="X134" s="312">
        <f t="shared" si="110"/>
        <v>0</v>
      </c>
      <c r="Y134" s="312">
        <f t="shared" si="110"/>
        <v>0</v>
      </c>
      <c r="Z134" s="312">
        <f t="shared" si="110"/>
        <v>0</v>
      </c>
      <c r="AA134" s="312">
        <f t="shared" si="110"/>
        <v>0</v>
      </c>
      <c r="AD134" s="58">
        <f>NPV(Inputs!$C$6,Mercado!G134:J134)+(Mercado!K134*Inputs!$C$11)/(1+Inputs!$C$6)^(4.55)</f>
        <v>0</v>
      </c>
    </row>
    <row r="135" spans="1:30">
      <c r="A135" s="192" t="s">
        <v>4864</v>
      </c>
      <c r="B135" s="61" t="s">
        <v>4862</v>
      </c>
      <c r="C135" s="123">
        <v>3</v>
      </c>
      <c r="D135" s="51">
        <f t="shared" ref="D135:D142" si="112">E134+1</f>
        <v>2001</v>
      </c>
      <c r="E135" s="70">
        <v>10000</v>
      </c>
      <c r="F135" s="312"/>
      <c r="G135" s="313"/>
      <c r="H135" s="313"/>
      <c r="I135" s="313"/>
      <c r="J135" s="313"/>
      <c r="K135" s="313"/>
      <c r="M135" s="61" t="s">
        <v>4862</v>
      </c>
      <c r="O135" s="312"/>
      <c r="P135" s="312"/>
      <c r="Q135" s="312"/>
      <c r="R135" s="312"/>
      <c r="S135" s="312"/>
      <c r="U135" s="61" t="s">
        <v>4862</v>
      </c>
      <c r="W135" s="312">
        <f t="shared" si="111"/>
        <v>0</v>
      </c>
      <c r="X135" s="312">
        <f t="shared" si="110"/>
        <v>0</v>
      </c>
      <c r="Y135" s="312">
        <f t="shared" si="110"/>
        <v>0</v>
      </c>
      <c r="Z135" s="312">
        <f t="shared" si="110"/>
        <v>0</v>
      </c>
      <c r="AA135" s="312">
        <f t="shared" si="110"/>
        <v>0</v>
      </c>
      <c r="AD135" s="58">
        <f>NPV(Inputs!$C$6,Mercado!G135:J135)+(Mercado!K135*Inputs!$C$11)/(1+Inputs!$C$6)^(4.55)</f>
        <v>0</v>
      </c>
    </row>
    <row r="136" spans="1:30">
      <c r="A136" s="192" t="s">
        <v>4865</v>
      </c>
      <c r="B136" s="61" t="s">
        <v>4862</v>
      </c>
      <c r="C136" s="123">
        <v>4</v>
      </c>
      <c r="D136" s="51">
        <f t="shared" si="112"/>
        <v>10001</v>
      </c>
      <c r="E136" s="70">
        <v>50000</v>
      </c>
      <c r="F136" s="312"/>
      <c r="G136" s="313"/>
      <c r="H136" s="313"/>
      <c r="I136" s="313"/>
      <c r="J136" s="313"/>
      <c r="K136" s="313"/>
      <c r="M136" s="61" t="s">
        <v>4862</v>
      </c>
      <c r="O136" s="312"/>
      <c r="P136" s="312"/>
      <c r="Q136" s="312"/>
      <c r="R136" s="312"/>
      <c r="S136" s="312"/>
      <c r="U136" s="61" t="s">
        <v>4862</v>
      </c>
      <c r="W136" s="312">
        <f t="shared" si="111"/>
        <v>0</v>
      </c>
      <c r="X136" s="312">
        <f t="shared" si="110"/>
        <v>0</v>
      </c>
      <c r="Y136" s="312">
        <f t="shared" si="110"/>
        <v>0</v>
      </c>
      <c r="Z136" s="312">
        <f t="shared" si="110"/>
        <v>0</v>
      </c>
      <c r="AA136" s="312">
        <f t="shared" si="110"/>
        <v>0</v>
      </c>
      <c r="AD136" s="58">
        <f>NPV(Inputs!$C$6,Mercado!G136:J136)+(Mercado!K136*Inputs!$C$11)/(1+Inputs!$C$6)^(4.55)</f>
        <v>0</v>
      </c>
    </row>
    <row r="137" spans="1:30">
      <c r="A137" s="192" t="s">
        <v>4866</v>
      </c>
      <c r="B137" s="61" t="s">
        <v>4862</v>
      </c>
      <c r="C137" s="123">
        <v>5</v>
      </c>
      <c r="D137" s="51">
        <f t="shared" si="112"/>
        <v>50001</v>
      </c>
      <c r="E137" s="70">
        <v>100000</v>
      </c>
      <c r="F137" s="312"/>
      <c r="G137" s="313"/>
      <c r="H137" s="313"/>
      <c r="I137" s="313"/>
      <c r="J137" s="313"/>
      <c r="K137" s="313"/>
      <c r="M137" s="61" t="s">
        <v>4862</v>
      </c>
      <c r="O137" s="312"/>
      <c r="P137" s="312"/>
      <c r="Q137" s="312"/>
      <c r="R137" s="312"/>
      <c r="S137" s="312"/>
      <c r="U137" s="61" t="s">
        <v>4862</v>
      </c>
      <c r="W137" s="312">
        <f t="shared" si="111"/>
        <v>0</v>
      </c>
      <c r="X137" s="312">
        <f t="shared" si="110"/>
        <v>0</v>
      </c>
      <c r="Y137" s="312">
        <f t="shared" si="110"/>
        <v>0</v>
      </c>
      <c r="Z137" s="312">
        <f t="shared" si="110"/>
        <v>0</v>
      </c>
      <c r="AA137" s="312">
        <f t="shared" si="110"/>
        <v>0</v>
      </c>
      <c r="AD137" s="58">
        <f>NPV(Inputs!$C$6,Mercado!G137:J137)+(Mercado!K137*Inputs!$C$11)/(1+Inputs!$C$6)^(4.55)</f>
        <v>0</v>
      </c>
    </row>
    <row r="138" spans="1:30">
      <c r="A138" s="192" t="s">
        <v>4867</v>
      </c>
      <c r="B138" s="61" t="s">
        <v>4862</v>
      </c>
      <c r="C138" s="123">
        <v>6</v>
      </c>
      <c r="D138" s="51">
        <f t="shared" si="112"/>
        <v>100001</v>
      </c>
      <c r="E138" s="70">
        <v>300000</v>
      </c>
      <c r="F138" s="312"/>
      <c r="G138" s="313"/>
      <c r="H138" s="313"/>
      <c r="I138" s="313"/>
      <c r="J138" s="313"/>
      <c r="K138" s="313"/>
      <c r="M138" s="61" t="s">
        <v>4862</v>
      </c>
      <c r="O138" s="312"/>
      <c r="P138" s="312"/>
      <c r="Q138" s="312"/>
      <c r="R138" s="312"/>
      <c r="S138" s="312"/>
      <c r="U138" s="61" t="s">
        <v>4862</v>
      </c>
      <c r="W138" s="312">
        <f t="shared" si="111"/>
        <v>0</v>
      </c>
      <c r="X138" s="312">
        <f t="shared" si="110"/>
        <v>0</v>
      </c>
      <c r="Y138" s="312">
        <f t="shared" si="110"/>
        <v>0</v>
      </c>
      <c r="Z138" s="312">
        <f t="shared" si="110"/>
        <v>0</v>
      </c>
      <c r="AA138" s="312">
        <f t="shared" si="110"/>
        <v>0</v>
      </c>
      <c r="AD138" s="58">
        <f>NPV(Inputs!$C$6,Mercado!G138:J138)+(Mercado!K138*Inputs!$C$11)/(1+Inputs!$C$6)^(4.55)</f>
        <v>0</v>
      </c>
    </row>
    <row r="139" spans="1:30">
      <c r="A139" s="192" t="s">
        <v>4868</v>
      </c>
      <c r="B139" s="61" t="s">
        <v>4862</v>
      </c>
      <c r="C139" s="123">
        <v>7</v>
      </c>
      <c r="D139" s="51">
        <f t="shared" si="112"/>
        <v>300001</v>
      </c>
      <c r="E139" s="70">
        <v>600000</v>
      </c>
      <c r="F139" s="312"/>
      <c r="G139" s="313"/>
      <c r="H139" s="313"/>
      <c r="I139" s="313"/>
      <c r="J139" s="313"/>
      <c r="K139" s="313"/>
      <c r="M139" s="61" t="s">
        <v>4862</v>
      </c>
      <c r="O139" s="312"/>
      <c r="P139" s="312"/>
      <c r="Q139" s="312"/>
      <c r="R139" s="312"/>
      <c r="S139" s="312"/>
      <c r="U139" s="61" t="s">
        <v>4862</v>
      </c>
      <c r="W139" s="312">
        <f t="shared" si="111"/>
        <v>0</v>
      </c>
      <c r="X139" s="312">
        <f t="shared" si="110"/>
        <v>0</v>
      </c>
      <c r="Y139" s="312">
        <f t="shared" si="110"/>
        <v>0</v>
      </c>
      <c r="Z139" s="312">
        <f t="shared" si="110"/>
        <v>0</v>
      </c>
      <c r="AA139" s="312">
        <f t="shared" si="110"/>
        <v>0</v>
      </c>
      <c r="AD139" s="58">
        <f>NPV(Inputs!$C$6,Mercado!G139:J139)+(Mercado!K139*Inputs!$C$11)/(1+Inputs!$C$6)^(4.55)</f>
        <v>0</v>
      </c>
    </row>
    <row r="140" spans="1:30">
      <c r="A140" s="192" t="s">
        <v>4869</v>
      </c>
      <c r="B140" s="61" t="s">
        <v>4862</v>
      </c>
      <c r="C140" s="123">
        <v>8</v>
      </c>
      <c r="D140" s="51">
        <f t="shared" si="112"/>
        <v>600001</v>
      </c>
      <c r="E140" s="70">
        <v>1500000</v>
      </c>
      <c r="F140" s="312"/>
      <c r="G140" s="313"/>
      <c r="H140" s="313"/>
      <c r="I140" s="313"/>
      <c r="J140" s="313"/>
      <c r="K140" s="313"/>
      <c r="M140" s="61" t="s">
        <v>4862</v>
      </c>
      <c r="O140" s="312"/>
      <c r="P140" s="312"/>
      <c r="Q140" s="312"/>
      <c r="R140" s="312"/>
      <c r="S140" s="312"/>
      <c r="U140" s="61" t="s">
        <v>4862</v>
      </c>
      <c r="W140" s="312">
        <f t="shared" si="111"/>
        <v>0</v>
      </c>
      <c r="X140" s="312">
        <f t="shared" si="110"/>
        <v>0</v>
      </c>
      <c r="Y140" s="312">
        <f t="shared" si="110"/>
        <v>0</v>
      </c>
      <c r="Z140" s="312">
        <f t="shared" si="110"/>
        <v>0</v>
      </c>
      <c r="AA140" s="312">
        <f t="shared" si="110"/>
        <v>0</v>
      </c>
      <c r="AD140" s="58">
        <f>NPV(Inputs!$C$6,Mercado!G140:J140)+(Mercado!K140*Inputs!$C$11)/(1+Inputs!$C$6)^(4.55)</f>
        <v>0</v>
      </c>
    </row>
    <row r="141" spans="1:30">
      <c r="A141" s="192" t="s">
        <v>4870</v>
      </c>
      <c r="B141" s="61" t="s">
        <v>4862</v>
      </c>
      <c r="C141" s="123">
        <v>9</v>
      </c>
      <c r="D141" s="51">
        <f t="shared" si="112"/>
        <v>1500001</v>
      </c>
      <c r="E141" s="70">
        <v>3000000</v>
      </c>
      <c r="F141" s="312"/>
      <c r="G141" s="313"/>
      <c r="H141" s="313"/>
      <c r="I141" s="313"/>
      <c r="J141" s="313"/>
      <c r="K141" s="313"/>
      <c r="M141" s="61" t="s">
        <v>4862</v>
      </c>
      <c r="O141" s="312"/>
      <c r="P141" s="312"/>
      <c r="Q141" s="312"/>
      <c r="R141" s="312"/>
      <c r="S141" s="312"/>
      <c r="U141" s="61" t="s">
        <v>4862</v>
      </c>
      <c r="W141" s="312">
        <f t="shared" si="111"/>
        <v>0</v>
      </c>
      <c r="X141" s="312">
        <f t="shared" si="110"/>
        <v>0</v>
      </c>
      <c r="Y141" s="312">
        <f t="shared" si="110"/>
        <v>0</v>
      </c>
      <c r="Z141" s="312">
        <f t="shared" si="110"/>
        <v>0</v>
      </c>
      <c r="AA141" s="312">
        <f t="shared" si="110"/>
        <v>0</v>
      </c>
      <c r="AD141" s="58">
        <f>NPV(Inputs!$C$6,Mercado!G141:J141)+(Mercado!K141*Inputs!$C$11)/(1+Inputs!$C$6)^(4.55)</f>
        <v>0</v>
      </c>
    </row>
    <row r="142" spans="1:30">
      <c r="A142" s="192" t="s">
        <v>4871</v>
      </c>
      <c r="B142" s="61" t="s">
        <v>4862</v>
      </c>
      <c r="C142" s="123">
        <v>10</v>
      </c>
      <c r="D142" s="51">
        <f t="shared" si="112"/>
        <v>3000001</v>
      </c>
      <c r="E142" s="51">
        <v>999999999</v>
      </c>
      <c r="F142" s="312"/>
      <c r="G142" s="313"/>
      <c r="H142" s="313"/>
      <c r="I142" s="313"/>
      <c r="J142" s="313"/>
      <c r="K142" s="313"/>
      <c r="M142" s="61" t="s">
        <v>4862</v>
      </c>
      <c r="O142" s="312"/>
      <c r="P142" s="312"/>
      <c r="Q142" s="312"/>
      <c r="R142" s="312"/>
      <c r="S142" s="312"/>
      <c r="U142" s="61" t="s">
        <v>4862</v>
      </c>
      <c r="W142" s="312">
        <f t="shared" si="111"/>
        <v>0</v>
      </c>
      <c r="X142" s="312">
        <f t="shared" si="110"/>
        <v>0</v>
      </c>
      <c r="Y142" s="312">
        <f t="shared" si="110"/>
        <v>0</v>
      </c>
      <c r="Z142" s="312">
        <f t="shared" si="110"/>
        <v>0</v>
      </c>
      <c r="AA142" s="312">
        <f t="shared" si="110"/>
        <v>0</v>
      </c>
      <c r="AD142" s="58">
        <f>NPV(Inputs!$C$6,Mercado!G142:J142)+(Mercado!K142*Inputs!$C$11)/(1+Inputs!$C$6)^(4.55)</f>
        <v>0</v>
      </c>
    </row>
    <row r="143" spans="1:30">
      <c r="A143" s="192"/>
      <c r="B143" s="198"/>
      <c r="C143" s="202"/>
      <c r="D143" s="198"/>
      <c r="E143" s="198"/>
      <c r="F143" s="199">
        <f>SUM(F144:F153)</f>
        <v>0</v>
      </c>
      <c r="G143" s="199">
        <f t="shared" ref="G143:K143" si="113">SUM(G144:G153)</f>
        <v>0</v>
      </c>
      <c r="H143" s="199">
        <f t="shared" si="113"/>
        <v>0</v>
      </c>
      <c r="I143" s="199">
        <f t="shared" si="113"/>
        <v>0</v>
      </c>
      <c r="J143" s="199">
        <f t="shared" si="113"/>
        <v>0</v>
      </c>
      <c r="K143" s="199">
        <f t="shared" si="113"/>
        <v>0</v>
      </c>
      <c r="L143" s="50">
        <v>3</v>
      </c>
      <c r="M143" s="198"/>
      <c r="O143" s="199">
        <f>SUM(O144:O153)</f>
        <v>0</v>
      </c>
      <c r="P143" s="199">
        <f t="shared" ref="P143:S143" si="114">SUM(P144:P153)</f>
        <v>0</v>
      </c>
      <c r="Q143" s="199">
        <f t="shared" si="114"/>
        <v>0</v>
      </c>
      <c r="R143" s="199">
        <f t="shared" si="114"/>
        <v>0</v>
      </c>
      <c r="S143" s="199">
        <f t="shared" si="114"/>
        <v>0</v>
      </c>
      <c r="U143" s="198"/>
      <c r="W143" s="199">
        <f>SUM(W144:W153)</f>
        <v>0</v>
      </c>
      <c r="X143" s="199">
        <f t="shared" ref="X143:AA143" si="115">SUM(X144:X153)</f>
        <v>0</v>
      </c>
      <c r="Y143" s="199">
        <f t="shared" si="115"/>
        <v>0</v>
      </c>
      <c r="Z143" s="199">
        <f t="shared" si="115"/>
        <v>0</v>
      </c>
      <c r="AA143" s="199">
        <f t="shared" si="115"/>
        <v>0</v>
      </c>
      <c r="AD143" s="58">
        <f>NPV(Inputs!$C$6,Mercado!G143:J143)+(Mercado!K143*Inputs!$C$11)/(1+Inputs!$C$6)^(4.55)</f>
        <v>0</v>
      </c>
    </row>
    <row r="144" spans="1:30">
      <c r="A144" s="192" t="s">
        <v>4872</v>
      </c>
      <c r="B144" s="61" t="s">
        <v>4873</v>
      </c>
      <c r="C144" s="123">
        <v>1</v>
      </c>
      <c r="D144" s="58">
        <v>0</v>
      </c>
      <c r="E144" s="70">
        <v>200</v>
      </c>
      <c r="F144" s="312"/>
      <c r="G144" s="313"/>
      <c r="H144" s="313"/>
      <c r="I144" s="313"/>
      <c r="J144" s="313"/>
      <c r="K144" s="313"/>
      <c r="M144" s="61" t="s">
        <v>4873</v>
      </c>
      <c r="O144" s="312"/>
      <c r="P144" s="312"/>
      <c r="Q144" s="312"/>
      <c r="R144" s="312"/>
      <c r="S144" s="312"/>
      <c r="U144" s="61" t="s">
        <v>4873</v>
      </c>
      <c r="W144" s="312">
        <f>G144</f>
        <v>0</v>
      </c>
      <c r="X144" s="312">
        <f t="shared" ref="X144:X153" si="116">H144</f>
        <v>0</v>
      </c>
      <c r="Y144" s="312">
        <f t="shared" ref="Y144:Y153" si="117">I144</f>
        <v>0</v>
      </c>
      <c r="Z144" s="312">
        <f t="shared" ref="Z144:Z153" si="118">J144</f>
        <v>0</v>
      </c>
      <c r="AA144" s="312">
        <f t="shared" ref="AA144:AA153" si="119">K144</f>
        <v>0</v>
      </c>
      <c r="AD144" s="58">
        <f>NPV(Inputs!$C$6,Mercado!G144:J144)+(Mercado!K144*Inputs!$C$11)/(1+Inputs!$C$6)^(4.55)</f>
        <v>0</v>
      </c>
    </row>
    <row r="145" spans="1:30">
      <c r="A145" s="192" t="s">
        <v>4874</v>
      </c>
      <c r="B145" s="61" t="s">
        <v>4873</v>
      </c>
      <c r="C145" s="123">
        <v>2</v>
      </c>
      <c r="D145" s="51">
        <f>E144+1</f>
        <v>201</v>
      </c>
      <c r="E145" s="70">
        <v>2000</v>
      </c>
      <c r="F145" s="312"/>
      <c r="G145" s="313"/>
      <c r="H145" s="313"/>
      <c r="I145" s="313"/>
      <c r="J145" s="313"/>
      <c r="K145" s="313"/>
      <c r="M145" s="61" t="s">
        <v>4873</v>
      </c>
      <c r="O145" s="312"/>
      <c r="P145" s="312"/>
      <c r="Q145" s="312"/>
      <c r="R145" s="312"/>
      <c r="S145" s="312"/>
      <c r="U145" s="61" t="s">
        <v>4873</v>
      </c>
      <c r="W145" s="312">
        <f t="shared" ref="W145:W153" si="120">G145</f>
        <v>0</v>
      </c>
      <c r="X145" s="312">
        <f t="shared" si="116"/>
        <v>0</v>
      </c>
      <c r="Y145" s="312">
        <f t="shared" si="117"/>
        <v>0</v>
      </c>
      <c r="Z145" s="312">
        <f t="shared" si="118"/>
        <v>0</v>
      </c>
      <c r="AA145" s="312">
        <f t="shared" si="119"/>
        <v>0</v>
      </c>
      <c r="AD145" s="58">
        <f>NPV(Inputs!$C$6,Mercado!G145:J145)+(Mercado!K145*Inputs!$C$11)/(1+Inputs!$C$6)^(4.55)</f>
        <v>0</v>
      </c>
    </row>
    <row r="146" spans="1:30">
      <c r="A146" s="192" t="s">
        <v>4875</v>
      </c>
      <c r="B146" s="61" t="s">
        <v>4873</v>
      </c>
      <c r="C146" s="123">
        <v>3</v>
      </c>
      <c r="D146" s="51">
        <f t="shared" ref="D146:D153" si="121">E145+1</f>
        <v>2001</v>
      </c>
      <c r="E146" s="70">
        <v>10000</v>
      </c>
      <c r="F146" s="312"/>
      <c r="G146" s="313"/>
      <c r="H146" s="313"/>
      <c r="I146" s="313"/>
      <c r="J146" s="313"/>
      <c r="K146" s="313"/>
      <c r="M146" s="61" t="s">
        <v>4873</v>
      </c>
      <c r="O146" s="312"/>
      <c r="P146" s="312"/>
      <c r="Q146" s="312"/>
      <c r="R146" s="312"/>
      <c r="S146" s="312"/>
      <c r="U146" s="61" t="s">
        <v>4873</v>
      </c>
      <c r="W146" s="312">
        <f t="shared" si="120"/>
        <v>0</v>
      </c>
      <c r="X146" s="312">
        <f t="shared" si="116"/>
        <v>0</v>
      </c>
      <c r="Y146" s="312">
        <f t="shared" si="117"/>
        <v>0</v>
      </c>
      <c r="Z146" s="312">
        <f t="shared" si="118"/>
        <v>0</v>
      </c>
      <c r="AA146" s="312">
        <f t="shared" si="119"/>
        <v>0</v>
      </c>
      <c r="AD146" s="58">
        <f>NPV(Inputs!$C$6,Mercado!G146:J146)+(Mercado!K146*Inputs!$C$11)/(1+Inputs!$C$6)^(4.55)</f>
        <v>0</v>
      </c>
    </row>
    <row r="147" spans="1:30">
      <c r="A147" s="192" t="s">
        <v>4876</v>
      </c>
      <c r="B147" s="61" t="s">
        <v>4873</v>
      </c>
      <c r="C147" s="123">
        <v>4</v>
      </c>
      <c r="D147" s="51">
        <f t="shared" si="121"/>
        <v>10001</v>
      </c>
      <c r="E147" s="70">
        <v>50000</v>
      </c>
      <c r="F147" s="312"/>
      <c r="G147" s="313"/>
      <c r="H147" s="313"/>
      <c r="I147" s="313"/>
      <c r="J147" s="313"/>
      <c r="K147" s="313"/>
      <c r="M147" s="61" t="s">
        <v>4873</v>
      </c>
      <c r="O147" s="312"/>
      <c r="P147" s="312"/>
      <c r="Q147" s="312"/>
      <c r="R147" s="312"/>
      <c r="S147" s="312"/>
      <c r="U147" s="61" t="s">
        <v>4873</v>
      </c>
      <c r="W147" s="312">
        <f t="shared" si="120"/>
        <v>0</v>
      </c>
      <c r="X147" s="312">
        <f t="shared" si="116"/>
        <v>0</v>
      </c>
      <c r="Y147" s="312">
        <f t="shared" si="117"/>
        <v>0</v>
      </c>
      <c r="Z147" s="312">
        <f t="shared" si="118"/>
        <v>0</v>
      </c>
      <c r="AA147" s="312">
        <f t="shared" si="119"/>
        <v>0</v>
      </c>
      <c r="AD147" s="58">
        <f>NPV(Inputs!$C$6,Mercado!G147:J147)+(Mercado!K147*Inputs!$C$11)/(1+Inputs!$C$6)^(4.55)</f>
        <v>0</v>
      </c>
    </row>
    <row r="148" spans="1:30">
      <c r="A148" s="192" t="s">
        <v>4877</v>
      </c>
      <c r="B148" s="61" t="s">
        <v>4873</v>
      </c>
      <c r="C148" s="123">
        <v>5</v>
      </c>
      <c r="D148" s="51">
        <f t="shared" si="121"/>
        <v>50001</v>
      </c>
      <c r="E148" s="70">
        <v>100000</v>
      </c>
      <c r="F148" s="312"/>
      <c r="G148" s="313"/>
      <c r="H148" s="313"/>
      <c r="I148" s="313"/>
      <c r="J148" s="313"/>
      <c r="K148" s="313"/>
      <c r="M148" s="61" t="s">
        <v>4873</v>
      </c>
      <c r="O148" s="312"/>
      <c r="P148" s="312"/>
      <c r="Q148" s="312"/>
      <c r="R148" s="312"/>
      <c r="S148" s="312"/>
      <c r="U148" s="61" t="s">
        <v>4873</v>
      </c>
      <c r="W148" s="312">
        <f t="shared" si="120"/>
        <v>0</v>
      </c>
      <c r="X148" s="312">
        <f t="shared" si="116"/>
        <v>0</v>
      </c>
      <c r="Y148" s="312">
        <f t="shared" si="117"/>
        <v>0</v>
      </c>
      <c r="Z148" s="312">
        <f t="shared" si="118"/>
        <v>0</v>
      </c>
      <c r="AA148" s="312">
        <f t="shared" si="119"/>
        <v>0</v>
      </c>
      <c r="AD148" s="58">
        <f>NPV(Inputs!$C$6,Mercado!G148:J148)+(Mercado!K148*Inputs!$C$11)/(1+Inputs!$C$6)^(4.55)</f>
        <v>0</v>
      </c>
    </row>
    <row r="149" spans="1:30">
      <c r="A149" s="192" t="s">
        <v>4878</v>
      </c>
      <c r="B149" s="61" t="s">
        <v>4873</v>
      </c>
      <c r="C149" s="123">
        <v>6</v>
      </c>
      <c r="D149" s="51">
        <f t="shared" si="121"/>
        <v>100001</v>
      </c>
      <c r="E149" s="70">
        <v>300000</v>
      </c>
      <c r="F149" s="312"/>
      <c r="G149" s="313"/>
      <c r="H149" s="313"/>
      <c r="I149" s="313"/>
      <c r="J149" s="313"/>
      <c r="K149" s="313"/>
      <c r="M149" s="61" t="s">
        <v>4873</v>
      </c>
      <c r="O149" s="312"/>
      <c r="P149" s="312"/>
      <c r="Q149" s="312"/>
      <c r="R149" s="312"/>
      <c r="S149" s="312"/>
      <c r="U149" s="61" t="s">
        <v>4873</v>
      </c>
      <c r="W149" s="312">
        <f t="shared" si="120"/>
        <v>0</v>
      </c>
      <c r="X149" s="312">
        <f t="shared" si="116"/>
        <v>0</v>
      </c>
      <c r="Y149" s="312">
        <f t="shared" si="117"/>
        <v>0</v>
      </c>
      <c r="Z149" s="312">
        <f t="shared" si="118"/>
        <v>0</v>
      </c>
      <c r="AA149" s="312">
        <f t="shared" si="119"/>
        <v>0</v>
      </c>
      <c r="AD149" s="58">
        <f>NPV(Inputs!$C$6,Mercado!G149:J149)+(Mercado!K149*Inputs!$C$11)/(1+Inputs!$C$6)^(4.55)</f>
        <v>0</v>
      </c>
    </row>
    <row r="150" spans="1:30">
      <c r="A150" s="192" t="s">
        <v>4879</v>
      </c>
      <c r="B150" s="61" t="s">
        <v>4873</v>
      </c>
      <c r="C150" s="123">
        <v>7</v>
      </c>
      <c r="D150" s="51">
        <f t="shared" si="121"/>
        <v>300001</v>
      </c>
      <c r="E150" s="70">
        <v>600000</v>
      </c>
      <c r="F150" s="312"/>
      <c r="G150" s="313"/>
      <c r="H150" s="313"/>
      <c r="I150" s="313"/>
      <c r="J150" s="313"/>
      <c r="K150" s="313"/>
      <c r="M150" s="61" t="s">
        <v>4873</v>
      </c>
      <c r="O150" s="312"/>
      <c r="P150" s="312"/>
      <c r="Q150" s="312"/>
      <c r="R150" s="312"/>
      <c r="S150" s="312"/>
      <c r="U150" s="61" t="s">
        <v>4873</v>
      </c>
      <c r="W150" s="312">
        <f t="shared" si="120"/>
        <v>0</v>
      </c>
      <c r="X150" s="312">
        <f t="shared" si="116"/>
        <v>0</v>
      </c>
      <c r="Y150" s="312">
        <f t="shared" si="117"/>
        <v>0</v>
      </c>
      <c r="Z150" s="312">
        <f t="shared" si="118"/>
        <v>0</v>
      </c>
      <c r="AA150" s="312">
        <f t="shared" si="119"/>
        <v>0</v>
      </c>
      <c r="AD150" s="58">
        <f>NPV(Inputs!$C$6,Mercado!G150:J150)+(Mercado!K150*Inputs!$C$11)/(1+Inputs!$C$6)^(4.55)</f>
        <v>0</v>
      </c>
    </row>
    <row r="151" spans="1:30">
      <c r="A151" s="192" t="s">
        <v>4880</v>
      </c>
      <c r="B151" s="61" t="s">
        <v>4873</v>
      </c>
      <c r="C151" s="123">
        <v>8</v>
      </c>
      <c r="D151" s="51">
        <f t="shared" si="121"/>
        <v>600001</v>
      </c>
      <c r="E151" s="70">
        <v>1500000</v>
      </c>
      <c r="F151" s="312"/>
      <c r="G151" s="313"/>
      <c r="H151" s="313"/>
      <c r="I151" s="313"/>
      <c r="J151" s="313"/>
      <c r="K151" s="313"/>
      <c r="M151" s="61" t="s">
        <v>4873</v>
      </c>
      <c r="O151" s="312"/>
      <c r="P151" s="312"/>
      <c r="Q151" s="312"/>
      <c r="R151" s="312"/>
      <c r="S151" s="312"/>
      <c r="U151" s="61" t="s">
        <v>4873</v>
      </c>
      <c r="W151" s="312">
        <f t="shared" si="120"/>
        <v>0</v>
      </c>
      <c r="X151" s="312">
        <f t="shared" si="116"/>
        <v>0</v>
      </c>
      <c r="Y151" s="312">
        <f t="shared" si="117"/>
        <v>0</v>
      </c>
      <c r="Z151" s="312">
        <f t="shared" si="118"/>
        <v>0</v>
      </c>
      <c r="AA151" s="312">
        <f t="shared" si="119"/>
        <v>0</v>
      </c>
      <c r="AD151" s="58">
        <f>NPV(Inputs!$C$6,Mercado!G151:J151)+(Mercado!K151*Inputs!$C$11)/(1+Inputs!$C$6)^(4.55)</f>
        <v>0</v>
      </c>
    </row>
    <row r="152" spans="1:30">
      <c r="A152" s="192" t="s">
        <v>4881</v>
      </c>
      <c r="B152" s="61" t="s">
        <v>4873</v>
      </c>
      <c r="C152" s="123">
        <v>9</v>
      </c>
      <c r="D152" s="51">
        <f t="shared" si="121"/>
        <v>1500001</v>
      </c>
      <c r="E152" s="70">
        <v>3000000</v>
      </c>
      <c r="F152" s="312"/>
      <c r="G152" s="313"/>
      <c r="H152" s="313"/>
      <c r="I152" s="313"/>
      <c r="J152" s="313"/>
      <c r="K152" s="313"/>
      <c r="M152" s="61" t="s">
        <v>4873</v>
      </c>
      <c r="O152" s="312"/>
      <c r="P152" s="312"/>
      <c r="Q152" s="312"/>
      <c r="R152" s="312"/>
      <c r="S152" s="312"/>
      <c r="U152" s="61" t="s">
        <v>4873</v>
      </c>
      <c r="W152" s="312">
        <f t="shared" si="120"/>
        <v>0</v>
      </c>
      <c r="X152" s="312">
        <f t="shared" si="116"/>
        <v>0</v>
      </c>
      <c r="Y152" s="312">
        <f t="shared" si="117"/>
        <v>0</v>
      </c>
      <c r="Z152" s="312">
        <f t="shared" si="118"/>
        <v>0</v>
      </c>
      <c r="AA152" s="312">
        <f t="shared" si="119"/>
        <v>0</v>
      </c>
      <c r="AD152" s="58">
        <f>NPV(Inputs!$C$6,Mercado!G152:J152)+(Mercado!K152*Inputs!$C$11)/(1+Inputs!$C$6)^(4.55)</f>
        <v>0</v>
      </c>
    </row>
    <row r="153" spans="1:30">
      <c r="A153" s="192" t="s">
        <v>4882</v>
      </c>
      <c r="B153" s="61" t="s">
        <v>4873</v>
      </c>
      <c r="C153" s="123">
        <v>10</v>
      </c>
      <c r="D153" s="51">
        <f t="shared" si="121"/>
        <v>3000001</v>
      </c>
      <c r="E153" s="51">
        <v>999999999</v>
      </c>
      <c r="F153" s="312"/>
      <c r="G153" s="313"/>
      <c r="H153" s="313"/>
      <c r="I153" s="313"/>
      <c r="J153" s="313"/>
      <c r="K153" s="313"/>
      <c r="M153" s="61" t="s">
        <v>4873</v>
      </c>
      <c r="O153" s="312"/>
      <c r="P153" s="312"/>
      <c r="Q153" s="312"/>
      <c r="R153" s="312"/>
      <c r="S153" s="312"/>
      <c r="U153" s="61" t="s">
        <v>4873</v>
      </c>
      <c r="W153" s="312">
        <f t="shared" si="120"/>
        <v>0</v>
      </c>
      <c r="X153" s="312">
        <f t="shared" si="116"/>
        <v>0</v>
      </c>
      <c r="Y153" s="312">
        <f t="shared" si="117"/>
        <v>0</v>
      </c>
      <c r="Z153" s="312">
        <f t="shared" si="118"/>
        <v>0</v>
      </c>
      <c r="AA153" s="312">
        <f t="shared" si="119"/>
        <v>0</v>
      </c>
      <c r="AD153" s="58">
        <f>NPV(Inputs!$C$6,Mercado!G153:J153)+(Mercado!K153*Inputs!$C$11)/(1+Inputs!$C$6)^(4.55)</f>
        <v>0</v>
      </c>
    </row>
    <row r="154" spans="1:30">
      <c r="A154" s="192"/>
      <c r="B154" s="61"/>
      <c r="C154" s="123"/>
      <c r="D154" s="58"/>
      <c r="E154" s="58"/>
      <c r="F154" s="201"/>
      <c r="G154" s="51"/>
      <c r="H154" s="51"/>
      <c r="I154" s="51"/>
      <c r="J154" s="51"/>
      <c r="K154" s="51"/>
      <c r="M154" s="61"/>
      <c r="O154" s="55"/>
      <c r="P154" s="55"/>
      <c r="Q154" s="55"/>
      <c r="R154" s="55"/>
      <c r="S154" s="55"/>
      <c r="W154" s="55"/>
      <c r="X154" s="55"/>
      <c r="Y154" s="55"/>
      <c r="Z154" s="55"/>
      <c r="AA154" s="55"/>
    </row>
    <row r="156" spans="1:30">
      <c r="A156" s="193"/>
      <c r="B156" s="205" t="s">
        <v>4883</v>
      </c>
      <c r="C156" s="206"/>
      <c r="D156" s="206"/>
      <c r="E156" s="206"/>
      <c r="F156" s="207">
        <f>F58+F101+F25+F80+F18+F13+F8+F35+F45+F55+F69+F84+F86+F90+F103+F114+F121+F132+F143</f>
        <v>848848.08899999992</v>
      </c>
      <c r="G156" s="207">
        <f t="shared" ref="G156:K156" si="122">G58+G101+G25+G80+G18+G13+G8+G35+G45+G55+G69+G84+G86+G90+G103+G114+G121+G132+G143</f>
        <v>841439</v>
      </c>
      <c r="H156" s="207">
        <f t="shared" si="122"/>
        <v>823262.54337000009</v>
      </c>
      <c r="I156" s="207">
        <f t="shared" si="122"/>
        <v>719340.13910257875</v>
      </c>
      <c r="J156" s="207">
        <f t="shared" si="122"/>
        <v>697597.2314208661</v>
      </c>
      <c r="K156" s="207">
        <f t="shared" si="122"/>
        <v>682482.24435389845</v>
      </c>
      <c r="O156" s="207">
        <f t="shared" ref="O156:S156" si="123">O58+O101+O25+O80+O18+O13+O8+O35+O45+O55+O69+O84+O86+O90+O103+O114+O121+O132+O143</f>
        <v>852245.29500000004</v>
      </c>
      <c r="P156" s="207">
        <f t="shared" si="123"/>
        <v>598700.37637000007</v>
      </c>
      <c r="Q156" s="207">
        <f t="shared" si="123"/>
        <v>390069.29212808172</v>
      </c>
      <c r="R156" s="207">
        <f t="shared" si="123"/>
        <v>375151.57658585912</v>
      </c>
      <c r="S156" s="207">
        <f t="shared" si="123"/>
        <v>366725.2778155916</v>
      </c>
      <c r="W156" s="207">
        <f t="shared" ref="W156:AA156" si="124">W58+W101+W25+W80+W18+W13+W8+W35+W45+W55+W69+W84+W86+W90+W103+W114+W121+W132+W143</f>
        <v>0</v>
      </c>
      <c r="X156" s="207">
        <f t="shared" si="124"/>
        <v>236550.927</v>
      </c>
      <c r="Y156" s="207">
        <f t="shared" si="124"/>
        <v>341259.60697449703</v>
      </c>
      <c r="Z156" s="207">
        <f t="shared" si="124"/>
        <v>334434.41483500699</v>
      </c>
      <c r="AA156" s="207">
        <f t="shared" si="124"/>
        <v>327745.72653830686</v>
      </c>
      <c r="AD156" s="58">
        <f>NPV(Inputs!$C$6,Mercado!G156:J156)+(Mercado!K156*Inputs!$C$11)/(1+Inputs!$C$6)^(4.55)</f>
        <v>2773581.4683678858</v>
      </c>
    </row>
    <row r="157" spans="1:30">
      <c r="A157" s="193"/>
      <c r="B157" s="205" t="s">
        <v>4884</v>
      </c>
      <c r="C157" s="206"/>
      <c r="D157" s="206"/>
      <c r="E157" s="206"/>
      <c r="F157" s="207">
        <f>F89</f>
        <v>0</v>
      </c>
      <c r="G157" s="207">
        <f t="shared" ref="G157:K157" si="125">G89</f>
        <v>60162.091</v>
      </c>
      <c r="H157" s="207">
        <f t="shared" si="125"/>
        <v>227368.23400000011</v>
      </c>
      <c r="I157" s="207">
        <f t="shared" si="125"/>
        <v>92927.4</v>
      </c>
      <c r="J157" s="207">
        <f t="shared" si="125"/>
        <v>402856.53478460072</v>
      </c>
      <c r="K157" s="207">
        <f t="shared" si="125"/>
        <v>402856.53478460072</v>
      </c>
      <c r="O157" s="207">
        <f t="shared" ref="O157:S157" si="126">O89</f>
        <v>0</v>
      </c>
      <c r="P157" s="207">
        <f t="shared" si="126"/>
        <v>0</v>
      </c>
      <c r="Q157" s="207">
        <f t="shared" si="126"/>
        <v>0</v>
      </c>
      <c r="R157" s="207">
        <f t="shared" si="126"/>
        <v>0</v>
      </c>
      <c r="S157" s="207">
        <f t="shared" si="126"/>
        <v>0</v>
      </c>
      <c r="W157" s="207">
        <f t="shared" ref="W157:AA157" si="127">W89</f>
        <v>60162.091</v>
      </c>
      <c r="X157" s="207">
        <f t="shared" si="127"/>
        <v>227368.23400000011</v>
      </c>
      <c r="Y157" s="207">
        <f t="shared" si="127"/>
        <v>92927.4</v>
      </c>
      <c r="Z157" s="207">
        <f t="shared" si="127"/>
        <v>402856.53478460072</v>
      </c>
      <c r="AA157" s="207">
        <f t="shared" si="127"/>
        <v>402856.53478460072</v>
      </c>
      <c r="AD157" s="58">
        <f>NPV(Inputs!$C$6,Mercado!G157:J157)+(Mercado!K157*Inputs!$C$11)/(1+Inputs!$C$6)^(4.55)</f>
        <v>755424.22459014738</v>
      </c>
    </row>
    <row r="158" spans="1:30">
      <c r="A158" s="193"/>
      <c r="B158" s="205" t="s">
        <v>4885</v>
      </c>
      <c r="C158" s="206"/>
      <c r="D158" s="206"/>
      <c r="E158" s="206"/>
      <c r="F158" s="207">
        <f>F58+F101+F25+F84+F18+F13+F8+F35+F45+F55+F69+F86+F88+F90+F82+F80+F103+F114+F121+F132+F143</f>
        <v>848848.08899999992</v>
      </c>
      <c r="G158" s="207">
        <f t="shared" ref="G158:K158" si="128">G58+G101+G25+G84+G18+G13+G8+G35+G45+G55+G69+G86+G88+G90+G82+G80+G103+G114+G121+G132+G143</f>
        <v>996318</v>
      </c>
      <c r="H158" s="207">
        <f t="shared" si="128"/>
        <v>1403812.4093700002</v>
      </c>
      <c r="I158" s="207">
        <f t="shared" si="128"/>
        <v>812267.53910257877</v>
      </c>
      <c r="J158" s="207">
        <f t="shared" si="128"/>
        <v>1100453.7662054668</v>
      </c>
      <c r="K158" s="207">
        <f t="shared" si="128"/>
        <v>1085338.7791384992</v>
      </c>
      <c r="O158" s="207">
        <f t="shared" ref="O158:S158" si="129">O58+O101+O25+O84+O18+O13+O8+O35+O45+O55+O69+O86+O88+O90+O82+O80+O103+O114+O121+O132+O143</f>
        <v>946962.20400000003</v>
      </c>
      <c r="P158" s="207">
        <f t="shared" si="129"/>
        <v>951882.00837000005</v>
      </c>
      <c r="Q158" s="207">
        <f t="shared" si="129"/>
        <v>390069.29212808172</v>
      </c>
      <c r="R158" s="207">
        <f t="shared" si="129"/>
        <v>375151.57658585912</v>
      </c>
      <c r="S158" s="207">
        <f t="shared" si="129"/>
        <v>366725.2778155916</v>
      </c>
      <c r="W158" s="207">
        <f t="shared" ref="W158:AA158" si="130">W58+W101+W25+W84+W18+W13+W8+W35+W45+W55+W69+W86+W88+W90+W82+W80+W103+W114+W121+W132+W143</f>
        <v>154879</v>
      </c>
      <c r="X158" s="207">
        <f t="shared" si="130"/>
        <v>817100.79300000006</v>
      </c>
      <c r="Y158" s="207">
        <f t="shared" si="130"/>
        <v>434187.006974497</v>
      </c>
      <c r="Z158" s="207">
        <f t="shared" si="130"/>
        <v>737290.94961960777</v>
      </c>
      <c r="AA158" s="207">
        <f t="shared" si="130"/>
        <v>730602.26132290764</v>
      </c>
      <c r="AD158" s="58">
        <f>NPV(Inputs!$C$6,Mercado!G158:J158)+(Mercado!K158*Inputs!$C$11)/(1+Inputs!$C$6)^(4.55)</f>
        <v>3913668.5117903198</v>
      </c>
    </row>
    <row r="163" spans="8:11">
      <c r="H163" s="55"/>
      <c r="I163" s="55"/>
      <c r="J163" s="55"/>
      <c r="K163" s="55"/>
    </row>
    <row r="164" spans="8:11">
      <c r="H164" s="59"/>
      <c r="I164" s="59"/>
      <c r="J164" s="59"/>
      <c r="K164" s="59"/>
    </row>
    <row r="165" spans="8:11">
      <c r="H165" s="55"/>
      <c r="I165" s="55"/>
      <c r="J165" s="55"/>
      <c r="K165" s="55"/>
    </row>
    <row r="166" spans="8:11">
      <c r="H166" s="55"/>
      <c r="I166" s="55"/>
      <c r="J166" s="55"/>
      <c r="K166" s="55"/>
    </row>
  </sheetData>
  <phoneticPr fontId="17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A230-B0A2-44F6-8BE0-1EA9E1B0CFA9}">
  <sheetPr>
    <tabColor theme="4" tint="0.79998168889431442"/>
  </sheetPr>
  <dimension ref="A1:AD165"/>
  <sheetViews>
    <sheetView showGridLines="0" zoomScale="70" zoomScaleNormal="70" workbookViewId="0">
      <selection activeCell="M56" sqref="M56"/>
    </sheetView>
  </sheetViews>
  <sheetFormatPr defaultColWidth="10.28515625" defaultRowHeight="11.45"/>
  <cols>
    <col min="1" max="1" width="7.28515625" style="50" customWidth="1"/>
    <col min="2" max="2" width="42.140625" style="50" bestFit="1" customWidth="1"/>
    <col min="3" max="5" width="24.7109375" style="50" customWidth="1"/>
    <col min="6" max="6" width="18" style="50" customWidth="1"/>
    <col min="7" max="11" width="23.5703125" style="50" customWidth="1"/>
    <col min="12" max="12" width="13.28515625" style="50" bestFit="1" customWidth="1"/>
    <col min="13" max="13" width="42.140625" style="50" bestFit="1" customWidth="1"/>
    <col min="14" max="14" width="14.28515625" style="50" bestFit="1" customWidth="1"/>
    <col min="15" max="19" width="18.28515625" style="50" customWidth="1"/>
    <col min="20" max="20" width="10.28515625" style="50"/>
    <col min="21" max="21" width="42.140625" style="50" bestFit="1" customWidth="1"/>
    <col min="22" max="22" width="14.28515625" style="50" bestFit="1" customWidth="1"/>
    <col min="23" max="27" width="20.140625" style="50" customWidth="1"/>
    <col min="28" max="16384" width="10.28515625" style="50"/>
  </cols>
  <sheetData>
    <row r="1" spans="1:27" ht="8.25" customHeight="1"/>
    <row r="2" spans="1:27">
      <c r="B2" s="57" t="s">
        <v>4744</v>
      </c>
      <c r="M2" s="57" t="s">
        <v>4745</v>
      </c>
      <c r="U2" s="57" t="s">
        <v>4746</v>
      </c>
    </row>
    <row r="3" spans="1:27">
      <c r="B3" s="61"/>
      <c r="C3" s="61"/>
      <c r="D3" s="61"/>
      <c r="E3" s="61"/>
    </row>
    <row r="4" spans="1:27">
      <c r="B4" s="61" t="s">
        <v>4747</v>
      </c>
      <c r="C4" s="61" t="s">
        <v>4886</v>
      </c>
      <c r="D4" s="61"/>
      <c r="E4" s="61"/>
      <c r="F4" s="55"/>
      <c r="M4" s="61" t="s">
        <v>4747</v>
      </c>
      <c r="N4" s="61" t="s">
        <v>4886</v>
      </c>
      <c r="U4" s="61" t="s">
        <v>4747</v>
      </c>
      <c r="V4" s="61" t="s">
        <v>4886</v>
      </c>
    </row>
    <row r="5" spans="1:27">
      <c r="B5" s="61"/>
      <c r="C5" s="61"/>
      <c r="D5" s="61"/>
      <c r="E5" s="61"/>
      <c r="F5" s="194"/>
      <c r="M5" s="61"/>
      <c r="N5" s="61"/>
      <c r="U5" s="61"/>
      <c r="V5" s="61"/>
    </row>
    <row r="6" spans="1:27">
      <c r="B6" s="195" t="s">
        <v>4749</v>
      </c>
      <c r="C6" s="196" t="s">
        <v>4750</v>
      </c>
      <c r="D6" s="196" t="s">
        <v>4751</v>
      </c>
      <c r="E6" s="196" t="s">
        <v>4752</v>
      </c>
      <c r="F6" s="27">
        <v>2022</v>
      </c>
      <c r="G6" s="27">
        <v>2023</v>
      </c>
      <c r="H6" s="27">
        <v>2024</v>
      </c>
      <c r="I6" s="49">
        <v>2025</v>
      </c>
      <c r="J6" s="49">
        <v>2026</v>
      </c>
      <c r="K6" s="49">
        <v>2027</v>
      </c>
      <c r="M6" s="195" t="s">
        <v>4749</v>
      </c>
      <c r="N6" s="196" t="s">
        <v>4750</v>
      </c>
      <c r="O6" s="27">
        <v>2023</v>
      </c>
      <c r="P6" s="27">
        <v>2024</v>
      </c>
      <c r="Q6" s="49">
        <v>2025</v>
      </c>
      <c r="R6" s="49">
        <v>2026</v>
      </c>
      <c r="S6" s="49">
        <v>2027</v>
      </c>
      <c r="U6" s="195" t="s">
        <v>4749</v>
      </c>
      <c r="V6" s="196" t="s">
        <v>4750</v>
      </c>
      <c r="W6" s="27">
        <v>2023</v>
      </c>
      <c r="X6" s="27">
        <v>2024</v>
      </c>
      <c r="Y6" s="49">
        <v>2025</v>
      </c>
      <c r="Z6" s="49">
        <v>2026</v>
      </c>
      <c r="AA6" s="49">
        <v>2027</v>
      </c>
    </row>
    <row r="7" spans="1:27">
      <c r="B7" s="197" t="s">
        <v>4753</v>
      </c>
      <c r="C7" s="198"/>
      <c r="D7" s="198"/>
      <c r="E7" s="198"/>
      <c r="F7" s="199"/>
      <c r="G7" s="199"/>
      <c r="H7" s="199"/>
      <c r="I7" s="199"/>
      <c r="J7" s="199"/>
      <c r="K7" s="199"/>
      <c r="M7" s="197" t="s">
        <v>4753</v>
      </c>
      <c r="U7" s="197" t="s">
        <v>4753</v>
      </c>
    </row>
    <row r="8" spans="1:27">
      <c r="B8" s="197"/>
      <c r="C8" s="198"/>
      <c r="D8" s="198"/>
      <c r="E8" s="198"/>
      <c r="F8" s="200">
        <f>SUM(F9:F12)</f>
        <v>104890</v>
      </c>
      <c r="G8" s="200">
        <f t="shared" ref="G8:K8" si="0">SUM(G9:G12)</f>
        <v>107925</v>
      </c>
      <c r="H8" s="200">
        <f t="shared" si="0"/>
        <v>109013</v>
      </c>
      <c r="I8" s="200">
        <f t="shared" si="0"/>
        <v>91065</v>
      </c>
      <c r="J8" s="200">
        <f t="shared" si="0"/>
        <v>93116.928379354329</v>
      </c>
      <c r="K8" s="200">
        <f t="shared" si="0"/>
        <v>95169.299874339791</v>
      </c>
      <c r="M8" s="197"/>
      <c r="O8" s="200">
        <f>SUM(O9:O12)</f>
        <v>107925</v>
      </c>
      <c r="P8" s="200">
        <f>SUM(P9:P12)</f>
        <v>109013</v>
      </c>
      <c r="Q8" s="200">
        <f>SUM(Q9:Q12)</f>
        <v>91065</v>
      </c>
      <c r="R8" s="200">
        <f>SUM(R9:R12)</f>
        <v>93116.928379354329</v>
      </c>
      <c r="S8" s="200">
        <f>SUM(S9:S12)</f>
        <v>95169.299874339791</v>
      </c>
      <c r="U8" s="197"/>
      <c r="W8" s="200">
        <f>SUM(W9:W12)</f>
        <v>0</v>
      </c>
      <c r="X8" s="200">
        <f>SUM(X9:X12)</f>
        <v>0</v>
      </c>
      <c r="Y8" s="200">
        <f>SUM(Y9:Y12)</f>
        <v>0</v>
      </c>
      <c r="Z8" s="200">
        <f>SUM(Z9:Z12)</f>
        <v>0</v>
      </c>
      <c r="AA8" s="200">
        <f>SUM(AA9:AA12)</f>
        <v>0</v>
      </c>
    </row>
    <row r="9" spans="1:27">
      <c r="A9" s="192" t="s">
        <v>4754</v>
      </c>
      <c r="B9" s="61" t="s">
        <v>47</v>
      </c>
      <c r="C9" s="123">
        <v>1</v>
      </c>
      <c r="D9" s="51">
        <v>0</v>
      </c>
      <c r="E9" s="51">
        <v>7</v>
      </c>
      <c r="F9" s="201">
        <f>Demanda!J133</f>
        <v>55976</v>
      </c>
      <c r="G9" s="201">
        <f>Demanda!K133</f>
        <v>58773</v>
      </c>
      <c r="H9" s="201">
        <f>Demanda!L133</f>
        <v>60969</v>
      </c>
      <c r="I9" s="201">
        <f>Demanda!M133</f>
        <v>49707</v>
      </c>
      <c r="J9" s="201">
        <f>Demanda!N133</f>
        <v>50827.665325363516</v>
      </c>
      <c r="K9" s="201">
        <f>Demanda!O133</f>
        <v>51947.947676661148</v>
      </c>
      <c r="M9" s="61" t="s">
        <v>4755</v>
      </c>
      <c r="O9" s="55">
        <f t="shared" ref="O9:S12" si="1">G9</f>
        <v>58773</v>
      </c>
      <c r="P9" s="55">
        <f t="shared" si="1"/>
        <v>60969</v>
      </c>
      <c r="Q9" s="55">
        <f t="shared" si="1"/>
        <v>49707</v>
      </c>
      <c r="R9" s="55">
        <f t="shared" si="1"/>
        <v>50827.665325363516</v>
      </c>
      <c r="S9" s="55">
        <f t="shared" si="1"/>
        <v>51947.947676661148</v>
      </c>
      <c r="U9" s="61" t="str">
        <f t="shared" ref="U9:U12" si="2">B9</f>
        <v>Residencial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</row>
    <row r="10" spans="1:27">
      <c r="A10" s="192" t="s">
        <v>4756</v>
      </c>
      <c r="B10" s="61" t="s">
        <v>47</v>
      </c>
      <c r="C10" s="123">
        <v>2</v>
      </c>
      <c r="D10" s="51">
        <v>8</v>
      </c>
      <c r="E10" s="51">
        <v>23</v>
      </c>
      <c r="F10" s="201">
        <f>Demanda!J134</f>
        <v>40130</v>
      </c>
      <c r="G10" s="201">
        <f>Demanda!K134</f>
        <v>40744</v>
      </c>
      <c r="H10" s="201">
        <f>Demanda!L134</f>
        <v>40427</v>
      </c>
      <c r="I10" s="201">
        <f>Demanda!M134</f>
        <v>34330</v>
      </c>
      <c r="J10" s="201">
        <f>Demanda!N134</f>
        <v>35103.437078299241</v>
      </c>
      <c r="K10" s="201">
        <f>Demanda!O134</f>
        <v>35877.144876541977</v>
      </c>
      <c r="M10" s="61" t="s">
        <v>4755</v>
      </c>
      <c r="O10" s="55">
        <f t="shared" si="1"/>
        <v>40744</v>
      </c>
      <c r="P10" s="55">
        <f t="shared" si="1"/>
        <v>40427</v>
      </c>
      <c r="Q10" s="55">
        <f t="shared" si="1"/>
        <v>34330</v>
      </c>
      <c r="R10" s="55">
        <f t="shared" si="1"/>
        <v>35103.437078299241</v>
      </c>
      <c r="S10" s="55">
        <f t="shared" si="1"/>
        <v>35877.144876541977</v>
      </c>
      <c r="U10" s="61" t="str">
        <f t="shared" si="2"/>
        <v>Residencial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</row>
    <row r="11" spans="1:27">
      <c r="A11" s="192" t="s">
        <v>4757</v>
      </c>
      <c r="B11" s="61" t="s">
        <v>47</v>
      </c>
      <c r="C11" s="123">
        <v>3</v>
      </c>
      <c r="D11" s="51">
        <v>24</v>
      </c>
      <c r="E11" s="51">
        <v>83</v>
      </c>
      <c r="F11" s="201">
        <f>Demanda!J135</f>
        <v>8674</v>
      </c>
      <c r="G11" s="201">
        <f>Demanda!K135</f>
        <v>8294</v>
      </c>
      <c r="H11" s="201">
        <f>Demanda!L135</f>
        <v>7499</v>
      </c>
      <c r="I11" s="201">
        <f>Demanda!M135</f>
        <v>6931</v>
      </c>
      <c r="J11" s="201">
        <f>Demanda!N135</f>
        <v>7086.8898587700342</v>
      </c>
      <c r="K11" s="201">
        <f>Demanda!O135</f>
        <v>7243.0905731555613</v>
      </c>
      <c r="M11" s="61" t="s">
        <v>4755</v>
      </c>
      <c r="O11" s="55">
        <f t="shared" si="1"/>
        <v>8294</v>
      </c>
      <c r="P11" s="55">
        <f t="shared" si="1"/>
        <v>7499</v>
      </c>
      <c r="Q11" s="55">
        <f t="shared" si="1"/>
        <v>6931</v>
      </c>
      <c r="R11" s="55">
        <f t="shared" si="1"/>
        <v>7086.8898587700342</v>
      </c>
      <c r="S11" s="55">
        <f t="shared" si="1"/>
        <v>7243.0905731555613</v>
      </c>
      <c r="U11" s="61" t="str">
        <f t="shared" si="2"/>
        <v>Residencial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</row>
    <row r="12" spans="1:27">
      <c r="A12" s="192" t="s">
        <v>4758</v>
      </c>
      <c r="B12" s="61" t="s">
        <v>47</v>
      </c>
      <c r="C12" s="123">
        <v>4</v>
      </c>
      <c r="D12" s="51">
        <v>83</v>
      </c>
      <c r="E12" s="51">
        <v>999999999</v>
      </c>
      <c r="F12" s="201">
        <f>Demanda!J136</f>
        <v>110</v>
      </c>
      <c r="G12" s="201">
        <f>Demanda!K136</f>
        <v>114</v>
      </c>
      <c r="H12" s="201">
        <f>Demanda!L136</f>
        <v>118</v>
      </c>
      <c r="I12" s="201">
        <f>Demanda!M136</f>
        <v>97</v>
      </c>
      <c r="J12" s="201">
        <f>Demanda!N136</f>
        <v>98.936116921537888</v>
      </c>
      <c r="K12" s="201">
        <f>Demanda!O136</f>
        <v>101.11674798109217</v>
      </c>
      <c r="M12" s="61" t="s">
        <v>4755</v>
      </c>
      <c r="O12" s="55">
        <f t="shared" si="1"/>
        <v>114</v>
      </c>
      <c r="P12" s="55">
        <f t="shared" si="1"/>
        <v>118</v>
      </c>
      <c r="Q12" s="55">
        <f t="shared" si="1"/>
        <v>97</v>
      </c>
      <c r="R12" s="55">
        <f t="shared" si="1"/>
        <v>98.936116921537888</v>
      </c>
      <c r="S12" s="55">
        <f t="shared" si="1"/>
        <v>101.11674798109217</v>
      </c>
      <c r="U12" s="61" t="str">
        <f t="shared" si="2"/>
        <v>Residencial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</row>
    <row r="13" spans="1:27">
      <c r="B13" s="197"/>
      <c r="C13" s="202"/>
      <c r="D13" s="203"/>
      <c r="E13" s="203"/>
      <c r="F13" s="200">
        <f t="shared" ref="F13:K13" si="3">SUM(F14:F17)</f>
        <v>894</v>
      </c>
      <c r="G13" s="200">
        <f t="shared" si="3"/>
        <v>835</v>
      </c>
      <c r="H13" s="200">
        <f t="shared" si="3"/>
        <v>718</v>
      </c>
      <c r="I13" s="200">
        <f t="shared" si="3"/>
        <v>693.44311563112058</v>
      </c>
      <c r="J13" s="200">
        <f t="shared" si="3"/>
        <v>709.07162064567137</v>
      </c>
      <c r="K13" s="200">
        <f t="shared" si="3"/>
        <v>724.70012566022217</v>
      </c>
      <c r="M13" s="197"/>
      <c r="O13" s="200">
        <f>SUM(O14:O17)</f>
        <v>835</v>
      </c>
      <c r="P13" s="200">
        <f>SUM(P14:P17)</f>
        <v>718</v>
      </c>
      <c r="Q13" s="200">
        <f>SUM(Q14:Q17)</f>
        <v>693.44311563112058</v>
      </c>
      <c r="R13" s="200">
        <f>SUM(R14:R17)</f>
        <v>709.07162064567137</v>
      </c>
      <c r="S13" s="200">
        <f>SUM(S14:S17)</f>
        <v>724.70012566022217</v>
      </c>
      <c r="U13" s="197"/>
      <c r="W13" s="200">
        <f>SUM(W14:W17)</f>
        <v>0</v>
      </c>
      <c r="X13" s="200">
        <f>SUM(X14:X17)</f>
        <v>0</v>
      </c>
      <c r="Y13" s="200">
        <f>SUM(Y14:Y17)</f>
        <v>0</v>
      </c>
      <c r="Z13" s="200">
        <f>SUM(Z14:Z17)</f>
        <v>0</v>
      </c>
      <c r="AA13" s="200">
        <f>SUM(AA14:AA17)</f>
        <v>0</v>
      </c>
    </row>
    <row r="14" spans="1:27">
      <c r="A14" s="192" t="s">
        <v>4759</v>
      </c>
      <c r="B14" s="61" t="s">
        <v>4597</v>
      </c>
      <c r="C14" s="123">
        <v>1</v>
      </c>
      <c r="D14" s="51">
        <v>0</v>
      </c>
      <c r="E14" s="51">
        <v>7</v>
      </c>
      <c r="F14" s="201">
        <f>Demanda!J137</f>
        <v>374</v>
      </c>
      <c r="G14" s="201">
        <f>Demanda!K137</f>
        <v>378</v>
      </c>
      <c r="H14" s="201">
        <f>Demanda!L137</f>
        <v>350</v>
      </c>
      <c r="I14" s="201">
        <f>Demanda!M137</f>
        <v>311.99760214259828</v>
      </c>
      <c r="J14" s="201">
        <f>Demanda!N137</f>
        <v>319.02926195679316</v>
      </c>
      <c r="K14" s="201">
        <f>Demanda!O137</f>
        <v>326.06092177098805</v>
      </c>
      <c r="M14" s="61" t="s">
        <v>4760</v>
      </c>
      <c r="O14" s="55">
        <f t="shared" ref="O14:S17" si="4">G14</f>
        <v>378</v>
      </c>
      <c r="P14" s="55">
        <f t="shared" si="4"/>
        <v>350</v>
      </c>
      <c r="Q14" s="55">
        <f t="shared" si="4"/>
        <v>311.99760214259828</v>
      </c>
      <c r="R14" s="55">
        <f t="shared" si="4"/>
        <v>319.02926195679316</v>
      </c>
      <c r="S14" s="55">
        <f t="shared" si="4"/>
        <v>326.06092177098805</v>
      </c>
      <c r="U14" s="61" t="str">
        <f t="shared" ref="U14:U17" si="5">B14</f>
        <v>Residencial Social MCMV</v>
      </c>
      <c r="W14" s="55">
        <v>0</v>
      </c>
      <c r="X14" s="55">
        <v>0</v>
      </c>
      <c r="Y14" s="55">
        <v>0</v>
      </c>
      <c r="Z14" s="55">
        <v>0</v>
      </c>
      <c r="AA14" s="55">
        <v>0</v>
      </c>
    </row>
    <row r="15" spans="1:27">
      <c r="A15" s="192" t="s">
        <v>4761</v>
      </c>
      <c r="B15" s="61" t="s">
        <v>4597</v>
      </c>
      <c r="C15" s="123">
        <v>2</v>
      </c>
      <c r="D15" s="51">
        <v>8</v>
      </c>
      <c r="E15" s="51">
        <v>23</v>
      </c>
      <c r="F15" s="201">
        <f>Demanda!J138</f>
        <v>457</v>
      </c>
      <c r="G15" s="201">
        <f>Demanda!K138</f>
        <v>404</v>
      </c>
      <c r="H15" s="201">
        <f>Demanda!L138</f>
        <v>339</v>
      </c>
      <c r="I15" s="201">
        <f>Demanda!M138</f>
        <v>340.24166405435801</v>
      </c>
      <c r="J15" s="201">
        <f>Demanda!N138</f>
        <v>347.90987566821633</v>
      </c>
      <c r="K15" s="201">
        <f>Demanda!O138</f>
        <v>355.5780872820747</v>
      </c>
      <c r="M15" s="61" t="s">
        <v>4760</v>
      </c>
      <c r="O15" s="55">
        <f t="shared" si="4"/>
        <v>404</v>
      </c>
      <c r="P15" s="55">
        <f t="shared" si="4"/>
        <v>339</v>
      </c>
      <c r="Q15" s="55">
        <f t="shared" si="4"/>
        <v>340.24166405435801</v>
      </c>
      <c r="R15" s="55">
        <f t="shared" si="4"/>
        <v>347.90987566821633</v>
      </c>
      <c r="S15" s="55">
        <f t="shared" si="4"/>
        <v>355.5780872820747</v>
      </c>
      <c r="U15" s="61" t="str">
        <f t="shared" si="5"/>
        <v>Residencial Social MCMV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</row>
    <row r="16" spans="1:27">
      <c r="A16" s="192" t="s">
        <v>4762</v>
      </c>
      <c r="B16" s="61" t="s">
        <v>4597</v>
      </c>
      <c r="C16" s="123">
        <v>3</v>
      </c>
      <c r="D16" s="51">
        <v>24</v>
      </c>
      <c r="E16" s="51">
        <v>83</v>
      </c>
      <c r="F16" s="201">
        <f>Demanda!J139</f>
        <v>62</v>
      </c>
      <c r="G16" s="201">
        <f>Demanda!K139</f>
        <v>48</v>
      </c>
      <c r="H16" s="201">
        <f>Demanda!L139</f>
        <v>29</v>
      </c>
      <c r="I16" s="201">
        <f>Demanda!M139</f>
        <v>39.508589505996774</v>
      </c>
      <c r="J16" s="201">
        <f>Demanda!N139</f>
        <v>40.399016096576354</v>
      </c>
      <c r="K16" s="201">
        <f>Demanda!O139</f>
        <v>41.28944268715594</v>
      </c>
      <c r="M16" s="61" t="s">
        <v>4760</v>
      </c>
      <c r="O16" s="55">
        <f t="shared" si="4"/>
        <v>48</v>
      </c>
      <c r="P16" s="55">
        <f t="shared" si="4"/>
        <v>29</v>
      </c>
      <c r="Q16" s="55">
        <f t="shared" si="4"/>
        <v>39.508589505996774</v>
      </c>
      <c r="R16" s="55">
        <f t="shared" si="4"/>
        <v>40.399016096576354</v>
      </c>
      <c r="S16" s="55">
        <f t="shared" si="4"/>
        <v>41.28944268715594</v>
      </c>
      <c r="U16" s="61" t="str">
        <f t="shared" si="5"/>
        <v>Residencial Social MCMV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</row>
    <row r="17" spans="1:27">
      <c r="A17" s="192" t="s">
        <v>4763</v>
      </c>
      <c r="B17" s="61" t="s">
        <v>4597</v>
      </c>
      <c r="C17" s="123">
        <v>4</v>
      </c>
      <c r="D17" s="51">
        <v>83</v>
      </c>
      <c r="E17" s="51">
        <v>999999999</v>
      </c>
      <c r="F17" s="201">
        <f>Demanda!J140</f>
        <v>1</v>
      </c>
      <c r="G17" s="201">
        <f>Demanda!K140</f>
        <v>5</v>
      </c>
      <c r="H17" s="201">
        <f>Demanda!L140</f>
        <v>0</v>
      </c>
      <c r="I17" s="201">
        <f>Demanda!M140</f>
        <v>1.6952599281674465</v>
      </c>
      <c r="J17" s="201">
        <f>Demanda!N140</f>
        <v>1.7334669240855165</v>
      </c>
      <c r="K17" s="201">
        <f>Demanda!O140</f>
        <v>1.7716739200035867</v>
      </c>
      <c r="M17" s="61" t="s">
        <v>4760</v>
      </c>
      <c r="O17" s="55">
        <f t="shared" si="4"/>
        <v>5</v>
      </c>
      <c r="P17" s="55">
        <f t="shared" si="4"/>
        <v>0</v>
      </c>
      <c r="Q17" s="55">
        <f t="shared" si="4"/>
        <v>1.6952599281674465</v>
      </c>
      <c r="R17" s="55">
        <f t="shared" si="4"/>
        <v>1.7334669240855165</v>
      </c>
      <c r="S17" s="55">
        <f t="shared" si="4"/>
        <v>1.7716739200035867</v>
      </c>
      <c r="U17" s="61" t="str">
        <f t="shared" si="5"/>
        <v>Residencial Social MCMV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</row>
    <row r="18" spans="1:27" ht="13.9" customHeight="1">
      <c r="B18" s="197"/>
      <c r="C18" s="202"/>
      <c r="D18" s="203"/>
      <c r="E18" s="203"/>
      <c r="F18" s="200">
        <f>SUM(F19:F24)</f>
        <v>1933</v>
      </c>
      <c r="G18" s="200">
        <f t="shared" ref="G18:K18" si="6">SUM(G19:G24)</f>
        <v>2006</v>
      </c>
      <c r="H18" s="200">
        <f t="shared" si="6"/>
        <v>1883</v>
      </c>
      <c r="I18" s="200">
        <f t="shared" si="6"/>
        <v>1557.4584495146933</v>
      </c>
      <c r="J18" s="200">
        <f t="shared" si="6"/>
        <v>1576.6899550021574</v>
      </c>
      <c r="K18" s="200">
        <f t="shared" si="6"/>
        <v>1615.1599266853689</v>
      </c>
      <c r="M18" s="197"/>
      <c r="O18" s="200">
        <f>SUM(O19:O24)</f>
        <v>2006</v>
      </c>
      <c r="P18" s="200">
        <f t="shared" ref="P18:S18" si="7">SUM(P19:P24)</f>
        <v>1883</v>
      </c>
      <c r="Q18" s="200">
        <f t="shared" si="7"/>
        <v>1557.4584495146933</v>
      </c>
      <c r="R18" s="200">
        <f t="shared" si="7"/>
        <v>1576.6899550021574</v>
      </c>
      <c r="S18" s="200">
        <f t="shared" si="7"/>
        <v>1615.1599266853689</v>
      </c>
      <c r="U18" s="197"/>
      <c r="W18" s="200">
        <f>SUM(W19:W24)</f>
        <v>0</v>
      </c>
      <c r="X18" s="200">
        <f t="shared" ref="X18:AA18" si="8">SUM(X19:X24)</f>
        <v>0</v>
      </c>
      <c r="Y18" s="200">
        <f t="shared" si="8"/>
        <v>0</v>
      </c>
      <c r="Z18" s="200">
        <f t="shared" si="8"/>
        <v>0</v>
      </c>
      <c r="AA18" s="200">
        <f t="shared" si="8"/>
        <v>0</v>
      </c>
    </row>
    <row r="19" spans="1:27">
      <c r="A19" s="192" t="s">
        <v>4764</v>
      </c>
      <c r="B19" s="61" t="s">
        <v>17</v>
      </c>
      <c r="C19" s="123">
        <v>1</v>
      </c>
      <c r="D19" s="51">
        <v>0</v>
      </c>
      <c r="E19" s="51">
        <v>200</v>
      </c>
      <c r="F19" s="201">
        <f>Demanda!J141</f>
        <v>1039</v>
      </c>
      <c r="G19" s="201">
        <f>Demanda!K141</f>
        <v>1093</v>
      </c>
      <c r="H19" s="201">
        <f>Demanda!L141</f>
        <v>1006</v>
      </c>
      <c r="I19" s="201">
        <f>Demanda!M141</f>
        <v>838.94895001425084</v>
      </c>
      <c r="J19" s="201">
        <f>Demanda!N141</f>
        <v>849.52591619983275</v>
      </c>
      <c r="K19" s="201">
        <f>Demanda!O141</f>
        <v>870.36773357955212</v>
      </c>
      <c r="M19" s="61" t="s">
        <v>17</v>
      </c>
      <c r="O19" s="55">
        <f t="shared" ref="O19:S24" si="9">G19</f>
        <v>1093</v>
      </c>
      <c r="P19" s="55">
        <f t="shared" si="9"/>
        <v>1006</v>
      </c>
      <c r="Q19" s="55">
        <f t="shared" si="9"/>
        <v>838.94895001425084</v>
      </c>
      <c r="R19" s="55">
        <f t="shared" si="9"/>
        <v>849.52591619983275</v>
      </c>
      <c r="S19" s="55">
        <f t="shared" si="9"/>
        <v>870.36773357955212</v>
      </c>
      <c r="U19" s="61" t="str">
        <f t="shared" ref="U19:U24" si="10">B19</f>
        <v>Comercial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</row>
    <row r="20" spans="1:27">
      <c r="A20" s="192" t="s">
        <v>4765</v>
      </c>
      <c r="B20" s="61" t="s">
        <v>17</v>
      </c>
      <c r="C20" s="123">
        <v>2</v>
      </c>
      <c r="D20" s="51">
        <v>201</v>
      </c>
      <c r="E20" s="51">
        <v>500</v>
      </c>
      <c r="F20" s="201">
        <f>Demanda!J142</f>
        <v>568</v>
      </c>
      <c r="G20" s="201">
        <f>Demanda!K142</f>
        <v>569</v>
      </c>
      <c r="H20" s="201">
        <f>Demanda!L142</f>
        <v>540</v>
      </c>
      <c r="I20" s="201">
        <f>Demanda!M142</f>
        <v>448.50949950044242</v>
      </c>
      <c r="J20" s="201">
        <f>Demanda!N142</f>
        <v>454.16403880232463</v>
      </c>
      <c r="K20" s="201">
        <f>Demanda!O142</f>
        <v>465.30625798204801</v>
      </c>
      <c r="M20" s="61" t="s">
        <v>17</v>
      </c>
      <c r="O20" s="55">
        <f t="shared" si="9"/>
        <v>569</v>
      </c>
      <c r="P20" s="55">
        <f t="shared" si="9"/>
        <v>540</v>
      </c>
      <c r="Q20" s="55">
        <f t="shared" si="9"/>
        <v>448.50949950044242</v>
      </c>
      <c r="R20" s="55">
        <f t="shared" si="9"/>
        <v>454.16403880232463</v>
      </c>
      <c r="S20" s="55">
        <f t="shared" si="9"/>
        <v>465.30625798204801</v>
      </c>
      <c r="U20" s="61" t="str">
        <f t="shared" si="10"/>
        <v>Comercial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</row>
    <row r="21" spans="1:27">
      <c r="A21" s="192" t="s">
        <v>4766</v>
      </c>
      <c r="B21" s="61" t="s">
        <v>17</v>
      </c>
      <c r="C21" s="123">
        <v>3</v>
      </c>
      <c r="D21" s="51">
        <v>501</v>
      </c>
      <c r="E21" s="51">
        <v>2000</v>
      </c>
      <c r="F21" s="201">
        <f>Demanda!J143</f>
        <v>290</v>
      </c>
      <c r="G21" s="201">
        <f>Demanda!K143</f>
        <v>310</v>
      </c>
      <c r="H21" s="201">
        <f>Demanda!L143</f>
        <v>302</v>
      </c>
      <c r="I21" s="201">
        <f>Demanda!M143</f>
        <v>241</v>
      </c>
      <c r="J21" s="201">
        <f>Demanda!N143</f>
        <v>244</v>
      </c>
      <c r="K21" s="201">
        <f>Demanda!O143</f>
        <v>250.32674719237141</v>
      </c>
      <c r="M21" s="61" t="s">
        <v>17</v>
      </c>
      <c r="O21" s="55">
        <f t="shared" si="9"/>
        <v>310</v>
      </c>
      <c r="P21" s="55">
        <f t="shared" si="9"/>
        <v>302</v>
      </c>
      <c r="Q21" s="55">
        <f t="shared" si="9"/>
        <v>241</v>
      </c>
      <c r="R21" s="55">
        <f t="shared" si="9"/>
        <v>244</v>
      </c>
      <c r="S21" s="55">
        <f t="shared" si="9"/>
        <v>250.32674719237141</v>
      </c>
      <c r="U21" s="61" t="str">
        <f t="shared" si="10"/>
        <v>Comercial</v>
      </c>
      <c r="W21" s="55">
        <v>0</v>
      </c>
      <c r="X21" s="55">
        <v>0</v>
      </c>
      <c r="Y21" s="55">
        <v>0</v>
      </c>
      <c r="Z21" s="55">
        <v>0</v>
      </c>
      <c r="AA21" s="55">
        <v>0</v>
      </c>
    </row>
    <row r="22" spans="1:27">
      <c r="A22" s="192" t="s">
        <v>4767</v>
      </c>
      <c r="B22" s="61" t="s">
        <v>17</v>
      </c>
      <c r="C22" s="123">
        <v>4</v>
      </c>
      <c r="D22" s="51">
        <v>2001</v>
      </c>
      <c r="E22" s="51">
        <v>20000</v>
      </c>
      <c r="F22" s="201">
        <f>Demanda!J144</f>
        <v>34</v>
      </c>
      <c r="G22" s="201">
        <f>Demanda!K144</f>
        <v>32</v>
      </c>
      <c r="H22" s="201">
        <f>Demanda!L144</f>
        <v>33</v>
      </c>
      <c r="I22" s="201">
        <f>Demanda!M144</f>
        <v>27</v>
      </c>
      <c r="J22" s="201">
        <f>Demanda!N144</f>
        <v>27</v>
      </c>
      <c r="K22" s="201">
        <f>Demanda!O144</f>
        <v>27.493507618727847</v>
      </c>
      <c r="M22" s="61" t="s">
        <v>17</v>
      </c>
      <c r="O22" s="55">
        <f t="shared" si="9"/>
        <v>32</v>
      </c>
      <c r="P22" s="55">
        <f t="shared" si="9"/>
        <v>33</v>
      </c>
      <c r="Q22" s="55">
        <f t="shared" si="9"/>
        <v>27</v>
      </c>
      <c r="R22" s="55">
        <f t="shared" si="9"/>
        <v>27</v>
      </c>
      <c r="S22" s="55">
        <f t="shared" si="9"/>
        <v>27.493507618727847</v>
      </c>
      <c r="U22" s="61" t="str">
        <f t="shared" si="10"/>
        <v>Comercial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</row>
    <row r="23" spans="1:27">
      <c r="A23" s="192" t="s">
        <v>4768</v>
      </c>
      <c r="B23" s="61" t="s">
        <v>17</v>
      </c>
      <c r="C23" s="123">
        <v>5</v>
      </c>
      <c r="D23" s="51">
        <v>20001</v>
      </c>
      <c r="E23" s="51">
        <v>50000</v>
      </c>
      <c r="F23" s="201">
        <f>Demanda!J145</f>
        <v>2</v>
      </c>
      <c r="G23" s="201">
        <f>Demanda!K145</f>
        <v>2</v>
      </c>
      <c r="H23" s="201">
        <f>Demanda!L145</f>
        <v>2</v>
      </c>
      <c r="I23" s="201">
        <f>Demanda!M145</f>
        <v>2</v>
      </c>
      <c r="J23" s="201">
        <f>Demanda!N145</f>
        <v>2</v>
      </c>
      <c r="K23" s="201">
        <f>Demanda!O145</f>
        <v>1.6656803126695787</v>
      </c>
      <c r="M23" s="61" t="s">
        <v>17</v>
      </c>
      <c r="O23" s="55">
        <f t="shared" si="9"/>
        <v>2</v>
      </c>
      <c r="P23" s="55">
        <f t="shared" si="9"/>
        <v>2</v>
      </c>
      <c r="Q23" s="55">
        <f t="shared" si="9"/>
        <v>2</v>
      </c>
      <c r="R23" s="55">
        <f t="shared" si="9"/>
        <v>2</v>
      </c>
      <c r="S23" s="55">
        <f t="shared" si="9"/>
        <v>1.6656803126695787</v>
      </c>
      <c r="U23" s="61" t="str">
        <f t="shared" si="10"/>
        <v>Comercial</v>
      </c>
      <c r="W23" s="55">
        <v>0</v>
      </c>
      <c r="X23" s="55">
        <v>0</v>
      </c>
      <c r="Y23" s="55">
        <v>0</v>
      </c>
      <c r="Z23" s="55">
        <v>0</v>
      </c>
      <c r="AA23" s="55">
        <v>0</v>
      </c>
    </row>
    <row r="24" spans="1:27">
      <c r="A24" s="192" t="s">
        <v>4769</v>
      </c>
      <c r="B24" s="61" t="s">
        <v>17</v>
      </c>
      <c r="C24" s="123">
        <v>6</v>
      </c>
      <c r="D24" s="51">
        <v>50001</v>
      </c>
      <c r="E24" s="51">
        <v>999999999</v>
      </c>
      <c r="F24" s="201">
        <f>Demanda!J146</f>
        <v>0</v>
      </c>
      <c r="G24" s="201">
        <f>Demanda!K146</f>
        <v>0</v>
      </c>
      <c r="H24" s="201">
        <f>Demanda!L146</f>
        <v>0</v>
      </c>
      <c r="I24" s="201">
        <f>Demanda!M146</f>
        <v>0</v>
      </c>
      <c r="J24" s="201">
        <f>Demanda!N146</f>
        <v>0</v>
      </c>
      <c r="K24" s="201">
        <f>Demanda!O146</f>
        <v>0</v>
      </c>
      <c r="M24" s="61" t="s">
        <v>17</v>
      </c>
      <c r="O24" s="55">
        <f t="shared" si="9"/>
        <v>0</v>
      </c>
      <c r="P24" s="55">
        <f t="shared" si="9"/>
        <v>0</v>
      </c>
      <c r="Q24" s="55">
        <f t="shared" si="9"/>
        <v>0</v>
      </c>
      <c r="R24" s="55">
        <f t="shared" si="9"/>
        <v>0</v>
      </c>
      <c r="S24" s="55">
        <f t="shared" si="9"/>
        <v>0</v>
      </c>
      <c r="U24" s="61" t="str">
        <f t="shared" si="10"/>
        <v>Comercial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</row>
    <row r="25" spans="1:27" ht="13.9" customHeight="1">
      <c r="B25" s="197"/>
      <c r="C25" s="202"/>
      <c r="D25" s="203"/>
      <c r="E25" s="203"/>
      <c r="F25" s="200">
        <f>SUM(F26:F34)</f>
        <v>4</v>
      </c>
      <c r="G25" s="200">
        <f t="shared" ref="G25:K25" si="11">SUM(G26:G34)</f>
        <v>5</v>
      </c>
      <c r="H25" s="200">
        <f t="shared" si="11"/>
        <v>4</v>
      </c>
      <c r="I25" s="200">
        <f t="shared" si="11"/>
        <v>3</v>
      </c>
      <c r="J25" s="200">
        <f t="shared" si="11"/>
        <v>3</v>
      </c>
      <c r="K25" s="200">
        <f t="shared" si="11"/>
        <v>3</v>
      </c>
      <c r="M25" s="197"/>
      <c r="O25" s="200">
        <f>SUM(O26:O34)</f>
        <v>5</v>
      </c>
      <c r="P25" s="200">
        <f t="shared" ref="P25:S25" si="12">SUM(P26:P34)</f>
        <v>4</v>
      </c>
      <c r="Q25" s="200">
        <f t="shared" si="12"/>
        <v>3</v>
      </c>
      <c r="R25" s="200">
        <f t="shared" si="12"/>
        <v>3</v>
      </c>
      <c r="S25" s="200">
        <f t="shared" si="12"/>
        <v>3</v>
      </c>
      <c r="U25" s="197"/>
      <c r="W25" s="200">
        <f>SUM(W26:W34)</f>
        <v>0</v>
      </c>
      <c r="X25" s="200">
        <f t="shared" ref="X25:AA25" si="13">SUM(X26:X34)</f>
        <v>0</v>
      </c>
      <c r="Y25" s="200">
        <f t="shared" si="13"/>
        <v>0</v>
      </c>
      <c r="Z25" s="200">
        <f t="shared" si="13"/>
        <v>0</v>
      </c>
      <c r="AA25" s="200">
        <f t="shared" si="13"/>
        <v>0</v>
      </c>
    </row>
    <row r="26" spans="1:27" ht="13.9" customHeight="1">
      <c r="A26" s="192" t="s">
        <v>4770</v>
      </c>
      <c r="B26" s="61" t="s">
        <v>103</v>
      </c>
      <c r="C26" s="123">
        <v>1</v>
      </c>
      <c r="D26" s="51">
        <v>0</v>
      </c>
      <c r="E26" s="70">
        <v>200</v>
      </c>
      <c r="F26" s="201">
        <f>Demanda!J147</f>
        <v>3</v>
      </c>
      <c r="G26" s="201">
        <f>Demanda!K147</f>
        <v>3</v>
      </c>
      <c r="H26" s="201">
        <f>Demanda!L147</f>
        <v>3</v>
      </c>
      <c r="I26" s="201">
        <f>Demanda!M147</f>
        <v>2</v>
      </c>
      <c r="J26" s="201">
        <f>Demanda!N147</f>
        <v>2</v>
      </c>
      <c r="K26" s="201">
        <f>Demanda!O147</f>
        <v>2</v>
      </c>
      <c r="M26" s="61" t="str">
        <f>B26</f>
        <v>Climatização</v>
      </c>
      <c r="O26" s="55">
        <f t="shared" ref="O26:S34" si="14">G26</f>
        <v>3</v>
      </c>
      <c r="P26" s="55">
        <f t="shared" si="14"/>
        <v>3</v>
      </c>
      <c r="Q26" s="55">
        <f t="shared" si="14"/>
        <v>2</v>
      </c>
      <c r="R26" s="55">
        <f t="shared" si="14"/>
        <v>2</v>
      </c>
      <c r="S26" s="55">
        <f t="shared" si="14"/>
        <v>2</v>
      </c>
      <c r="U26" s="61" t="str">
        <f t="shared" ref="U26:U34" si="15">B26</f>
        <v>Climatização</v>
      </c>
      <c r="W26" s="55">
        <v>0</v>
      </c>
      <c r="X26" s="55">
        <v>0</v>
      </c>
      <c r="Y26" s="55">
        <v>0</v>
      </c>
      <c r="Z26" s="55">
        <v>0</v>
      </c>
      <c r="AA26" s="55">
        <v>0</v>
      </c>
    </row>
    <row r="27" spans="1:27" ht="13.9" customHeight="1">
      <c r="A27" s="192" t="s">
        <v>4771</v>
      </c>
      <c r="B27" s="61" t="s">
        <v>103</v>
      </c>
      <c r="C27" s="123">
        <v>2</v>
      </c>
      <c r="D27" s="51">
        <v>201</v>
      </c>
      <c r="E27" s="70">
        <v>5000</v>
      </c>
      <c r="F27" s="201">
        <f>Demanda!J148</f>
        <v>1</v>
      </c>
      <c r="G27" s="201">
        <f>Demanda!K148</f>
        <v>2</v>
      </c>
      <c r="H27" s="201">
        <f>Demanda!L148</f>
        <v>1</v>
      </c>
      <c r="I27" s="201">
        <f>Demanda!M148</f>
        <v>1</v>
      </c>
      <c r="J27" s="201">
        <f>Demanda!N148</f>
        <v>1</v>
      </c>
      <c r="K27" s="201">
        <f>Demanda!O148</f>
        <v>1</v>
      </c>
      <c r="M27" s="61" t="str">
        <f t="shared" ref="M27:M34" si="16">B27</f>
        <v>Climatização</v>
      </c>
      <c r="O27" s="55">
        <f t="shared" si="14"/>
        <v>2</v>
      </c>
      <c r="P27" s="55">
        <f t="shared" si="14"/>
        <v>1</v>
      </c>
      <c r="Q27" s="55">
        <f t="shared" si="14"/>
        <v>1</v>
      </c>
      <c r="R27" s="55">
        <f t="shared" si="14"/>
        <v>1</v>
      </c>
      <c r="S27" s="55">
        <f t="shared" si="14"/>
        <v>1</v>
      </c>
      <c r="U27" s="61" t="str">
        <f t="shared" si="15"/>
        <v>Climatização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</row>
    <row r="28" spans="1:27" ht="13.9" customHeight="1">
      <c r="A28" s="192" t="s">
        <v>4772</v>
      </c>
      <c r="B28" s="61" t="s">
        <v>103</v>
      </c>
      <c r="C28" s="123">
        <v>3</v>
      </c>
      <c r="D28" s="70">
        <v>5001</v>
      </c>
      <c r="E28" s="70">
        <v>20000</v>
      </c>
      <c r="F28" s="201">
        <f>Demanda!J149</f>
        <v>0</v>
      </c>
      <c r="G28" s="201">
        <f>Demanda!K149</f>
        <v>0</v>
      </c>
      <c r="H28" s="201">
        <f>Demanda!L149</f>
        <v>0</v>
      </c>
      <c r="I28" s="201">
        <f>Demanda!M149</f>
        <v>0</v>
      </c>
      <c r="J28" s="201">
        <f>Demanda!N149</f>
        <v>0</v>
      </c>
      <c r="K28" s="201">
        <f>Demanda!O149</f>
        <v>0</v>
      </c>
      <c r="M28" s="61" t="str">
        <f t="shared" si="16"/>
        <v>Climatização</v>
      </c>
      <c r="O28" s="55">
        <f t="shared" si="14"/>
        <v>0</v>
      </c>
      <c r="P28" s="55">
        <f t="shared" si="14"/>
        <v>0</v>
      </c>
      <c r="Q28" s="55">
        <f t="shared" si="14"/>
        <v>0</v>
      </c>
      <c r="R28" s="55">
        <f t="shared" si="14"/>
        <v>0</v>
      </c>
      <c r="S28" s="55">
        <f t="shared" si="14"/>
        <v>0</v>
      </c>
      <c r="U28" s="61" t="str">
        <f t="shared" si="15"/>
        <v>Climatização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</row>
    <row r="29" spans="1:27" ht="13.9" customHeight="1">
      <c r="A29" s="192" t="s">
        <v>4773</v>
      </c>
      <c r="B29" s="61" t="s">
        <v>103</v>
      </c>
      <c r="C29" s="123">
        <v>4</v>
      </c>
      <c r="D29" s="70">
        <v>20001</v>
      </c>
      <c r="E29" s="70">
        <v>70000</v>
      </c>
      <c r="F29" s="201">
        <f>Demanda!J150</f>
        <v>0</v>
      </c>
      <c r="G29" s="201">
        <f>Demanda!K150</f>
        <v>0</v>
      </c>
      <c r="H29" s="201">
        <f>Demanda!L150</f>
        <v>0</v>
      </c>
      <c r="I29" s="201">
        <f>Demanda!M150</f>
        <v>0</v>
      </c>
      <c r="J29" s="201">
        <f>Demanda!N150</f>
        <v>0</v>
      </c>
      <c r="K29" s="201">
        <f>Demanda!O150</f>
        <v>0</v>
      </c>
      <c r="M29" s="61" t="str">
        <f t="shared" si="16"/>
        <v>Climatização</v>
      </c>
      <c r="O29" s="55">
        <f t="shared" si="14"/>
        <v>0</v>
      </c>
      <c r="P29" s="55">
        <f t="shared" si="14"/>
        <v>0</v>
      </c>
      <c r="Q29" s="55">
        <f t="shared" si="14"/>
        <v>0</v>
      </c>
      <c r="R29" s="55">
        <f t="shared" si="14"/>
        <v>0</v>
      </c>
      <c r="S29" s="55">
        <f t="shared" si="14"/>
        <v>0</v>
      </c>
      <c r="U29" s="61" t="str">
        <f t="shared" si="15"/>
        <v>Climatização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</row>
    <row r="30" spans="1:27" ht="13.9" customHeight="1">
      <c r="A30" s="192" t="s">
        <v>4774</v>
      </c>
      <c r="B30" s="61" t="s">
        <v>103</v>
      </c>
      <c r="C30" s="123">
        <v>5</v>
      </c>
      <c r="D30" s="70">
        <v>70001</v>
      </c>
      <c r="E30" s="70">
        <v>120000</v>
      </c>
      <c r="F30" s="201">
        <f>Demanda!J151</f>
        <v>0</v>
      </c>
      <c r="G30" s="201">
        <f>Demanda!K151</f>
        <v>0</v>
      </c>
      <c r="H30" s="201">
        <f>Demanda!L151</f>
        <v>0</v>
      </c>
      <c r="I30" s="201">
        <f>Demanda!M151</f>
        <v>0</v>
      </c>
      <c r="J30" s="201">
        <f>Demanda!N151</f>
        <v>0</v>
      </c>
      <c r="K30" s="201">
        <f>Demanda!O151</f>
        <v>0</v>
      </c>
      <c r="M30" s="61" t="str">
        <f t="shared" si="16"/>
        <v>Climatização</v>
      </c>
      <c r="O30" s="55">
        <f t="shared" si="14"/>
        <v>0</v>
      </c>
      <c r="P30" s="55">
        <f t="shared" si="14"/>
        <v>0</v>
      </c>
      <c r="Q30" s="55">
        <f t="shared" si="14"/>
        <v>0</v>
      </c>
      <c r="R30" s="55">
        <f t="shared" si="14"/>
        <v>0</v>
      </c>
      <c r="S30" s="55">
        <f t="shared" si="14"/>
        <v>0</v>
      </c>
      <c r="U30" s="61" t="str">
        <f t="shared" si="15"/>
        <v>Climatização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</row>
    <row r="31" spans="1:27" ht="13.9" customHeight="1">
      <c r="A31" s="192" t="s">
        <v>4775</v>
      </c>
      <c r="B31" s="61" t="s">
        <v>103</v>
      </c>
      <c r="C31" s="123">
        <v>6</v>
      </c>
      <c r="D31" s="70">
        <v>120001</v>
      </c>
      <c r="E31" s="70">
        <v>300000</v>
      </c>
      <c r="F31" s="201">
        <f>Demanda!J152</f>
        <v>0</v>
      </c>
      <c r="G31" s="201">
        <f>Demanda!K152</f>
        <v>0</v>
      </c>
      <c r="H31" s="201">
        <f>Demanda!L152</f>
        <v>0</v>
      </c>
      <c r="I31" s="201">
        <f>Demanda!M152</f>
        <v>0</v>
      </c>
      <c r="J31" s="201">
        <f>Demanda!N152</f>
        <v>0</v>
      </c>
      <c r="K31" s="201">
        <f>Demanda!O152</f>
        <v>0</v>
      </c>
      <c r="M31" s="61" t="str">
        <f t="shared" si="16"/>
        <v>Climatização</v>
      </c>
      <c r="O31" s="55">
        <f t="shared" si="14"/>
        <v>0</v>
      </c>
      <c r="P31" s="55">
        <f t="shared" si="14"/>
        <v>0</v>
      </c>
      <c r="Q31" s="55">
        <f t="shared" si="14"/>
        <v>0</v>
      </c>
      <c r="R31" s="55">
        <f t="shared" si="14"/>
        <v>0</v>
      </c>
      <c r="S31" s="55">
        <f t="shared" si="14"/>
        <v>0</v>
      </c>
      <c r="U31" s="61" t="str">
        <f t="shared" si="15"/>
        <v>Climatização</v>
      </c>
      <c r="W31" s="55">
        <v>0</v>
      </c>
      <c r="X31" s="55">
        <v>0</v>
      </c>
      <c r="Y31" s="55">
        <v>0</v>
      </c>
      <c r="Z31" s="55">
        <v>0</v>
      </c>
      <c r="AA31" s="55">
        <v>0</v>
      </c>
    </row>
    <row r="32" spans="1:27" ht="13.9" customHeight="1">
      <c r="A32" s="192" t="s">
        <v>4776</v>
      </c>
      <c r="B32" s="61" t="s">
        <v>103</v>
      </c>
      <c r="C32" s="123">
        <v>7</v>
      </c>
      <c r="D32" s="70">
        <v>300001</v>
      </c>
      <c r="E32" s="70">
        <v>600000</v>
      </c>
      <c r="F32" s="201">
        <f>Demanda!J153</f>
        <v>0</v>
      </c>
      <c r="G32" s="201">
        <f>Demanda!K153</f>
        <v>0</v>
      </c>
      <c r="H32" s="201">
        <f>Demanda!L153</f>
        <v>0</v>
      </c>
      <c r="I32" s="201">
        <f>Demanda!M153</f>
        <v>0</v>
      </c>
      <c r="J32" s="201">
        <f>Demanda!N153</f>
        <v>0</v>
      </c>
      <c r="K32" s="201">
        <f>Demanda!O153</f>
        <v>0</v>
      </c>
      <c r="M32" s="61" t="str">
        <f t="shared" si="16"/>
        <v>Climatização</v>
      </c>
      <c r="O32" s="55">
        <f t="shared" si="14"/>
        <v>0</v>
      </c>
      <c r="P32" s="55">
        <f t="shared" si="14"/>
        <v>0</v>
      </c>
      <c r="Q32" s="55">
        <f t="shared" si="14"/>
        <v>0</v>
      </c>
      <c r="R32" s="55">
        <f t="shared" si="14"/>
        <v>0</v>
      </c>
      <c r="S32" s="55">
        <f t="shared" si="14"/>
        <v>0</v>
      </c>
      <c r="U32" s="61" t="str">
        <f t="shared" si="15"/>
        <v>Climatização</v>
      </c>
      <c r="W32" s="55">
        <v>0</v>
      </c>
      <c r="X32" s="55">
        <v>0</v>
      </c>
      <c r="Y32" s="55">
        <v>0</v>
      </c>
      <c r="Z32" s="55">
        <v>0</v>
      </c>
      <c r="AA32" s="55">
        <v>0</v>
      </c>
    </row>
    <row r="33" spans="1:27" ht="13.9" customHeight="1">
      <c r="A33" s="192" t="s">
        <v>4777</v>
      </c>
      <c r="B33" s="61" t="s">
        <v>103</v>
      </c>
      <c r="C33" s="123">
        <v>8</v>
      </c>
      <c r="D33" s="70">
        <v>600001</v>
      </c>
      <c r="E33" s="70">
        <v>1500000</v>
      </c>
      <c r="F33" s="201">
        <f>Demanda!J154</f>
        <v>0</v>
      </c>
      <c r="G33" s="201">
        <f>Demanda!K154</f>
        <v>0</v>
      </c>
      <c r="H33" s="201">
        <f>Demanda!L154</f>
        <v>0</v>
      </c>
      <c r="I33" s="201">
        <f>Demanda!M154</f>
        <v>0</v>
      </c>
      <c r="J33" s="201">
        <f>Demanda!N154</f>
        <v>0</v>
      </c>
      <c r="K33" s="201">
        <f>Demanda!O154</f>
        <v>0</v>
      </c>
      <c r="M33" s="61" t="str">
        <f t="shared" si="16"/>
        <v>Climatização</v>
      </c>
      <c r="O33" s="55">
        <f t="shared" si="14"/>
        <v>0</v>
      </c>
      <c r="P33" s="55">
        <f t="shared" si="14"/>
        <v>0</v>
      </c>
      <c r="Q33" s="55">
        <f t="shared" si="14"/>
        <v>0</v>
      </c>
      <c r="R33" s="55">
        <f t="shared" si="14"/>
        <v>0</v>
      </c>
      <c r="S33" s="55">
        <f t="shared" si="14"/>
        <v>0</v>
      </c>
      <c r="U33" s="61" t="str">
        <f t="shared" si="15"/>
        <v>Climatização</v>
      </c>
      <c r="W33" s="55">
        <v>0</v>
      </c>
      <c r="X33" s="55">
        <v>0</v>
      </c>
      <c r="Y33" s="55">
        <v>0</v>
      </c>
      <c r="Z33" s="55">
        <v>0</v>
      </c>
      <c r="AA33" s="55">
        <v>0</v>
      </c>
    </row>
    <row r="34" spans="1:27" ht="13.9" customHeight="1">
      <c r="A34" s="192" t="s">
        <v>4778</v>
      </c>
      <c r="B34" s="61" t="s">
        <v>103</v>
      </c>
      <c r="C34" s="123">
        <v>9</v>
      </c>
      <c r="D34" s="70">
        <v>1500001</v>
      </c>
      <c r="E34" s="51">
        <v>999999999</v>
      </c>
      <c r="F34" s="201">
        <f>Demanda!J155</f>
        <v>0</v>
      </c>
      <c r="G34" s="201">
        <f>Demanda!K155</f>
        <v>0</v>
      </c>
      <c r="H34" s="201">
        <f>Demanda!L155</f>
        <v>0</v>
      </c>
      <c r="I34" s="201">
        <f>Demanda!M155</f>
        <v>0</v>
      </c>
      <c r="J34" s="201">
        <f>Demanda!N155</f>
        <v>0</v>
      </c>
      <c r="K34" s="201">
        <f>Demanda!O155</f>
        <v>0</v>
      </c>
      <c r="M34" s="61" t="str">
        <f t="shared" si="16"/>
        <v>Climatização</v>
      </c>
      <c r="O34" s="55">
        <f t="shared" si="14"/>
        <v>0</v>
      </c>
      <c r="P34" s="55">
        <f t="shared" si="14"/>
        <v>0</v>
      </c>
      <c r="Q34" s="55">
        <f t="shared" si="14"/>
        <v>0</v>
      </c>
      <c r="R34" s="55">
        <f t="shared" si="14"/>
        <v>0</v>
      </c>
      <c r="S34" s="55">
        <f t="shared" si="14"/>
        <v>0</v>
      </c>
      <c r="U34" s="61" t="str">
        <f t="shared" si="15"/>
        <v>Climatização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</row>
    <row r="35" spans="1:27" ht="13.9" customHeight="1">
      <c r="B35" s="197"/>
      <c r="C35" s="202"/>
      <c r="D35" s="203"/>
      <c r="E35" s="203"/>
      <c r="F35" s="200">
        <f>SUM(F36:F44)</f>
        <v>3</v>
      </c>
      <c r="G35" s="200">
        <f t="shared" ref="G35:J35" si="17">SUM(G36:G44)</f>
        <v>1</v>
      </c>
      <c r="H35" s="200">
        <f t="shared" si="17"/>
        <v>0</v>
      </c>
      <c r="I35" s="200">
        <f t="shared" si="17"/>
        <v>0.52684719327917973</v>
      </c>
      <c r="J35" s="200">
        <f t="shared" si="17"/>
        <v>0.53348936733302166</v>
      </c>
      <c r="K35" s="200">
        <f>SUM(K36:K44)</f>
        <v>0.54657771196847993</v>
      </c>
      <c r="M35" s="197"/>
      <c r="O35" s="200">
        <f>SUM(O36:O44)</f>
        <v>1</v>
      </c>
      <c r="P35" s="200">
        <f t="shared" ref="P35:S35" si="18">SUM(P36:P44)</f>
        <v>0</v>
      </c>
      <c r="Q35" s="200">
        <f t="shared" si="18"/>
        <v>0.52684719327917973</v>
      </c>
      <c r="R35" s="200">
        <f t="shared" si="18"/>
        <v>0.53348936733302166</v>
      </c>
      <c r="S35" s="200">
        <f t="shared" si="18"/>
        <v>0.54657771196847993</v>
      </c>
      <c r="U35" s="197"/>
      <c r="W35" s="200">
        <f>SUM(W36:W44)</f>
        <v>0</v>
      </c>
      <c r="X35" s="200">
        <f t="shared" ref="X35:AA35" si="19">SUM(X36:X44)</f>
        <v>0</v>
      </c>
      <c r="Y35" s="200">
        <f t="shared" si="19"/>
        <v>0</v>
      </c>
      <c r="Z35" s="200">
        <f t="shared" si="19"/>
        <v>0</v>
      </c>
      <c r="AA35" s="200">
        <f t="shared" si="19"/>
        <v>0</v>
      </c>
    </row>
    <row r="36" spans="1:27" ht="13.9" customHeight="1">
      <c r="A36" s="192" t="s">
        <v>4779</v>
      </c>
      <c r="B36" s="61" t="s">
        <v>105</v>
      </c>
      <c r="C36" s="123">
        <v>1</v>
      </c>
      <c r="D36" s="51">
        <v>0</v>
      </c>
      <c r="E36" s="70">
        <v>200</v>
      </c>
      <c r="F36" s="201">
        <f>Demanda!J156</f>
        <v>1</v>
      </c>
      <c r="G36" s="201">
        <f>Demanda!K156</f>
        <v>1</v>
      </c>
      <c r="H36" s="201">
        <f>Demanda!L156</f>
        <v>0</v>
      </c>
      <c r="I36" s="201">
        <f>Demanda!M156</f>
        <v>0.52684719327917973</v>
      </c>
      <c r="J36" s="201">
        <f>Demanda!N156</f>
        <v>0.53348936733302166</v>
      </c>
      <c r="K36" s="201">
        <f>Demanda!O156</f>
        <v>0.54657771196847993</v>
      </c>
      <c r="M36" s="61" t="str">
        <f>B36</f>
        <v>Cogeração</v>
      </c>
      <c r="O36" s="55">
        <f t="shared" ref="O36:S44" si="20">G36</f>
        <v>1</v>
      </c>
      <c r="P36" s="55">
        <f t="shared" si="20"/>
        <v>0</v>
      </c>
      <c r="Q36" s="55">
        <f t="shared" si="20"/>
        <v>0.52684719327917973</v>
      </c>
      <c r="R36" s="55">
        <f t="shared" si="20"/>
        <v>0.53348936733302166</v>
      </c>
      <c r="S36" s="55">
        <f t="shared" si="20"/>
        <v>0.54657771196847993</v>
      </c>
      <c r="U36" s="61" t="str">
        <f t="shared" ref="U36:U44" si="21">B36</f>
        <v>Cogeração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</row>
    <row r="37" spans="1:27" ht="13.9" customHeight="1">
      <c r="A37" s="192" t="s">
        <v>4780</v>
      </c>
      <c r="B37" s="61" t="s">
        <v>105</v>
      </c>
      <c r="C37" s="123">
        <v>2</v>
      </c>
      <c r="D37" s="51">
        <v>201</v>
      </c>
      <c r="E37" s="70">
        <v>5000</v>
      </c>
      <c r="F37" s="201">
        <f>Demanda!J157</f>
        <v>1</v>
      </c>
      <c r="G37" s="201">
        <f>Demanda!K157</f>
        <v>0</v>
      </c>
      <c r="H37" s="201">
        <f>Demanda!L157</f>
        <v>0</v>
      </c>
      <c r="I37" s="201">
        <f>Demanda!M157</f>
        <v>0</v>
      </c>
      <c r="J37" s="201">
        <f>Demanda!N157</f>
        <v>0</v>
      </c>
      <c r="K37" s="201">
        <f>Demanda!O157</f>
        <v>0</v>
      </c>
      <c r="M37" s="61" t="str">
        <f t="shared" ref="M37:M102" si="22">B37</f>
        <v>Cogeração</v>
      </c>
      <c r="O37" s="55">
        <f t="shared" si="20"/>
        <v>0</v>
      </c>
      <c r="P37" s="55">
        <f t="shared" si="20"/>
        <v>0</v>
      </c>
      <c r="Q37" s="55">
        <f t="shared" si="20"/>
        <v>0</v>
      </c>
      <c r="R37" s="55">
        <f t="shared" si="20"/>
        <v>0</v>
      </c>
      <c r="S37" s="55">
        <f t="shared" si="20"/>
        <v>0</v>
      </c>
      <c r="U37" s="61" t="str">
        <f t="shared" si="21"/>
        <v>Cogeração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</row>
    <row r="38" spans="1:27" ht="13.9" customHeight="1">
      <c r="A38" s="192" t="s">
        <v>4781</v>
      </c>
      <c r="B38" s="61" t="s">
        <v>105</v>
      </c>
      <c r="C38" s="123">
        <v>3</v>
      </c>
      <c r="D38" s="70">
        <v>5001</v>
      </c>
      <c r="E38" s="70">
        <v>20000</v>
      </c>
      <c r="F38" s="201">
        <f>Demanda!J158</f>
        <v>1</v>
      </c>
      <c r="G38" s="201">
        <f>Demanda!K158</f>
        <v>0</v>
      </c>
      <c r="H38" s="201">
        <f>Demanda!L158</f>
        <v>0</v>
      </c>
      <c r="I38" s="201">
        <f>Demanda!M158</f>
        <v>0</v>
      </c>
      <c r="J38" s="201">
        <f>Demanda!N158</f>
        <v>0</v>
      </c>
      <c r="K38" s="201">
        <f>Demanda!O158</f>
        <v>0</v>
      </c>
      <c r="M38" s="61" t="str">
        <f t="shared" si="22"/>
        <v>Cogeração</v>
      </c>
      <c r="O38" s="55">
        <f t="shared" si="20"/>
        <v>0</v>
      </c>
      <c r="P38" s="55">
        <f t="shared" si="20"/>
        <v>0</v>
      </c>
      <c r="Q38" s="55">
        <f t="shared" si="20"/>
        <v>0</v>
      </c>
      <c r="R38" s="55">
        <f t="shared" si="20"/>
        <v>0</v>
      </c>
      <c r="S38" s="55">
        <f t="shared" si="20"/>
        <v>0</v>
      </c>
      <c r="U38" s="61" t="str">
        <f t="shared" si="21"/>
        <v>Cogeração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</row>
    <row r="39" spans="1:27" ht="13.9" customHeight="1">
      <c r="A39" s="192" t="s">
        <v>4782</v>
      </c>
      <c r="B39" s="61" t="s">
        <v>105</v>
      </c>
      <c r="C39" s="123">
        <v>4</v>
      </c>
      <c r="D39" s="70">
        <v>20001</v>
      </c>
      <c r="E39" s="70">
        <v>70000</v>
      </c>
      <c r="F39" s="201">
        <f>Demanda!J159</f>
        <v>0</v>
      </c>
      <c r="G39" s="201">
        <f>Demanda!K159</f>
        <v>0</v>
      </c>
      <c r="H39" s="201">
        <f>Demanda!L159</f>
        <v>0</v>
      </c>
      <c r="I39" s="201">
        <f>Demanda!M159</f>
        <v>0</v>
      </c>
      <c r="J39" s="201">
        <f>Demanda!N159</f>
        <v>0</v>
      </c>
      <c r="K39" s="201">
        <f>Demanda!O159</f>
        <v>0</v>
      </c>
      <c r="M39" s="61" t="str">
        <f t="shared" si="22"/>
        <v>Cogeração</v>
      </c>
      <c r="O39" s="55">
        <f t="shared" si="20"/>
        <v>0</v>
      </c>
      <c r="P39" s="55">
        <f t="shared" si="20"/>
        <v>0</v>
      </c>
      <c r="Q39" s="55">
        <f t="shared" si="20"/>
        <v>0</v>
      </c>
      <c r="R39" s="55">
        <f t="shared" si="20"/>
        <v>0</v>
      </c>
      <c r="S39" s="55">
        <f t="shared" si="20"/>
        <v>0</v>
      </c>
      <c r="U39" s="61" t="str">
        <f t="shared" si="21"/>
        <v>Cogeração</v>
      </c>
      <c r="W39" s="55">
        <v>0</v>
      </c>
      <c r="X39" s="55">
        <v>0</v>
      </c>
      <c r="Y39" s="55">
        <v>0</v>
      </c>
      <c r="Z39" s="55">
        <v>0</v>
      </c>
      <c r="AA39" s="55">
        <v>0</v>
      </c>
    </row>
    <row r="40" spans="1:27" ht="13.9" customHeight="1">
      <c r="A40" s="192" t="s">
        <v>4783</v>
      </c>
      <c r="B40" s="61" t="s">
        <v>105</v>
      </c>
      <c r="C40" s="123">
        <v>5</v>
      </c>
      <c r="D40" s="70">
        <v>70001</v>
      </c>
      <c r="E40" s="70">
        <v>120000</v>
      </c>
      <c r="F40" s="201">
        <f>Demanda!J160</f>
        <v>0</v>
      </c>
      <c r="G40" s="201">
        <f>Demanda!K160</f>
        <v>0</v>
      </c>
      <c r="H40" s="201">
        <f>Demanda!L160</f>
        <v>0</v>
      </c>
      <c r="I40" s="201">
        <f>Demanda!M160</f>
        <v>0</v>
      </c>
      <c r="J40" s="201">
        <f>Demanda!N160</f>
        <v>0</v>
      </c>
      <c r="K40" s="201">
        <f>Demanda!O160</f>
        <v>0</v>
      </c>
      <c r="M40" s="61" t="str">
        <f t="shared" si="22"/>
        <v>Cogeração</v>
      </c>
      <c r="O40" s="55">
        <f t="shared" si="20"/>
        <v>0</v>
      </c>
      <c r="P40" s="55">
        <f t="shared" si="20"/>
        <v>0</v>
      </c>
      <c r="Q40" s="55">
        <f t="shared" si="20"/>
        <v>0</v>
      </c>
      <c r="R40" s="55">
        <f t="shared" si="20"/>
        <v>0</v>
      </c>
      <c r="S40" s="55">
        <f t="shared" si="20"/>
        <v>0</v>
      </c>
      <c r="U40" s="61" t="str">
        <f t="shared" si="21"/>
        <v>Cogeração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</row>
    <row r="41" spans="1:27" ht="13.9" customHeight="1">
      <c r="A41" s="192" t="s">
        <v>4784</v>
      </c>
      <c r="B41" s="61" t="s">
        <v>105</v>
      </c>
      <c r="C41" s="123">
        <v>6</v>
      </c>
      <c r="D41" s="70">
        <v>120001</v>
      </c>
      <c r="E41" s="70">
        <v>300000</v>
      </c>
      <c r="F41" s="201">
        <f>Demanda!J161</f>
        <v>0</v>
      </c>
      <c r="G41" s="201">
        <f>Demanda!K161</f>
        <v>0</v>
      </c>
      <c r="H41" s="201">
        <f>Demanda!L161</f>
        <v>0</v>
      </c>
      <c r="I41" s="201">
        <f>Demanda!M161</f>
        <v>0</v>
      </c>
      <c r="J41" s="201">
        <f>Demanda!N161</f>
        <v>0</v>
      </c>
      <c r="K41" s="201">
        <f>Demanda!O161</f>
        <v>0</v>
      </c>
      <c r="M41" s="61" t="str">
        <f t="shared" si="22"/>
        <v>Cogeração</v>
      </c>
      <c r="O41" s="55">
        <f t="shared" si="20"/>
        <v>0</v>
      </c>
      <c r="P41" s="55">
        <f t="shared" si="20"/>
        <v>0</v>
      </c>
      <c r="Q41" s="55">
        <f t="shared" si="20"/>
        <v>0</v>
      </c>
      <c r="R41" s="55">
        <f t="shared" si="20"/>
        <v>0</v>
      </c>
      <c r="S41" s="55">
        <f t="shared" si="20"/>
        <v>0</v>
      </c>
      <c r="U41" s="61" t="str">
        <f t="shared" si="21"/>
        <v>Cogeração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</row>
    <row r="42" spans="1:27" ht="13.9" customHeight="1">
      <c r="A42" s="192" t="s">
        <v>4785</v>
      </c>
      <c r="B42" s="61" t="s">
        <v>105</v>
      </c>
      <c r="C42" s="123">
        <v>7</v>
      </c>
      <c r="D42" s="70">
        <v>300001</v>
      </c>
      <c r="E42" s="70">
        <v>600000</v>
      </c>
      <c r="F42" s="201">
        <f>Demanda!J162</f>
        <v>0</v>
      </c>
      <c r="G42" s="201">
        <f>Demanda!K162</f>
        <v>0</v>
      </c>
      <c r="H42" s="201">
        <f>Demanda!L162</f>
        <v>0</v>
      </c>
      <c r="I42" s="201">
        <f>Demanda!M162</f>
        <v>0</v>
      </c>
      <c r="J42" s="201">
        <f>Demanda!N162</f>
        <v>0</v>
      </c>
      <c r="K42" s="201">
        <f>Demanda!O162</f>
        <v>0</v>
      </c>
      <c r="M42" s="61" t="str">
        <f t="shared" si="22"/>
        <v>Cogeração</v>
      </c>
      <c r="O42" s="55">
        <f t="shared" si="20"/>
        <v>0</v>
      </c>
      <c r="P42" s="55">
        <f t="shared" si="20"/>
        <v>0</v>
      </c>
      <c r="Q42" s="55">
        <f t="shared" si="20"/>
        <v>0</v>
      </c>
      <c r="R42" s="55">
        <f t="shared" si="20"/>
        <v>0</v>
      </c>
      <c r="S42" s="55">
        <f t="shared" si="20"/>
        <v>0</v>
      </c>
      <c r="U42" s="61" t="str">
        <f t="shared" si="21"/>
        <v>Cogeração</v>
      </c>
      <c r="W42" s="55">
        <v>0</v>
      </c>
      <c r="X42" s="55">
        <v>0</v>
      </c>
      <c r="Y42" s="55">
        <v>0</v>
      </c>
      <c r="Z42" s="55">
        <v>0</v>
      </c>
      <c r="AA42" s="55">
        <v>0</v>
      </c>
    </row>
    <row r="43" spans="1:27" ht="13.9" customHeight="1">
      <c r="A43" s="192" t="s">
        <v>4786</v>
      </c>
      <c r="B43" s="61" t="s">
        <v>105</v>
      </c>
      <c r="C43" s="123">
        <v>8</v>
      </c>
      <c r="D43" s="70">
        <v>600001</v>
      </c>
      <c r="E43" s="70">
        <v>1500000</v>
      </c>
      <c r="F43" s="201">
        <f>Demanda!J163</f>
        <v>0</v>
      </c>
      <c r="G43" s="201">
        <f>Demanda!K163</f>
        <v>0</v>
      </c>
      <c r="H43" s="201">
        <f>Demanda!L163</f>
        <v>0</v>
      </c>
      <c r="I43" s="201">
        <f>Demanda!M163</f>
        <v>0</v>
      </c>
      <c r="J43" s="201">
        <f>Demanda!N163</f>
        <v>0</v>
      </c>
      <c r="K43" s="201">
        <f>Demanda!O163</f>
        <v>0</v>
      </c>
      <c r="M43" s="61" t="str">
        <f t="shared" si="22"/>
        <v>Cogeração</v>
      </c>
      <c r="O43" s="55">
        <f t="shared" si="20"/>
        <v>0</v>
      </c>
      <c r="P43" s="55">
        <f t="shared" si="20"/>
        <v>0</v>
      </c>
      <c r="Q43" s="55">
        <f t="shared" si="20"/>
        <v>0</v>
      </c>
      <c r="R43" s="55">
        <f t="shared" si="20"/>
        <v>0</v>
      </c>
      <c r="S43" s="55">
        <f t="shared" si="20"/>
        <v>0</v>
      </c>
      <c r="U43" s="61" t="str">
        <f t="shared" si="21"/>
        <v>Cogeração</v>
      </c>
      <c r="W43" s="55">
        <v>0</v>
      </c>
      <c r="X43" s="55">
        <v>0</v>
      </c>
      <c r="Y43" s="55">
        <v>0</v>
      </c>
      <c r="Z43" s="55">
        <v>0</v>
      </c>
      <c r="AA43" s="55">
        <v>0</v>
      </c>
    </row>
    <row r="44" spans="1:27" ht="13.9" customHeight="1">
      <c r="A44" s="192" t="s">
        <v>4787</v>
      </c>
      <c r="B44" s="61" t="s">
        <v>105</v>
      </c>
      <c r="C44" s="123">
        <v>9</v>
      </c>
      <c r="D44" s="70">
        <v>1500001</v>
      </c>
      <c r="E44" s="51">
        <v>999999999</v>
      </c>
      <c r="F44" s="201">
        <f>Demanda!J164</f>
        <v>0</v>
      </c>
      <c r="G44" s="201">
        <f>Demanda!K164</f>
        <v>0</v>
      </c>
      <c r="H44" s="201">
        <f>Demanda!L164</f>
        <v>0</v>
      </c>
      <c r="I44" s="201">
        <f>Demanda!M164</f>
        <v>0</v>
      </c>
      <c r="J44" s="201">
        <f>Demanda!N164</f>
        <v>0</v>
      </c>
      <c r="K44" s="201">
        <f>Demanda!O164</f>
        <v>0</v>
      </c>
      <c r="M44" s="61" t="str">
        <f t="shared" si="22"/>
        <v>Cogeração</v>
      </c>
      <c r="O44" s="55">
        <f t="shared" si="20"/>
        <v>0</v>
      </c>
      <c r="P44" s="55">
        <f t="shared" si="20"/>
        <v>0</v>
      </c>
      <c r="Q44" s="55">
        <f t="shared" si="20"/>
        <v>0</v>
      </c>
      <c r="R44" s="55">
        <f t="shared" si="20"/>
        <v>0</v>
      </c>
      <c r="S44" s="55">
        <f t="shared" si="20"/>
        <v>0</v>
      </c>
      <c r="U44" s="61" t="str">
        <f t="shared" si="21"/>
        <v>Cogeração</v>
      </c>
      <c r="W44" s="55">
        <v>0</v>
      </c>
      <c r="X44" s="55">
        <v>0</v>
      </c>
      <c r="Y44" s="55">
        <v>0</v>
      </c>
      <c r="Z44" s="55">
        <v>0</v>
      </c>
      <c r="AA44" s="55">
        <v>0</v>
      </c>
    </row>
    <row r="45" spans="1:27" ht="13.9" customHeight="1">
      <c r="B45" s="197"/>
      <c r="C45" s="202"/>
      <c r="D45" s="203"/>
      <c r="E45" s="203"/>
      <c r="F45" s="200">
        <f>SUM(F46:F54)</f>
        <v>8</v>
      </c>
      <c r="G45" s="200">
        <f t="shared" ref="G45:J45" si="23">SUM(G46:G54)</f>
        <v>7</v>
      </c>
      <c r="H45" s="200">
        <f t="shared" si="23"/>
        <v>6</v>
      </c>
      <c r="I45" s="200">
        <f t="shared" si="23"/>
        <v>6</v>
      </c>
      <c r="J45" s="200">
        <f t="shared" si="23"/>
        <v>6</v>
      </c>
      <c r="K45" s="200">
        <f>SUM(K46:K54)</f>
        <v>6</v>
      </c>
      <c r="M45" s="197"/>
      <c r="O45" s="200">
        <f>SUM(O46:O54)</f>
        <v>7</v>
      </c>
      <c r="P45" s="200">
        <f t="shared" ref="P45:S45" si="24">SUM(P46:P54)</f>
        <v>6</v>
      </c>
      <c r="Q45" s="200">
        <f t="shared" si="24"/>
        <v>6</v>
      </c>
      <c r="R45" s="200">
        <f t="shared" si="24"/>
        <v>6</v>
      </c>
      <c r="S45" s="200">
        <f t="shared" si="24"/>
        <v>6</v>
      </c>
      <c r="U45" s="197"/>
      <c r="W45" s="200">
        <f>SUM(W46:W54)</f>
        <v>0</v>
      </c>
      <c r="X45" s="200">
        <f t="shared" ref="X45:AA45" si="25">SUM(X46:X54)</f>
        <v>0</v>
      </c>
      <c r="Y45" s="200">
        <f t="shared" si="25"/>
        <v>0</v>
      </c>
      <c r="Z45" s="200">
        <f t="shared" si="25"/>
        <v>0</v>
      </c>
      <c r="AA45" s="200">
        <f t="shared" si="25"/>
        <v>0</v>
      </c>
    </row>
    <row r="46" spans="1:27" ht="13.9" customHeight="1">
      <c r="A46" s="192" t="s">
        <v>4788</v>
      </c>
      <c r="B46" s="61" t="s">
        <v>104</v>
      </c>
      <c r="C46" s="123">
        <v>1</v>
      </c>
      <c r="D46" s="51">
        <v>0</v>
      </c>
      <c r="E46" s="70">
        <v>200</v>
      </c>
      <c r="F46" s="201">
        <f>Demanda!J165</f>
        <v>3</v>
      </c>
      <c r="G46" s="201">
        <f>Demanda!K165</f>
        <v>3</v>
      </c>
      <c r="H46" s="201">
        <f>Demanda!L165</f>
        <v>2</v>
      </c>
      <c r="I46" s="201">
        <f>Demanda!M165</f>
        <v>2</v>
      </c>
      <c r="J46" s="201">
        <f>Demanda!N165</f>
        <v>2</v>
      </c>
      <c r="K46" s="201">
        <f>Demanda!O165</f>
        <v>2</v>
      </c>
      <c r="M46" s="61" t="str">
        <f t="shared" si="22"/>
        <v>Geração Distribuída</v>
      </c>
      <c r="O46" s="55">
        <f t="shared" ref="O46:S54" si="26">G46</f>
        <v>3</v>
      </c>
      <c r="P46" s="55">
        <f t="shared" si="26"/>
        <v>2</v>
      </c>
      <c r="Q46" s="55">
        <f t="shared" si="26"/>
        <v>2</v>
      </c>
      <c r="R46" s="55">
        <f t="shared" si="26"/>
        <v>2</v>
      </c>
      <c r="S46" s="55">
        <f t="shared" si="26"/>
        <v>2</v>
      </c>
      <c r="U46" s="61" t="str">
        <f t="shared" ref="U46:U54" si="27">B46</f>
        <v>Geração Distribuída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</row>
    <row r="47" spans="1:27" ht="13.9" customHeight="1">
      <c r="A47" s="192" t="s">
        <v>4789</v>
      </c>
      <c r="B47" s="61" t="s">
        <v>104</v>
      </c>
      <c r="C47" s="123">
        <v>2</v>
      </c>
      <c r="D47" s="51">
        <v>201</v>
      </c>
      <c r="E47" s="70">
        <v>5000</v>
      </c>
      <c r="F47" s="201">
        <f>Demanda!J166</f>
        <v>2</v>
      </c>
      <c r="G47" s="201">
        <f>Demanda!K166</f>
        <v>2</v>
      </c>
      <c r="H47" s="201">
        <f>Demanda!L166</f>
        <v>2</v>
      </c>
      <c r="I47" s="201">
        <f>Demanda!M166</f>
        <v>2</v>
      </c>
      <c r="J47" s="201">
        <f>Demanda!N166</f>
        <v>2</v>
      </c>
      <c r="K47" s="201">
        <f>Demanda!O166</f>
        <v>2</v>
      </c>
      <c r="M47" s="61" t="str">
        <f t="shared" si="22"/>
        <v>Geração Distribuída</v>
      </c>
      <c r="O47" s="55">
        <f t="shared" si="26"/>
        <v>2</v>
      </c>
      <c r="P47" s="55">
        <f t="shared" si="26"/>
        <v>2</v>
      </c>
      <c r="Q47" s="55">
        <f t="shared" si="26"/>
        <v>2</v>
      </c>
      <c r="R47" s="55">
        <f t="shared" si="26"/>
        <v>2</v>
      </c>
      <c r="S47" s="55">
        <f t="shared" si="26"/>
        <v>2</v>
      </c>
      <c r="U47" s="61" t="str">
        <f t="shared" si="27"/>
        <v>Geração Distribuída</v>
      </c>
      <c r="W47" s="55">
        <v>0</v>
      </c>
      <c r="X47" s="55">
        <v>0</v>
      </c>
      <c r="Y47" s="55">
        <v>0</v>
      </c>
      <c r="Z47" s="55">
        <v>0</v>
      </c>
      <c r="AA47" s="55">
        <v>0</v>
      </c>
    </row>
    <row r="48" spans="1:27" ht="13.9" customHeight="1">
      <c r="A48" s="192" t="s">
        <v>4790</v>
      </c>
      <c r="B48" s="61" t="s">
        <v>104</v>
      </c>
      <c r="C48" s="123">
        <v>3</v>
      </c>
      <c r="D48" s="70">
        <v>5001</v>
      </c>
      <c r="E48" s="70">
        <v>20000</v>
      </c>
      <c r="F48" s="201">
        <f>Demanda!J167</f>
        <v>2</v>
      </c>
      <c r="G48" s="201">
        <f>Demanda!K167</f>
        <v>1</v>
      </c>
      <c r="H48" s="201">
        <f>Demanda!L167</f>
        <v>1</v>
      </c>
      <c r="I48" s="201">
        <f>Demanda!M167</f>
        <v>1</v>
      </c>
      <c r="J48" s="201">
        <f>Demanda!N167</f>
        <v>1</v>
      </c>
      <c r="K48" s="201">
        <f>Demanda!O167</f>
        <v>1</v>
      </c>
      <c r="M48" s="61" t="str">
        <f t="shared" si="22"/>
        <v>Geração Distribuída</v>
      </c>
      <c r="O48" s="55">
        <f t="shared" si="26"/>
        <v>1</v>
      </c>
      <c r="P48" s="55">
        <f t="shared" si="26"/>
        <v>1</v>
      </c>
      <c r="Q48" s="55">
        <f t="shared" si="26"/>
        <v>1</v>
      </c>
      <c r="R48" s="55">
        <f t="shared" si="26"/>
        <v>1</v>
      </c>
      <c r="S48" s="55">
        <f t="shared" si="26"/>
        <v>1</v>
      </c>
      <c r="U48" s="61" t="str">
        <f t="shared" si="27"/>
        <v>Geração Distribuída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</row>
    <row r="49" spans="1:27" ht="13.9" customHeight="1">
      <c r="A49" s="192" t="s">
        <v>4791</v>
      </c>
      <c r="B49" s="61" t="s">
        <v>104</v>
      </c>
      <c r="C49" s="123">
        <v>4</v>
      </c>
      <c r="D49" s="70">
        <v>20001</v>
      </c>
      <c r="E49" s="70">
        <v>70000</v>
      </c>
      <c r="F49" s="201">
        <f>Demanda!J168</f>
        <v>1</v>
      </c>
      <c r="G49" s="201">
        <f>Demanda!K168</f>
        <v>1</v>
      </c>
      <c r="H49" s="201">
        <f>Demanda!L168</f>
        <v>1</v>
      </c>
      <c r="I49" s="201">
        <f>Demanda!M168</f>
        <v>1</v>
      </c>
      <c r="J49" s="201">
        <f>Demanda!N168</f>
        <v>1</v>
      </c>
      <c r="K49" s="201">
        <f>Demanda!O168</f>
        <v>1</v>
      </c>
      <c r="M49" s="61" t="str">
        <f t="shared" si="22"/>
        <v>Geração Distribuída</v>
      </c>
      <c r="O49" s="55">
        <f t="shared" si="26"/>
        <v>1</v>
      </c>
      <c r="P49" s="55">
        <f t="shared" si="26"/>
        <v>1</v>
      </c>
      <c r="Q49" s="55">
        <f t="shared" si="26"/>
        <v>1</v>
      </c>
      <c r="R49" s="55">
        <f t="shared" si="26"/>
        <v>1</v>
      </c>
      <c r="S49" s="55">
        <f t="shared" si="26"/>
        <v>1</v>
      </c>
      <c r="U49" s="61" t="str">
        <f t="shared" si="27"/>
        <v>Geração Distribuída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</row>
    <row r="50" spans="1:27" ht="13.9" customHeight="1">
      <c r="A50" s="192" t="s">
        <v>4792</v>
      </c>
      <c r="B50" s="61" t="s">
        <v>104</v>
      </c>
      <c r="C50" s="123">
        <v>5</v>
      </c>
      <c r="D50" s="70">
        <v>70001</v>
      </c>
      <c r="E50" s="70">
        <v>120000</v>
      </c>
      <c r="F50" s="201">
        <f>Demanda!J169</f>
        <v>0</v>
      </c>
      <c r="G50" s="201">
        <f>Demanda!K169</f>
        <v>0</v>
      </c>
      <c r="H50" s="201">
        <f>Demanda!L169</f>
        <v>0</v>
      </c>
      <c r="I50" s="201">
        <f>Demanda!M169</f>
        <v>0</v>
      </c>
      <c r="J50" s="201">
        <f>Demanda!N169</f>
        <v>0</v>
      </c>
      <c r="K50" s="201">
        <f>Demanda!O169</f>
        <v>0</v>
      </c>
      <c r="M50" s="61" t="str">
        <f t="shared" si="22"/>
        <v>Geração Distribuída</v>
      </c>
      <c r="O50" s="55">
        <f t="shared" si="26"/>
        <v>0</v>
      </c>
      <c r="P50" s="55">
        <f t="shared" si="26"/>
        <v>0</v>
      </c>
      <c r="Q50" s="55">
        <f t="shared" si="26"/>
        <v>0</v>
      </c>
      <c r="R50" s="55">
        <f t="shared" si="26"/>
        <v>0</v>
      </c>
      <c r="S50" s="55">
        <f t="shared" si="26"/>
        <v>0</v>
      </c>
      <c r="U50" s="61" t="str">
        <f t="shared" si="27"/>
        <v>Geração Distribuída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</row>
    <row r="51" spans="1:27" ht="13.9" customHeight="1">
      <c r="A51" s="192" t="s">
        <v>4793</v>
      </c>
      <c r="B51" s="61" t="s">
        <v>104</v>
      </c>
      <c r="C51" s="123">
        <v>6</v>
      </c>
      <c r="D51" s="70">
        <v>120001</v>
      </c>
      <c r="E51" s="70">
        <v>300000</v>
      </c>
      <c r="F51" s="201">
        <f>Demanda!J170</f>
        <v>0</v>
      </c>
      <c r="G51" s="201">
        <f>Demanda!K170</f>
        <v>0</v>
      </c>
      <c r="H51" s="201">
        <f>Demanda!L170</f>
        <v>0</v>
      </c>
      <c r="I51" s="201">
        <f>Demanda!M170</f>
        <v>0</v>
      </c>
      <c r="J51" s="201">
        <f>Demanda!N170</f>
        <v>0</v>
      </c>
      <c r="K51" s="201">
        <f>Demanda!O170</f>
        <v>0</v>
      </c>
      <c r="M51" s="61" t="str">
        <f t="shared" si="22"/>
        <v>Geração Distribuída</v>
      </c>
      <c r="O51" s="55">
        <f t="shared" si="26"/>
        <v>0</v>
      </c>
      <c r="P51" s="55">
        <f t="shared" si="26"/>
        <v>0</v>
      </c>
      <c r="Q51" s="55">
        <f t="shared" si="26"/>
        <v>0</v>
      </c>
      <c r="R51" s="55">
        <f t="shared" si="26"/>
        <v>0</v>
      </c>
      <c r="S51" s="55">
        <f t="shared" si="26"/>
        <v>0</v>
      </c>
      <c r="U51" s="61" t="str">
        <f t="shared" si="27"/>
        <v>Geração Distribuída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</row>
    <row r="52" spans="1:27" ht="13.9" customHeight="1">
      <c r="A52" s="192" t="s">
        <v>4794</v>
      </c>
      <c r="B52" s="61" t="s">
        <v>104</v>
      </c>
      <c r="C52" s="123">
        <v>7</v>
      </c>
      <c r="D52" s="70">
        <v>300001</v>
      </c>
      <c r="E52" s="70">
        <v>600000</v>
      </c>
      <c r="F52" s="201">
        <f>Demanda!J171</f>
        <v>0</v>
      </c>
      <c r="G52" s="201">
        <f>Demanda!K171</f>
        <v>0</v>
      </c>
      <c r="H52" s="201">
        <f>Demanda!L171</f>
        <v>0</v>
      </c>
      <c r="I52" s="201">
        <f>Demanda!M171</f>
        <v>0</v>
      </c>
      <c r="J52" s="201">
        <f>Demanda!N171</f>
        <v>0</v>
      </c>
      <c r="K52" s="201">
        <f>Demanda!O171</f>
        <v>0</v>
      </c>
      <c r="M52" s="61" t="str">
        <f t="shared" si="22"/>
        <v>Geração Distribuída</v>
      </c>
      <c r="O52" s="55">
        <f t="shared" si="26"/>
        <v>0</v>
      </c>
      <c r="P52" s="55">
        <f t="shared" si="26"/>
        <v>0</v>
      </c>
      <c r="Q52" s="55">
        <f t="shared" si="26"/>
        <v>0</v>
      </c>
      <c r="R52" s="55">
        <f t="shared" si="26"/>
        <v>0</v>
      </c>
      <c r="S52" s="55">
        <f t="shared" si="26"/>
        <v>0</v>
      </c>
      <c r="U52" s="61" t="str">
        <f t="shared" si="27"/>
        <v>Geração Distribuída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</row>
    <row r="53" spans="1:27" ht="13.9" customHeight="1">
      <c r="A53" s="192" t="s">
        <v>4795</v>
      </c>
      <c r="B53" s="61" t="s">
        <v>104</v>
      </c>
      <c r="C53" s="123">
        <v>8</v>
      </c>
      <c r="D53" s="70">
        <v>600001</v>
      </c>
      <c r="E53" s="70">
        <v>1500000</v>
      </c>
      <c r="F53" s="201">
        <f>Demanda!J172</f>
        <v>0</v>
      </c>
      <c r="G53" s="201">
        <f>Demanda!K172</f>
        <v>0</v>
      </c>
      <c r="H53" s="201">
        <f>Demanda!L172</f>
        <v>0</v>
      </c>
      <c r="I53" s="201">
        <f>Demanda!M172</f>
        <v>0</v>
      </c>
      <c r="J53" s="201">
        <f>Demanda!N172</f>
        <v>0</v>
      </c>
      <c r="K53" s="201">
        <f>Demanda!O172</f>
        <v>0</v>
      </c>
      <c r="M53" s="61" t="str">
        <f t="shared" si="22"/>
        <v>Geração Distribuída</v>
      </c>
      <c r="O53" s="55">
        <f t="shared" si="26"/>
        <v>0</v>
      </c>
      <c r="P53" s="55">
        <f t="shared" si="26"/>
        <v>0</v>
      </c>
      <c r="Q53" s="55">
        <f t="shared" si="26"/>
        <v>0</v>
      </c>
      <c r="R53" s="55">
        <f t="shared" si="26"/>
        <v>0</v>
      </c>
      <c r="S53" s="55">
        <f t="shared" si="26"/>
        <v>0</v>
      </c>
      <c r="U53" s="61" t="str">
        <f t="shared" si="27"/>
        <v>Geração Distribuída</v>
      </c>
      <c r="W53" s="55">
        <v>0</v>
      </c>
      <c r="X53" s="55">
        <v>0</v>
      </c>
      <c r="Y53" s="55">
        <v>0</v>
      </c>
      <c r="Z53" s="55">
        <v>0</v>
      </c>
      <c r="AA53" s="55">
        <v>0</v>
      </c>
    </row>
    <row r="54" spans="1:27" ht="13.9" customHeight="1">
      <c r="A54" s="192" t="s">
        <v>4796</v>
      </c>
      <c r="B54" s="61" t="s">
        <v>104</v>
      </c>
      <c r="C54" s="123">
        <v>9</v>
      </c>
      <c r="D54" s="70">
        <v>1500001</v>
      </c>
      <c r="E54" s="51">
        <v>999999999</v>
      </c>
      <c r="F54" s="201">
        <f>Demanda!J173</f>
        <v>0</v>
      </c>
      <c r="G54" s="201">
        <f>Demanda!K173</f>
        <v>0</v>
      </c>
      <c r="H54" s="201">
        <f>Demanda!L173</f>
        <v>0</v>
      </c>
      <c r="I54" s="201">
        <f>Demanda!M173</f>
        <v>0</v>
      </c>
      <c r="J54" s="201">
        <f>Demanda!N173</f>
        <v>0</v>
      </c>
      <c r="K54" s="201">
        <f>Demanda!O173</f>
        <v>0</v>
      </c>
      <c r="M54" s="61" t="str">
        <f t="shared" si="22"/>
        <v>Geração Distribuída</v>
      </c>
      <c r="O54" s="55">
        <f t="shared" si="26"/>
        <v>0</v>
      </c>
      <c r="P54" s="55">
        <f t="shared" si="26"/>
        <v>0</v>
      </c>
      <c r="Q54" s="55">
        <f t="shared" si="26"/>
        <v>0</v>
      </c>
      <c r="R54" s="55">
        <f t="shared" si="26"/>
        <v>0</v>
      </c>
      <c r="S54" s="55">
        <f t="shared" si="26"/>
        <v>0</v>
      </c>
      <c r="U54" s="61" t="str">
        <f t="shared" si="27"/>
        <v>Geração Distribuída</v>
      </c>
      <c r="W54" s="55">
        <v>0</v>
      </c>
      <c r="X54" s="55">
        <v>0</v>
      </c>
      <c r="Y54" s="55">
        <v>0</v>
      </c>
      <c r="Z54" s="55">
        <v>0</v>
      </c>
      <c r="AA54" s="55">
        <v>0</v>
      </c>
    </row>
    <row r="55" spans="1:27" ht="13.9" customHeight="1">
      <c r="B55" s="197"/>
      <c r="C55" s="202"/>
      <c r="D55" s="203"/>
      <c r="E55" s="203"/>
      <c r="F55" s="199">
        <f>SUM(F56)</f>
        <v>134</v>
      </c>
      <c r="G55" s="199">
        <f t="shared" ref="G55:K55" si="28">SUM(G56)</f>
        <v>141</v>
      </c>
      <c r="H55" s="199">
        <f t="shared" si="28"/>
        <v>149</v>
      </c>
      <c r="I55" s="199">
        <f t="shared" si="28"/>
        <v>159</v>
      </c>
      <c r="J55" s="199">
        <f t="shared" si="28"/>
        <v>166</v>
      </c>
      <c r="K55" s="199">
        <f t="shared" si="28"/>
        <v>173</v>
      </c>
      <c r="M55" s="197"/>
      <c r="O55" s="200">
        <f>SUM(O56:O57)</f>
        <v>141</v>
      </c>
      <c r="P55" s="200">
        <f t="shared" ref="P55:S55" si="29">SUM(P56:P57)</f>
        <v>149</v>
      </c>
      <c r="Q55" s="200">
        <f t="shared" si="29"/>
        <v>159</v>
      </c>
      <c r="R55" s="200">
        <f t="shared" si="29"/>
        <v>166</v>
      </c>
      <c r="S55" s="200">
        <f t="shared" si="29"/>
        <v>173</v>
      </c>
      <c r="U55" s="197"/>
      <c r="W55" s="200">
        <f>SUM(W56:W57)</f>
        <v>0</v>
      </c>
      <c r="X55" s="200">
        <f t="shared" ref="X55:AA55" si="30">SUM(X56:X57)</f>
        <v>0</v>
      </c>
      <c r="Y55" s="200">
        <f t="shared" si="30"/>
        <v>0</v>
      </c>
      <c r="Z55" s="200">
        <f t="shared" si="30"/>
        <v>0</v>
      </c>
      <c r="AA55" s="200">
        <f t="shared" si="30"/>
        <v>0</v>
      </c>
    </row>
    <row r="56" spans="1:27">
      <c r="A56" s="192" t="s">
        <v>4797</v>
      </c>
      <c r="B56" s="61" t="s">
        <v>19</v>
      </c>
      <c r="C56" s="123">
        <v>1</v>
      </c>
      <c r="D56" s="58">
        <v>0</v>
      </c>
      <c r="E56" s="51">
        <v>999999999</v>
      </c>
      <c r="F56" s="201">
        <f>Demanda!J174</f>
        <v>134</v>
      </c>
      <c r="G56" s="201">
        <f>Demanda!K174</f>
        <v>141</v>
      </c>
      <c r="H56" s="201">
        <f>Demanda!L174</f>
        <v>149</v>
      </c>
      <c r="I56" s="201">
        <f>Demanda!M174</f>
        <v>159</v>
      </c>
      <c r="J56" s="201">
        <f>Demanda!N174</f>
        <v>166</v>
      </c>
      <c r="K56" s="201">
        <f>Demanda!O174</f>
        <v>173</v>
      </c>
      <c r="M56" s="61" t="str">
        <f t="shared" si="22"/>
        <v>GNV</v>
      </c>
      <c r="O56" s="55">
        <f t="shared" ref="O56:S57" si="31">G56</f>
        <v>141</v>
      </c>
      <c r="P56" s="55">
        <f t="shared" si="31"/>
        <v>149</v>
      </c>
      <c r="Q56" s="55">
        <f t="shared" si="31"/>
        <v>159</v>
      </c>
      <c r="R56" s="55">
        <f t="shared" si="31"/>
        <v>166</v>
      </c>
      <c r="S56" s="55">
        <f t="shared" si="31"/>
        <v>173</v>
      </c>
      <c r="U56" s="61" t="str">
        <f t="shared" ref="U56:U57" si="32">B56</f>
        <v>GNV</v>
      </c>
      <c r="W56" s="55">
        <v>0</v>
      </c>
      <c r="X56" s="55">
        <v>0</v>
      </c>
      <c r="Y56" s="55">
        <v>0</v>
      </c>
      <c r="Z56" s="55">
        <v>0</v>
      </c>
      <c r="AA56" s="55">
        <v>0</v>
      </c>
    </row>
    <row r="57" spans="1:27">
      <c r="A57" s="192" t="s">
        <v>4798</v>
      </c>
      <c r="B57" s="61" t="s">
        <v>148</v>
      </c>
      <c r="C57" s="123">
        <v>1</v>
      </c>
      <c r="D57" s="58">
        <v>0</v>
      </c>
      <c r="E57" s="51">
        <v>999999999</v>
      </c>
      <c r="F57" s="201">
        <f>Demanda!J175</f>
        <v>0</v>
      </c>
      <c r="G57" s="201">
        <f>Demanda!K175</f>
        <v>0</v>
      </c>
      <c r="H57" s="201">
        <f>Demanda!L175</f>
        <v>0</v>
      </c>
      <c r="I57" s="201">
        <f>Demanda!M175</f>
        <v>0</v>
      </c>
      <c r="J57" s="201">
        <f>Demanda!N175</f>
        <v>0</v>
      </c>
      <c r="K57" s="201">
        <f>Demanda!O175</f>
        <v>0</v>
      </c>
      <c r="M57" s="61" t="str">
        <f t="shared" si="22"/>
        <v>GNV Transporte Público</v>
      </c>
      <c r="O57" s="55">
        <f t="shared" si="31"/>
        <v>0</v>
      </c>
      <c r="P57" s="55">
        <f t="shared" si="31"/>
        <v>0</v>
      </c>
      <c r="Q57" s="55">
        <f t="shared" si="31"/>
        <v>0</v>
      </c>
      <c r="R57" s="55">
        <f t="shared" si="31"/>
        <v>0</v>
      </c>
      <c r="S57" s="55">
        <f t="shared" si="31"/>
        <v>0</v>
      </c>
      <c r="U57" s="61" t="str">
        <f t="shared" si="32"/>
        <v>GNV Transporte Público</v>
      </c>
      <c r="W57" s="55">
        <v>0</v>
      </c>
      <c r="X57" s="55">
        <v>0</v>
      </c>
      <c r="Y57" s="55">
        <v>0</v>
      </c>
      <c r="Z57" s="55">
        <v>0</v>
      </c>
      <c r="AA57" s="55">
        <v>0</v>
      </c>
    </row>
    <row r="58" spans="1:27">
      <c r="B58" s="198"/>
      <c r="C58" s="202"/>
      <c r="D58" s="198"/>
      <c r="E58" s="198"/>
      <c r="F58" s="199">
        <f>SUM(F59:F68)</f>
        <v>119</v>
      </c>
      <c r="G58" s="199">
        <f t="shared" ref="G58:K58" si="33">SUM(G59:G68)</f>
        <v>103</v>
      </c>
      <c r="H58" s="199">
        <f t="shared" si="33"/>
        <v>103</v>
      </c>
      <c r="I58" s="199">
        <f t="shared" si="33"/>
        <v>81</v>
      </c>
      <c r="J58" s="199">
        <f t="shared" si="33"/>
        <v>86</v>
      </c>
      <c r="K58" s="199">
        <f t="shared" si="33"/>
        <v>90</v>
      </c>
      <c r="M58" s="198"/>
      <c r="O58" s="200">
        <f>SUM(O59:O68)</f>
        <v>103</v>
      </c>
      <c r="P58" s="200">
        <f t="shared" ref="P58:S58" si="34">SUM(P59:P68)</f>
        <v>103</v>
      </c>
      <c r="Q58" s="200">
        <f t="shared" si="34"/>
        <v>81</v>
      </c>
      <c r="R58" s="200">
        <f t="shared" si="34"/>
        <v>86</v>
      </c>
      <c r="S58" s="200">
        <f t="shared" si="34"/>
        <v>90</v>
      </c>
      <c r="U58" s="198"/>
      <c r="W58" s="199">
        <f>SUM(W59:W68)</f>
        <v>0</v>
      </c>
      <c r="X58" s="199">
        <f t="shared" ref="X58:AA58" si="35">SUM(X59:X68)</f>
        <v>0</v>
      </c>
      <c r="Y58" s="199">
        <f t="shared" si="35"/>
        <v>0</v>
      </c>
      <c r="Z58" s="199">
        <f t="shared" si="35"/>
        <v>0</v>
      </c>
      <c r="AA58" s="199">
        <f t="shared" si="35"/>
        <v>0</v>
      </c>
    </row>
    <row r="59" spans="1:27">
      <c r="A59" s="192" t="s">
        <v>4799</v>
      </c>
      <c r="B59" s="61" t="s">
        <v>18</v>
      </c>
      <c r="C59" s="123">
        <v>1</v>
      </c>
      <c r="D59" s="58">
        <v>0</v>
      </c>
      <c r="E59" s="70">
        <v>200</v>
      </c>
      <c r="F59" s="51">
        <f>Demanda!J176</f>
        <v>15</v>
      </c>
      <c r="G59" s="51">
        <f>Demanda!K176</f>
        <v>15</v>
      </c>
      <c r="H59" s="51">
        <f>Demanda!L176</f>
        <v>12</v>
      </c>
      <c r="I59" s="51">
        <f>Demanda!M176</f>
        <v>10</v>
      </c>
      <c r="J59" s="51">
        <f>Demanda!N176</f>
        <v>11</v>
      </c>
      <c r="K59" s="51">
        <f>Demanda!O176</f>
        <v>12</v>
      </c>
      <c r="M59" s="61" t="str">
        <f t="shared" si="22"/>
        <v>Industrial</v>
      </c>
      <c r="N59" s="58"/>
      <c r="O59" s="51">
        <f t="shared" ref="O59:S68" si="36">G59</f>
        <v>15</v>
      </c>
      <c r="P59" s="51">
        <f t="shared" si="36"/>
        <v>12</v>
      </c>
      <c r="Q59" s="51">
        <f t="shared" si="36"/>
        <v>10</v>
      </c>
      <c r="R59" s="51">
        <f t="shared" si="36"/>
        <v>11</v>
      </c>
      <c r="S59" s="51">
        <f t="shared" si="36"/>
        <v>12</v>
      </c>
      <c r="U59" s="61" t="str">
        <f t="shared" ref="U59:U68" si="37">B59</f>
        <v>Industrial</v>
      </c>
      <c r="V59" s="58"/>
      <c r="W59" s="55">
        <v>0</v>
      </c>
      <c r="X59" s="55">
        <v>0</v>
      </c>
      <c r="Y59" s="55">
        <v>0</v>
      </c>
      <c r="Z59" s="55">
        <v>0</v>
      </c>
      <c r="AA59" s="55">
        <v>0</v>
      </c>
    </row>
    <row r="60" spans="1:27">
      <c r="A60" s="192" t="s">
        <v>4800</v>
      </c>
      <c r="B60" s="61" t="s">
        <v>18</v>
      </c>
      <c r="C60" s="123">
        <v>2</v>
      </c>
      <c r="D60" s="51">
        <f>E59+1</f>
        <v>201</v>
      </c>
      <c r="E60" s="70">
        <v>2000</v>
      </c>
      <c r="F60" s="51">
        <f>Demanda!J177</f>
        <v>22</v>
      </c>
      <c r="G60" s="51">
        <f>Demanda!K177</f>
        <v>21</v>
      </c>
      <c r="H60" s="51">
        <f>Demanda!L177</f>
        <v>23</v>
      </c>
      <c r="I60" s="51">
        <f>Demanda!M177</f>
        <v>17</v>
      </c>
      <c r="J60" s="51">
        <f>Demanda!N177</f>
        <v>17</v>
      </c>
      <c r="K60" s="51">
        <f>Demanda!O177</f>
        <v>18</v>
      </c>
      <c r="M60" s="61" t="str">
        <f t="shared" si="22"/>
        <v>Industrial</v>
      </c>
      <c r="N60" s="58"/>
      <c r="O60" s="51">
        <f t="shared" si="36"/>
        <v>21</v>
      </c>
      <c r="P60" s="51">
        <f t="shared" si="36"/>
        <v>23</v>
      </c>
      <c r="Q60" s="51">
        <f t="shared" si="36"/>
        <v>17</v>
      </c>
      <c r="R60" s="51">
        <f t="shared" si="36"/>
        <v>17</v>
      </c>
      <c r="S60" s="51">
        <f t="shared" si="36"/>
        <v>18</v>
      </c>
      <c r="U60" s="61" t="str">
        <f t="shared" si="37"/>
        <v>Industrial</v>
      </c>
      <c r="V60" s="58"/>
      <c r="W60" s="55">
        <v>0</v>
      </c>
      <c r="X60" s="55">
        <v>0</v>
      </c>
      <c r="Y60" s="55">
        <v>0</v>
      </c>
      <c r="Z60" s="55">
        <v>0</v>
      </c>
      <c r="AA60" s="55">
        <v>0</v>
      </c>
    </row>
    <row r="61" spans="1:27">
      <c r="A61" s="192" t="s">
        <v>4801</v>
      </c>
      <c r="B61" s="61" t="s">
        <v>18</v>
      </c>
      <c r="C61" s="123">
        <v>3</v>
      </c>
      <c r="D61" s="51">
        <f t="shared" ref="D61:D68" si="38">E60+1</f>
        <v>2001</v>
      </c>
      <c r="E61" s="70">
        <v>10000</v>
      </c>
      <c r="F61" s="51">
        <f>Demanda!J178</f>
        <v>11</v>
      </c>
      <c r="G61" s="51">
        <f>Demanda!K178</f>
        <v>10</v>
      </c>
      <c r="H61" s="51">
        <f>Demanda!L178</f>
        <v>12</v>
      </c>
      <c r="I61" s="51">
        <f>Demanda!M178</f>
        <v>8</v>
      </c>
      <c r="J61" s="51">
        <f>Demanda!N178</f>
        <v>9</v>
      </c>
      <c r="K61" s="51">
        <f>Demanda!O178</f>
        <v>9</v>
      </c>
      <c r="M61" s="61" t="str">
        <f t="shared" si="22"/>
        <v>Industrial</v>
      </c>
      <c r="N61" s="58"/>
      <c r="O61" s="51">
        <f t="shared" si="36"/>
        <v>10</v>
      </c>
      <c r="P61" s="51">
        <f t="shared" si="36"/>
        <v>12</v>
      </c>
      <c r="Q61" s="51">
        <f t="shared" si="36"/>
        <v>8</v>
      </c>
      <c r="R61" s="51">
        <f t="shared" si="36"/>
        <v>9</v>
      </c>
      <c r="S61" s="51">
        <f t="shared" si="36"/>
        <v>9</v>
      </c>
      <c r="U61" s="61" t="str">
        <f t="shared" si="37"/>
        <v>Industrial</v>
      </c>
      <c r="V61" s="58"/>
      <c r="W61" s="55">
        <v>0</v>
      </c>
      <c r="X61" s="55">
        <v>0</v>
      </c>
      <c r="Y61" s="55">
        <v>0</v>
      </c>
      <c r="Z61" s="55">
        <v>0</v>
      </c>
      <c r="AA61" s="55">
        <v>0</v>
      </c>
    </row>
    <row r="62" spans="1:27">
      <c r="A62" s="192" t="s">
        <v>4802</v>
      </c>
      <c r="B62" s="61" t="s">
        <v>18</v>
      </c>
      <c r="C62" s="123">
        <v>4</v>
      </c>
      <c r="D62" s="51">
        <f t="shared" si="38"/>
        <v>10001</v>
      </c>
      <c r="E62" s="70">
        <v>50000</v>
      </c>
      <c r="F62" s="51">
        <f>Demanda!J179</f>
        <v>18</v>
      </c>
      <c r="G62" s="51">
        <f>Demanda!K179</f>
        <v>15</v>
      </c>
      <c r="H62" s="51">
        <f>Demanda!L179</f>
        <v>13</v>
      </c>
      <c r="I62" s="51">
        <f>Demanda!M179</f>
        <v>11</v>
      </c>
      <c r="J62" s="51">
        <f>Demanda!N179</f>
        <v>12</v>
      </c>
      <c r="K62" s="51">
        <f>Demanda!O179</f>
        <v>13</v>
      </c>
      <c r="M62" s="61" t="str">
        <f t="shared" si="22"/>
        <v>Industrial</v>
      </c>
      <c r="N62" s="58"/>
      <c r="O62" s="51">
        <f t="shared" si="36"/>
        <v>15</v>
      </c>
      <c r="P62" s="51">
        <f t="shared" si="36"/>
        <v>13</v>
      </c>
      <c r="Q62" s="51">
        <f t="shared" si="36"/>
        <v>11</v>
      </c>
      <c r="R62" s="51">
        <f t="shared" si="36"/>
        <v>12</v>
      </c>
      <c r="S62" s="51">
        <f t="shared" si="36"/>
        <v>13</v>
      </c>
      <c r="U62" s="61" t="str">
        <f t="shared" si="37"/>
        <v>Industrial</v>
      </c>
      <c r="V62" s="58"/>
      <c r="W62" s="55">
        <v>0</v>
      </c>
      <c r="X62" s="55">
        <v>0</v>
      </c>
      <c r="Y62" s="55">
        <v>0</v>
      </c>
      <c r="Z62" s="55">
        <v>0</v>
      </c>
      <c r="AA62" s="55">
        <v>0</v>
      </c>
    </row>
    <row r="63" spans="1:27">
      <c r="A63" s="192" t="s">
        <v>4803</v>
      </c>
      <c r="B63" s="61" t="s">
        <v>18</v>
      </c>
      <c r="C63" s="123">
        <v>5</v>
      </c>
      <c r="D63" s="51">
        <f t="shared" si="38"/>
        <v>50001</v>
      </c>
      <c r="E63" s="70">
        <v>100000</v>
      </c>
      <c r="F63" s="51">
        <f>Demanda!J180</f>
        <v>12</v>
      </c>
      <c r="G63" s="51">
        <f>Demanda!K180</f>
        <v>11</v>
      </c>
      <c r="H63" s="51">
        <f>Demanda!L180</f>
        <v>10</v>
      </c>
      <c r="I63" s="51">
        <f>Demanda!M180</f>
        <v>8</v>
      </c>
      <c r="J63" s="51">
        <f>Demanda!N180</f>
        <v>9</v>
      </c>
      <c r="K63" s="51">
        <f>Demanda!O180</f>
        <v>9</v>
      </c>
      <c r="M63" s="61" t="str">
        <f t="shared" si="22"/>
        <v>Industrial</v>
      </c>
      <c r="N63" s="58"/>
      <c r="O63" s="51">
        <f t="shared" si="36"/>
        <v>11</v>
      </c>
      <c r="P63" s="51">
        <f t="shared" si="36"/>
        <v>10</v>
      </c>
      <c r="Q63" s="51">
        <f t="shared" si="36"/>
        <v>8</v>
      </c>
      <c r="R63" s="51">
        <f t="shared" si="36"/>
        <v>9</v>
      </c>
      <c r="S63" s="51">
        <f t="shared" si="36"/>
        <v>9</v>
      </c>
      <c r="U63" s="61" t="str">
        <f t="shared" si="37"/>
        <v>Industrial</v>
      </c>
      <c r="V63" s="58"/>
      <c r="W63" s="55">
        <v>0</v>
      </c>
      <c r="X63" s="55">
        <v>0</v>
      </c>
      <c r="Y63" s="55">
        <v>0</v>
      </c>
      <c r="Z63" s="55">
        <v>0</v>
      </c>
      <c r="AA63" s="55">
        <v>0</v>
      </c>
    </row>
    <row r="64" spans="1:27">
      <c r="A64" s="192" t="s">
        <v>4804</v>
      </c>
      <c r="B64" s="61" t="s">
        <v>18</v>
      </c>
      <c r="C64" s="123">
        <v>6</v>
      </c>
      <c r="D64" s="51">
        <f t="shared" si="38"/>
        <v>100001</v>
      </c>
      <c r="E64" s="70">
        <v>300000</v>
      </c>
      <c r="F64" s="51">
        <f>Demanda!J181</f>
        <v>18</v>
      </c>
      <c r="G64" s="51">
        <f>Demanda!K181</f>
        <v>14</v>
      </c>
      <c r="H64" s="51">
        <f>Demanda!L181</f>
        <v>15</v>
      </c>
      <c r="I64" s="51">
        <f>Demanda!M181</f>
        <v>12</v>
      </c>
      <c r="J64" s="51">
        <f>Demanda!N181</f>
        <v>12</v>
      </c>
      <c r="K64" s="51">
        <f>Demanda!O181</f>
        <v>13</v>
      </c>
      <c r="M64" s="61" t="str">
        <f t="shared" si="22"/>
        <v>Industrial</v>
      </c>
      <c r="N64" s="58"/>
      <c r="O64" s="51">
        <f t="shared" si="36"/>
        <v>14</v>
      </c>
      <c r="P64" s="51">
        <f t="shared" si="36"/>
        <v>15</v>
      </c>
      <c r="Q64" s="51">
        <f t="shared" si="36"/>
        <v>12</v>
      </c>
      <c r="R64" s="51">
        <f t="shared" si="36"/>
        <v>12</v>
      </c>
      <c r="S64" s="51">
        <f t="shared" si="36"/>
        <v>13</v>
      </c>
      <c r="U64" s="61" t="str">
        <f t="shared" si="37"/>
        <v>Industrial</v>
      </c>
      <c r="V64" s="58"/>
      <c r="W64" s="55">
        <v>0</v>
      </c>
      <c r="X64" s="55">
        <v>0</v>
      </c>
      <c r="Y64" s="55">
        <v>0</v>
      </c>
      <c r="Z64" s="55">
        <v>0</v>
      </c>
      <c r="AA64" s="55">
        <v>0</v>
      </c>
    </row>
    <row r="65" spans="1:27">
      <c r="A65" s="192" t="s">
        <v>4805</v>
      </c>
      <c r="B65" s="61" t="s">
        <v>18</v>
      </c>
      <c r="C65" s="123">
        <v>7</v>
      </c>
      <c r="D65" s="51">
        <f t="shared" si="38"/>
        <v>300001</v>
      </c>
      <c r="E65" s="70">
        <v>600000</v>
      </c>
      <c r="F65" s="51">
        <f>Demanda!J182</f>
        <v>9</v>
      </c>
      <c r="G65" s="51">
        <f>Demanda!K182</f>
        <v>6</v>
      </c>
      <c r="H65" s="51">
        <f>Demanda!L182</f>
        <v>8</v>
      </c>
      <c r="I65" s="51">
        <f>Demanda!M182</f>
        <v>6</v>
      </c>
      <c r="J65" s="51">
        <f>Demanda!N182</f>
        <v>6</v>
      </c>
      <c r="K65" s="51">
        <f>Demanda!O182</f>
        <v>6</v>
      </c>
      <c r="M65" s="61" t="str">
        <f t="shared" si="22"/>
        <v>Industrial</v>
      </c>
      <c r="N65" s="58"/>
      <c r="O65" s="51">
        <f t="shared" si="36"/>
        <v>6</v>
      </c>
      <c r="P65" s="51">
        <f t="shared" si="36"/>
        <v>8</v>
      </c>
      <c r="Q65" s="51">
        <f t="shared" si="36"/>
        <v>6</v>
      </c>
      <c r="R65" s="51">
        <f t="shared" si="36"/>
        <v>6</v>
      </c>
      <c r="S65" s="51">
        <f t="shared" si="36"/>
        <v>6</v>
      </c>
      <c r="U65" s="61" t="str">
        <f t="shared" si="37"/>
        <v>Industrial</v>
      </c>
      <c r="V65" s="58"/>
      <c r="W65" s="55">
        <v>0</v>
      </c>
      <c r="X65" s="55">
        <v>0</v>
      </c>
      <c r="Y65" s="55">
        <v>0</v>
      </c>
      <c r="Z65" s="55">
        <v>0</v>
      </c>
      <c r="AA65" s="55">
        <v>0</v>
      </c>
    </row>
    <row r="66" spans="1:27">
      <c r="A66" s="192" t="s">
        <v>4806</v>
      </c>
      <c r="B66" s="61" t="s">
        <v>18</v>
      </c>
      <c r="C66" s="123">
        <v>8</v>
      </c>
      <c r="D66" s="51">
        <f t="shared" si="38"/>
        <v>600001</v>
      </c>
      <c r="E66" s="70">
        <v>1500000</v>
      </c>
      <c r="F66" s="51">
        <f>Demanda!J183</f>
        <v>11</v>
      </c>
      <c r="G66" s="51">
        <f>Demanda!K183</f>
        <v>8</v>
      </c>
      <c r="H66" s="51">
        <f>Demanda!L183</f>
        <v>7</v>
      </c>
      <c r="I66" s="51">
        <f>Demanda!M183</f>
        <v>6</v>
      </c>
      <c r="J66" s="51">
        <f>Demanda!N183</f>
        <v>7</v>
      </c>
      <c r="K66" s="51">
        <f>Demanda!O183</f>
        <v>7</v>
      </c>
      <c r="M66" s="61" t="str">
        <f t="shared" si="22"/>
        <v>Industrial</v>
      </c>
      <c r="N66" s="58"/>
      <c r="O66" s="51">
        <f t="shared" si="36"/>
        <v>8</v>
      </c>
      <c r="P66" s="51">
        <f t="shared" si="36"/>
        <v>7</v>
      </c>
      <c r="Q66" s="51">
        <f t="shared" si="36"/>
        <v>6</v>
      </c>
      <c r="R66" s="51">
        <f t="shared" si="36"/>
        <v>7</v>
      </c>
      <c r="S66" s="51">
        <f t="shared" si="36"/>
        <v>7</v>
      </c>
      <c r="U66" s="61" t="str">
        <f t="shared" si="37"/>
        <v>Industrial</v>
      </c>
      <c r="V66" s="58"/>
      <c r="W66" s="55">
        <v>0</v>
      </c>
      <c r="X66" s="55">
        <v>0</v>
      </c>
      <c r="Y66" s="55">
        <v>0</v>
      </c>
      <c r="Z66" s="55">
        <v>0</v>
      </c>
      <c r="AA66" s="55">
        <v>0</v>
      </c>
    </row>
    <row r="67" spans="1:27">
      <c r="A67" s="192" t="s">
        <v>4807</v>
      </c>
      <c r="B67" s="61" t="s">
        <v>18</v>
      </c>
      <c r="C67" s="123">
        <v>9</v>
      </c>
      <c r="D67" s="51">
        <f t="shared" si="38"/>
        <v>1500001</v>
      </c>
      <c r="E67" s="70">
        <v>3000000</v>
      </c>
      <c r="F67" s="51">
        <f>Demanda!J184</f>
        <v>1</v>
      </c>
      <c r="G67" s="51">
        <f>Demanda!K184</f>
        <v>1</v>
      </c>
      <c r="H67" s="51">
        <f>Demanda!L184</f>
        <v>1</v>
      </c>
      <c r="I67" s="51">
        <f>Demanda!M184</f>
        <v>1</v>
      </c>
      <c r="J67" s="51">
        <f>Demanda!N184</f>
        <v>1</v>
      </c>
      <c r="K67" s="51">
        <f>Demanda!O184</f>
        <v>1</v>
      </c>
      <c r="M67" s="61" t="str">
        <f t="shared" si="22"/>
        <v>Industrial</v>
      </c>
      <c r="N67" s="204"/>
      <c r="O67" s="51">
        <f t="shared" si="36"/>
        <v>1</v>
      </c>
      <c r="P67" s="51">
        <f t="shared" si="36"/>
        <v>1</v>
      </c>
      <c r="Q67" s="51">
        <f t="shared" si="36"/>
        <v>1</v>
      </c>
      <c r="R67" s="51">
        <f t="shared" si="36"/>
        <v>1</v>
      </c>
      <c r="S67" s="51">
        <f t="shared" si="36"/>
        <v>1</v>
      </c>
      <c r="U67" s="61" t="str">
        <f t="shared" si="37"/>
        <v>Industrial</v>
      </c>
      <c r="V67" s="204"/>
      <c r="W67" s="55">
        <v>0</v>
      </c>
      <c r="X67" s="55">
        <v>0</v>
      </c>
      <c r="Y67" s="55">
        <v>0</v>
      </c>
      <c r="Z67" s="55">
        <v>0</v>
      </c>
      <c r="AA67" s="55">
        <v>0</v>
      </c>
    </row>
    <row r="68" spans="1:27">
      <c r="A68" s="192" t="s">
        <v>4808</v>
      </c>
      <c r="B68" s="61" t="s">
        <v>18</v>
      </c>
      <c r="C68" s="123">
        <v>10</v>
      </c>
      <c r="D68" s="51">
        <f t="shared" si="38"/>
        <v>3000001</v>
      </c>
      <c r="E68" s="51">
        <v>999999999</v>
      </c>
      <c r="F68" s="51">
        <f>Demanda!J185</f>
        <v>2</v>
      </c>
      <c r="G68" s="51">
        <f>Demanda!K185</f>
        <v>2</v>
      </c>
      <c r="H68" s="51">
        <f>Demanda!L185</f>
        <v>2</v>
      </c>
      <c r="I68" s="51">
        <f>Demanda!M185</f>
        <v>2</v>
      </c>
      <c r="J68" s="51">
        <f>Demanda!N185</f>
        <v>2</v>
      </c>
      <c r="K68" s="51">
        <f>Demanda!O185</f>
        <v>2</v>
      </c>
      <c r="M68" s="61" t="str">
        <f t="shared" si="22"/>
        <v>Industrial</v>
      </c>
      <c r="N68" s="204"/>
      <c r="O68" s="51">
        <f t="shared" si="36"/>
        <v>2</v>
      </c>
      <c r="P68" s="51">
        <f t="shared" si="36"/>
        <v>2</v>
      </c>
      <c r="Q68" s="51">
        <f t="shared" si="36"/>
        <v>2</v>
      </c>
      <c r="R68" s="51">
        <f t="shared" si="36"/>
        <v>2</v>
      </c>
      <c r="S68" s="51">
        <f t="shared" si="36"/>
        <v>2</v>
      </c>
      <c r="U68" s="61" t="str">
        <f t="shared" si="37"/>
        <v>Industrial</v>
      </c>
      <c r="V68" s="204"/>
      <c r="W68" s="55">
        <v>0</v>
      </c>
      <c r="X68" s="55">
        <v>0</v>
      </c>
      <c r="Y68" s="55">
        <v>0</v>
      </c>
      <c r="Z68" s="55">
        <v>0</v>
      </c>
      <c r="AA68" s="55">
        <v>0</v>
      </c>
    </row>
    <row r="69" spans="1:27">
      <c r="B69" s="198"/>
      <c r="C69" s="202"/>
      <c r="D69" s="198"/>
      <c r="E69" s="198"/>
      <c r="F69" s="199">
        <f>SUM(F70:F79)</f>
        <v>2</v>
      </c>
      <c r="G69" s="199">
        <f t="shared" ref="G69:K69" si="39">SUM(G70:G79)</f>
        <v>2</v>
      </c>
      <c r="H69" s="199">
        <f t="shared" si="39"/>
        <v>2</v>
      </c>
      <c r="I69" s="199">
        <f t="shared" si="39"/>
        <v>2</v>
      </c>
      <c r="J69" s="199">
        <f t="shared" si="39"/>
        <v>2</v>
      </c>
      <c r="K69" s="199">
        <f t="shared" si="39"/>
        <v>2</v>
      </c>
      <c r="M69" s="198"/>
      <c r="O69" s="200">
        <f>SUM(O70:O79)</f>
        <v>2</v>
      </c>
      <c r="P69" s="200">
        <f t="shared" ref="P69:S69" si="40">SUM(P70:P79)</f>
        <v>2</v>
      </c>
      <c r="Q69" s="200">
        <f t="shared" si="40"/>
        <v>2</v>
      </c>
      <c r="R69" s="200">
        <f t="shared" si="40"/>
        <v>2</v>
      </c>
      <c r="S69" s="200">
        <f t="shared" si="40"/>
        <v>2</v>
      </c>
      <c r="U69" s="198"/>
      <c r="W69" s="199">
        <f>SUM(W70:W79)</f>
        <v>0</v>
      </c>
      <c r="X69" s="199">
        <f t="shared" ref="X69:AA69" si="41">SUM(X70:X79)</f>
        <v>0</v>
      </c>
      <c r="Y69" s="199">
        <f t="shared" si="41"/>
        <v>0</v>
      </c>
      <c r="Z69" s="199">
        <f t="shared" si="41"/>
        <v>0</v>
      </c>
      <c r="AA69" s="199">
        <f t="shared" si="41"/>
        <v>0</v>
      </c>
    </row>
    <row r="70" spans="1:27">
      <c r="A70" s="192" t="s">
        <v>4809</v>
      </c>
      <c r="B70" s="61" t="s">
        <v>106</v>
      </c>
      <c r="C70" s="123">
        <v>1</v>
      </c>
      <c r="D70" s="58">
        <v>0</v>
      </c>
      <c r="E70" s="70">
        <v>200</v>
      </c>
      <c r="F70" s="51">
        <f>Demanda!J186</f>
        <v>0</v>
      </c>
      <c r="G70" s="51">
        <f>Demanda!K186</f>
        <v>0</v>
      </c>
      <c r="H70" s="51">
        <f>Demanda!L186</f>
        <v>0</v>
      </c>
      <c r="I70" s="51">
        <f>Demanda!M186</f>
        <v>0</v>
      </c>
      <c r="J70" s="51">
        <f>Demanda!N186</f>
        <v>0</v>
      </c>
      <c r="K70" s="51">
        <f>Demanda!O186</f>
        <v>0</v>
      </c>
      <c r="M70" s="61" t="str">
        <f t="shared" si="22"/>
        <v>Vidreiras</v>
      </c>
      <c r="N70" s="58"/>
      <c r="O70" s="51">
        <f t="shared" ref="O70:S79" si="42">G70</f>
        <v>0</v>
      </c>
      <c r="P70" s="51">
        <f t="shared" si="42"/>
        <v>0</v>
      </c>
      <c r="Q70" s="51">
        <f t="shared" si="42"/>
        <v>0</v>
      </c>
      <c r="R70" s="51">
        <f t="shared" si="42"/>
        <v>0</v>
      </c>
      <c r="S70" s="51">
        <f t="shared" si="42"/>
        <v>0</v>
      </c>
      <c r="U70" s="61" t="str">
        <f t="shared" ref="U70:U79" si="43">B70</f>
        <v>Vidreiras</v>
      </c>
      <c r="V70" s="58"/>
      <c r="W70" s="55">
        <v>0</v>
      </c>
      <c r="X70" s="55">
        <v>0</v>
      </c>
      <c r="Y70" s="55">
        <v>0</v>
      </c>
      <c r="Z70" s="55">
        <v>0</v>
      </c>
      <c r="AA70" s="55">
        <v>0</v>
      </c>
    </row>
    <row r="71" spans="1:27">
      <c r="A71" s="192" t="s">
        <v>4810</v>
      </c>
      <c r="B71" s="61" t="s">
        <v>106</v>
      </c>
      <c r="C71" s="123">
        <v>2</v>
      </c>
      <c r="D71" s="51">
        <f>E70+1</f>
        <v>201</v>
      </c>
      <c r="E71" s="70">
        <v>2000</v>
      </c>
      <c r="F71" s="51">
        <f>Demanda!J187</f>
        <v>0</v>
      </c>
      <c r="G71" s="51">
        <f>Demanda!K187</f>
        <v>0</v>
      </c>
      <c r="H71" s="51">
        <f>Demanda!L187</f>
        <v>0</v>
      </c>
      <c r="I71" s="51">
        <f>Demanda!M187</f>
        <v>0</v>
      </c>
      <c r="J71" s="51">
        <f>Demanda!N187</f>
        <v>0</v>
      </c>
      <c r="K71" s="51">
        <f>Demanda!O187</f>
        <v>0</v>
      </c>
      <c r="M71" s="61" t="str">
        <f t="shared" si="22"/>
        <v>Vidreiras</v>
      </c>
      <c r="N71" s="58"/>
      <c r="O71" s="51">
        <f t="shared" si="42"/>
        <v>0</v>
      </c>
      <c r="P71" s="51">
        <f t="shared" si="42"/>
        <v>0</v>
      </c>
      <c r="Q71" s="51">
        <f t="shared" si="42"/>
        <v>0</v>
      </c>
      <c r="R71" s="51">
        <f t="shared" si="42"/>
        <v>0</v>
      </c>
      <c r="S71" s="51">
        <f t="shared" si="42"/>
        <v>0</v>
      </c>
      <c r="U71" s="61" t="str">
        <f t="shared" si="43"/>
        <v>Vidreiras</v>
      </c>
      <c r="V71" s="58"/>
      <c r="W71" s="55">
        <v>0</v>
      </c>
      <c r="X71" s="55">
        <v>0</v>
      </c>
      <c r="Y71" s="55">
        <v>0</v>
      </c>
      <c r="Z71" s="55">
        <v>0</v>
      </c>
      <c r="AA71" s="55">
        <v>0</v>
      </c>
    </row>
    <row r="72" spans="1:27">
      <c r="A72" s="192" t="s">
        <v>4811</v>
      </c>
      <c r="B72" s="61" t="s">
        <v>106</v>
      </c>
      <c r="C72" s="123">
        <v>3</v>
      </c>
      <c r="D72" s="51">
        <f t="shared" ref="D72:D79" si="44">E71+1</f>
        <v>2001</v>
      </c>
      <c r="E72" s="70">
        <v>10000</v>
      </c>
      <c r="F72" s="51">
        <f>Demanda!J188</f>
        <v>0</v>
      </c>
      <c r="G72" s="51">
        <f>Demanda!K188</f>
        <v>0</v>
      </c>
      <c r="H72" s="51">
        <f>Demanda!L188</f>
        <v>0</v>
      </c>
      <c r="I72" s="51">
        <f>Demanda!M188</f>
        <v>0</v>
      </c>
      <c r="J72" s="51">
        <f>Demanda!N188</f>
        <v>0</v>
      </c>
      <c r="K72" s="51">
        <f>Demanda!O188</f>
        <v>0</v>
      </c>
      <c r="M72" s="61" t="str">
        <f t="shared" si="22"/>
        <v>Vidreiras</v>
      </c>
      <c r="N72" s="58"/>
      <c r="O72" s="51">
        <f t="shared" si="42"/>
        <v>0</v>
      </c>
      <c r="P72" s="51">
        <f t="shared" si="42"/>
        <v>0</v>
      </c>
      <c r="Q72" s="51">
        <f t="shared" si="42"/>
        <v>0</v>
      </c>
      <c r="R72" s="51">
        <f t="shared" si="42"/>
        <v>0</v>
      </c>
      <c r="S72" s="51">
        <f t="shared" si="42"/>
        <v>0</v>
      </c>
      <c r="U72" s="61" t="str">
        <f t="shared" si="43"/>
        <v>Vidreiras</v>
      </c>
      <c r="V72" s="58"/>
      <c r="W72" s="55">
        <v>0</v>
      </c>
      <c r="X72" s="55">
        <v>0</v>
      </c>
      <c r="Y72" s="55">
        <v>0</v>
      </c>
      <c r="Z72" s="55">
        <v>0</v>
      </c>
      <c r="AA72" s="55">
        <v>0</v>
      </c>
    </row>
    <row r="73" spans="1:27">
      <c r="A73" s="192" t="s">
        <v>4812</v>
      </c>
      <c r="B73" s="61" t="s">
        <v>106</v>
      </c>
      <c r="C73" s="123">
        <v>4</v>
      </c>
      <c r="D73" s="51">
        <f t="shared" si="44"/>
        <v>10001</v>
      </c>
      <c r="E73" s="70">
        <v>50000</v>
      </c>
      <c r="F73" s="51">
        <f>Demanda!J189</f>
        <v>0</v>
      </c>
      <c r="G73" s="51">
        <f>Demanda!K189</f>
        <v>0</v>
      </c>
      <c r="H73" s="51">
        <f>Demanda!L189</f>
        <v>0</v>
      </c>
      <c r="I73" s="51">
        <f>Demanda!M189</f>
        <v>0</v>
      </c>
      <c r="J73" s="51">
        <f>Demanda!N189</f>
        <v>0</v>
      </c>
      <c r="K73" s="51">
        <f>Demanda!O189</f>
        <v>0</v>
      </c>
      <c r="M73" s="61" t="str">
        <f t="shared" si="22"/>
        <v>Vidreiras</v>
      </c>
      <c r="N73" s="58"/>
      <c r="O73" s="51">
        <f t="shared" si="42"/>
        <v>0</v>
      </c>
      <c r="P73" s="51">
        <f t="shared" si="42"/>
        <v>0</v>
      </c>
      <c r="Q73" s="51">
        <f t="shared" si="42"/>
        <v>0</v>
      </c>
      <c r="R73" s="51">
        <f t="shared" si="42"/>
        <v>0</v>
      </c>
      <c r="S73" s="51">
        <f t="shared" si="42"/>
        <v>0</v>
      </c>
      <c r="U73" s="61" t="str">
        <f t="shared" si="43"/>
        <v>Vidreiras</v>
      </c>
      <c r="V73" s="58"/>
      <c r="W73" s="55">
        <v>0</v>
      </c>
      <c r="X73" s="55">
        <v>0</v>
      </c>
      <c r="Y73" s="55">
        <v>0</v>
      </c>
      <c r="Z73" s="55">
        <v>0</v>
      </c>
      <c r="AA73" s="55">
        <v>0</v>
      </c>
    </row>
    <row r="74" spans="1:27">
      <c r="A74" s="192" t="s">
        <v>4813</v>
      </c>
      <c r="B74" s="61" t="s">
        <v>106</v>
      </c>
      <c r="C74" s="123">
        <v>5</v>
      </c>
      <c r="D74" s="51">
        <f t="shared" si="44"/>
        <v>50001</v>
      </c>
      <c r="E74" s="70">
        <v>100000</v>
      </c>
      <c r="F74" s="51">
        <f>Demanda!J190</f>
        <v>0</v>
      </c>
      <c r="G74" s="51">
        <f>Demanda!K190</f>
        <v>0</v>
      </c>
      <c r="H74" s="51">
        <f>Demanda!L190</f>
        <v>0</v>
      </c>
      <c r="I74" s="51">
        <f>Demanda!M190</f>
        <v>0</v>
      </c>
      <c r="J74" s="51">
        <f>Demanda!N190</f>
        <v>0</v>
      </c>
      <c r="K74" s="51">
        <f>Demanda!O190</f>
        <v>0</v>
      </c>
      <c r="M74" s="61" t="str">
        <f t="shared" si="22"/>
        <v>Vidreiras</v>
      </c>
      <c r="N74" s="58"/>
      <c r="O74" s="51">
        <f t="shared" si="42"/>
        <v>0</v>
      </c>
      <c r="P74" s="51">
        <f t="shared" si="42"/>
        <v>0</v>
      </c>
      <c r="Q74" s="51">
        <f t="shared" si="42"/>
        <v>0</v>
      </c>
      <c r="R74" s="51">
        <f t="shared" si="42"/>
        <v>0</v>
      </c>
      <c r="S74" s="51">
        <f t="shared" si="42"/>
        <v>0</v>
      </c>
      <c r="U74" s="61" t="str">
        <f t="shared" si="43"/>
        <v>Vidreiras</v>
      </c>
      <c r="V74" s="58"/>
      <c r="W74" s="55">
        <v>0</v>
      </c>
      <c r="X74" s="55">
        <v>0</v>
      </c>
      <c r="Y74" s="55">
        <v>0</v>
      </c>
      <c r="Z74" s="55">
        <v>0</v>
      </c>
      <c r="AA74" s="55">
        <v>0</v>
      </c>
    </row>
    <row r="75" spans="1:27">
      <c r="A75" s="192" t="s">
        <v>4814</v>
      </c>
      <c r="B75" s="61" t="s">
        <v>106</v>
      </c>
      <c r="C75" s="123">
        <v>6</v>
      </c>
      <c r="D75" s="51">
        <f t="shared" si="44"/>
        <v>100001</v>
      </c>
      <c r="E75" s="70">
        <v>300000</v>
      </c>
      <c r="F75" s="51">
        <f>Demanda!J191</f>
        <v>0</v>
      </c>
      <c r="G75" s="51">
        <f>Demanda!K191</f>
        <v>0</v>
      </c>
      <c r="H75" s="51">
        <f>Demanda!L191</f>
        <v>0</v>
      </c>
      <c r="I75" s="51">
        <f>Demanda!M191</f>
        <v>0</v>
      </c>
      <c r="J75" s="51">
        <f>Demanda!N191</f>
        <v>0</v>
      </c>
      <c r="K75" s="51">
        <f>Demanda!O191</f>
        <v>0</v>
      </c>
      <c r="M75" s="61" t="str">
        <f t="shared" si="22"/>
        <v>Vidreiras</v>
      </c>
      <c r="N75" s="58"/>
      <c r="O75" s="51">
        <f t="shared" si="42"/>
        <v>0</v>
      </c>
      <c r="P75" s="51">
        <f t="shared" si="42"/>
        <v>0</v>
      </c>
      <c r="Q75" s="51">
        <f t="shared" si="42"/>
        <v>0</v>
      </c>
      <c r="R75" s="51">
        <f t="shared" si="42"/>
        <v>0</v>
      </c>
      <c r="S75" s="51">
        <f t="shared" si="42"/>
        <v>0</v>
      </c>
      <c r="U75" s="61" t="str">
        <f t="shared" si="43"/>
        <v>Vidreiras</v>
      </c>
      <c r="V75" s="58"/>
      <c r="W75" s="55">
        <v>0</v>
      </c>
      <c r="X75" s="55">
        <v>0</v>
      </c>
      <c r="Y75" s="55">
        <v>0</v>
      </c>
      <c r="Z75" s="55">
        <v>0</v>
      </c>
      <c r="AA75" s="55">
        <v>0</v>
      </c>
    </row>
    <row r="76" spans="1:27">
      <c r="A76" s="192" t="s">
        <v>4815</v>
      </c>
      <c r="B76" s="61" t="s">
        <v>106</v>
      </c>
      <c r="C76" s="123">
        <v>7</v>
      </c>
      <c r="D76" s="51">
        <f t="shared" si="44"/>
        <v>300001</v>
      </c>
      <c r="E76" s="70">
        <v>600000</v>
      </c>
      <c r="F76" s="51">
        <f>Demanda!J192</f>
        <v>0</v>
      </c>
      <c r="G76" s="51">
        <f>Demanda!K192</f>
        <v>0</v>
      </c>
      <c r="H76" s="51">
        <f>Demanda!L192</f>
        <v>0</v>
      </c>
      <c r="I76" s="51">
        <f>Demanda!M192</f>
        <v>0</v>
      </c>
      <c r="J76" s="51">
        <f>Demanda!N192</f>
        <v>0</v>
      </c>
      <c r="K76" s="51">
        <f>Demanda!O192</f>
        <v>0</v>
      </c>
      <c r="M76" s="61" t="str">
        <f t="shared" si="22"/>
        <v>Vidreiras</v>
      </c>
      <c r="N76" s="58"/>
      <c r="O76" s="51">
        <f t="shared" si="42"/>
        <v>0</v>
      </c>
      <c r="P76" s="51">
        <f t="shared" si="42"/>
        <v>0</v>
      </c>
      <c r="Q76" s="51">
        <f t="shared" si="42"/>
        <v>0</v>
      </c>
      <c r="R76" s="51">
        <f t="shared" si="42"/>
        <v>0</v>
      </c>
      <c r="S76" s="51">
        <f t="shared" si="42"/>
        <v>0</v>
      </c>
      <c r="U76" s="61" t="str">
        <f t="shared" si="43"/>
        <v>Vidreiras</v>
      </c>
      <c r="V76" s="58"/>
      <c r="W76" s="55">
        <v>0</v>
      </c>
      <c r="X76" s="55">
        <v>0</v>
      </c>
      <c r="Y76" s="55">
        <v>0</v>
      </c>
      <c r="Z76" s="55">
        <v>0</v>
      </c>
      <c r="AA76" s="55">
        <v>0</v>
      </c>
    </row>
    <row r="77" spans="1:27">
      <c r="A77" s="192" t="s">
        <v>4816</v>
      </c>
      <c r="B77" s="61" t="s">
        <v>106</v>
      </c>
      <c r="C77" s="123">
        <v>8</v>
      </c>
      <c r="D77" s="51">
        <f t="shared" si="44"/>
        <v>600001</v>
      </c>
      <c r="E77" s="70">
        <v>1500000</v>
      </c>
      <c r="F77" s="51">
        <f>Demanda!J193</f>
        <v>1</v>
      </c>
      <c r="G77" s="51">
        <f>Demanda!K193</f>
        <v>2</v>
      </c>
      <c r="H77" s="51">
        <f>Demanda!L193</f>
        <v>1</v>
      </c>
      <c r="I77" s="51">
        <f>Demanda!M193</f>
        <v>1</v>
      </c>
      <c r="J77" s="51">
        <f>Demanda!N193</f>
        <v>1</v>
      </c>
      <c r="K77" s="51">
        <f>Demanda!O193</f>
        <v>1</v>
      </c>
      <c r="M77" s="61" t="str">
        <f t="shared" si="22"/>
        <v>Vidreiras</v>
      </c>
      <c r="N77" s="58"/>
      <c r="O77" s="51">
        <f t="shared" si="42"/>
        <v>2</v>
      </c>
      <c r="P77" s="51">
        <f t="shared" si="42"/>
        <v>1</v>
      </c>
      <c r="Q77" s="51">
        <f t="shared" si="42"/>
        <v>1</v>
      </c>
      <c r="R77" s="51">
        <f t="shared" si="42"/>
        <v>1</v>
      </c>
      <c r="S77" s="51">
        <f t="shared" si="42"/>
        <v>1</v>
      </c>
      <c r="U77" s="61" t="str">
        <f t="shared" si="43"/>
        <v>Vidreiras</v>
      </c>
      <c r="V77" s="58"/>
      <c r="W77" s="55">
        <v>0</v>
      </c>
      <c r="X77" s="55">
        <v>0</v>
      </c>
      <c r="Y77" s="55">
        <v>0</v>
      </c>
      <c r="Z77" s="55">
        <v>0</v>
      </c>
      <c r="AA77" s="55">
        <v>0</v>
      </c>
    </row>
    <row r="78" spans="1:27">
      <c r="A78" s="192" t="s">
        <v>4817</v>
      </c>
      <c r="B78" s="61" t="s">
        <v>106</v>
      </c>
      <c r="C78" s="123">
        <v>9</v>
      </c>
      <c r="D78" s="51">
        <f t="shared" si="44"/>
        <v>1500001</v>
      </c>
      <c r="E78" s="70">
        <v>3000000</v>
      </c>
      <c r="F78" s="51">
        <f>Demanda!J194</f>
        <v>1</v>
      </c>
      <c r="G78" s="51">
        <f>Demanda!K194</f>
        <v>0</v>
      </c>
      <c r="H78" s="51">
        <f>Demanda!L194</f>
        <v>1</v>
      </c>
      <c r="I78" s="51">
        <f>Demanda!M194</f>
        <v>1</v>
      </c>
      <c r="J78" s="51">
        <f>Demanda!N194</f>
        <v>1</v>
      </c>
      <c r="K78" s="51">
        <f>Demanda!O194</f>
        <v>1</v>
      </c>
      <c r="M78" s="61" t="str">
        <f t="shared" si="22"/>
        <v>Vidreiras</v>
      </c>
      <c r="N78" s="204"/>
      <c r="O78" s="51">
        <f t="shared" si="42"/>
        <v>0</v>
      </c>
      <c r="P78" s="51">
        <f t="shared" si="42"/>
        <v>1</v>
      </c>
      <c r="Q78" s="51">
        <f t="shared" si="42"/>
        <v>1</v>
      </c>
      <c r="R78" s="51">
        <f t="shared" si="42"/>
        <v>1</v>
      </c>
      <c r="S78" s="51">
        <f t="shared" si="42"/>
        <v>1</v>
      </c>
      <c r="U78" s="61" t="str">
        <f t="shared" si="43"/>
        <v>Vidreiras</v>
      </c>
      <c r="V78" s="204"/>
      <c r="W78" s="55">
        <v>0</v>
      </c>
      <c r="X78" s="55">
        <v>0</v>
      </c>
      <c r="Y78" s="55">
        <v>0</v>
      </c>
      <c r="Z78" s="55">
        <v>0</v>
      </c>
      <c r="AA78" s="55">
        <v>0</v>
      </c>
    </row>
    <row r="79" spans="1:27">
      <c r="A79" s="192" t="s">
        <v>4818</v>
      </c>
      <c r="B79" s="61" t="s">
        <v>106</v>
      </c>
      <c r="C79" s="123">
        <v>10</v>
      </c>
      <c r="D79" s="51">
        <f t="shared" si="44"/>
        <v>3000001</v>
      </c>
      <c r="E79" s="51">
        <v>999999999</v>
      </c>
      <c r="F79" s="51">
        <f>Demanda!J195</f>
        <v>0</v>
      </c>
      <c r="G79" s="51">
        <f>Demanda!K195</f>
        <v>0</v>
      </c>
      <c r="H79" s="51">
        <f>Demanda!L195</f>
        <v>0</v>
      </c>
      <c r="I79" s="51">
        <f>Demanda!M195</f>
        <v>0</v>
      </c>
      <c r="J79" s="51">
        <f>Demanda!N195</f>
        <v>0</v>
      </c>
      <c r="K79" s="51">
        <f>Demanda!O195</f>
        <v>0</v>
      </c>
      <c r="M79" s="61" t="str">
        <f t="shared" si="22"/>
        <v>Vidreiras</v>
      </c>
      <c r="N79" s="204"/>
      <c r="O79" s="51">
        <f t="shared" si="42"/>
        <v>0</v>
      </c>
      <c r="P79" s="51">
        <f t="shared" si="42"/>
        <v>0</v>
      </c>
      <c r="Q79" s="51">
        <f t="shared" si="42"/>
        <v>0</v>
      </c>
      <c r="R79" s="51">
        <f t="shared" si="42"/>
        <v>0</v>
      </c>
      <c r="S79" s="51">
        <f t="shared" si="42"/>
        <v>0</v>
      </c>
      <c r="U79" s="61" t="str">
        <f t="shared" si="43"/>
        <v>Vidreiras</v>
      </c>
      <c r="V79" s="204"/>
      <c r="W79" s="55">
        <v>0</v>
      </c>
      <c r="X79" s="55">
        <v>0</v>
      </c>
      <c r="Y79" s="55">
        <v>0</v>
      </c>
      <c r="Z79" s="55">
        <v>0</v>
      </c>
      <c r="AA79" s="55">
        <v>0</v>
      </c>
    </row>
    <row r="80" spans="1:27" ht="13.5" customHeight="1">
      <c r="B80" s="197"/>
      <c r="C80" s="202"/>
      <c r="D80" s="198"/>
      <c r="E80" s="198"/>
      <c r="F80" s="199">
        <f>SUM(F81)</f>
        <v>0</v>
      </c>
      <c r="G80" s="199">
        <f t="shared" ref="G80:K80" si="45">SUM(G81)</f>
        <v>0</v>
      </c>
      <c r="H80" s="199">
        <f t="shared" si="45"/>
        <v>0</v>
      </c>
      <c r="I80" s="199">
        <f t="shared" si="45"/>
        <v>0</v>
      </c>
      <c r="J80" s="199">
        <f t="shared" si="45"/>
        <v>0</v>
      </c>
      <c r="K80" s="199">
        <f t="shared" si="45"/>
        <v>0</v>
      </c>
      <c r="M80" s="197"/>
      <c r="O80" s="199">
        <f>O81</f>
        <v>0</v>
      </c>
      <c r="P80" s="199">
        <f t="shared" ref="P80:S80" si="46">P81</f>
        <v>0</v>
      </c>
      <c r="Q80" s="199">
        <f t="shared" si="46"/>
        <v>0</v>
      </c>
      <c r="R80" s="199">
        <f t="shared" si="46"/>
        <v>0</v>
      </c>
      <c r="S80" s="199">
        <f t="shared" si="46"/>
        <v>0</v>
      </c>
      <c r="U80" s="197"/>
      <c r="W80" s="199">
        <f>W81</f>
        <v>0</v>
      </c>
      <c r="X80" s="199">
        <f t="shared" ref="X80:AA80" si="47">X81</f>
        <v>0</v>
      </c>
      <c r="Y80" s="199">
        <f t="shared" si="47"/>
        <v>0</v>
      </c>
      <c r="Z80" s="199">
        <f t="shared" si="47"/>
        <v>0</v>
      </c>
      <c r="AA80" s="199">
        <f t="shared" si="47"/>
        <v>0</v>
      </c>
    </row>
    <row r="81" spans="1:27">
      <c r="A81" s="192" t="s">
        <v>4819</v>
      </c>
      <c r="B81" s="61" t="s">
        <v>110</v>
      </c>
      <c r="C81" s="123">
        <v>1</v>
      </c>
      <c r="D81" s="58">
        <v>0</v>
      </c>
      <c r="E81" s="51">
        <v>999999999</v>
      </c>
      <c r="F81" s="201">
        <f>Demanda!J222</f>
        <v>0</v>
      </c>
      <c r="G81" s="201">
        <f>Demanda!K222</f>
        <v>0</v>
      </c>
      <c r="H81" s="201">
        <f>Demanda!L222</f>
        <v>0</v>
      </c>
      <c r="I81" s="201">
        <f>Demanda!M222</f>
        <v>0</v>
      </c>
      <c r="J81" s="201">
        <f>Demanda!N222</f>
        <v>0</v>
      </c>
      <c r="K81" s="201">
        <f>Demanda!O222</f>
        <v>0</v>
      </c>
      <c r="M81" s="61" t="str">
        <f t="shared" si="22"/>
        <v>Petroquímico</v>
      </c>
      <c r="O81" s="55">
        <f>G81</f>
        <v>0</v>
      </c>
      <c r="P81" s="55">
        <f>H81</f>
        <v>0</v>
      </c>
      <c r="Q81" s="55">
        <f>I81</f>
        <v>0</v>
      </c>
      <c r="R81" s="55">
        <f>J81</f>
        <v>0</v>
      </c>
      <c r="S81" s="55">
        <f>K81</f>
        <v>0</v>
      </c>
      <c r="U81" s="61" t="str">
        <f t="shared" ref="U81" si="48">B81</f>
        <v>Petroquímico</v>
      </c>
      <c r="W81" s="55">
        <v>0</v>
      </c>
      <c r="X81" s="55">
        <v>0</v>
      </c>
      <c r="Y81" s="55">
        <v>0</v>
      </c>
      <c r="Z81" s="55">
        <v>0</v>
      </c>
      <c r="AA81" s="55">
        <v>0</v>
      </c>
    </row>
    <row r="82" spans="1:27">
      <c r="A82" s="192"/>
      <c r="B82" s="197"/>
      <c r="C82" s="202"/>
      <c r="D82" s="198"/>
      <c r="E82" s="198"/>
      <c r="F82" s="199">
        <f>SUM(F83)</f>
        <v>1</v>
      </c>
      <c r="G82" s="199">
        <f t="shared" ref="G82:K82" si="49">SUM(G83)</f>
        <v>1</v>
      </c>
      <c r="H82" s="199">
        <f t="shared" si="49"/>
        <v>1</v>
      </c>
      <c r="I82" s="199">
        <f t="shared" si="49"/>
        <v>0</v>
      </c>
      <c r="J82" s="199">
        <f t="shared" si="49"/>
        <v>0</v>
      </c>
      <c r="K82" s="199">
        <f t="shared" si="49"/>
        <v>0</v>
      </c>
      <c r="M82" s="197"/>
      <c r="O82" s="199">
        <f>O83</f>
        <v>1</v>
      </c>
      <c r="P82" s="199">
        <f t="shared" ref="P82:S82" si="50">P83</f>
        <v>1</v>
      </c>
      <c r="Q82" s="199">
        <f t="shared" si="50"/>
        <v>0</v>
      </c>
      <c r="R82" s="199">
        <f t="shared" si="50"/>
        <v>0</v>
      </c>
      <c r="S82" s="199">
        <f t="shared" si="50"/>
        <v>0</v>
      </c>
      <c r="U82" s="197"/>
      <c r="W82" s="199">
        <f>W83</f>
        <v>1</v>
      </c>
      <c r="X82" s="199">
        <f t="shared" ref="X82:AA82" si="51">X83</f>
        <v>1</v>
      </c>
      <c r="Y82" s="199">
        <f t="shared" si="51"/>
        <v>0</v>
      </c>
      <c r="Z82" s="199">
        <f t="shared" si="51"/>
        <v>0</v>
      </c>
      <c r="AA82" s="199">
        <f t="shared" si="51"/>
        <v>0</v>
      </c>
    </row>
    <row r="83" spans="1:27">
      <c r="A83" s="192">
        <v>100</v>
      </c>
      <c r="B83" s="61" t="s">
        <v>111</v>
      </c>
      <c r="C83" s="123">
        <v>1</v>
      </c>
      <c r="D83" s="58">
        <v>0</v>
      </c>
      <c r="E83" s="51">
        <v>999999999</v>
      </c>
      <c r="F83" s="201">
        <f>Demanda!J223</f>
        <v>1</v>
      </c>
      <c r="G83" s="201">
        <f>Demanda!K223</f>
        <v>1</v>
      </c>
      <c r="H83" s="201">
        <f>Demanda!L223</f>
        <v>1</v>
      </c>
      <c r="I83" s="201">
        <f>Demanda!M223</f>
        <v>0</v>
      </c>
      <c r="J83" s="201">
        <f>Demanda!N223</f>
        <v>0</v>
      </c>
      <c r="K83" s="201">
        <f>Demanda!O223</f>
        <v>0</v>
      </c>
      <c r="M83" s="61" t="str">
        <f t="shared" si="22"/>
        <v>Térmicas</v>
      </c>
      <c r="O83" s="55">
        <f>G83</f>
        <v>1</v>
      </c>
      <c r="P83" s="55">
        <f>H83</f>
        <v>1</v>
      </c>
      <c r="Q83" s="55">
        <f>I83</f>
        <v>0</v>
      </c>
      <c r="R83" s="55">
        <f>J83</f>
        <v>0</v>
      </c>
      <c r="S83" s="55">
        <f>K83</f>
        <v>0</v>
      </c>
      <c r="U83" s="61" t="str">
        <f t="shared" ref="U83" si="52">B83</f>
        <v>Térmicas</v>
      </c>
      <c r="W83" s="55">
        <f>G83</f>
        <v>1</v>
      </c>
      <c r="X83" s="55">
        <f t="shared" ref="X83:AA83" si="53">H83</f>
        <v>1</v>
      </c>
      <c r="Y83" s="55">
        <f t="shared" si="53"/>
        <v>0</v>
      </c>
      <c r="Z83" s="55">
        <f t="shared" si="53"/>
        <v>0</v>
      </c>
      <c r="AA83" s="55">
        <f t="shared" si="53"/>
        <v>0</v>
      </c>
    </row>
    <row r="84" spans="1:27" ht="13.5" customHeight="1">
      <c r="B84" s="197"/>
      <c r="C84" s="202"/>
      <c r="D84" s="198"/>
      <c r="E84" s="198"/>
      <c r="F84" s="199">
        <f>SUM(F85)</f>
        <v>0</v>
      </c>
      <c r="G84" s="199">
        <f t="shared" ref="G84:K84" si="54">SUM(G85)</f>
        <v>0</v>
      </c>
      <c r="H84" s="199">
        <f t="shared" si="54"/>
        <v>0</v>
      </c>
      <c r="I84" s="199">
        <f t="shared" si="54"/>
        <v>0</v>
      </c>
      <c r="J84" s="199">
        <f t="shared" si="54"/>
        <v>0</v>
      </c>
      <c r="K84" s="199">
        <f t="shared" si="54"/>
        <v>0</v>
      </c>
      <c r="M84" s="197"/>
      <c r="O84" s="199">
        <f>O85</f>
        <v>0</v>
      </c>
      <c r="P84" s="199">
        <f t="shared" ref="P84:S84" si="55">P85</f>
        <v>0</v>
      </c>
      <c r="Q84" s="199">
        <f t="shared" si="55"/>
        <v>0</v>
      </c>
      <c r="R84" s="199">
        <f t="shared" si="55"/>
        <v>0</v>
      </c>
      <c r="S84" s="199">
        <f t="shared" si="55"/>
        <v>0</v>
      </c>
      <c r="U84" s="197"/>
      <c r="W84" s="199">
        <f>W85</f>
        <v>0</v>
      </c>
      <c r="X84" s="199">
        <f t="shared" ref="X84:AA84" si="56">X85</f>
        <v>0</v>
      </c>
      <c r="Y84" s="199">
        <f t="shared" si="56"/>
        <v>0</v>
      </c>
      <c r="Z84" s="199">
        <f t="shared" si="56"/>
        <v>0</v>
      </c>
      <c r="AA84" s="199">
        <f t="shared" si="56"/>
        <v>0</v>
      </c>
    </row>
    <row r="85" spans="1:27">
      <c r="A85" s="192" t="s">
        <v>4820</v>
      </c>
      <c r="B85" s="61" t="s">
        <v>4632</v>
      </c>
      <c r="C85" s="123">
        <v>1</v>
      </c>
      <c r="D85" s="58">
        <v>0</v>
      </c>
      <c r="E85" s="51">
        <v>999999999</v>
      </c>
      <c r="F85" s="201">
        <f>Demanda!J224</f>
        <v>0</v>
      </c>
      <c r="G85" s="201">
        <f>Demanda!K224</f>
        <v>0</v>
      </c>
      <c r="H85" s="201">
        <f>Demanda!L224</f>
        <v>0</v>
      </c>
      <c r="I85" s="201">
        <f>Demanda!M224</f>
        <v>0</v>
      </c>
      <c r="J85" s="201">
        <f>Demanda!N224</f>
        <v>0</v>
      </c>
      <c r="K85" s="201">
        <f>Demanda!O224</f>
        <v>0</v>
      </c>
      <c r="M85" s="61" t="str">
        <f t="shared" si="22"/>
        <v>GLP Residencial</v>
      </c>
      <c r="O85" s="55">
        <f>G85</f>
        <v>0</v>
      </c>
      <c r="P85" s="55">
        <f>H85</f>
        <v>0</v>
      </c>
      <c r="Q85" s="55">
        <f>I85</f>
        <v>0</v>
      </c>
      <c r="R85" s="55">
        <f>J85</f>
        <v>0</v>
      </c>
      <c r="S85" s="55">
        <f>K85</f>
        <v>0</v>
      </c>
      <c r="U85" s="61" t="str">
        <f t="shared" ref="U85" si="57">B85</f>
        <v>GLP Residencial</v>
      </c>
      <c r="W85" s="55">
        <v>0</v>
      </c>
      <c r="X85" s="55">
        <v>0</v>
      </c>
      <c r="Y85" s="55">
        <v>0</v>
      </c>
      <c r="Z85" s="55">
        <v>0</v>
      </c>
      <c r="AA85" s="55">
        <v>0</v>
      </c>
    </row>
    <row r="86" spans="1:27">
      <c r="A86" s="192"/>
      <c r="B86" s="197"/>
      <c r="C86" s="202"/>
      <c r="D86" s="198"/>
      <c r="E86" s="198"/>
      <c r="F86" s="199">
        <f>SUM(F87)</f>
        <v>0</v>
      </c>
      <c r="G86" s="199">
        <f t="shared" ref="G86:K86" si="58">SUM(G87)</f>
        <v>0</v>
      </c>
      <c r="H86" s="199">
        <f t="shared" si="58"/>
        <v>0</v>
      </c>
      <c r="I86" s="199">
        <f t="shared" si="58"/>
        <v>0</v>
      </c>
      <c r="J86" s="199">
        <f t="shared" si="58"/>
        <v>0</v>
      </c>
      <c r="K86" s="199">
        <f t="shared" si="58"/>
        <v>0</v>
      </c>
      <c r="M86" s="197"/>
      <c r="O86" s="199">
        <f>O87</f>
        <v>0</v>
      </c>
      <c r="P86" s="199">
        <f t="shared" ref="P86:S86" si="59">P87</f>
        <v>0</v>
      </c>
      <c r="Q86" s="199">
        <f t="shared" si="59"/>
        <v>0</v>
      </c>
      <c r="R86" s="199">
        <f t="shared" si="59"/>
        <v>0</v>
      </c>
      <c r="S86" s="199">
        <f t="shared" si="59"/>
        <v>0</v>
      </c>
      <c r="U86" s="197"/>
      <c r="W86" s="199">
        <f>W87</f>
        <v>0</v>
      </c>
      <c r="X86" s="199">
        <f t="shared" ref="X86:AA86" si="60">X87</f>
        <v>0</v>
      </c>
      <c r="Y86" s="199">
        <f t="shared" si="60"/>
        <v>0</v>
      </c>
      <c r="Z86" s="199">
        <f t="shared" si="60"/>
        <v>0</v>
      </c>
      <c r="AA86" s="199">
        <f t="shared" si="60"/>
        <v>0</v>
      </c>
    </row>
    <row r="87" spans="1:27">
      <c r="A87" s="192" t="s">
        <v>4821</v>
      </c>
      <c r="B87" s="61" t="s">
        <v>4633</v>
      </c>
      <c r="C87" s="123">
        <v>1</v>
      </c>
      <c r="D87" s="58">
        <v>0</v>
      </c>
      <c r="E87" s="51">
        <v>999999999</v>
      </c>
      <c r="F87" s="201">
        <f>Demanda!J225</f>
        <v>0</v>
      </c>
      <c r="G87" s="201">
        <f>Demanda!K225</f>
        <v>0</v>
      </c>
      <c r="H87" s="201">
        <f>Demanda!L225</f>
        <v>0</v>
      </c>
      <c r="I87" s="201">
        <f>Demanda!M225</f>
        <v>0</v>
      </c>
      <c r="J87" s="201">
        <f>Demanda!N225</f>
        <v>0</v>
      </c>
      <c r="K87" s="201">
        <f>Demanda!O225</f>
        <v>0</v>
      </c>
      <c r="M87" s="61" t="str">
        <f t="shared" si="22"/>
        <v>GLP Industrial</v>
      </c>
      <c r="O87" s="55">
        <f>G87</f>
        <v>0</v>
      </c>
      <c r="P87" s="55">
        <f>H87</f>
        <v>0</v>
      </c>
      <c r="Q87" s="55">
        <f>I87</f>
        <v>0</v>
      </c>
      <c r="R87" s="55">
        <f>J87</f>
        <v>0</v>
      </c>
      <c r="S87" s="55">
        <f>K87</f>
        <v>0</v>
      </c>
      <c r="U87" s="61" t="str">
        <f t="shared" ref="U87" si="61">B87</f>
        <v>GLP Industrial</v>
      </c>
      <c r="W87" s="55">
        <v>0</v>
      </c>
      <c r="X87" s="55">
        <v>0</v>
      </c>
      <c r="Y87" s="55">
        <v>0</v>
      </c>
      <c r="Z87" s="55">
        <v>0</v>
      </c>
      <c r="AA87" s="55">
        <v>0</v>
      </c>
    </row>
    <row r="88" spans="1:27">
      <c r="A88" s="192"/>
      <c r="B88" s="197"/>
      <c r="C88" s="202"/>
      <c r="D88" s="198"/>
      <c r="E88" s="198"/>
      <c r="F88" s="199">
        <f>SUM(F89)</f>
        <v>1</v>
      </c>
      <c r="G88" s="199">
        <f t="shared" ref="G88:K88" si="62">SUM(G89)</f>
        <v>1</v>
      </c>
      <c r="H88" s="199">
        <f t="shared" si="62"/>
        <v>1</v>
      </c>
      <c r="I88" s="199">
        <f t="shared" si="62"/>
        <v>3</v>
      </c>
      <c r="J88" s="199">
        <f t="shared" si="62"/>
        <v>3</v>
      </c>
      <c r="K88" s="199">
        <f t="shared" si="62"/>
        <v>3</v>
      </c>
      <c r="M88" s="197"/>
      <c r="O88" s="199">
        <f>O89</f>
        <v>0</v>
      </c>
      <c r="P88" s="199">
        <f t="shared" ref="P88:S88" si="63">P89</f>
        <v>0</v>
      </c>
      <c r="Q88" s="199">
        <f t="shared" si="63"/>
        <v>0</v>
      </c>
      <c r="R88" s="199">
        <f t="shared" si="63"/>
        <v>0</v>
      </c>
      <c r="S88" s="199">
        <f t="shared" si="63"/>
        <v>0</v>
      </c>
      <c r="U88" s="197"/>
      <c r="W88" s="199">
        <f>W89</f>
        <v>1</v>
      </c>
      <c r="X88" s="199">
        <f t="shared" ref="X88:AA88" si="64">X89</f>
        <v>1</v>
      </c>
      <c r="Y88" s="199">
        <f t="shared" si="64"/>
        <v>3</v>
      </c>
      <c r="Z88" s="199">
        <f t="shared" si="64"/>
        <v>3</v>
      </c>
      <c r="AA88" s="199">
        <f t="shared" si="64"/>
        <v>3</v>
      </c>
    </row>
    <row r="89" spans="1:27">
      <c r="A89" s="192" t="s">
        <v>4822</v>
      </c>
      <c r="B89" s="61" t="s">
        <v>4635</v>
      </c>
      <c r="C89" s="123">
        <v>1</v>
      </c>
      <c r="D89" s="58">
        <v>0</v>
      </c>
      <c r="E89" s="51">
        <v>999999999</v>
      </c>
      <c r="F89" s="201">
        <f>Demanda!J226</f>
        <v>1</v>
      </c>
      <c r="G89" s="201">
        <f>Demanda!K226</f>
        <v>1</v>
      </c>
      <c r="H89" s="201">
        <f>Demanda!L226</f>
        <v>1</v>
      </c>
      <c r="I89" s="201">
        <f>Demanda!M226</f>
        <v>3</v>
      </c>
      <c r="J89" s="201">
        <f>Demanda!N226</f>
        <v>3</v>
      </c>
      <c r="K89" s="201">
        <f>Demanda!O226</f>
        <v>3</v>
      </c>
      <c r="M89" s="61" t="str">
        <f t="shared" si="22"/>
        <v>Térmicas - CL, AI, AP</v>
      </c>
      <c r="O89" s="55">
        <v>0</v>
      </c>
      <c r="P89" s="55">
        <v>0</v>
      </c>
      <c r="Q89" s="55">
        <v>0</v>
      </c>
      <c r="R89" s="55">
        <v>0</v>
      </c>
      <c r="S89" s="55">
        <v>0</v>
      </c>
      <c r="T89" s="55"/>
      <c r="U89" s="61" t="str">
        <f t="shared" ref="U89" si="65">B89</f>
        <v>Térmicas - CL, AI, AP</v>
      </c>
      <c r="W89" s="55">
        <f>G89</f>
        <v>1</v>
      </c>
      <c r="X89" s="55">
        <f t="shared" ref="X89:AA89" si="66">H89</f>
        <v>1</v>
      </c>
      <c r="Y89" s="55">
        <f t="shared" si="66"/>
        <v>3</v>
      </c>
      <c r="Z89" s="55">
        <f t="shared" si="66"/>
        <v>3</v>
      </c>
      <c r="AA89" s="55">
        <f t="shared" si="66"/>
        <v>3</v>
      </c>
    </row>
    <row r="90" spans="1:27">
      <c r="B90" s="198"/>
      <c r="C90" s="202"/>
      <c r="D90" s="198"/>
      <c r="E90" s="198"/>
      <c r="F90" s="199">
        <f>SUM(F91:F100)</f>
        <v>0</v>
      </c>
      <c r="G90" s="199">
        <f t="shared" ref="G90:K90" si="67">SUM(G91:G100)</f>
        <v>0</v>
      </c>
      <c r="H90" s="199">
        <f t="shared" si="67"/>
        <v>1</v>
      </c>
      <c r="I90" s="199">
        <f t="shared" si="67"/>
        <v>1</v>
      </c>
      <c r="J90" s="199">
        <f t="shared" si="67"/>
        <v>1</v>
      </c>
      <c r="K90" s="199">
        <f t="shared" si="67"/>
        <v>1</v>
      </c>
      <c r="M90" s="198"/>
      <c r="O90" s="200">
        <f>SUM(O91:O100)</f>
        <v>0</v>
      </c>
      <c r="P90" s="200">
        <f t="shared" ref="P90:S90" si="68">SUM(P91:P100)</f>
        <v>0</v>
      </c>
      <c r="Q90" s="200">
        <f t="shared" si="68"/>
        <v>0</v>
      </c>
      <c r="R90" s="200">
        <f t="shared" si="68"/>
        <v>0</v>
      </c>
      <c r="S90" s="200">
        <f t="shared" si="68"/>
        <v>0</v>
      </c>
      <c r="U90" s="198"/>
      <c r="W90" s="200">
        <f>SUM(W91:W100)</f>
        <v>0</v>
      </c>
      <c r="X90" s="200">
        <f t="shared" ref="X90:AA90" si="69">SUM(X91:X100)</f>
        <v>1</v>
      </c>
      <c r="Y90" s="200">
        <f t="shared" si="69"/>
        <v>1</v>
      </c>
      <c r="Z90" s="200">
        <f t="shared" si="69"/>
        <v>1</v>
      </c>
      <c r="AA90" s="200">
        <f t="shared" si="69"/>
        <v>1</v>
      </c>
    </row>
    <row r="91" spans="1:27">
      <c r="A91" s="192" t="s">
        <v>4823</v>
      </c>
      <c r="B91" s="61" t="s">
        <v>152</v>
      </c>
      <c r="C91" s="123">
        <v>1</v>
      </c>
      <c r="D91" s="58">
        <v>0</v>
      </c>
      <c r="E91" s="70">
        <v>200</v>
      </c>
      <c r="F91" s="51">
        <f>Demanda!J227</f>
        <v>0</v>
      </c>
      <c r="G91" s="51">
        <f>Demanda!K227</f>
        <v>0</v>
      </c>
      <c r="H91" s="51">
        <f>Demanda!L227</f>
        <v>0</v>
      </c>
      <c r="I91" s="51">
        <f>Demanda!M227</f>
        <v>0</v>
      </c>
      <c r="J91" s="51">
        <f>Demanda!N227</f>
        <v>0</v>
      </c>
      <c r="K91" s="51">
        <f>Demanda!O227</f>
        <v>0</v>
      </c>
      <c r="M91" s="61" t="str">
        <f t="shared" si="22"/>
        <v>Industrial - Consumidor Livre/Auto-importador/Autoprodutor</v>
      </c>
      <c r="N91" s="58"/>
      <c r="O91" s="51">
        <v>0</v>
      </c>
      <c r="P91" s="51">
        <v>0</v>
      </c>
      <c r="Q91" s="51">
        <v>0</v>
      </c>
      <c r="R91" s="51">
        <v>0</v>
      </c>
      <c r="S91" s="51">
        <v>0</v>
      </c>
      <c r="U91" s="61" t="str">
        <f>B91</f>
        <v>Industrial - Consumidor Livre/Auto-importador/Autoprodutor</v>
      </c>
      <c r="V91" s="58"/>
      <c r="W91" s="55">
        <f>G91</f>
        <v>0</v>
      </c>
      <c r="X91" s="55">
        <f t="shared" ref="X91:AA100" si="70">H91</f>
        <v>0</v>
      </c>
      <c r="Y91" s="55">
        <f t="shared" si="70"/>
        <v>0</v>
      </c>
      <c r="Z91" s="55">
        <f t="shared" si="70"/>
        <v>0</v>
      </c>
      <c r="AA91" s="55">
        <f t="shared" si="70"/>
        <v>0</v>
      </c>
    </row>
    <row r="92" spans="1:27">
      <c r="A92" s="192" t="s">
        <v>4824</v>
      </c>
      <c r="B92" s="61" t="s">
        <v>152</v>
      </c>
      <c r="C92" s="123">
        <v>2</v>
      </c>
      <c r="D92" s="51">
        <f>E91+1</f>
        <v>201</v>
      </c>
      <c r="E92" s="70">
        <v>2000</v>
      </c>
      <c r="F92" s="51">
        <f>Demanda!J228</f>
        <v>0</v>
      </c>
      <c r="G92" s="51">
        <f>Demanda!K228</f>
        <v>0</v>
      </c>
      <c r="H92" s="51">
        <f>Demanda!L228</f>
        <v>0</v>
      </c>
      <c r="I92" s="51">
        <f>Demanda!M228</f>
        <v>0</v>
      </c>
      <c r="J92" s="51">
        <f>Demanda!N228</f>
        <v>0</v>
      </c>
      <c r="K92" s="51">
        <f>Demanda!O228</f>
        <v>0</v>
      </c>
      <c r="M92" s="61" t="str">
        <f t="shared" si="22"/>
        <v>Industrial - Consumidor Livre/Auto-importador/Autoprodutor</v>
      </c>
      <c r="N92" s="58"/>
      <c r="O92" s="51">
        <v>0</v>
      </c>
      <c r="P92" s="51">
        <v>0</v>
      </c>
      <c r="Q92" s="51">
        <v>0</v>
      </c>
      <c r="R92" s="51">
        <v>0</v>
      </c>
      <c r="S92" s="51">
        <v>0</v>
      </c>
      <c r="U92" s="61" t="str">
        <f t="shared" ref="U92:U102" si="71">B92</f>
        <v>Industrial - Consumidor Livre/Auto-importador/Autoprodutor</v>
      </c>
      <c r="V92" s="58"/>
      <c r="W92" s="55">
        <f t="shared" ref="W92:W100" si="72">G92</f>
        <v>0</v>
      </c>
      <c r="X92" s="55">
        <f t="shared" si="70"/>
        <v>0</v>
      </c>
      <c r="Y92" s="55">
        <f t="shared" si="70"/>
        <v>0</v>
      </c>
      <c r="Z92" s="55">
        <f t="shared" si="70"/>
        <v>0</v>
      </c>
      <c r="AA92" s="55">
        <f t="shared" si="70"/>
        <v>0</v>
      </c>
    </row>
    <row r="93" spans="1:27">
      <c r="A93" s="192" t="s">
        <v>4825</v>
      </c>
      <c r="B93" s="61" t="s">
        <v>152</v>
      </c>
      <c r="C93" s="123">
        <v>3</v>
      </c>
      <c r="D93" s="51">
        <f t="shared" ref="D93:D100" si="73">E92+1</f>
        <v>2001</v>
      </c>
      <c r="E93" s="70">
        <v>10000</v>
      </c>
      <c r="F93" s="51">
        <f>Demanda!J229</f>
        <v>0</v>
      </c>
      <c r="G93" s="51">
        <f>Demanda!K229</f>
        <v>0</v>
      </c>
      <c r="H93" s="51">
        <f>Demanda!L229</f>
        <v>0</v>
      </c>
      <c r="I93" s="51">
        <f>Demanda!M229</f>
        <v>0</v>
      </c>
      <c r="J93" s="51">
        <f>Demanda!N229</f>
        <v>0</v>
      </c>
      <c r="K93" s="51">
        <f>Demanda!O229</f>
        <v>0</v>
      </c>
      <c r="M93" s="61" t="str">
        <f t="shared" si="22"/>
        <v>Industrial - Consumidor Livre/Auto-importador/Autoprodutor</v>
      </c>
      <c r="N93" s="58"/>
      <c r="O93" s="51">
        <v>0</v>
      </c>
      <c r="P93" s="51">
        <v>0</v>
      </c>
      <c r="Q93" s="51">
        <v>0</v>
      </c>
      <c r="R93" s="51">
        <v>0</v>
      </c>
      <c r="S93" s="51">
        <v>0</v>
      </c>
      <c r="U93" s="61" t="str">
        <f t="shared" si="71"/>
        <v>Industrial - Consumidor Livre/Auto-importador/Autoprodutor</v>
      </c>
      <c r="V93" s="58"/>
      <c r="W93" s="55">
        <f t="shared" si="72"/>
        <v>0</v>
      </c>
      <c r="X93" s="55">
        <f t="shared" si="70"/>
        <v>0</v>
      </c>
      <c r="Y93" s="55">
        <f t="shared" si="70"/>
        <v>0</v>
      </c>
      <c r="Z93" s="55">
        <f t="shared" si="70"/>
        <v>0</v>
      </c>
      <c r="AA93" s="55">
        <f t="shared" si="70"/>
        <v>0</v>
      </c>
    </row>
    <row r="94" spans="1:27">
      <c r="A94" s="192" t="s">
        <v>4826</v>
      </c>
      <c r="B94" s="61" t="s">
        <v>152</v>
      </c>
      <c r="C94" s="123">
        <v>4</v>
      </c>
      <c r="D94" s="51">
        <f t="shared" si="73"/>
        <v>10001</v>
      </c>
      <c r="E94" s="70">
        <v>50000</v>
      </c>
      <c r="F94" s="51">
        <f>Demanda!J230</f>
        <v>0</v>
      </c>
      <c r="G94" s="51">
        <f>Demanda!K230</f>
        <v>0</v>
      </c>
      <c r="H94" s="51">
        <f>Demanda!L230</f>
        <v>0</v>
      </c>
      <c r="I94" s="51">
        <f>Demanda!M230</f>
        <v>0</v>
      </c>
      <c r="J94" s="51">
        <f>Demanda!N230</f>
        <v>0</v>
      </c>
      <c r="K94" s="51">
        <f>Demanda!O230</f>
        <v>0</v>
      </c>
      <c r="M94" s="61" t="str">
        <f t="shared" si="22"/>
        <v>Industrial - Consumidor Livre/Auto-importador/Autoprodutor</v>
      </c>
      <c r="N94" s="58"/>
      <c r="O94" s="51">
        <v>0</v>
      </c>
      <c r="P94" s="51">
        <v>0</v>
      </c>
      <c r="Q94" s="51">
        <v>0</v>
      </c>
      <c r="R94" s="51">
        <v>0</v>
      </c>
      <c r="S94" s="51">
        <v>0</v>
      </c>
      <c r="U94" s="61" t="str">
        <f t="shared" si="71"/>
        <v>Industrial - Consumidor Livre/Auto-importador/Autoprodutor</v>
      </c>
      <c r="V94" s="58"/>
      <c r="W94" s="55">
        <f t="shared" si="72"/>
        <v>0</v>
      </c>
      <c r="X94" s="55">
        <f t="shared" si="70"/>
        <v>0</v>
      </c>
      <c r="Y94" s="55">
        <f t="shared" si="70"/>
        <v>0</v>
      </c>
      <c r="Z94" s="55">
        <f t="shared" si="70"/>
        <v>0</v>
      </c>
      <c r="AA94" s="55">
        <f t="shared" si="70"/>
        <v>0</v>
      </c>
    </row>
    <row r="95" spans="1:27">
      <c r="A95" s="192" t="s">
        <v>4827</v>
      </c>
      <c r="B95" s="61" t="s">
        <v>152</v>
      </c>
      <c r="C95" s="123">
        <v>5</v>
      </c>
      <c r="D95" s="51">
        <f t="shared" si="73"/>
        <v>50001</v>
      </c>
      <c r="E95" s="70">
        <v>100000</v>
      </c>
      <c r="F95" s="51">
        <f>Demanda!J231</f>
        <v>0</v>
      </c>
      <c r="G95" s="51">
        <f>Demanda!K231</f>
        <v>0</v>
      </c>
      <c r="H95" s="51">
        <f>Demanda!L231</f>
        <v>0</v>
      </c>
      <c r="I95" s="51">
        <f>Demanda!M231</f>
        <v>0</v>
      </c>
      <c r="J95" s="51">
        <f>Demanda!N231</f>
        <v>0</v>
      </c>
      <c r="K95" s="51">
        <f>Demanda!O231</f>
        <v>0</v>
      </c>
      <c r="M95" s="61" t="str">
        <f t="shared" si="22"/>
        <v>Industrial - Consumidor Livre/Auto-importador/Autoprodutor</v>
      </c>
      <c r="N95" s="58"/>
      <c r="O95" s="51">
        <v>0</v>
      </c>
      <c r="P95" s="51">
        <v>0</v>
      </c>
      <c r="Q95" s="51">
        <v>0</v>
      </c>
      <c r="R95" s="51">
        <v>0</v>
      </c>
      <c r="S95" s="51">
        <v>0</v>
      </c>
      <c r="U95" s="61" t="str">
        <f t="shared" si="71"/>
        <v>Industrial - Consumidor Livre/Auto-importador/Autoprodutor</v>
      </c>
      <c r="V95" s="58"/>
      <c r="W95" s="55">
        <f t="shared" si="72"/>
        <v>0</v>
      </c>
      <c r="X95" s="55">
        <f t="shared" si="70"/>
        <v>0</v>
      </c>
      <c r="Y95" s="55">
        <f t="shared" si="70"/>
        <v>0</v>
      </c>
      <c r="Z95" s="55">
        <f t="shared" si="70"/>
        <v>0</v>
      </c>
      <c r="AA95" s="55">
        <f t="shared" si="70"/>
        <v>0</v>
      </c>
    </row>
    <row r="96" spans="1:27">
      <c r="A96" s="192" t="s">
        <v>4828</v>
      </c>
      <c r="B96" s="61" t="s">
        <v>152</v>
      </c>
      <c r="C96" s="123">
        <v>6</v>
      </c>
      <c r="D96" s="51">
        <f t="shared" si="73"/>
        <v>100001</v>
      </c>
      <c r="E96" s="70">
        <v>300000</v>
      </c>
      <c r="F96" s="51">
        <f>Demanda!J232</f>
        <v>0</v>
      </c>
      <c r="G96" s="51">
        <f>Demanda!K232</f>
        <v>0</v>
      </c>
      <c r="H96" s="51">
        <f>Demanda!L232</f>
        <v>0</v>
      </c>
      <c r="I96" s="51">
        <f>Demanda!M232</f>
        <v>0</v>
      </c>
      <c r="J96" s="51">
        <f>Demanda!N232</f>
        <v>0</v>
      </c>
      <c r="K96" s="51">
        <f>Demanda!O232</f>
        <v>0</v>
      </c>
      <c r="M96" s="61" t="str">
        <f t="shared" si="22"/>
        <v>Industrial - Consumidor Livre/Auto-importador/Autoprodutor</v>
      </c>
      <c r="N96" s="58"/>
      <c r="O96" s="51">
        <v>0</v>
      </c>
      <c r="P96" s="51">
        <v>0</v>
      </c>
      <c r="Q96" s="51">
        <v>0</v>
      </c>
      <c r="R96" s="51">
        <v>0</v>
      </c>
      <c r="S96" s="51">
        <v>0</v>
      </c>
      <c r="U96" s="61" t="str">
        <f t="shared" si="71"/>
        <v>Industrial - Consumidor Livre/Auto-importador/Autoprodutor</v>
      </c>
      <c r="V96" s="58"/>
      <c r="W96" s="55">
        <f t="shared" si="72"/>
        <v>0</v>
      </c>
      <c r="X96" s="55">
        <f t="shared" si="70"/>
        <v>0</v>
      </c>
      <c r="Y96" s="55">
        <f t="shared" si="70"/>
        <v>0</v>
      </c>
      <c r="Z96" s="55">
        <f t="shared" si="70"/>
        <v>0</v>
      </c>
      <c r="AA96" s="55">
        <f t="shared" si="70"/>
        <v>0</v>
      </c>
    </row>
    <row r="97" spans="1:30">
      <c r="A97" s="192" t="s">
        <v>4829</v>
      </c>
      <c r="B97" s="61" t="s">
        <v>152</v>
      </c>
      <c r="C97" s="123">
        <v>7</v>
      </c>
      <c r="D97" s="51">
        <f t="shared" si="73"/>
        <v>300001</v>
      </c>
      <c r="E97" s="70">
        <v>600000</v>
      </c>
      <c r="F97" s="51">
        <f>Demanda!J233</f>
        <v>0</v>
      </c>
      <c r="G97" s="51">
        <f>Demanda!K233</f>
        <v>0</v>
      </c>
      <c r="H97" s="51">
        <f>Demanda!L233</f>
        <v>0</v>
      </c>
      <c r="I97" s="51">
        <f>Demanda!M233</f>
        <v>0</v>
      </c>
      <c r="J97" s="51">
        <f>Demanda!N233</f>
        <v>0</v>
      </c>
      <c r="K97" s="51">
        <f>Demanda!O233</f>
        <v>0</v>
      </c>
      <c r="M97" s="61" t="str">
        <f t="shared" si="22"/>
        <v>Industrial - Consumidor Livre/Auto-importador/Autoprodutor</v>
      </c>
      <c r="N97" s="58"/>
      <c r="O97" s="51">
        <v>0</v>
      </c>
      <c r="P97" s="51">
        <v>0</v>
      </c>
      <c r="Q97" s="51">
        <v>0</v>
      </c>
      <c r="R97" s="51">
        <v>0</v>
      </c>
      <c r="S97" s="51">
        <v>0</v>
      </c>
      <c r="U97" s="61" t="str">
        <f t="shared" si="71"/>
        <v>Industrial - Consumidor Livre/Auto-importador/Autoprodutor</v>
      </c>
      <c r="V97" s="58"/>
      <c r="W97" s="55">
        <f t="shared" si="72"/>
        <v>0</v>
      </c>
      <c r="X97" s="55">
        <f t="shared" si="70"/>
        <v>0</v>
      </c>
      <c r="Y97" s="55">
        <f t="shared" si="70"/>
        <v>0</v>
      </c>
      <c r="Z97" s="55">
        <f t="shared" si="70"/>
        <v>0</v>
      </c>
      <c r="AA97" s="55">
        <f t="shared" si="70"/>
        <v>0</v>
      </c>
    </row>
    <row r="98" spans="1:30">
      <c r="A98" s="192" t="s">
        <v>4830</v>
      </c>
      <c r="B98" s="61" t="s">
        <v>152</v>
      </c>
      <c r="C98" s="123">
        <v>8</v>
      </c>
      <c r="D98" s="51">
        <f t="shared" si="73"/>
        <v>600001</v>
      </c>
      <c r="E98" s="70">
        <v>1500000</v>
      </c>
      <c r="F98" s="51">
        <f>Demanda!J234</f>
        <v>0</v>
      </c>
      <c r="G98" s="51">
        <f>Demanda!K234</f>
        <v>0</v>
      </c>
      <c r="H98" s="51">
        <f>Demanda!L234</f>
        <v>0</v>
      </c>
      <c r="I98" s="51">
        <f>Demanda!M234</f>
        <v>0</v>
      </c>
      <c r="J98" s="51">
        <f>Demanda!N234</f>
        <v>0</v>
      </c>
      <c r="K98" s="51">
        <f>Demanda!O234</f>
        <v>0</v>
      </c>
      <c r="M98" s="61" t="str">
        <f t="shared" si="22"/>
        <v>Industrial - Consumidor Livre/Auto-importador/Autoprodutor</v>
      </c>
      <c r="N98" s="58"/>
      <c r="O98" s="51">
        <v>0</v>
      </c>
      <c r="P98" s="51">
        <v>0</v>
      </c>
      <c r="Q98" s="51">
        <v>0</v>
      </c>
      <c r="R98" s="51">
        <v>0</v>
      </c>
      <c r="S98" s="51">
        <v>0</v>
      </c>
      <c r="U98" s="61" t="str">
        <f t="shared" si="71"/>
        <v>Industrial - Consumidor Livre/Auto-importador/Autoprodutor</v>
      </c>
      <c r="V98" s="58"/>
      <c r="W98" s="55">
        <f t="shared" si="72"/>
        <v>0</v>
      </c>
      <c r="X98" s="55">
        <f t="shared" si="70"/>
        <v>0</v>
      </c>
      <c r="Y98" s="55">
        <f t="shared" si="70"/>
        <v>0</v>
      </c>
      <c r="Z98" s="55">
        <f t="shared" si="70"/>
        <v>0</v>
      </c>
      <c r="AA98" s="55">
        <f t="shared" si="70"/>
        <v>0</v>
      </c>
    </row>
    <row r="99" spans="1:30">
      <c r="A99" s="192" t="s">
        <v>4831</v>
      </c>
      <c r="B99" s="61" t="s">
        <v>152</v>
      </c>
      <c r="C99" s="123">
        <v>9</v>
      </c>
      <c r="D99" s="51">
        <f t="shared" si="73"/>
        <v>1500001</v>
      </c>
      <c r="E99" s="70">
        <v>3000000</v>
      </c>
      <c r="F99" s="51">
        <f>Demanda!J235</f>
        <v>0</v>
      </c>
      <c r="G99" s="51">
        <f>Demanda!K235</f>
        <v>0</v>
      </c>
      <c r="H99" s="51">
        <f>Demanda!L235</f>
        <v>1</v>
      </c>
      <c r="I99" s="51">
        <f>Demanda!M235</f>
        <v>1</v>
      </c>
      <c r="J99" s="51">
        <f>Demanda!N235</f>
        <v>1</v>
      </c>
      <c r="K99" s="51">
        <f>Demanda!O235</f>
        <v>1</v>
      </c>
      <c r="M99" s="61" t="str">
        <f t="shared" si="22"/>
        <v>Industrial - Consumidor Livre/Auto-importador/Autoprodutor</v>
      </c>
      <c r="N99" s="204"/>
      <c r="O99" s="51">
        <v>0</v>
      </c>
      <c r="P99" s="51">
        <v>0</v>
      </c>
      <c r="Q99" s="51">
        <v>0</v>
      </c>
      <c r="R99" s="51">
        <v>0</v>
      </c>
      <c r="S99" s="51">
        <v>0</v>
      </c>
      <c r="U99" s="61" t="str">
        <f t="shared" si="71"/>
        <v>Industrial - Consumidor Livre/Auto-importador/Autoprodutor</v>
      </c>
      <c r="V99" s="204"/>
      <c r="W99" s="55">
        <f t="shared" si="72"/>
        <v>0</v>
      </c>
      <c r="X99" s="55">
        <f t="shared" si="70"/>
        <v>1</v>
      </c>
      <c r="Y99" s="55">
        <f t="shared" si="70"/>
        <v>1</v>
      </c>
      <c r="Z99" s="55">
        <f t="shared" si="70"/>
        <v>1</v>
      </c>
      <c r="AA99" s="55">
        <f t="shared" si="70"/>
        <v>1</v>
      </c>
    </row>
    <row r="100" spans="1:30">
      <c r="A100" s="192" t="s">
        <v>4832</v>
      </c>
      <c r="B100" s="61" t="s">
        <v>152</v>
      </c>
      <c r="C100" s="123">
        <v>10</v>
      </c>
      <c r="D100" s="51">
        <f t="shared" si="73"/>
        <v>3000001</v>
      </c>
      <c r="E100" s="51">
        <v>999999999</v>
      </c>
      <c r="F100" s="51">
        <f>Demanda!J236</f>
        <v>0</v>
      </c>
      <c r="G100" s="51">
        <f>Demanda!K236</f>
        <v>0</v>
      </c>
      <c r="H100" s="51">
        <f>Demanda!L236</f>
        <v>0</v>
      </c>
      <c r="I100" s="51">
        <f>Demanda!M236</f>
        <v>0</v>
      </c>
      <c r="J100" s="51">
        <f>Demanda!N236</f>
        <v>0</v>
      </c>
      <c r="K100" s="51">
        <f>Demanda!O236</f>
        <v>0</v>
      </c>
      <c r="M100" s="61" t="str">
        <f t="shared" si="22"/>
        <v>Industrial - Consumidor Livre/Auto-importador/Autoprodutor</v>
      </c>
      <c r="N100" s="204"/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U100" s="61" t="str">
        <f t="shared" si="71"/>
        <v>Industrial - Consumidor Livre/Auto-importador/Autoprodutor</v>
      </c>
      <c r="V100" s="204"/>
      <c r="W100" s="55">
        <f t="shared" si="72"/>
        <v>0</v>
      </c>
      <c r="X100" s="55">
        <f t="shared" si="70"/>
        <v>0</v>
      </c>
      <c r="Y100" s="55">
        <f t="shared" si="70"/>
        <v>0</v>
      </c>
      <c r="Z100" s="55">
        <f t="shared" si="70"/>
        <v>0</v>
      </c>
      <c r="AA100" s="55">
        <f t="shared" si="70"/>
        <v>0</v>
      </c>
    </row>
    <row r="101" spans="1:30" ht="13.9" customHeight="1">
      <c r="B101" s="197"/>
      <c r="C101" s="202"/>
      <c r="D101" s="198"/>
      <c r="E101" s="198"/>
      <c r="F101" s="200">
        <f>SUM(F102)</f>
        <v>0</v>
      </c>
      <c r="G101" s="200">
        <f t="shared" ref="G101:K101" si="74">SUM(G102)</f>
        <v>0</v>
      </c>
      <c r="H101" s="200">
        <f t="shared" si="74"/>
        <v>0</v>
      </c>
      <c r="I101" s="200">
        <f t="shared" si="74"/>
        <v>0</v>
      </c>
      <c r="J101" s="200">
        <f t="shared" si="74"/>
        <v>0</v>
      </c>
      <c r="K101" s="200">
        <f t="shared" si="74"/>
        <v>0</v>
      </c>
      <c r="M101" s="197"/>
      <c r="O101" s="200">
        <f>SUM(O102:O154)</f>
        <v>4</v>
      </c>
      <c r="P101" s="200">
        <f>SUM(P102:P154)</f>
        <v>4</v>
      </c>
      <c r="Q101" s="200">
        <f>SUM(Q102:Q154)</f>
        <v>4</v>
      </c>
      <c r="R101" s="200">
        <f>SUM(R102:R154)</f>
        <v>4</v>
      </c>
      <c r="S101" s="200">
        <f>SUM(S102:S154)</f>
        <v>4</v>
      </c>
      <c r="U101" s="197"/>
      <c r="W101" s="200">
        <f>SUM(W102:W154)</f>
        <v>0</v>
      </c>
      <c r="X101" s="200">
        <f>SUM(X102:X154)</f>
        <v>0</v>
      </c>
      <c r="Y101" s="200">
        <f>SUM(Y102:Y154)</f>
        <v>0</v>
      </c>
      <c r="Z101" s="200">
        <f>SUM(Z102:Z154)</f>
        <v>0</v>
      </c>
      <c r="AA101" s="200">
        <f>SUM(AA102:AA154)</f>
        <v>0</v>
      </c>
    </row>
    <row r="102" spans="1:30">
      <c r="A102" s="192" t="s">
        <v>4833</v>
      </c>
      <c r="B102" s="61" t="s">
        <v>4636</v>
      </c>
      <c r="C102" s="123">
        <v>1</v>
      </c>
      <c r="D102" s="58">
        <v>0</v>
      </c>
      <c r="E102" s="51">
        <v>999999999</v>
      </c>
      <c r="F102" s="201">
        <f>Demanda!J237</f>
        <v>0</v>
      </c>
      <c r="G102" s="201">
        <f>Demanda!K237</f>
        <v>0</v>
      </c>
      <c r="H102" s="201">
        <f>Demanda!L237</f>
        <v>0</v>
      </c>
      <c r="I102" s="201">
        <f>Demanda!M237</f>
        <v>0</v>
      </c>
      <c r="J102" s="201">
        <f>Demanda!N237</f>
        <v>0</v>
      </c>
      <c r="K102" s="201">
        <f>Demanda!O237</f>
        <v>0</v>
      </c>
      <c r="M102" s="61" t="str">
        <f t="shared" si="22"/>
        <v>Petroquímico - CL, AI, AP</v>
      </c>
      <c r="O102" s="55">
        <f>G102-W102</f>
        <v>0</v>
      </c>
      <c r="P102" s="55">
        <f>H102-X102</f>
        <v>0</v>
      </c>
      <c r="Q102" s="55">
        <f>I102-Y102</f>
        <v>0</v>
      </c>
      <c r="R102" s="55">
        <f>J102-Z102</f>
        <v>0</v>
      </c>
      <c r="S102" s="55">
        <f>K102-AA102</f>
        <v>0</v>
      </c>
      <c r="U102" s="61" t="str">
        <f t="shared" si="71"/>
        <v>Petroquímico - CL, AI, AP</v>
      </c>
      <c r="W102" s="55">
        <f>G102</f>
        <v>0</v>
      </c>
      <c r="X102" s="55">
        <f>H102</f>
        <v>0</v>
      </c>
      <c r="Y102" s="55">
        <f>I102</f>
        <v>0</v>
      </c>
      <c r="Z102" s="55">
        <f>J102</f>
        <v>0</v>
      </c>
      <c r="AA102" s="55">
        <f>K102</f>
        <v>0</v>
      </c>
    </row>
    <row r="103" spans="1:30">
      <c r="B103" s="198"/>
      <c r="C103" s="202"/>
      <c r="D103" s="198"/>
      <c r="E103" s="198"/>
      <c r="F103" s="199">
        <f>SUM(F104:F113)</f>
        <v>2</v>
      </c>
      <c r="G103" s="199">
        <f t="shared" ref="G103:K103" si="75">SUM(G104:G113)</f>
        <v>2</v>
      </c>
      <c r="H103" s="199">
        <f t="shared" si="75"/>
        <v>2</v>
      </c>
      <c r="I103" s="199">
        <f t="shared" si="75"/>
        <v>2</v>
      </c>
      <c r="J103" s="199">
        <f t="shared" si="75"/>
        <v>2</v>
      </c>
      <c r="K103" s="199">
        <f t="shared" si="75"/>
        <v>2</v>
      </c>
      <c r="M103" s="198"/>
      <c r="O103" s="199">
        <f>SUM(O104:O113)</f>
        <v>2</v>
      </c>
      <c r="P103" s="199">
        <f t="shared" ref="P103:S103" si="76">SUM(P104:P113)</f>
        <v>2</v>
      </c>
      <c r="Q103" s="199">
        <f t="shared" si="76"/>
        <v>2</v>
      </c>
      <c r="R103" s="199">
        <f t="shared" si="76"/>
        <v>2</v>
      </c>
      <c r="S103" s="199">
        <f t="shared" si="76"/>
        <v>2</v>
      </c>
      <c r="U103" s="198"/>
      <c r="W103" s="199">
        <f>SUM(W104:W113)</f>
        <v>0</v>
      </c>
      <c r="X103" s="199">
        <f t="shared" ref="X103:AA103" si="77">SUM(X104:X113)</f>
        <v>0</v>
      </c>
      <c r="Y103" s="199">
        <f t="shared" si="77"/>
        <v>0</v>
      </c>
      <c r="Z103" s="199">
        <f t="shared" si="77"/>
        <v>0</v>
      </c>
      <c r="AA103" s="199">
        <f t="shared" si="77"/>
        <v>0</v>
      </c>
      <c r="AD103" s="58">
        <f>NPV(Inputs!$C$6,Mercado!G103:J103)+(Mercado!K103*Inputs!$C$11)/(1+Inputs!$C$6)^(4.55)</f>
        <v>42298.357676107611</v>
      </c>
    </row>
    <row r="104" spans="1:30">
      <c r="A104" s="192" t="s">
        <v>4834</v>
      </c>
      <c r="B104" s="61" t="s">
        <v>4835</v>
      </c>
      <c r="C104" s="123">
        <v>1</v>
      </c>
      <c r="D104" s="58">
        <v>0</v>
      </c>
      <c r="E104" s="70">
        <v>200</v>
      </c>
      <c r="F104" s="312">
        <f>Demanda!J196</f>
        <v>0</v>
      </c>
      <c r="G104" s="312">
        <f>Demanda!K196</f>
        <v>0</v>
      </c>
      <c r="H104" s="312">
        <f>Demanda!L196</f>
        <v>0</v>
      </c>
      <c r="I104" s="312">
        <f>Demanda!M196</f>
        <v>0</v>
      </c>
      <c r="J104" s="312">
        <f>Demanda!N196</f>
        <v>0</v>
      </c>
      <c r="K104" s="312">
        <f>Demanda!O196</f>
        <v>0</v>
      </c>
      <c r="M104" s="61" t="s">
        <v>4835</v>
      </c>
      <c r="O104" s="312">
        <f>G104</f>
        <v>0</v>
      </c>
      <c r="P104" s="312">
        <f t="shared" ref="P104:S113" si="78">H104</f>
        <v>0</v>
      </c>
      <c r="Q104" s="312">
        <f t="shared" si="78"/>
        <v>0</v>
      </c>
      <c r="R104" s="312">
        <f t="shared" si="78"/>
        <v>0</v>
      </c>
      <c r="S104" s="312">
        <f t="shared" si="78"/>
        <v>0</v>
      </c>
      <c r="U104" s="61" t="s">
        <v>4835</v>
      </c>
      <c r="W104" s="312"/>
      <c r="X104" s="312"/>
      <c r="Y104" s="312"/>
      <c r="Z104" s="312"/>
      <c r="AA104" s="312"/>
      <c r="AD104" s="58">
        <f>NPV(Inputs!$C$6,Mercado!G104:J104)+(Mercado!K104*Inputs!$C$11)/(1+Inputs!$C$6)^(4.55)</f>
        <v>17.369863669040907</v>
      </c>
    </row>
    <row r="105" spans="1:30">
      <c r="A105" s="192" t="s">
        <v>4836</v>
      </c>
      <c r="B105" s="61" t="s">
        <v>4835</v>
      </c>
      <c r="C105" s="123">
        <v>2</v>
      </c>
      <c r="D105" s="51">
        <f>E104+1</f>
        <v>201</v>
      </c>
      <c r="E105" s="70">
        <v>2000</v>
      </c>
      <c r="F105" s="312">
        <f>Demanda!J197</f>
        <v>0</v>
      </c>
      <c r="G105" s="312">
        <f>Demanda!K197</f>
        <v>0</v>
      </c>
      <c r="H105" s="312">
        <f>Demanda!L197</f>
        <v>0</v>
      </c>
      <c r="I105" s="312">
        <f>Demanda!M197</f>
        <v>0</v>
      </c>
      <c r="J105" s="312">
        <f>Demanda!N197</f>
        <v>0</v>
      </c>
      <c r="K105" s="312">
        <f>Demanda!O197</f>
        <v>0</v>
      </c>
      <c r="M105" s="61" t="s">
        <v>4835</v>
      </c>
      <c r="O105" s="312">
        <f t="shared" ref="O105:O113" si="79">G105</f>
        <v>0</v>
      </c>
      <c r="P105" s="312">
        <f t="shared" si="78"/>
        <v>0</v>
      </c>
      <c r="Q105" s="312">
        <f t="shared" si="78"/>
        <v>0</v>
      </c>
      <c r="R105" s="312">
        <f t="shared" si="78"/>
        <v>0</v>
      </c>
      <c r="S105" s="312">
        <f t="shared" si="78"/>
        <v>0</v>
      </c>
      <c r="U105" s="61" t="s">
        <v>4835</v>
      </c>
      <c r="W105" s="312"/>
      <c r="X105" s="312"/>
      <c r="Y105" s="312"/>
      <c r="Z105" s="312"/>
      <c r="AA105" s="312"/>
      <c r="AD105" s="58">
        <f>NPV(Inputs!$C$6,Mercado!G105:J105)+(Mercado!K105*Inputs!$C$11)/(1+Inputs!$C$6)^(4.55)</f>
        <v>156.32877302136819</v>
      </c>
    </row>
    <row r="106" spans="1:30">
      <c r="A106" s="192" t="s">
        <v>4837</v>
      </c>
      <c r="B106" s="61" t="s">
        <v>4835</v>
      </c>
      <c r="C106" s="123">
        <v>3</v>
      </c>
      <c r="D106" s="51">
        <f t="shared" ref="D106:D113" si="80">E105+1</f>
        <v>2001</v>
      </c>
      <c r="E106" s="70">
        <v>10000</v>
      </c>
      <c r="F106" s="312">
        <f>Demanda!J198</f>
        <v>0</v>
      </c>
      <c r="G106" s="312">
        <f>Demanda!K198</f>
        <v>0</v>
      </c>
      <c r="H106" s="312">
        <f>Demanda!L198</f>
        <v>0</v>
      </c>
      <c r="I106" s="312">
        <f>Demanda!M198</f>
        <v>0</v>
      </c>
      <c r="J106" s="312">
        <f>Demanda!N198</f>
        <v>0</v>
      </c>
      <c r="K106" s="312">
        <f>Demanda!O198</f>
        <v>0</v>
      </c>
      <c r="M106" s="61" t="s">
        <v>4835</v>
      </c>
      <c r="O106" s="312">
        <f t="shared" si="79"/>
        <v>0</v>
      </c>
      <c r="P106" s="312">
        <f t="shared" si="78"/>
        <v>0</v>
      </c>
      <c r="Q106" s="312">
        <f t="shared" si="78"/>
        <v>0</v>
      </c>
      <c r="R106" s="312">
        <f t="shared" si="78"/>
        <v>0</v>
      </c>
      <c r="S106" s="312">
        <f t="shared" si="78"/>
        <v>0</v>
      </c>
      <c r="U106" s="61" t="s">
        <v>4835</v>
      </c>
      <c r="W106" s="312"/>
      <c r="X106" s="312"/>
      <c r="Y106" s="312"/>
      <c r="Z106" s="312"/>
      <c r="AA106" s="312"/>
      <c r="AD106" s="58">
        <f>NPV(Inputs!$C$6,Mercado!G106:J106)+(Mercado!K106*Inputs!$C$11)/(1+Inputs!$C$6)^(4.55)</f>
        <v>694.79454676163641</v>
      </c>
    </row>
    <row r="107" spans="1:30">
      <c r="A107" s="192" t="s">
        <v>4838</v>
      </c>
      <c r="B107" s="61" t="s">
        <v>4835</v>
      </c>
      <c r="C107" s="123">
        <v>4</v>
      </c>
      <c r="D107" s="51">
        <f t="shared" si="80"/>
        <v>10001</v>
      </c>
      <c r="E107" s="70">
        <v>50000</v>
      </c>
      <c r="F107" s="312">
        <f>Demanda!J199</f>
        <v>1</v>
      </c>
      <c r="G107" s="312">
        <f>Demanda!K199</f>
        <v>1</v>
      </c>
      <c r="H107" s="312">
        <f>Demanda!L199</f>
        <v>1</v>
      </c>
      <c r="I107" s="312">
        <f>Demanda!M199</f>
        <v>1</v>
      </c>
      <c r="J107" s="312">
        <f>Demanda!N199</f>
        <v>1</v>
      </c>
      <c r="K107" s="312">
        <f>Demanda!O199</f>
        <v>1</v>
      </c>
      <c r="M107" s="61" t="s">
        <v>4835</v>
      </c>
      <c r="O107" s="312">
        <f t="shared" si="79"/>
        <v>1</v>
      </c>
      <c r="P107" s="312">
        <f t="shared" si="78"/>
        <v>1</v>
      </c>
      <c r="Q107" s="312">
        <f t="shared" si="78"/>
        <v>1</v>
      </c>
      <c r="R107" s="312">
        <f t="shared" si="78"/>
        <v>1</v>
      </c>
      <c r="S107" s="312">
        <f t="shared" si="78"/>
        <v>1</v>
      </c>
      <c r="U107" s="61" t="s">
        <v>4835</v>
      </c>
      <c r="W107" s="312"/>
      <c r="X107" s="312"/>
      <c r="Y107" s="312"/>
      <c r="Z107" s="312"/>
      <c r="AA107" s="312"/>
      <c r="AD107" s="58">
        <f>NPV(Inputs!$C$6,Mercado!G107:J107)+(Mercado!K107*Inputs!$C$11)/(1+Inputs!$C$6)^(4.55)</f>
        <v>3473.9727338081821</v>
      </c>
    </row>
    <row r="108" spans="1:30">
      <c r="A108" s="192" t="s">
        <v>4839</v>
      </c>
      <c r="B108" s="61" t="s">
        <v>4835</v>
      </c>
      <c r="C108" s="123">
        <v>5</v>
      </c>
      <c r="D108" s="51">
        <f t="shared" si="80"/>
        <v>50001</v>
      </c>
      <c r="E108" s="70">
        <v>100000</v>
      </c>
      <c r="F108" s="312">
        <f>Demanda!J200</f>
        <v>0</v>
      </c>
      <c r="G108" s="312">
        <f>Demanda!K200</f>
        <v>0</v>
      </c>
      <c r="H108" s="312">
        <f>Demanda!L200</f>
        <v>0</v>
      </c>
      <c r="I108" s="312">
        <f>Demanda!M200</f>
        <v>0</v>
      </c>
      <c r="J108" s="312">
        <f>Demanda!N200</f>
        <v>0</v>
      </c>
      <c r="K108" s="312">
        <f>Demanda!O200</f>
        <v>0</v>
      </c>
      <c r="M108" s="61" t="s">
        <v>4835</v>
      </c>
      <c r="O108" s="312">
        <f t="shared" si="79"/>
        <v>0</v>
      </c>
      <c r="P108" s="312">
        <f t="shared" si="78"/>
        <v>0</v>
      </c>
      <c r="Q108" s="312">
        <f t="shared" si="78"/>
        <v>0</v>
      </c>
      <c r="R108" s="312">
        <f t="shared" si="78"/>
        <v>0</v>
      </c>
      <c r="S108" s="312">
        <f t="shared" si="78"/>
        <v>0</v>
      </c>
      <c r="U108" s="61" t="s">
        <v>4835</v>
      </c>
      <c r="W108" s="312"/>
      <c r="X108" s="312"/>
      <c r="Y108" s="312"/>
      <c r="Z108" s="312"/>
      <c r="AA108" s="312"/>
      <c r="AD108" s="58">
        <f>NPV(Inputs!$C$6,Mercado!G108:J108)+(Mercado!K108*Inputs!$C$11)/(1+Inputs!$C$6)^(4.55)</f>
        <v>4342.4659172602278</v>
      </c>
    </row>
    <row r="109" spans="1:30">
      <c r="A109" s="192" t="s">
        <v>4840</v>
      </c>
      <c r="B109" s="61" t="s">
        <v>4835</v>
      </c>
      <c r="C109" s="123">
        <v>6</v>
      </c>
      <c r="D109" s="51">
        <f t="shared" si="80"/>
        <v>100001</v>
      </c>
      <c r="E109" s="70">
        <v>300000</v>
      </c>
      <c r="F109" s="312">
        <f>Demanda!J201</f>
        <v>0</v>
      </c>
      <c r="G109" s="312">
        <f>Demanda!K201</f>
        <v>0</v>
      </c>
      <c r="H109" s="312">
        <f>Demanda!L201</f>
        <v>0</v>
      </c>
      <c r="I109" s="312">
        <f>Demanda!M201</f>
        <v>0</v>
      </c>
      <c r="J109" s="312">
        <f>Demanda!N201</f>
        <v>0</v>
      </c>
      <c r="K109" s="312">
        <f>Demanda!O201</f>
        <v>0</v>
      </c>
      <c r="M109" s="61" t="s">
        <v>4835</v>
      </c>
      <c r="O109" s="312">
        <f t="shared" si="79"/>
        <v>0</v>
      </c>
      <c r="P109" s="312">
        <f t="shared" si="78"/>
        <v>0</v>
      </c>
      <c r="Q109" s="312">
        <f t="shared" si="78"/>
        <v>0</v>
      </c>
      <c r="R109" s="312">
        <f t="shared" si="78"/>
        <v>0</v>
      </c>
      <c r="S109" s="312">
        <f t="shared" si="78"/>
        <v>0</v>
      </c>
      <c r="U109" s="61" t="s">
        <v>4835</v>
      </c>
      <c r="W109" s="312"/>
      <c r="X109" s="312"/>
      <c r="Y109" s="312"/>
      <c r="Z109" s="312"/>
      <c r="AA109" s="312"/>
      <c r="AD109" s="58">
        <f>NPV(Inputs!$C$6,Mercado!G109:J109)+(Mercado!K109*Inputs!$C$11)/(1+Inputs!$C$6)^(4.55)</f>
        <v>17369.863669040911</v>
      </c>
    </row>
    <row r="110" spans="1:30">
      <c r="A110" s="192" t="s">
        <v>4841</v>
      </c>
      <c r="B110" s="61" t="s">
        <v>4835</v>
      </c>
      <c r="C110" s="123">
        <v>7</v>
      </c>
      <c r="D110" s="51">
        <f t="shared" si="80"/>
        <v>300001</v>
      </c>
      <c r="E110" s="70">
        <v>600000</v>
      </c>
      <c r="F110" s="312">
        <f>Demanda!J202</f>
        <v>0</v>
      </c>
      <c r="G110" s="312">
        <f>Demanda!K202</f>
        <v>0</v>
      </c>
      <c r="H110" s="312">
        <f>Demanda!L202</f>
        <v>0</v>
      </c>
      <c r="I110" s="312">
        <f>Demanda!M202</f>
        <v>0</v>
      </c>
      <c r="J110" s="312">
        <f>Demanda!N202</f>
        <v>0</v>
      </c>
      <c r="K110" s="312">
        <f>Demanda!O202</f>
        <v>0</v>
      </c>
      <c r="M110" s="61" t="s">
        <v>4835</v>
      </c>
      <c r="O110" s="312">
        <f t="shared" si="79"/>
        <v>0</v>
      </c>
      <c r="P110" s="312">
        <f t="shared" si="78"/>
        <v>0</v>
      </c>
      <c r="Q110" s="312">
        <f t="shared" si="78"/>
        <v>0</v>
      </c>
      <c r="R110" s="312">
        <f t="shared" si="78"/>
        <v>0</v>
      </c>
      <c r="S110" s="312">
        <f t="shared" si="78"/>
        <v>0</v>
      </c>
      <c r="U110" s="61" t="s">
        <v>4835</v>
      </c>
      <c r="W110" s="312"/>
      <c r="X110" s="312"/>
      <c r="Y110" s="312"/>
      <c r="Z110" s="312"/>
      <c r="AA110" s="312"/>
      <c r="AD110" s="58">
        <f>NPV(Inputs!$C$6,Mercado!G110:J110)+(Mercado!K110*Inputs!$C$11)/(1+Inputs!$C$6)^(4.55)</f>
        <v>1276.355083566237</v>
      </c>
    </row>
    <row r="111" spans="1:30">
      <c r="A111" s="192" t="s">
        <v>4842</v>
      </c>
      <c r="B111" s="61" t="s">
        <v>4835</v>
      </c>
      <c r="C111" s="123">
        <v>8</v>
      </c>
      <c r="D111" s="51">
        <f t="shared" si="80"/>
        <v>600001</v>
      </c>
      <c r="E111" s="70">
        <v>1500000</v>
      </c>
      <c r="F111" s="312">
        <f>Demanda!J203</f>
        <v>1</v>
      </c>
      <c r="G111" s="312">
        <f>Demanda!K203</f>
        <v>1</v>
      </c>
      <c r="H111" s="312">
        <f>Demanda!L203</f>
        <v>1</v>
      </c>
      <c r="I111" s="312">
        <f>Demanda!M203</f>
        <v>1</v>
      </c>
      <c r="J111" s="312">
        <f>Demanda!N203</f>
        <v>1</v>
      </c>
      <c r="K111" s="312">
        <f>Demanda!O203</f>
        <v>1</v>
      </c>
      <c r="M111" s="61" t="s">
        <v>4835</v>
      </c>
      <c r="O111" s="312">
        <f t="shared" si="79"/>
        <v>1</v>
      </c>
      <c r="P111" s="312">
        <f t="shared" si="78"/>
        <v>1</v>
      </c>
      <c r="Q111" s="312">
        <f t="shared" si="78"/>
        <v>1</v>
      </c>
      <c r="R111" s="312">
        <f t="shared" si="78"/>
        <v>1</v>
      </c>
      <c r="S111" s="312">
        <f t="shared" si="78"/>
        <v>1</v>
      </c>
      <c r="U111" s="61" t="s">
        <v>4835</v>
      </c>
      <c r="W111" s="312"/>
      <c r="X111" s="312"/>
      <c r="Y111" s="312"/>
      <c r="Z111" s="312"/>
      <c r="AA111" s="312"/>
      <c r="AD111" s="58">
        <f>NPV(Inputs!$C$6,Mercado!G111:J111)+(Mercado!K111*Inputs!$C$11)/(1+Inputs!$C$6)^(4.55)</f>
        <v>14967.207088980014</v>
      </c>
    </row>
    <row r="112" spans="1:30">
      <c r="A112" s="192" t="s">
        <v>4843</v>
      </c>
      <c r="B112" s="61" t="s">
        <v>4835</v>
      </c>
      <c r="C112" s="123">
        <v>9</v>
      </c>
      <c r="D112" s="51">
        <f t="shared" si="80"/>
        <v>1500001</v>
      </c>
      <c r="E112" s="70">
        <v>3000000</v>
      </c>
      <c r="F112" s="312">
        <f>Demanda!J204</f>
        <v>0</v>
      </c>
      <c r="G112" s="312">
        <f>Demanda!K204</f>
        <v>0</v>
      </c>
      <c r="H112" s="312">
        <f>Demanda!L204</f>
        <v>0</v>
      </c>
      <c r="I112" s="312">
        <f>Demanda!M204</f>
        <v>0</v>
      </c>
      <c r="J112" s="312">
        <f>Demanda!N204</f>
        <v>0</v>
      </c>
      <c r="K112" s="312">
        <f>Demanda!O204</f>
        <v>0</v>
      </c>
      <c r="M112" s="61" t="s">
        <v>4835</v>
      </c>
      <c r="O112" s="312">
        <f t="shared" si="79"/>
        <v>0</v>
      </c>
      <c r="P112" s="312">
        <f t="shared" si="78"/>
        <v>0</v>
      </c>
      <c r="Q112" s="312">
        <f t="shared" si="78"/>
        <v>0</v>
      </c>
      <c r="R112" s="312">
        <f t="shared" si="78"/>
        <v>0</v>
      </c>
      <c r="S112" s="312">
        <f t="shared" si="78"/>
        <v>0</v>
      </c>
      <c r="U112" s="61" t="s">
        <v>4835</v>
      </c>
      <c r="W112" s="312"/>
      <c r="X112" s="312"/>
      <c r="Y112" s="312"/>
      <c r="Z112" s="312"/>
      <c r="AA112" s="312"/>
      <c r="AD112" s="58">
        <f>NPV(Inputs!$C$6,Mercado!G112:J112)+(Mercado!K112*Inputs!$C$11)/(1+Inputs!$C$6)^(4.55)</f>
        <v>0</v>
      </c>
    </row>
    <row r="113" spans="1:30">
      <c r="A113" s="192" t="s">
        <v>4844</v>
      </c>
      <c r="B113" s="61" t="s">
        <v>4835</v>
      </c>
      <c r="C113" s="123">
        <v>10</v>
      </c>
      <c r="D113" s="51">
        <f t="shared" si="80"/>
        <v>3000001</v>
      </c>
      <c r="E113" s="51">
        <v>999999999</v>
      </c>
      <c r="F113" s="312">
        <f>Demanda!J205</f>
        <v>0</v>
      </c>
      <c r="G113" s="312">
        <f>Demanda!K205</f>
        <v>0</v>
      </c>
      <c r="H113" s="312">
        <f>Demanda!L205</f>
        <v>0</v>
      </c>
      <c r="I113" s="312">
        <f>Demanda!M205</f>
        <v>0</v>
      </c>
      <c r="J113" s="312">
        <f>Demanda!N205</f>
        <v>0</v>
      </c>
      <c r="K113" s="312">
        <f>Demanda!O205</f>
        <v>0</v>
      </c>
      <c r="M113" s="61" t="s">
        <v>4835</v>
      </c>
      <c r="O113" s="312">
        <f t="shared" si="79"/>
        <v>0</v>
      </c>
      <c r="P113" s="312">
        <f t="shared" si="78"/>
        <v>0</v>
      </c>
      <c r="Q113" s="312">
        <f t="shared" si="78"/>
        <v>0</v>
      </c>
      <c r="R113" s="312">
        <f t="shared" si="78"/>
        <v>0</v>
      </c>
      <c r="S113" s="312">
        <f t="shared" si="78"/>
        <v>0</v>
      </c>
      <c r="U113" s="61" t="s">
        <v>4835</v>
      </c>
      <c r="W113" s="312"/>
      <c r="X113" s="312"/>
      <c r="Y113" s="312"/>
      <c r="Z113" s="312"/>
      <c r="AA113" s="312"/>
      <c r="AD113" s="58">
        <f>NPV(Inputs!$C$6,Mercado!G113:J113)+(Mercado!K113*Inputs!$C$11)/(1+Inputs!$C$6)^(4.55)</f>
        <v>0</v>
      </c>
    </row>
    <row r="114" spans="1:30">
      <c r="A114" s="192"/>
      <c r="B114" s="198"/>
      <c r="C114" s="202"/>
      <c r="D114" s="198"/>
      <c r="E114" s="198"/>
      <c r="F114" s="199">
        <f t="shared" ref="F114:J114" si="81">SUM(F115:F120)</f>
        <v>1</v>
      </c>
      <c r="G114" s="199">
        <f t="shared" si="81"/>
        <v>0</v>
      </c>
      <c r="H114" s="199">
        <f t="shared" si="81"/>
        <v>0</v>
      </c>
      <c r="I114" s="199">
        <f t="shared" si="81"/>
        <v>0</v>
      </c>
      <c r="J114" s="199">
        <f t="shared" si="81"/>
        <v>0</v>
      </c>
      <c r="K114" s="199">
        <f>SUM(K115:K120)</f>
        <v>0</v>
      </c>
      <c r="M114" s="198"/>
      <c r="O114" s="199">
        <f t="shared" ref="O114:S114" si="82">SUM(O115:O120)</f>
        <v>0</v>
      </c>
      <c r="P114" s="199">
        <f t="shared" si="82"/>
        <v>0</v>
      </c>
      <c r="Q114" s="199">
        <f t="shared" si="82"/>
        <v>0</v>
      </c>
      <c r="R114" s="199">
        <f t="shared" si="82"/>
        <v>0</v>
      </c>
      <c r="S114" s="199">
        <f t="shared" si="82"/>
        <v>0</v>
      </c>
      <c r="U114" s="198"/>
      <c r="W114" s="199">
        <f t="shared" ref="W114:AA114" si="83">SUM(W115:W120)</f>
        <v>0</v>
      </c>
      <c r="X114" s="199">
        <f t="shared" si="83"/>
        <v>0</v>
      </c>
      <c r="Y114" s="199">
        <f t="shared" si="83"/>
        <v>0</v>
      </c>
      <c r="Z114" s="199">
        <f t="shared" si="83"/>
        <v>0</v>
      </c>
      <c r="AA114" s="199">
        <f t="shared" si="83"/>
        <v>0</v>
      </c>
      <c r="AD114" s="58">
        <f>NPV(Inputs!$C$6,Mercado!G114:J114)+(Mercado!K114*Inputs!$C$11)/(1+Inputs!$C$6)^(4.55)</f>
        <v>0</v>
      </c>
    </row>
    <row r="115" spans="1:30">
      <c r="A115" s="192" t="s">
        <v>4845</v>
      </c>
      <c r="B115" s="61" t="s">
        <v>108</v>
      </c>
      <c r="C115" s="123">
        <v>1</v>
      </c>
      <c r="D115" s="58">
        <v>0</v>
      </c>
      <c r="E115" s="70">
        <v>200</v>
      </c>
      <c r="F115" s="312">
        <f>Demanda!J206</f>
        <v>1</v>
      </c>
      <c r="G115" s="312">
        <f>Demanda!K206</f>
        <v>0</v>
      </c>
      <c r="H115" s="312">
        <f>Demanda!L206</f>
        <v>0</v>
      </c>
      <c r="I115" s="312">
        <f>Demanda!M206</f>
        <v>0</v>
      </c>
      <c r="J115" s="312">
        <f>Demanda!N206</f>
        <v>0</v>
      </c>
      <c r="K115" s="312">
        <f>Demanda!O206</f>
        <v>0</v>
      </c>
      <c r="M115" s="61" t="s">
        <v>108</v>
      </c>
      <c r="O115" s="312">
        <f>G115</f>
        <v>0</v>
      </c>
      <c r="P115" s="312">
        <f t="shared" ref="P115:S120" si="84">H115</f>
        <v>0</v>
      </c>
      <c r="Q115" s="312">
        <f t="shared" si="84"/>
        <v>0</v>
      </c>
      <c r="R115" s="312">
        <f t="shared" si="84"/>
        <v>0</v>
      </c>
      <c r="S115" s="312">
        <f t="shared" si="84"/>
        <v>0</v>
      </c>
      <c r="U115" s="61" t="s">
        <v>108</v>
      </c>
      <c r="W115" s="312"/>
      <c r="X115" s="312"/>
      <c r="Y115" s="312"/>
      <c r="Z115" s="312"/>
      <c r="AA115" s="312"/>
      <c r="AD115" s="58">
        <f>NPV(Inputs!$C$6,Mercado!G115:J115)+(Mercado!K115*Inputs!$C$11)/(1+Inputs!$C$6)^(4.55)</f>
        <v>0</v>
      </c>
    </row>
    <row r="116" spans="1:30">
      <c r="A116" s="192" t="s">
        <v>4846</v>
      </c>
      <c r="B116" s="61" t="s">
        <v>108</v>
      </c>
      <c r="C116" s="123">
        <v>2</v>
      </c>
      <c r="D116" s="51">
        <f>E115+1</f>
        <v>201</v>
      </c>
      <c r="E116" s="70">
        <v>2000</v>
      </c>
      <c r="F116" s="312">
        <f>Demanda!J207</f>
        <v>0</v>
      </c>
      <c r="G116" s="312">
        <f>Demanda!K207</f>
        <v>0</v>
      </c>
      <c r="H116" s="312">
        <f>Demanda!L207</f>
        <v>0</v>
      </c>
      <c r="I116" s="312">
        <f>Demanda!M207</f>
        <v>0</v>
      </c>
      <c r="J116" s="312">
        <f>Demanda!N207</f>
        <v>0</v>
      </c>
      <c r="K116" s="312">
        <f>Demanda!O207</f>
        <v>0</v>
      </c>
      <c r="M116" s="61" t="s">
        <v>108</v>
      </c>
      <c r="O116" s="312">
        <f t="shared" ref="O116:O120" si="85">G116</f>
        <v>0</v>
      </c>
      <c r="P116" s="312">
        <f t="shared" si="84"/>
        <v>0</v>
      </c>
      <c r="Q116" s="312">
        <f t="shared" si="84"/>
        <v>0</v>
      </c>
      <c r="R116" s="312">
        <f t="shared" si="84"/>
        <v>0</v>
      </c>
      <c r="S116" s="312">
        <f t="shared" si="84"/>
        <v>0</v>
      </c>
      <c r="U116" s="61" t="s">
        <v>108</v>
      </c>
      <c r="W116" s="312"/>
      <c r="X116" s="312"/>
      <c r="Y116" s="312"/>
      <c r="Z116" s="312"/>
      <c r="AA116" s="312"/>
      <c r="AD116" s="58">
        <f>NPV(Inputs!$C$6,Mercado!G116:J116)+(Mercado!K116*Inputs!$C$11)/(1+Inputs!$C$6)^(4.55)</f>
        <v>0</v>
      </c>
    </row>
    <row r="117" spans="1:30">
      <c r="A117" s="192" t="s">
        <v>4847</v>
      </c>
      <c r="B117" s="61" t="s">
        <v>108</v>
      </c>
      <c r="C117" s="123">
        <v>3</v>
      </c>
      <c r="D117" s="51">
        <f t="shared" ref="D117:D120" si="86">E116+1</f>
        <v>2001</v>
      </c>
      <c r="E117" s="70">
        <v>10000</v>
      </c>
      <c r="F117" s="312">
        <f>Demanda!J208</f>
        <v>0</v>
      </c>
      <c r="G117" s="312">
        <f>Demanda!K208</f>
        <v>0</v>
      </c>
      <c r="H117" s="312">
        <f>Demanda!L208</f>
        <v>0</v>
      </c>
      <c r="I117" s="312">
        <f>Demanda!M208</f>
        <v>0</v>
      </c>
      <c r="J117" s="312">
        <f>Demanda!N208</f>
        <v>0</v>
      </c>
      <c r="K117" s="312">
        <f>Demanda!O208</f>
        <v>0</v>
      </c>
      <c r="M117" s="61" t="s">
        <v>108</v>
      </c>
      <c r="O117" s="312">
        <f t="shared" si="85"/>
        <v>0</v>
      </c>
      <c r="P117" s="312">
        <f t="shared" si="84"/>
        <v>0</v>
      </c>
      <c r="Q117" s="312">
        <f t="shared" si="84"/>
        <v>0</v>
      </c>
      <c r="R117" s="312">
        <f t="shared" si="84"/>
        <v>0</v>
      </c>
      <c r="S117" s="312">
        <f t="shared" si="84"/>
        <v>0</v>
      </c>
      <c r="U117" s="61" t="s">
        <v>108</v>
      </c>
      <c r="W117" s="312"/>
      <c r="X117" s="312"/>
      <c r="Y117" s="312"/>
      <c r="Z117" s="312"/>
      <c r="AA117" s="312"/>
      <c r="AD117" s="58">
        <f>NPV(Inputs!$C$6,Mercado!G117:J117)+(Mercado!K117*Inputs!$C$11)/(1+Inputs!$C$6)^(4.55)</f>
        <v>0</v>
      </c>
    </row>
    <row r="118" spans="1:30">
      <c r="A118" s="192" t="s">
        <v>4848</v>
      </c>
      <c r="B118" s="61" t="s">
        <v>108</v>
      </c>
      <c r="C118" s="123">
        <v>4</v>
      </c>
      <c r="D118" s="51">
        <f t="shared" si="86"/>
        <v>10001</v>
      </c>
      <c r="E118" s="70">
        <v>50000</v>
      </c>
      <c r="F118" s="312">
        <f>Demanda!J209</f>
        <v>0</v>
      </c>
      <c r="G118" s="312">
        <f>Demanda!K209</f>
        <v>0</v>
      </c>
      <c r="H118" s="312">
        <f>Demanda!L209</f>
        <v>0</v>
      </c>
      <c r="I118" s="312">
        <f>Demanda!M209</f>
        <v>0</v>
      </c>
      <c r="J118" s="312">
        <f>Demanda!N209</f>
        <v>0</v>
      </c>
      <c r="K118" s="312">
        <f>Demanda!O209</f>
        <v>0</v>
      </c>
      <c r="M118" s="61" t="s">
        <v>108</v>
      </c>
      <c r="O118" s="312">
        <f t="shared" si="85"/>
        <v>0</v>
      </c>
      <c r="P118" s="312">
        <f t="shared" si="84"/>
        <v>0</v>
      </c>
      <c r="Q118" s="312">
        <f t="shared" si="84"/>
        <v>0</v>
      </c>
      <c r="R118" s="312">
        <f t="shared" si="84"/>
        <v>0</v>
      </c>
      <c r="S118" s="312">
        <f t="shared" si="84"/>
        <v>0</v>
      </c>
      <c r="U118" s="61" t="s">
        <v>108</v>
      </c>
      <c r="W118" s="312"/>
      <c r="X118" s="312"/>
      <c r="Y118" s="312"/>
      <c r="Z118" s="312"/>
      <c r="AA118" s="312"/>
      <c r="AD118" s="58">
        <f>NPV(Inputs!$C$6,Mercado!G118:J118)+(Mercado!K118*Inputs!$C$11)/(1+Inputs!$C$6)^(4.55)</f>
        <v>0</v>
      </c>
    </row>
    <row r="119" spans="1:30">
      <c r="A119" s="192" t="s">
        <v>4849</v>
      </c>
      <c r="B119" s="61" t="s">
        <v>108</v>
      </c>
      <c r="C119" s="123">
        <v>5</v>
      </c>
      <c r="D119" s="51">
        <f t="shared" si="86"/>
        <v>50001</v>
      </c>
      <c r="E119" s="70">
        <v>100000</v>
      </c>
      <c r="F119" s="312">
        <f>Demanda!J210</f>
        <v>0</v>
      </c>
      <c r="G119" s="312">
        <f>Demanda!K210</f>
        <v>0</v>
      </c>
      <c r="H119" s="312">
        <f>Demanda!L210</f>
        <v>0</v>
      </c>
      <c r="I119" s="312">
        <f>Demanda!M210</f>
        <v>0</v>
      </c>
      <c r="J119" s="312">
        <f>Demanda!N210</f>
        <v>0</v>
      </c>
      <c r="K119" s="312">
        <f>Demanda!O210</f>
        <v>0</v>
      </c>
      <c r="M119" s="61" t="s">
        <v>108</v>
      </c>
      <c r="O119" s="312">
        <f t="shared" si="85"/>
        <v>0</v>
      </c>
      <c r="P119" s="312">
        <f t="shared" si="84"/>
        <v>0</v>
      </c>
      <c r="Q119" s="312">
        <f t="shared" si="84"/>
        <v>0</v>
      </c>
      <c r="R119" s="312">
        <f t="shared" si="84"/>
        <v>0</v>
      </c>
      <c r="S119" s="312">
        <f t="shared" si="84"/>
        <v>0</v>
      </c>
      <c r="U119" s="61" t="s">
        <v>108</v>
      </c>
      <c r="W119" s="312"/>
      <c r="X119" s="312"/>
      <c r="Y119" s="312"/>
      <c r="Z119" s="312"/>
      <c r="AA119" s="312"/>
      <c r="AD119" s="58">
        <f>NPV(Inputs!$C$6,Mercado!G119:J119)+(Mercado!K119*Inputs!$C$11)/(1+Inputs!$C$6)^(4.55)</f>
        <v>0</v>
      </c>
    </row>
    <row r="120" spans="1:30">
      <c r="A120" s="192" t="s">
        <v>4850</v>
      </c>
      <c r="B120" s="61" t="s">
        <v>108</v>
      </c>
      <c r="C120" s="123">
        <v>6</v>
      </c>
      <c r="D120" s="51">
        <f t="shared" si="86"/>
        <v>100001</v>
      </c>
      <c r="E120" s="51">
        <v>999999999</v>
      </c>
      <c r="F120" s="312">
        <f>Demanda!J211</f>
        <v>0</v>
      </c>
      <c r="G120" s="312">
        <f>Demanda!K211</f>
        <v>0</v>
      </c>
      <c r="H120" s="312">
        <f>Demanda!L211</f>
        <v>0</v>
      </c>
      <c r="I120" s="312">
        <f>Demanda!M211</f>
        <v>0</v>
      </c>
      <c r="J120" s="312">
        <f>Demanda!N211</f>
        <v>0</v>
      </c>
      <c r="K120" s="312">
        <f>Demanda!O211</f>
        <v>0</v>
      </c>
      <c r="M120" s="61" t="s">
        <v>108</v>
      </c>
      <c r="O120" s="312">
        <f t="shared" si="85"/>
        <v>0</v>
      </c>
      <c r="P120" s="312">
        <f t="shared" si="84"/>
        <v>0</v>
      </c>
      <c r="Q120" s="312">
        <f t="shared" si="84"/>
        <v>0</v>
      </c>
      <c r="R120" s="312">
        <f t="shared" si="84"/>
        <v>0</v>
      </c>
      <c r="S120" s="312">
        <f t="shared" si="84"/>
        <v>0</v>
      </c>
      <c r="U120" s="61" t="s">
        <v>108</v>
      </c>
      <c r="W120" s="312"/>
      <c r="X120" s="312"/>
      <c r="Y120" s="312"/>
      <c r="Z120" s="312"/>
      <c r="AA120" s="312"/>
      <c r="AD120" s="58">
        <f>NPV(Inputs!$C$6,Mercado!G120:J120)+(Mercado!K120*Inputs!$C$11)/(1+Inputs!$C$6)^(4.55)</f>
        <v>0</v>
      </c>
    </row>
    <row r="121" spans="1:30">
      <c r="A121" s="192"/>
      <c r="B121" s="198"/>
      <c r="C121" s="202"/>
      <c r="D121" s="198"/>
      <c r="E121" s="198"/>
      <c r="F121" s="199">
        <f>SUM(F122:F131)</f>
        <v>0</v>
      </c>
      <c r="G121" s="199">
        <f t="shared" ref="G121:K121" si="87">SUM(G122:G131)</f>
        <v>0</v>
      </c>
      <c r="H121" s="199">
        <f t="shared" si="87"/>
        <v>0</v>
      </c>
      <c r="I121" s="199">
        <f t="shared" si="87"/>
        <v>0</v>
      </c>
      <c r="J121" s="199">
        <f t="shared" si="87"/>
        <v>0</v>
      </c>
      <c r="K121" s="199">
        <f t="shared" si="87"/>
        <v>0</v>
      </c>
      <c r="M121" s="198"/>
      <c r="O121" s="199">
        <f>SUM(O122:O131)</f>
        <v>0</v>
      </c>
      <c r="P121" s="199">
        <f t="shared" ref="P121:S121" si="88">SUM(P122:P131)</f>
        <v>0</v>
      </c>
      <c r="Q121" s="199">
        <f t="shared" si="88"/>
        <v>0</v>
      </c>
      <c r="R121" s="199">
        <f t="shared" si="88"/>
        <v>0</v>
      </c>
      <c r="S121" s="199">
        <f t="shared" si="88"/>
        <v>0</v>
      </c>
      <c r="U121" s="198"/>
      <c r="W121" s="199">
        <f>SUM(W122:W131)</f>
        <v>0</v>
      </c>
      <c r="X121" s="199">
        <f t="shared" ref="X121:AA121" si="89">SUM(X122:X131)</f>
        <v>0</v>
      </c>
      <c r="Y121" s="199">
        <f t="shared" si="89"/>
        <v>0</v>
      </c>
      <c r="Z121" s="199">
        <f t="shared" si="89"/>
        <v>0</v>
      </c>
      <c r="AA121" s="199">
        <f t="shared" si="89"/>
        <v>0</v>
      </c>
      <c r="AD121" s="58">
        <f>NPV(Inputs!$C$6,Mercado!G121:J121)+(Mercado!K121*Inputs!$C$11)/(1+Inputs!$C$6)^(4.55)</f>
        <v>0</v>
      </c>
    </row>
    <row r="122" spans="1:30">
      <c r="A122" s="192" t="s">
        <v>4851</v>
      </c>
      <c r="B122" s="61" t="s">
        <v>109</v>
      </c>
      <c r="C122" s="123">
        <v>1</v>
      </c>
      <c r="D122" s="58">
        <v>0</v>
      </c>
      <c r="E122" s="70">
        <v>200</v>
      </c>
      <c r="F122" s="312">
        <f>Demanda!J212</f>
        <v>0</v>
      </c>
      <c r="G122" s="312">
        <f>Demanda!K212</f>
        <v>0</v>
      </c>
      <c r="H122" s="312">
        <f>Demanda!L212</f>
        <v>0</v>
      </c>
      <c r="I122" s="312">
        <f>Demanda!M212</f>
        <v>0</v>
      </c>
      <c r="J122" s="312">
        <f>Demanda!N212</f>
        <v>0</v>
      </c>
      <c r="K122" s="312">
        <f>Demanda!O212</f>
        <v>0</v>
      </c>
      <c r="M122" s="61" t="s">
        <v>109</v>
      </c>
      <c r="O122" s="312">
        <f>G122</f>
        <v>0</v>
      </c>
      <c r="P122" s="312">
        <f t="shared" ref="P122:S131" si="90">H122</f>
        <v>0</v>
      </c>
      <c r="Q122" s="312">
        <f t="shared" si="90"/>
        <v>0</v>
      </c>
      <c r="R122" s="312">
        <f t="shared" si="90"/>
        <v>0</v>
      </c>
      <c r="S122" s="312">
        <f t="shared" si="90"/>
        <v>0</v>
      </c>
      <c r="U122" s="61" t="s">
        <v>109</v>
      </c>
      <c r="W122" s="312"/>
      <c r="X122" s="312"/>
      <c r="Y122" s="312"/>
      <c r="Z122" s="312"/>
      <c r="AA122" s="312"/>
      <c r="AD122" s="58">
        <f>NPV(Inputs!$C$6,Mercado!G122:J122)+(Mercado!K122*Inputs!$C$11)/(1+Inputs!$C$6)^(4.55)</f>
        <v>0</v>
      </c>
    </row>
    <row r="123" spans="1:30">
      <c r="A123" s="192" t="s">
        <v>4852</v>
      </c>
      <c r="B123" s="61" t="s">
        <v>109</v>
      </c>
      <c r="C123" s="123">
        <v>2</v>
      </c>
      <c r="D123" s="51">
        <f>E122+1</f>
        <v>201</v>
      </c>
      <c r="E123" s="70">
        <v>2000</v>
      </c>
      <c r="F123" s="312">
        <f>Demanda!J213</f>
        <v>0</v>
      </c>
      <c r="G123" s="312">
        <f>Demanda!K213</f>
        <v>0</v>
      </c>
      <c r="H123" s="312">
        <f>Demanda!L213</f>
        <v>0</v>
      </c>
      <c r="I123" s="312">
        <f>Demanda!M213</f>
        <v>0</v>
      </c>
      <c r="J123" s="312">
        <f>Demanda!N213</f>
        <v>0</v>
      </c>
      <c r="K123" s="312">
        <f>Demanda!O213</f>
        <v>0</v>
      </c>
      <c r="M123" s="61" t="s">
        <v>109</v>
      </c>
      <c r="O123" s="312">
        <f t="shared" ref="O123:O131" si="91">G123</f>
        <v>0</v>
      </c>
      <c r="P123" s="312">
        <f t="shared" si="90"/>
        <v>0</v>
      </c>
      <c r="Q123" s="312">
        <f t="shared" si="90"/>
        <v>0</v>
      </c>
      <c r="R123" s="312">
        <f t="shared" si="90"/>
        <v>0</v>
      </c>
      <c r="S123" s="312">
        <f t="shared" si="90"/>
        <v>0</v>
      </c>
      <c r="U123" s="61" t="s">
        <v>109</v>
      </c>
      <c r="W123" s="312"/>
      <c r="X123" s="312"/>
      <c r="Y123" s="312"/>
      <c r="Z123" s="312"/>
      <c r="AA123" s="312"/>
      <c r="AD123" s="58">
        <f>NPV(Inputs!$C$6,Mercado!G123:J123)+(Mercado!K123*Inputs!$C$11)/(1+Inputs!$C$6)^(4.55)</f>
        <v>0</v>
      </c>
    </row>
    <row r="124" spans="1:30">
      <c r="A124" s="192" t="s">
        <v>4853</v>
      </c>
      <c r="B124" s="61" t="s">
        <v>109</v>
      </c>
      <c r="C124" s="123">
        <v>3</v>
      </c>
      <c r="D124" s="51">
        <f t="shared" ref="D124:D131" si="92">E123+1</f>
        <v>2001</v>
      </c>
      <c r="E124" s="70">
        <v>10000</v>
      </c>
      <c r="F124" s="312">
        <f>Demanda!J214</f>
        <v>0</v>
      </c>
      <c r="G124" s="312">
        <f>Demanda!K214</f>
        <v>0</v>
      </c>
      <c r="H124" s="312">
        <f>Demanda!L214</f>
        <v>0</v>
      </c>
      <c r="I124" s="312">
        <f>Demanda!M214</f>
        <v>0</v>
      </c>
      <c r="J124" s="312">
        <f>Demanda!N214</f>
        <v>0</v>
      </c>
      <c r="K124" s="312">
        <f>Demanda!O214</f>
        <v>0</v>
      </c>
      <c r="M124" s="61" t="s">
        <v>109</v>
      </c>
      <c r="O124" s="312">
        <f t="shared" si="91"/>
        <v>0</v>
      </c>
      <c r="P124" s="312">
        <f t="shared" si="90"/>
        <v>0</v>
      </c>
      <c r="Q124" s="312">
        <f t="shared" si="90"/>
        <v>0</v>
      </c>
      <c r="R124" s="312">
        <f t="shared" si="90"/>
        <v>0</v>
      </c>
      <c r="S124" s="312">
        <f t="shared" si="90"/>
        <v>0</v>
      </c>
      <c r="U124" s="61" t="s">
        <v>109</v>
      </c>
      <c r="W124" s="312"/>
      <c r="X124" s="312"/>
      <c r="Y124" s="312"/>
      <c r="Z124" s="312"/>
      <c r="AA124" s="312"/>
      <c r="AD124" s="58">
        <f>NPV(Inputs!$C$6,Mercado!G124:J124)+(Mercado!K124*Inputs!$C$11)/(1+Inputs!$C$6)^(4.55)</f>
        <v>0</v>
      </c>
    </row>
    <row r="125" spans="1:30">
      <c r="A125" s="192" t="s">
        <v>4854</v>
      </c>
      <c r="B125" s="61" t="s">
        <v>109</v>
      </c>
      <c r="C125" s="123">
        <v>4</v>
      </c>
      <c r="D125" s="51">
        <f t="shared" si="92"/>
        <v>10001</v>
      </c>
      <c r="E125" s="70">
        <v>50000</v>
      </c>
      <c r="F125" s="312">
        <f>Demanda!J215</f>
        <v>0</v>
      </c>
      <c r="G125" s="312">
        <f>Demanda!K215</f>
        <v>0</v>
      </c>
      <c r="H125" s="312">
        <f>Demanda!L215</f>
        <v>0</v>
      </c>
      <c r="I125" s="312">
        <f>Demanda!M215</f>
        <v>0</v>
      </c>
      <c r="J125" s="312">
        <f>Demanda!N215</f>
        <v>0</v>
      </c>
      <c r="K125" s="312">
        <f>Demanda!O215</f>
        <v>0</v>
      </c>
      <c r="M125" s="61" t="s">
        <v>109</v>
      </c>
      <c r="O125" s="312">
        <f t="shared" si="91"/>
        <v>0</v>
      </c>
      <c r="P125" s="312">
        <f t="shared" si="90"/>
        <v>0</v>
      </c>
      <c r="Q125" s="312">
        <f t="shared" si="90"/>
        <v>0</v>
      </c>
      <c r="R125" s="312">
        <f t="shared" si="90"/>
        <v>0</v>
      </c>
      <c r="S125" s="312">
        <f t="shared" si="90"/>
        <v>0</v>
      </c>
      <c r="U125" s="61" t="s">
        <v>109</v>
      </c>
      <c r="W125" s="312"/>
      <c r="X125" s="312"/>
      <c r="Y125" s="312"/>
      <c r="Z125" s="312"/>
      <c r="AA125" s="312"/>
      <c r="AD125" s="58">
        <f>NPV(Inputs!$C$6,Mercado!G125:J125)+(Mercado!K125*Inputs!$C$11)/(1+Inputs!$C$6)^(4.55)</f>
        <v>0</v>
      </c>
    </row>
    <row r="126" spans="1:30">
      <c r="A126" s="192" t="s">
        <v>4855</v>
      </c>
      <c r="B126" s="61" t="s">
        <v>109</v>
      </c>
      <c r="C126" s="123">
        <v>5</v>
      </c>
      <c r="D126" s="51">
        <f t="shared" si="92"/>
        <v>50001</v>
      </c>
      <c r="E126" s="70">
        <v>100000</v>
      </c>
      <c r="F126" s="312">
        <f>Demanda!J216</f>
        <v>0</v>
      </c>
      <c r="G126" s="312">
        <f>Demanda!K216</f>
        <v>0</v>
      </c>
      <c r="H126" s="312">
        <f>Demanda!L216</f>
        <v>0</v>
      </c>
      <c r="I126" s="312">
        <f>Demanda!M216</f>
        <v>0</v>
      </c>
      <c r="J126" s="312">
        <f>Demanda!N216</f>
        <v>0</v>
      </c>
      <c r="K126" s="312">
        <f>Demanda!O216</f>
        <v>0</v>
      </c>
      <c r="M126" s="61" t="s">
        <v>109</v>
      </c>
      <c r="O126" s="312">
        <f t="shared" si="91"/>
        <v>0</v>
      </c>
      <c r="P126" s="312">
        <f t="shared" si="90"/>
        <v>0</v>
      </c>
      <c r="Q126" s="312">
        <f t="shared" si="90"/>
        <v>0</v>
      </c>
      <c r="R126" s="312">
        <f t="shared" si="90"/>
        <v>0</v>
      </c>
      <c r="S126" s="312">
        <f t="shared" si="90"/>
        <v>0</v>
      </c>
      <c r="U126" s="61" t="s">
        <v>109</v>
      </c>
      <c r="W126" s="312"/>
      <c r="X126" s="312"/>
      <c r="Y126" s="312"/>
      <c r="Z126" s="312"/>
      <c r="AA126" s="312"/>
      <c r="AD126" s="58">
        <f>NPV(Inputs!$C$6,Mercado!G126:J126)+(Mercado!K126*Inputs!$C$11)/(1+Inputs!$C$6)^(4.55)</f>
        <v>0</v>
      </c>
    </row>
    <row r="127" spans="1:30">
      <c r="A127" s="192" t="s">
        <v>4856</v>
      </c>
      <c r="B127" s="61" t="s">
        <v>109</v>
      </c>
      <c r="C127" s="123">
        <v>6</v>
      </c>
      <c r="D127" s="51">
        <f t="shared" si="92"/>
        <v>100001</v>
      </c>
      <c r="E127" s="70">
        <v>300000</v>
      </c>
      <c r="F127" s="312">
        <f>Demanda!J217</f>
        <v>0</v>
      </c>
      <c r="G127" s="312">
        <f>Demanda!K217</f>
        <v>0</v>
      </c>
      <c r="H127" s="312">
        <f>Demanda!L217</f>
        <v>0</v>
      </c>
      <c r="I127" s="312">
        <f>Demanda!M217</f>
        <v>0</v>
      </c>
      <c r="J127" s="312">
        <f>Demanda!N217</f>
        <v>0</v>
      </c>
      <c r="K127" s="312">
        <f>Demanda!O217</f>
        <v>0</v>
      </c>
      <c r="M127" s="61" t="s">
        <v>109</v>
      </c>
      <c r="O127" s="312">
        <f t="shared" si="91"/>
        <v>0</v>
      </c>
      <c r="P127" s="312">
        <f t="shared" si="90"/>
        <v>0</v>
      </c>
      <c r="Q127" s="312">
        <f t="shared" si="90"/>
        <v>0</v>
      </c>
      <c r="R127" s="312">
        <f t="shared" si="90"/>
        <v>0</v>
      </c>
      <c r="S127" s="312">
        <f t="shared" si="90"/>
        <v>0</v>
      </c>
      <c r="U127" s="61" t="s">
        <v>109</v>
      </c>
      <c r="W127" s="312"/>
      <c r="X127" s="312"/>
      <c r="Y127" s="312"/>
      <c r="Z127" s="312"/>
      <c r="AA127" s="312"/>
      <c r="AD127" s="58">
        <f>NPV(Inputs!$C$6,Mercado!G127:J127)+(Mercado!K127*Inputs!$C$11)/(1+Inputs!$C$6)^(4.55)</f>
        <v>0</v>
      </c>
    </row>
    <row r="128" spans="1:30">
      <c r="A128" s="192" t="s">
        <v>4857</v>
      </c>
      <c r="B128" s="61" t="s">
        <v>109</v>
      </c>
      <c r="C128" s="123">
        <v>7</v>
      </c>
      <c r="D128" s="51">
        <f t="shared" si="92"/>
        <v>300001</v>
      </c>
      <c r="E128" s="70">
        <v>600000</v>
      </c>
      <c r="F128" s="312">
        <f>Demanda!J218</f>
        <v>0</v>
      </c>
      <c r="G128" s="312">
        <f>Demanda!K218</f>
        <v>0</v>
      </c>
      <c r="H128" s="312">
        <f>Demanda!L218</f>
        <v>0</v>
      </c>
      <c r="I128" s="312">
        <f>Demanda!M218</f>
        <v>0</v>
      </c>
      <c r="J128" s="312">
        <f>Demanda!N218</f>
        <v>0</v>
      </c>
      <c r="K128" s="312">
        <f>Demanda!O218</f>
        <v>0</v>
      </c>
      <c r="M128" s="61" t="s">
        <v>109</v>
      </c>
      <c r="O128" s="312">
        <f t="shared" si="91"/>
        <v>0</v>
      </c>
      <c r="P128" s="312">
        <f t="shared" si="90"/>
        <v>0</v>
      </c>
      <c r="Q128" s="312">
        <f t="shared" si="90"/>
        <v>0</v>
      </c>
      <c r="R128" s="312">
        <f t="shared" si="90"/>
        <v>0</v>
      </c>
      <c r="S128" s="312">
        <f t="shared" si="90"/>
        <v>0</v>
      </c>
      <c r="U128" s="61" t="s">
        <v>109</v>
      </c>
      <c r="W128" s="312"/>
      <c r="X128" s="312"/>
      <c r="Y128" s="312"/>
      <c r="Z128" s="312"/>
      <c r="AA128" s="312"/>
      <c r="AD128" s="58">
        <f>NPV(Inputs!$C$6,Mercado!G128:J128)+(Mercado!K128*Inputs!$C$11)/(1+Inputs!$C$6)^(4.55)</f>
        <v>0</v>
      </c>
    </row>
    <row r="129" spans="1:30">
      <c r="A129" s="192" t="s">
        <v>4858</v>
      </c>
      <c r="B129" s="61" t="s">
        <v>109</v>
      </c>
      <c r="C129" s="123">
        <v>8</v>
      </c>
      <c r="D129" s="51">
        <f t="shared" si="92"/>
        <v>600001</v>
      </c>
      <c r="E129" s="70">
        <v>1500000</v>
      </c>
      <c r="F129" s="312">
        <f>Demanda!J219</f>
        <v>0</v>
      </c>
      <c r="G129" s="312">
        <f>Demanda!K219</f>
        <v>0</v>
      </c>
      <c r="H129" s="312">
        <f>Demanda!L219</f>
        <v>0</v>
      </c>
      <c r="I129" s="312">
        <f>Demanda!M219</f>
        <v>0</v>
      </c>
      <c r="J129" s="312">
        <f>Demanda!N219</f>
        <v>0</v>
      </c>
      <c r="K129" s="312">
        <f>Demanda!O219</f>
        <v>0</v>
      </c>
      <c r="M129" s="61" t="s">
        <v>109</v>
      </c>
      <c r="O129" s="312">
        <f t="shared" si="91"/>
        <v>0</v>
      </c>
      <c r="P129" s="312">
        <f t="shared" si="90"/>
        <v>0</v>
      </c>
      <c r="Q129" s="312">
        <f t="shared" si="90"/>
        <v>0</v>
      </c>
      <c r="R129" s="312">
        <f t="shared" si="90"/>
        <v>0</v>
      </c>
      <c r="S129" s="312">
        <f t="shared" si="90"/>
        <v>0</v>
      </c>
      <c r="U129" s="61" t="s">
        <v>109</v>
      </c>
      <c r="W129" s="312"/>
      <c r="X129" s="312"/>
      <c r="Y129" s="312"/>
      <c r="Z129" s="312"/>
      <c r="AA129" s="312"/>
      <c r="AD129" s="58">
        <f>NPV(Inputs!$C$6,Mercado!G129:J129)+(Mercado!K129*Inputs!$C$11)/(1+Inputs!$C$6)^(4.55)</f>
        <v>0</v>
      </c>
    </row>
    <row r="130" spans="1:30">
      <c r="A130" s="192" t="s">
        <v>4859</v>
      </c>
      <c r="B130" s="61" t="s">
        <v>109</v>
      </c>
      <c r="C130" s="123">
        <v>9</v>
      </c>
      <c r="D130" s="51">
        <f t="shared" si="92"/>
        <v>1500001</v>
      </c>
      <c r="E130" s="70">
        <v>3000000</v>
      </c>
      <c r="F130" s="312">
        <f>Demanda!J220</f>
        <v>0</v>
      </c>
      <c r="G130" s="312">
        <f>Demanda!K220</f>
        <v>0</v>
      </c>
      <c r="H130" s="312">
        <f>Demanda!L220</f>
        <v>0</v>
      </c>
      <c r="I130" s="312">
        <f>Demanda!M220</f>
        <v>0</v>
      </c>
      <c r="J130" s="312">
        <f>Demanda!N220</f>
        <v>0</v>
      </c>
      <c r="K130" s="312">
        <f>Demanda!O220</f>
        <v>0</v>
      </c>
      <c r="M130" s="61" t="s">
        <v>109</v>
      </c>
      <c r="O130" s="312">
        <f t="shared" si="91"/>
        <v>0</v>
      </c>
      <c r="P130" s="312">
        <f t="shared" si="90"/>
        <v>0</v>
      </c>
      <c r="Q130" s="312">
        <f t="shared" si="90"/>
        <v>0</v>
      </c>
      <c r="R130" s="312">
        <f t="shared" si="90"/>
        <v>0</v>
      </c>
      <c r="S130" s="312">
        <f t="shared" si="90"/>
        <v>0</v>
      </c>
      <c r="U130" s="61" t="s">
        <v>109</v>
      </c>
      <c r="W130" s="312"/>
      <c r="X130" s="312"/>
      <c r="Y130" s="312"/>
      <c r="Z130" s="312"/>
      <c r="AA130" s="312"/>
      <c r="AD130" s="58">
        <f>NPV(Inputs!$C$6,Mercado!G130:J130)+(Mercado!K130*Inputs!$C$11)/(1+Inputs!$C$6)^(4.55)</f>
        <v>0</v>
      </c>
    </row>
    <row r="131" spans="1:30">
      <c r="A131" s="192" t="s">
        <v>4860</v>
      </c>
      <c r="B131" s="61" t="s">
        <v>109</v>
      </c>
      <c r="C131" s="123">
        <v>10</v>
      </c>
      <c r="D131" s="51">
        <f t="shared" si="92"/>
        <v>3000001</v>
      </c>
      <c r="E131" s="51">
        <v>999999999</v>
      </c>
      <c r="F131" s="312">
        <f>Demanda!J221</f>
        <v>0</v>
      </c>
      <c r="G131" s="312">
        <f>Demanda!K221</f>
        <v>0</v>
      </c>
      <c r="H131" s="312">
        <f>Demanda!L221</f>
        <v>0</v>
      </c>
      <c r="I131" s="312">
        <f>Demanda!M221</f>
        <v>0</v>
      </c>
      <c r="J131" s="312">
        <f>Demanda!N221</f>
        <v>0</v>
      </c>
      <c r="K131" s="312">
        <f>Demanda!O221</f>
        <v>0</v>
      </c>
      <c r="M131" s="61" t="s">
        <v>109</v>
      </c>
      <c r="O131" s="312">
        <f t="shared" si="91"/>
        <v>0</v>
      </c>
      <c r="P131" s="312">
        <f t="shared" si="90"/>
        <v>0</v>
      </c>
      <c r="Q131" s="312">
        <f t="shared" si="90"/>
        <v>0</v>
      </c>
      <c r="R131" s="312">
        <f t="shared" si="90"/>
        <v>0</v>
      </c>
      <c r="S131" s="312">
        <f t="shared" si="90"/>
        <v>0</v>
      </c>
      <c r="U131" s="61" t="s">
        <v>109</v>
      </c>
      <c r="W131" s="312"/>
      <c r="X131" s="312"/>
      <c r="Y131" s="312"/>
      <c r="Z131" s="312"/>
      <c r="AA131" s="312"/>
      <c r="AD131" s="58">
        <f>NPV(Inputs!$C$6,Mercado!G131:J131)+(Mercado!K131*Inputs!$C$11)/(1+Inputs!$C$6)^(4.55)</f>
        <v>0</v>
      </c>
    </row>
    <row r="132" spans="1:30">
      <c r="A132" s="192"/>
      <c r="B132" s="198"/>
      <c r="C132" s="202"/>
      <c r="D132" s="198"/>
      <c r="E132" s="198"/>
      <c r="F132" s="199">
        <f>SUM(F133:F142)</f>
        <v>0</v>
      </c>
      <c r="G132" s="199">
        <f t="shared" ref="G132:K132" si="93">SUM(G133:G142)</f>
        <v>0</v>
      </c>
      <c r="H132" s="199">
        <f t="shared" si="93"/>
        <v>0</v>
      </c>
      <c r="I132" s="199">
        <f t="shared" si="93"/>
        <v>0</v>
      </c>
      <c r="J132" s="199">
        <f t="shared" si="93"/>
        <v>0</v>
      </c>
      <c r="K132" s="199">
        <f t="shared" si="93"/>
        <v>0</v>
      </c>
      <c r="M132" s="198"/>
      <c r="O132" s="199">
        <f>SUM(O133:O142)</f>
        <v>0</v>
      </c>
      <c r="P132" s="199">
        <f t="shared" ref="P132:S132" si="94">SUM(P133:P142)</f>
        <v>0</v>
      </c>
      <c r="Q132" s="199">
        <f t="shared" si="94"/>
        <v>0</v>
      </c>
      <c r="R132" s="199">
        <f t="shared" si="94"/>
        <v>0</v>
      </c>
      <c r="S132" s="199">
        <f t="shared" si="94"/>
        <v>0</v>
      </c>
      <c r="U132" s="198"/>
      <c r="W132" s="199">
        <f>SUM(W133:W142)</f>
        <v>0</v>
      </c>
      <c r="X132" s="199">
        <f t="shared" ref="X132:AA132" si="95">SUM(X133:X142)</f>
        <v>0</v>
      </c>
      <c r="Y132" s="199">
        <f t="shared" si="95"/>
        <v>0</v>
      </c>
      <c r="Z132" s="199">
        <f t="shared" si="95"/>
        <v>0</v>
      </c>
      <c r="AA132" s="199">
        <f t="shared" si="95"/>
        <v>0</v>
      </c>
      <c r="AD132" s="58">
        <f>NPV(Inputs!$C$6,Mercado!G132:J132)+(Mercado!K132*Inputs!$C$11)/(1+Inputs!$C$6)^(4.55)</f>
        <v>0</v>
      </c>
    </row>
    <row r="133" spans="1:30">
      <c r="A133" s="192" t="s">
        <v>4861</v>
      </c>
      <c r="B133" s="61" t="s">
        <v>4862</v>
      </c>
      <c r="C133" s="123">
        <v>1</v>
      </c>
      <c r="D133" s="58">
        <v>0</v>
      </c>
      <c r="E133" s="70">
        <v>200</v>
      </c>
      <c r="F133" s="312"/>
      <c r="G133" s="313"/>
      <c r="H133" s="313"/>
      <c r="I133" s="313"/>
      <c r="J133" s="313"/>
      <c r="K133" s="313"/>
      <c r="M133" s="61" t="s">
        <v>4862</v>
      </c>
      <c r="O133" s="312"/>
      <c r="P133" s="312"/>
      <c r="Q133" s="312"/>
      <c r="R133" s="312"/>
      <c r="S133" s="312"/>
      <c r="U133" s="61" t="s">
        <v>4862</v>
      </c>
      <c r="W133" s="312">
        <f>G133</f>
        <v>0</v>
      </c>
      <c r="X133" s="312">
        <f t="shared" ref="X133:AA142" si="96">H133</f>
        <v>0</v>
      </c>
      <c r="Y133" s="312">
        <f t="shared" si="96"/>
        <v>0</v>
      </c>
      <c r="Z133" s="312">
        <f t="shared" si="96"/>
        <v>0</v>
      </c>
      <c r="AA133" s="312">
        <f t="shared" si="96"/>
        <v>0</v>
      </c>
      <c r="AD133" s="58">
        <f>NPV(Inputs!$C$6,Mercado!G133:J133)+(Mercado!K133*Inputs!$C$11)/(1+Inputs!$C$6)^(4.55)</f>
        <v>0</v>
      </c>
    </row>
    <row r="134" spans="1:30">
      <c r="A134" s="192" t="s">
        <v>4863</v>
      </c>
      <c r="B134" s="61" t="s">
        <v>4862</v>
      </c>
      <c r="C134" s="123">
        <v>2</v>
      </c>
      <c r="D134" s="51">
        <f>E133+1</f>
        <v>201</v>
      </c>
      <c r="E134" s="70">
        <v>2000</v>
      </c>
      <c r="F134" s="312"/>
      <c r="G134" s="313"/>
      <c r="H134" s="313"/>
      <c r="I134" s="313"/>
      <c r="J134" s="313"/>
      <c r="K134" s="313"/>
      <c r="M134" s="61" t="s">
        <v>4862</v>
      </c>
      <c r="O134" s="312"/>
      <c r="P134" s="312"/>
      <c r="Q134" s="312"/>
      <c r="R134" s="312"/>
      <c r="S134" s="312"/>
      <c r="U134" s="61" t="s">
        <v>4862</v>
      </c>
      <c r="W134" s="312">
        <f t="shared" ref="W134:W142" si="97">G134</f>
        <v>0</v>
      </c>
      <c r="X134" s="312">
        <f t="shared" si="96"/>
        <v>0</v>
      </c>
      <c r="Y134" s="312">
        <f t="shared" si="96"/>
        <v>0</v>
      </c>
      <c r="Z134" s="312">
        <f t="shared" si="96"/>
        <v>0</v>
      </c>
      <c r="AA134" s="312">
        <f t="shared" si="96"/>
        <v>0</v>
      </c>
      <c r="AD134" s="58">
        <f>NPV(Inputs!$C$6,Mercado!G134:J134)+(Mercado!K134*Inputs!$C$11)/(1+Inputs!$C$6)^(4.55)</f>
        <v>0</v>
      </c>
    </row>
    <row r="135" spans="1:30">
      <c r="A135" s="192" t="s">
        <v>4864</v>
      </c>
      <c r="B135" s="61" t="s">
        <v>4862</v>
      </c>
      <c r="C135" s="123">
        <v>3</v>
      </c>
      <c r="D135" s="51">
        <f t="shared" ref="D135:D142" si="98">E134+1</f>
        <v>2001</v>
      </c>
      <c r="E135" s="70">
        <v>10000</v>
      </c>
      <c r="F135" s="312"/>
      <c r="G135" s="313"/>
      <c r="H135" s="313"/>
      <c r="I135" s="313"/>
      <c r="J135" s="313"/>
      <c r="K135" s="313"/>
      <c r="M135" s="61" t="s">
        <v>4862</v>
      </c>
      <c r="O135" s="312"/>
      <c r="P135" s="312"/>
      <c r="Q135" s="312"/>
      <c r="R135" s="312"/>
      <c r="S135" s="312"/>
      <c r="U135" s="61" t="s">
        <v>4862</v>
      </c>
      <c r="W135" s="312">
        <f t="shared" si="97"/>
        <v>0</v>
      </c>
      <c r="X135" s="312">
        <f t="shared" si="96"/>
        <v>0</v>
      </c>
      <c r="Y135" s="312">
        <f t="shared" si="96"/>
        <v>0</v>
      </c>
      <c r="Z135" s="312">
        <f t="shared" si="96"/>
        <v>0</v>
      </c>
      <c r="AA135" s="312">
        <f t="shared" si="96"/>
        <v>0</v>
      </c>
      <c r="AD135" s="58">
        <f>NPV(Inputs!$C$6,Mercado!G135:J135)+(Mercado!K135*Inputs!$C$11)/(1+Inputs!$C$6)^(4.55)</f>
        <v>0</v>
      </c>
    </row>
    <row r="136" spans="1:30">
      <c r="A136" s="192" t="s">
        <v>4865</v>
      </c>
      <c r="B136" s="61" t="s">
        <v>4862</v>
      </c>
      <c r="C136" s="123">
        <v>4</v>
      </c>
      <c r="D136" s="51">
        <f t="shared" si="98"/>
        <v>10001</v>
      </c>
      <c r="E136" s="70">
        <v>50000</v>
      </c>
      <c r="F136" s="312"/>
      <c r="G136" s="313"/>
      <c r="H136" s="313"/>
      <c r="I136" s="313"/>
      <c r="J136" s="313"/>
      <c r="K136" s="313"/>
      <c r="M136" s="61" t="s">
        <v>4862</v>
      </c>
      <c r="O136" s="312"/>
      <c r="P136" s="312"/>
      <c r="Q136" s="312"/>
      <c r="R136" s="312"/>
      <c r="S136" s="312"/>
      <c r="U136" s="61" t="s">
        <v>4862</v>
      </c>
      <c r="W136" s="312">
        <f t="shared" si="97"/>
        <v>0</v>
      </c>
      <c r="X136" s="312">
        <f t="shared" si="96"/>
        <v>0</v>
      </c>
      <c r="Y136" s="312">
        <f t="shared" si="96"/>
        <v>0</v>
      </c>
      <c r="Z136" s="312">
        <f t="shared" si="96"/>
        <v>0</v>
      </c>
      <c r="AA136" s="312">
        <f t="shared" si="96"/>
        <v>0</v>
      </c>
      <c r="AD136" s="58">
        <f>NPV(Inputs!$C$6,Mercado!G136:J136)+(Mercado!K136*Inputs!$C$11)/(1+Inputs!$C$6)^(4.55)</f>
        <v>0</v>
      </c>
    </row>
    <row r="137" spans="1:30">
      <c r="A137" s="192" t="s">
        <v>4866</v>
      </c>
      <c r="B137" s="61" t="s">
        <v>4862</v>
      </c>
      <c r="C137" s="123">
        <v>5</v>
      </c>
      <c r="D137" s="51">
        <f t="shared" si="98"/>
        <v>50001</v>
      </c>
      <c r="E137" s="70">
        <v>100000</v>
      </c>
      <c r="F137" s="312"/>
      <c r="G137" s="313"/>
      <c r="H137" s="313"/>
      <c r="I137" s="313"/>
      <c r="J137" s="313"/>
      <c r="K137" s="313"/>
      <c r="M137" s="61" t="s">
        <v>4862</v>
      </c>
      <c r="O137" s="312"/>
      <c r="P137" s="312"/>
      <c r="Q137" s="312"/>
      <c r="R137" s="312"/>
      <c r="S137" s="312"/>
      <c r="U137" s="61" t="s">
        <v>4862</v>
      </c>
      <c r="W137" s="312">
        <f t="shared" si="97"/>
        <v>0</v>
      </c>
      <c r="X137" s="312">
        <f t="shared" si="96"/>
        <v>0</v>
      </c>
      <c r="Y137" s="312">
        <f t="shared" si="96"/>
        <v>0</v>
      </c>
      <c r="Z137" s="312">
        <f t="shared" si="96"/>
        <v>0</v>
      </c>
      <c r="AA137" s="312">
        <f t="shared" si="96"/>
        <v>0</v>
      </c>
      <c r="AD137" s="58">
        <f>NPV(Inputs!$C$6,Mercado!G137:J137)+(Mercado!K137*Inputs!$C$11)/(1+Inputs!$C$6)^(4.55)</f>
        <v>0</v>
      </c>
    </row>
    <row r="138" spans="1:30">
      <c r="A138" s="192" t="s">
        <v>4867</v>
      </c>
      <c r="B138" s="61" t="s">
        <v>4862</v>
      </c>
      <c r="C138" s="123">
        <v>6</v>
      </c>
      <c r="D138" s="51">
        <f t="shared" si="98"/>
        <v>100001</v>
      </c>
      <c r="E138" s="70">
        <v>300000</v>
      </c>
      <c r="F138" s="312"/>
      <c r="G138" s="313"/>
      <c r="H138" s="313"/>
      <c r="I138" s="313"/>
      <c r="J138" s="313"/>
      <c r="K138" s="313"/>
      <c r="M138" s="61" t="s">
        <v>4862</v>
      </c>
      <c r="O138" s="312"/>
      <c r="P138" s="312"/>
      <c r="Q138" s="312"/>
      <c r="R138" s="312"/>
      <c r="S138" s="312"/>
      <c r="U138" s="61" t="s">
        <v>4862</v>
      </c>
      <c r="W138" s="312">
        <f t="shared" si="97"/>
        <v>0</v>
      </c>
      <c r="X138" s="312">
        <f t="shared" si="96"/>
        <v>0</v>
      </c>
      <c r="Y138" s="312">
        <f t="shared" si="96"/>
        <v>0</v>
      </c>
      <c r="Z138" s="312">
        <f t="shared" si="96"/>
        <v>0</v>
      </c>
      <c r="AA138" s="312">
        <f t="shared" si="96"/>
        <v>0</v>
      </c>
      <c r="AD138" s="58">
        <f>NPV(Inputs!$C$6,Mercado!G138:J138)+(Mercado!K138*Inputs!$C$11)/(1+Inputs!$C$6)^(4.55)</f>
        <v>0</v>
      </c>
    </row>
    <row r="139" spans="1:30">
      <c r="A139" s="192" t="s">
        <v>4868</v>
      </c>
      <c r="B139" s="61" t="s">
        <v>4862</v>
      </c>
      <c r="C139" s="123">
        <v>7</v>
      </c>
      <c r="D139" s="51">
        <f t="shared" si="98"/>
        <v>300001</v>
      </c>
      <c r="E139" s="70">
        <v>600000</v>
      </c>
      <c r="F139" s="312"/>
      <c r="G139" s="313"/>
      <c r="H139" s="313"/>
      <c r="I139" s="313"/>
      <c r="J139" s="313"/>
      <c r="K139" s="313"/>
      <c r="M139" s="61" t="s">
        <v>4862</v>
      </c>
      <c r="O139" s="312"/>
      <c r="P139" s="312"/>
      <c r="Q139" s="312"/>
      <c r="R139" s="312"/>
      <c r="S139" s="312"/>
      <c r="U139" s="61" t="s">
        <v>4862</v>
      </c>
      <c r="W139" s="312">
        <f t="shared" si="97"/>
        <v>0</v>
      </c>
      <c r="X139" s="312">
        <f t="shared" si="96"/>
        <v>0</v>
      </c>
      <c r="Y139" s="312">
        <f t="shared" si="96"/>
        <v>0</v>
      </c>
      <c r="Z139" s="312">
        <f t="shared" si="96"/>
        <v>0</v>
      </c>
      <c r="AA139" s="312">
        <f t="shared" si="96"/>
        <v>0</v>
      </c>
      <c r="AD139" s="58">
        <f>NPV(Inputs!$C$6,Mercado!G139:J139)+(Mercado!K139*Inputs!$C$11)/(1+Inputs!$C$6)^(4.55)</f>
        <v>0</v>
      </c>
    </row>
    <row r="140" spans="1:30">
      <c r="A140" s="192" t="s">
        <v>4869</v>
      </c>
      <c r="B140" s="61" t="s">
        <v>4862</v>
      </c>
      <c r="C140" s="123">
        <v>8</v>
      </c>
      <c r="D140" s="51">
        <f t="shared" si="98"/>
        <v>600001</v>
      </c>
      <c r="E140" s="70">
        <v>1500000</v>
      </c>
      <c r="F140" s="312"/>
      <c r="G140" s="313"/>
      <c r="H140" s="313"/>
      <c r="I140" s="313"/>
      <c r="J140" s="313"/>
      <c r="K140" s="313"/>
      <c r="M140" s="61" t="s">
        <v>4862</v>
      </c>
      <c r="O140" s="312"/>
      <c r="P140" s="312"/>
      <c r="Q140" s="312"/>
      <c r="R140" s="312"/>
      <c r="S140" s="312"/>
      <c r="U140" s="61" t="s">
        <v>4862</v>
      </c>
      <c r="W140" s="312">
        <f t="shared" si="97"/>
        <v>0</v>
      </c>
      <c r="X140" s="312">
        <f t="shared" si="96"/>
        <v>0</v>
      </c>
      <c r="Y140" s="312">
        <f t="shared" si="96"/>
        <v>0</v>
      </c>
      <c r="Z140" s="312">
        <f t="shared" si="96"/>
        <v>0</v>
      </c>
      <c r="AA140" s="312">
        <f t="shared" si="96"/>
        <v>0</v>
      </c>
      <c r="AD140" s="58">
        <f>NPV(Inputs!$C$6,Mercado!G140:J140)+(Mercado!K140*Inputs!$C$11)/(1+Inputs!$C$6)^(4.55)</f>
        <v>0</v>
      </c>
    </row>
    <row r="141" spans="1:30">
      <c r="A141" s="192" t="s">
        <v>4870</v>
      </c>
      <c r="B141" s="61" t="s">
        <v>4862</v>
      </c>
      <c r="C141" s="123">
        <v>9</v>
      </c>
      <c r="D141" s="51">
        <f t="shared" si="98"/>
        <v>1500001</v>
      </c>
      <c r="E141" s="70">
        <v>3000000</v>
      </c>
      <c r="F141" s="312"/>
      <c r="G141" s="313"/>
      <c r="H141" s="313"/>
      <c r="I141" s="313"/>
      <c r="J141" s="313"/>
      <c r="K141" s="313"/>
      <c r="M141" s="61" t="s">
        <v>4862</v>
      </c>
      <c r="O141" s="312"/>
      <c r="P141" s="312"/>
      <c r="Q141" s="312"/>
      <c r="R141" s="312"/>
      <c r="S141" s="312"/>
      <c r="U141" s="61" t="s">
        <v>4862</v>
      </c>
      <c r="W141" s="312">
        <f t="shared" si="97"/>
        <v>0</v>
      </c>
      <c r="X141" s="312">
        <f t="shared" si="96"/>
        <v>0</v>
      </c>
      <c r="Y141" s="312">
        <f t="shared" si="96"/>
        <v>0</v>
      </c>
      <c r="Z141" s="312">
        <f t="shared" si="96"/>
        <v>0</v>
      </c>
      <c r="AA141" s="312">
        <f t="shared" si="96"/>
        <v>0</v>
      </c>
      <c r="AD141" s="58">
        <f>NPV(Inputs!$C$6,Mercado!G141:J141)+(Mercado!K141*Inputs!$C$11)/(1+Inputs!$C$6)^(4.55)</f>
        <v>0</v>
      </c>
    </row>
    <row r="142" spans="1:30">
      <c r="A142" s="192" t="s">
        <v>4871</v>
      </c>
      <c r="B142" s="61" t="s">
        <v>4862</v>
      </c>
      <c r="C142" s="123">
        <v>10</v>
      </c>
      <c r="D142" s="51">
        <f t="shared" si="98"/>
        <v>3000001</v>
      </c>
      <c r="E142" s="51">
        <v>999999999</v>
      </c>
      <c r="F142" s="312"/>
      <c r="G142" s="313"/>
      <c r="H142" s="313"/>
      <c r="I142" s="313"/>
      <c r="J142" s="313"/>
      <c r="K142" s="313"/>
      <c r="M142" s="61" t="s">
        <v>4862</v>
      </c>
      <c r="O142" s="312"/>
      <c r="P142" s="312"/>
      <c r="Q142" s="312"/>
      <c r="R142" s="312"/>
      <c r="S142" s="312"/>
      <c r="U142" s="61" t="s">
        <v>4862</v>
      </c>
      <c r="W142" s="312">
        <f t="shared" si="97"/>
        <v>0</v>
      </c>
      <c r="X142" s="312">
        <f t="shared" si="96"/>
        <v>0</v>
      </c>
      <c r="Y142" s="312">
        <f t="shared" si="96"/>
        <v>0</v>
      </c>
      <c r="Z142" s="312">
        <f t="shared" si="96"/>
        <v>0</v>
      </c>
      <c r="AA142" s="312">
        <f t="shared" si="96"/>
        <v>0</v>
      </c>
      <c r="AD142" s="58">
        <f>NPV(Inputs!$C$6,Mercado!G142:J142)+(Mercado!K142*Inputs!$C$11)/(1+Inputs!$C$6)^(4.55)</f>
        <v>0</v>
      </c>
    </row>
    <row r="143" spans="1:30">
      <c r="A143" s="192"/>
      <c r="B143" s="198"/>
      <c r="C143" s="202"/>
      <c r="D143" s="198"/>
      <c r="E143" s="198"/>
      <c r="F143" s="199">
        <f>SUM(F144:F153)</f>
        <v>0</v>
      </c>
      <c r="G143" s="199">
        <f t="shared" ref="G143:K143" si="99">SUM(G144:G153)</f>
        <v>0</v>
      </c>
      <c r="H143" s="199">
        <f t="shared" si="99"/>
        <v>0</v>
      </c>
      <c r="I143" s="199">
        <f t="shared" si="99"/>
        <v>0</v>
      </c>
      <c r="J143" s="199">
        <f t="shared" si="99"/>
        <v>0</v>
      </c>
      <c r="K143" s="199">
        <f t="shared" si="99"/>
        <v>0</v>
      </c>
      <c r="M143" s="198"/>
      <c r="O143" s="199">
        <f>SUM(O144:O153)</f>
        <v>0</v>
      </c>
      <c r="P143" s="199">
        <f t="shared" ref="P143:S143" si="100">SUM(P144:P153)</f>
        <v>0</v>
      </c>
      <c r="Q143" s="199">
        <f t="shared" si="100"/>
        <v>0</v>
      </c>
      <c r="R143" s="199">
        <f t="shared" si="100"/>
        <v>0</v>
      </c>
      <c r="S143" s="199">
        <f t="shared" si="100"/>
        <v>0</v>
      </c>
      <c r="U143" s="198"/>
      <c r="W143" s="199">
        <f>SUM(W144:W153)</f>
        <v>0</v>
      </c>
      <c r="X143" s="199">
        <f t="shared" ref="X143:AA143" si="101">SUM(X144:X153)</f>
        <v>0</v>
      </c>
      <c r="Y143" s="199">
        <f t="shared" si="101"/>
        <v>0</v>
      </c>
      <c r="Z143" s="199">
        <f t="shared" si="101"/>
        <v>0</v>
      </c>
      <c r="AA143" s="199">
        <f t="shared" si="101"/>
        <v>0</v>
      </c>
      <c r="AD143" s="58">
        <f>NPV(Inputs!$C$6,Mercado!G143:J143)+(Mercado!K143*Inputs!$C$11)/(1+Inputs!$C$6)^(4.55)</f>
        <v>0</v>
      </c>
    </row>
    <row r="144" spans="1:30">
      <c r="A144" s="192" t="s">
        <v>4872</v>
      </c>
      <c r="B144" s="61" t="s">
        <v>4873</v>
      </c>
      <c r="C144" s="123">
        <v>1</v>
      </c>
      <c r="D144" s="58">
        <v>0</v>
      </c>
      <c r="E144" s="70">
        <v>200</v>
      </c>
      <c r="F144" s="312"/>
      <c r="G144" s="313"/>
      <c r="H144" s="313"/>
      <c r="I144" s="313"/>
      <c r="J144" s="313"/>
      <c r="K144" s="313"/>
      <c r="M144" s="61" t="s">
        <v>4873</v>
      </c>
      <c r="O144" s="312"/>
      <c r="P144" s="312"/>
      <c r="Q144" s="312"/>
      <c r="R144" s="312"/>
      <c r="S144" s="312"/>
      <c r="U144" s="61" t="s">
        <v>4873</v>
      </c>
      <c r="W144" s="312">
        <f>G144</f>
        <v>0</v>
      </c>
      <c r="X144" s="312">
        <f t="shared" ref="X144:AA153" si="102">H144</f>
        <v>0</v>
      </c>
      <c r="Y144" s="312">
        <f t="shared" si="102"/>
        <v>0</v>
      </c>
      <c r="Z144" s="312">
        <f t="shared" si="102"/>
        <v>0</v>
      </c>
      <c r="AA144" s="312">
        <f t="shared" si="102"/>
        <v>0</v>
      </c>
      <c r="AD144" s="58">
        <f>NPV(Inputs!$C$6,Mercado!G144:J144)+(Mercado!K144*Inputs!$C$11)/(1+Inputs!$C$6)^(4.55)</f>
        <v>0</v>
      </c>
    </row>
    <row r="145" spans="1:30">
      <c r="A145" s="192" t="s">
        <v>4874</v>
      </c>
      <c r="B145" s="61" t="s">
        <v>4873</v>
      </c>
      <c r="C145" s="123">
        <v>2</v>
      </c>
      <c r="D145" s="51">
        <f>E144+1</f>
        <v>201</v>
      </c>
      <c r="E145" s="70">
        <v>2000</v>
      </c>
      <c r="F145" s="312"/>
      <c r="G145" s="313"/>
      <c r="H145" s="313"/>
      <c r="I145" s="313"/>
      <c r="J145" s="313"/>
      <c r="K145" s="313"/>
      <c r="M145" s="61" t="s">
        <v>4873</v>
      </c>
      <c r="O145" s="312"/>
      <c r="P145" s="312"/>
      <c r="Q145" s="312"/>
      <c r="R145" s="312"/>
      <c r="S145" s="312"/>
      <c r="U145" s="61" t="s">
        <v>4873</v>
      </c>
      <c r="W145" s="312">
        <f t="shared" ref="W145:W153" si="103">G145</f>
        <v>0</v>
      </c>
      <c r="X145" s="312">
        <f t="shared" si="102"/>
        <v>0</v>
      </c>
      <c r="Y145" s="312">
        <f t="shared" si="102"/>
        <v>0</v>
      </c>
      <c r="Z145" s="312">
        <f t="shared" si="102"/>
        <v>0</v>
      </c>
      <c r="AA145" s="312">
        <f t="shared" si="102"/>
        <v>0</v>
      </c>
      <c r="AD145" s="58">
        <f>NPV(Inputs!$C$6,Mercado!G145:J145)+(Mercado!K145*Inputs!$C$11)/(1+Inputs!$C$6)^(4.55)</f>
        <v>0</v>
      </c>
    </row>
    <row r="146" spans="1:30">
      <c r="A146" s="192" t="s">
        <v>4875</v>
      </c>
      <c r="B146" s="61" t="s">
        <v>4873</v>
      </c>
      <c r="C146" s="123">
        <v>3</v>
      </c>
      <c r="D146" s="51">
        <f t="shared" ref="D146:D153" si="104">E145+1</f>
        <v>2001</v>
      </c>
      <c r="E146" s="70">
        <v>10000</v>
      </c>
      <c r="F146" s="312"/>
      <c r="G146" s="313"/>
      <c r="H146" s="313"/>
      <c r="I146" s="313"/>
      <c r="J146" s="313"/>
      <c r="K146" s="313"/>
      <c r="M146" s="61" t="s">
        <v>4873</v>
      </c>
      <c r="O146" s="312"/>
      <c r="P146" s="312"/>
      <c r="Q146" s="312"/>
      <c r="R146" s="312"/>
      <c r="S146" s="312"/>
      <c r="U146" s="61" t="s">
        <v>4873</v>
      </c>
      <c r="W146" s="312">
        <f t="shared" si="103"/>
        <v>0</v>
      </c>
      <c r="X146" s="312">
        <f t="shared" si="102"/>
        <v>0</v>
      </c>
      <c r="Y146" s="312">
        <f t="shared" si="102"/>
        <v>0</v>
      </c>
      <c r="Z146" s="312">
        <f t="shared" si="102"/>
        <v>0</v>
      </c>
      <c r="AA146" s="312">
        <f t="shared" si="102"/>
        <v>0</v>
      </c>
      <c r="AD146" s="58">
        <f>NPV(Inputs!$C$6,Mercado!G146:J146)+(Mercado!K146*Inputs!$C$11)/(1+Inputs!$C$6)^(4.55)</f>
        <v>0</v>
      </c>
    </row>
    <row r="147" spans="1:30">
      <c r="A147" s="192" t="s">
        <v>4876</v>
      </c>
      <c r="B147" s="61" t="s">
        <v>4873</v>
      </c>
      <c r="C147" s="123">
        <v>4</v>
      </c>
      <c r="D147" s="51">
        <f t="shared" si="104"/>
        <v>10001</v>
      </c>
      <c r="E147" s="70">
        <v>50000</v>
      </c>
      <c r="F147" s="312"/>
      <c r="G147" s="313"/>
      <c r="H147" s="313"/>
      <c r="I147" s="313"/>
      <c r="J147" s="313"/>
      <c r="K147" s="313"/>
      <c r="M147" s="61" t="s">
        <v>4873</v>
      </c>
      <c r="O147" s="312"/>
      <c r="P147" s="312"/>
      <c r="Q147" s="312"/>
      <c r="R147" s="312"/>
      <c r="S147" s="312"/>
      <c r="U147" s="61" t="s">
        <v>4873</v>
      </c>
      <c r="W147" s="312">
        <f t="shared" si="103"/>
        <v>0</v>
      </c>
      <c r="X147" s="312">
        <f t="shared" si="102"/>
        <v>0</v>
      </c>
      <c r="Y147" s="312">
        <f t="shared" si="102"/>
        <v>0</v>
      </c>
      <c r="Z147" s="312">
        <f t="shared" si="102"/>
        <v>0</v>
      </c>
      <c r="AA147" s="312">
        <f t="shared" si="102"/>
        <v>0</v>
      </c>
      <c r="AD147" s="58">
        <f>NPV(Inputs!$C$6,Mercado!G147:J147)+(Mercado!K147*Inputs!$C$11)/(1+Inputs!$C$6)^(4.55)</f>
        <v>0</v>
      </c>
    </row>
    <row r="148" spans="1:30">
      <c r="A148" s="192" t="s">
        <v>4877</v>
      </c>
      <c r="B148" s="61" t="s">
        <v>4873</v>
      </c>
      <c r="C148" s="123">
        <v>5</v>
      </c>
      <c r="D148" s="51">
        <f t="shared" si="104"/>
        <v>50001</v>
      </c>
      <c r="E148" s="70">
        <v>100000</v>
      </c>
      <c r="F148" s="312"/>
      <c r="G148" s="313"/>
      <c r="H148" s="313"/>
      <c r="I148" s="313"/>
      <c r="J148" s="313"/>
      <c r="K148" s="313"/>
      <c r="M148" s="61" t="s">
        <v>4873</v>
      </c>
      <c r="O148" s="312"/>
      <c r="P148" s="312"/>
      <c r="Q148" s="312"/>
      <c r="R148" s="312"/>
      <c r="S148" s="312"/>
      <c r="U148" s="61" t="s">
        <v>4873</v>
      </c>
      <c r="W148" s="312">
        <f t="shared" si="103"/>
        <v>0</v>
      </c>
      <c r="X148" s="312">
        <f t="shared" si="102"/>
        <v>0</v>
      </c>
      <c r="Y148" s="312">
        <f t="shared" si="102"/>
        <v>0</v>
      </c>
      <c r="Z148" s="312">
        <f t="shared" si="102"/>
        <v>0</v>
      </c>
      <c r="AA148" s="312">
        <f t="shared" si="102"/>
        <v>0</v>
      </c>
      <c r="AD148" s="58">
        <f>NPV(Inputs!$C$6,Mercado!G148:J148)+(Mercado!K148*Inputs!$C$11)/(1+Inputs!$C$6)^(4.55)</f>
        <v>0</v>
      </c>
    </row>
    <row r="149" spans="1:30">
      <c r="A149" s="192" t="s">
        <v>4878</v>
      </c>
      <c r="B149" s="61" t="s">
        <v>4873</v>
      </c>
      <c r="C149" s="123">
        <v>6</v>
      </c>
      <c r="D149" s="51">
        <f t="shared" si="104"/>
        <v>100001</v>
      </c>
      <c r="E149" s="70">
        <v>300000</v>
      </c>
      <c r="F149" s="312"/>
      <c r="G149" s="313"/>
      <c r="H149" s="313"/>
      <c r="I149" s="313"/>
      <c r="J149" s="313"/>
      <c r="K149" s="313"/>
      <c r="M149" s="61" t="s">
        <v>4873</v>
      </c>
      <c r="O149" s="312"/>
      <c r="P149" s="312"/>
      <c r="Q149" s="312"/>
      <c r="R149" s="312"/>
      <c r="S149" s="312"/>
      <c r="U149" s="61" t="s">
        <v>4873</v>
      </c>
      <c r="W149" s="312">
        <f t="shared" si="103"/>
        <v>0</v>
      </c>
      <c r="X149" s="312">
        <f t="shared" si="102"/>
        <v>0</v>
      </c>
      <c r="Y149" s="312">
        <f t="shared" si="102"/>
        <v>0</v>
      </c>
      <c r="Z149" s="312">
        <f t="shared" si="102"/>
        <v>0</v>
      </c>
      <c r="AA149" s="312">
        <f t="shared" si="102"/>
        <v>0</v>
      </c>
      <c r="AD149" s="58">
        <f>NPV(Inputs!$C$6,Mercado!G149:J149)+(Mercado!K149*Inputs!$C$11)/(1+Inputs!$C$6)^(4.55)</f>
        <v>0</v>
      </c>
    </row>
    <row r="150" spans="1:30">
      <c r="A150" s="192" t="s">
        <v>4879</v>
      </c>
      <c r="B150" s="61" t="s">
        <v>4873</v>
      </c>
      <c r="C150" s="123">
        <v>7</v>
      </c>
      <c r="D150" s="51">
        <f t="shared" si="104"/>
        <v>300001</v>
      </c>
      <c r="E150" s="70">
        <v>600000</v>
      </c>
      <c r="F150" s="312"/>
      <c r="G150" s="313"/>
      <c r="H150" s="313"/>
      <c r="I150" s="313"/>
      <c r="J150" s="313"/>
      <c r="K150" s="313"/>
      <c r="M150" s="61" t="s">
        <v>4873</v>
      </c>
      <c r="O150" s="312"/>
      <c r="P150" s="312"/>
      <c r="Q150" s="312"/>
      <c r="R150" s="312"/>
      <c r="S150" s="312"/>
      <c r="U150" s="61" t="s">
        <v>4873</v>
      </c>
      <c r="W150" s="312">
        <f t="shared" si="103"/>
        <v>0</v>
      </c>
      <c r="X150" s="312">
        <f t="shared" si="102"/>
        <v>0</v>
      </c>
      <c r="Y150" s="312">
        <f t="shared" si="102"/>
        <v>0</v>
      </c>
      <c r="Z150" s="312">
        <f t="shared" si="102"/>
        <v>0</v>
      </c>
      <c r="AA150" s="312">
        <f t="shared" si="102"/>
        <v>0</v>
      </c>
      <c r="AD150" s="58">
        <f>NPV(Inputs!$C$6,Mercado!G150:J150)+(Mercado!K150*Inputs!$C$11)/(1+Inputs!$C$6)^(4.55)</f>
        <v>0</v>
      </c>
    </row>
    <row r="151" spans="1:30">
      <c r="A151" s="192" t="s">
        <v>4880</v>
      </c>
      <c r="B151" s="61" t="s">
        <v>4873</v>
      </c>
      <c r="C151" s="123">
        <v>8</v>
      </c>
      <c r="D151" s="51">
        <f t="shared" si="104"/>
        <v>600001</v>
      </c>
      <c r="E151" s="70">
        <v>1500000</v>
      </c>
      <c r="F151" s="312"/>
      <c r="G151" s="313"/>
      <c r="H151" s="313"/>
      <c r="I151" s="313"/>
      <c r="J151" s="313"/>
      <c r="K151" s="313"/>
      <c r="M151" s="61" t="s">
        <v>4873</v>
      </c>
      <c r="O151" s="312"/>
      <c r="P151" s="312"/>
      <c r="Q151" s="312"/>
      <c r="R151" s="312"/>
      <c r="S151" s="312"/>
      <c r="U151" s="61" t="s">
        <v>4873</v>
      </c>
      <c r="W151" s="312">
        <f t="shared" si="103"/>
        <v>0</v>
      </c>
      <c r="X151" s="312">
        <f t="shared" si="102"/>
        <v>0</v>
      </c>
      <c r="Y151" s="312">
        <f t="shared" si="102"/>
        <v>0</v>
      </c>
      <c r="Z151" s="312">
        <f t="shared" si="102"/>
        <v>0</v>
      </c>
      <c r="AA151" s="312">
        <f t="shared" si="102"/>
        <v>0</v>
      </c>
      <c r="AD151" s="58">
        <f>NPV(Inputs!$C$6,Mercado!G151:J151)+(Mercado!K151*Inputs!$C$11)/(1+Inputs!$C$6)^(4.55)</f>
        <v>0</v>
      </c>
    </row>
    <row r="152" spans="1:30">
      <c r="A152" s="192" t="s">
        <v>4881</v>
      </c>
      <c r="B152" s="61" t="s">
        <v>4873</v>
      </c>
      <c r="C152" s="123">
        <v>9</v>
      </c>
      <c r="D152" s="51">
        <f t="shared" si="104"/>
        <v>1500001</v>
      </c>
      <c r="E152" s="70">
        <v>3000000</v>
      </c>
      <c r="F152" s="312"/>
      <c r="G152" s="313"/>
      <c r="H152" s="313"/>
      <c r="I152" s="313"/>
      <c r="J152" s="313"/>
      <c r="K152" s="313"/>
      <c r="M152" s="61" t="s">
        <v>4873</v>
      </c>
      <c r="O152" s="312"/>
      <c r="P152" s="312"/>
      <c r="Q152" s="312"/>
      <c r="R152" s="312"/>
      <c r="S152" s="312"/>
      <c r="U152" s="61" t="s">
        <v>4873</v>
      </c>
      <c r="W152" s="312">
        <f t="shared" si="103"/>
        <v>0</v>
      </c>
      <c r="X152" s="312">
        <f t="shared" si="102"/>
        <v>0</v>
      </c>
      <c r="Y152" s="312">
        <f t="shared" si="102"/>
        <v>0</v>
      </c>
      <c r="Z152" s="312">
        <f t="shared" si="102"/>
        <v>0</v>
      </c>
      <c r="AA152" s="312">
        <f t="shared" si="102"/>
        <v>0</v>
      </c>
      <c r="AD152" s="58">
        <f>NPV(Inputs!$C$6,Mercado!G152:J152)+(Mercado!K152*Inputs!$C$11)/(1+Inputs!$C$6)^(4.55)</f>
        <v>0</v>
      </c>
    </row>
    <row r="153" spans="1:30">
      <c r="A153" s="192" t="s">
        <v>4882</v>
      </c>
      <c r="B153" s="61" t="s">
        <v>4873</v>
      </c>
      <c r="C153" s="123">
        <v>10</v>
      </c>
      <c r="D153" s="51">
        <f t="shared" si="104"/>
        <v>3000001</v>
      </c>
      <c r="E153" s="51">
        <v>999999999</v>
      </c>
      <c r="F153" s="312"/>
      <c r="G153" s="313"/>
      <c r="H153" s="313"/>
      <c r="I153" s="313"/>
      <c r="J153" s="313"/>
      <c r="K153" s="313"/>
      <c r="M153" s="61" t="s">
        <v>4873</v>
      </c>
      <c r="O153" s="312"/>
      <c r="P153" s="312"/>
      <c r="Q153" s="312"/>
      <c r="R153" s="312"/>
      <c r="S153" s="312"/>
      <c r="U153" s="61" t="s">
        <v>4873</v>
      </c>
      <c r="W153" s="312">
        <f t="shared" si="103"/>
        <v>0</v>
      </c>
      <c r="X153" s="312">
        <f t="shared" si="102"/>
        <v>0</v>
      </c>
      <c r="Y153" s="312">
        <f t="shared" si="102"/>
        <v>0</v>
      </c>
      <c r="Z153" s="312">
        <f t="shared" si="102"/>
        <v>0</v>
      </c>
      <c r="AA153" s="312">
        <f t="shared" si="102"/>
        <v>0</v>
      </c>
      <c r="AD153" s="58">
        <f>NPV(Inputs!$C$6,Mercado!G153:J153)+(Mercado!K153*Inputs!$C$11)/(1+Inputs!$C$6)^(4.55)</f>
        <v>0</v>
      </c>
    </row>
    <row r="154" spans="1:30">
      <c r="A154" s="192"/>
      <c r="B154" s="61"/>
      <c r="C154" s="123"/>
      <c r="D154" s="58"/>
      <c r="E154" s="51"/>
      <c r="F154" s="201"/>
      <c r="G154" s="201"/>
      <c r="H154" s="201"/>
      <c r="I154" s="201"/>
      <c r="J154" s="201"/>
      <c r="K154" s="201"/>
      <c r="M154" s="61"/>
      <c r="O154" s="55"/>
      <c r="P154" s="55"/>
      <c r="Q154" s="55"/>
      <c r="R154" s="55"/>
      <c r="S154" s="55"/>
      <c r="U154" s="61"/>
      <c r="W154" s="55"/>
      <c r="X154" s="55"/>
      <c r="Y154" s="55"/>
      <c r="Z154" s="55"/>
      <c r="AA154" s="55"/>
    </row>
    <row r="156" spans="1:30">
      <c r="A156" s="193"/>
      <c r="B156" s="205" t="s">
        <v>4887</v>
      </c>
      <c r="C156" s="206"/>
      <c r="D156" s="206"/>
      <c r="E156" s="206"/>
      <c r="F156" s="207">
        <f>F58+F101+F25+F80+F18+F13+F8+F35+F45+F55+F69+F84+F86+F90+F103+F114+F121+F132+F143</f>
        <v>107990</v>
      </c>
      <c r="G156" s="207">
        <f t="shared" ref="G156:K156" si="105">G58+G101+G25+G80+G18+G13+G8+G35+G45+G55+G69+G84+G86+G90+G103+G114+G121+G132+G143</f>
        <v>111027</v>
      </c>
      <c r="H156" s="207">
        <f t="shared" si="105"/>
        <v>111881</v>
      </c>
      <c r="I156" s="207">
        <f t="shared" si="105"/>
        <v>93570.428412339097</v>
      </c>
      <c r="J156" s="207">
        <f t="shared" si="105"/>
        <v>95669.223444369491</v>
      </c>
      <c r="K156" s="207">
        <f t="shared" si="105"/>
        <v>97786.706504397356</v>
      </c>
      <c r="O156" s="207">
        <f t="shared" ref="O156:S156" si="106">O58+O101+O25+O80+O18+O13+O8+O35+O45+O55+O69+O84+O86+O90+O103+O114+O121+O132+O143</f>
        <v>111031</v>
      </c>
      <c r="P156" s="207">
        <f t="shared" si="106"/>
        <v>111884</v>
      </c>
      <c r="Q156" s="207">
        <f t="shared" si="106"/>
        <v>93573.428412339097</v>
      </c>
      <c r="R156" s="207">
        <f t="shared" si="106"/>
        <v>95672.223444369491</v>
      </c>
      <c r="S156" s="207">
        <f t="shared" si="106"/>
        <v>97789.706504397356</v>
      </c>
      <c r="W156" s="207">
        <f t="shared" ref="W156:AA156" si="107">W58+W101+W25+W80+W18+W13+W8+W35+W45+W55+W69+W84+W86+W90+W103+W114+W121+W132+W143</f>
        <v>0</v>
      </c>
      <c r="X156" s="207">
        <f t="shared" si="107"/>
        <v>1</v>
      </c>
      <c r="Y156" s="207">
        <f t="shared" si="107"/>
        <v>1</v>
      </c>
      <c r="Z156" s="207">
        <f t="shared" si="107"/>
        <v>1</v>
      </c>
      <c r="AA156" s="207">
        <f t="shared" si="107"/>
        <v>1</v>
      </c>
    </row>
    <row r="157" spans="1:30">
      <c r="A157" s="193"/>
      <c r="B157" s="205" t="s">
        <v>4888</v>
      </c>
      <c r="C157" s="206"/>
      <c r="D157" s="206"/>
      <c r="E157" s="206"/>
      <c r="F157" s="207">
        <f t="shared" ref="F157:G157" si="108">F89+F82</f>
        <v>2</v>
      </c>
      <c r="G157" s="207">
        <f t="shared" si="108"/>
        <v>2</v>
      </c>
      <c r="H157" s="207">
        <f>H89+H82</f>
        <v>2</v>
      </c>
      <c r="I157" s="207">
        <f t="shared" ref="I157:K157" si="109">I89</f>
        <v>3</v>
      </c>
      <c r="J157" s="207">
        <f t="shared" si="109"/>
        <v>3</v>
      </c>
      <c r="K157" s="207">
        <f t="shared" si="109"/>
        <v>3</v>
      </c>
      <c r="O157" s="207">
        <f t="shared" ref="O157:S157" si="110">O89</f>
        <v>0</v>
      </c>
      <c r="P157" s="207">
        <f t="shared" si="110"/>
        <v>0</v>
      </c>
      <c r="Q157" s="207">
        <f t="shared" si="110"/>
        <v>0</v>
      </c>
      <c r="R157" s="207">
        <f t="shared" si="110"/>
        <v>0</v>
      </c>
      <c r="S157" s="207">
        <f t="shared" si="110"/>
        <v>0</v>
      </c>
      <c r="W157" s="207">
        <f t="shared" ref="W157:AA157" si="111">W89</f>
        <v>1</v>
      </c>
      <c r="X157" s="207">
        <f t="shared" si="111"/>
        <v>1</v>
      </c>
      <c r="Y157" s="207">
        <f t="shared" si="111"/>
        <v>3</v>
      </c>
      <c r="Z157" s="207">
        <f t="shared" si="111"/>
        <v>3</v>
      </c>
      <c r="AA157" s="207">
        <f t="shared" si="111"/>
        <v>3</v>
      </c>
    </row>
    <row r="158" spans="1:30">
      <c r="A158" s="193"/>
      <c r="B158" s="205" t="s">
        <v>4889</v>
      </c>
      <c r="C158" s="206"/>
      <c r="D158" s="206"/>
      <c r="E158" s="206"/>
      <c r="F158" s="207">
        <f>F58+F101+F25+F84+F18+F13+F8+F35+F45+F55+F69+F86+F88+F90+F82+F80+F103+F114+F121+F132+F143</f>
        <v>107992</v>
      </c>
      <c r="G158" s="207">
        <f t="shared" ref="G158:K158" si="112">G58+G101+G25+G84+G18+G13+G8+G35+G45+G55+G69+G86+G88+G90+G82+G80+G103+G114+G121+G132+G143</f>
        <v>111029</v>
      </c>
      <c r="H158" s="207">
        <f t="shared" si="112"/>
        <v>111883</v>
      </c>
      <c r="I158" s="207">
        <f t="shared" si="112"/>
        <v>93573.428412339097</v>
      </c>
      <c r="J158" s="207">
        <f t="shared" si="112"/>
        <v>95672.223444369491</v>
      </c>
      <c r="K158" s="207">
        <f t="shared" si="112"/>
        <v>97789.706504397356</v>
      </c>
      <c r="O158" s="207">
        <f t="shared" ref="O158:S158" si="113">O58+O101+O25+O84+O18+O13+O8+O35+O45+O55+O69+O86+O88+O90+O82+O80+O103+O114+O121+O132+O143</f>
        <v>111032</v>
      </c>
      <c r="P158" s="207">
        <f t="shared" si="113"/>
        <v>111885</v>
      </c>
      <c r="Q158" s="207">
        <f t="shared" si="113"/>
        <v>93573.428412339097</v>
      </c>
      <c r="R158" s="207">
        <f t="shared" si="113"/>
        <v>95672.223444369491</v>
      </c>
      <c r="S158" s="207">
        <f t="shared" si="113"/>
        <v>97789.706504397356</v>
      </c>
      <c r="W158" s="207">
        <f t="shared" ref="W158:AA158" si="114">W58+W101+W25+W84+W18+W13+W8+W35+W45+W55+W69+W86+W88+W90+W82+W80+W103+W114+W121+W132+W143</f>
        <v>2</v>
      </c>
      <c r="X158" s="207">
        <f t="shared" si="114"/>
        <v>3</v>
      </c>
      <c r="Y158" s="207">
        <f t="shared" si="114"/>
        <v>4</v>
      </c>
      <c r="Z158" s="207">
        <f t="shared" si="114"/>
        <v>4</v>
      </c>
      <c r="AA158" s="207">
        <f t="shared" si="114"/>
        <v>4</v>
      </c>
    </row>
    <row r="160" spans="1:30" ht="14.45">
      <c r="B160"/>
      <c r="C160"/>
      <c r="D160"/>
      <c r="E160"/>
      <c r="F160"/>
      <c r="G160"/>
    </row>
    <row r="161" spans="2:11" ht="14.45">
      <c r="B161"/>
      <c r="C161"/>
      <c r="D161"/>
      <c r="E161"/>
      <c r="F161"/>
      <c r="G161"/>
    </row>
    <row r="162" spans="2:11" ht="14.45">
      <c r="B162"/>
      <c r="C162"/>
      <c r="D162"/>
      <c r="E162"/>
      <c r="F162"/>
      <c r="G162"/>
      <c r="H162" s="55"/>
      <c r="I162" s="55"/>
      <c r="J162" s="55"/>
      <c r="K162" s="55"/>
    </row>
    <row r="163" spans="2:11" ht="14.45">
      <c r="B163"/>
      <c r="C163"/>
      <c r="D163"/>
      <c r="E163"/>
      <c r="F163"/>
      <c r="G163"/>
      <c r="H163" s="59"/>
      <c r="I163" s="59"/>
      <c r="J163" s="59"/>
      <c r="K163" s="59"/>
    </row>
    <row r="164" spans="2:11" ht="14.45">
      <c r="B164"/>
      <c r="C164"/>
      <c r="D164"/>
      <c r="E164"/>
      <c r="F164"/>
      <c r="G164"/>
      <c r="H164" s="55"/>
      <c r="I164" s="55"/>
      <c r="J164" s="55"/>
      <c r="K164" s="55"/>
    </row>
    <row r="165" spans="2:11">
      <c r="G165" s="55"/>
      <c r="H165" s="55"/>
      <c r="I165" s="55"/>
      <c r="J165" s="55"/>
      <c r="K165" s="5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83409-AC3D-47C4-8FA7-0CF1048795FA}">
  <sheetPr>
    <tabColor theme="4" tint="0.79998168889431442"/>
  </sheetPr>
  <dimension ref="B1:AW304"/>
  <sheetViews>
    <sheetView showGridLines="0" topLeftCell="B211" zoomScaleNormal="100" workbookViewId="0">
      <selection activeCell="Z229" sqref="Z229"/>
    </sheetView>
  </sheetViews>
  <sheetFormatPr defaultColWidth="8.85546875" defaultRowHeight="11.45" outlineLevelCol="1"/>
  <cols>
    <col min="1" max="1" width="2.7109375" style="212" customWidth="1"/>
    <col min="2" max="2" width="5.42578125" style="212" customWidth="1"/>
    <col min="3" max="3" width="11.85546875" style="212" customWidth="1"/>
    <col min="4" max="4" width="15.85546875" style="212" customWidth="1"/>
    <col min="5" max="5" width="15.5703125" style="212" customWidth="1"/>
    <col min="6" max="6" width="9.42578125" style="212" customWidth="1"/>
    <col min="7" max="7" width="11.140625" style="212" customWidth="1"/>
    <col min="8" max="8" width="15.140625" style="212" customWidth="1"/>
    <col min="9" max="9" width="20" style="212" customWidth="1"/>
    <col min="10" max="10" width="14" style="212" customWidth="1"/>
    <col min="11" max="11" width="17.5703125" style="212" customWidth="1"/>
    <col min="12" max="12" width="12" style="212" bestFit="1" customWidth="1"/>
    <col min="13" max="13" width="8.85546875" style="212"/>
    <col min="14" max="14" width="9.140625" style="212" hidden="1" customWidth="1" outlineLevel="1"/>
    <col min="15" max="15" width="12.5703125" style="212" hidden="1" customWidth="1" outlineLevel="1"/>
    <col min="16" max="16" width="16.42578125" style="212" hidden="1" customWidth="1" outlineLevel="1"/>
    <col min="17" max="17" width="14" style="212" hidden="1" customWidth="1" outlineLevel="1"/>
    <col min="18" max="18" width="16" style="212" hidden="1" customWidth="1" outlineLevel="1"/>
    <col min="19" max="19" width="8.85546875" style="212" hidden="1" customWidth="1" outlineLevel="1"/>
    <col min="20" max="20" width="8.85546875" style="212" collapsed="1"/>
    <col min="21" max="21" width="9.140625" style="212" bestFit="1" customWidth="1"/>
    <col min="22" max="22" width="12.5703125" style="212" customWidth="1"/>
    <col min="23" max="23" width="16.42578125" style="212" customWidth="1"/>
    <col min="24" max="24" width="17.7109375" style="212" customWidth="1"/>
    <col min="25" max="25" width="22.5703125" style="212" customWidth="1"/>
    <col min="26" max="26" width="13" style="212" customWidth="1"/>
    <col min="27" max="27" width="8.85546875" style="212" customWidth="1"/>
    <col min="28" max="29" width="9.140625" style="212" hidden="1" customWidth="1"/>
    <col min="30" max="30" width="14.42578125" style="212" hidden="1" customWidth="1"/>
    <col min="31" max="32" width="19.7109375" style="212" hidden="1" customWidth="1"/>
    <col min="33" max="39" width="0" style="212" hidden="1" customWidth="1"/>
    <col min="40" max="40" width="5.42578125" style="212" hidden="1" customWidth="1"/>
    <col min="41" max="41" width="11.85546875" style="212" hidden="1" customWidth="1"/>
    <col min="42" max="42" width="15.85546875" style="212" hidden="1" customWidth="1"/>
    <col min="43" max="43" width="15.5703125" style="212" hidden="1" customWidth="1"/>
    <col min="44" max="44" width="0" style="212" hidden="1" customWidth="1"/>
    <col min="45" max="45" width="11.140625" style="212" hidden="1" customWidth="1"/>
    <col min="46" max="46" width="15.140625" style="212" hidden="1" customWidth="1"/>
    <col min="47" max="47" width="20" style="212" hidden="1" customWidth="1"/>
    <col min="48" max="48" width="14" style="212" hidden="1" customWidth="1"/>
    <col min="49" max="49" width="17.5703125" style="212" hidden="1" customWidth="1"/>
    <col min="50" max="51" width="0" style="212" hidden="1" customWidth="1"/>
    <col min="52" max="16384" width="8.85546875" style="212"/>
  </cols>
  <sheetData>
    <row r="1" spans="2:49" s="213" customFormat="1" ht="12" thickBot="1">
      <c r="B1" s="214" t="s">
        <v>4890</v>
      </c>
      <c r="C1" s="214"/>
      <c r="D1" s="214"/>
      <c r="E1" s="214"/>
      <c r="G1" s="214" t="s">
        <v>4891</v>
      </c>
      <c r="H1" s="214"/>
      <c r="I1" s="214"/>
      <c r="J1" s="270" t="s">
        <v>4675</v>
      </c>
      <c r="K1" s="272">
        <f>VLOOKUP(Inputs!$C$4,IGPM!$A$3:$B$1048576,2,0)/IGPM!B135</f>
        <v>0.9168116636787399</v>
      </c>
      <c r="L1" s="215"/>
      <c r="N1" s="214" t="s">
        <v>4892</v>
      </c>
      <c r="O1" s="214"/>
      <c r="P1" s="214"/>
      <c r="Q1" s="214"/>
      <c r="R1" s="216"/>
      <c r="S1" s="215"/>
      <c r="T1" s="217"/>
      <c r="U1" s="763" t="s">
        <v>4893</v>
      </c>
      <c r="V1" s="763"/>
      <c r="W1" s="763"/>
      <c r="X1" s="763"/>
      <c r="Y1" s="764">
        <v>1.0900000000000001</v>
      </c>
      <c r="Z1" s="765"/>
      <c r="AA1" s="50"/>
      <c r="AB1" s="270"/>
      <c r="AC1" s="270"/>
      <c r="AD1" s="270"/>
      <c r="AE1" s="270"/>
      <c r="AF1" s="271"/>
      <c r="AN1" s="214" t="s">
        <v>4894</v>
      </c>
      <c r="AO1" s="214"/>
      <c r="AP1" s="214"/>
      <c r="AQ1" s="214"/>
      <c r="AS1" s="214" t="s">
        <v>4895</v>
      </c>
      <c r="AT1" s="214"/>
      <c r="AU1" s="214"/>
      <c r="AV1" s="270" t="s">
        <v>4675</v>
      </c>
      <c r="AW1" s="272">
        <f>+K1</f>
        <v>0.9168116636787399</v>
      </c>
    </row>
    <row r="2" spans="2:49" ht="12" thickTop="1"/>
    <row r="3" spans="2:49">
      <c r="B3" s="836" t="s">
        <v>47</v>
      </c>
      <c r="C3" s="837"/>
      <c r="D3" s="219"/>
      <c r="E3" s="220"/>
      <c r="G3" s="218" t="s">
        <v>4896</v>
      </c>
      <c r="H3" s="836" t="s">
        <v>47</v>
      </c>
      <c r="I3" s="837"/>
      <c r="J3" s="219"/>
      <c r="K3" s="220"/>
      <c r="L3" s="221"/>
      <c r="M3" s="221"/>
      <c r="N3" s="218" t="str">
        <f>G3</f>
        <v>01</v>
      </c>
      <c r="O3" s="836" t="str">
        <f>H3</f>
        <v>Residencial</v>
      </c>
      <c r="P3" s="837"/>
      <c r="Q3" s="219"/>
      <c r="R3" s="220"/>
      <c r="S3" s="221"/>
      <c r="T3" s="221"/>
      <c r="U3" s="218" t="str">
        <f>N3</f>
        <v>01</v>
      </c>
      <c r="V3" s="836" t="str">
        <f>O3</f>
        <v>Residencial</v>
      </c>
      <c r="W3" s="837"/>
      <c r="Y3" s="304" t="s">
        <v>4897</v>
      </c>
      <c r="Z3" s="305">
        <f>AA3</f>
        <v>0.89816276777508286</v>
      </c>
      <c r="AA3" s="305">
        <f>'Vendas ajustada'!C195</f>
        <v>0.89816276777508286</v>
      </c>
      <c r="AB3" s="218" t="str">
        <f>U3</f>
        <v>01</v>
      </c>
      <c r="AC3" s="836" t="s">
        <v>47</v>
      </c>
      <c r="AD3" s="837"/>
      <c r="AE3" s="219"/>
      <c r="AF3" s="220"/>
      <c r="AN3" s="836" t="s">
        <v>47</v>
      </c>
      <c r="AO3" s="837"/>
      <c r="AP3" s="219"/>
      <c r="AQ3" s="220"/>
      <c r="AS3" s="218" t="s">
        <v>4896</v>
      </c>
      <c r="AT3" s="282" t="s">
        <v>47</v>
      </c>
      <c r="AU3" s="283"/>
      <c r="AV3" s="219"/>
      <c r="AW3" s="220"/>
    </row>
    <row r="4" spans="2:49">
      <c r="B4" s="838" t="s">
        <v>4898</v>
      </c>
      <c r="C4" s="838"/>
      <c r="D4" s="219"/>
      <c r="E4" s="220"/>
      <c r="G4" s="222"/>
      <c r="H4" s="838"/>
      <c r="I4" s="838"/>
      <c r="J4" s="219"/>
      <c r="K4" s="220"/>
      <c r="L4" s="221"/>
      <c r="M4" s="221"/>
      <c r="N4" s="222"/>
      <c r="O4" s="838" t="s">
        <v>4898</v>
      </c>
      <c r="P4" s="838"/>
      <c r="Q4" s="219"/>
      <c r="R4" s="220"/>
      <c r="S4" s="221"/>
      <c r="T4" s="221"/>
      <c r="U4" s="222"/>
      <c r="V4" s="838" t="s">
        <v>4898</v>
      </c>
      <c r="W4" s="838"/>
      <c r="X4" s="219"/>
      <c r="Y4" s="220"/>
      <c r="AA4" s="221"/>
      <c r="AB4" s="222"/>
      <c r="AC4" s="838" t="s">
        <v>4898</v>
      </c>
      <c r="AD4" s="838"/>
      <c r="AE4" s="219"/>
      <c r="AF4" s="220"/>
      <c r="AN4" s="838" t="s">
        <v>4898</v>
      </c>
      <c r="AO4" s="838"/>
      <c r="AP4" s="219"/>
      <c r="AQ4" s="220"/>
      <c r="AS4" s="222"/>
      <c r="AT4" s="284" t="s">
        <v>4898</v>
      </c>
      <c r="AU4" s="284"/>
      <c r="AV4" s="219"/>
      <c r="AW4" s="220"/>
    </row>
    <row r="5" spans="2:49">
      <c r="B5" s="835" t="s">
        <v>4899</v>
      </c>
      <c r="C5" s="835" t="s">
        <v>4900</v>
      </c>
      <c r="D5" s="841" t="s">
        <v>4901</v>
      </c>
      <c r="E5" s="841"/>
      <c r="G5" s="222"/>
      <c r="H5" s="835" t="s">
        <v>4899</v>
      </c>
      <c r="I5" s="835" t="s">
        <v>4900</v>
      </c>
      <c r="J5" s="841" t="s">
        <v>4901</v>
      </c>
      <c r="K5" s="841"/>
      <c r="L5" s="221"/>
      <c r="M5" s="221"/>
      <c r="N5" s="222"/>
      <c r="O5" s="835" t="s">
        <v>4899</v>
      </c>
      <c r="P5" s="835" t="s">
        <v>4900</v>
      </c>
      <c r="Q5" s="224" t="s">
        <v>4901</v>
      </c>
      <c r="R5" s="224"/>
      <c r="S5" s="221"/>
      <c r="T5" s="221"/>
      <c r="U5" s="222"/>
      <c r="V5" s="835" t="s">
        <v>4899</v>
      </c>
      <c r="W5" s="835" t="s">
        <v>4900</v>
      </c>
      <c r="X5" s="224" t="s">
        <v>4901</v>
      </c>
      <c r="Y5" s="224"/>
      <c r="Z5" s="221"/>
      <c r="AA5" s="221"/>
      <c r="AB5" s="222"/>
      <c r="AC5" s="835" t="s">
        <v>4899</v>
      </c>
      <c r="AD5" s="835" t="s">
        <v>4900</v>
      </c>
      <c r="AE5" s="841" t="s">
        <v>4901</v>
      </c>
      <c r="AF5" s="841"/>
      <c r="AN5" s="835" t="s">
        <v>4899</v>
      </c>
      <c r="AO5" s="835" t="s">
        <v>4900</v>
      </c>
      <c r="AP5" s="841" t="s">
        <v>4901</v>
      </c>
      <c r="AQ5" s="841"/>
      <c r="AS5" s="222"/>
      <c r="AT5" s="285" t="s">
        <v>4899</v>
      </c>
      <c r="AU5" s="285" t="s">
        <v>4900</v>
      </c>
      <c r="AV5" s="285" t="s">
        <v>4900</v>
      </c>
      <c r="AW5" s="223" t="s">
        <v>4901</v>
      </c>
    </row>
    <row r="6" spans="2:49">
      <c r="B6" s="835"/>
      <c r="C6" s="835"/>
      <c r="D6" s="223" t="s">
        <v>4902</v>
      </c>
      <c r="E6" s="223" t="s">
        <v>4903</v>
      </c>
      <c r="G6" s="222"/>
      <c r="H6" s="835"/>
      <c r="I6" s="835"/>
      <c r="J6" s="223" t="s">
        <v>4902</v>
      </c>
      <c r="K6" s="223" t="s">
        <v>4903</v>
      </c>
      <c r="L6" s="221"/>
      <c r="M6" s="221"/>
      <c r="N6" s="222"/>
      <c r="O6" s="835"/>
      <c r="P6" s="835"/>
      <c r="Q6" s="223" t="s">
        <v>4902</v>
      </c>
      <c r="R6" s="223" t="s">
        <v>4903</v>
      </c>
      <c r="S6" s="221"/>
      <c r="T6" s="221"/>
      <c r="U6" s="222"/>
      <c r="V6" s="835"/>
      <c r="W6" s="835"/>
      <c r="X6" s="223" t="s">
        <v>4902</v>
      </c>
      <c r="Y6" s="223" t="s">
        <v>4903</v>
      </c>
      <c r="Z6" s="221"/>
      <c r="AA6" s="221"/>
      <c r="AB6" s="222"/>
      <c r="AC6" s="835"/>
      <c r="AD6" s="835"/>
      <c r="AE6" s="223" t="s">
        <v>4902</v>
      </c>
      <c r="AF6" s="223" t="s">
        <v>4903</v>
      </c>
      <c r="AN6" s="835"/>
      <c r="AO6" s="835"/>
      <c r="AP6" s="223" t="s">
        <v>4902</v>
      </c>
      <c r="AQ6" s="223" t="s">
        <v>4903</v>
      </c>
      <c r="AS6" s="222"/>
      <c r="AT6" s="285"/>
      <c r="AU6" s="285"/>
      <c r="AV6" s="223" t="s">
        <v>4902</v>
      </c>
      <c r="AW6" s="223" t="s">
        <v>4903</v>
      </c>
    </row>
    <row r="7" spans="2:49">
      <c r="B7" s="225">
        <v>1</v>
      </c>
      <c r="C7" s="226">
        <v>7</v>
      </c>
      <c r="D7" s="227">
        <v>0</v>
      </c>
      <c r="E7" s="228">
        <v>3.9366124799999995</v>
      </c>
      <c r="G7" s="192" t="str">
        <f>CONCATENATE(G3," ",H7)</f>
        <v>01 1</v>
      </c>
      <c r="H7" s="225">
        <v>1</v>
      </c>
      <c r="I7" s="226">
        <v>7</v>
      </c>
      <c r="J7" s="227">
        <v>0</v>
      </c>
      <c r="K7" s="228">
        <f>E7*$K$1</f>
        <v>3.6091322370472896</v>
      </c>
      <c r="L7" s="221"/>
      <c r="M7" s="221"/>
      <c r="N7" s="192" t="str">
        <f t="shared" ref="N7:N16" si="0">G7</f>
        <v>01 1</v>
      </c>
      <c r="O7" s="225">
        <v>1</v>
      </c>
      <c r="P7" s="226">
        <f>I7</f>
        <v>7</v>
      </c>
      <c r="Q7" s="227">
        <v>0</v>
      </c>
      <c r="R7" s="229">
        <v>0</v>
      </c>
      <c r="S7" s="221"/>
      <c r="T7" s="221"/>
      <c r="U7" s="192" t="str">
        <f t="shared" ref="U7:U16" si="1">N7</f>
        <v>01 1</v>
      </c>
      <c r="V7" s="225">
        <v>1</v>
      </c>
      <c r="W7" s="226">
        <f>P7</f>
        <v>7</v>
      </c>
      <c r="X7" s="227">
        <f>J7*Z7</f>
        <v>0</v>
      </c>
      <c r="Y7" s="758">
        <f>K7*Z7</f>
        <v>3.2415881992926701</v>
      </c>
      <c r="Z7" s="302">
        <f t="shared" ref="Z7:Z16" si="2">$Z$3</f>
        <v>0.89816276777508286</v>
      </c>
      <c r="AA7" s="221"/>
      <c r="AB7" s="192" t="str">
        <f t="shared" ref="AB7:AB16" si="3">U7</f>
        <v>01 1</v>
      </c>
      <c r="AC7" s="225">
        <v>1</v>
      </c>
      <c r="AD7" s="226">
        <f>P7</f>
        <v>7</v>
      </c>
      <c r="AE7" s="227">
        <f>X7+Q7</f>
        <v>0</v>
      </c>
      <c r="AF7" s="227">
        <f>Y7+R7</f>
        <v>3.2415881992926701</v>
      </c>
      <c r="AN7" s="225">
        <v>1</v>
      </c>
      <c r="AO7" s="226">
        <v>7</v>
      </c>
      <c r="AP7" s="227">
        <v>0</v>
      </c>
      <c r="AQ7" s="228">
        <v>7.8087999999999997</v>
      </c>
      <c r="AS7" s="192" t="str">
        <f>CONCATENATE(AS3," ",AT7)</f>
        <v>01 1</v>
      </c>
      <c r="AT7" s="225">
        <v>1</v>
      </c>
      <c r="AU7" s="226">
        <v>7</v>
      </c>
      <c r="AV7" s="227">
        <v>0</v>
      </c>
      <c r="AW7" s="228">
        <f>AQ7*$AW$1</f>
        <v>7.1591989193345436</v>
      </c>
    </row>
    <row r="8" spans="2:49">
      <c r="B8" s="225">
        <v>2</v>
      </c>
      <c r="C8" s="226">
        <v>23</v>
      </c>
      <c r="D8" s="227">
        <v>0</v>
      </c>
      <c r="E8" s="228">
        <v>5.5072983000000004</v>
      </c>
      <c r="G8" s="192" t="str">
        <f>CONCATENATE(G3," ",H8)</f>
        <v>01 2</v>
      </c>
      <c r="H8" s="225">
        <v>2</v>
      </c>
      <c r="I8" s="226">
        <v>23</v>
      </c>
      <c r="J8" s="227">
        <v>0</v>
      </c>
      <c r="K8" s="228">
        <f t="shared" ref="K8:K16" si="4">E8*$K$1</f>
        <v>5.049155316798096</v>
      </c>
      <c r="L8" s="221"/>
      <c r="M8" s="221"/>
      <c r="N8" s="192" t="str">
        <f t="shared" si="0"/>
        <v>01 2</v>
      </c>
      <c r="O8" s="225">
        <v>2</v>
      </c>
      <c r="P8" s="226">
        <f t="shared" ref="P8:P10" si="5">I8</f>
        <v>23</v>
      </c>
      <c r="Q8" s="227">
        <v>0</v>
      </c>
      <c r="R8" s="229">
        <v>0</v>
      </c>
      <c r="S8" s="221"/>
      <c r="T8" s="221"/>
      <c r="U8" s="192" t="str">
        <f t="shared" si="1"/>
        <v>01 2</v>
      </c>
      <c r="V8" s="225">
        <v>2</v>
      </c>
      <c r="W8" s="226">
        <f t="shared" ref="W8:W10" si="6">P8</f>
        <v>23</v>
      </c>
      <c r="X8" s="227">
        <f t="shared" ref="X8:X16" si="7">J8*Z8</f>
        <v>0</v>
      </c>
      <c r="Y8" s="758">
        <f t="shared" ref="Y8:Y16" si="8">K8*Z8</f>
        <v>4.5349633142616534</v>
      </c>
      <c r="Z8" s="302">
        <f t="shared" si="2"/>
        <v>0.89816276777508286</v>
      </c>
      <c r="AA8" s="221"/>
      <c r="AB8" s="192" t="str">
        <f t="shared" si="3"/>
        <v>01 2</v>
      </c>
      <c r="AC8" s="225">
        <v>2</v>
      </c>
      <c r="AD8" s="226">
        <f t="shared" ref="AD8:AD10" si="9">P8</f>
        <v>23</v>
      </c>
      <c r="AE8" s="227">
        <f t="shared" ref="AE8:AE10" si="10">X8+Q8</f>
        <v>0</v>
      </c>
      <c r="AF8" s="227">
        <f t="shared" ref="AF8:AF16" si="11">Y8+R8</f>
        <v>4.5349633142616534</v>
      </c>
      <c r="AN8" s="225">
        <v>2</v>
      </c>
      <c r="AO8" s="226">
        <v>23</v>
      </c>
      <c r="AP8" s="227">
        <v>0</v>
      </c>
      <c r="AQ8" s="228">
        <v>9.7855000000000008</v>
      </c>
      <c r="AS8" s="192" t="str">
        <f>CONCATENATE(AS3," ",AT8)</f>
        <v>01 2</v>
      </c>
      <c r="AT8" s="225">
        <v>2</v>
      </c>
      <c r="AU8" s="226">
        <v>23</v>
      </c>
      <c r="AV8" s="227">
        <v>0</v>
      </c>
      <c r="AW8" s="228">
        <f t="shared" ref="AW8:AW10" si="12">AQ8*$AW$1</f>
        <v>8.9714605349283101</v>
      </c>
    </row>
    <row r="9" spans="2:49">
      <c r="B9" s="225">
        <v>3</v>
      </c>
      <c r="C9" s="226">
        <v>83</v>
      </c>
      <c r="D9" s="227">
        <v>0</v>
      </c>
      <c r="E9" s="228">
        <v>6.9452859199999981</v>
      </c>
      <c r="G9" s="192" t="str">
        <f>CONCATENATE(G3," ",H9)</f>
        <v>01 3</v>
      </c>
      <c r="H9" s="225">
        <v>3</v>
      </c>
      <c r="I9" s="226">
        <v>83</v>
      </c>
      <c r="J9" s="227">
        <v>0</v>
      </c>
      <c r="K9" s="228">
        <f t="shared" si="4"/>
        <v>6.3675191390397261</v>
      </c>
      <c r="L9" s="221"/>
      <c r="M9" s="221"/>
      <c r="N9" s="192" t="str">
        <f t="shared" si="0"/>
        <v>01 3</v>
      </c>
      <c r="O9" s="225">
        <v>3</v>
      </c>
      <c r="P9" s="226">
        <f t="shared" si="5"/>
        <v>83</v>
      </c>
      <c r="Q9" s="227">
        <v>0</v>
      </c>
      <c r="R9" s="229">
        <v>0</v>
      </c>
      <c r="S9" s="221"/>
      <c r="T9" s="221"/>
      <c r="U9" s="192" t="str">
        <f t="shared" si="1"/>
        <v>01 3</v>
      </c>
      <c r="V9" s="225">
        <v>3</v>
      </c>
      <c r="W9" s="226">
        <f t="shared" si="6"/>
        <v>83</v>
      </c>
      <c r="X9" s="227">
        <f t="shared" si="7"/>
        <v>0</v>
      </c>
      <c r="Y9" s="758">
        <f t="shared" si="8"/>
        <v>5.7190686137807329</v>
      </c>
      <c r="Z9" s="302">
        <f t="shared" si="2"/>
        <v>0.89816276777508286</v>
      </c>
      <c r="AA9" s="221"/>
      <c r="AB9" s="192" t="str">
        <f t="shared" si="3"/>
        <v>01 3</v>
      </c>
      <c r="AC9" s="225">
        <v>3</v>
      </c>
      <c r="AD9" s="226">
        <f t="shared" si="9"/>
        <v>83</v>
      </c>
      <c r="AE9" s="227">
        <f t="shared" si="10"/>
        <v>0</v>
      </c>
      <c r="AF9" s="227">
        <f t="shared" si="11"/>
        <v>5.7190686137807329</v>
      </c>
      <c r="AN9" s="225">
        <v>3</v>
      </c>
      <c r="AO9" s="226">
        <v>83</v>
      </c>
      <c r="AP9" s="227">
        <v>0</v>
      </c>
      <c r="AQ9" s="228">
        <v>11.5952</v>
      </c>
      <c r="AS9" s="192" t="str">
        <f>CONCATENATE(AS3," ",AT9)</f>
        <v>01 3</v>
      </c>
      <c r="AT9" s="225">
        <v>3</v>
      </c>
      <c r="AU9" s="226">
        <v>83</v>
      </c>
      <c r="AV9" s="227">
        <v>0</v>
      </c>
      <c r="AW9" s="228">
        <f t="shared" si="12"/>
        <v>10.630614602687725</v>
      </c>
    </row>
    <row r="10" spans="2:49">
      <c r="B10" s="225">
        <v>4</v>
      </c>
      <c r="C10" s="226">
        <v>999999999</v>
      </c>
      <c r="D10" s="227">
        <v>0</v>
      </c>
      <c r="E10" s="228">
        <v>7.958877679999997</v>
      </c>
      <c r="G10" s="192" t="str">
        <f>CONCATENATE(G3," ",H10)</f>
        <v>01 4</v>
      </c>
      <c r="H10" s="225">
        <v>4</v>
      </c>
      <c r="I10" s="226">
        <v>999999999</v>
      </c>
      <c r="J10" s="227">
        <v>0</v>
      </c>
      <c r="K10" s="228">
        <f t="shared" si="4"/>
        <v>7.2967918868163872</v>
      </c>
      <c r="L10" s="221"/>
      <c r="M10" s="221"/>
      <c r="N10" s="192" t="str">
        <f t="shared" si="0"/>
        <v>01 4</v>
      </c>
      <c r="O10" s="225">
        <v>4</v>
      </c>
      <c r="P10" s="226">
        <f t="shared" si="5"/>
        <v>999999999</v>
      </c>
      <c r="Q10" s="227">
        <v>0</v>
      </c>
      <c r="R10" s="229">
        <v>0</v>
      </c>
      <c r="S10" s="221"/>
      <c r="T10" s="221"/>
      <c r="U10" s="192" t="str">
        <f t="shared" si="1"/>
        <v>01 4</v>
      </c>
      <c r="V10" s="225">
        <v>4</v>
      </c>
      <c r="W10" s="226">
        <f t="shared" si="6"/>
        <v>999999999</v>
      </c>
      <c r="X10" s="227">
        <f t="shared" si="7"/>
        <v>0</v>
      </c>
      <c r="Y10" s="758">
        <f t="shared" si="8"/>
        <v>6.5537067969417757</v>
      </c>
      <c r="Z10" s="302">
        <f t="shared" si="2"/>
        <v>0.89816276777508286</v>
      </c>
      <c r="AA10" s="221"/>
      <c r="AB10" s="192" t="str">
        <f t="shared" si="3"/>
        <v>01 4</v>
      </c>
      <c r="AC10" s="225">
        <v>4</v>
      </c>
      <c r="AD10" s="226">
        <f t="shared" si="9"/>
        <v>999999999</v>
      </c>
      <c r="AE10" s="227">
        <f t="shared" si="10"/>
        <v>0</v>
      </c>
      <c r="AF10" s="227">
        <f t="shared" si="11"/>
        <v>6.5537067969417757</v>
      </c>
      <c r="AN10" s="225">
        <v>4</v>
      </c>
      <c r="AO10" s="226">
        <v>999999999</v>
      </c>
      <c r="AP10" s="227">
        <v>0</v>
      </c>
      <c r="AQ10" s="228">
        <v>12.870799999999999</v>
      </c>
      <c r="AS10" s="192" t="str">
        <f>CONCATENATE(AS3," ",AT10)</f>
        <v>01 4</v>
      </c>
      <c r="AT10" s="225">
        <v>4</v>
      </c>
      <c r="AU10" s="226">
        <v>999999999</v>
      </c>
      <c r="AV10" s="227">
        <v>0</v>
      </c>
      <c r="AW10" s="228">
        <f t="shared" si="12"/>
        <v>11.800099560876324</v>
      </c>
    </row>
    <row r="11" spans="2:49">
      <c r="B11" s="225">
        <v>5</v>
      </c>
      <c r="C11" s="226"/>
      <c r="D11" s="227">
        <v>0</v>
      </c>
      <c r="E11" s="228">
        <v>0</v>
      </c>
      <c r="G11" s="192" t="str">
        <f>CONCATENATE(G3," ",H11)</f>
        <v>01 5</v>
      </c>
      <c r="H11" s="225">
        <v>5</v>
      </c>
      <c r="I11" s="226"/>
      <c r="J11" s="227">
        <v>0</v>
      </c>
      <c r="K11" s="228">
        <f t="shared" si="4"/>
        <v>0</v>
      </c>
      <c r="L11" s="221"/>
      <c r="M11" s="221"/>
      <c r="N11" s="192" t="str">
        <f t="shared" si="0"/>
        <v>01 5</v>
      </c>
      <c r="O11" s="225">
        <v>5</v>
      </c>
      <c r="P11" s="226"/>
      <c r="Q11" s="227">
        <f t="shared" ref="Q11:R16" si="13">J11*$R$1</f>
        <v>0</v>
      </c>
      <c r="R11" s="229">
        <v>0</v>
      </c>
      <c r="S11" s="221"/>
      <c r="T11" s="221"/>
      <c r="U11" s="192" t="str">
        <f t="shared" si="1"/>
        <v>01 5</v>
      </c>
      <c r="V11" s="225">
        <v>5</v>
      </c>
      <c r="W11" s="226"/>
      <c r="X11" s="227">
        <f t="shared" si="7"/>
        <v>0</v>
      </c>
      <c r="Y11" s="758">
        <f t="shared" si="8"/>
        <v>0</v>
      </c>
      <c r="Z11" s="302">
        <f t="shared" si="2"/>
        <v>0.89816276777508286</v>
      </c>
      <c r="AA11" s="221"/>
      <c r="AB11" s="192" t="str">
        <f t="shared" si="3"/>
        <v>01 5</v>
      </c>
      <c r="AC11" s="225">
        <v>5</v>
      </c>
      <c r="AD11" s="226"/>
      <c r="AE11" s="227">
        <f t="shared" ref="AE11:AE16" si="14">J11+Q11</f>
        <v>0</v>
      </c>
      <c r="AF11" s="227">
        <f t="shared" si="11"/>
        <v>0</v>
      </c>
      <c r="AN11" s="225">
        <v>5</v>
      </c>
      <c r="AO11" s="226"/>
      <c r="AP11" s="227">
        <v>0</v>
      </c>
      <c r="AQ11" s="228">
        <v>0</v>
      </c>
      <c r="AS11" s="192" t="str">
        <f>CONCATENATE(AS3," ",AT11)</f>
        <v>01 5</v>
      </c>
      <c r="AT11" s="225">
        <v>5</v>
      </c>
      <c r="AU11" s="226"/>
      <c r="AV11" s="227">
        <v>0</v>
      </c>
      <c r="AW11" s="228">
        <f t="shared" ref="AW11:AW16" si="15">AQ11*$K$1</f>
        <v>0</v>
      </c>
    </row>
    <row r="12" spans="2:49">
      <c r="B12" s="225">
        <v>6</v>
      </c>
      <c r="C12" s="226"/>
      <c r="D12" s="227">
        <v>0</v>
      </c>
      <c r="E12" s="228">
        <v>0</v>
      </c>
      <c r="G12" s="192" t="str">
        <f>CONCATENATE(G3," ",H12)</f>
        <v>01 6</v>
      </c>
      <c r="H12" s="225">
        <v>6</v>
      </c>
      <c r="I12" s="226"/>
      <c r="J12" s="227">
        <v>0</v>
      </c>
      <c r="K12" s="228">
        <f t="shared" si="4"/>
        <v>0</v>
      </c>
      <c r="L12" s="221"/>
      <c r="M12" s="221"/>
      <c r="N12" s="192" t="str">
        <f t="shared" si="0"/>
        <v>01 6</v>
      </c>
      <c r="O12" s="225">
        <v>6</v>
      </c>
      <c r="P12" s="226"/>
      <c r="Q12" s="227">
        <f t="shared" si="13"/>
        <v>0</v>
      </c>
      <c r="R12" s="229">
        <v>0</v>
      </c>
      <c r="S12" s="221"/>
      <c r="T12" s="221"/>
      <c r="U12" s="192" t="str">
        <f t="shared" si="1"/>
        <v>01 6</v>
      </c>
      <c r="V12" s="225">
        <v>6</v>
      </c>
      <c r="W12" s="226"/>
      <c r="X12" s="227">
        <f t="shared" si="7"/>
        <v>0</v>
      </c>
      <c r="Y12" s="758">
        <f t="shared" si="8"/>
        <v>0</v>
      </c>
      <c r="Z12" s="302">
        <f t="shared" si="2"/>
        <v>0.89816276777508286</v>
      </c>
      <c r="AA12" s="221"/>
      <c r="AB12" s="192" t="str">
        <f t="shared" si="3"/>
        <v>01 6</v>
      </c>
      <c r="AC12" s="225">
        <v>6</v>
      </c>
      <c r="AD12" s="226"/>
      <c r="AE12" s="227">
        <f t="shared" si="14"/>
        <v>0</v>
      </c>
      <c r="AF12" s="227">
        <f t="shared" si="11"/>
        <v>0</v>
      </c>
      <c r="AN12" s="225">
        <v>6</v>
      </c>
      <c r="AO12" s="226"/>
      <c r="AP12" s="227">
        <v>0</v>
      </c>
      <c r="AQ12" s="228">
        <v>0</v>
      </c>
      <c r="AS12" s="192" t="str">
        <f>CONCATENATE(AS3," ",AT12)</f>
        <v>01 6</v>
      </c>
      <c r="AT12" s="225">
        <v>6</v>
      </c>
      <c r="AU12" s="226"/>
      <c r="AV12" s="227">
        <v>0</v>
      </c>
      <c r="AW12" s="228">
        <f t="shared" si="15"/>
        <v>0</v>
      </c>
    </row>
    <row r="13" spans="2:49">
      <c r="B13" s="225">
        <v>7</v>
      </c>
      <c r="C13" s="226"/>
      <c r="D13" s="227">
        <v>0</v>
      </c>
      <c r="E13" s="228">
        <v>0</v>
      </c>
      <c r="G13" s="192" t="str">
        <f>CONCATENATE(G3," ",H13)</f>
        <v>01 7</v>
      </c>
      <c r="H13" s="225">
        <v>7</v>
      </c>
      <c r="I13" s="226"/>
      <c r="J13" s="227">
        <v>0</v>
      </c>
      <c r="K13" s="228">
        <f t="shared" si="4"/>
        <v>0</v>
      </c>
      <c r="L13" s="221"/>
      <c r="M13" s="221"/>
      <c r="N13" s="192" t="str">
        <f t="shared" si="0"/>
        <v>01 7</v>
      </c>
      <c r="O13" s="225">
        <v>7</v>
      </c>
      <c r="P13" s="226"/>
      <c r="Q13" s="227">
        <f t="shared" si="13"/>
        <v>0</v>
      </c>
      <c r="R13" s="229">
        <v>0</v>
      </c>
      <c r="S13" s="221"/>
      <c r="T13" s="221"/>
      <c r="U13" s="192" t="str">
        <f t="shared" si="1"/>
        <v>01 7</v>
      </c>
      <c r="V13" s="225">
        <v>7</v>
      </c>
      <c r="W13" s="226"/>
      <c r="X13" s="227">
        <f t="shared" si="7"/>
        <v>0</v>
      </c>
      <c r="Y13" s="758">
        <f t="shared" si="8"/>
        <v>0</v>
      </c>
      <c r="Z13" s="302">
        <f t="shared" si="2"/>
        <v>0.89816276777508286</v>
      </c>
      <c r="AA13" s="221"/>
      <c r="AB13" s="192" t="str">
        <f t="shared" si="3"/>
        <v>01 7</v>
      </c>
      <c r="AC13" s="225">
        <v>7</v>
      </c>
      <c r="AD13" s="226"/>
      <c r="AE13" s="227">
        <f t="shared" si="14"/>
        <v>0</v>
      </c>
      <c r="AF13" s="227">
        <f t="shared" si="11"/>
        <v>0</v>
      </c>
      <c r="AN13" s="225">
        <v>7</v>
      </c>
      <c r="AO13" s="226"/>
      <c r="AP13" s="227">
        <v>0</v>
      </c>
      <c r="AQ13" s="228">
        <v>0</v>
      </c>
      <c r="AS13" s="192" t="str">
        <f>CONCATENATE(AS3," ",AT13)</f>
        <v>01 7</v>
      </c>
      <c r="AT13" s="225">
        <v>7</v>
      </c>
      <c r="AU13" s="226"/>
      <c r="AV13" s="227">
        <v>0</v>
      </c>
      <c r="AW13" s="228">
        <f t="shared" si="15"/>
        <v>0</v>
      </c>
    </row>
    <row r="14" spans="2:49">
      <c r="B14" s="225">
        <v>8</v>
      </c>
      <c r="C14" s="226"/>
      <c r="D14" s="227">
        <v>0</v>
      </c>
      <c r="E14" s="228">
        <v>0</v>
      </c>
      <c r="G14" s="192" t="str">
        <f>CONCATENATE(G3," ",H14)</f>
        <v>01 8</v>
      </c>
      <c r="H14" s="225">
        <v>8</v>
      </c>
      <c r="I14" s="226"/>
      <c r="J14" s="227">
        <v>0</v>
      </c>
      <c r="K14" s="228">
        <f t="shared" si="4"/>
        <v>0</v>
      </c>
      <c r="L14" s="221"/>
      <c r="M14" s="221"/>
      <c r="N14" s="192" t="str">
        <f t="shared" si="0"/>
        <v>01 8</v>
      </c>
      <c r="O14" s="225">
        <v>8</v>
      </c>
      <c r="P14" s="226"/>
      <c r="Q14" s="227">
        <f t="shared" si="13"/>
        <v>0</v>
      </c>
      <c r="R14" s="229">
        <f t="shared" si="13"/>
        <v>0</v>
      </c>
      <c r="S14" s="221"/>
      <c r="T14" s="221"/>
      <c r="U14" s="192" t="str">
        <f t="shared" si="1"/>
        <v>01 8</v>
      </c>
      <c r="V14" s="225">
        <v>8</v>
      </c>
      <c r="W14" s="226"/>
      <c r="X14" s="227">
        <f t="shared" si="7"/>
        <v>0</v>
      </c>
      <c r="Y14" s="758">
        <f t="shared" si="8"/>
        <v>0</v>
      </c>
      <c r="Z14" s="302">
        <f t="shared" si="2"/>
        <v>0.89816276777508286</v>
      </c>
      <c r="AA14" s="221"/>
      <c r="AB14" s="192" t="str">
        <f t="shared" si="3"/>
        <v>01 8</v>
      </c>
      <c r="AC14" s="225">
        <v>8</v>
      </c>
      <c r="AD14" s="226"/>
      <c r="AE14" s="227">
        <f t="shared" si="14"/>
        <v>0</v>
      </c>
      <c r="AF14" s="227">
        <f t="shared" si="11"/>
        <v>0</v>
      </c>
      <c r="AN14" s="225">
        <v>8</v>
      </c>
      <c r="AO14" s="226"/>
      <c r="AP14" s="227">
        <v>0</v>
      </c>
      <c r="AQ14" s="228">
        <v>0</v>
      </c>
      <c r="AS14" s="192" t="str">
        <f>CONCATENATE(AS3," ",AT14)</f>
        <v>01 8</v>
      </c>
      <c r="AT14" s="225">
        <v>8</v>
      </c>
      <c r="AU14" s="226"/>
      <c r="AV14" s="227">
        <v>0</v>
      </c>
      <c r="AW14" s="228">
        <f t="shared" si="15"/>
        <v>0</v>
      </c>
    </row>
    <row r="15" spans="2:49">
      <c r="B15" s="225">
        <v>9</v>
      </c>
      <c r="C15" s="226"/>
      <c r="D15" s="227">
        <v>0</v>
      </c>
      <c r="E15" s="228">
        <v>0</v>
      </c>
      <c r="G15" s="192" t="str">
        <f>CONCATENATE(G3," ",H15)</f>
        <v>01 9</v>
      </c>
      <c r="H15" s="225">
        <v>9</v>
      </c>
      <c r="I15" s="226"/>
      <c r="J15" s="227">
        <v>0</v>
      </c>
      <c r="K15" s="228">
        <f t="shared" si="4"/>
        <v>0</v>
      </c>
      <c r="L15" s="221"/>
      <c r="M15" s="221"/>
      <c r="N15" s="192" t="str">
        <f t="shared" si="0"/>
        <v>01 9</v>
      </c>
      <c r="O15" s="225">
        <v>9</v>
      </c>
      <c r="P15" s="226"/>
      <c r="Q15" s="227">
        <f t="shared" si="13"/>
        <v>0</v>
      </c>
      <c r="R15" s="229">
        <f t="shared" si="13"/>
        <v>0</v>
      </c>
      <c r="S15" s="221"/>
      <c r="T15" s="221"/>
      <c r="U15" s="192" t="str">
        <f t="shared" si="1"/>
        <v>01 9</v>
      </c>
      <c r="V15" s="225">
        <v>9</v>
      </c>
      <c r="W15" s="226"/>
      <c r="X15" s="227">
        <f t="shared" si="7"/>
        <v>0</v>
      </c>
      <c r="Y15" s="758">
        <f t="shared" si="8"/>
        <v>0</v>
      </c>
      <c r="Z15" s="302">
        <f t="shared" si="2"/>
        <v>0.89816276777508286</v>
      </c>
      <c r="AA15" s="221"/>
      <c r="AB15" s="192" t="str">
        <f t="shared" si="3"/>
        <v>01 9</v>
      </c>
      <c r="AC15" s="225">
        <v>9</v>
      </c>
      <c r="AD15" s="226"/>
      <c r="AE15" s="227">
        <f t="shared" si="14"/>
        <v>0</v>
      </c>
      <c r="AF15" s="227">
        <f t="shared" si="11"/>
        <v>0</v>
      </c>
      <c r="AN15" s="225">
        <v>9</v>
      </c>
      <c r="AO15" s="226"/>
      <c r="AP15" s="227">
        <v>0</v>
      </c>
      <c r="AQ15" s="228">
        <v>0</v>
      </c>
      <c r="AS15" s="192" t="str">
        <f>CONCATENATE(AS3," ",AT15)</f>
        <v>01 9</v>
      </c>
      <c r="AT15" s="225">
        <v>9</v>
      </c>
      <c r="AU15" s="226"/>
      <c r="AV15" s="227">
        <v>0</v>
      </c>
      <c r="AW15" s="228">
        <f t="shared" si="15"/>
        <v>0</v>
      </c>
    </row>
    <row r="16" spans="2:49">
      <c r="B16" s="225">
        <v>10</v>
      </c>
      <c r="C16" s="226"/>
      <c r="D16" s="227">
        <v>0</v>
      </c>
      <c r="E16" s="228">
        <v>0</v>
      </c>
      <c r="G16" s="192" t="str">
        <f>CONCATENATE(G3," ",H16)</f>
        <v>01 10</v>
      </c>
      <c r="H16" s="225">
        <v>10</v>
      </c>
      <c r="I16" s="226"/>
      <c r="J16" s="227">
        <v>0</v>
      </c>
      <c r="K16" s="228">
        <f t="shared" si="4"/>
        <v>0</v>
      </c>
      <c r="L16" s="221"/>
      <c r="M16" s="221"/>
      <c r="N16" s="192" t="str">
        <f t="shared" si="0"/>
        <v>01 10</v>
      </c>
      <c r="O16" s="225">
        <v>10</v>
      </c>
      <c r="P16" s="226"/>
      <c r="Q16" s="227">
        <f t="shared" si="13"/>
        <v>0</v>
      </c>
      <c r="R16" s="229">
        <f t="shared" si="13"/>
        <v>0</v>
      </c>
      <c r="S16" s="221"/>
      <c r="T16" s="221"/>
      <c r="U16" s="192" t="str">
        <f t="shared" si="1"/>
        <v>01 10</v>
      </c>
      <c r="V16" s="225">
        <v>10</v>
      </c>
      <c r="W16" s="226"/>
      <c r="X16" s="227">
        <f t="shared" si="7"/>
        <v>0</v>
      </c>
      <c r="Y16" s="758">
        <f t="shared" si="8"/>
        <v>0</v>
      </c>
      <c r="Z16" s="302">
        <f t="shared" si="2"/>
        <v>0.89816276777508286</v>
      </c>
      <c r="AA16" s="221"/>
      <c r="AB16" s="192" t="str">
        <f t="shared" si="3"/>
        <v>01 10</v>
      </c>
      <c r="AC16" s="225">
        <v>10</v>
      </c>
      <c r="AD16" s="226"/>
      <c r="AE16" s="227">
        <f t="shared" si="14"/>
        <v>0</v>
      </c>
      <c r="AF16" s="227">
        <f t="shared" si="11"/>
        <v>0</v>
      </c>
      <c r="AN16" s="225">
        <v>10</v>
      </c>
      <c r="AO16" s="226"/>
      <c r="AP16" s="227">
        <v>0</v>
      </c>
      <c r="AQ16" s="228">
        <v>0</v>
      </c>
      <c r="AS16" s="192" t="str">
        <f>CONCATENATE(AS3," ",AT16)</f>
        <v>01 10</v>
      </c>
      <c r="AT16" s="225">
        <v>10</v>
      </c>
      <c r="AU16" s="226"/>
      <c r="AV16" s="227">
        <v>0</v>
      </c>
      <c r="AW16" s="228">
        <f t="shared" si="15"/>
        <v>0</v>
      </c>
    </row>
    <row r="17" spans="2:49">
      <c r="B17" s="232"/>
      <c r="C17" s="233"/>
      <c r="D17" s="234"/>
      <c r="E17" s="220"/>
      <c r="G17" s="222"/>
      <c r="H17" s="232"/>
      <c r="I17" s="233"/>
      <c r="J17" s="234"/>
      <c r="K17" s="220"/>
      <c r="L17" s="221"/>
      <c r="M17" s="221"/>
      <c r="N17" s="222"/>
      <c r="O17" s="232"/>
      <c r="P17" s="233"/>
      <c r="Q17" s="234"/>
      <c r="R17" s="220"/>
      <c r="S17" s="221"/>
      <c r="T17" s="221"/>
      <c r="U17" s="222"/>
      <c r="V17" s="232"/>
      <c r="W17" s="233"/>
      <c r="X17" s="234"/>
      <c r="Y17" s="220"/>
      <c r="Z17" s="221"/>
      <c r="AA17" s="221"/>
      <c r="AB17" s="222"/>
      <c r="AC17" s="232"/>
      <c r="AD17" s="233"/>
      <c r="AE17" s="234"/>
      <c r="AF17" s="220"/>
      <c r="AN17" s="232"/>
      <c r="AO17" s="233"/>
      <c r="AP17" s="234"/>
      <c r="AQ17" s="220"/>
      <c r="AS17" s="222"/>
      <c r="AT17" s="232"/>
      <c r="AU17" s="233"/>
      <c r="AV17" s="234"/>
      <c r="AW17" s="220"/>
    </row>
    <row r="18" spans="2:49" ht="12" customHeight="1">
      <c r="B18" s="836" t="s">
        <v>4904</v>
      </c>
      <c r="C18" s="837"/>
      <c r="D18" s="219"/>
      <c r="E18" s="220"/>
      <c r="G18" s="218" t="s">
        <v>4905</v>
      </c>
      <c r="H18" s="836" t="s">
        <v>4904</v>
      </c>
      <c r="I18" s="837"/>
      <c r="J18" s="219"/>
      <c r="K18" s="220"/>
      <c r="L18" s="221"/>
      <c r="M18" s="221"/>
      <c r="N18" s="218" t="str">
        <f>G18</f>
        <v>02</v>
      </c>
      <c r="O18" s="836" t="str">
        <f>H18</f>
        <v xml:space="preserve"> Residencial Social MCMV</v>
      </c>
      <c r="P18" s="837"/>
      <c r="Q18" s="219"/>
      <c r="R18" s="220"/>
      <c r="S18" s="221"/>
      <c r="T18" s="221"/>
      <c r="U18" s="218" t="str">
        <f>N18</f>
        <v>02</v>
      </c>
      <c r="V18" s="836" t="str">
        <f>O18</f>
        <v xml:space="preserve"> Residencial Social MCMV</v>
      </c>
      <c r="W18" s="837"/>
      <c r="X18" s="219"/>
      <c r="Y18" s="220"/>
      <c r="Z18" s="221"/>
      <c r="AA18" s="221"/>
      <c r="AB18" s="218" t="str">
        <f>U18</f>
        <v>02</v>
      </c>
      <c r="AC18" s="836" t="s">
        <v>4906</v>
      </c>
      <c r="AD18" s="837"/>
      <c r="AE18" s="219"/>
      <c r="AF18" s="220"/>
      <c r="AN18" s="836" t="s">
        <v>4904</v>
      </c>
      <c r="AO18" s="837"/>
      <c r="AP18" s="219"/>
      <c r="AQ18" s="220"/>
      <c r="AS18" s="218" t="s">
        <v>4905</v>
      </c>
      <c r="AT18" s="282" t="s">
        <v>4904</v>
      </c>
      <c r="AU18" s="283"/>
      <c r="AV18" s="219"/>
      <c r="AW18" s="220"/>
    </row>
    <row r="19" spans="2:49">
      <c r="B19" s="838" t="s">
        <v>4898</v>
      </c>
      <c r="C19" s="838"/>
      <c r="D19" s="219"/>
      <c r="E19" s="220"/>
      <c r="G19" s="222"/>
      <c r="H19" s="838"/>
      <c r="I19" s="838"/>
      <c r="J19" s="219"/>
      <c r="K19" s="220"/>
      <c r="L19" s="221"/>
      <c r="M19" s="221"/>
      <c r="N19" s="222"/>
      <c r="O19" s="838" t="s">
        <v>4898</v>
      </c>
      <c r="P19" s="838"/>
      <c r="Q19" s="219"/>
      <c r="R19" s="220"/>
      <c r="S19" s="221"/>
      <c r="T19" s="221"/>
      <c r="U19" s="222"/>
      <c r="V19" s="838" t="s">
        <v>4898</v>
      </c>
      <c r="W19" s="838"/>
      <c r="X19" s="219"/>
      <c r="Y19" s="220"/>
      <c r="Z19" s="221"/>
      <c r="AA19" s="221"/>
      <c r="AB19" s="222"/>
      <c r="AC19" s="838" t="s">
        <v>4898</v>
      </c>
      <c r="AD19" s="838"/>
      <c r="AE19" s="219"/>
      <c r="AF19" s="220"/>
      <c r="AN19" s="838" t="s">
        <v>4898</v>
      </c>
      <c r="AO19" s="838"/>
      <c r="AP19" s="219"/>
      <c r="AQ19" s="220"/>
      <c r="AS19" s="222"/>
      <c r="AT19" s="284" t="s">
        <v>4898</v>
      </c>
      <c r="AU19" s="284"/>
      <c r="AV19" s="219"/>
      <c r="AW19" s="220"/>
    </row>
    <row r="20" spans="2:49">
      <c r="B20" s="835" t="s">
        <v>4899</v>
      </c>
      <c r="C20" s="835" t="s">
        <v>4900</v>
      </c>
      <c r="D20" s="224" t="s">
        <v>4901</v>
      </c>
      <c r="E20" s="224"/>
      <c r="G20" s="222"/>
      <c r="H20" s="835" t="s">
        <v>4899</v>
      </c>
      <c r="I20" s="835" t="s">
        <v>4900</v>
      </c>
      <c r="J20" s="224" t="s">
        <v>4901</v>
      </c>
      <c r="K20" s="224"/>
      <c r="L20" s="221"/>
      <c r="M20" s="221"/>
      <c r="N20" s="222"/>
      <c r="O20" s="835" t="s">
        <v>4899</v>
      </c>
      <c r="P20" s="835" t="s">
        <v>4900</v>
      </c>
      <c r="Q20" s="224" t="s">
        <v>4901</v>
      </c>
      <c r="R20" s="224"/>
      <c r="S20" s="221"/>
      <c r="T20" s="221"/>
      <c r="U20" s="222"/>
      <c r="V20" s="835" t="s">
        <v>4899</v>
      </c>
      <c r="W20" s="835" t="s">
        <v>4900</v>
      </c>
      <c r="X20" s="224" t="s">
        <v>4901</v>
      </c>
      <c r="Y20" s="224"/>
      <c r="Z20" s="221"/>
      <c r="AA20" s="221"/>
      <c r="AB20" s="222"/>
      <c r="AC20" s="835" t="s">
        <v>4899</v>
      </c>
      <c r="AD20" s="835" t="s">
        <v>4900</v>
      </c>
      <c r="AE20" s="841" t="s">
        <v>4901</v>
      </c>
      <c r="AF20" s="841"/>
      <c r="AN20" s="835" t="s">
        <v>4899</v>
      </c>
      <c r="AO20" s="835" t="s">
        <v>4900</v>
      </c>
      <c r="AP20" s="224" t="s">
        <v>4901</v>
      </c>
      <c r="AQ20" s="224"/>
      <c r="AS20" s="222"/>
      <c r="AT20" s="285" t="s">
        <v>4899</v>
      </c>
      <c r="AU20" s="285" t="s">
        <v>4900</v>
      </c>
      <c r="AV20" s="224" t="s">
        <v>4901</v>
      </c>
      <c r="AW20" s="224"/>
    </row>
    <row r="21" spans="2:49">
      <c r="B21" s="835"/>
      <c r="C21" s="835"/>
      <c r="D21" s="223" t="s">
        <v>4902</v>
      </c>
      <c r="E21" s="223" t="s">
        <v>4903</v>
      </c>
      <c r="G21" s="222"/>
      <c r="H21" s="835"/>
      <c r="I21" s="835"/>
      <c r="J21" s="223" t="s">
        <v>4902</v>
      </c>
      <c r="K21" s="223" t="s">
        <v>4903</v>
      </c>
      <c r="L21" s="221"/>
      <c r="M21" s="221"/>
      <c r="N21" s="222"/>
      <c r="O21" s="835"/>
      <c r="P21" s="835"/>
      <c r="Q21" s="223" t="s">
        <v>4902</v>
      </c>
      <c r="R21" s="223" t="s">
        <v>4903</v>
      </c>
      <c r="S21" s="221"/>
      <c r="T21" s="221"/>
      <c r="U21" s="222"/>
      <c r="V21" s="835"/>
      <c r="W21" s="835"/>
      <c r="X21" s="223" t="s">
        <v>4902</v>
      </c>
      <c r="Y21" s="223" t="s">
        <v>4903</v>
      </c>
      <c r="Z21" s="221"/>
      <c r="AA21" s="221"/>
      <c r="AB21" s="222"/>
      <c r="AC21" s="835"/>
      <c r="AD21" s="835"/>
      <c r="AE21" s="223" t="s">
        <v>4902</v>
      </c>
      <c r="AF21" s="223" t="s">
        <v>4903</v>
      </c>
      <c r="AN21" s="835"/>
      <c r="AO21" s="835"/>
      <c r="AP21" s="223" t="s">
        <v>4902</v>
      </c>
      <c r="AQ21" s="223" t="s">
        <v>4903</v>
      </c>
      <c r="AS21" s="222"/>
      <c r="AT21" s="285"/>
      <c r="AU21" s="285"/>
      <c r="AV21" s="223" t="s">
        <v>4902</v>
      </c>
      <c r="AW21" s="223" t="s">
        <v>4903</v>
      </c>
    </row>
    <row r="22" spans="2:49">
      <c r="B22" s="225">
        <v>1</v>
      </c>
      <c r="C22" s="226">
        <v>7</v>
      </c>
      <c r="D22" s="227">
        <v>0</v>
      </c>
      <c r="E22" s="228">
        <v>2.5180925599999999</v>
      </c>
      <c r="G22" s="192" t="str">
        <f>CONCATENATE(G18," ",H22)</f>
        <v>02 1</v>
      </c>
      <c r="H22" s="225">
        <v>1</v>
      </c>
      <c r="I22" s="226">
        <v>7</v>
      </c>
      <c r="J22" s="227">
        <v>0</v>
      </c>
      <c r="K22" s="228">
        <f>E22*$K$1</f>
        <v>2.3086166292306571</v>
      </c>
      <c r="L22" s="221"/>
      <c r="M22" s="221"/>
      <c r="N22" s="192" t="str">
        <f t="shared" ref="N22:N31" si="16">G22</f>
        <v>02 1</v>
      </c>
      <c r="O22" s="225">
        <v>1</v>
      </c>
      <c r="P22" s="226">
        <f>I22</f>
        <v>7</v>
      </c>
      <c r="Q22" s="227">
        <v>0</v>
      </c>
      <c r="R22" s="229">
        <f t="shared" ref="R22:R26" si="17">K22*$R$1</f>
        <v>0</v>
      </c>
      <c r="S22" s="221"/>
      <c r="T22" s="221"/>
      <c r="U22" s="192" t="str">
        <f t="shared" ref="U22:U31" si="18">N22</f>
        <v>02 1</v>
      </c>
      <c r="V22" s="225">
        <v>1</v>
      </c>
      <c r="W22" s="226">
        <f>P22</f>
        <v>7</v>
      </c>
      <c r="X22" s="227">
        <f>J22*Z22</f>
        <v>0</v>
      </c>
      <c r="Y22" s="758">
        <f>K22*Z22</f>
        <v>2.0735135014413895</v>
      </c>
      <c r="Z22" s="302">
        <f t="shared" ref="Z22:Z31" si="19">$Z$3</f>
        <v>0.89816276777508286</v>
      </c>
      <c r="AA22" s="221"/>
      <c r="AB22" s="192" t="str">
        <f t="shared" ref="AB22:AB31" si="20">U22</f>
        <v>02 1</v>
      </c>
      <c r="AC22" s="225">
        <v>1</v>
      </c>
      <c r="AD22" s="226">
        <f>P22</f>
        <v>7</v>
      </c>
      <c r="AE22" s="227">
        <f>X22+Q22</f>
        <v>0</v>
      </c>
      <c r="AF22" s="227">
        <f>Y22+R22</f>
        <v>2.0735135014413895</v>
      </c>
      <c r="AN22" s="225">
        <v>1</v>
      </c>
      <c r="AO22" s="226">
        <v>7</v>
      </c>
      <c r="AP22" s="227">
        <v>0</v>
      </c>
      <c r="AQ22" s="228">
        <v>6.0236000000000001</v>
      </c>
      <c r="AS22" s="192" t="str">
        <f>CONCATENATE(AS18," ",AT22)</f>
        <v>02 1</v>
      </c>
      <c r="AT22" s="225">
        <v>1</v>
      </c>
      <c r="AU22" s="226">
        <v>7</v>
      </c>
      <c r="AV22" s="227">
        <v>0</v>
      </c>
      <c r="AW22" s="228">
        <f>AQ22*$AW$1</f>
        <v>5.5225067373352577</v>
      </c>
    </row>
    <row r="23" spans="2:49">
      <c r="B23" s="225">
        <v>2</v>
      </c>
      <c r="C23" s="226">
        <v>23</v>
      </c>
      <c r="D23" s="227">
        <v>0</v>
      </c>
      <c r="E23" s="228">
        <v>2.7074457399999994</v>
      </c>
      <c r="G23" s="192" t="str">
        <f>CONCATENATE(G18," ",H23)</f>
        <v>02 2</v>
      </c>
      <c r="H23" s="225">
        <v>2</v>
      </c>
      <c r="I23" s="226">
        <v>23</v>
      </c>
      <c r="J23" s="227">
        <v>0</v>
      </c>
      <c r="K23" s="228">
        <f t="shared" ref="K23:K31" si="21">E23*$K$1</f>
        <v>2.4822178332093165</v>
      </c>
      <c r="L23" s="221"/>
      <c r="M23" s="221"/>
      <c r="N23" s="192" t="str">
        <f t="shared" si="16"/>
        <v>02 2</v>
      </c>
      <c r="O23" s="225">
        <v>2</v>
      </c>
      <c r="P23" s="226">
        <f t="shared" ref="P23:P25" si="22">I23</f>
        <v>23</v>
      </c>
      <c r="Q23" s="227">
        <v>0</v>
      </c>
      <c r="R23" s="229">
        <f t="shared" si="17"/>
        <v>0</v>
      </c>
      <c r="S23" s="221"/>
      <c r="T23" s="221"/>
      <c r="U23" s="192" t="str">
        <f t="shared" si="18"/>
        <v>02 2</v>
      </c>
      <c r="V23" s="225">
        <v>2</v>
      </c>
      <c r="W23" s="226">
        <f t="shared" ref="W23:W25" si="23">P23</f>
        <v>23</v>
      </c>
      <c r="X23" s="227">
        <f t="shared" ref="X23:X31" si="24">J23*Z23</f>
        <v>0</v>
      </c>
      <c r="Y23" s="758">
        <f t="shared" ref="Y23:Y31" si="25">K23*Z23</f>
        <v>2.2294356392959487</v>
      </c>
      <c r="Z23" s="302">
        <f t="shared" si="19"/>
        <v>0.89816276777508286</v>
      </c>
      <c r="AA23" s="221"/>
      <c r="AB23" s="192" t="str">
        <f t="shared" si="20"/>
        <v>02 2</v>
      </c>
      <c r="AC23" s="225">
        <v>2</v>
      </c>
      <c r="AD23" s="226">
        <f t="shared" ref="AD23:AD25" si="26">P23</f>
        <v>23</v>
      </c>
      <c r="AE23" s="227">
        <f t="shared" ref="AE23:AF31" si="27">X23+Q23</f>
        <v>0</v>
      </c>
      <c r="AF23" s="227">
        <f t="shared" si="27"/>
        <v>2.2294356392959487</v>
      </c>
      <c r="AN23" s="225">
        <v>2</v>
      </c>
      <c r="AO23" s="226">
        <v>23</v>
      </c>
      <c r="AP23" s="227">
        <v>0</v>
      </c>
      <c r="AQ23" s="228">
        <v>6.2618999999999998</v>
      </c>
      <c r="AS23" s="192" t="str">
        <f>CONCATENATE(AS18," ",AT23)</f>
        <v>02 2</v>
      </c>
      <c r="AT23" s="225">
        <v>2</v>
      </c>
      <c r="AU23" s="226">
        <v>23</v>
      </c>
      <c r="AV23" s="227">
        <v>0</v>
      </c>
      <c r="AW23" s="228">
        <f t="shared" ref="AW23:AW25" si="28">AQ23*$AW$1</f>
        <v>5.7409829567899013</v>
      </c>
    </row>
    <row r="24" spans="2:49">
      <c r="B24" s="225">
        <v>3</v>
      </c>
      <c r="C24" s="226">
        <v>83</v>
      </c>
      <c r="D24" s="227">
        <v>0</v>
      </c>
      <c r="E24" s="228">
        <v>6.9452859199999981</v>
      </c>
      <c r="G24" s="192" t="str">
        <f>CONCATENATE(G18," ",H24)</f>
        <v>02 3</v>
      </c>
      <c r="H24" s="225">
        <v>3</v>
      </c>
      <c r="I24" s="226">
        <v>83</v>
      </c>
      <c r="J24" s="227">
        <v>0</v>
      </c>
      <c r="K24" s="228">
        <f t="shared" si="21"/>
        <v>6.3675191390397261</v>
      </c>
      <c r="L24" s="221"/>
      <c r="M24" s="221"/>
      <c r="N24" s="192" t="str">
        <f t="shared" si="16"/>
        <v>02 3</v>
      </c>
      <c r="O24" s="225">
        <v>3</v>
      </c>
      <c r="P24" s="226">
        <f t="shared" si="22"/>
        <v>83</v>
      </c>
      <c r="Q24" s="227">
        <v>0</v>
      </c>
      <c r="R24" s="229">
        <f t="shared" si="17"/>
        <v>0</v>
      </c>
      <c r="S24" s="221"/>
      <c r="T24" s="221"/>
      <c r="U24" s="192" t="str">
        <f t="shared" si="18"/>
        <v>02 3</v>
      </c>
      <c r="V24" s="225">
        <v>3</v>
      </c>
      <c r="W24" s="226">
        <f t="shared" si="23"/>
        <v>83</v>
      </c>
      <c r="X24" s="227">
        <f t="shared" si="24"/>
        <v>0</v>
      </c>
      <c r="Y24" s="758">
        <f t="shared" si="25"/>
        <v>5.7190686137807329</v>
      </c>
      <c r="Z24" s="302">
        <f t="shared" si="19"/>
        <v>0.89816276777508286</v>
      </c>
      <c r="AA24" s="221"/>
      <c r="AB24" s="192" t="str">
        <f t="shared" si="20"/>
        <v>02 3</v>
      </c>
      <c r="AC24" s="225">
        <v>3</v>
      </c>
      <c r="AD24" s="226">
        <f t="shared" si="26"/>
        <v>83</v>
      </c>
      <c r="AE24" s="227">
        <f t="shared" si="27"/>
        <v>0</v>
      </c>
      <c r="AF24" s="227">
        <f t="shared" si="27"/>
        <v>5.7190686137807329</v>
      </c>
      <c r="AN24" s="225">
        <v>3</v>
      </c>
      <c r="AO24" s="226">
        <v>83</v>
      </c>
      <c r="AP24" s="227">
        <v>0</v>
      </c>
      <c r="AQ24" s="228">
        <v>11.5952</v>
      </c>
      <c r="AS24" s="192" t="str">
        <f>CONCATENATE(AS18," ",AT24)</f>
        <v>02 3</v>
      </c>
      <c r="AT24" s="225">
        <v>3</v>
      </c>
      <c r="AU24" s="226">
        <v>83</v>
      </c>
      <c r="AV24" s="227">
        <v>0</v>
      </c>
      <c r="AW24" s="228">
        <f t="shared" si="28"/>
        <v>10.630614602687725</v>
      </c>
    </row>
    <row r="25" spans="2:49">
      <c r="B25" s="225">
        <v>4</v>
      </c>
      <c r="C25" s="226">
        <v>999999999</v>
      </c>
      <c r="D25" s="227">
        <v>0</v>
      </c>
      <c r="E25" s="228">
        <v>7.958877679999997</v>
      </c>
      <c r="G25" s="192" t="str">
        <f>CONCATENATE(G18," ",H25)</f>
        <v>02 4</v>
      </c>
      <c r="H25" s="225">
        <v>4</v>
      </c>
      <c r="I25" s="226">
        <v>999999999</v>
      </c>
      <c r="J25" s="227">
        <v>0</v>
      </c>
      <c r="K25" s="228">
        <f t="shared" si="21"/>
        <v>7.2967918868163872</v>
      </c>
      <c r="L25" s="221"/>
      <c r="M25" s="221"/>
      <c r="N25" s="192" t="str">
        <f t="shared" si="16"/>
        <v>02 4</v>
      </c>
      <c r="O25" s="225">
        <v>4</v>
      </c>
      <c r="P25" s="226">
        <f t="shared" si="22"/>
        <v>999999999</v>
      </c>
      <c r="Q25" s="227">
        <v>0</v>
      </c>
      <c r="R25" s="229">
        <f t="shared" si="17"/>
        <v>0</v>
      </c>
      <c r="S25" s="221"/>
      <c r="T25" s="221"/>
      <c r="U25" s="192" t="str">
        <f t="shared" si="18"/>
        <v>02 4</v>
      </c>
      <c r="V25" s="225">
        <v>4</v>
      </c>
      <c r="W25" s="226">
        <f t="shared" si="23"/>
        <v>999999999</v>
      </c>
      <c r="X25" s="227">
        <f t="shared" si="24"/>
        <v>0</v>
      </c>
      <c r="Y25" s="758">
        <f t="shared" si="25"/>
        <v>6.5537067969417757</v>
      </c>
      <c r="Z25" s="302">
        <f t="shared" si="19"/>
        <v>0.89816276777508286</v>
      </c>
      <c r="AA25" s="221"/>
      <c r="AB25" s="192" t="str">
        <f t="shared" si="20"/>
        <v>02 4</v>
      </c>
      <c r="AC25" s="225">
        <v>4</v>
      </c>
      <c r="AD25" s="226">
        <f t="shared" si="26"/>
        <v>999999999</v>
      </c>
      <c r="AE25" s="227">
        <f t="shared" si="27"/>
        <v>0</v>
      </c>
      <c r="AF25" s="227">
        <f t="shared" si="27"/>
        <v>6.5537067969417757</v>
      </c>
      <c r="AN25" s="225">
        <v>4</v>
      </c>
      <c r="AO25" s="226">
        <v>999999999</v>
      </c>
      <c r="AP25" s="227">
        <v>0</v>
      </c>
      <c r="AQ25" s="228">
        <v>12.870799999999999</v>
      </c>
      <c r="AS25" s="192" t="str">
        <f>CONCATENATE(AS18," ",AT25)</f>
        <v>02 4</v>
      </c>
      <c r="AT25" s="225">
        <v>4</v>
      </c>
      <c r="AU25" s="226">
        <v>999999999</v>
      </c>
      <c r="AV25" s="227">
        <v>0</v>
      </c>
      <c r="AW25" s="228">
        <f t="shared" si="28"/>
        <v>11.800099560876324</v>
      </c>
    </row>
    <row r="26" spans="2:49">
      <c r="B26" s="225">
        <v>5</v>
      </c>
      <c r="C26" s="226"/>
      <c r="D26" s="227">
        <v>0</v>
      </c>
      <c r="E26" s="228">
        <v>0</v>
      </c>
      <c r="G26" s="192" t="str">
        <f>CONCATENATE(G18," ",H26)</f>
        <v>02 5</v>
      </c>
      <c r="H26" s="225">
        <v>5</v>
      </c>
      <c r="I26" s="226"/>
      <c r="J26" s="227">
        <v>0</v>
      </c>
      <c r="K26" s="228">
        <f t="shared" si="21"/>
        <v>0</v>
      </c>
      <c r="L26" s="221"/>
      <c r="M26" s="221"/>
      <c r="N26" s="192" t="str">
        <f t="shared" si="16"/>
        <v>02 5</v>
      </c>
      <c r="O26" s="225">
        <v>5</v>
      </c>
      <c r="P26" s="226"/>
      <c r="Q26" s="227">
        <v>0</v>
      </c>
      <c r="R26" s="229">
        <f t="shared" si="17"/>
        <v>0</v>
      </c>
      <c r="S26" s="221"/>
      <c r="T26" s="221"/>
      <c r="U26" s="192" t="str">
        <f t="shared" si="18"/>
        <v>02 5</v>
      </c>
      <c r="V26" s="225">
        <v>5</v>
      </c>
      <c r="W26" s="226"/>
      <c r="X26" s="227">
        <f t="shared" si="24"/>
        <v>0</v>
      </c>
      <c r="Y26" s="758">
        <f t="shared" si="25"/>
        <v>0</v>
      </c>
      <c r="Z26" s="302">
        <f t="shared" si="19"/>
        <v>0.89816276777508286</v>
      </c>
      <c r="AA26" s="221"/>
      <c r="AB26" s="192" t="str">
        <f t="shared" si="20"/>
        <v>02 5</v>
      </c>
      <c r="AC26" s="225">
        <v>5</v>
      </c>
      <c r="AD26" s="226">
        <f>P26</f>
        <v>0</v>
      </c>
      <c r="AE26" s="227">
        <f>X26+Q26</f>
        <v>0</v>
      </c>
      <c r="AF26" s="227">
        <f t="shared" si="27"/>
        <v>0</v>
      </c>
      <c r="AN26" s="225">
        <v>5</v>
      </c>
      <c r="AO26" s="226"/>
      <c r="AP26" s="227">
        <v>0</v>
      </c>
      <c r="AQ26" s="228">
        <v>0</v>
      </c>
      <c r="AS26" s="192" t="str">
        <f>CONCATENATE(AS18," ",AT26)</f>
        <v>02 5</v>
      </c>
      <c r="AT26" s="225">
        <v>5</v>
      </c>
      <c r="AU26" s="226"/>
      <c r="AV26" s="227">
        <v>0</v>
      </c>
      <c r="AW26" s="228">
        <f t="shared" ref="AW26:AW31" si="29">AQ26*$K$1</f>
        <v>0</v>
      </c>
    </row>
    <row r="27" spans="2:49">
      <c r="B27" s="225">
        <v>6</v>
      </c>
      <c r="C27" s="226"/>
      <c r="D27" s="227">
        <v>0</v>
      </c>
      <c r="E27" s="228">
        <v>0</v>
      </c>
      <c r="G27" s="192" t="str">
        <f>CONCATENATE(G18," ",H27)</f>
        <v>02 6</v>
      </c>
      <c r="H27" s="225">
        <v>6</v>
      </c>
      <c r="I27" s="226"/>
      <c r="J27" s="227">
        <v>0</v>
      </c>
      <c r="K27" s="228">
        <f t="shared" si="21"/>
        <v>0</v>
      </c>
      <c r="L27" s="221"/>
      <c r="M27" s="221"/>
      <c r="N27" s="192" t="str">
        <f t="shared" si="16"/>
        <v>02 6</v>
      </c>
      <c r="O27" s="225">
        <v>6</v>
      </c>
      <c r="P27" s="226"/>
      <c r="Q27" s="227">
        <f t="shared" ref="Q27:R31" si="30">J27*$R$1</f>
        <v>0</v>
      </c>
      <c r="R27" s="229">
        <f t="shared" si="30"/>
        <v>0</v>
      </c>
      <c r="S27" s="221"/>
      <c r="T27" s="221"/>
      <c r="U27" s="192" t="str">
        <f t="shared" si="18"/>
        <v>02 6</v>
      </c>
      <c r="V27" s="225">
        <v>6</v>
      </c>
      <c r="W27" s="226"/>
      <c r="X27" s="227">
        <f t="shared" si="24"/>
        <v>0</v>
      </c>
      <c r="Y27" s="758">
        <f t="shared" si="25"/>
        <v>0</v>
      </c>
      <c r="Z27" s="302">
        <f t="shared" si="19"/>
        <v>0.89816276777508286</v>
      </c>
      <c r="AA27" s="221"/>
      <c r="AB27" s="192" t="str">
        <f t="shared" si="20"/>
        <v>02 6</v>
      </c>
      <c r="AC27" s="225">
        <v>6</v>
      </c>
      <c r="AD27" s="226"/>
      <c r="AE27" s="227">
        <f t="shared" ref="AE27:AE31" si="31">J27+Q27</f>
        <v>0</v>
      </c>
      <c r="AF27" s="227">
        <f t="shared" si="27"/>
        <v>0</v>
      </c>
      <c r="AN27" s="225">
        <v>6</v>
      </c>
      <c r="AO27" s="226"/>
      <c r="AP27" s="227">
        <v>0</v>
      </c>
      <c r="AQ27" s="228">
        <v>0</v>
      </c>
      <c r="AS27" s="192" t="str">
        <f>CONCATENATE(AS18," ",AT27)</f>
        <v>02 6</v>
      </c>
      <c r="AT27" s="225">
        <v>6</v>
      </c>
      <c r="AU27" s="226"/>
      <c r="AV27" s="227">
        <v>0</v>
      </c>
      <c r="AW27" s="228">
        <f t="shared" si="29"/>
        <v>0</v>
      </c>
    </row>
    <row r="28" spans="2:49">
      <c r="B28" s="225">
        <v>7</v>
      </c>
      <c r="C28" s="226"/>
      <c r="D28" s="227">
        <v>0</v>
      </c>
      <c r="E28" s="228">
        <v>0</v>
      </c>
      <c r="G28" s="192" t="str">
        <f>CONCATENATE(G18," ",H28)</f>
        <v>02 7</v>
      </c>
      <c r="H28" s="225">
        <v>7</v>
      </c>
      <c r="I28" s="226"/>
      <c r="J28" s="227">
        <v>0</v>
      </c>
      <c r="K28" s="228">
        <f t="shared" si="21"/>
        <v>0</v>
      </c>
      <c r="L28" s="221"/>
      <c r="M28" s="221"/>
      <c r="N28" s="192" t="str">
        <f t="shared" si="16"/>
        <v>02 7</v>
      </c>
      <c r="O28" s="225">
        <v>7</v>
      </c>
      <c r="P28" s="226"/>
      <c r="Q28" s="227">
        <f t="shared" si="30"/>
        <v>0</v>
      </c>
      <c r="R28" s="229">
        <f t="shared" si="30"/>
        <v>0</v>
      </c>
      <c r="S28" s="221"/>
      <c r="T28" s="221"/>
      <c r="U28" s="192" t="str">
        <f t="shared" si="18"/>
        <v>02 7</v>
      </c>
      <c r="V28" s="225">
        <v>7</v>
      </c>
      <c r="W28" s="226"/>
      <c r="X28" s="227">
        <f t="shared" si="24"/>
        <v>0</v>
      </c>
      <c r="Y28" s="758">
        <f t="shared" si="25"/>
        <v>0</v>
      </c>
      <c r="Z28" s="302">
        <f t="shared" si="19"/>
        <v>0.89816276777508286</v>
      </c>
      <c r="AA28" s="221"/>
      <c r="AB28" s="192" t="str">
        <f t="shared" si="20"/>
        <v>02 7</v>
      </c>
      <c r="AC28" s="225">
        <v>7</v>
      </c>
      <c r="AD28" s="226"/>
      <c r="AE28" s="227">
        <f t="shared" si="31"/>
        <v>0</v>
      </c>
      <c r="AF28" s="227">
        <f t="shared" si="27"/>
        <v>0</v>
      </c>
      <c r="AN28" s="225">
        <v>7</v>
      </c>
      <c r="AO28" s="226"/>
      <c r="AP28" s="227">
        <v>0</v>
      </c>
      <c r="AQ28" s="228">
        <v>0</v>
      </c>
      <c r="AS28" s="192" t="str">
        <f>CONCATENATE(AS18," ",AT28)</f>
        <v>02 7</v>
      </c>
      <c r="AT28" s="225">
        <v>7</v>
      </c>
      <c r="AU28" s="226"/>
      <c r="AV28" s="227">
        <v>0</v>
      </c>
      <c r="AW28" s="228">
        <f t="shared" si="29"/>
        <v>0</v>
      </c>
    </row>
    <row r="29" spans="2:49">
      <c r="B29" s="225">
        <v>8</v>
      </c>
      <c r="C29" s="226"/>
      <c r="D29" s="227">
        <v>0</v>
      </c>
      <c r="E29" s="228">
        <v>0</v>
      </c>
      <c r="G29" s="192" t="str">
        <f>CONCATENATE(G18," ",H29)</f>
        <v>02 8</v>
      </c>
      <c r="H29" s="225">
        <v>8</v>
      </c>
      <c r="I29" s="226"/>
      <c r="J29" s="227">
        <v>0</v>
      </c>
      <c r="K29" s="228">
        <f t="shared" si="21"/>
        <v>0</v>
      </c>
      <c r="L29" s="221"/>
      <c r="M29" s="221"/>
      <c r="N29" s="192" t="str">
        <f t="shared" si="16"/>
        <v>02 8</v>
      </c>
      <c r="O29" s="225">
        <v>8</v>
      </c>
      <c r="P29" s="226"/>
      <c r="Q29" s="227">
        <f t="shared" si="30"/>
        <v>0</v>
      </c>
      <c r="R29" s="229">
        <f t="shared" si="30"/>
        <v>0</v>
      </c>
      <c r="S29" s="221"/>
      <c r="T29" s="221"/>
      <c r="U29" s="192" t="str">
        <f t="shared" si="18"/>
        <v>02 8</v>
      </c>
      <c r="V29" s="225">
        <v>8</v>
      </c>
      <c r="W29" s="226"/>
      <c r="X29" s="227">
        <f t="shared" si="24"/>
        <v>0</v>
      </c>
      <c r="Y29" s="758">
        <f t="shared" si="25"/>
        <v>0</v>
      </c>
      <c r="Z29" s="302">
        <f t="shared" si="19"/>
        <v>0.89816276777508286</v>
      </c>
      <c r="AA29" s="221"/>
      <c r="AB29" s="192" t="str">
        <f t="shared" si="20"/>
        <v>02 8</v>
      </c>
      <c r="AC29" s="225">
        <v>8</v>
      </c>
      <c r="AD29" s="226"/>
      <c r="AE29" s="227">
        <f t="shared" si="31"/>
        <v>0</v>
      </c>
      <c r="AF29" s="227">
        <f t="shared" si="27"/>
        <v>0</v>
      </c>
      <c r="AN29" s="225">
        <v>8</v>
      </c>
      <c r="AO29" s="226"/>
      <c r="AP29" s="227">
        <v>0</v>
      </c>
      <c r="AQ29" s="228">
        <v>0</v>
      </c>
      <c r="AS29" s="192" t="str">
        <f>CONCATENATE(AS18," ",AT29)</f>
        <v>02 8</v>
      </c>
      <c r="AT29" s="225">
        <v>8</v>
      </c>
      <c r="AU29" s="226"/>
      <c r="AV29" s="227">
        <v>0</v>
      </c>
      <c r="AW29" s="228">
        <f t="shared" si="29"/>
        <v>0</v>
      </c>
    </row>
    <row r="30" spans="2:49">
      <c r="B30" s="225">
        <v>9</v>
      </c>
      <c r="C30" s="226"/>
      <c r="D30" s="227">
        <v>0</v>
      </c>
      <c r="E30" s="228">
        <v>0</v>
      </c>
      <c r="G30" s="192" t="str">
        <f>CONCATENATE(G18," ",H30)</f>
        <v>02 9</v>
      </c>
      <c r="H30" s="225">
        <v>9</v>
      </c>
      <c r="I30" s="226"/>
      <c r="J30" s="227">
        <v>0</v>
      </c>
      <c r="K30" s="228">
        <f t="shared" si="21"/>
        <v>0</v>
      </c>
      <c r="L30" s="221"/>
      <c r="M30" s="221"/>
      <c r="N30" s="192" t="str">
        <f t="shared" si="16"/>
        <v>02 9</v>
      </c>
      <c r="O30" s="225">
        <v>9</v>
      </c>
      <c r="P30" s="226"/>
      <c r="Q30" s="227">
        <f t="shared" si="30"/>
        <v>0</v>
      </c>
      <c r="R30" s="229">
        <f t="shared" si="30"/>
        <v>0</v>
      </c>
      <c r="S30" s="221"/>
      <c r="T30" s="221"/>
      <c r="U30" s="192" t="str">
        <f t="shared" si="18"/>
        <v>02 9</v>
      </c>
      <c r="V30" s="225">
        <v>9</v>
      </c>
      <c r="W30" s="226"/>
      <c r="X30" s="227">
        <f t="shared" si="24"/>
        <v>0</v>
      </c>
      <c r="Y30" s="758">
        <f t="shared" si="25"/>
        <v>0</v>
      </c>
      <c r="Z30" s="302">
        <f t="shared" si="19"/>
        <v>0.89816276777508286</v>
      </c>
      <c r="AA30" s="221"/>
      <c r="AB30" s="192" t="str">
        <f t="shared" si="20"/>
        <v>02 9</v>
      </c>
      <c r="AC30" s="225">
        <v>9</v>
      </c>
      <c r="AD30" s="226"/>
      <c r="AE30" s="227">
        <f t="shared" si="31"/>
        <v>0</v>
      </c>
      <c r="AF30" s="227">
        <f t="shared" si="27"/>
        <v>0</v>
      </c>
      <c r="AN30" s="225">
        <v>9</v>
      </c>
      <c r="AO30" s="226"/>
      <c r="AP30" s="227">
        <v>0</v>
      </c>
      <c r="AQ30" s="228">
        <v>0</v>
      </c>
      <c r="AS30" s="192" t="str">
        <f>CONCATENATE(AS18," ",AT30)</f>
        <v>02 9</v>
      </c>
      <c r="AT30" s="225">
        <v>9</v>
      </c>
      <c r="AU30" s="226"/>
      <c r="AV30" s="227">
        <v>0</v>
      </c>
      <c r="AW30" s="228">
        <f t="shared" si="29"/>
        <v>0</v>
      </c>
    </row>
    <row r="31" spans="2:49">
      <c r="B31" s="225">
        <v>10</v>
      </c>
      <c r="C31" s="226"/>
      <c r="D31" s="227">
        <v>0</v>
      </c>
      <c r="E31" s="228">
        <v>0</v>
      </c>
      <c r="G31" s="192" t="str">
        <f>CONCATENATE(G18," ",H31)</f>
        <v>02 10</v>
      </c>
      <c r="H31" s="225">
        <v>10</v>
      </c>
      <c r="I31" s="226"/>
      <c r="J31" s="227">
        <v>0</v>
      </c>
      <c r="K31" s="228">
        <f t="shared" si="21"/>
        <v>0</v>
      </c>
      <c r="L31" s="221"/>
      <c r="M31" s="221"/>
      <c r="N31" s="192" t="str">
        <f t="shared" si="16"/>
        <v>02 10</v>
      </c>
      <c r="O31" s="225">
        <v>10</v>
      </c>
      <c r="P31" s="226"/>
      <c r="Q31" s="227">
        <f t="shared" si="30"/>
        <v>0</v>
      </c>
      <c r="R31" s="229">
        <f t="shared" si="30"/>
        <v>0</v>
      </c>
      <c r="S31" s="221"/>
      <c r="T31" s="221"/>
      <c r="U31" s="192" t="str">
        <f t="shared" si="18"/>
        <v>02 10</v>
      </c>
      <c r="V31" s="225">
        <v>10</v>
      </c>
      <c r="W31" s="226"/>
      <c r="X31" s="227">
        <f t="shared" si="24"/>
        <v>0</v>
      </c>
      <c r="Y31" s="758">
        <f t="shared" si="25"/>
        <v>0</v>
      </c>
      <c r="Z31" s="302">
        <f t="shared" si="19"/>
        <v>0.89816276777508286</v>
      </c>
      <c r="AA31" s="221"/>
      <c r="AB31" s="192" t="str">
        <f t="shared" si="20"/>
        <v>02 10</v>
      </c>
      <c r="AC31" s="225">
        <v>10</v>
      </c>
      <c r="AD31" s="226"/>
      <c r="AE31" s="227">
        <f t="shared" si="31"/>
        <v>0</v>
      </c>
      <c r="AF31" s="227">
        <f t="shared" si="27"/>
        <v>0</v>
      </c>
      <c r="AN31" s="225">
        <v>10</v>
      </c>
      <c r="AO31" s="226"/>
      <c r="AP31" s="227">
        <v>0</v>
      </c>
      <c r="AQ31" s="228">
        <v>0</v>
      </c>
      <c r="AS31" s="192" t="str">
        <f>CONCATENATE(AS18," ",AT31)</f>
        <v>02 10</v>
      </c>
      <c r="AT31" s="225">
        <v>10</v>
      </c>
      <c r="AU31" s="226"/>
      <c r="AV31" s="227">
        <v>0</v>
      </c>
      <c r="AW31" s="228">
        <f t="shared" si="29"/>
        <v>0</v>
      </c>
    </row>
    <row r="32" spans="2:49">
      <c r="B32" s="232"/>
      <c r="C32" s="233"/>
      <c r="D32" s="234"/>
      <c r="E32" s="235"/>
      <c r="G32" s="222"/>
      <c r="H32" s="232"/>
      <c r="I32" s="233"/>
      <c r="J32" s="234"/>
      <c r="K32" s="235"/>
      <c r="L32" s="221"/>
      <c r="M32" s="221"/>
      <c r="N32" s="222"/>
      <c r="O32" s="232"/>
      <c r="P32" s="233"/>
      <c r="Q32" s="234"/>
      <c r="R32" s="235"/>
      <c r="S32" s="221"/>
      <c r="T32" s="221"/>
      <c r="U32" s="222"/>
      <c r="V32" s="232"/>
      <c r="W32" s="233"/>
      <c r="X32" s="234"/>
      <c r="Y32" s="235"/>
      <c r="Z32" s="50"/>
      <c r="AA32" s="221"/>
      <c r="AB32" s="222"/>
      <c r="AC32" s="232"/>
      <c r="AD32" s="233"/>
      <c r="AE32" s="234"/>
      <c r="AF32" s="235"/>
      <c r="AN32" s="232"/>
      <c r="AO32" s="233"/>
      <c r="AP32" s="234"/>
      <c r="AQ32" s="235"/>
      <c r="AS32" s="222"/>
      <c r="AT32" s="232"/>
      <c r="AU32" s="233"/>
      <c r="AV32" s="234"/>
      <c r="AW32" s="235"/>
    </row>
    <row r="33" spans="2:49">
      <c r="B33" s="836" t="s">
        <v>17</v>
      </c>
      <c r="C33" s="837"/>
      <c r="D33" s="219"/>
      <c r="E33" s="220"/>
      <c r="G33" s="218" t="s">
        <v>4907</v>
      </c>
      <c r="H33" s="836" t="s">
        <v>17</v>
      </c>
      <c r="I33" s="837"/>
      <c r="J33" s="219"/>
      <c r="K33" s="220"/>
      <c r="L33" s="221"/>
      <c r="M33" s="221"/>
      <c r="N33" s="218" t="str">
        <f>G33</f>
        <v>03</v>
      </c>
      <c r="O33" s="836" t="str">
        <f>H33</f>
        <v>Comercial</v>
      </c>
      <c r="P33" s="837"/>
      <c r="Q33" s="219"/>
      <c r="R33" s="220"/>
      <c r="S33" s="221"/>
      <c r="T33" s="221"/>
      <c r="U33" s="218" t="str">
        <f>N33</f>
        <v>03</v>
      </c>
      <c r="V33" s="836" t="str">
        <f>O33</f>
        <v>Comercial</v>
      </c>
      <c r="W33" s="837"/>
      <c r="X33" s="219"/>
      <c r="Y33" s="220"/>
      <c r="Z33" s="50"/>
      <c r="AA33" s="221"/>
      <c r="AB33" s="218" t="str">
        <f>U33</f>
        <v>03</v>
      </c>
      <c r="AC33" s="836" t="s">
        <v>17</v>
      </c>
      <c r="AD33" s="837"/>
      <c r="AE33" s="219"/>
      <c r="AF33" s="220"/>
      <c r="AN33" s="836" t="s">
        <v>17</v>
      </c>
      <c r="AO33" s="837"/>
      <c r="AP33" s="219"/>
      <c r="AQ33" s="220"/>
      <c r="AS33" s="218" t="s">
        <v>4907</v>
      </c>
      <c r="AT33" s="282" t="s">
        <v>17</v>
      </c>
      <c r="AU33" s="283"/>
      <c r="AV33" s="219"/>
      <c r="AW33" s="220"/>
    </row>
    <row r="34" spans="2:49">
      <c r="B34" s="838" t="s">
        <v>4898</v>
      </c>
      <c r="C34" s="838"/>
      <c r="D34" s="219"/>
      <c r="E34" s="220"/>
      <c r="G34" s="222"/>
      <c r="H34" s="838"/>
      <c r="I34" s="838"/>
      <c r="J34" s="219"/>
      <c r="K34" s="220"/>
      <c r="L34" s="221"/>
      <c r="M34" s="221"/>
      <c r="N34" s="222"/>
      <c r="O34" s="838" t="s">
        <v>4898</v>
      </c>
      <c r="P34" s="838"/>
      <c r="Q34" s="219"/>
      <c r="R34" s="220"/>
      <c r="S34" s="221"/>
      <c r="T34" s="221"/>
      <c r="U34" s="222"/>
      <c r="V34" s="838" t="s">
        <v>4898</v>
      </c>
      <c r="W34" s="838"/>
      <c r="X34" s="219"/>
      <c r="Y34" s="220"/>
      <c r="Z34" s="50"/>
      <c r="AA34" s="221"/>
      <c r="AB34" s="222"/>
      <c r="AC34" s="838" t="s">
        <v>4898</v>
      </c>
      <c r="AD34" s="838"/>
      <c r="AE34" s="219"/>
      <c r="AF34" s="220"/>
      <c r="AN34" s="838" t="s">
        <v>4898</v>
      </c>
      <c r="AO34" s="838"/>
      <c r="AP34" s="219"/>
      <c r="AQ34" s="220"/>
      <c r="AS34" s="222"/>
      <c r="AT34" s="284" t="s">
        <v>4898</v>
      </c>
      <c r="AU34" s="284"/>
      <c r="AV34" s="219"/>
      <c r="AW34" s="220"/>
    </row>
    <row r="35" spans="2:49">
      <c r="B35" s="835" t="s">
        <v>4899</v>
      </c>
      <c r="C35" s="839" t="s">
        <v>4900</v>
      </c>
      <c r="D35" s="224" t="s">
        <v>4901</v>
      </c>
      <c r="E35" s="224"/>
      <c r="G35" s="222"/>
      <c r="H35" s="835" t="s">
        <v>4899</v>
      </c>
      <c r="I35" s="839" t="s">
        <v>4900</v>
      </c>
      <c r="J35" s="224" t="s">
        <v>4901</v>
      </c>
      <c r="K35" s="224"/>
      <c r="L35" s="221"/>
      <c r="M35" s="221"/>
      <c r="N35" s="222"/>
      <c r="O35" s="835" t="s">
        <v>4899</v>
      </c>
      <c r="P35" s="835" t="s">
        <v>4900</v>
      </c>
      <c r="Q35" s="224" t="s">
        <v>4901</v>
      </c>
      <c r="R35" s="224"/>
      <c r="S35" s="221"/>
      <c r="T35" s="221"/>
      <c r="U35" s="222"/>
      <c r="V35" s="835" t="s">
        <v>4899</v>
      </c>
      <c r="W35" s="835" t="s">
        <v>4900</v>
      </c>
      <c r="X35" s="224" t="s">
        <v>4901</v>
      </c>
      <c r="Y35" s="224"/>
      <c r="Z35" s="50"/>
      <c r="AA35" s="221"/>
      <c r="AB35" s="222"/>
      <c r="AC35" s="835" t="s">
        <v>4899</v>
      </c>
      <c r="AD35" s="835" t="s">
        <v>4900</v>
      </c>
      <c r="AE35" s="841" t="s">
        <v>4901</v>
      </c>
      <c r="AF35" s="841"/>
      <c r="AN35" s="835" t="s">
        <v>4899</v>
      </c>
      <c r="AO35" s="839" t="s">
        <v>4900</v>
      </c>
      <c r="AP35" s="224" t="s">
        <v>4901</v>
      </c>
      <c r="AQ35" s="224"/>
      <c r="AS35" s="222"/>
      <c r="AT35" s="285" t="s">
        <v>4899</v>
      </c>
      <c r="AU35" s="286" t="s">
        <v>4900</v>
      </c>
      <c r="AV35" s="224" t="s">
        <v>4901</v>
      </c>
      <c r="AW35" s="224"/>
    </row>
    <row r="36" spans="2:49">
      <c r="B36" s="835"/>
      <c r="C36" s="840"/>
      <c r="D36" s="223" t="s">
        <v>4902</v>
      </c>
      <c r="E36" s="223" t="s">
        <v>4903</v>
      </c>
      <c r="G36" s="222"/>
      <c r="H36" s="835"/>
      <c r="I36" s="840"/>
      <c r="J36" s="223" t="s">
        <v>4902</v>
      </c>
      <c r="K36" s="223" t="s">
        <v>4903</v>
      </c>
      <c r="L36" s="221"/>
      <c r="M36" s="221"/>
      <c r="N36" s="222"/>
      <c r="O36" s="835"/>
      <c r="P36" s="835"/>
      <c r="Q36" s="223" t="s">
        <v>4902</v>
      </c>
      <c r="R36" s="223" t="s">
        <v>4903</v>
      </c>
      <c r="S36" s="221"/>
      <c r="T36" s="221"/>
      <c r="U36" s="222"/>
      <c r="V36" s="835"/>
      <c r="W36" s="835"/>
      <c r="X36" s="223" t="s">
        <v>4902</v>
      </c>
      <c r="Y36" s="223" t="s">
        <v>4903</v>
      </c>
      <c r="Z36" s="50"/>
      <c r="AA36" s="221"/>
      <c r="AB36" s="222"/>
      <c r="AC36" s="835"/>
      <c r="AD36" s="835"/>
      <c r="AE36" s="223" t="s">
        <v>4902</v>
      </c>
      <c r="AF36" s="223" t="s">
        <v>4903</v>
      </c>
      <c r="AN36" s="835"/>
      <c r="AO36" s="840"/>
      <c r="AP36" s="223" t="s">
        <v>4902</v>
      </c>
      <c r="AQ36" s="223" t="s">
        <v>4903</v>
      </c>
      <c r="AS36" s="222"/>
      <c r="AT36" s="285"/>
      <c r="AU36" s="287"/>
      <c r="AV36" s="223" t="s">
        <v>4902</v>
      </c>
      <c r="AW36" s="223" t="s">
        <v>4903</v>
      </c>
    </row>
    <row r="37" spans="2:49">
      <c r="B37" s="225">
        <v>1</v>
      </c>
      <c r="C37" s="226">
        <v>200</v>
      </c>
      <c r="D37" s="227">
        <v>0</v>
      </c>
      <c r="E37" s="228">
        <v>3.0959256799999992</v>
      </c>
      <c r="G37" s="192" t="str">
        <f>CONCATENATE(G33," ",H37)</f>
        <v>03 1</v>
      </c>
      <c r="H37" s="225">
        <v>1</v>
      </c>
      <c r="I37" s="226">
        <v>200</v>
      </c>
      <c r="J37" s="227">
        <v>0</v>
      </c>
      <c r="K37" s="228">
        <f>E37*$K$1</f>
        <v>2.8383807733065334</v>
      </c>
      <c r="L37" s="221"/>
      <c r="M37" s="221"/>
      <c r="N37" s="192" t="str">
        <f t="shared" ref="N37:N46" si="32">G37</f>
        <v>03 1</v>
      </c>
      <c r="O37" s="225">
        <v>1</v>
      </c>
      <c r="P37" s="226">
        <f>I37</f>
        <v>200</v>
      </c>
      <c r="Q37" s="227">
        <v>0</v>
      </c>
      <c r="R37" s="229">
        <v>0</v>
      </c>
      <c r="S37" s="221"/>
      <c r="T37" s="221"/>
      <c r="U37" s="192" t="str">
        <f t="shared" ref="U37:U46" si="33">N37</f>
        <v>03 1</v>
      </c>
      <c r="V37" s="225">
        <v>1</v>
      </c>
      <c r="W37" s="226">
        <f>P37</f>
        <v>200</v>
      </c>
      <c r="X37" s="227">
        <f>J37*Z37</f>
        <v>0</v>
      </c>
      <c r="Y37" s="758">
        <f>K37*Z37</f>
        <v>3.6898950052984936</v>
      </c>
      <c r="Z37" s="231">
        <v>1.3</v>
      </c>
      <c r="AA37" s="221"/>
      <c r="AB37" s="192" t="str">
        <f t="shared" ref="AB37:AB46" si="34">U37</f>
        <v>03 1</v>
      </c>
      <c r="AC37" s="225">
        <v>1</v>
      </c>
      <c r="AD37" s="226">
        <f>P37</f>
        <v>200</v>
      </c>
      <c r="AE37" s="227">
        <f>X37+Q37</f>
        <v>0</v>
      </c>
      <c r="AF37" s="227">
        <f>Y37+R37</f>
        <v>3.6898950052984936</v>
      </c>
      <c r="AN37" s="225">
        <v>1</v>
      </c>
      <c r="AO37" s="226">
        <v>200</v>
      </c>
      <c r="AP37" s="227">
        <v>0</v>
      </c>
      <c r="AQ37" s="228">
        <v>6.7507999999999999</v>
      </c>
      <c r="AS37" s="192" t="str">
        <f>CONCATENATE(AS33," ",AT37)</f>
        <v>03 1</v>
      </c>
      <c r="AT37" s="225">
        <v>1</v>
      </c>
      <c r="AU37" s="226">
        <v>200</v>
      </c>
      <c r="AV37" s="227">
        <v>0</v>
      </c>
      <c r="AW37" s="228">
        <f>AQ37*$AW$1</f>
        <v>6.1892121791624373</v>
      </c>
    </row>
    <row r="38" spans="2:49">
      <c r="B38" s="225">
        <v>2</v>
      </c>
      <c r="C38" s="226">
        <v>500</v>
      </c>
      <c r="D38" s="227">
        <v>0</v>
      </c>
      <c r="E38" s="228">
        <v>3.0377609599999995</v>
      </c>
      <c r="G38" s="192" t="str">
        <f>CONCATENATE(G33," ",H38)</f>
        <v>03 2</v>
      </c>
      <c r="H38" s="225">
        <v>2</v>
      </c>
      <c r="I38" s="226">
        <v>500</v>
      </c>
      <c r="J38" s="227">
        <v>0</v>
      </c>
      <c r="K38" s="228">
        <f t="shared" ref="K38:K46" si="35">E38*$K$1</f>
        <v>2.7850546795959255</v>
      </c>
      <c r="L38" s="221"/>
      <c r="M38" s="221"/>
      <c r="N38" s="192" t="str">
        <f t="shared" si="32"/>
        <v>03 2</v>
      </c>
      <c r="O38" s="225">
        <v>2</v>
      </c>
      <c r="P38" s="226">
        <f t="shared" ref="P38:P42" si="36">I38</f>
        <v>500</v>
      </c>
      <c r="Q38" s="227">
        <v>0</v>
      </c>
      <c r="R38" s="229">
        <v>0</v>
      </c>
      <c r="S38" s="221"/>
      <c r="T38" s="221"/>
      <c r="U38" s="192" t="str">
        <f t="shared" si="33"/>
        <v>03 2</v>
      </c>
      <c r="V38" s="225">
        <v>2</v>
      </c>
      <c r="W38" s="226">
        <f t="shared" ref="W38:W42" si="37">P38</f>
        <v>500</v>
      </c>
      <c r="X38" s="227">
        <f t="shared" ref="X38:X46" si="38">J38*Z38</f>
        <v>0</v>
      </c>
      <c r="Y38" s="758">
        <f t="shared" ref="Y38:Y46" si="39">K38*Z38</f>
        <v>3.6205710834747031</v>
      </c>
      <c r="Z38" s="231">
        <v>1.3</v>
      </c>
      <c r="AA38" s="221"/>
      <c r="AB38" s="192" t="str">
        <f t="shared" si="34"/>
        <v>03 2</v>
      </c>
      <c r="AC38" s="225">
        <v>2</v>
      </c>
      <c r="AD38" s="226">
        <f t="shared" ref="AD38:AD43" si="40">P38</f>
        <v>500</v>
      </c>
      <c r="AE38" s="227">
        <f t="shared" ref="AE38:AF46" si="41">X38+Q38</f>
        <v>0</v>
      </c>
      <c r="AF38" s="227">
        <f t="shared" si="41"/>
        <v>3.6205710834747031</v>
      </c>
      <c r="AN38" s="225">
        <v>2</v>
      </c>
      <c r="AO38" s="226">
        <v>500</v>
      </c>
      <c r="AP38" s="227">
        <v>0</v>
      </c>
      <c r="AQ38" s="228">
        <v>6.6776</v>
      </c>
      <c r="AS38" s="192" t="str">
        <f>CONCATENATE(AS33," ",AT38)</f>
        <v>03 2</v>
      </c>
      <c r="AT38" s="225">
        <v>2</v>
      </c>
      <c r="AU38" s="226">
        <v>500</v>
      </c>
      <c r="AV38" s="227">
        <v>0</v>
      </c>
      <c r="AW38" s="228">
        <f t="shared" ref="AW38:AW40" si="42">AQ38*$AW$1</f>
        <v>6.1221015653811532</v>
      </c>
    </row>
    <row r="39" spans="2:49">
      <c r="B39" s="225">
        <v>3</v>
      </c>
      <c r="C39" s="226">
        <v>2000</v>
      </c>
      <c r="D39" s="227">
        <v>0</v>
      </c>
      <c r="E39" s="228">
        <v>2.1413726999999994</v>
      </c>
      <c r="G39" s="192" t="str">
        <f>CONCATENATE(G33," ",H39)</f>
        <v>03 3</v>
      </c>
      <c r="H39" s="225">
        <v>3</v>
      </c>
      <c r="I39" s="226">
        <v>2000</v>
      </c>
      <c r="J39" s="227">
        <v>0</v>
      </c>
      <c r="K39" s="228">
        <f t="shared" si="35"/>
        <v>1.9632354676432346</v>
      </c>
      <c r="L39" s="221"/>
      <c r="M39" s="221"/>
      <c r="N39" s="192" t="str">
        <f t="shared" si="32"/>
        <v>03 3</v>
      </c>
      <c r="O39" s="225">
        <v>3</v>
      </c>
      <c r="P39" s="226">
        <f t="shared" si="36"/>
        <v>2000</v>
      </c>
      <c r="Q39" s="227">
        <v>0</v>
      </c>
      <c r="R39" s="229">
        <v>0</v>
      </c>
      <c r="S39" s="221"/>
      <c r="T39" s="221"/>
      <c r="U39" s="192" t="str">
        <f t="shared" si="33"/>
        <v>03 3</v>
      </c>
      <c r="V39" s="225">
        <v>3</v>
      </c>
      <c r="W39" s="226">
        <f t="shared" si="37"/>
        <v>2000</v>
      </c>
      <c r="X39" s="227">
        <f t="shared" si="38"/>
        <v>0</v>
      </c>
      <c r="Y39" s="758">
        <f t="shared" si="39"/>
        <v>2.5522061079362053</v>
      </c>
      <c r="Z39" s="231">
        <v>1.3</v>
      </c>
      <c r="AA39" s="221"/>
      <c r="AB39" s="192" t="str">
        <f t="shared" si="34"/>
        <v>03 3</v>
      </c>
      <c r="AC39" s="225">
        <v>3</v>
      </c>
      <c r="AD39" s="226">
        <f t="shared" si="40"/>
        <v>2000</v>
      </c>
      <c r="AE39" s="227">
        <f t="shared" si="41"/>
        <v>0</v>
      </c>
      <c r="AF39" s="227">
        <f t="shared" si="41"/>
        <v>2.5522061079362053</v>
      </c>
      <c r="AN39" s="225">
        <v>3</v>
      </c>
      <c r="AO39" s="226">
        <v>2000</v>
      </c>
      <c r="AP39" s="227">
        <v>0</v>
      </c>
      <c r="AQ39" s="228">
        <v>5.5495000000000001</v>
      </c>
      <c r="AS39" s="192" t="str">
        <f>CONCATENATE(AS33," ",AT39)</f>
        <v>03 3</v>
      </c>
      <c r="AT39" s="225">
        <v>3</v>
      </c>
      <c r="AU39" s="226">
        <v>2000</v>
      </c>
      <c r="AV39" s="227">
        <v>0</v>
      </c>
      <c r="AW39" s="228">
        <f t="shared" si="42"/>
        <v>5.0878463275851669</v>
      </c>
    </row>
    <row r="40" spans="2:49">
      <c r="B40" s="225">
        <v>4</v>
      </c>
      <c r="C40" s="226">
        <v>20000</v>
      </c>
      <c r="D40" s="227">
        <v>0</v>
      </c>
      <c r="E40" s="228">
        <v>2.04570286</v>
      </c>
      <c r="G40" s="192" t="str">
        <f>CONCATENATE(G33," ",H40)</f>
        <v>03 4</v>
      </c>
      <c r="H40" s="225">
        <v>4</v>
      </c>
      <c r="I40" s="226">
        <v>20000</v>
      </c>
      <c r="J40" s="227">
        <v>0</v>
      </c>
      <c r="K40" s="228">
        <f t="shared" si="35"/>
        <v>1.8755242424689564</v>
      </c>
      <c r="L40" s="221"/>
      <c r="M40" s="221"/>
      <c r="N40" s="192" t="str">
        <f t="shared" si="32"/>
        <v>03 4</v>
      </c>
      <c r="O40" s="225">
        <v>4</v>
      </c>
      <c r="P40" s="226">
        <f t="shared" si="36"/>
        <v>20000</v>
      </c>
      <c r="Q40" s="227">
        <v>0</v>
      </c>
      <c r="R40" s="229">
        <v>0</v>
      </c>
      <c r="S40" s="221"/>
      <c r="T40" s="221"/>
      <c r="U40" s="192" t="str">
        <f t="shared" si="33"/>
        <v>03 4</v>
      </c>
      <c r="V40" s="225">
        <v>4</v>
      </c>
      <c r="W40" s="226">
        <f t="shared" si="37"/>
        <v>20000</v>
      </c>
      <c r="X40" s="227">
        <f t="shared" si="38"/>
        <v>0</v>
      </c>
      <c r="Y40" s="758">
        <f t="shared" si="39"/>
        <v>2.4381815152096435</v>
      </c>
      <c r="Z40" s="231">
        <v>1.3</v>
      </c>
      <c r="AA40" s="221"/>
      <c r="AB40" s="192" t="str">
        <f t="shared" si="34"/>
        <v>03 4</v>
      </c>
      <c r="AC40" s="225">
        <v>4</v>
      </c>
      <c r="AD40" s="226">
        <f t="shared" si="40"/>
        <v>20000</v>
      </c>
      <c r="AE40" s="227">
        <f t="shared" si="41"/>
        <v>0</v>
      </c>
      <c r="AF40" s="227">
        <f t="shared" si="41"/>
        <v>2.4381815152096435</v>
      </c>
      <c r="AN40" s="225">
        <v>4</v>
      </c>
      <c r="AO40" s="226">
        <v>20000</v>
      </c>
      <c r="AP40" s="227">
        <v>0</v>
      </c>
      <c r="AQ40" s="228">
        <v>5.4291</v>
      </c>
      <c r="AS40" s="192" t="str">
        <f>CONCATENATE(AS33," ",AT40)</f>
        <v>03 4</v>
      </c>
      <c r="AT40" s="225">
        <v>4</v>
      </c>
      <c r="AU40" s="226">
        <v>20000</v>
      </c>
      <c r="AV40" s="227">
        <v>0</v>
      </c>
      <c r="AW40" s="228">
        <f t="shared" si="42"/>
        <v>4.9774622032782467</v>
      </c>
    </row>
    <row r="41" spans="2:49">
      <c r="B41" s="225">
        <v>5</v>
      </c>
      <c r="C41" s="226">
        <v>50000</v>
      </c>
      <c r="D41" s="227">
        <v>0</v>
      </c>
      <c r="E41" s="228">
        <v>1.9625082399999996</v>
      </c>
      <c r="G41" s="192" t="str">
        <f>CONCATENATE(G33," ",H41)</f>
        <v>03 5</v>
      </c>
      <c r="H41" s="225">
        <v>5</v>
      </c>
      <c r="I41" s="226">
        <v>50000</v>
      </c>
      <c r="J41" s="227">
        <v>0</v>
      </c>
      <c r="K41" s="228">
        <f t="shared" si="35"/>
        <v>1.7992504444976354</v>
      </c>
      <c r="L41" s="221"/>
      <c r="M41" s="221"/>
      <c r="N41" s="192" t="str">
        <f t="shared" si="32"/>
        <v>03 5</v>
      </c>
      <c r="O41" s="225">
        <v>5</v>
      </c>
      <c r="P41" s="226">
        <f t="shared" si="36"/>
        <v>50000</v>
      </c>
      <c r="Q41" s="227">
        <v>0</v>
      </c>
      <c r="R41" s="229">
        <v>0</v>
      </c>
      <c r="S41" s="221"/>
      <c r="T41" s="221"/>
      <c r="U41" s="192" t="str">
        <f t="shared" si="33"/>
        <v>03 5</v>
      </c>
      <c r="V41" s="225">
        <v>5</v>
      </c>
      <c r="W41" s="226">
        <f t="shared" si="37"/>
        <v>50000</v>
      </c>
      <c r="X41" s="227">
        <f t="shared" si="38"/>
        <v>0</v>
      </c>
      <c r="Y41" s="758">
        <f t="shared" si="39"/>
        <v>2.3390255778469262</v>
      </c>
      <c r="Z41" s="231">
        <v>1.3</v>
      </c>
      <c r="AA41" s="221"/>
      <c r="AB41" s="192" t="str">
        <f t="shared" si="34"/>
        <v>03 5</v>
      </c>
      <c r="AC41" s="225">
        <v>5</v>
      </c>
      <c r="AD41" s="226">
        <f t="shared" si="40"/>
        <v>50000</v>
      </c>
      <c r="AE41" s="227">
        <f t="shared" si="41"/>
        <v>0</v>
      </c>
      <c r="AF41" s="227">
        <f t="shared" si="41"/>
        <v>2.3390255778469262</v>
      </c>
      <c r="AN41" s="225">
        <v>5</v>
      </c>
      <c r="AO41" s="226">
        <v>50000</v>
      </c>
      <c r="AP41" s="227">
        <v>0</v>
      </c>
      <c r="AQ41" s="228">
        <v>5.3243999999999998</v>
      </c>
      <c r="AS41" s="192" t="str">
        <f>CONCATENATE(AS33," ",AT41)</f>
        <v>03 5</v>
      </c>
      <c r="AT41" s="225">
        <v>5</v>
      </c>
      <c r="AU41" s="226">
        <v>50000</v>
      </c>
      <c r="AV41" s="227">
        <v>0</v>
      </c>
      <c r="AW41" s="228">
        <f t="shared" ref="AW41:AW46" si="43">AQ41*$K$1</f>
        <v>4.8814720220910823</v>
      </c>
    </row>
    <row r="42" spans="2:49">
      <c r="B42" s="225">
        <v>6</v>
      </c>
      <c r="C42" s="226">
        <v>999999999</v>
      </c>
      <c r="D42" s="227">
        <v>0</v>
      </c>
      <c r="E42" s="228">
        <v>1.8793136199999991</v>
      </c>
      <c r="G42" s="192" t="str">
        <f>CONCATENATE(G33," ",H42)</f>
        <v>03 6</v>
      </c>
      <c r="H42" s="225">
        <v>6</v>
      </c>
      <c r="I42" s="226">
        <v>999999999</v>
      </c>
      <c r="J42" s="227">
        <v>0</v>
      </c>
      <c r="K42" s="228">
        <f t="shared" si="35"/>
        <v>1.7229766465263143</v>
      </c>
      <c r="L42" s="221"/>
      <c r="M42" s="221"/>
      <c r="N42" s="192" t="str">
        <f t="shared" si="32"/>
        <v>03 6</v>
      </c>
      <c r="O42" s="225">
        <v>6</v>
      </c>
      <c r="P42" s="226">
        <f t="shared" si="36"/>
        <v>999999999</v>
      </c>
      <c r="Q42" s="227">
        <v>0</v>
      </c>
      <c r="R42" s="229">
        <v>0</v>
      </c>
      <c r="S42" s="221"/>
      <c r="T42" s="221"/>
      <c r="U42" s="192" t="str">
        <f t="shared" si="33"/>
        <v>03 6</v>
      </c>
      <c r="V42" s="225">
        <v>6</v>
      </c>
      <c r="W42" s="226">
        <f t="shared" si="37"/>
        <v>999999999</v>
      </c>
      <c r="X42" s="227">
        <f t="shared" si="38"/>
        <v>0</v>
      </c>
      <c r="Y42" s="758">
        <f t="shared" si="39"/>
        <v>2.2398696404842089</v>
      </c>
      <c r="Z42" s="231">
        <v>1.3</v>
      </c>
      <c r="AA42" s="221"/>
      <c r="AB42" s="192" t="str">
        <f t="shared" si="34"/>
        <v>03 6</v>
      </c>
      <c r="AC42" s="225">
        <v>6</v>
      </c>
      <c r="AD42" s="226">
        <f t="shared" si="40"/>
        <v>999999999</v>
      </c>
      <c r="AE42" s="227">
        <f t="shared" si="41"/>
        <v>0</v>
      </c>
      <c r="AF42" s="227">
        <f t="shared" si="41"/>
        <v>2.2398696404842089</v>
      </c>
      <c r="AN42" s="225">
        <v>6</v>
      </c>
      <c r="AO42" s="226">
        <v>999999999</v>
      </c>
      <c r="AP42" s="227">
        <v>0</v>
      </c>
      <c r="AQ42" s="228">
        <v>5.2196999999999996</v>
      </c>
      <c r="AS42" s="192" t="str">
        <f>CONCATENATE(AS33," ",AT42)</f>
        <v>03 6</v>
      </c>
      <c r="AT42" s="225">
        <v>6</v>
      </c>
      <c r="AU42" s="226">
        <v>999999999</v>
      </c>
      <c r="AV42" s="227">
        <v>0</v>
      </c>
      <c r="AW42" s="228">
        <f t="shared" si="43"/>
        <v>4.7854818409039179</v>
      </c>
    </row>
    <row r="43" spans="2:49">
      <c r="B43" s="225">
        <v>7</v>
      </c>
      <c r="C43" s="226"/>
      <c r="D43" s="227">
        <v>0</v>
      </c>
      <c r="E43" s="228">
        <v>0</v>
      </c>
      <c r="G43" s="192" t="str">
        <f>CONCATENATE(G33," ",H43)</f>
        <v>03 7</v>
      </c>
      <c r="H43" s="225">
        <v>7</v>
      </c>
      <c r="I43" s="226"/>
      <c r="J43" s="227">
        <v>0</v>
      </c>
      <c r="K43" s="228">
        <f t="shared" si="35"/>
        <v>0</v>
      </c>
      <c r="L43" s="221"/>
      <c r="M43" s="221"/>
      <c r="N43" s="192" t="str">
        <f t="shared" si="32"/>
        <v>03 7</v>
      </c>
      <c r="O43" s="225">
        <v>7</v>
      </c>
      <c r="P43" s="226"/>
      <c r="Q43" s="227">
        <v>0</v>
      </c>
      <c r="R43" s="229">
        <v>0</v>
      </c>
      <c r="S43" s="221"/>
      <c r="T43" s="221"/>
      <c r="U43" s="192" t="str">
        <f t="shared" si="33"/>
        <v>03 7</v>
      </c>
      <c r="V43" s="225">
        <v>7</v>
      </c>
      <c r="W43" s="226"/>
      <c r="X43" s="227">
        <f t="shared" si="38"/>
        <v>0</v>
      </c>
      <c r="Y43" s="758">
        <f t="shared" si="39"/>
        <v>0</v>
      </c>
      <c r="Z43" s="231">
        <v>1.3</v>
      </c>
      <c r="AA43" s="221"/>
      <c r="AB43" s="192" t="str">
        <f t="shared" si="34"/>
        <v>03 7</v>
      </c>
      <c r="AC43" s="225">
        <v>7</v>
      </c>
      <c r="AD43" s="226">
        <f t="shared" si="40"/>
        <v>0</v>
      </c>
      <c r="AE43" s="227">
        <f t="shared" si="41"/>
        <v>0</v>
      </c>
      <c r="AF43" s="227">
        <f t="shared" si="41"/>
        <v>0</v>
      </c>
      <c r="AN43" s="225">
        <v>7</v>
      </c>
      <c r="AO43" s="226"/>
      <c r="AP43" s="227">
        <v>0</v>
      </c>
      <c r="AQ43" s="228">
        <v>0</v>
      </c>
      <c r="AS43" s="192" t="str">
        <f>CONCATENATE(AS33," ",AT43)</f>
        <v>03 7</v>
      </c>
      <c r="AT43" s="225">
        <v>7</v>
      </c>
      <c r="AU43" s="226"/>
      <c r="AV43" s="227">
        <v>0</v>
      </c>
      <c r="AW43" s="228">
        <f t="shared" si="43"/>
        <v>0</v>
      </c>
    </row>
    <row r="44" spans="2:49">
      <c r="B44" s="225">
        <v>8</v>
      </c>
      <c r="C44" s="226"/>
      <c r="D44" s="227">
        <v>0</v>
      </c>
      <c r="E44" s="228">
        <v>0</v>
      </c>
      <c r="G44" s="192" t="str">
        <f>CONCATENATE(G33," ",H44)</f>
        <v>03 8</v>
      </c>
      <c r="H44" s="225">
        <v>8</v>
      </c>
      <c r="I44" s="226"/>
      <c r="J44" s="227">
        <v>0</v>
      </c>
      <c r="K44" s="228">
        <f t="shared" si="35"/>
        <v>0</v>
      </c>
      <c r="L44" s="221"/>
      <c r="M44" s="221"/>
      <c r="N44" s="192" t="str">
        <f t="shared" si="32"/>
        <v>03 8</v>
      </c>
      <c r="O44" s="225">
        <v>8</v>
      </c>
      <c r="P44" s="226"/>
      <c r="Q44" s="227">
        <v>0</v>
      </c>
      <c r="R44" s="229">
        <v>0</v>
      </c>
      <c r="S44" s="221"/>
      <c r="T44" s="221"/>
      <c r="U44" s="192" t="str">
        <f t="shared" si="33"/>
        <v>03 8</v>
      </c>
      <c r="V44" s="225">
        <v>8</v>
      </c>
      <c r="W44" s="226"/>
      <c r="X44" s="227">
        <f t="shared" si="38"/>
        <v>0</v>
      </c>
      <c r="Y44" s="758">
        <f t="shared" si="39"/>
        <v>0</v>
      </c>
      <c r="Z44" s="231">
        <v>1.3</v>
      </c>
      <c r="AA44" s="221"/>
      <c r="AB44" s="192" t="str">
        <f t="shared" si="34"/>
        <v>03 8</v>
      </c>
      <c r="AC44" s="225">
        <v>8</v>
      </c>
      <c r="AD44" s="226"/>
      <c r="AE44" s="227">
        <f t="shared" ref="AE44:AE46" si="44">J44+Q44</f>
        <v>0</v>
      </c>
      <c r="AF44" s="227">
        <f t="shared" si="41"/>
        <v>0</v>
      </c>
      <c r="AN44" s="225">
        <v>8</v>
      </c>
      <c r="AO44" s="226"/>
      <c r="AP44" s="227">
        <v>0</v>
      </c>
      <c r="AQ44" s="228">
        <v>0</v>
      </c>
      <c r="AS44" s="192" t="str">
        <f>CONCATENATE(AS33," ",AT44)</f>
        <v>03 8</v>
      </c>
      <c r="AT44" s="225">
        <v>8</v>
      </c>
      <c r="AU44" s="226"/>
      <c r="AV44" s="227">
        <v>0</v>
      </c>
      <c r="AW44" s="228">
        <f t="shared" si="43"/>
        <v>0</v>
      </c>
    </row>
    <row r="45" spans="2:49">
      <c r="B45" s="225">
        <v>9</v>
      </c>
      <c r="C45" s="226"/>
      <c r="D45" s="227">
        <v>0</v>
      </c>
      <c r="E45" s="228">
        <v>0</v>
      </c>
      <c r="G45" s="192" t="str">
        <f>CONCATENATE(G33," ",H45)</f>
        <v>03 9</v>
      </c>
      <c r="H45" s="225">
        <v>9</v>
      </c>
      <c r="I45" s="226"/>
      <c r="J45" s="227">
        <v>0</v>
      </c>
      <c r="K45" s="228">
        <f t="shared" si="35"/>
        <v>0</v>
      </c>
      <c r="L45" s="221"/>
      <c r="M45" s="221"/>
      <c r="N45" s="192" t="str">
        <f t="shared" si="32"/>
        <v>03 9</v>
      </c>
      <c r="O45" s="225">
        <v>9</v>
      </c>
      <c r="P45" s="226"/>
      <c r="Q45" s="227">
        <v>0</v>
      </c>
      <c r="R45" s="229">
        <v>0</v>
      </c>
      <c r="S45" s="221"/>
      <c r="T45" s="221"/>
      <c r="U45" s="192" t="str">
        <f t="shared" si="33"/>
        <v>03 9</v>
      </c>
      <c r="V45" s="225">
        <v>9</v>
      </c>
      <c r="W45" s="226"/>
      <c r="X45" s="227">
        <f t="shared" si="38"/>
        <v>0</v>
      </c>
      <c r="Y45" s="758">
        <f t="shared" si="39"/>
        <v>0</v>
      </c>
      <c r="Z45" s="231">
        <v>1.3</v>
      </c>
      <c r="AA45" s="221"/>
      <c r="AB45" s="192" t="str">
        <f t="shared" si="34"/>
        <v>03 9</v>
      </c>
      <c r="AC45" s="225">
        <v>9</v>
      </c>
      <c r="AD45" s="226"/>
      <c r="AE45" s="227">
        <f t="shared" si="44"/>
        <v>0</v>
      </c>
      <c r="AF45" s="227">
        <f t="shared" si="41"/>
        <v>0</v>
      </c>
      <c r="AN45" s="225">
        <v>9</v>
      </c>
      <c r="AO45" s="226"/>
      <c r="AP45" s="227">
        <v>0</v>
      </c>
      <c r="AQ45" s="228">
        <v>0</v>
      </c>
      <c r="AS45" s="192" t="str">
        <f>CONCATENATE(AS33," ",AT45)</f>
        <v>03 9</v>
      </c>
      <c r="AT45" s="225">
        <v>9</v>
      </c>
      <c r="AU45" s="226"/>
      <c r="AV45" s="227">
        <v>0</v>
      </c>
      <c r="AW45" s="228">
        <f t="shared" si="43"/>
        <v>0</v>
      </c>
    </row>
    <row r="46" spans="2:49">
      <c r="B46" s="225">
        <v>10</v>
      </c>
      <c r="C46" s="226"/>
      <c r="D46" s="227">
        <v>0</v>
      </c>
      <c r="E46" s="228">
        <v>0</v>
      </c>
      <c r="G46" s="192" t="str">
        <f>CONCATENATE(G33," ",H46)</f>
        <v>03 10</v>
      </c>
      <c r="H46" s="225">
        <v>10</v>
      </c>
      <c r="I46" s="226"/>
      <c r="J46" s="227">
        <v>0</v>
      </c>
      <c r="K46" s="228">
        <f t="shared" si="35"/>
        <v>0</v>
      </c>
      <c r="L46" s="221"/>
      <c r="M46" s="221"/>
      <c r="N46" s="192" t="str">
        <f t="shared" si="32"/>
        <v>03 10</v>
      </c>
      <c r="O46" s="225">
        <v>10</v>
      </c>
      <c r="P46" s="226"/>
      <c r="Q46" s="227">
        <v>0</v>
      </c>
      <c r="R46" s="229">
        <v>0</v>
      </c>
      <c r="S46" s="221"/>
      <c r="T46" s="221"/>
      <c r="U46" s="192" t="str">
        <f t="shared" si="33"/>
        <v>03 10</v>
      </c>
      <c r="V46" s="225">
        <v>10</v>
      </c>
      <c r="W46" s="226"/>
      <c r="X46" s="227">
        <f t="shared" si="38"/>
        <v>0</v>
      </c>
      <c r="Y46" s="758">
        <f t="shared" si="39"/>
        <v>0</v>
      </c>
      <c r="Z46" s="231">
        <v>1.3</v>
      </c>
      <c r="AA46" s="221"/>
      <c r="AB46" s="192" t="str">
        <f t="shared" si="34"/>
        <v>03 10</v>
      </c>
      <c r="AC46" s="225">
        <v>10</v>
      </c>
      <c r="AD46" s="226"/>
      <c r="AE46" s="227">
        <f t="shared" si="44"/>
        <v>0</v>
      </c>
      <c r="AF46" s="227">
        <f t="shared" si="41"/>
        <v>0</v>
      </c>
      <c r="AN46" s="225">
        <v>10</v>
      </c>
      <c r="AO46" s="226"/>
      <c r="AP46" s="227">
        <v>0</v>
      </c>
      <c r="AQ46" s="228">
        <v>0</v>
      </c>
      <c r="AS46" s="192" t="str">
        <f>CONCATENATE(AS33," ",AT46)</f>
        <v>03 10</v>
      </c>
      <c r="AT46" s="225">
        <v>10</v>
      </c>
      <c r="AU46" s="226"/>
      <c r="AV46" s="227">
        <v>0</v>
      </c>
      <c r="AW46" s="228">
        <f t="shared" si="43"/>
        <v>0</v>
      </c>
    </row>
    <row r="47" spans="2:49">
      <c r="B47" s="232"/>
      <c r="C47" s="233"/>
      <c r="D47" s="234"/>
      <c r="E47" s="235"/>
      <c r="G47" s="222"/>
      <c r="H47" s="232"/>
      <c r="I47" s="233"/>
      <c r="J47" s="234"/>
      <c r="K47" s="235"/>
      <c r="L47" s="221"/>
      <c r="M47" s="221"/>
      <c r="N47" s="222"/>
      <c r="O47" s="232"/>
      <c r="P47" s="233"/>
      <c r="Q47" s="234"/>
      <c r="R47" s="235"/>
      <c r="S47" s="221"/>
      <c r="T47" s="221"/>
      <c r="U47" s="222"/>
      <c r="V47" s="232"/>
      <c r="W47" s="233"/>
      <c r="X47" s="234"/>
      <c r="Y47" s="235"/>
      <c r="Z47" s="221"/>
      <c r="AA47" s="221"/>
      <c r="AB47" s="222"/>
      <c r="AC47" s="232"/>
      <c r="AD47" s="233"/>
      <c r="AE47" s="234"/>
      <c r="AF47" s="235"/>
      <c r="AN47" s="232"/>
      <c r="AO47" s="233"/>
      <c r="AP47" s="234"/>
      <c r="AQ47" s="235"/>
      <c r="AS47" s="222"/>
      <c r="AT47" s="232"/>
      <c r="AU47" s="233"/>
      <c r="AV47" s="234"/>
      <c r="AW47" s="235"/>
    </row>
    <row r="48" spans="2:49" ht="12" customHeight="1">
      <c r="B48" s="836" t="s">
        <v>103</v>
      </c>
      <c r="C48" s="837"/>
      <c r="D48" s="219"/>
      <c r="E48" s="220"/>
      <c r="G48" s="218" t="s">
        <v>4908</v>
      </c>
      <c r="H48" s="836" t="s">
        <v>103</v>
      </c>
      <c r="I48" s="837"/>
      <c r="J48" s="219"/>
      <c r="K48" s="220"/>
      <c r="L48" s="221"/>
      <c r="M48" s="221"/>
      <c r="N48" s="218" t="str">
        <f>G48</f>
        <v>04</v>
      </c>
      <c r="O48" s="836" t="str">
        <f>H48</f>
        <v>Climatização</v>
      </c>
      <c r="P48" s="837"/>
      <c r="Q48" s="219"/>
      <c r="R48" s="220"/>
      <c r="S48" s="221"/>
      <c r="T48" s="221"/>
      <c r="U48" s="218" t="str">
        <f>N48</f>
        <v>04</v>
      </c>
      <c r="V48" s="836" t="str">
        <f>O48</f>
        <v>Climatização</v>
      </c>
      <c r="W48" s="837"/>
      <c r="X48" s="219"/>
      <c r="Y48" s="220"/>
      <c r="Z48" s="221"/>
      <c r="AA48" s="221"/>
      <c r="AB48" s="218" t="str">
        <f>U48</f>
        <v>04</v>
      </c>
      <c r="AC48" s="836" t="s">
        <v>4909</v>
      </c>
      <c r="AD48" s="837"/>
      <c r="AE48" s="219"/>
      <c r="AF48" s="220"/>
      <c r="AN48" s="836" t="s">
        <v>103</v>
      </c>
      <c r="AO48" s="837"/>
      <c r="AP48" s="219"/>
      <c r="AQ48" s="220"/>
      <c r="AS48" s="218" t="s">
        <v>4908</v>
      </c>
      <c r="AT48" s="282" t="s">
        <v>103</v>
      </c>
      <c r="AU48" s="283"/>
      <c r="AV48" s="219"/>
      <c r="AW48" s="220"/>
    </row>
    <row r="49" spans="2:49">
      <c r="B49" s="838" t="s">
        <v>4898</v>
      </c>
      <c r="C49" s="838"/>
      <c r="D49" s="219"/>
      <c r="E49" s="220"/>
      <c r="G49" s="222"/>
      <c r="H49" s="838" t="s">
        <v>4898</v>
      </c>
      <c r="I49" s="838"/>
      <c r="J49" s="219"/>
      <c r="K49" s="220"/>
      <c r="L49" s="221"/>
      <c r="M49" s="221"/>
      <c r="N49" s="222"/>
      <c r="O49" s="838" t="s">
        <v>4898</v>
      </c>
      <c r="P49" s="838"/>
      <c r="Q49" s="219"/>
      <c r="R49" s="220"/>
      <c r="S49" s="221"/>
      <c r="T49" s="221"/>
      <c r="U49" s="222"/>
      <c r="V49" s="838" t="s">
        <v>4898</v>
      </c>
      <c r="W49" s="838"/>
      <c r="X49" s="219"/>
      <c r="Y49" s="220"/>
      <c r="Z49" s="221"/>
      <c r="AA49" s="221"/>
      <c r="AB49" s="222"/>
      <c r="AC49" s="838" t="s">
        <v>4898</v>
      </c>
      <c r="AD49" s="838"/>
      <c r="AE49" s="219"/>
      <c r="AF49" s="220"/>
      <c r="AN49" s="838" t="s">
        <v>4898</v>
      </c>
      <c r="AO49" s="838"/>
      <c r="AP49" s="219"/>
      <c r="AQ49" s="220"/>
      <c r="AS49" s="222"/>
      <c r="AT49" s="284" t="s">
        <v>4898</v>
      </c>
      <c r="AU49" s="284"/>
      <c r="AV49" s="219"/>
      <c r="AW49" s="220"/>
    </row>
    <row r="50" spans="2:49">
      <c r="B50" s="835" t="s">
        <v>4899</v>
      </c>
      <c r="C50" s="835" t="s">
        <v>4900</v>
      </c>
      <c r="D50" s="224" t="s">
        <v>4901</v>
      </c>
      <c r="E50" s="224"/>
      <c r="G50" s="222"/>
      <c r="H50" s="835" t="s">
        <v>4899</v>
      </c>
      <c r="I50" s="835" t="s">
        <v>4900</v>
      </c>
      <c r="J50" s="224" t="s">
        <v>4901</v>
      </c>
      <c r="K50" s="224"/>
      <c r="L50" s="221"/>
      <c r="M50" s="221"/>
      <c r="N50" s="222"/>
      <c r="O50" s="835" t="s">
        <v>4899</v>
      </c>
      <c r="P50" s="835" t="s">
        <v>4900</v>
      </c>
      <c r="Q50" s="224" t="s">
        <v>4901</v>
      </c>
      <c r="R50" s="224"/>
      <c r="S50" s="221"/>
      <c r="T50" s="221"/>
      <c r="U50" s="222"/>
      <c r="V50" s="835" t="s">
        <v>4899</v>
      </c>
      <c r="W50" s="835" t="s">
        <v>4900</v>
      </c>
      <c r="X50" s="224" t="s">
        <v>4901</v>
      </c>
      <c r="Y50" s="224"/>
      <c r="Z50" s="221"/>
      <c r="AA50" s="221"/>
      <c r="AB50" s="222"/>
      <c r="AC50" s="835" t="s">
        <v>4899</v>
      </c>
      <c r="AD50" s="835" t="s">
        <v>4900</v>
      </c>
      <c r="AE50" s="841" t="s">
        <v>4901</v>
      </c>
      <c r="AF50" s="841"/>
      <c r="AN50" s="835" t="s">
        <v>4899</v>
      </c>
      <c r="AO50" s="835" t="s">
        <v>4900</v>
      </c>
      <c r="AP50" s="224" t="s">
        <v>4901</v>
      </c>
      <c r="AQ50" s="224"/>
      <c r="AS50" s="222"/>
      <c r="AT50" s="285" t="s">
        <v>4899</v>
      </c>
      <c r="AU50" s="285" t="s">
        <v>4900</v>
      </c>
      <c r="AV50" s="224" t="s">
        <v>4901</v>
      </c>
      <c r="AW50" s="224"/>
    </row>
    <row r="51" spans="2:49">
      <c r="B51" s="835"/>
      <c r="C51" s="835"/>
      <c r="D51" s="223" t="s">
        <v>4902</v>
      </c>
      <c r="E51" s="223" t="s">
        <v>4903</v>
      </c>
      <c r="G51" s="222"/>
      <c r="H51" s="835"/>
      <c r="I51" s="835"/>
      <c r="J51" s="223" t="s">
        <v>4902</v>
      </c>
      <c r="K51" s="223" t="s">
        <v>4903</v>
      </c>
      <c r="L51" s="221"/>
      <c r="M51" s="221"/>
      <c r="N51" s="222"/>
      <c r="O51" s="835"/>
      <c r="P51" s="835"/>
      <c r="Q51" s="223" t="s">
        <v>4902</v>
      </c>
      <c r="R51" s="223" t="s">
        <v>4903</v>
      </c>
      <c r="S51" s="221"/>
      <c r="T51" s="221"/>
      <c r="U51" s="222"/>
      <c r="V51" s="835"/>
      <c r="W51" s="835"/>
      <c r="X51" s="223" t="s">
        <v>4902</v>
      </c>
      <c r="Y51" s="223" t="s">
        <v>4903</v>
      </c>
      <c r="Z51" s="221"/>
      <c r="AA51" s="221"/>
      <c r="AB51" s="222"/>
      <c r="AC51" s="835"/>
      <c r="AD51" s="835"/>
      <c r="AE51" s="223" t="s">
        <v>4902</v>
      </c>
      <c r="AF51" s="223" t="s">
        <v>4903</v>
      </c>
      <c r="AN51" s="835"/>
      <c r="AO51" s="835"/>
      <c r="AP51" s="223" t="s">
        <v>4902</v>
      </c>
      <c r="AQ51" s="223" t="s">
        <v>4903</v>
      </c>
      <c r="AS51" s="222"/>
      <c r="AT51" s="285"/>
      <c r="AU51" s="285"/>
      <c r="AV51" s="223" t="s">
        <v>4902</v>
      </c>
      <c r="AW51" s="223" t="s">
        <v>4903</v>
      </c>
    </row>
    <row r="52" spans="2:49">
      <c r="B52" s="225">
        <v>1</v>
      </c>
      <c r="C52" s="226">
        <v>200</v>
      </c>
      <c r="D52" s="227">
        <v>0</v>
      </c>
      <c r="E52" s="228">
        <v>2.9236823999999997</v>
      </c>
      <c r="G52" s="192" t="str">
        <f>CONCATENATE(G48," ",H52)</f>
        <v>04 1</v>
      </c>
      <c r="H52" s="225">
        <v>1</v>
      </c>
      <c r="I52" s="226">
        <v>200</v>
      </c>
      <c r="J52" s="227">
        <v>0</v>
      </c>
      <c r="K52" s="228">
        <f>E52*$K$1</f>
        <v>2.6804661252122508</v>
      </c>
      <c r="L52" s="221"/>
      <c r="M52" s="221"/>
      <c r="N52" s="192" t="str">
        <f t="shared" ref="N52:N61" si="45">G52</f>
        <v>04 1</v>
      </c>
      <c r="O52" s="225">
        <v>1</v>
      </c>
      <c r="P52" s="226">
        <f>I52</f>
        <v>200</v>
      </c>
      <c r="Q52" s="227">
        <v>0</v>
      </c>
      <c r="R52" s="229">
        <f t="shared" ref="Q52:R61" si="46">K52*$R$1</f>
        <v>0</v>
      </c>
      <c r="S52" s="221"/>
      <c r="T52" s="221"/>
      <c r="U52" s="192" t="str">
        <f t="shared" ref="U52:U61" si="47">N52</f>
        <v>04 1</v>
      </c>
      <c r="V52" s="225">
        <v>1</v>
      </c>
      <c r="W52" s="226">
        <f>P52</f>
        <v>200</v>
      </c>
      <c r="X52" s="227">
        <f>J52*Z52</f>
        <v>0</v>
      </c>
      <c r="Y52" s="758">
        <f>K52*Z52</f>
        <v>3.4846059627759263</v>
      </c>
      <c r="Z52" s="231">
        <v>1.3</v>
      </c>
      <c r="AA52" s="221"/>
      <c r="AB52" s="192" t="str">
        <f t="shared" ref="AB52:AB61" si="48">U52</f>
        <v>04 1</v>
      </c>
      <c r="AC52" s="225">
        <v>1</v>
      </c>
      <c r="AD52" s="226">
        <f>P52</f>
        <v>200</v>
      </c>
      <c r="AE52" s="227">
        <f t="shared" ref="AE52" si="49">X52+Q52</f>
        <v>0</v>
      </c>
      <c r="AF52" s="227">
        <f>Y52+R52</f>
        <v>3.4846059627759263</v>
      </c>
      <c r="AN52" s="225">
        <v>1</v>
      </c>
      <c r="AO52" s="226">
        <v>200</v>
      </c>
      <c r="AP52" s="227">
        <v>0</v>
      </c>
      <c r="AQ52" s="228">
        <v>6.9939999999999998</v>
      </c>
      <c r="AS52" s="192" t="str">
        <f>CONCATENATE(AS48," ",AT52)</f>
        <v>04 1</v>
      </c>
      <c r="AT52" s="225">
        <v>1</v>
      </c>
      <c r="AU52" s="226">
        <v>200</v>
      </c>
      <c r="AV52" s="227">
        <v>0</v>
      </c>
      <c r="AW52" s="228">
        <f>AQ52*$AW$1</f>
        <v>6.4121807757691069</v>
      </c>
    </row>
    <row r="53" spans="2:49">
      <c r="B53" s="225">
        <v>2</v>
      </c>
      <c r="C53" s="226">
        <v>5000</v>
      </c>
      <c r="D53" s="227">
        <v>0</v>
      </c>
      <c r="E53" s="228">
        <v>1.3106444000000002</v>
      </c>
      <c r="G53" s="192" t="str">
        <f>CONCATENATE(G48," ",H53)</f>
        <v>04 2</v>
      </c>
      <c r="H53" s="225">
        <v>2</v>
      </c>
      <c r="I53" s="226">
        <v>5000</v>
      </c>
      <c r="J53" s="227">
        <v>0</v>
      </c>
      <c r="K53" s="228">
        <f t="shared" ref="K53:K61" si="50">E53*$K$1</f>
        <v>1.201614072855224</v>
      </c>
      <c r="L53" s="221"/>
      <c r="M53" s="221"/>
      <c r="N53" s="192" t="str">
        <f t="shared" si="45"/>
        <v>04 2</v>
      </c>
      <c r="O53" s="225">
        <v>2</v>
      </c>
      <c r="P53" s="226">
        <f t="shared" ref="P53:P60" si="51">I53</f>
        <v>5000</v>
      </c>
      <c r="Q53" s="227">
        <f t="shared" si="46"/>
        <v>0</v>
      </c>
      <c r="R53" s="229">
        <f t="shared" si="46"/>
        <v>0</v>
      </c>
      <c r="S53" s="221"/>
      <c r="T53" s="221"/>
      <c r="U53" s="192" t="str">
        <f t="shared" si="47"/>
        <v>04 2</v>
      </c>
      <c r="V53" s="225">
        <v>2</v>
      </c>
      <c r="W53" s="226">
        <f t="shared" ref="W53:W60" si="52">P53</f>
        <v>5000</v>
      </c>
      <c r="X53" s="227">
        <f t="shared" ref="X53:X61" si="53">J53*Z53</f>
        <v>0</v>
      </c>
      <c r="Y53" s="758">
        <f t="shared" ref="Y53:Y61" si="54">K53*Z53</f>
        <v>1.5620982947117914</v>
      </c>
      <c r="Z53" s="231">
        <v>1.3</v>
      </c>
      <c r="AA53" s="221"/>
      <c r="AB53" s="192" t="str">
        <f t="shared" si="48"/>
        <v>04 2</v>
      </c>
      <c r="AC53" s="225">
        <v>2</v>
      </c>
      <c r="AD53" s="226">
        <f t="shared" ref="AD53:AD61" si="55">P53</f>
        <v>5000</v>
      </c>
      <c r="AE53" s="227">
        <f t="shared" ref="AE53:AE61" si="56">J53+Q53</f>
        <v>0</v>
      </c>
      <c r="AF53" s="227">
        <f t="shared" ref="AF53:AF61" si="57">Y53+R53</f>
        <v>1.5620982947117914</v>
      </c>
      <c r="AN53" s="225">
        <v>2</v>
      </c>
      <c r="AO53" s="226">
        <v>5000</v>
      </c>
      <c r="AP53" s="227">
        <v>0</v>
      </c>
      <c r="AQ53" s="228">
        <v>4.9640000000000004</v>
      </c>
      <c r="AS53" s="192" t="str">
        <f>CONCATENATE(AS48," ",AT53)</f>
        <v>04 2</v>
      </c>
      <c r="AT53" s="225">
        <v>2</v>
      </c>
      <c r="AU53" s="226">
        <v>5000</v>
      </c>
      <c r="AV53" s="227">
        <v>0</v>
      </c>
      <c r="AW53" s="228">
        <f t="shared" ref="AW53:AW55" si="58">AQ53*$AW$1</f>
        <v>4.5510530985012654</v>
      </c>
    </row>
    <row r="54" spans="2:49">
      <c r="B54" s="225">
        <v>3</v>
      </c>
      <c r="C54" s="226">
        <v>20000</v>
      </c>
      <c r="D54" s="227">
        <v>0</v>
      </c>
      <c r="E54" s="228">
        <v>1.0560545600000002</v>
      </c>
      <c r="G54" s="192" t="str">
        <f>CONCATENATE(G48," ",H54)</f>
        <v>04 3</v>
      </c>
      <c r="H54" s="225">
        <v>3</v>
      </c>
      <c r="I54" s="226">
        <v>20000</v>
      </c>
      <c r="J54" s="227">
        <v>0</v>
      </c>
      <c r="K54" s="228">
        <f t="shared" si="50"/>
        <v>0.96820313808911984</v>
      </c>
      <c r="L54" s="221"/>
      <c r="M54" s="221"/>
      <c r="N54" s="192" t="str">
        <f t="shared" si="45"/>
        <v>04 3</v>
      </c>
      <c r="O54" s="225">
        <v>3</v>
      </c>
      <c r="P54" s="226">
        <f t="shared" si="51"/>
        <v>20000</v>
      </c>
      <c r="Q54" s="227">
        <f t="shared" si="46"/>
        <v>0</v>
      </c>
      <c r="R54" s="229">
        <f t="shared" si="46"/>
        <v>0</v>
      </c>
      <c r="S54" s="221"/>
      <c r="T54" s="221"/>
      <c r="U54" s="192" t="str">
        <f t="shared" si="47"/>
        <v>04 3</v>
      </c>
      <c r="V54" s="225">
        <v>3</v>
      </c>
      <c r="W54" s="226">
        <f t="shared" si="52"/>
        <v>20000</v>
      </c>
      <c r="X54" s="227">
        <f t="shared" si="53"/>
        <v>0</v>
      </c>
      <c r="Y54" s="758">
        <f t="shared" si="54"/>
        <v>1.2586640795158559</v>
      </c>
      <c r="Z54" s="231">
        <v>1.3</v>
      </c>
      <c r="AA54" s="221"/>
      <c r="AB54" s="192" t="str">
        <f t="shared" si="48"/>
        <v>04 3</v>
      </c>
      <c r="AC54" s="225">
        <v>3</v>
      </c>
      <c r="AD54" s="226">
        <f t="shared" si="55"/>
        <v>20000</v>
      </c>
      <c r="AE54" s="227">
        <f t="shared" si="56"/>
        <v>0</v>
      </c>
      <c r="AF54" s="227">
        <f t="shared" si="57"/>
        <v>1.2586640795158559</v>
      </c>
      <c r="AN54" s="225">
        <v>3</v>
      </c>
      <c r="AO54" s="226">
        <v>20000</v>
      </c>
      <c r="AP54" s="227">
        <v>0</v>
      </c>
      <c r="AQ54" s="228">
        <v>4.6436000000000002</v>
      </c>
      <c r="AS54" s="192" t="str">
        <f>CONCATENATE(AS48," ",AT54)</f>
        <v>04 3</v>
      </c>
      <c r="AT54" s="225">
        <v>3</v>
      </c>
      <c r="AU54" s="226">
        <v>20000</v>
      </c>
      <c r="AV54" s="227">
        <v>0</v>
      </c>
      <c r="AW54" s="228">
        <f t="shared" si="58"/>
        <v>4.2573066414585972</v>
      </c>
    </row>
    <row r="55" spans="2:49">
      <c r="B55" s="225">
        <v>4</v>
      </c>
      <c r="C55" s="226">
        <v>70000</v>
      </c>
      <c r="D55" s="227">
        <v>0</v>
      </c>
      <c r="E55" s="228">
        <v>0.7067483999999995</v>
      </c>
      <c r="G55" s="192" t="str">
        <f>CONCATENATE(G48," ",H55)</f>
        <v>04 4</v>
      </c>
      <c r="H55" s="225">
        <v>4</v>
      </c>
      <c r="I55" s="226">
        <v>70000</v>
      </c>
      <c r="J55" s="227">
        <v>0</v>
      </c>
      <c r="K55" s="228">
        <f t="shared" si="50"/>
        <v>0.64795517640628708</v>
      </c>
      <c r="L55" s="221"/>
      <c r="M55" s="221"/>
      <c r="N55" s="192" t="str">
        <f t="shared" si="45"/>
        <v>04 4</v>
      </c>
      <c r="O55" s="225">
        <v>4</v>
      </c>
      <c r="P55" s="226">
        <f t="shared" si="51"/>
        <v>70000</v>
      </c>
      <c r="Q55" s="227">
        <f t="shared" si="46"/>
        <v>0</v>
      </c>
      <c r="R55" s="229">
        <f t="shared" si="46"/>
        <v>0</v>
      </c>
      <c r="S55" s="221"/>
      <c r="T55" s="221"/>
      <c r="U55" s="192" t="str">
        <f t="shared" si="47"/>
        <v>04 4</v>
      </c>
      <c r="V55" s="225">
        <v>4</v>
      </c>
      <c r="W55" s="226">
        <f t="shared" si="52"/>
        <v>70000</v>
      </c>
      <c r="X55" s="227">
        <f t="shared" si="53"/>
        <v>0</v>
      </c>
      <c r="Y55" s="758">
        <f t="shared" si="54"/>
        <v>0.84234172932817319</v>
      </c>
      <c r="Z55" s="231">
        <v>1.3</v>
      </c>
      <c r="AA55" s="221"/>
      <c r="AB55" s="192" t="str">
        <f t="shared" si="48"/>
        <v>04 4</v>
      </c>
      <c r="AC55" s="225">
        <v>4</v>
      </c>
      <c r="AD55" s="226">
        <f t="shared" si="55"/>
        <v>70000</v>
      </c>
      <c r="AE55" s="227">
        <f t="shared" si="56"/>
        <v>0</v>
      </c>
      <c r="AF55" s="227">
        <f t="shared" si="57"/>
        <v>0.84234172932817319</v>
      </c>
      <c r="AN55" s="225">
        <v>4</v>
      </c>
      <c r="AO55" s="226">
        <v>70000</v>
      </c>
      <c r="AP55" s="227">
        <v>0</v>
      </c>
      <c r="AQ55" s="228">
        <v>4.2039999999999997</v>
      </c>
      <c r="AS55" s="192" t="str">
        <f>CONCATENATE(AS48," ",AT55)</f>
        <v>04 4</v>
      </c>
      <c r="AT55" s="225">
        <v>4</v>
      </c>
      <c r="AU55" s="226">
        <v>70000</v>
      </c>
      <c r="AV55" s="227">
        <v>0</v>
      </c>
      <c r="AW55" s="228">
        <f t="shared" si="58"/>
        <v>3.8542762341054222</v>
      </c>
    </row>
    <row r="56" spans="2:49">
      <c r="B56" s="225">
        <v>5</v>
      </c>
      <c r="C56" s="226">
        <v>120000</v>
      </c>
      <c r="D56" s="227">
        <v>0</v>
      </c>
      <c r="E56" s="228">
        <v>0.56975935999999994</v>
      </c>
      <c r="G56" s="192" t="str">
        <f>CONCATENATE(G48," ",H56)</f>
        <v>04 5</v>
      </c>
      <c r="H56" s="225">
        <v>5</v>
      </c>
      <c r="I56" s="226">
        <v>120000</v>
      </c>
      <c r="J56" s="227">
        <v>0</v>
      </c>
      <c r="K56" s="228">
        <f t="shared" si="50"/>
        <v>0.52236202673813403</v>
      </c>
      <c r="L56" s="221"/>
      <c r="M56" s="221"/>
      <c r="N56" s="192" t="str">
        <f t="shared" si="45"/>
        <v>04 5</v>
      </c>
      <c r="O56" s="225">
        <v>5</v>
      </c>
      <c r="P56" s="226">
        <f t="shared" si="51"/>
        <v>120000</v>
      </c>
      <c r="Q56" s="227">
        <f t="shared" si="46"/>
        <v>0</v>
      </c>
      <c r="R56" s="229">
        <f t="shared" si="46"/>
        <v>0</v>
      </c>
      <c r="S56" s="221"/>
      <c r="T56" s="221"/>
      <c r="U56" s="192" t="str">
        <f t="shared" si="47"/>
        <v>04 5</v>
      </c>
      <c r="V56" s="225">
        <v>5</v>
      </c>
      <c r="W56" s="226">
        <f t="shared" si="52"/>
        <v>120000</v>
      </c>
      <c r="X56" s="227">
        <f t="shared" si="53"/>
        <v>0</v>
      </c>
      <c r="Y56" s="758">
        <f t="shared" si="54"/>
        <v>0.6790706347595743</v>
      </c>
      <c r="Z56" s="231">
        <v>1.3</v>
      </c>
      <c r="AA56" s="221"/>
      <c r="AB56" s="192" t="str">
        <f t="shared" si="48"/>
        <v>04 5</v>
      </c>
      <c r="AC56" s="225">
        <v>5</v>
      </c>
      <c r="AD56" s="226">
        <f t="shared" si="55"/>
        <v>120000</v>
      </c>
      <c r="AE56" s="227">
        <f t="shared" si="56"/>
        <v>0</v>
      </c>
      <c r="AF56" s="227">
        <f t="shared" si="57"/>
        <v>0.6790706347595743</v>
      </c>
      <c r="AN56" s="225">
        <v>5</v>
      </c>
      <c r="AO56" s="226">
        <v>120000</v>
      </c>
      <c r="AP56" s="227">
        <v>0</v>
      </c>
      <c r="AQ56" s="228">
        <v>4.0316000000000001</v>
      </c>
      <c r="AS56" s="192" t="str">
        <f>CONCATENATE(AS48," ",AT56)</f>
        <v>04 5</v>
      </c>
      <c r="AT56" s="225">
        <v>5</v>
      </c>
      <c r="AU56" s="226">
        <v>120000</v>
      </c>
      <c r="AV56" s="227">
        <v>0</v>
      </c>
      <c r="AW56" s="228">
        <f t="shared" ref="AW56:AW61" si="59">AQ56*$K$1</f>
        <v>3.696217903287208</v>
      </c>
    </row>
    <row r="57" spans="2:49">
      <c r="B57" s="225">
        <v>6</v>
      </c>
      <c r="C57" s="226">
        <v>300000</v>
      </c>
      <c r="D57" s="227">
        <v>0</v>
      </c>
      <c r="E57" s="228">
        <v>0.42363242000000012</v>
      </c>
      <c r="G57" s="192" t="str">
        <f>CONCATENATE(G48," ",H57)</f>
        <v>04 6</v>
      </c>
      <c r="H57" s="225">
        <v>6</v>
      </c>
      <c r="I57" s="226">
        <v>300000</v>
      </c>
      <c r="J57" s="227">
        <v>0</v>
      </c>
      <c r="K57" s="228">
        <f t="shared" si="50"/>
        <v>0.3883911437684508</v>
      </c>
      <c r="L57" s="221"/>
      <c r="M57" s="221"/>
      <c r="N57" s="192" t="str">
        <f t="shared" si="45"/>
        <v>04 6</v>
      </c>
      <c r="O57" s="225">
        <v>6</v>
      </c>
      <c r="P57" s="226">
        <f t="shared" si="51"/>
        <v>300000</v>
      </c>
      <c r="Q57" s="227">
        <f t="shared" si="46"/>
        <v>0</v>
      </c>
      <c r="R57" s="229">
        <f t="shared" si="46"/>
        <v>0</v>
      </c>
      <c r="S57" s="221"/>
      <c r="T57" s="221"/>
      <c r="U57" s="192" t="str">
        <f t="shared" si="47"/>
        <v>04 6</v>
      </c>
      <c r="V57" s="225">
        <v>6</v>
      </c>
      <c r="W57" s="226">
        <f t="shared" si="52"/>
        <v>300000</v>
      </c>
      <c r="X57" s="227">
        <f t="shared" si="53"/>
        <v>0</v>
      </c>
      <c r="Y57" s="758">
        <f t="shared" si="54"/>
        <v>0.50490848689898604</v>
      </c>
      <c r="Z57" s="231">
        <v>1.3</v>
      </c>
      <c r="AA57" s="221"/>
      <c r="AB57" s="192" t="str">
        <f t="shared" si="48"/>
        <v>04 6</v>
      </c>
      <c r="AC57" s="225">
        <v>6</v>
      </c>
      <c r="AD57" s="226">
        <f t="shared" si="55"/>
        <v>300000</v>
      </c>
      <c r="AE57" s="227">
        <f t="shared" si="56"/>
        <v>0</v>
      </c>
      <c r="AF57" s="227">
        <f t="shared" si="57"/>
        <v>0.50490848689898604</v>
      </c>
      <c r="AN57" s="225">
        <v>6</v>
      </c>
      <c r="AO57" s="226">
        <v>300000</v>
      </c>
      <c r="AP57" s="227">
        <v>0</v>
      </c>
      <c r="AQ57" s="228">
        <v>3.8477000000000001</v>
      </c>
      <c r="AS57" s="192" t="str">
        <f>CONCATENATE(AS48," ",AT57)</f>
        <v>04 6</v>
      </c>
      <c r="AT57" s="225">
        <v>6</v>
      </c>
      <c r="AU57" s="226">
        <v>300000</v>
      </c>
      <c r="AV57" s="227">
        <v>0</v>
      </c>
      <c r="AW57" s="228">
        <f t="shared" si="59"/>
        <v>3.5276162383366878</v>
      </c>
    </row>
    <row r="58" spans="2:49">
      <c r="B58" s="225">
        <v>7</v>
      </c>
      <c r="C58" s="226">
        <v>600000</v>
      </c>
      <c r="D58" s="227">
        <v>0</v>
      </c>
      <c r="E58" s="228">
        <v>0.25033015999999986</v>
      </c>
      <c r="G58" s="192" t="str">
        <f>CONCATENATE(G48," ",H58)</f>
        <v>04 7</v>
      </c>
      <c r="H58" s="225">
        <v>7</v>
      </c>
      <c r="I58" s="226">
        <v>600000</v>
      </c>
      <c r="J58" s="227">
        <v>0</v>
      </c>
      <c r="K58" s="228">
        <f t="shared" si="50"/>
        <v>0.22950561045856502</v>
      </c>
      <c r="L58" s="221"/>
      <c r="M58" s="221"/>
      <c r="N58" s="192" t="str">
        <f t="shared" si="45"/>
        <v>04 7</v>
      </c>
      <c r="O58" s="225">
        <v>7</v>
      </c>
      <c r="P58" s="226">
        <f t="shared" si="51"/>
        <v>600000</v>
      </c>
      <c r="Q58" s="227">
        <f t="shared" si="46"/>
        <v>0</v>
      </c>
      <c r="R58" s="229">
        <f t="shared" si="46"/>
        <v>0</v>
      </c>
      <c r="S58" s="221"/>
      <c r="T58" s="221"/>
      <c r="U58" s="192" t="str">
        <f t="shared" si="47"/>
        <v>04 7</v>
      </c>
      <c r="V58" s="225">
        <v>7</v>
      </c>
      <c r="W58" s="226">
        <f t="shared" si="52"/>
        <v>600000</v>
      </c>
      <c r="X58" s="227">
        <f t="shared" si="53"/>
        <v>0</v>
      </c>
      <c r="Y58" s="758">
        <f t="shared" si="54"/>
        <v>0.29835729359613455</v>
      </c>
      <c r="Z58" s="231">
        <v>1.3</v>
      </c>
      <c r="AA58" s="221"/>
      <c r="AB58" s="192" t="str">
        <f t="shared" si="48"/>
        <v>04 7</v>
      </c>
      <c r="AC58" s="225">
        <v>7</v>
      </c>
      <c r="AD58" s="226">
        <f t="shared" si="55"/>
        <v>600000</v>
      </c>
      <c r="AE58" s="227">
        <f t="shared" si="56"/>
        <v>0</v>
      </c>
      <c r="AF58" s="227">
        <f t="shared" si="57"/>
        <v>0.29835729359613455</v>
      </c>
      <c r="AN58" s="225">
        <v>7</v>
      </c>
      <c r="AO58" s="226">
        <v>600000</v>
      </c>
      <c r="AP58" s="227">
        <v>0</v>
      </c>
      <c r="AQ58" s="228">
        <v>3.6295999999999999</v>
      </c>
      <c r="AS58" s="192" t="str">
        <f>CONCATENATE(AS48," ",AT58)</f>
        <v>04 7</v>
      </c>
      <c r="AT58" s="225">
        <v>7</v>
      </c>
      <c r="AU58" s="226">
        <v>600000</v>
      </c>
      <c r="AV58" s="227">
        <v>0</v>
      </c>
      <c r="AW58" s="228">
        <f t="shared" si="59"/>
        <v>3.3276596144883541</v>
      </c>
    </row>
    <row r="59" spans="2:49">
      <c r="B59" s="225">
        <v>8</v>
      </c>
      <c r="C59" s="226">
        <v>1500000</v>
      </c>
      <c r="D59" s="227">
        <v>0</v>
      </c>
      <c r="E59" s="228">
        <v>0.24564202000000002</v>
      </c>
      <c r="G59" s="192" t="str">
        <f>CONCATENATE(G48," ",H59)</f>
        <v>04 8</v>
      </c>
      <c r="H59" s="225">
        <v>8</v>
      </c>
      <c r="I59" s="226">
        <v>1500000</v>
      </c>
      <c r="J59" s="227">
        <v>0</v>
      </c>
      <c r="K59" s="228">
        <f t="shared" si="50"/>
        <v>0.22520746902560632</v>
      </c>
      <c r="L59" s="221"/>
      <c r="M59" s="221"/>
      <c r="N59" s="192" t="str">
        <f t="shared" si="45"/>
        <v>04 8</v>
      </c>
      <c r="O59" s="225">
        <v>8</v>
      </c>
      <c r="P59" s="226">
        <f t="shared" si="51"/>
        <v>1500000</v>
      </c>
      <c r="Q59" s="227">
        <f t="shared" si="46"/>
        <v>0</v>
      </c>
      <c r="R59" s="229">
        <f t="shared" si="46"/>
        <v>0</v>
      </c>
      <c r="S59" s="221"/>
      <c r="T59" s="221"/>
      <c r="U59" s="192" t="str">
        <f t="shared" si="47"/>
        <v>04 8</v>
      </c>
      <c r="V59" s="225">
        <v>8</v>
      </c>
      <c r="W59" s="226">
        <f t="shared" si="52"/>
        <v>1500000</v>
      </c>
      <c r="X59" s="227">
        <f t="shared" si="53"/>
        <v>0</v>
      </c>
      <c r="Y59" s="758">
        <f t="shared" si="54"/>
        <v>0.2927697097332882</v>
      </c>
      <c r="Z59" s="231">
        <v>1.3</v>
      </c>
      <c r="AA59" s="221"/>
      <c r="AB59" s="192" t="str">
        <f t="shared" si="48"/>
        <v>04 8</v>
      </c>
      <c r="AC59" s="225">
        <v>8</v>
      </c>
      <c r="AD59" s="226">
        <f t="shared" si="55"/>
        <v>1500000</v>
      </c>
      <c r="AE59" s="227">
        <f t="shared" si="56"/>
        <v>0</v>
      </c>
      <c r="AF59" s="227">
        <f t="shared" si="57"/>
        <v>0.2927697097332882</v>
      </c>
      <c r="AN59" s="225">
        <v>8</v>
      </c>
      <c r="AO59" s="226">
        <v>1500000</v>
      </c>
      <c r="AP59" s="227">
        <v>0</v>
      </c>
      <c r="AQ59" s="228">
        <v>3.6236999999999999</v>
      </c>
      <c r="AS59" s="192" t="str">
        <f>CONCATENATE(AS48," ",AT59)</f>
        <v>04 8</v>
      </c>
      <c r="AT59" s="225">
        <v>8</v>
      </c>
      <c r="AU59" s="226">
        <v>1500000</v>
      </c>
      <c r="AV59" s="227">
        <v>0</v>
      </c>
      <c r="AW59" s="228">
        <f t="shared" si="59"/>
        <v>3.3222504256726495</v>
      </c>
    </row>
    <row r="60" spans="2:49">
      <c r="B60" s="225">
        <v>9</v>
      </c>
      <c r="C60" s="226">
        <v>999999999</v>
      </c>
      <c r="D60" s="227">
        <v>0</v>
      </c>
      <c r="E60" s="228">
        <v>0.23308733999999998</v>
      </c>
      <c r="G60" s="192" t="str">
        <f>CONCATENATE(G48," ",H60)</f>
        <v>04 9</v>
      </c>
      <c r="H60" s="225">
        <v>9</v>
      </c>
      <c r="I60" s="226">
        <v>999999999</v>
      </c>
      <c r="J60" s="227">
        <v>0</v>
      </c>
      <c r="K60" s="228">
        <f t="shared" si="50"/>
        <v>0.21369719196785208</v>
      </c>
      <c r="L60" s="221"/>
      <c r="M60" s="221"/>
      <c r="N60" s="192" t="str">
        <f t="shared" si="45"/>
        <v>04 9</v>
      </c>
      <c r="O60" s="225">
        <v>9</v>
      </c>
      <c r="P60" s="226">
        <f t="shared" si="51"/>
        <v>999999999</v>
      </c>
      <c r="Q60" s="227">
        <f t="shared" si="46"/>
        <v>0</v>
      </c>
      <c r="R60" s="229">
        <f t="shared" si="46"/>
        <v>0</v>
      </c>
      <c r="S60" s="221"/>
      <c r="T60" s="221"/>
      <c r="U60" s="192" t="str">
        <f t="shared" si="47"/>
        <v>04 9</v>
      </c>
      <c r="V60" s="225">
        <v>9</v>
      </c>
      <c r="W60" s="226">
        <f t="shared" si="52"/>
        <v>999999999</v>
      </c>
      <c r="X60" s="227">
        <f t="shared" si="53"/>
        <v>0</v>
      </c>
      <c r="Y60" s="758">
        <f t="shared" si="54"/>
        <v>0.27780634955820771</v>
      </c>
      <c r="Z60" s="231">
        <v>1.3</v>
      </c>
      <c r="AA60" s="221"/>
      <c r="AB60" s="192" t="str">
        <f t="shared" si="48"/>
        <v>04 9</v>
      </c>
      <c r="AC60" s="225">
        <v>9</v>
      </c>
      <c r="AD60" s="226">
        <f t="shared" si="55"/>
        <v>999999999</v>
      </c>
      <c r="AE60" s="227">
        <f t="shared" si="56"/>
        <v>0</v>
      </c>
      <c r="AF60" s="227">
        <f t="shared" si="57"/>
        <v>0.27780634955820771</v>
      </c>
      <c r="AN60" s="225">
        <v>9</v>
      </c>
      <c r="AO60" s="226">
        <v>999999999</v>
      </c>
      <c r="AP60" s="227">
        <v>0</v>
      </c>
      <c r="AQ60" s="228">
        <v>3.6078999999999999</v>
      </c>
      <c r="AS60" s="192" t="str">
        <f>CONCATENATE(AS48," ",AT60)</f>
        <v>04 9</v>
      </c>
      <c r="AT60" s="225">
        <v>9</v>
      </c>
      <c r="AU60" s="226">
        <v>999999999</v>
      </c>
      <c r="AV60" s="227">
        <v>0</v>
      </c>
      <c r="AW60" s="228">
        <f t="shared" si="59"/>
        <v>3.3077648013865257</v>
      </c>
    </row>
    <row r="61" spans="2:49">
      <c r="B61" s="225">
        <v>10</v>
      </c>
      <c r="C61" s="226"/>
      <c r="D61" s="227">
        <v>0</v>
      </c>
      <c r="E61" s="228">
        <v>0</v>
      </c>
      <c r="G61" s="192" t="str">
        <f>CONCATENATE(G48," ",H61)</f>
        <v>04 10</v>
      </c>
      <c r="H61" s="225">
        <v>10</v>
      </c>
      <c r="I61" s="226"/>
      <c r="J61" s="227">
        <v>0</v>
      </c>
      <c r="K61" s="228">
        <f t="shared" si="50"/>
        <v>0</v>
      </c>
      <c r="L61" s="221"/>
      <c r="M61" s="221"/>
      <c r="N61" s="192" t="str">
        <f t="shared" si="45"/>
        <v>04 10</v>
      </c>
      <c r="O61" s="225">
        <v>10</v>
      </c>
      <c r="P61" s="226"/>
      <c r="Q61" s="227">
        <f t="shared" si="46"/>
        <v>0</v>
      </c>
      <c r="R61" s="229">
        <f t="shared" si="46"/>
        <v>0</v>
      </c>
      <c r="S61" s="221"/>
      <c r="T61" s="221"/>
      <c r="U61" s="192" t="str">
        <f t="shared" si="47"/>
        <v>04 10</v>
      </c>
      <c r="V61" s="225">
        <v>10</v>
      </c>
      <c r="W61" s="226"/>
      <c r="X61" s="227">
        <f t="shared" si="53"/>
        <v>0</v>
      </c>
      <c r="Y61" s="758">
        <f t="shared" si="54"/>
        <v>0</v>
      </c>
      <c r="Z61" s="231">
        <v>1.3</v>
      </c>
      <c r="AA61" s="221"/>
      <c r="AB61" s="192" t="str">
        <f t="shared" si="48"/>
        <v>04 10</v>
      </c>
      <c r="AC61" s="225">
        <v>10</v>
      </c>
      <c r="AD61" s="226">
        <f t="shared" si="55"/>
        <v>0</v>
      </c>
      <c r="AE61" s="227">
        <f t="shared" si="56"/>
        <v>0</v>
      </c>
      <c r="AF61" s="227">
        <f t="shared" si="57"/>
        <v>0</v>
      </c>
      <c r="AN61" s="225">
        <v>10</v>
      </c>
      <c r="AO61" s="226"/>
      <c r="AP61" s="227">
        <v>0</v>
      </c>
      <c r="AQ61" s="228">
        <v>0</v>
      </c>
      <c r="AS61" s="192" t="str">
        <f>CONCATENATE(AS48," ",AT61)</f>
        <v>04 10</v>
      </c>
      <c r="AT61" s="225">
        <v>10</v>
      </c>
      <c r="AU61" s="226"/>
      <c r="AV61" s="227">
        <v>0</v>
      </c>
      <c r="AW61" s="228">
        <f t="shared" si="59"/>
        <v>0</v>
      </c>
    </row>
    <row r="62" spans="2:49">
      <c r="B62" s="232"/>
      <c r="C62" s="233"/>
      <c r="D62" s="234"/>
      <c r="E62" s="235"/>
      <c r="G62" s="222"/>
      <c r="H62" s="232"/>
      <c r="I62" s="233"/>
      <c r="J62" s="234"/>
      <c r="K62" s="235"/>
      <c r="L62" s="221"/>
      <c r="M62" s="221"/>
      <c r="N62" s="222"/>
      <c r="O62" s="232"/>
      <c r="P62" s="233"/>
      <c r="Q62" s="234"/>
      <c r="R62" s="235"/>
      <c r="S62" s="221"/>
      <c r="T62" s="221"/>
      <c r="U62" s="222"/>
      <c r="V62" s="232"/>
      <c r="W62" s="233"/>
      <c r="X62" s="234"/>
      <c r="Y62" s="235"/>
      <c r="Z62" s="221"/>
      <c r="AA62" s="221"/>
      <c r="AB62" s="222"/>
      <c r="AC62" s="232"/>
      <c r="AD62" s="233"/>
      <c r="AE62" s="234"/>
      <c r="AF62" s="235"/>
      <c r="AN62" s="232"/>
      <c r="AO62" s="233"/>
      <c r="AP62" s="234"/>
      <c r="AQ62" s="235"/>
      <c r="AS62" s="222"/>
      <c r="AT62" s="232"/>
      <c r="AU62" s="233"/>
      <c r="AV62" s="234"/>
      <c r="AW62" s="235"/>
    </row>
    <row r="63" spans="2:49" ht="12" customHeight="1">
      <c r="B63" s="836" t="s">
        <v>105</v>
      </c>
      <c r="C63" s="837"/>
      <c r="D63" s="219"/>
      <c r="E63" s="220"/>
      <c r="G63" s="218" t="s">
        <v>1771</v>
      </c>
      <c r="H63" s="836" t="s">
        <v>105</v>
      </c>
      <c r="I63" s="837"/>
      <c r="J63" s="219"/>
      <c r="K63" s="220"/>
      <c r="L63" s="221"/>
      <c r="M63" s="221"/>
      <c r="N63" s="218" t="str">
        <f>G63</f>
        <v>05</v>
      </c>
      <c r="O63" s="836" t="str">
        <f>H63</f>
        <v>Cogeração</v>
      </c>
      <c r="P63" s="837"/>
      <c r="Q63" s="219"/>
      <c r="R63" s="220"/>
      <c r="S63" s="221"/>
      <c r="T63" s="221"/>
      <c r="U63" s="218" t="str">
        <f>N63</f>
        <v>05</v>
      </c>
      <c r="V63" s="836" t="str">
        <f>O63</f>
        <v>Cogeração</v>
      </c>
      <c r="W63" s="837"/>
      <c r="X63" s="219"/>
      <c r="Y63" s="220"/>
      <c r="Z63" s="221"/>
      <c r="AA63" s="221"/>
      <c r="AB63" s="218" t="str">
        <f>U63</f>
        <v>05</v>
      </c>
      <c r="AC63" s="836" t="s">
        <v>4910</v>
      </c>
      <c r="AD63" s="837"/>
      <c r="AE63" s="219"/>
      <c r="AF63" s="220"/>
      <c r="AN63" s="836" t="s">
        <v>105</v>
      </c>
      <c r="AO63" s="837"/>
      <c r="AP63" s="219"/>
      <c r="AQ63" s="220"/>
      <c r="AS63" s="218" t="s">
        <v>1771</v>
      </c>
      <c r="AT63" s="282" t="s">
        <v>105</v>
      </c>
      <c r="AU63" s="283"/>
      <c r="AV63" s="219"/>
      <c r="AW63" s="220"/>
    </row>
    <row r="64" spans="2:49">
      <c r="B64" s="838" t="s">
        <v>4898</v>
      </c>
      <c r="C64" s="838"/>
      <c r="D64" s="219"/>
      <c r="E64" s="220"/>
      <c r="G64" s="222"/>
      <c r="H64" s="838"/>
      <c r="I64" s="838"/>
      <c r="J64" s="219"/>
      <c r="K64" s="220"/>
      <c r="L64" s="221"/>
      <c r="M64" s="221"/>
      <c r="N64" s="222"/>
      <c r="O64" s="838" t="s">
        <v>4898</v>
      </c>
      <c r="P64" s="838"/>
      <c r="Q64" s="219"/>
      <c r="R64" s="220"/>
      <c r="S64" s="221"/>
      <c r="T64" s="221"/>
      <c r="U64" s="222"/>
      <c r="V64" s="838" t="s">
        <v>4898</v>
      </c>
      <c r="W64" s="838"/>
      <c r="X64" s="219"/>
      <c r="Y64" s="220"/>
      <c r="Z64" s="221"/>
      <c r="AA64" s="221"/>
      <c r="AB64" s="222"/>
      <c r="AC64" s="838" t="s">
        <v>4898</v>
      </c>
      <c r="AD64" s="838"/>
      <c r="AE64" s="219"/>
      <c r="AF64" s="220"/>
      <c r="AN64" s="838" t="s">
        <v>4898</v>
      </c>
      <c r="AO64" s="838"/>
      <c r="AP64" s="219"/>
      <c r="AQ64" s="220"/>
      <c r="AS64" s="222"/>
      <c r="AT64" s="284" t="s">
        <v>4898</v>
      </c>
      <c r="AU64" s="284"/>
      <c r="AV64" s="219"/>
      <c r="AW64" s="220"/>
    </row>
    <row r="65" spans="2:49">
      <c r="B65" s="835" t="s">
        <v>4899</v>
      </c>
      <c r="C65" s="835" t="s">
        <v>4900</v>
      </c>
      <c r="D65" s="224" t="s">
        <v>4901</v>
      </c>
      <c r="E65" s="224"/>
      <c r="G65" s="222"/>
      <c r="H65" s="835" t="s">
        <v>4899</v>
      </c>
      <c r="I65" s="835" t="s">
        <v>4900</v>
      </c>
      <c r="J65" s="224" t="s">
        <v>4901</v>
      </c>
      <c r="K65" s="224"/>
      <c r="L65" s="221"/>
      <c r="M65" s="221"/>
      <c r="N65" s="222"/>
      <c r="O65" s="835" t="s">
        <v>4899</v>
      </c>
      <c r="P65" s="835" t="s">
        <v>4900</v>
      </c>
      <c r="Q65" s="224" t="s">
        <v>4901</v>
      </c>
      <c r="R65" s="224"/>
      <c r="S65" s="221"/>
      <c r="T65" s="221"/>
      <c r="U65" s="222"/>
      <c r="V65" s="835" t="s">
        <v>4899</v>
      </c>
      <c r="W65" s="835" t="s">
        <v>4900</v>
      </c>
      <c r="X65" s="224" t="s">
        <v>4901</v>
      </c>
      <c r="Y65" s="224"/>
      <c r="Z65" s="221"/>
      <c r="AA65" s="221"/>
      <c r="AB65" s="222"/>
      <c r="AC65" s="835" t="s">
        <v>4899</v>
      </c>
      <c r="AD65" s="835" t="s">
        <v>4900</v>
      </c>
      <c r="AE65" s="841" t="s">
        <v>4901</v>
      </c>
      <c r="AF65" s="841"/>
      <c r="AN65" s="835" t="s">
        <v>4899</v>
      </c>
      <c r="AO65" s="835" t="s">
        <v>4900</v>
      </c>
      <c r="AP65" s="224" t="s">
        <v>4901</v>
      </c>
      <c r="AQ65" s="224"/>
      <c r="AS65" s="222"/>
      <c r="AT65" s="285" t="s">
        <v>4899</v>
      </c>
      <c r="AU65" s="285" t="s">
        <v>4900</v>
      </c>
      <c r="AV65" s="224" t="s">
        <v>4901</v>
      </c>
      <c r="AW65" s="224"/>
    </row>
    <row r="66" spans="2:49">
      <c r="B66" s="835"/>
      <c r="C66" s="835"/>
      <c r="D66" s="223" t="s">
        <v>4902</v>
      </c>
      <c r="E66" s="223" t="s">
        <v>4903</v>
      </c>
      <c r="G66" s="222"/>
      <c r="H66" s="835"/>
      <c r="I66" s="835"/>
      <c r="J66" s="223" t="s">
        <v>4902</v>
      </c>
      <c r="K66" s="223" t="s">
        <v>4903</v>
      </c>
      <c r="L66" s="221"/>
      <c r="M66" s="221"/>
      <c r="N66" s="222"/>
      <c r="O66" s="835"/>
      <c r="P66" s="835"/>
      <c r="Q66" s="223" t="s">
        <v>4902</v>
      </c>
      <c r="R66" s="223" t="s">
        <v>4903</v>
      </c>
      <c r="S66" s="221"/>
      <c r="T66" s="221"/>
      <c r="U66" s="222"/>
      <c r="V66" s="835"/>
      <c r="W66" s="835"/>
      <c r="X66" s="223" t="s">
        <v>4902</v>
      </c>
      <c r="Y66" s="223" t="s">
        <v>4903</v>
      </c>
      <c r="Z66" s="221"/>
      <c r="AA66" s="221"/>
      <c r="AB66" s="222"/>
      <c r="AC66" s="835"/>
      <c r="AD66" s="835"/>
      <c r="AE66" s="223" t="s">
        <v>4902</v>
      </c>
      <c r="AF66" s="223" t="s">
        <v>4903</v>
      </c>
      <c r="AN66" s="835"/>
      <c r="AO66" s="835"/>
      <c r="AP66" s="223" t="s">
        <v>4902</v>
      </c>
      <c r="AQ66" s="223" t="s">
        <v>4903</v>
      </c>
      <c r="AS66" s="222"/>
      <c r="AT66" s="285"/>
      <c r="AU66" s="285"/>
      <c r="AV66" s="223" t="s">
        <v>4902</v>
      </c>
      <c r="AW66" s="223" t="s">
        <v>4903</v>
      </c>
    </row>
    <row r="67" spans="2:49">
      <c r="B67" s="225">
        <v>1</v>
      </c>
      <c r="C67" s="226">
        <v>200</v>
      </c>
      <c r="D67" s="227">
        <v>0</v>
      </c>
      <c r="E67" s="228">
        <v>1.6295173800000002</v>
      </c>
      <c r="G67" s="192" t="str">
        <f>CONCATENATE(G63," ",H67)</f>
        <v>05 1</v>
      </c>
      <c r="H67" s="225">
        <v>1</v>
      </c>
      <c r="I67" s="226">
        <v>200</v>
      </c>
      <c r="J67" s="227">
        <v>0</v>
      </c>
      <c r="K67" s="228">
        <f>E67*$K$1</f>
        <v>1.4939605401512217</v>
      </c>
      <c r="L67" s="221"/>
      <c r="M67" s="221"/>
      <c r="N67" s="192" t="str">
        <f t="shared" ref="N67:N76" si="60">G67</f>
        <v>05 1</v>
      </c>
      <c r="O67" s="225">
        <v>1</v>
      </c>
      <c r="P67" s="226">
        <f>I67</f>
        <v>200</v>
      </c>
      <c r="Q67" s="227">
        <v>0</v>
      </c>
      <c r="R67" s="229">
        <f t="shared" ref="R67:R72" si="61">K67*$R$1</f>
        <v>0</v>
      </c>
      <c r="S67" s="221"/>
      <c r="T67" s="221"/>
      <c r="U67" s="192" t="str">
        <f t="shared" ref="U67:U76" si="62">N67</f>
        <v>05 1</v>
      </c>
      <c r="V67" s="225">
        <v>1</v>
      </c>
      <c r="W67" s="226">
        <f>P67</f>
        <v>200</v>
      </c>
      <c r="X67" s="227">
        <f>J67*Z67</f>
        <v>0</v>
      </c>
      <c r="Y67" s="758">
        <f>K67*Z67</f>
        <v>1.9421487021965882</v>
      </c>
      <c r="Z67" s="231">
        <v>1.3</v>
      </c>
      <c r="AA67" s="221"/>
      <c r="AB67" s="192" t="str">
        <f t="shared" ref="AB67:AB76" si="63">U67</f>
        <v>05 1</v>
      </c>
      <c r="AC67" s="225">
        <v>1</v>
      </c>
      <c r="AD67" s="226">
        <f t="shared" ref="AD67:AD76" si="64">P67</f>
        <v>200</v>
      </c>
      <c r="AE67" s="227">
        <f t="shared" ref="AE67:AF76" si="65">X67+Q67</f>
        <v>0</v>
      </c>
      <c r="AF67" s="227">
        <f>Y67+R67</f>
        <v>1.9421487021965882</v>
      </c>
      <c r="AN67" s="225">
        <v>1</v>
      </c>
      <c r="AO67" s="226">
        <v>200</v>
      </c>
      <c r="AP67" s="227">
        <v>0</v>
      </c>
      <c r="AQ67" s="228">
        <v>5.3653000000000004</v>
      </c>
      <c r="AS67" s="192" t="str">
        <f>CONCATENATE(AS63," ",AT67)</f>
        <v>05 1</v>
      </c>
      <c r="AT67" s="225">
        <v>1</v>
      </c>
      <c r="AU67" s="226">
        <v>200</v>
      </c>
      <c r="AV67" s="227">
        <v>0</v>
      </c>
      <c r="AW67" s="228">
        <f>AQ67*$AW$1</f>
        <v>4.9189696191355434</v>
      </c>
    </row>
    <row r="68" spans="2:49">
      <c r="B68" s="225">
        <v>2</v>
      </c>
      <c r="C68" s="226">
        <v>5000</v>
      </c>
      <c r="D68" s="227">
        <v>0</v>
      </c>
      <c r="E68" s="228">
        <v>1.5132674000000002</v>
      </c>
      <c r="G68" s="192" t="str">
        <f>CONCATENATE(G63," ",H68)</f>
        <v>05 2</v>
      </c>
      <c r="H68" s="225">
        <v>2</v>
      </c>
      <c r="I68" s="226">
        <v>5000</v>
      </c>
      <c r="J68" s="227">
        <v>0</v>
      </c>
      <c r="K68" s="228">
        <f t="shared" ref="K68:K76" si="66">E68*$K$1</f>
        <v>1.3873812025848014</v>
      </c>
      <c r="L68" s="221"/>
      <c r="M68" s="221"/>
      <c r="N68" s="192" t="str">
        <f t="shared" si="60"/>
        <v>05 2</v>
      </c>
      <c r="O68" s="225">
        <v>2</v>
      </c>
      <c r="P68" s="226">
        <f>I68</f>
        <v>5000</v>
      </c>
      <c r="Q68" s="227">
        <v>0</v>
      </c>
      <c r="R68" s="229">
        <f t="shared" si="61"/>
        <v>0</v>
      </c>
      <c r="S68" s="221"/>
      <c r="T68" s="221"/>
      <c r="U68" s="192" t="str">
        <f t="shared" si="62"/>
        <v>05 2</v>
      </c>
      <c r="V68" s="225">
        <v>2</v>
      </c>
      <c r="W68" s="226">
        <f>P68</f>
        <v>5000</v>
      </c>
      <c r="X68" s="227">
        <f t="shared" ref="X68:X76" si="67">J68*Z68</f>
        <v>0</v>
      </c>
      <c r="Y68" s="758">
        <f t="shared" ref="Y68:Y76" si="68">K68*Z68</f>
        <v>1.8035955633602418</v>
      </c>
      <c r="Z68" s="231">
        <v>1.3</v>
      </c>
      <c r="AA68" s="221"/>
      <c r="AB68" s="192" t="str">
        <f t="shared" si="63"/>
        <v>05 2</v>
      </c>
      <c r="AC68" s="225">
        <v>2</v>
      </c>
      <c r="AD68" s="226">
        <f t="shared" si="64"/>
        <v>5000</v>
      </c>
      <c r="AE68" s="227">
        <f t="shared" si="65"/>
        <v>0</v>
      </c>
      <c r="AF68" s="227">
        <f t="shared" si="65"/>
        <v>1.8035955633602418</v>
      </c>
      <c r="AN68" s="225">
        <v>2</v>
      </c>
      <c r="AO68" s="226">
        <v>5000</v>
      </c>
      <c r="AP68" s="227">
        <v>0</v>
      </c>
      <c r="AQ68" s="228">
        <v>5.2190000000000003</v>
      </c>
      <c r="AS68" s="192" t="str">
        <f>CONCATENATE(AS63," ",AT68)</f>
        <v>05 2</v>
      </c>
      <c r="AT68" s="225">
        <v>2</v>
      </c>
      <c r="AU68" s="226">
        <v>5000</v>
      </c>
      <c r="AV68" s="227">
        <v>0</v>
      </c>
      <c r="AW68" s="228">
        <f t="shared" ref="AW68:AW70" si="69">AQ68*$AW$1</f>
        <v>4.7848400727393434</v>
      </c>
    </row>
    <row r="69" spans="2:49">
      <c r="B69" s="225">
        <v>3</v>
      </c>
      <c r="C69" s="226">
        <v>20000</v>
      </c>
      <c r="D69" s="227">
        <v>0</v>
      </c>
      <c r="E69" s="228">
        <v>0.51215085999999976</v>
      </c>
      <c r="G69" s="192" t="str">
        <f>CONCATENATE(G63," ",H69)</f>
        <v>05 3</v>
      </c>
      <c r="H69" s="225">
        <v>3</v>
      </c>
      <c r="I69" s="226">
        <v>20000</v>
      </c>
      <c r="J69" s="227">
        <v>0</v>
      </c>
      <c r="K69" s="228">
        <f t="shared" si="66"/>
        <v>0.4695458820110972</v>
      </c>
      <c r="L69" s="221"/>
      <c r="M69" s="221"/>
      <c r="N69" s="192" t="str">
        <f t="shared" si="60"/>
        <v>05 3</v>
      </c>
      <c r="O69" s="225">
        <v>3</v>
      </c>
      <c r="P69" s="226">
        <f t="shared" ref="P69:P75" si="70">I69</f>
        <v>20000</v>
      </c>
      <c r="Q69" s="227">
        <f t="shared" ref="Q69:R76" si="71">J69*$R$1</f>
        <v>0</v>
      </c>
      <c r="R69" s="229">
        <f t="shared" si="61"/>
        <v>0</v>
      </c>
      <c r="S69" s="221"/>
      <c r="T69" s="221"/>
      <c r="U69" s="192" t="str">
        <f t="shared" si="62"/>
        <v>05 3</v>
      </c>
      <c r="V69" s="225">
        <v>3</v>
      </c>
      <c r="W69" s="226">
        <f t="shared" ref="W69:W75" si="72">P69</f>
        <v>20000</v>
      </c>
      <c r="X69" s="227">
        <f t="shared" si="67"/>
        <v>0</v>
      </c>
      <c r="Y69" s="758">
        <f t="shared" si="68"/>
        <v>0.61040964661442643</v>
      </c>
      <c r="Z69" s="231">
        <v>1.3</v>
      </c>
      <c r="AA69" s="221"/>
      <c r="AB69" s="192" t="str">
        <f t="shared" si="63"/>
        <v>05 3</v>
      </c>
      <c r="AC69" s="225">
        <v>3</v>
      </c>
      <c r="AD69" s="226">
        <f t="shared" si="64"/>
        <v>20000</v>
      </c>
      <c r="AE69" s="227">
        <f t="shared" ref="AE69:AE76" si="73">J69+Q69</f>
        <v>0</v>
      </c>
      <c r="AF69" s="227">
        <f t="shared" si="65"/>
        <v>0.61040964661442643</v>
      </c>
      <c r="AN69" s="225">
        <v>3</v>
      </c>
      <c r="AO69" s="226">
        <v>20000</v>
      </c>
      <c r="AP69" s="227">
        <v>0</v>
      </c>
      <c r="AQ69" s="228">
        <v>3.9590999999999998</v>
      </c>
      <c r="AS69" s="192" t="str">
        <f>CONCATENATE(AS63," ",AT69)</f>
        <v>05 3</v>
      </c>
      <c r="AT69" s="225">
        <v>3</v>
      </c>
      <c r="AU69" s="226">
        <v>20000</v>
      </c>
      <c r="AV69" s="227">
        <v>0</v>
      </c>
      <c r="AW69" s="228">
        <f t="shared" si="69"/>
        <v>3.6297490576704989</v>
      </c>
    </row>
    <row r="70" spans="2:49">
      <c r="B70" s="225">
        <v>4</v>
      </c>
      <c r="C70" s="226">
        <v>70000</v>
      </c>
      <c r="D70" s="227">
        <v>0</v>
      </c>
      <c r="E70" s="228">
        <v>0.30476026000000012</v>
      </c>
      <c r="G70" s="192" t="str">
        <f>CONCATENATE(G63," ",H70)</f>
        <v>05 4</v>
      </c>
      <c r="H70" s="225">
        <v>4</v>
      </c>
      <c r="I70" s="226">
        <v>70000</v>
      </c>
      <c r="J70" s="227">
        <v>0</v>
      </c>
      <c r="K70" s="228">
        <f t="shared" si="66"/>
        <v>0.27940776099376541</v>
      </c>
      <c r="L70" s="221"/>
      <c r="M70" s="221"/>
      <c r="N70" s="192" t="str">
        <f t="shared" si="60"/>
        <v>05 4</v>
      </c>
      <c r="O70" s="225">
        <v>4</v>
      </c>
      <c r="P70" s="226">
        <f t="shared" si="70"/>
        <v>70000</v>
      </c>
      <c r="Q70" s="227">
        <f t="shared" si="71"/>
        <v>0</v>
      </c>
      <c r="R70" s="229">
        <f t="shared" si="61"/>
        <v>0</v>
      </c>
      <c r="S70" s="221"/>
      <c r="T70" s="221"/>
      <c r="U70" s="192" t="str">
        <f t="shared" si="62"/>
        <v>05 4</v>
      </c>
      <c r="V70" s="225">
        <v>4</v>
      </c>
      <c r="W70" s="226">
        <f t="shared" si="72"/>
        <v>70000</v>
      </c>
      <c r="X70" s="227">
        <f t="shared" si="67"/>
        <v>0</v>
      </c>
      <c r="Y70" s="758">
        <f t="shared" si="68"/>
        <v>0.36323008929189504</v>
      </c>
      <c r="Z70" s="231">
        <v>1.3</v>
      </c>
      <c r="AA70" s="221"/>
      <c r="AB70" s="192" t="str">
        <f t="shared" si="63"/>
        <v>05 4</v>
      </c>
      <c r="AC70" s="225">
        <v>4</v>
      </c>
      <c r="AD70" s="226">
        <f t="shared" si="64"/>
        <v>70000</v>
      </c>
      <c r="AE70" s="227">
        <f t="shared" si="73"/>
        <v>0</v>
      </c>
      <c r="AF70" s="227">
        <f t="shared" si="65"/>
        <v>0.36323008929189504</v>
      </c>
      <c r="AN70" s="225">
        <v>4</v>
      </c>
      <c r="AO70" s="226">
        <v>70000</v>
      </c>
      <c r="AP70" s="227">
        <v>0</v>
      </c>
      <c r="AQ70" s="228">
        <v>3.6981000000000002</v>
      </c>
      <c r="AS70" s="192" t="str">
        <f>CONCATENATE(AS63," ",AT70)</f>
        <v>05 4</v>
      </c>
      <c r="AT70" s="225">
        <v>4</v>
      </c>
      <c r="AU70" s="226">
        <v>70000</v>
      </c>
      <c r="AV70" s="227">
        <v>0</v>
      </c>
      <c r="AW70" s="228">
        <f t="shared" si="69"/>
        <v>3.3904612134503482</v>
      </c>
    </row>
    <row r="71" spans="2:49">
      <c r="B71" s="225">
        <v>5</v>
      </c>
      <c r="C71" s="226">
        <v>120000</v>
      </c>
      <c r="D71" s="227">
        <v>0</v>
      </c>
      <c r="E71" s="228">
        <v>0.32915448000000014</v>
      </c>
      <c r="G71" s="192" t="str">
        <f>CONCATENATE(G63," ",H71)</f>
        <v>05 5</v>
      </c>
      <c r="H71" s="225">
        <v>5</v>
      </c>
      <c r="I71" s="226">
        <v>120000</v>
      </c>
      <c r="J71" s="227">
        <v>0</v>
      </c>
      <c r="K71" s="228">
        <f t="shared" si="66"/>
        <v>0.30177266641611067</v>
      </c>
      <c r="L71" s="221"/>
      <c r="M71" s="221"/>
      <c r="N71" s="192" t="str">
        <f t="shared" si="60"/>
        <v>05 5</v>
      </c>
      <c r="O71" s="225">
        <v>5</v>
      </c>
      <c r="P71" s="226">
        <f t="shared" si="70"/>
        <v>120000</v>
      </c>
      <c r="Q71" s="227">
        <f t="shared" si="71"/>
        <v>0</v>
      </c>
      <c r="R71" s="229">
        <f t="shared" si="61"/>
        <v>0</v>
      </c>
      <c r="S71" s="221"/>
      <c r="T71" s="221"/>
      <c r="U71" s="192" t="str">
        <f t="shared" si="62"/>
        <v>05 5</v>
      </c>
      <c r="V71" s="225">
        <v>5</v>
      </c>
      <c r="W71" s="226">
        <f t="shared" si="72"/>
        <v>120000</v>
      </c>
      <c r="X71" s="227">
        <f t="shared" si="67"/>
        <v>0</v>
      </c>
      <c r="Y71" s="758">
        <f t="shared" si="68"/>
        <v>0.3923044663409439</v>
      </c>
      <c r="Z71" s="231">
        <v>1.3</v>
      </c>
      <c r="AA71" s="221"/>
      <c r="AB71" s="192" t="str">
        <f t="shared" si="63"/>
        <v>05 5</v>
      </c>
      <c r="AC71" s="225">
        <v>5</v>
      </c>
      <c r="AD71" s="226">
        <f t="shared" si="64"/>
        <v>120000</v>
      </c>
      <c r="AE71" s="227">
        <f t="shared" si="73"/>
        <v>0</v>
      </c>
      <c r="AF71" s="227">
        <f t="shared" si="65"/>
        <v>0.3923044663409439</v>
      </c>
      <c r="AN71" s="225">
        <v>5</v>
      </c>
      <c r="AO71" s="226">
        <v>120000</v>
      </c>
      <c r="AP71" s="227">
        <v>0</v>
      </c>
      <c r="AQ71" s="228">
        <v>3.7288000000000001</v>
      </c>
      <c r="AS71" s="192" t="str">
        <f>CONCATENATE(AS63," ",AT71)</f>
        <v>05 5</v>
      </c>
      <c r="AT71" s="225">
        <v>5</v>
      </c>
      <c r="AU71" s="226">
        <v>120000</v>
      </c>
      <c r="AV71" s="227">
        <v>0</v>
      </c>
      <c r="AW71" s="228">
        <f t="shared" ref="AW71:AW76" si="74">AQ71*$K$1</f>
        <v>3.4186073315252856</v>
      </c>
    </row>
    <row r="72" spans="2:49">
      <c r="B72" s="225">
        <v>6</v>
      </c>
      <c r="C72" s="226">
        <v>300000</v>
      </c>
      <c r="D72" s="227">
        <v>0</v>
      </c>
      <c r="E72" s="228">
        <v>0.32796257999999989</v>
      </c>
      <c r="G72" s="192" t="str">
        <f>CONCATENATE(G63," ",H72)</f>
        <v>05 6</v>
      </c>
      <c r="H72" s="225">
        <v>6</v>
      </c>
      <c r="I72" s="226">
        <v>300000</v>
      </c>
      <c r="J72" s="227">
        <v>0</v>
      </c>
      <c r="K72" s="228">
        <f t="shared" si="66"/>
        <v>0.3006799185941717</v>
      </c>
      <c r="L72" s="221"/>
      <c r="M72" s="221"/>
      <c r="N72" s="192" t="str">
        <f t="shared" si="60"/>
        <v>05 6</v>
      </c>
      <c r="O72" s="225">
        <v>6</v>
      </c>
      <c r="P72" s="226">
        <f t="shared" si="70"/>
        <v>300000</v>
      </c>
      <c r="Q72" s="227">
        <f t="shared" si="71"/>
        <v>0</v>
      </c>
      <c r="R72" s="229">
        <f t="shared" si="61"/>
        <v>0</v>
      </c>
      <c r="S72" s="221"/>
      <c r="T72" s="221"/>
      <c r="U72" s="192" t="str">
        <f t="shared" si="62"/>
        <v>05 6</v>
      </c>
      <c r="V72" s="225">
        <v>6</v>
      </c>
      <c r="W72" s="226">
        <f t="shared" si="72"/>
        <v>300000</v>
      </c>
      <c r="X72" s="227">
        <f t="shared" si="67"/>
        <v>0</v>
      </c>
      <c r="Y72" s="758">
        <f t="shared" si="68"/>
        <v>0.39088389417242325</v>
      </c>
      <c r="Z72" s="231">
        <v>1.3</v>
      </c>
      <c r="AA72" s="221"/>
      <c r="AB72" s="192" t="str">
        <f t="shared" si="63"/>
        <v>05 6</v>
      </c>
      <c r="AC72" s="225">
        <v>6</v>
      </c>
      <c r="AD72" s="226">
        <f t="shared" si="64"/>
        <v>300000</v>
      </c>
      <c r="AE72" s="227">
        <f t="shared" si="73"/>
        <v>0</v>
      </c>
      <c r="AF72" s="227">
        <f t="shared" si="65"/>
        <v>0.39088389417242325</v>
      </c>
      <c r="AN72" s="225">
        <v>6</v>
      </c>
      <c r="AO72" s="226">
        <v>300000</v>
      </c>
      <c r="AP72" s="227">
        <v>0</v>
      </c>
      <c r="AQ72" s="228">
        <v>3.7273000000000001</v>
      </c>
      <c r="AS72" s="192" t="str">
        <f>CONCATENATE(AS63," ",AT72)</f>
        <v>05 6</v>
      </c>
      <c r="AT72" s="225">
        <v>6</v>
      </c>
      <c r="AU72" s="226">
        <v>300000</v>
      </c>
      <c r="AV72" s="227">
        <v>0</v>
      </c>
      <c r="AW72" s="228">
        <f t="shared" si="74"/>
        <v>3.4172321140297672</v>
      </c>
    </row>
    <row r="73" spans="2:49">
      <c r="B73" s="225">
        <v>7</v>
      </c>
      <c r="C73" s="226">
        <v>600000</v>
      </c>
      <c r="D73" s="227">
        <v>0</v>
      </c>
      <c r="E73" s="228">
        <v>0.32653229999999978</v>
      </c>
      <c r="G73" s="192" t="str">
        <f>CONCATENATE(G63," ",H73)</f>
        <v>05 7</v>
      </c>
      <c r="H73" s="225">
        <v>7</v>
      </c>
      <c r="I73" s="226">
        <v>600000</v>
      </c>
      <c r="J73" s="227">
        <v>0</v>
      </c>
      <c r="K73" s="228">
        <f t="shared" si="66"/>
        <v>0.29936862120784519</v>
      </c>
      <c r="L73" s="221"/>
      <c r="M73" s="221"/>
      <c r="N73" s="192" t="str">
        <f t="shared" si="60"/>
        <v>05 7</v>
      </c>
      <c r="O73" s="225">
        <v>7</v>
      </c>
      <c r="P73" s="226">
        <f t="shared" si="70"/>
        <v>600000</v>
      </c>
      <c r="Q73" s="227">
        <f t="shared" si="71"/>
        <v>0</v>
      </c>
      <c r="R73" s="229">
        <f t="shared" si="71"/>
        <v>0</v>
      </c>
      <c r="S73" s="221"/>
      <c r="T73" s="221"/>
      <c r="U73" s="192" t="str">
        <f t="shared" si="62"/>
        <v>05 7</v>
      </c>
      <c r="V73" s="225">
        <v>7</v>
      </c>
      <c r="W73" s="226">
        <f t="shared" si="72"/>
        <v>600000</v>
      </c>
      <c r="X73" s="227">
        <f t="shared" si="67"/>
        <v>0</v>
      </c>
      <c r="Y73" s="758">
        <f t="shared" si="68"/>
        <v>0.38917920757019875</v>
      </c>
      <c r="Z73" s="231">
        <v>1.3</v>
      </c>
      <c r="AA73" s="221"/>
      <c r="AB73" s="192" t="str">
        <f t="shared" si="63"/>
        <v>05 7</v>
      </c>
      <c r="AC73" s="225">
        <v>7</v>
      </c>
      <c r="AD73" s="226">
        <f t="shared" si="64"/>
        <v>600000</v>
      </c>
      <c r="AE73" s="227">
        <f t="shared" si="73"/>
        <v>0</v>
      </c>
      <c r="AF73" s="227">
        <f t="shared" si="65"/>
        <v>0.38917920757019875</v>
      </c>
      <c r="AN73" s="225">
        <v>7</v>
      </c>
      <c r="AO73" s="226">
        <v>600000</v>
      </c>
      <c r="AP73" s="227">
        <v>0</v>
      </c>
      <c r="AQ73" s="228">
        <v>3.7254999999999998</v>
      </c>
      <c r="AS73" s="192" t="str">
        <f>CONCATENATE(AS63," ",AT73)</f>
        <v>05 7</v>
      </c>
      <c r="AT73" s="225">
        <v>7</v>
      </c>
      <c r="AU73" s="226">
        <v>600000</v>
      </c>
      <c r="AV73" s="227">
        <v>0</v>
      </c>
      <c r="AW73" s="228">
        <f t="shared" si="74"/>
        <v>3.4155818530351452</v>
      </c>
    </row>
    <row r="74" spans="2:49">
      <c r="B74" s="225">
        <v>8</v>
      </c>
      <c r="C74" s="226">
        <v>1500000</v>
      </c>
      <c r="D74" s="227">
        <v>0</v>
      </c>
      <c r="E74" s="228">
        <v>0.32605553999999959</v>
      </c>
      <c r="G74" s="192" t="str">
        <f>CONCATENATE(G63," ",H74)</f>
        <v>05 8</v>
      </c>
      <c r="H74" s="225">
        <v>8</v>
      </c>
      <c r="I74" s="226">
        <v>1500000</v>
      </c>
      <c r="J74" s="227">
        <v>0</v>
      </c>
      <c r="K74" s="228">
        <f t="shared" si="66"/>
        <v>0.29893152207906953</v>
      </c>
      <c r="L74" s="221"/>
      <c r="M74" s="221"/>
      <c r="N74" s="192" t="str">
        <f t="shared" si="60"/>
        <v>05 8</v>
      </c>
      <c r="O74" s="225">
        <v>8</v>
      </c>
      <c r="P74" s="226">
        <f t="shared" si="70"/>
        <v>1500000</v>
      </c>
      <c r="Q74" s="227">
        <f t="shared" si="71"/>
        <v>0</v>
      </c>
      <c r="R74" s="229">
        <f t="shared" si="71"/>
        <v>0</v>
      </c>
      <c r="S74" s="221"/>
      <c r="T74" s="221"/>
      <c r="U74" s="192" t="str">
        <f t="shared" si="62"/>
        <v>05 8</v>
      </c>
      <c r="V74" s="225">
        <v>8</v>
      </c>
      <c r="W74" s="226">
        <f t="shared" si="72"/>
        <v>1500000</v>
      </c>
      <c r="X74" s="227">
        <f t="shared" si="67"/>
        <v>0</v>
      </c>
      <c r="Y74" s="758">
        <f t="shared" si="68"/>
        <v>0.38861097870279043</v>
      </c>
      <c r="Z74" s="231">
        <v>1.3</v>
      </c>
      <c r="AA74" s="221"/>
      <c r="AB74" s="192" t="str">
        <f t="shared" si="63"/>
        <v>05 8</v>
      </c>
      <c r="AC74" s="225">
        <v>8</v>
      </c>
      <c r="AD74" s="226">
        <f t="shared" si="64"/>
        <v>1500000</v>
      </c>
      <c r="AE74" s="227">
        <f t="shared" si="73"/>
        <v>0</v>
      </c>
      <c r="AF74" s="227">
        <f t="shared" si="65"/>
        <v>0.38861097870279043</v>
      </c>
      <c r="AN74" s="225">
        <v>8</v>
      </c>
      <c r="AO74" s="226">
        <v>1500000</v>
      </c>
      <c r="AP74" s="227">
        <v>0</v>
      </c>
      <c r="AQ74" s="228">
        <v>3.7248999999999999</v>
      </c>
      <c r="AS74" s="192" t="str">
        <f>CONCATENATE(AS63," ",AT74)</f>
        <v>05 8</v>
      </c>
      <c r="AT74" s="225">
        <v>8</v>
      </c>
      <c r="AU74" s="226">
        <v>1500000</v>
      </c>
      <c r="AV74" s="227">
        <v>0</v>
      </c>
      <c r="AW74" s="228">
        <f t="shared" si="74"/>
        <v>3.4150317660369383</v>
      </c>
    </row>
    <row r="75" spans="2:49">
      <c r="B75" s="225">
        <v>9</v>
      </c>
      <c r="C75" s="226">
        <v>999999999</v>
      </c>
      <c r="D75" s="227">
        <v>0</v>
      </c>
      <c r="E75" s="228">
        <v>0.21918183999999963</v>
      </c>
      <c r="G75" s="192" t="str">
        <f>CONCATENATE(G63," ",H75)</f>
        <v>05 9</v>
      </c>
      <c r="H75" s="225">
        <v>9</v>
      </c>
      <c r="I75" s="226">
        <v>999999999</v>
      </c>
      <c r="J75" s="227">
        <v>0</v>
      </c>
      <c r="K75" s="228">
        <f t="shared" si="66"/>
        <v>0.20094846737856703</v>
      </c>
      <c r="L75" s="221"/>
      <c r="M75" s="221"/>
      <c r="N75" s="192" t="str">
        <f t="shared" si="60"/>
        <v>05 9</v>
      </c>
      <c r="O75" s="225">
        <v>9</v>
      </c>
      <c r="P75" s="226">
        <f t="shared" si="70"/>
        <v>999999999</v>
      </c>
      <c r="Q75" s="227">
        <f t="shared" si="71"/>
        <v>0</v>
      </c>
      <c r="R75" s="229">
        <f t="shared" si="71"/>
        <v>0</v>
      </c>
      <c r="S75" s="221"/>
      <c r="T75" s="221"/>
      <c r="U75" s="192" t="str">
        <f t="shared" si="62"/>
        <v>05 9</v>
      </c>
      <c r="V75" s="225">
        <v>9</v>
      </c>
      <c r="W75" s="226">
        <f t="shared" si="72"/>
        <v>999999999</v>
      </c>
      <c r="X75" s="227">
        <f t="shared" si="67"/>
        <v>0</v>
      </c>
      <c r="Y75" s="758">
        <f t="shared" si="68"/>
        <v>0.26123300759213713</v>
      </c>
      <c r="Z75" s="231">
        <v>1.3</v>
      </c>
      <c r="AA75" s="221"/>
      <c r="AB75" s="192" t="str">
        <f t="shared" si="63"/>
        <v>05 9</v>
      </c>
      <c r="AC75" s="225">
        <v>9</v>
      </c>
      <c r="AD75" s="226">
        <f t="shared" si="64"/>
        <v>999999999</v>
      </c>
      <c r="AE75" s="227">
        <f t="shared" si="73"/>
        <v>0</v>
      </c>
      <c r="AF75" s="227">
        <f t="shared" si="65"/>
        <v>0.26123300759213713</v>
      </c>
      <c r="AN75" s="225">
        <v>9</v>
      </c>
      <c r="AO75" s="226">
        <v>999999999</v>
      </c>
      <c r="AP75" s="227">
        <v>0</v>
      </c>
      <c r="AQ75" s="228">
        <v>3.5903999999999998</v>
      </c>
      <c r="AS75" s="192" t="str">
        <f>CONCATENATE(AS63," ",AT75)</f>
        <v>05 9</v>
      </c>
      <c r="AT75" s="225">
        <v>9</v>
      </c>
      <c r="AU75" s="226">
        <v>999999999</v>
      </c>
      <c r="AV75" s="227">
        <v>0</v>
      </c>
      <c r="AW75" s="228">
        <f t="shared" si="74"/>
        <v>3.2917205972721475</v>
      </c>
    </row>
    <row r="76" spans="2:49">
      <c r="B76" s="225">
        <v>10</v>
      </c>
      <c r="C76" s="226"/>
      <c r="D76" s="227">
        <v>0</v>
      </c>
      <c r="E76" s="228">
        <v>0</v>
      </c>
      <c r="G76" s="192" t="str">
        <f>CONCATENATE(G63," ",H76)</f>
        <v>05 10</v>
      </c>
      <c r="H76" s="225">
        <v>10</v>
      </c>
      <c r="I76" s="226"/>
      <c r="J76" s="227">
        <v>0</v>
      </c>
      <c r="K76" s="228">
        <f t="shared" si="66"/>
        <v>0</v>
      </c>
      <c r="L76" s="221"/>
      <c r="M76" s="221"/>
      <c r="N76" s="192" t="str">
        <f t="shared" si="60"/>
        <v>05 10</v>
      </c>
      <c r="O76" s="225">
        <v>10</v>
      </c>
      <c r="P76" s="226"/>
      <c r="Q76" s="227">
        <f t="shared" si="71"/>
        <v>0</v>
      </c>
      <c r="R76" s="229">
        <f t="shared" si="71"/>
        <v>0</v>
      </c>
      <c r="S76" s="221"/>
      <c r="T76" s="221"/>
      <c r="U76" s="192" t="str">
        <f t="shared" si="62"/>
        <v>05 10</v>
      </c>
      <c r="V76" s="225">
        <v>10</v>
      </c>
      <c r="W76" s="226"/>
      <c r="X76" s="227">
        <f t="shared" si="67"/>
        <v>0</v>
      </c>
      <c r="Y76" s="758">
        <f t="shared" si="68"/>
        <v>0</v>
      </c>
      <c r="Z76" s="231">
        <v>1.3</v>
      </c>
      <c r="AA76" s="221"/>
      <c r="AB76" s="192" t="str">
        <f t="shared" si="63"/>
        <v>05 10</v>
      </c>
      <c r="AC76" s="225">
        <v>10</v>
      </c>
      <c r="AD76" s="226">
        <f t="shared" si="64"/>
        <v>0</v>
      </c>
      <c r="AE76" s="227">
        <f t="shared" si="73"/>
        <v>0</v>
      </c>
      <c r="AF76" s="227">
        <f t="shared" si="65"/>
        <v>0</v>
      </c>
      <c r="AN76" s="225">
        <v>10</v>
      </c>
      <c r="AO76" s="226"/>
      <c r="AP76" s="227">
        <v>0</v>
      </c>
      <c r="AQ76" s="228">
        <v>0</v>
      </c>
      <c r="AS76" s="192" t="str">
        <f>CONCATENATE(AS63," ",AT76)</f>
        <v>05 10</v>
      </c>
      <c r="AT76" s="225">
        <v>10</v>
      </c>
      <c r="AU76" s="226"/>
      <c r="AV76" s="227">
        <v>0</v>
      </c>
      <c r="AW76" s="228">
        <f t="shared" si="74"/>
        <v>0</v>
      </c>
    </row>
    <row r="77" spans="2:49">
      <c r="B77" s="236"/>
      <c r="C77" s="237"/>
      <c r="D77" s="238"/>
      <c r="E77" s="239"/>
      <c r="G77" s="192"/>
      <c r="H77" s="236"/>
      <c r="I77" s="237"/>
      <c r="J77" s="238"/>
      <c r="K77" s="239"/>
      <c r="L77" s="221"/>
      <c r="M77" s="221"/>
      <c r="N77" s="192"/>
      <c r="O77" s="236"/>
      <c r="P77" s="226"/>
      <c r="Q77" s="238"/>
      <c r="R77" s="239"/>
      <c r="S77" s="221"/>
      <c r="T77" s="221"/>
      <c r="U77" s="192"/>
      <c r="V77" s="236"/>
      <c r="W77" s="237"/>
      <c r="X77" s="238"/>
      <c r="Y77" s="239"/>
      <c r="Z77" s="221"/>
      <c r="AA77" s="221"/>
      <c r="AB77" s="192"/>
      <c r="AC77" s="236"/>
      <c r="AD77" s="237"/>
      <c r="AE77" s="238"/>
      <c r="AF77" s="239"/>
      <c r="AN77" s="236"/>
      <c r="AO77" s="237"/>
      <c r="AP77" s="238"/>
      <c r="AQ77" s="239"/>
      <c r="AS77" s="192"/>
      <c r="AT77" s="236"/>
      <c r="AU77" s="237"/>
      <c r="AV77" s="238"/>
      <c r="AW77" s="239"/>
    </row>
    <row r="78" spans="2:49" ht="12" customHeight="1">
      <c r="B78" s="836" t="s">
        <v>4911</v>
      </c>
      <c r="C78" s="837"/>
      <c r="D78" s="219"/>
      <c r="E78" s="220"/>
      <c r="G78" s="218" t="s">
        <v>467</v>
      </c>
      <c r="H78" s="836" t="s">
        <v>4911</v>
      </c>
      <c r="I78" s="837"/>
      <c r="J78" s="219"/>
      <c r="K78" s="220"/>
      <c r="L78" s="221"/>
      <c r="M78" s="221"/>
      <c r="N78" s="218" t="str">
        <f>G78</f>
        <v>06</v>
      </c>
      <c r="O78" s="836" t="str">
        <f>H78</f>
        <v xml:space="preserve"> Geração Distribuída</v>
      </c>
      <c r="P78" s="837"/>
      <c r="Q78" s="219"/>
      <c r="R78" s="220"/>
      <c r="S78" s="221"/>
      <c r="T78" s="221"/>
      <c r="U78" s="218" t="str">
        <f>N78</f>
        <v>06</v>
      </c>
      <c r="V78" s="836" t="str">
        <f>O78</f>
        <v xml:space="preserve"> Geração Distribuída</v>
      </c>
      <c r="W78" s="837"/>
      <c r="X78" s="219"/>
      <c r="Y78" s="220"/>
      <c r="Z78" s="221"/>
      <c r="AA78" s="221"/>
      <c r="AB78" s="218" t="str">
        <f>U78</f>
        <v>06</v>
      </c>
      <c r="AC78" s="836" t="s">
        <v>4912</v>
      </c>
      <c r="AD78" s="837"/>
      <c r="AE78" s="219"/>
      <c r="AF78" s="220"/>
      <c r="AN78" s="836" t="s">
        <v>4911</v>
      </c>
      <c r="AO78" s="837"/>
      <c r="AP78" s="219"/>
      <c r="AQ78" s="220"/>
      <c r="AS78" s="218" t="s">
        <v>467</v>
      </c>
      <c r="AT78" s="282" t="s">
        <v>4911</v>
      </c>
      <c r="AU78" s="283"/>
      <c r="AV78" s="219"/>
      <c r="AW78" s="220"/>
    </row>
    <row r="79" spans="2:49">
      <c r="B79" s="838" t="s">
        <v>4913</v>
      </c>
      <c r="C79" s="838"/>
      <c r="D79" s="219"/>
      <c r="E79" s="220"/>
      <c r="G79" s="222"/>
      <c r="H79" s="838"/>
      <c r="I79" s="838"/>
      <c r="J79" s="219"/>
      <c r="K79" s="220"/>
      <c r="L79" s="221"/>
      <c r="M79" s="221"/>
      <c r="N79" s="222"/>
      <c r="O79" s="838" t="s">
        <v>4913</v>
      </c>
      <c r="P79" s="838"/>
      <c r="Q79" s="219"/>
      <c r="R79" s="220"/>
      <c r="S79" s="221"/>
      <c r="T79" s="221"/>
      <c r="U79" s="222"/>
      <c r="V79" s="838" t="s">
        <v>4913</v>
      </c>
      <c r="W79" s="838"/>
      <c r="X79" s="219"/>
      <c r="Y79" s="220"/>
      <c r="Z79" s="221"/>
      <c r="AA79" s="221"/>
      <c r="AB79" s="222"/>
      <c r="AC79" s="838" t="s">
        <v>4913</v>
      </c>
      <c r="AD79" s="838"/>
      <c r="AE79" s="219"/>
      <c r="AF79" s="220"/>
      <c r="AN79" s="838" t="s">
        <v>4913</v>
      </c>
      <c r="AO79" s="838"/>
      <c r="AP79" s="219"/>
      <c r="AQ79" s="220"/>
      <c r="AS79" s="222"/>
      <c r="AT79" s="284" t="s">
        <v>4913</v>
      </c>
      <c r="AU79" s="284"/>
      <c r="AV79" s="219"/>
      <c r="AW79" s="220"/>
    </row>
    <row r="80" spans="2:49">
      <c r="B80" s="835" t="s">
        <v>4899</v>
      </c>
      <c r="C80" s="835" t="s">
        <v>4900</v>
      </c>
      <c r="D80" s="224" t="s">
        <v>4901</v>
      </c>
      <c r="E80" s="224"/>
      <c r="G80" s="222"/>
      <c r="H80" s="835" t="s">
        <v>4899</v>
      </c>
      <c r="I80" s="835" t="s">
        <v>4900</v>
      </c>
      <c r="J80" s="224" t="s">
        <v>4901</v>
      </c>
      <c r="K80" s="224"/>
      <c r="L80" s="221"/>
      <c r="M80" s="221"/>
      <c r="N80" s="222"/>
      <c r="O80" s="835" t="s">
        <v>4899</v>
      </c>
      <c r="P80" s="835" t="s">
        <v>4900</v>
      </c>
      <c r="Q80" s="224" t="s">
        <v>4901</v>
      </c>
      <c r="R80" s="224"/>
      <c r="S80" s="221"/>
      <c r="T80" s="221"/>
      <c r="U80" s="222"/>
      <c r="V80" s="835" t="s">
        <v>4899</v>
      </c>
      <c r="W80" s="835" t="s">
        <v>4900</v>
      </c>
      <c r="X80" s="224" t="s">
        <v>4901</v>
      </c>
      <c r="Y80" s="224"/>
      <c r="Z80" s="221"/>
      <c r="AA80" s="221"/>
      <c r="AB80" s="222"/>
      <c r="AC80" s="835" t="s">
        <v>4899</v>
      </c>
      <c r="AD80" s="835" t="s">
        <v>4900</v>
      </c>
      <c r="AE80" s="841" t="s">
        <v>4901</v>
      </c>
      <c r="AF80" s="841"/>
      <c r="AN80" s="835" t="s">
        <v>4899</v>
      </c>
      <c r="AO80" s="835" t="s">
        <v>4900</v>
      </c>
      <c r="AP80" s="224" t="s">
        <v>4901</v>
      </c>
      <c r="AQ80" s="224"/>
      <c r="AS80" s="222"/>
      <c r="AT80" s="285" t="s">
        <v>4899</v>
      </c>
      <c r="AU80" s="285" t="s">
        <v>4900</v>
      </c>
      <c r="AV80" s="224" t="s">
        <v>4901</v>
      </c>
      <c r="AW80" s="224"/>
    </row>
    <row r="81" spans="2:49">
      <c r="B81" s="835"/>
      <c r="C81" s="835"/>
      <c r="D81" s="223" t="s">
        <v>4902</v>
      </c>
      <c r="E81" s="223" t="s">
        <v>4903</v>
      </c>
      <c r="G81" s="222"/>
      <c r="H81" s="835"/>
      <c r="I81" s="835"/>
      <c r="J81" s="223" t="s">
        <v>4902</v>
      </c>
      <c r="K81" s="223" t="s">
        <v>4903</v>
      </c>
      <c r="L81" s="221"/>
      <c r="M81" s="221"/>
      <c r="N81" s="222"/>
      <c r="O81" s="835"/>
      <c r="P81" s="835"/>
      <c r="Q81" s="223" t="s">
        <v>4902</v>
      </c>
      <c r="R81" s="223" t="s">
        <v>4903</v>
      </c>
      <c r="S81" s="221"/>
      <c r="T81" s="221"/>
      <c r="U81" s="222"/>
      <c r="V81" s="835"/>
      <c r="W81" s="835"/>
      <c r="X81" s="223" t="s">
        <v>4902</v>
      </c>
      <c r="Y81" s="223" t="s">
        <v>4903</v>
      </c>
      <c r="Z81" s="221"/>
      <c r="AA81" s="221"/>
      <c r="AB81" s="222"/>
      <c r="AC81" s="835"/>
      <c r="AD81" s="835"/>
      <c r="AE81" s="223" t="s">
        <v>4902</v>
      </c>
      <c r="AF81" s="223" t="s">
        <v>4903</v>
      </c>
      <c r="AN81" s="835"/>
      <c r="AO81" s="835"/>
      <c r="AP81" s="223" t="s">
        <v>4902</v>
      </c>
      <c r="AQ81" s="223" t="s">
        <v>4903</v>
      </c>
      <c r="AS81" s="222"/>
      <c r="AT81" s="285"/>
      <c r="AU81" s="285"/>
      <c r="AV81" s="223" t="s">
        <v>4902</v>
      </c>
      <c r="AW81" s="223" t="s">
        <v>4903</v>
      </c>
    </row>
    <row r="82" spans="2:49">
      <c r="B82" s="225">
        <v>1</v>
      </c>
      <c r="C82" s="226">
        <v>200</v>
      </c>
      <c r="D82" s="227">
        <v>0</v>
      </c>
      <c r="E82" s="228">
        <v>3.0403296799999993</v>
      </c>
      <c r="G82" s="192" t="str">
        <f>CONCATENATE(G78," ",H82)</f>
        <v>06 1</v>
      </c>
      <c r="H82" s="225">
        <v>1</v>
      </c>
      <c r="I82" s="226">
        <v>200</v>
      </c>
      <c r="J82" s="227">
        <v>0</v>
      </c>
      <c r="K82" s="228">
        <f>E82*$K$1</f>
        <v>2.7874097120526504</v>
      </c>
      <c r="L82" s="221"/>
      <c r="M82" s="221"/>
      <c r="N82" s="192" t="str">
        <f t="shared" ref="N82:N91" si="75">G82</f>
        <v>06 1</v>
      </c>
      <c r="O82" s="225">
        <v>1</v>
      </c>
      <c r="P82" s="226">
        <f>I82</f>
        <v>200</v>
      </c>
      <c r="Q82" s="227">
        <v>0</v>
      </c>
      <c r="R82" s="229">
        <f t="shared" ref="R82:R89" si="76">K82*$R$1</f>
        <v>0</v>
      </c>
      <c r="S82" s="221"/>
      <c r="T82" s="221"/>
      <c r="U82" s="192" t="str">
        <f t="shared" ref="U82:U91" si="77">N82</f>
        <v>06 1</v>
      </c>
      <c r="V82" s="225">
        <v>1</v>
      </c>
      <c r="W82" s="226">
        <f>P82</f>
        <v>200</v>
      </c>
      <c r="X82" s="227">
        <f>J82*Z82</f>
        <v>0</v>
      </c>
      <c r="Y82" s="758">
        <f>K82*Z82</f>
        <v>3.6236326256684457</v>
      </c>
      <c r="Z82" s="231">
        <v>1.3</v>
      </c>
      <c r="AA82" s="221"/>
      <c r="AB82" s="192" t="str">
        <f t="shared" ref="AB82:AB91" si="78">U82</f>
        <v>06 1</v>
      </c>
      <c r="AC82" s="225">
        <v>1</v>
      </c>
      <c r="AD82" s="226">
        <f t="shared" ref="AD82:AD91" si="79">P82</f>
        <v>200</v>
      </c>
      <c r="AE82" s="227">
        <f t="shared" ref="AE82:AF91" si="80">X82+Q82</f>
        <v>0</v>
      </c>
      <c r="AF82" s="227">
        <f>Y82+R82</f>
        <v>3.6236326256684457</v>
      </c>
      <c r="AN82" s="225">
        <v>1</v>
      </c>
      <c r="AO82" s="226">
        <v>200</v>
      </c>
      <c r="AP82" s="227">
        <v>0</v>
      </c>
      <c r="AQ82" s="228">
        <v>7.1407999999999996</v>
      </c>
      <c r="AS82" s="192" t="str">
        <f>CONCATENATE(AS78," ",AT82)</f>
        <v>06 1</v>
      </c>
      <c r="AT82" s="225">
        <v>1</v>
      </c>
      <c r="AU82" s="226">
        <v>200</v>
      </c>
      <c r="AV82" s="227">
        <v>0</v>
      </c>
      <c r="AW82" s="228">
        <f>AQ82*$AW$1</f>
        <v>6.5467687279971454</v>
      </c>
    </row>
    <row r="83" spans="2:49">
      <c r="B83" s="225">
        <v>2</v>
      </c>
      <c r="C83" s="226">
        <v>5000</v>
      </c>
      <c r="D83" s="227">
        <v>0</v>
      </c>
      <c r="E83" s="228">
        <v>1.3431435399999998</v>
      </c>
      <c r="G83" s="192" t="str">
        <f>CONCATENATE(G78," ",H83)</f>
        <v>06 2</v>
      </c>
      <c r="H83" s="225">
        <v>2</v>
      </c>
      <c r="I83" s="226">
        <v>5000</v>
      </c>
      <c r="J83" s="227">
        <v>0</v>
      </c>
      <c r="K83" s="228">
        <f t="shared" ref="K83:K91" si="81">E83*$K$1</f>
        <v>1.231409663466752</v>
      </c>
      <c r="L83" s="221"/>
      <c r="M83" s="221"/>
      <c r="N83" s="192" t="str">
        <f t="shared" si="75"/>
        <v>06 2</v>
      </c>
      <c r="O83" s="225">
        <v>2</v>
      </c>
      <c r="P83" s="226">
        <f>I83</f>
        <v>5000</v>
      </c>
      <c r="Q83" s="227">
        <v>0</v>
      </c>
      <c r="R83" s="229">
        <f t="shared" si="76"/>
        <v>0</v>
      </c>
      <c r="S83" s="221"/>
      <c r="T83" s="221"/>
      <c r="U83" s="192" t="str">
        <f t="shared" si="77"/>
        <v>06 2</v>
      </c>
      <c r="V83" s="225">
        <v>2</v>
      </c>
      <c r="W83" s="226">
        <f>P83</f>
        <v>5000</v>
      </c>
      <c r="X83" s="227">
        <f t="shared" ref="X83:X91" si="82">J83*Z83</f>
        <v>0</v>
      </c>
      <c r="Y83" s="758">
        <f t="shared" ref="Y83:Y91" si="83">K83*Z83</f>
        <v>1.6008325625067776</v>
      </c>
      <c r="Z83" s="231">
        <v>1.3</v>
      </c>
      <c r="AA83" s="221"/>
      <c r="AB83" s="192" t="str">
        <f t="shared" si="78"/>
        <v>06 2</v>
      </c>
      <c r="AC83" s="225">
        <v>2</v>
      </c>
      <c r="AD83" s="226">
        <f t="shared" si="79"/>
        <v>5000</v>
      </c>
      <c r="AE83" s="227">
        <f t="shared" si="80"/>
        <v>0</v>
      </c>
      <c r="AF83" s="227">
        <f t="shared" si="80"/>
        <v>1.6008325625067776</v>
      </c>
      <c r="AN83" s="225">
        <v>2</v>
      </c>
      <c r="AO83" s="226">
        <v>5000</v>
      </c>
      <c r="AP83" s="227">
        <v>0</v>
      </c>
      <c r="AQ83" s="228">
        <v>5.0049000000000001</v>
      </c>
      <c r="AS83" s="192" t="str">
        <f>CONCATENATE(AS78," ",AT83)</f>
        <v>06 2</v>
      </c>
      <c r="AT83" s="225">
        <v>2</v>
      </c>
      <c r="AU83" s="226">
        <v>5000</v>
      </c>
      <c r="AV83" s="227">
        <v>0</v>
      </c>
      <c r="AW83" s="228">
        <f t="shared" ref="AW83:AW85" si="84">AQ83*$AW$1</f>
        <v>4.5885506955457256</v>
      </c>
    </row>
    <row r="84" spans="2:49">
      <c r="B84" s="225">
        <v>3</v>
      </c>
      <c r="C84" s="226">
        <v>20000</v>
      </c>
      <c r="D84" s="227">
        <v>0</v>
      </c>
      <c r="E84" s="228">
        <v>1.0325343999999999</v>
      </c>
      <c r="G84" s="192" t="str">
        <f>CONCATENATE(G78," ",H84)</f>
        <v>06 3</v>
      </c>
      <c r="H84" s="225">
        <v>3</v>
      </c>
      <c r="I84" s="226">
        <v>20000</v>
      </c>
      <c r="J84" s="227">
        <v>0</v>
      </c>
      <c r="K84" s="228">
        <f t="shared" si="81"/>
        <v>0.94663958106952939</v>
      </c>
      <c r="L84" s="221"/>
      <c r="M84" s="221"/>
      <c r="N84" s="192" t="str">
        <f t="shared" si="75"/>
        <v>06 3</v>
      </c>
      <c r="O84" s="225">
        <v>3</v>
      </c>
      <c r="P84" s="226">
        <f t="shared" ref="P84:P90" si="85">I84</f>
        <v>20000</v>
      </c>
      <c r="Q84" s="227">
        <v>0</v>
      </c>
      <c r="R84" s="229">
        <f t="shared" si="76"/>
        <v>0</v>
      </c>
      <c r="S84" s="221"/>
      <c r="T84" s="221"/>
      <c r="U84" s="192" t="str">
        <f t="shared" si="77"/>
        <v>06 3</v>
      </c>
      <c r="V84" s="225">
        <v>3</v>
      </c>
      <c r="W84" s="226">
        <f t="shared" ref="W84:W90" si="86">P84</f>
        <v>20000</v>
      </c>
      <c r="X84" s="227">
        <f t="shared" si="82"/>
        <v>0</v>
      </c>
      <c r="Y84" s="758">
        <f t="shared" si="83"/>
        <v>1.2306314553903883</v>
      </c>
      <c r="Z84" s="231">
        <v>1.3</v>
      </c>
      <c r="AA84" s="221"/>
      <c r="AB84" s="192" t="str">
        <f t="shared" si="78"/>
        <v>06 3</v>
      </c>
      <c r="AC84" s="225">
        <v>3</v>
      </c>
      <c r="AD84" s="226">
        <f t="shared" si="79"/>
        <v>20000</v>
      </c>
      <c r="AE84" s="227">
        <f t="shared" si="80"/>
        <v>0</v>
      </c>
      <c r="AF84" s="227">
        <f t="shared" si="80"/>
        <v>1.2306314553903883</v>
      </c>
      <c r="AN84" s="225">
        <v>3</v>
      </c>
      <c r="AO84" s="226">
        <v>20000</v>
      </c>
      <c r="AP84" s="227">
        <v>0</v>
      </c>
      <c r="AQ84" s="228">
        <v>4.6139999999999999</v>
      </c>
      <c r="AS84" s="192" t="str">
        <f>CONCATENATE(AS78," ",AT84)</f>
        <v>06 3</v>
      </c>
      <c r="AT84" s="225">
        <v>3</v>
      </c>
      <c r="AU84" s="226">
        <v>20000</v>
      </c>
      <c r="AV84" s="227">
        <v>0</v>
      </c>
      <c r="AW84" s="228">
        <f t="shared" si="84"/>
        <v>4.230169016213706</v>
      </c>
    </row>
    <row r="85" spans="2:49">
      <c r="B85" s="225">
        <v>4</v>
      </c>
      <c r="C85" s="226">
        <v>70000</v>
      </c>
      <c r="D85" s="227">
        <v>0</v>
      </c>
      <c r="E85" s="228">
        <v>0.63507548000000025</v>
      </c>
      <c r="G85" s="192" t="str">
        <f>CONCATENATE(G78," ",H85)</f>
        <v>06 4</v>
      </c>
      <c r="H85" s="225">
        <v>4</v>
      </c>
      <c r="I85" s="226">
        <v>70000</v>
      </c>
      <c r="J85" s="227">
        <v>0</v>
      </c>
      <c r="K85" s="228">
        <f t="shared" si="81"/>
        <v>0.58224460738037453</v>
      </c>
      <c r="L85" s="221"/>
      <c r="M85" s="221"/>
      <c r="N85" s="192" t="str">
        <f t="shared" si="75"/>
        <v>06 4</v>
      </c>
      <c r="O85" s="225">
        <v>4</v>
      </c>
      <c r="P85" s="226">
        <f t="shared" si="85"/>
        <v>70000</v>
      </c>
      <c r="Q85" s="227">
        <f t="shared" ref="Q85:R91" si="87">J85*$R$1</f>
        <v>0</v>
      </c>
      <c r="R85" s="229">
        <f t="shared" si="76"/>
        <v>0</v>
      </c>
      <c r="S85" s="221"/>
      <c r="T85" s="221"/>
      <c r="U85" s="192" t="str">
        <f t="shared" si="77"/>
        <v>06 4</v>
      </c>
      <c r="V85" s="225">
        <v>4</v>
      </c>
      <c r="W85" s="226">
        <f t="shared" si="86"/>
        <v>70000</v>
      </c>
      <c r="X85" s="227">
        <f t="shared" si="82"/>
        <v>0</v>
      </c>
      <c r="Y85" s="758">
        <f t="shared" si="83"/>
        <v>0.75691798959448697</v>
      </c>
      <c r="Z85" s="231">
        <v>1.3</v>
      </c>
      <c r="AA85" s="221"/>
      <c r="AB85" s="192" t="str">
        <f t="shared" si="78"/>
        <v>06 4</v>
      </c>
      <c r="AC85" s="225">
        <v>4</v>
      </c>
      <c r="AD85" s="226">
        <f t="shared" si="79"/>
        <v>70000</v>
      </c>
      <c r="AE85" s="227">
        <f t="shared" ref="AE85:AE91" si="88">J85+Q85</f>
        <v>0</v>
      </c>
      <c r="AF85" s="227">
        <f t="shared" si="80"/>
        <v>0.75691798959448697</v>
      </c>
      <c r="AN85" s="225">
        <v>4</v>
      </c>
      <c r="AO85" s="226">
        <v>70000</v>
      </c>
      <c r="AP85" s="227">
        <v>0</v>
      </c>
      <c r="AQ85" s="228">
        <v>4.1138000000000003</v>
      </c>
      <c r="AS85" s="192" t="str">
        <f>CONCATENATE(AS78," ",AT85)</f>
        <v>06 4</v>
      </c>
      <c r="AT85" s="225">
        <v>4</v>
      </c>
      <c r="AU85" s="226">
        <v>70000</v>
      </c>
      <c r="AV85" s="227">
        <v>0</v>
      </c>
      <c r="AW85" s="228">
        <f t="shared" si="84"/>
        <v>3.7715798220416006</v>
      </c>
    </row>
    <row r="86" spans="2:49">
      <c r="B86" s="225">
        <v>5</v>
      </c>
      <c r="C86" s="226">
        <v>120000</v>
      </c>
      <c r="D86" s="227">
        <v>0</v>
      </c>
      <c r="E86" s="228">
        <v>0.47822143999999955</v>
      </c>
      <c r="G86" s="192" t="str">
        <f>CONCATENATE(G78," ",H86)</f>
        <v>06 5</v>
      </c>
      <c r="H86" s="225">
        <v>5</v>
      </c>
      <c r="I86" s="226">
        <v>120000</v>
      </c>
      <c r="J86" s="227">
        <v>0</v>
      </c>
      <c r="K86" s="228">
        <f t="shared" si="81"/>
        <v>0.43843899401324227</v>
      </c>
      <c r="L86" s="221"/>
      <c r="M86" s="221"/>
      <c r="N86" s="192" t="str">
        <f t="shared" si="75"/>
        <v>06 5</v>
      </c>
      <c r="O86" s="225">
        <v>5</v>
      </c>
      <c r="P86" s="226">
        <f t="shared" si="85"/>
        <v>120000</v>
      </c>
      <c r="Q86" s="227">
        <f t="shared" si="87"/>
        <v>0</v>
      </c>
      <c r="R86" s="229">
        <f t="shared" si="76"/>
        <v>0</v>
      </c>
      <c r="S86" s="221"/>
      <c r="T86" s="221"/>
      <c r="U86" s="192" t="str">
        <f t="shared" si="77"/>
        <v>06 5</v>
      </c>
      <c r="V86" s="225">
        <v>5</v>
      </c>
      <c r="W86" s="226">
        <f t="shared" si="86"/>
        <v>120000</v>
      </c>
      <c r="X86" s="227">
        <f t="shared" si="82"/>
        <v>0</v>
      </c>
      <c r="Y86" s="758">
        <f t="shared" si="83"/>
        <v>0.56997069221721497</v>
      </c>
      <c r="Z86" s="231">
        <v>1.3</v>
      </c>
      <c r="AA86" s="221"/>
      <c r="AB86" s="192" t="str">
        <f t="shared" si="78"/>
        <v>06 5</v>
      </c>
      <c r="AC86" s="225">
        <v>5</v>
      </c>
      <c r="AD86" s="226">
        <f t="shared" si="79"/>
        <v>120000</v>
      </c>
      <c r="AE86" s="227">
        <f t="shared" si="88"/>
        <v>0</v>
      </c>
      <c r="AF86" s="227">
        <f t="shared" si="80"/>
        <v>0.56997069221721497</v>
      </c>
      <c r="AN86" s="225">
        <v>5</v>
      </c>
      <c r="AO86" s="226">
        <v>120000</v>
      </c>
      <c r="AP86" s="227">
        <v>0</v>
      </c>
      <c r="AQ86" s="228">
        <v>3.9163999999999999</v>
      </c>
      <c r="AS86" s="192" t="str">
        <f>CONCATENATE(AS78," ",AT86)</f>
        <v>06 5</v>
      </c>
      <c r="AT86" s="225">
        <v>5</v>
      </c>
      <c r="AU86" s="226">
        <v>120000</v>
      </c>
      <c r="AV86" s="227">
        <v>0</v>
      </c>
      <c r="AW86" s="228">
        <f t="shared" ref="AW86:AW91" si="89">AQ86*$K$1</f>
        <v>3.5906011996314167</v>
      </c>
    </row>
    <row r="87" spans="2:49">
      <c r="B87" s="225">
        <v>6</v>
      </c>
      <c r="C87" s="226">
        <v>300000</v>
      </c>
      <c r="D87" s="227">
        <v>0</v>
      </c>
      <c r="E87" s="228">
        <v>0.46654081999999963</v>
      </c>
      <c r="G87" s="192" t="str">
        <f>CONCATENATE(G78," ",H87)</f>
        <v>06 6</v>
      </c>
      <c r="H87" s="225">
        <v>6</v>
      </c>
      <c r="I87" s="226">
        <v>300000</v>
      </c>
      <c r="J87" s="227">
        <v>0</v>
      </c>
      <c r="K87" s="228">
        <f t="shared" si="81"/>
        <v>0.42773006535824321</v>
      </c>
      <c r="L87" s="221"/>
      <c r="M87" s="221"/>
      <c r="N87" s="192" t="str">
        <f t="shared" si="75"/>
        <v>06 6</v>
      </c>
      <c r="O87" s="225">
        <v>6</v>
      </c>
      <c r="P87" s="226">
        <f t="shared" si="85"/>
        <v>300000</v>
      </c>
      <c r="Q87" s="227">
        <f t="shared" si="87"/>
        <v>0</v>
      </c>
      <c r="R87" s="229">
        <f t="shared" si="76"/>
        <v>0</v>
      </c>
      <c r="S87" s="221"/>
      <c r="T87" s="221"/>
      <c r="U87" s="192" t="str">
        <f t="shared" si="77"/>
        <v>06 6</v>
      </c>
      <c r="V87" s="225">
        <v>6</v>
      </c>
      <c r="W87" s="226">
        <f t="shared" si="86"/>
        <v>300000</v>
      </c>
      <c r="X87" s="227">
        <f t="shared" si="82"/>
        <v>0</v>
      </c>
      <c r="Y87" s="758">
        <f t="shared" si="83"/>
        <v>0.55604908496571614</v>
      </c>
      <c r="Z87" s="231">
        <v>1.3</v>
      </c>
      <c r="AA87" s="221"/>
      <c r="AB87" s="192" t="str">
        <f t="shared" si="78"/>
        <v>06 6</v>
      </c>
      <c r="AC87" s="225">
        <v>6</v>
      </c>
      <c r="AD87" s="226">
        <f t="shared" si="79"/>
        <v>300000</v>
      </c>
      <c r="AE87" s="227">
        <f t="shared" si="88"/>
        <v>0</v>
      </c>
      <c r="AF87" s="227">
        <f t="shared" si="80"/>
        <v>0.55604908496571614</v>
      </c>
      <c r="AN87" s="225">
        <v>6</v>
      </c>
      <c r="AO87" s="226">
        <v>300000</v>
      </c>
      <c r="AP87" s="227">
        <v>0</v>
      </c>
      <c r="AQ87" s="228">
        <v>3.9016999999999999</v>
      </c>
      <c r="AS87" s="192" t="str">
        <f>CONCATENATE(AS78," ",AT87)</f>
        <v>06 6</v>
      </c>
      <c r="AT87" s="225">
        <v>6</v>
      </c>
      <c r="AU87" s="226">
        <v>300000</v>
      </c>
      <c r="AV87" s="227">
        <v>0</v>
      </c>
      <c r="AW87" s="228">
        <f t="shared" si="89"/>
        <v>3.5771240681753396</v>
      </c>
    </row>
    <row r="88" spans="2:49">
      <c r="B88" s="225">
        <v>7</v>
      </c>
      <c r="C88" s="226">
        <v>600000</v>
      </c>
      <c r="D88" s="227">
        <v>0</v>
      </c>
      <c r="E88" s="228">
        <v>0.4167988600000001</v>
      </c>
      <c r="G88" s="192" t="str">
        <f>CONCATENATE(G78," ",H88)</f>
        <v>06 7</v>
      </c>
      <c r="H88" s="225">
        <v>7</v>
      </c>
      <c r="I88" s="226">
        <v>600000</v>
      </c>
      <c r="J88" s="227">
        <v>0</v>
      </c>
      <c r="K88" s="228">
        <f t="shared" si="81"/>
        <v>0.38212605625600227</v>
      </c>
      <c r="L88" s="221"/>
      <c r="M88" s="221"/>
      <c r="N88" s="192" t="str">
        <f t="shared" si="75"/>
        <v>06 7</v>
      </c>
      <c r="O88" s="225">
        <v>7</v>
      </c>
      <c r="P88" s="226">
        <f t="shared" si="85"/>
        <v>600000</v>
      </c>
      <c r="Q88" s="227">
        <f t="shared" si="87"/>
        <v>0</v>
      </c>
      <c r="R88" s="229">
        <f t="shared" si="76"/>
        <v>0</v>
      </c>
      <c r="S88" s="221"/>
      <c r="T88" s="221"/>
      <c r="U88" s="192" t="str">
        <f t="shared" si="77"/>
        <v>06 7</v>
      </c>
      <c r="V88" s="225">
        <v>7</v>
      </c>
      <c r="W88" s="226">
        <f t="shared" si="86"/>
        <v>600000</v>
      </c>
      <c r="X88" s="227">
        <f t="shared" si="82"/>
        <v>0</v>
      </c>
      <c r="Y88" s="758">
        <f t="shared" si="83"/>
        <v>0.49676387313280296</v>
      </c>
      <c r="Z88" s="231">
        <v>1.3</v>
      </c>
      <c r="AA88" s="221"/>
      <c r="AB88" s="192" t="str">
        <f t="shared" si="78"/>
        <v>06 7</v>
      </c>
      <c r="AC88" s="225">
        <v>7</v>
      </c>
      <c r="AD88" s="226">
        <f t="shared" si="79"/>
        <v>600000</v>
      </c>
      <c r="AE88" s="227">
        <f t="shared" si="88"/>
        <v>0</v>
      </c>
      <c r="AF88" s="227">
        <f t="shared" si="80"/>
        <v>0.49676387313280296</v>
      </c>
      <c r="AN88" s="225">
        <v>7</v>
      </c>
      <c r="AO88" s="226">
        <v>600000</v>
      </c>
      <c r="AP88" s="227">
        <v>0</v>
      </c>
      <c r="AQ88" s="228">
        <v>3.8391000000000002</v>
      </c>
      <c r="AS88" s="192" t="str">
        <f>CONCATENATE(AS78," ",AT88)</f>
        <v>06 7</v>
      </c>
      <c r="AT88" s="225">
        <v>7</v>
      </c>
      <c r="AU88" s="226">
        <v>600000</v>
      </c>
      <c r="AV88" s="227">
        <v>0</v>
      </c>
      <c r="AW88" s="228">
        <f t="shared" si="89"/>
        <v>3.5197316580290505</v>
      </c>
    </row>
    <row r="89" spans="2:49">
      <c r="B89" s="225">
        <v>8</v>
      </c>
      <c r="C89" s="226">
        <v>1500000</v>
      </c>
      <c r="D89" s="227">
        <v>0</v>
      </c>
      <c r="E89" s="228">
        <v>0.40940908000000009</v>
      </c>
      <c r="G89" s="192" t="str">
        <f>CONCATENATE(G78," ",H89)</f>
        <v>06 8</v>
      </c>
      <c r="H89" s="225">
        <v>8</v>
      </c>
      <c r="I89" s="226">
        <v>1500000</v>
      </c>
      <c r="J89" s="227">
        <v>0</v>
      </c>
      <c r="K89" s="228">
        <f t="shared" si="81"/>
        <v>0.37535101975998242</v>
      </c>
      <c r="L89" s="221"/>
      <c r="M89" s="221"/>
      <c r="N89" s="192" t="str">
        <f t="shared" si="75"/>
        <v>06 8</v>
      </c>
      <c r="O89" s="225">
        <v>8</v>
      </c>
      <c r="P89" s="226">
        <f t="shared" si="85"/>
        <v>1500000</v>
      </c>
      <c r="Q89" s="227">
        <f t="shared" si="87"/>
        <v>0</v>
      </c>
      <c r="R89" s="229">
        <f t="shared" si="76"/>
        <v>0</v>
      </c>
      <c r="S89" s="221"/>
      <c r="T89" s="221"/>
      <c r="U89" s="192" t="str">
        <f t="shared" si="77"/>
        <v>06 8</v>
      </c>
      <c r="V89" s="225">
        <v>8</v>
      </c>
      <c r="W89" s="226">
        <f t="shared" si="86"/>
        <v>1500000</v>
      </c>
      <c r="X89" s="227">
        <f t="shared" si="82"/>
        <v>0</v>
      </c>
      <c r="Y89" s="758">
        <f t="shared" si="83"/>
        <v>0.48795632568797714</v>
      </c>
      <c r="Z89" s="231">
        <v>1.3</v>
      </c>
      <c r="AA89" s="221"/>
      <c r="AB89" s="192" t="str">
        <f t="shared" si="78"/>
        <v>06 8</v>
      </c>
      <c r="AC89" s="225">
        <v>8</v>
      </c>
      <c r="AD89" s="226">
        <f t="shared" si="79"/>
        <v>1500000</v>
      </c>
      <c r="AE89" s="227">
        <f t="shared" si="88"/>
        <v>0</v>
      </c>
      <c r="AF89" s="227">
        <f t="shared" si="80"/>
        <v>0.48795632568797714</v>
      </c>
      <c r="AN89" s="225">
        <v>8</v>
      </c>
      <c r="AO89" s="226">
        <v>1500000</v>
      </c>
      <c r="AP89" s="227">
        <v>0</v>
      </c>
      <c r="AQ89" s="228">
        <v>3.8298000000000001</v>
      </c>
      <c r="AS89" s="192" t="str">
        <f>CONCATENATE(AS78," ",AT89)</f>
        <v>06 8</v>
      </c>
      <c r="AT89" s="225">
        <v>8</v>
      </c>
      <c r="AU89" s="226">
        <v>1500000</v>
      </c>
      <c r="AV89" s="227">
        <v>0</v>
      </c>
      <c r="AW89" s="228">
        <f t="shared" si="89"/>
        <v>3.5112053095568383</v>
      </c>
    </row>
    <row r="90" spans="2:49">
      <c r="B90" s="225">
        <v>9</v>
      </c>
      <c r="C90" s="226">
        <v>999999999</v>
      </c>
      <c r="D90" s="227">
        <v>0</v>
      </c>
      <c r="E90" s="228">
        <v>0.38811379999999973</v>
      </c>
      <c r="G90" s="192" t="str">
        <f>CONCATENATE(G78," ",H90)</f>
        <v>06 9</v>
      </c>
      <c r="H90" s="225">
        <v>9</v>
      </c>
      <c r="I90" s="226">
        <v>999999999</v>
      </c>
      <c r="J90" s="227">
        <v>0</v>
      </c>
      <c r="K90" s="228">
        <f t="shared" si="81"/>
        <v>0.35582725867467746</v>
      </c>
      <c r="L90" s="221"/>
      <c r="M90" s="221"/>
      <c r="N90" s="192" t="str">
        <f t="shared" si="75"/>
        <v>06 9</v>
      </c>
      <c r="O90" s="225">
        <v>9</v>
      </c>
      <c r="P90" s="226">
        <f t="shared" si="85"/>
        <v>999999999</v>
      </c>
      <c r="Q90" s="227">
        <f t="shared" si="87"/>
        <v>0</v>
      </c>
      <c r="R90" s="229">
        <f t="shared" si="87"/>
        <v>0</v>
      </c>
      <c r="S90" s="221"/>
      <c r="T90" s="221"/>
      <c r="U90" s="192" t="str">
        <f t="shared" si="77"/>
        <v>06 9</v>
      </c>
      <c r="V90" s="225">
        <v>9</v>
      </c>
      <c r="W90" s="226">
        <f t="shared" si="86"/>
        <v>999999999</v>
      </c>
      <c r="X90" s="227">
        <f t="shared" si="82"/>
        <v>0</v>
      </c>
      <c r="Y90" s="758">
        <f t="shared" si="83"/>
        <v>0.4625754362770807</v>
      </c>
      <c r="Z90" s="231">
        <v>1.3</v>
      </c>
      <c r="AA90" s="221"/>
      <c r="AB90" s="192" t="str">
        <f t="shared" si="78"/>
        <v>06 9</v>
      </c>
      <c r="AC90" s="225">
        <v>9</v>
      </c>
      <c r="AD90" s="226">
        <f t="shared" si="79"/>
        <v>999999999</v>
      </c>
      <c r="AE90" s="227">
        <f t="shared" si="88"/>
        <v>0</v>
      </c>
      <c r="AF90" s="227">
        <f t="shared" si="80"/>
        <v>0.4625754362770807</v>
      </c>
      <c r="AN90" s="225">
        <v>9</v>
      </c>
      <c r="AO90" s="226">
        <v>999999999</v>
      </c>
      <c r="AP90" s="227">
        <v>0</v>
      </c>
      <c r="AQ90" s="228">
        <v>3.8029999999999999</v>
      </c>
      <c r="AS90" s="192" t="str">
        <f>CONCATENATE(AS78," ",AT90)</f>
        <v>06 9</v>
      </c>
      <c r="AT90" s="225">
        <v>9</v>
      </c>
      <c r="AU90" s="226">
        <v>999999999</v>
      </c>
      <c r="AV90" s="227">
        <v>0</v>
      </c>
      <c r="AW90" s="228">
        <f t="shared" si="89"/>
        <v>3.4866347569702478</v>
      </c>
    </row>
    <row r="91" spans="2:49">
      <c r="B91" s="225">
        <v>10</v>
      </c>
      <c r="C91" s="226"/>
      <c r="D91" s="227">
        <v>0</v>
      </c>
      <c r="E91" s="228">
        <v>0</v>
      </c>
      <c r="G91" s="192" t="str">
        <f>CONCATENATE(G78," ",H91)</f>
        <v>06 10</v>
      </c>
      <c r="H91" s="225">
        <v>10</v>
      </c>
      <c r="I91" s="226"/>
      <c r="J91" s="227">
        <v>0</v>
      </c>
      <c r="K91" s="228">
        <f t="shared" si="81"/>
        <v>0</v>
      </c>
      <c r="L91" s="221"/>
      <c r="M91" s="221"/>
      <c r="N91" s="192" t="str">
        <f t="shared" si="75"/>
        <v>06 10</v>
      </c>
      <c r="O91" s="225">
        <v>10</v>
      </c>
      <c r="P91" s="226"/>
      <c r="Q91" s="227">
        <f t="shared" si="87"/>
        <v>0</v>
      </c>
      <c r="R91" s="229">
        <f t="shared" si="87"/>
        <v>0</v>
      </c>
      <c r="S91" s="221"/>
      <c r="T91" s="221"/>
      <c r="U91" s="192" t="str">
        <f t="shared" si="77"/>
        <v>06 10</v>
      </c>
      <c r="V91" s="225">
        <v>10</v>
      </c>
      <c r="W91" s="226"/>
      <c r="X91" s="227">
        <f t="shared" si="82"/>
        <v>0</v>
      </c>
      <c r="Y91" s="758">
        <f t="shared" si="83"/>
        <v>0</v>
      </c>
      <c r="Z91" s="231">
        <v>1.3</v>
      </c>
      <c r="AA91" s="221"/>
      <c r="AB91" s="192" t="str">
        <f t="shared" si="78"/>
        <v>06 10</v>
      </c>
      <c r="AC91" s="225">
        <v>10</v>
      </c>
      <c r="AD91" s="226">
        <f t="shared" si="79"/>
        <v>0</v>
      </c>
      <c r="AE91" s="227">
        <f t="shared" si="88"/>
        <v>0</v>
      </c>
      <c r="AF91" s="227">
        <f t="shared" si="80"/>
        <v>0</v>
      </c>
      <c r="AN91" s="225">
        <v>10</v>
      </c>
      <c r="AO91" s="226"/>
      <c r="AP91" s="227">
        <v>0</v>
      </c>
      <c r="AQ91" s="228">
        <v>0</v>
      </c>
      <c r="AS91" s="192" t="str">
        <f>CONCATENATE(AS78," ",AT91)</f>
        <v>06 10</v>
      </c>
      <c r="AT91" s="225">
        <v>10</v>
      </c>
      <c r="AU91" s="226"/>
      <c r="AV91" s="227">
        <v>0</v>
      </c>
      <c r="AW91" s="228">
        <f t="shared" si="89"/>
        <v>0</v>
      </c>
    </row>
    <row r="92" spans="2:49">
      <c r="B92" s="232"/>
      <c r="C92" s="233"/>
      <c r="D92" s="234"/>
      <c r="E92" s="235"/>
      <c r="G92" s="222"/>
      <c r="H92" s="232"/>
      <c r="I92" s="233"/>
      <c r="J92" s="234"/>
      <c r="K92" s="235"/>
      <c r="L92" s="221"/>
      <c r="M92" s="221"/>
      <c r="N92" s="222"/>
      <c r="O92" s="232"/>
      <c r="P92" s="233"/>
      <c r="Q92" s="234"/>
      <c r="R92" s="235"/>
      <c r="S92" s="221"/>
      <c r="T92" s="221"/>
      <c r="U92" s="222"/>
      <c r="V92" s="232"/>
      <c r="W92" s="233"/>
      <c r="X92" s="234"/>
      <c r="Y92" s="759"/>
      <c r="Z92" s="221"/>
      <c r="AA92" s="221"/>
      <c r="AB92" s="222"/>
      <c r="AC92" s="232"/>
      <c r="AD92" s="233"/>
      <c r="AE92" s="234"/>
      <c r="AF92" s="235"/>
      <c r="AN92" s="232"/>
      <c r="AO92" s="233"/>
      <c r="AP92" s="234"/>
      <c r="AQ92" s="235"/>
      <c r="AS92" s="222"/>
      <c r="AT92" s="232"/>
      <c r="AU92" s="233"/>
      <c r="AV92" s="234"/>
      <c r="AW92" s="235"/>
    </row>
    <row r="93" spans="2:49">
      <c r="B93" s="836" t="s">
        <v>19</v>
      </c>
      <c r="C93" s="837"/>
      <c r="D93" s="219"/>
      <c r="E93" s="220"/>
      <c r="G93" s="218" t="s">
        <v>575</v>
      </c>
      <c r="H93" s="836" t="s">
        <v>19</v>
      </c>
      <c r="I93" s="837"/>
      <c r="J93" s="219"/>
      <c r="K93" s="220"/>
      <c r="L93" s="240"/>
      <c r="M93" s="240"/>
      <c r="N93" s="218" t="str">
        <f>G93</f>
        <v>07</v>
      </c>
      <c r="O93" s="836" t="str">
        <f>H93</f>
        <v>GNV</v>
      </c>
      <c r="P93" s="837"/>
      <c r="Q93" s="219"/>
      <c r="R93" s="220"/>
      <c r="S93" s="240"/>
      <c r="T93" s="240"/>
      <c r="U93" s="218" t="str">
        <f>N93</f>
        <v>07</v>
      </c>
      <c r="V93" s="836" t="str">
        <f>O93</f>
        <v>GNV</v>
      </c>
      <c r="W93" s="837"/>
      <c r="X93" s="219"/>
      <c r="Y93" s="220"/>
      <c r="Z93" s="240"/>
      <c r="AA93" s="240"/>
      <c r="AB93" s="218" t="str">
        <f>U93</f>
        <v>07</v>
      </c>
      <c r="AC93" s="836" t="str">
        <f>O93</f>
        <v>GNV</v>
      </c>
      <c r="AD93" s="837"/>
      <c r="AE93" s="219"/>
      <c r="AF93" s="220"/>
      <c r="AN93" s="836" t="s">
        <v>19</v>
      </c>
      <c r="AO93" s="837"/>
      <c r="AP93" s="219"/>
      <c r="AQ93" s="220"/>
      <c r="AS93" s="218" t="s">
        <v>575</v>
      </c>
      <c r="AT93" s="282" t="s">
        <v>19</v>
      </c>
      <c r="AU93" s="283"/>
      <c r="AV93" s="219"/>
      <c r="AW93" s="220"/>
    </row>
    <row r="94" spans="2:49">
      <c r="B94" s="838" t="s">
        <v>4898</v>
      </c>
      <c r="C94" s="838"/>
      <c r="D94" s="219"/>
      <c r="E94" s="220"/>
      <c r="G94" s="222"/>
      <c r="H94" s="838"/>
      <c r="I94" s="838"/>
      <c r="J94" s="219"/>
      <c r="K94" s="220"/>
      <c r="L94" s="240"/>
      <c r="M94" s="240"/>
      <c r="N94" s="222"/>
      <c r="O94" s="838" t="s">
        <v>4898</v>
      </c>
      <c r="P94" s="838"/>
      <c r="Q94" s="219"/>
      <c r="R94" s="220"/>
      <c r="S94" s="240"/>
      <c r="T94" s="240"/>
      <c r="U94" s="222"/>
      <c r="V94" s="838" t="s">
        <v>4898</v>
      </c>
      <c r="W94" s="838"/>
      <c r="X94" s="219"/>
      <c r="Y94" s="220"/>
      <c r="Z94" s="240"/>
      <c r="AA94" s="240"/>
      <c r="AB94" s="222"/>
      <c r="AC94" s="838" t="s">
        <v>4898</v>
      </c>
      <c r="AD94" s="838"/>
      <c r="AE94" s="219"/>
      <c r="AF94" s="220"/>
      <c r="AN94" s="838" t="s">
        <v>4898</v>
      </c>
      <c r="AO94" s="838"/>
      <c r="AP94" s="219"/>
      <c r="AQ94" s="220"/>
      <c r="AS94" s="222"/>
      <c r="AT94" s="284" t="s">
        <v>4913</v>
      </c>
      <c r="AU94" s="284"/>
      <c r="AV94" s="219"/>
      <c r="AW94" s="220"/>
    </row>
    <row r="95" spans="2:49">
      <c r="B95" s="835" t="s">
        <v>4899</v>
      </c>
      <c r="C95" s="835" t="s">
        <v>4900</v>
      </c>
      <c r="D95" s="224" t="s">
        <v>4901</v>
      </c>
      <c r="E95" s="224"/>
      <c r="G95" s="222"/>
      <c r="H95" s="835" t="s">
        <v>4899</v>
      </c>
      <c r="I95" s="835" t="s">
        <v>4900</v>
      </c>
      <c r="J95" s="224" t="s">
        <v>4901</v>
      </c>
      <c r="K95" s="224"/>
      <c r="L95" s="240"/>
      <c r="M95" s="240"/>
      <c r="N95" s="222"/>
      <c r="O95" s="835" t="s">
        <v>4899</v>
      </c>
      <c r="P95" s="835" t="s">
        <v>4900</v>
      </c>
      <c r="Q95" s="224" t="s">
        <v>4901</v>
      </c>
      <c r="R95" s="224"/>
      <c r="S95" s="240"/>
      <c r="T95" s="240"/>
      <c r="U95" s="222"/>
      <c r="V95" s="835" t="s">
        <v>4899</v>
      </c>
      <c r="W95" s="835" t="s">
        <v>4900</v>
      </c>
      <c r="X95" s="224" t="s">
        <v>4901</v>
      </c>
      <c r="Y95" s="224"/>
      <c r="Z95" s="240"/>
      <c r="AA95" s="240"/>
      <c r="AB95" s="222"/>
      <c r="AC95" s="835" t="s">
        <v>4899</v>
      </c>
      <c r="AD95" s="835" t="s">
        <v>4900</v>
      </c>
      <c r="AE95" s="841" t="s">
        <v>4901</v>
      </c>
      <c r="AF95" s="841"/>
      <c r="AN95" s="835" t="s">
        <v>4899</v>
      </c>
      <c r="AO95" s="835" t="s">
        <v>4900</v>
      </c>
      <c r="AP95" s="224" t="s">
        <v>4901</v>
      </c>
      <c r="AQ95" s="224"/>
      <c r="AS95" s="222"/>
      <c r="AT95" s="285" t="s">
        <v>4899</v>
      </c>
      <c r="AU95" s="285" t="s">
        <v>4900</v>
      </c>
      <c r="AV95" s="224" t="s">
        <v>4901</v>
      </c>
      <c r="AW95" s="224"/>
    </row>
    <row r="96" spans="2:49">
      <c r="B96" s="835"/>
      <c r="C96" s="835"/>
      <c r="D96" s="223" t="s">
        <v>4902</v>
      </c>
      <c r="E96" s="223" t="s">
        <v>4903</v>
      </c>
      <c r="G96" s="222"/>
      <c r="H96" s="835"/>
      <c r="I96" s="835"/>
      <c r="J96" s="223" t="s">
        <v>4902</v>
      </c>
      <c r="K96" s="223" t="s">
        <v>4903</v>
      </c>
      <c r="L96" s="240"/>
      <c r="M96" s="240"/>
      <c r="N96" s="222"/>
      <c r="O96" s="835"/>
      <c r="P96" s="835"/>
      <c r="Q96" s="223" t="s">
        <v>4902</v>
      </c>
      <c r="R96" s="223" t="s">
        <v>4903</v>
      </c>
      <c r="S96" s="240"/>
      <c r="T96" s="240"/>
      <c r="U96" s="222"/>
      <c r="V96" s="835"/>
      <c r="W96" s="835"/>
      <c r="X96" s="223" t="s">
        <v>4902</v>
      </c>
      <c r="Y96" s="223" t="s">
        <v>4903</v>
      </c>
      <c r="Z96" s="240"/>
      <c r="AA96" s="240"/>
      <c r="AB96" s="222"/>
      <c r="AC96" s="835"/>
      <c r="AD96" s="835"/>
      <c r="AE96" s="223" t="s">
        <v>4902</v>
      </c>
      <c r="AF96" s="223" t="s">
        <v>4903</v>
      </c>
      <c r="AN96" s="835"/>
      <c r="AO96" s="835"/>
      <c r="AP96" s="223" t="s">
        <v>4902</v>
      </c>
      <c r="AQ96" s="223" t="s">
        <v>4903</v>
      </c>
      <c r="AS96" s="222"/>
      <c r="AT96" s="285"/>
      <c r="AU96" s="285"/>
      <c r="AV96" s="223" t="s">
        <v>4902</v>
      </c>
      <c r="AW96" s="223" t="s">
        <v>4903</v>
      </c>
    </row>
    <row r="97" spans="2:49">
      <c r="B97" s="225">
        <v>1</v>
      </c>
      <c r="C97" s="226">
        <v>999999999</v>
      </c>
      <c r="D97" s="227">
        <v>0</v>
      </c>
      <c r="E97" s="228">
        <v>0.31207057999999988</v>
      </c>
      <c r="G97" s="192" t="str">
        <f>CONCATENATE(G93," ",H97)</f>
        <v>07 1</v>
      </c>
      <c r="H97" s="225">
        <v>1</v>
      </c>
      <c r="I97" s="226">
        <v>999999999</v>
      </c>
      <c r="J97" s="227">
        <v>0</v>
      </c>
      <c r="K97" s="228">
        <f>E97*$K$1</f>
        <v>0.2861099476349892</v>
      </c>
      <c r="L97" s="240"/>
      <c r="M97" s="240"/>
      <c r="N97" s="192" t="str">
        <f t="shared" ref="N97:N106" si="90">G97</f>
        <v>07 1</v>
      </c>
      <c r="O97" s="225">
        <v>1</v>
      </c>
      <c r="P97" s="226">
        <f>I97</f>
        <v>999999999</v>
      </c>
      <c r="Q97" s="227">
        <v>0</v>
      </c>
      <c r="R97" s="227">
        <f t="shared" ref="Q97:R106" si="91">K97*$R$1</f>
        <v>0</v>
      </c>
      <c r="S97" s="240"/>
      <c r="T97" s="240"/>
      <c r="U97" s="192" t="str">
        <f t="shared" ref="U97:U106" si="92">N97</f>
        <v>07 1</v>
      </c>
      <c r="V97" s="225">
        <v>1</v>
      </c>
      <c r="W97" s="226">
        <f>P97</f>
        <v>999999999</v>
      </c>
      <c r="X97" s="227">
        <f>J97*Z97</f>
        <v>0</v>
      </c>
      <c r="Y97" s="760">
        <f>K97*Z97</f>
        <v>0.371942931925486</v>
      </c>
      <c r="Z97" s="231">
        <v>1.3</v>
      </c>
      <c r="AA97" s="240"/>
      <c r="AB97" s="192" t="str">
        <f t="shared" ref="AB97:AB106" si="93">U97</f>
        <v>07 1</v>
      </c>
      <c r="AC97" s="225">
        <v>1</v>
      </c>
      <c r="AD97" s="226">
        <f t="shared" ref="AD97" si="94">P97</f>
        <v>999999999</v>
      </c>
      <c r="AE97" s="227">
        <f t="shared" ref="AE97" si="95">X97+Q97</f>
        <v>0</v>
      </c>
      <c r="AF97" s="227">
        <f>Y97+R97</f>
        <v>0.371942931925486</v>
      </c>
      <c r="AN97" s="225">
        <v>1</v>
      </c>
      <c r="AO97" s="226">
        <v>999999999</v>
      </c>
      <c r="AP97" s="227">
        <v>0</v>
      </c>
      <c r="AQ97" s="228">
        <v>3.7073</v>
      </c>
      <c r="AS97" s="192" t="str">
        <f>CONCATENATE(AS93," ",AT97)</f>
        <v>07 1</v>
      </c>
      <c r="AT97" s="225">
        <v>1</v>
      </c>
      <c r="AU97" s="226">
        <v>999999999</v>
      </c>
      <c r="AV97" s="227">
        <v>0</v>
      </c>
      <c r="AW97" s="228">
        <f>AQ97*$AW$1</f>
        <v>3.3988958807561924</v>
      </c>
    </row>
    <row r="98" spans="2:49">
      <c r="B98" s="225">
        <v>2</v>
      </c>
      <c r="C98" s="226"/>
      <c r="D98" s="227">
        <v>0</v>
      </c>
      <c r="E98" s="228">
        <v>0</v>
      </c>
      <c r="G98" s="192" t="str">
        <f>CONCATENATE(G93," ",H98)</f>
        <v>07 2</v>
      </c>
      <c r="H98" s="225">
        <v>2</v>
      </c>
      <c r="I98" s="226"/>
      <c r="J98" s="227">
        <v>0</v>
      </c>
      <c r="K98" s="228">
        <f t="shared" ref="K98:K106" si="96">E98*$K$1</f>
        <v>0</v>
      </c>
      <c r="L98" s="240"/>
      <c r="M98" s="240"/>
      <c r="N98" s="192" t="str">
        <f t="shared" si="90"/>
        <v>07 2</v>
      </c>
      <c r="O98" s="225">
        <v>2</v>
      </c>
      <c r="P98" s="226"/>
      <c r="Q98" s="227">
        <f t="shared" si="91"/>
        <v>0</v>
      </c>
      <c r="R98" s="227">
        <f t="shared" si="91"/>
        <v>0</v>
      </c>
      <c r="S98" s="240"/>
      <c r="T98" s="240"/>
      <c r="U98" s="192" t="str">
        <f t="shared" si="92"/>
        <v>07 2</v>
      </c>
      <c r="V98" s="225">
        <v>2</v>
      </c>
      <c r="W98" s="226"/>
      <c r="X98" s="227">
        <f t="shared" ref="X98:X106" si="97">J98*Z98</f>
        <v>0</v>
      </c>
      <c r="Y98" s="761">
        <f t="shared" ref="Y98:Y106" si="98">K98*Z98</f>
        <v>0</v>
      </c>
      <c r="Z98" s="231">
        <v>1.3</v>
      </c>
      <c r="AA98" s="240"/>
      <c r="AB98" s="192" t="str">
        <f t="shared" si="93"/>
        <v>07 2</v>
      </c>
      <c r="AC98" s="225">
        <v>2</v>
      </c>
      <c r="AD98" s="226"/>
      <c r="AE98" s="227">
        <f t="shared" ref="AE98:AE106" si="99">J98+Q98</f>
        <v>0</v>
      </c>
      <c r="AF98" s="227">
        <f t="shared" ref="AF98:AF106" si="100">Y98+R98</f>
        <v>0</v>
      </c>
      <c r="AN98" s="225">
        <v>2</v>
      </c>
      <c r="AO98" s="226"/>
      <c r="AP98" s="227">
        <v>0</v>
      </c>
      <c r="AQ98" s="228">
        <v>0</v>
      </c>
      <c r="AS98" s="192" t="str">
        <f>CONCATENATE(AS93," ",AT98)</f>
        <v>07 2</v>
      </c>
      <c r="AT98" s="225">
        <v>2</v>
      </c>
      <c r="AU98" s="226"/>
      <c r="AV98" s="227">
        <v>0</v>
      </c>
      <c r="AW98" s="228">
        <f t="shared" ref="AW98:AW100" si="101">AQ98*$AW$1</f>
        <v>0</v>
      </c>
    </row>
    <row r="99" spans="2:49">
      <c r="B99" s="225">
        <v>3</v>
      </c>
      <c r="C99" s="226"/>
      <c r="D99" s="227">
        <v>0</v>
      </c>
      <c r="E99" s="228">
        <v>0</v>
      </c>
      <c r="G99" s="192" t="str">
        <f>CONCATENATE(G93," ",H99)</f>
        <v>07 3</v>
      </c>
      <c r="H99" s="225">
        <v>3</v>
      </c>
      <c r="I99" s="226"/>
      <c r="J99" s="227">
        <v>0</v>
      </c>
      <c r="K99" s="228">
        <f t="shared" si="96"/>
        <v>0</v>
      </c>
      <c r="L99" s="240"/>
      <c r="M99" s="240"/>
      <c r="N99" s="192" t="str">
        <f t="shared" si="90"/>
        <v>07 3</v>
      </c>
      <c r="O99" s="225">
        <v>3</v>
      </c>
      <c r="P99" s="226"/>
      <c r="Q99" s="227">
        <f t="shared" si="91"/>
        <v>0</v>
      </c>
      <c r="R99" s="227">
        <f t="shared" si="91"/>
        <v>0</v>
      </c>
      <c r="S99" s="240"/>
      <c r="T99" s="240"/>
      <c r="U99" s="192" t="str">
        <f t="shared" si="92"/>
        <v>07 3</v>
      </c>
      <c r="V99" s="225">
        <v>3</v>
      </c>
      <c r="W99" s="226"/>
      <c r="X99" s="227">
        <f t="shared" si="97"/>
        <v>0</v>
      </c>
      <c r="Y99" s="761">
        <f t="shared" si="98"/>
        <v>0</v>
      </c>
      <c r="Z99" s="231">
        <v>1.3</v>
      </c>
      <c r="AA99" s="240"/>
      <c r="AB99" s="192" t="str">
        <f t="shared" si="93"/>
        <v>07 3</v>
      </c>
      <c r="AC99" s="225">
        <v>3</v>
      </c>
      <c r="AD99" s="226"/>
      <c r="AE99" s="227">
        <f t="shared" si="99"/>
        <v>0</v>
      </c>
      <c r="AF99" s="227">
        <f t="shared" si="100"/>
        <v>0</v>
      </c>
      <c r="AN99" s="225">
        <v>3</v>
      </c>
      <c r="AO99" s="226"/>
      <c r="AP99" s="227">
        <v>0</v>
      </c>
      <c r="AQ99" s="228">
        <v>0</v>
      </c>
      <c r="AS99" s="192" t="str">
        <f>CONCATENATE(AS93," ",AT99)</f>
        <v>07 3</v>
      </c>
      <c r="AT99" s="225">
        <v>3</v>
      </c>
      <c r="AU99" s="226"/>
      <c r="AV99" s="227">
        <v>0</v>
      </c>
      <c r="AW99" s="228">
        <f t="shared" si="101"/>
        <v>0</v>
      </c>
    </row>
    <row r="100" spans="2:49">
      <c r="B100" s="225">
        <v>4</v>
      </c>
      <c r="C100" s="226"/>
      <c r="D100" s="227">
        <v>0</v>
      </c>
      <c r="E100" s="228">
        <v>0</v>
      </c>
      <c r="G100" s="192" t="str">
        <f>CONCATENATE(G93," ",H100)</f>
        <v>07 4</v>
      </c>
      <c r="H100" s="225">
        <v>4</v>
      </c>
      <c r="I100" s="226"/>
      <c r="J100" s="227">
        <v>0</v>
      </c>
      <c r="K100" s="228">
        <f t="shared" si="96"/>
        <v>0</v>
      </c>
      <c r="L100" s="240"/>
      <c r="M100" s="240"/>
      <c r="N100" s="192" t="str">
        <f t="shared" si="90"/>
        <v>07 4</v>
      </c>
      <c r="O100" s="225">
        <v>4</v>
      </c>
      <c r="P100" s="226"/>
      <c r="Q100" s="227">
        <f t="shared" si="91"/>
        <v>0</v>
      </c>
      <c r="R100" s="227">
        <f t="shared" si="91"/>
        <v>0</v>
      </c>
      <c r="S100" s="240"/>
      <c r="T100" s="240"/>
      <c r="U100" s="192" t="str">
        <f t="shared" si="92"/>
        <v>07 4</v>
      </c>
      <c r="V100" s="225">
        <v>4</v>
      </c>
      <c r="W100" s="226"/>
      <c r="X100" s="227">
        <f t="shared" si="97"/>
        <v>0</v>
      </c>
      <c r="Y100" s="761">
        <f t="shared" si="98"/>
        <v>0</v>
      </c>
      <c r="Z100" s="231">
        <v>1.3</v>
      </c>
      <c r="AA100" s="240"/>
      <c r="AB100" s="192" t="str">
        <f t="shared" si="93"/>
        <v>07 4</v>
      </c>
      <c r="AC100" s="225">
        <v>4</v>
      </c>
      <c r="AD100" s="226"/>
      <c r="AE100" s="227">
        <f t="shared" si="99"/>
        <v>0</v>
      </c>
      <c r="AF100" s="227">
        <f t="shared" si="100"/>
        <v>0</v>
      </c>
      <c r="AN100" s="225">
        <v>4</v>
      </c>
      <c r="AO100" s="226"/>
      <c r="AP100" s="227">
        <v>0</v>
      </c>
      <c r="AQ100" s="228">
        <v>0</v>
      </c>
      <c r="AS100" s="192" t="str">
        <f>CONCATENATE(AS93," ",AT100)</f>
        <v>07 4</v>
      </c>
      <c r="AT100" s="225">
        <v>4</v>
      </c>
      <c r="AU100" s="226"/>
      <c r="AV100" s="227">
        <v>0</v>
      </c>
      <c r="AW100" s="228">
        <f t="shared" si="101"/>
        <v>0</v>
      </c>
    </row>
    <row r="101" spans="2:49">
      <c r="B101" s="225">
        <v>5</v>
      </c>
      <c r="C101" s="226"/>
      <c r="D101" s="227">
        <v>0</v>
      </c>
      <c r="E101" s="228">
        <v>0</v>
      </c>
      <c r="G101" s="192" t="str">
        <f>CONCATENATE(G93," ",H101)</f>
        <v>07 5</v>
      </c>
      <c r="H101" s="225">
        <v>5</v>
      </c>
      <c r="I101" s="226"/>
      <c r="J101" s="227">
        <v>0</v>
      </c>
      <c r="K101" s="228">
        <f t="shared" si="96"/>
        <v>0</v>
      </c>
      <c r="L101" s="240"/>
      <c r="M101" s="240"/>
      <c r="N101" s="192" t="str">
        <f t="shared" si="90"/>
        <v>07 5</v>
      </c>
      <c r="O101" s="225">
        <v>5</v>
      </c>
      <c r="P101" s="226"/>
      <c r="Q101" s="227">
        <f t="shared" si="91"/>
        <v>0</v>
      </c>
      <c r="R101" s="227">
        <f t="shared" si="91"/>
        <v>0</v>
      </c>
      <c r="S101" s="240"/>
      <c r="T101" s="240"/>
      <c r="U101" s="192" t="str">
        <f t="shared" si="92"/>
        <v>07 5</v>
      </c>
      <c r="V101" s="225">
        <v>5</v>
      </c>
      <c r="W101" s="226"/>
      <c r="X101" s="227">
        <f t="shared" si="97"/>
        <v>0</v>
      </c>
      <c r="Y101" s="761">
        <f t="shared" si="98"/>
        <v>0</v>
      </c>
      <c r="Z101" s="231">
        <v>1.3</v>
      </c>
      <c r="AA101" s="240"/>
      <c r="AB101" s="192" t="str">
        <f t="shared" si="93"/>
        <v>07 5</v>
      </c>
      <c r="AC101" s="225">
        <v>5</v>
      </c>
      <c r="AD101" s="226"/>
      <c r="AE101" s="227">
        <f t="shared" si="99"/>
        <v>0</v>
      </c>
      <c r="AF101" s="227">
        <f t="shared" si="100"/>
        <v>0</v>
      </c>
      <c r="AN101" s="225">
        <v>5</v>
      </c>
      <c r="AO101" s="226"/>
      <c r="AP101" s="227">
        <v>0</v>
      </c>
      <c r="AQ101" s="228">
        <v>0</v>
      </c>
      <c r="AS101" s="192" t="str">
        <f>CONCATENATE(AS93," ",AT101)</f>
        <v>07 5</v>
      </c>
      <c r="AT101" s="225">
        <v>5</v>
      </c>
      <c r="AU101" s="226"/>
      <c r="AV101" s="227">
        <v>0</v>
      </c>
      <c r="AW101" s="228">
        <f t="shared" ref="AW101:AW106" si="102">AQ101*$K$1</f>
        <v>0</v>
      </c>
    </row>
    <row r="102" spans="2:49">
      <c r="B102" s="225">
        <v>6</v>
      </c>
      <c r="C102" s="226"/>
      <c r="D102" s="227">
        <v>0</v>
      </c>
      <c r="E102" s="228">
        <v>0</v>
      </c>
      <c r="G102" s="192" t="str">
        <f>CONCATENATE(G93," ",H102)</f>
        <v>07 6</v>
      </c>
      <c r="H102" s="225">
        <v>6</v>
      </c>
      <c r="I102" s="226"/>
      <c r="J102" s="227">
        <v>0</v>
      </c>
      <c r="K102" s="228">
        <f t="shared" si="96"/>
        <v>0</v>
      </c>
      <c r="L102" s="240"/>
      <c r="M102" s="240"/>
      <c r="N102" s="192" t="str">
        <f t="shared" si="90"/>
        <v>07 6</v>
      </c>
      <c r="O102" s="225">
        <v>6</v>
      </c>
      <c r="P102" s="226"/>
      <c r="Q102" s="227">
        <f t="shared" si="91"/>
        <v>0</v>
      </c>
      <c r="R102" s="227">
        <f t="shared" si="91"/>
        <v>0</v>
      </c>
      <c r="S102" s="240"/>
      <c r="T102" s="240"/>
      <c r="U102" s="192" t="str">
        <f t="shared" si="92"/>
        <v>07 6</v>
      </c>
      <c r="V102" s="225">
        <v>6</v>
      </c>
      <c r="W102" s="226"/>
      <c r="X102" s="227">
        <f t="shared" si="97"/>
        <v>0</v>
      </c>
      <c r="Y102" s="761">
        <f t="shared" si="98"/>
        <v>0</v>
      </c>
      <c r="Z102" s="231">
        <v>1.3</v>
      </c>
      <c r="AA102" s="240"/>
      <c r="AB102" s="192" t="str">
        <f t="shared" si="93"/>
        <v>07 6</v>
      </c>
      <c r="AC102" s="225">
        <v>6</v>
      </c>
      <c r="AD102" s="226"/>
      <c r="AE102" s="227">
        <f t="shared" si="99"/>
        <v>0</v>
      </c>
      <c r="AF102" s="227">
        <f t="shared" si="100"/>
        <v>0</v>
      </c>
      <c r="AN102" s="225">
        <v>6</v>
      </c>
      <c r="AO102" s="226"/>
      <c r="AP102" s="227">
        <v>0</v>
      </c>
      <c r="AQ102" s="228">
        <v>0</v>
      </c>
      <c r="AS102" s="192" t="str">
        <f>CONCATENATE(AS93," ",AT102)</f>
        <v>07 6</v>
      </c>
      <c r="AT102" s="225">
        <v>6</v>
      </c>
      <c r="AU102" s="226"/>
      <c r="AV102" s="227">
        <v>0</v>
      </c>
      <c r="AW102" s="228">
        <f t="shared" si="102"/>
        <v>0</v>
      </c>
    </row>
    <row r="103" spans="2:49">
      <c r="B103" s="225">
        <v>7</v>
      </c>
      <c r="C103" s="226"/>
      <c r="D103" s="227">
        <v>0</v>
      </c>
      <c r="E103" s="228">
        <v>0</v>
      </c>
      <c r="G103" s="192" t="str">
        <f>CONCATENATE(G93," ",H103)</f>
        <v>07 7</v>
      </c>
      <c r="H103" s="225">
        <v>7</v>
      </c>
      <c r="I103" s="226"/>
      <c r="J103" s="227">
        <v>0</v>
      </c>
      <c r="K103" s="228">
        <f t="shared" si="96"/>
        <v>0</v>
      </c>
      <c r="L103" s="240"/>
      <c r="M103" s="240"/>
      <c r="N103" s="192" t="str">
        <f t="shared" si="90"/>
        <v>07 7</v>
      </c>
      <c r="O103" s="225">
        <v>7</v>
      </c>
      <c r="P103" s="226"/>
      <c r="Q103" s="227">
        <f t="shared" si="91"/>
        <v>0</v>
      </c>
      <c r="R103" s="227">
        <f t="shared" si="91"/>
        <v>0</v>
      </c>
      <c r="S103" s="240"/>
      <c r="T103" s="240"/>
      <c r="U103" s="192" t="str">
        <f t="shared" si="92"/>
        <v>07 7</v>
      </c>
      <c r="V103" s="225">
        <v>7</v>
      </c>
      <c r="W103" s="226"/>
      <c r="X103" s="227">
        <f t="shared" si="97"/>
        <v>0</v>
      </c>
      <c r="Y103" s="761">
        <f t="shared" si="98"/>
        <v>0</v>
      </c>
      <c r="Z103" s="231">
        <v>1.3</v>
      </c>
      <c r="AA103" s="240"/>
      <c r="AB103" s="192" t="str">
        <f t="shared" si="93"/>
        <v>07 7</v>
      </c>
      <c r="AC103" s="225">
        <v>7</v>
      </c>
      <c r="AD103" s="226"/>
      <c r="AE103" s="227">
        <f t="shared" si="99"/>
        <v>0</v>
      </c>
      <c r="AF103" s="227">
        <f t="shared" si="100"/>
        <v>0</v>
      </c>
      <c r="AN103" s="225">
        <v>7</v>
      </c>
      <c r="AO103" s="226"/>
      <c r="AP103" s="227">
        <v>0</v>
      </c>
      <c r="AQ103" s="228">
        <v>0</v>
      </c>
      <c r="AS103" s="192" t="str">
        <f>CONCATENATE(AS93," ",AT103)</f>
        <v>07 7</v>
      </c>
      <c r="AT103" s="225">
        <v>7</v>
      </c>
      <c r="AU103" s="226"/>
      <c r="AV103" s="227">
        <v>0</v>
      </c>
      <c r="AW103" s="228">
        <f t="shared" si="102"/>
        <v>0</v>
      </c>
    </row>
    <row r="104" spans="2:49">
      <c r="B104" s="225">
        <v>8</v>
      </c>
      <c r="C104" s="226"/>
      <c r="D104" s="227">
        <v>0</v>
      </c>
      <c r="E104" s="228">
        <v>0</v>
      </c>
      <c r="G104" s="192" t="str">
        <f>CONCATENATE(G93," ",H104)</f>
        <v>07 8</v>
      </c>
      <c r="H104" s="225">
        <v>8</v>
      </c>
      <c r="I104" s="226"/>
      <c r="J104" s="227">
        <v>0</v>
      </c>
      <c r="K104" s="228">
        <f t="shared" si="96"/>
        <v>0</v>
      </c>
      <c r="L104" s="240"/>
      <c r="M104" s="240"/>
      <c r="N104" s="192" t="str">
        <f t="shared" si="90"/>
        <v>07 8</v>
      </c>
      <c r="O104" s="225">
        <v>8</v>
      </c>
      <c r="P104" s="226"/>
      <c r="Q104" s="227">
        <f t="shared" si="91"/>
        <v>0</v>
      </c>
      <c r="R104" s="227">
        <f t="shared" si="91"/>
        <v>0</v>
      </c>
      <c r="S104" s="240"/>
      <c r="T104" s="240"/>
      <c r="U104" s="192" t="str">
        <f t="shared" si="92"/>
        <v>07 8</v>
      </c>
      <c r="V104" s="225">
        <v>8</v>
      </c>
      <c r="W104" s="226"/>
      <c r="X104" s="227">
        <f t="shared" si="97"/>
        <v>0</v>
      </c>
      <c r="Y104" s="761">
        <f t="shared" si="98"/>
        <v>0</v>
      </c>
      <c r="Z104" s="231">
        <v>1.3</v>
      </c>
      <c r="AA104" s="240"/>
      <c r="AB104" s="192" t="str">
        <f t="shared" si="93"/>
        <v>07 8</v>
      </c>
      <c r="AC104" s="225">
        <v>8</v>
      </c>
      <c r="AD104" s="226"/>
      <c r="AE104" s="227">
        <f t="shared" si="99"/>
        <v>0</v>
      </c>
      <c r="AF104" s="227">
        <f t="shared" si="100"/>
        <v>0</v>
      </c>
      <c r="AN104" s="225">
        <v>8</v>
      </c>
      <c r="AO104" s="226"/>
      <c r="AP104" s="227">
        <v>0</v>
      </c>
      <c r="AQ104" s="228">
        <v>0</v>
      </c>
      <c r="AS104" s="192" t="str">
        <f>CONCATENATE(AS93," ",AT104)</f>
        <v>07 8</v>
      </c>
      <c r="AT104" s="225">
        <v>8</v>
      </c>
      <c r="AU104" s="226"/>
      <c r="AV104" s="227">
        <v>0</v>
      </c>
      <c r="AW104" s="228">
        <f t="shared" si="102"/>
        <v>0</v>
      </c>
    </row>
    <row r="105" spans="2:49">
      <c r="B105" s="225">
        <v>9</v>
      </c>
      <c r="C105" s="226"/>
      <c r="D105" s="227">
        <v>0</v>
      </c>
      <c r="E105" s="228">
        <v>0</v>
      </c>
      <c r="G105" s="192" t="str">
        <f>CONCATENATE(G93," ",H105)</f>
        <v>07 9</v>
      </c>
      <c r="H105" s="225">
        <v>9</v>
      </c>
      <c r="I105" s="226"/>
      <c r="J105" s="227">
        <v>0</v>
      </c>
      <c r="K105" s="228">
        <f t="shared" si="96"/>
        <v>0</v>
      </c>
      <c r="L105" s="240"/>
      <c r="M105" s="240"/>
      <c r="N105" s="192" t="str">
        <f t="shared" si="90"/>
        <v>07 9</v>
      </c>
      <c r="O105" s="225">
        <v>9</v>
      </c>
      <c r="P105" s="226"/>
      <c r="Q105" s="227">
        <f t="shared" si="91"/>
        <v>0</v>
      </c>
      <c r="R105" s="227">
        <f t="shared" si="91"/>
        <v>0</v>
      </c>
      <c r="S105" s="240"/>
      <c r="T105" s="240"/>
      <c r="U105" s="192" t="str">
        <f t="shared" si="92"/>
        <v>07 9</v>
      </c>
      <c r="V105" s="225">
        <v>9</v>
      </c>
      <c r="W105" s="226"/>
      <c r="X105" s="227">
        <f t="shared" si="97"/>
        <v>0</v>
      </c>
      <c r="Y105" s="761">
        <f t="shared" si="98"/>
        <v>0</v>
      </c>
      <c r="Z105" s="231">
        <v>1.3</v>
      </c>
      <c r="AA105" s="240"/>
      <c r="AB105" s="192" t="str">
        <f t="shared" si="93"/>
        <v>07 9</v>
      </c>
      <c r="AC105" s="225">
        <v>9</v>
      </c>
      <c r="AD105" s="226"/>
      <c r="AE105" s="227">
        <f t="shared" si="99"/>
        <v>0</v>
      </c>
      <c r="AF105" s="227">
        <f t="shared" si="100"/>
        <v>0</v>
      </c>
      <c r="AN105" s="225">
        <v>9</v>
      </c>
      <c r="AO105" s="226"/>
      <c r="AP105" s="227">
        <v>0</v>
      </c>
      <c r="AQ105" s="228">
        <v>0</v>
      </c>
      <c r="AS105" s="192" t="str">
        <f>CONCATENATE(AS93," ",AT105)</f>
        <v>07 9</v>
      </c>
      <c r="AT105" s="225">
        <v>9</v>
      </c>
      <c r="AU105" s="226"/>
      <c r="AV105" s="227">
        <v>0</v>
      </c>
      <c r="AW105" s="228">
        <f t="shared" si="102"/>
        <v>0</v>
      </c>
    </row>
    <row r="106" spans="2:49">
      <c r="B106" s="225">
        <v>10</v>
      </c>
      <c r="C106" s="226"/>
      <c r="D106" s="227">
        <v>0</v>
      </c>
      <c r="E106" s="228">
        <v>0</v>
      </c>
      <c r="G106" s="192" t="str">
        <f>CONCATENATE(G93," ",H106)</f>
        <v>07 10</v>
      </c>
      <c r="H106" s="225">
        <v>10</v>
      </c>
      <c r="I106" s="226"/>
      <c r="J106" s="227">
        <v>0</v>
      </c>
      <c r="K106" s="228">
        <f t="shared" si="96"/>
        <v>0</v>
      </c>
      <c r="L106" s="240"/>
      <c r="M106" s="240"/>
      <c r="N106" s="192" t="str">
        <f t="shared" si="90"/>
        <v>07 10</v>
      </c>
      <c r="O106" s="225">
        <v>10</v>
      </c>
      <c r="P106" s="226"/>
      <c r="Q106" s="227">
        <f t="shared" si="91"/>
        <v>0</v>
      </c>
      <c r="R106" s="227">
        <f t="shared" si="91"/>
        <v>0</v>
      </c>
      <c r="S106" s="240"/>
      <c r="T106" s="240"/>
      <c r="U106" s="192" t="str">
        <f t="shared" si="92"/>
        <v>07 10</v>
      </c>
      <c r="V106" s="225">
        <v>10</v>
      </c>
      <c r="W106" s="226"/>
      <c r="X106" s="227">
        <f t="shared" si="97"/>
        <v>0</v>
      </c>
      <c r="Y106" s="761">
        <f t="shared" si="98"/>
        <v>0</v>
      </c>
      <c r="Z106" s="231">
        <v>1.3</v>
      </c>
      <c r="AA106" s="240"/>
      <c r="AB106" s="192" t="str">
        <f t="shared" si="93"/>
        <v>07 10</v>
      </c>
      <c r="AC106" s="225">
        <v>10</v>
      </c>
      <c r="AD106" s="226"/>
      <c r="AE106" s="227">
        <f t="shared" si="99"/>
        <v>0</v>
      </c>
      <c r="AF106" s="227">
        <f t="shared" si="100"/>
        <v>0</v>
      </c>
      <c r="AN106" s="225">
        <v>10</v>
      </c>
      <c r="AO106" s="226"/>
      <c r="AP106" s="227">
        <v>0</v>
      </c>
      <c r="AQ106" s="228">
        <v>0</v>
      </c>
      <c r="AS106" s="192" t="str">
        <f>CONCATENATE(AS93," ",AT106)</f>
        <v>07 10</v>
      </c>
      <c r="AT106" s="225">
        <v>10</v>
      </c>
      <c r="AU106" s="226"/>
      <c r="AV106" s="227">
        <v>0</v>
      </c>
      <c r="AW106" s="228">
        <f t="shared" si="102"/>
        <v>0</v>
      </c>
    </row>
    <row r="107" spans="2:49">
      <c r="G107" s="240"/>
      <c r="L107" s="240"/>
      <c r="M107" s="240"/>
      <c r="N107" s="240"/>
      <c r="S107" s="240"/>
      <c r="T107" s="240"/>
      <c r="U107" s="240"/>
      <c r="Z107" s="240"/>
      <c r="AA107" s="240"/>
      <c r="AB107" s="240"/>
      <c r="AS107" s="240"/>
    </row>
    <row r="108" spans="2:49" ht="12" customHeight="1">
      <c r="B108" s="836" t="s">
        <v>148</v>
      </c>
      <c r="C108" s="837"/>
      <c r="D108" s="219"/>
      <c r="E108" s="220"/>
      <c r="G108" s="218" t="s">
        <v>4914</v>
      </c>
      <c r="H108" s="836" t="s">
        <v>148</v>
      </c>
      <c r="I108" s="837"/>
      <c r="J108" s="219"/>
      <c r="K108" s="220"/>
      <c r="L108" s="240"/>
      <c r="M108" s="240"/>
      <c r="N108" s="218" t="str">
        <f>G108</f>
        <v>08</v>
      </c>
      <c r="O108" s="836" t="str">
        <f>H108</f>
        <v>GNV Transporte Público</v>
      </c>
      <c r="P108" s="837"/>
      <c r="Q108" s="219"/>
      <c r="R108" s="220"/>
      <c r="U108" s="218" t="str">
        <f>N108</f>
        <v>08</v>
      </c>
      <c r="V108" s="836" t="str">
        <f>O108</f>
        <v>GNV Transporte Público</v>
      </c>
      <c r="W108" s="837"/>
      <c r="X108" s="219"/>
      <c r="Y108" s="220"/>
      <c r="AB108" s="218" t="str">
        <f>U108</f>
        <v>08</v>
      </c>
      <c r="AC108" s="836" t="str">
        <f>V108</f>
        <v>GNV Transporte Público</v>
      </c>
      <c r="AD108" s="837"/>
      <c r="AE108" s="219"/>
      <c r="AF108" s="220"/>
      <c r="AN108" s="836" t="s">
        <v>148</v>
      </c>
      <c r="AO108" s="837"/>
      <c r="AP108" s="219"/>
      <c r="AQ108" s="220"/>
      <c r="AS108" s="218" t="s">
        <v>4914</v>
      </c>
      <c r="AT108" s="282" t="s">
        <v>148</v>
      </c>
      <c r="AU108" s="283"/>
      <c r="AV108" s="219"/>
      <c r="AW108" s="220"/>
    </row>
    <row r="109" spans="2:49">
      <c r="B109" s="838" t="s">
        <v>4898</v>
      </c>
      <c r="C109" s="838"/>
      <c r="D109" s="219"/>
      <c r="E109" s="220"/>
      <c r="G109" s="222"/>
      <c r="H109" s="838" t="s">
        <v>4913</v>
      </c>
      <c r="I109" s="838"/>
      <c r="J109" s="219"/>
      <c r="K109" s="220"/>
      <c r="L109" s="240"/>
      <c r="M109" s="240"/>
      <c r="N109" s="222"/>
      <c r="O109" s="838" t="s">
        <v>4898</v>
      </c>
      <c r="P109" s="838"/>
      <c r="Q109" s="219"/>
      <c r="R109" s="220"/>
      <c r="U109" s="222"/>
      <c r="V109" s="838" t="s">
        <v>4898</v>
      </c>
      <c r="W109" s="838"/>
      <c r="X109" s="219"/>
      <c r="Y109" s="220"/>
      <c r="AB109" s="222"/>
      <c r="AC109" s="838" t="s">
        <v>4898</v>
      </c>
      <c r="AD109" s="838"/>
      <c r="AE109" s="219"/>
      <c r="AF109" s="220"/>
      <c r="AN109" s="838" t="s">
        <v>4898</v>
      </c>
      <c r="AO109" s="838"/>
      <c r="AP109" s="219"/>
      <c r="AQ109" s="220"/>
      <c r="AS109" s="222"/>
      <c r="AT109" s="284" t="s">
        <v>4913</v>
      </c>
      <c r="AU109" s="284"/>
      <c r="AV109" s="219"/>
      <c r="AW109" s="220"/>
    </row>
    <row r="110" spans="2:49">
      <c r="B110" s="835" t="s">
        <v>4899</v>
      </c>
      <c r="C110" s="835"/>
      <c r="D110" s="224" t="s">
        <v>4901</v>
      </c>
      <c r="E110" s="224"/>
      <c r="G110" s="222"/>
      <c r="H110" s="835" t="s">
        <v>4899</v>
      </c>
      <c r="I110" s="835"/>
      <c r="J110" s="224" t="s">
        <v>4901</v>
      </c>
      <c r="K110" s="224"/>
      <c r="L110" s="240"/>
      <c r="M110" s="240"/>
      <c r="N110" s="222"/>
      <c r="O110" s="835" t="s">
        <v>4899</v>
      </c>
      <c r="P110" s="835" t="s">
        <v>4900</v>
      </c>
      <c r="Q110" s="224" t="s">
        <v>4901</v>
      </c>
      <c r="R110" s="224"/>
      <c r="U110" s="222"/>
      <c r="V110" s="835" t="s">
        <v>4899</v>
      </c>
      <c r="W110" s="835" t="s">
        <v>4900</v>
      </c>
      <c r="X110" s="224" t="s">
        <v>4901</v>
      </c>
      <c r="Y110" s="224"/>
      <c r="AB110" s="222"/>
      <c r="AC110" s="835" t="s">
        <v>4899</v>
      </c>
      <c r="AD110" s="835" t="s">
        <v>4900</v>
      </c>
      <c r="AE110" s="841" t="s">
        <v>4901</v>
      </c>
      <c r="AF110" s="841"/>
      <c r="AN110" s="835" t="s">
        <v>4899</v>
      </c>
      <c r="AO110" s="835"/>
      <c r="AP110" s="224" t="s">
        <v>4901</v>
      </c>
      <c r="AQ110" s="224"/>
      <c r="AS110" s="222"/>
      <c r="AT110" s="285" t="s">
        <v>4899</v>
      </c>
      <c r="AU110" s="285"/>
      <c r="AV110" s="224" t="s">
        <v>4901</v>
      </c>
      <c r="AW110" s="224"/>
    </row>
    <row r="111" spans="2:49">
      <c r="B111" s="835"/>
      <c r="C111" s="835"/>
      <c r="D111" s="223" t="s">
        <v>4902</v>
      </c>
      <c r="E111" s="223" t="s">
        <v>4903</v>
      </c>
      <c r="G111" s="222"/>
      <c r="H111" s="835"/>
      <c r="I111" s="835"/>
      <c r="J111" s="223" t="s">
        <v>4902</v>
      </c>
      <c r="K111" s="223" t="s">
        <v>4903</v>
      </c>
      <c r="L111" s="240"/>
      <c r="M111" s="240"/>
      <c r="N111" s="222"/>
      <c r="O111" s="835"/>
      <c r="P111" s="835"/>
      <c r="Q111" s="223" t="s">
        <v>4902</v>
      </c>
      <c r="R111" s="223" t="s">
        <v>4903</v>
      </c>
      <c r="U111" s="222"/>
      <c r="V111" s="835"/>
      <c r="W111" s="835"/>
      <c r="X111" s="223" t="s">
        <v>4902</v>
      </c>
      <c r="Y111" s="223" t="s">
        <v>4903</v>
      </c>
      <c r="AB111" s="222"/>
      <c r="AC111" s="835"/>
      <c r="AD111" s="835"/>
      <c r="AE111" s="223" t="s">
        <v>4902</v>
      </c>
      <c r="AF111" s="223" t="s">
        <v>4903</v>
      </c>
      <c r="AN111" s="835"/>
      <c r="AO111" s="835"/>
      <c r="AP111" s="223" t="s">
        <v>4902</v>
      </c>
      <c r="AQ111" s="223" t="s">
        <v>4903</v>
      </c>
      <c r="AS111" s="222"/>
      <c r="AT111" s="285"/>
      <c r="AU111" s="285"/>
      <c r="AV111" s="223" t="s">
        <v>4902</v>
      </c>
      <c r="AW111" s="223" t="s">
        <v>4903</v>
      </c>
    </row>
    <row r="112" spans="2:49">
      <c r="B112" s="225">
        <v>1</v>
      </c>
      <c r="C112" s="226">
        <v>999999999</v>
      </c>
      <c r="D112" s="227">
        <v>0</v>
      </c>
      <c r="E112" s="228">
        <v>0.31207057999999988</v>
      </c>
      <c r="G112" s="192" t="str">
        <f>CONCATENATE(G108," ",H112)</f>
        <v>08 1</v>
      </c>
      <c r="H112" s="225">
        <v>1</v>
      </c>
      <c r="I112" s="226">
        <v>999999999</v>
      </c>
      <c r="J112" s="227">
        <v>0</v>
      </c>
      <c r="K112" s="228">
        <f>E112*$K$1</f>
        <v>0.2861099476349892</v>
      </c>
      <c r="L112" s="240"/>
      <c r="M112" s="240"/>
      <c r="N112" s="192" t="str">
        <f t="shared" ref="N112:N120" si="103">G112</f>
        <v>08 1</v>
      </c>
      <c r="O112" s="225">
        <v>1</v>
      </c>
      <c r="P112" s="226">
        <f>I112</f>
        <v>999999999</v>
      </c>
      <c r="Q112" s="227">
        <v>0</v>
      </c>
      <c r="R112" s="227">
        <f t="shared" ref="R112:R120" si="104">K112*$R$1</f>
        <v>0</v>
      </c>
      <c r="U112" s="192" t="str">
        <f t="shared" ref="U112:U120" si="105">N112</f>
        <v>08 1</v>
      </c>
      <c r="V112" s="225">
        <v>1</v>
      </c>
      <c r="W112" s="226">
        <f>P112</f>
        <v>999999999</v>
      </c>
      <c r="X112" s="227">
        <f>J112*Z112</f>
        <v>0</v>
      </c>
      <c r="Y112" s="758">
        <v>0.38894402994940491</v>
      </c>
      <c r="Z112" s="231">
        <v>1.3</v>
      </c>
      <c r="AB112" s="192" t="str">
        <f t="shared" ref="AB112:AB120" si="106">U112</f>
        <v>08 1</v>
      </c>
      <c r="AC112" s="225">
        <v>1</v>
      </c>
      <c r="AD112" s="226">
        <f t="shared" ref="AD112:AD120" si="107">P112</f>
        <v>999999999</v>
      </c>
      <c r="AE112" s="227">
        <f>X112+Q112</f>
        <v>0</v>
      </c>
      <c r="AF112" s="227">
        <f>Y112</f>
        <v>0.38894402994940491</v>
      </c>
      <c r="AN112" s="225">
        <v>1</v>
      </c>
      <c r="AO112" s="226">
        <v>999999999</v>
      </c>
      <c r="AP112" s="227">
        <v>0</v>
      </c>
      <c r="AQ112" s="228">
        <v>3.7073</v>
      </c>
      <c r="AS112" s="192" t="str">
        <f>CONCATENATE(AS108," ",AT112)</f>
        <v>08 1</v>
      </c>
      <c r="AT112" s="225">
        <v>1</v>
      </c>
      <c r="AU112" s="226">
        <v>999999999</v>
      </c>
      <c r="AV112" s="227">
        <v>0</v>
      </c>
      <c r="AW112" s="228">
        <f>AQ112*$AW$1</f>
        <v>3.3988958807561924</v>
      </c>
    </row>
    <row r="113" spans="2:49">
      <c r="B113" s="225">
        <v>2</v>
      </c>
      <c r="C113" s="226"/>
      <c r="D113" s="227">
        <v>0</v>
      </c>
      <c r="E113" s="228">
        <v>0</v>
      </c>
      <c r="G113" s="192" t="str">
        <f>CONCATENATE(G108," ",H113)</f>
        <v>08 2</v>
      </c>
      <c r="H113" s="225">
        <v>2</v>
      </c>
      <c r="I113" s="226"/>
      <c r="J113" s="227">
        <v>0</v>
      </c>
      <c r="K113" s="228">
        <f t="shared" ref="K113:K120" si="108">E113*$K$1</f>
        <v>0</v>
      </c>
      <c r="L113" s="240"/>
      <c r="M113" s="240"/>
      <c r="N113" s="192" t="str">
        <f t="shared" si="103"/>
        <v>08 2</v>
      </c>
      <c r="O113" s="225">
        <v>2</v>
      </c>
      <c r="P113" s="226">
        <f t="shared" ref="P113:P120" si="109">I113</f>
        <v>0</v>
      </c>
      <c r="Q113" s="227">
        <f t="shared" ref="Q113:Q120" si="110">J113*$R$1</f>
        <v>0</v>
      </c>
      <c r="R113" s="227">
        <f t="shared" si="104"/>
        <v>0</v>
      </c>
      <c r="U113" s="192" t="str">
        <f t="shared" si="105"/>
        <v>08 2</v>
      </c>
      <c r="V113" s="225">
        <v>2</v>
      </c>
      <c r="W113" s="226">
        <f t="shared" ref="W113:W120" si="111">P113</f>
        <v>0</v>
      </c>
      <c r="X113" s="227">
        <f t="shared" ref="X113:X121" si="112">J113*Z113</f>
        <v>0</v>
      </c>
      <c r="Y113" s="758">
        <f t="shared" ref="Y113:Y121" si="113">K113*Z113</f>
        <v>0</v>
      </c>
      <c r="Z113" s="231">
        <v>1.3</v>
      </c>
      <c r="AB113" s="192" t="str">
        <f t="shared" si="106"/>
        <v>08 2</v>
      </c>
      <c r="AC113" s="225">
        <v>2</v>
      </c>
      <c r="AD113" s="226">
        <f t="shared" si="107"/>
        <v>0</v>
      </c>
      <c r="AE113" s="227">
        <f t="shared" ref="AE113:AF120" si="114">X113+Q113</f>
        <v>0</v>
      </c>
      <c r="AF113" s="227">
        <f t="shared" si="114"/>
        <v>0</v>
      </c>
      <c r="AN113" s="225">
        <v>2</v>
      </c>
      <c r="AO113" s="226"/>
      <c r="AP113" s="227">
        <v>0</v>
      </c>
      <c r="AQ113" s="228">
        <v>0</v>
      </c>
      <c r="AS113" s="192" t="str">
        <f>CONCATENATE(AS108," ",AT113)</f>
        <v>08 2</v>
      </c>
      <c r="AT113" s="225">
        <v>2</v>
      </c>
      <c r="AU113" s="226"/>
      <c r="AV113" s="227">
        <v>0</v>
      </c>
      <c r="AW113" s="228">
        <f t="shared" ref="AW113:AW115" si="115">AQ113*$AW$1</f>
        <v>0</v>
      </c>
    </row>
    <row r="114" spans="2:49">
      <c r="B114" s="225">
        <v>3</v>
      </c>
      <c r="C114" s="226"/>
      <c r="D114" s="227">
        <v>0</v>
      </c>
      <c r="E114" s="228">
        <v>0</v>
      </c>
      <c r="G114" s="192" t="str">
        <f>CONCATENATE(G108," ",H114)</f>
        <v>08 3</v>
      </c>
      <c r="H114" s="225">
        <v>3</v>
      </c>
      <c r="I114" s="226"/>
      <c r="J114" s="227">
        <v>0</v>
      </c>
      <c r="K114" s="228">
        <f t="shared" si="108"/>
        <v>0</v>
      </c>
      <c r="L114" s="240"/>
      <c r="M114" s="240"/>
      <c r="N114" s="192" t="str">
        <f t="shared" si="103"/>
        <v>08 3</v>
      </c>
      <c r="O114" s="225">
        <v>3</v>
      </c>
      <c r="P114" s="226">
        <f t="shared" si="109"/>
        <v>0</v>
      </c>
      <c r="Q114" s="227">
        <f t="shared" si="110"/>
        <v>0</v>
      </c>
      <c r="R114" s="227">
        <f t="shared" si="104"/>
        <v>0</v>
      </c>
      <c r="U114" s="192" t="str">
        <f t="shared" si="105"/>
        <v>08 3</v>
      </c>
      <c r="V114" s="225">
        <v>3</v>
      </c>
      <c r="W114" s="226">
        <f t="shared" si="111"/>
        <v>0</v>
      </c>
      <c r="X114" s="227">
        <f t="shared" si="112"/>
        <v>0</v>
      </c>
      <c r="Y114" s="758">
        <f t="shared" si="113"/>
        <v>0</v>
      </c>
      <c r="Z114" s="231">
        <v>1.3</v>
      </c>
      <c r="AB114" s="192" t="str">
        <f t="shared" si="106"/>
        <v>08 3</v>
      </c>
      <c r="AC114" s="225">
        <v>3</v>
      </c>
      <c r="AD114" s="226">
        <f t="shared" si="107"/>
        <v>0</v>
      </c>
      <c r="AE114" s="227">
        <f t="shared" si="114"/>
        <v>0</v>
      </c>
      <c r="AF114" s="227">
        <f t="shared" si="114"/>
        <v>0</v>
      </c>
      <c r="AN114" s="225">
        <v>3</v>
      </c>
      <c r="AO114" s="226"/>
      <c r="AP114" s="227">
        <v>0</v>
      </c>
      <c r="AQ114" s="228">
        <v>0</v>
      </c>
      <c r="AS114" s="192" t="str">
        <f>CONCATENATE(AS108," ",AT114)</f>
        <v>08 3</v>
      </c>
      <c r="AT114" s="225">
        <v>3</v>
      </c>
      <c r="AU114" s="226"/>
      <c r="AV114" s="227">
        <v>0</v>
      </c>
      <c r="AW114" s="228">
        <f t="shared" si="115"/>
        <v>0</v>
      </c>
    </row>
    <row r="115" spans="2:49">
      <c r="B115" s="225">
        <v>4</v>
      </c>
      <c r="C115" s="226"/>
      <c r="D115" s="227">
        <v>0</v>
      </c>
      <c r="E115" s="228">
        <v>0</v>
      </c>
      <c r="G115" s="192" t="str">
        <f>CONCATENATE(G108," ",H115)</f>
        <v>08 4</v>
      </c>
      <c r="H115" s="225">
        <v>4</v>
      </c>
      <c r="I115" s="226"/>
      <c r="J115" s="227">
        <v>0</v>
      </c>
      <c r="K115" s="228">
        <f t="shared" si="108"/>
        <v>0</v>
      </c>
      <c r="L115" s="240"/>
      <c r="M115" s="240"/>
      <c r="N115" s="192" t="str">
        <f t="shared" si="103"/>
        <v>08 4</v>
      </c>
      <c r="O115" s="225">
        <v>4</v>
      </c>
      <c r="P115" s="226">
        <f t="shared" si="109"/>
        <v>0</v>
      </c>
      <c r="Q115" s="227">
        <f t="shared" si="110"/>
        <v>0</v>
      </c>
      <c r="R115" s="227">
        <f t="shared" si="104"/>
        <v>0</v>
      </c>
      <c r="U115" s="192" t="str">
        <f t="shared" si="105"/>
        <v>08 4</v>
      </c>
      <c r="V115" s="225">
        <v>4</v>
      </c>
      <c r="W115" s="226">
        <f t="shared" si="111"/>
        <v>0</v>
      </c>
      <c r="X115" s="227">
        <f t="shared" si="112"/>
        <v>0</v>
      </c>
      <c r="Y115" s="758">
        <f t="shared" si="113"/>
        <v>0</v>
      </c>
      <c r="Z115" s="231">
        <v>1.3</v>
      </c>
      <c r="AB115" s="192" t="str">
        <f t="shared" si="106"/>
        <v>08 4</v>
      </c>
      <c r="AC115" s="225">
        <v>4</v>
      </c>
      <c r="AD115" s="226">
        <f t="shared" si="107"/>
        <v>0</v>
      </c>
      <c r="AE115" s="227">
        <f t="shared" si="114"/>
        <v>0</v>
      </c>
      <c r="AF115" s="227">
        <f t="shared" si="114"/>
        <v>0</v>
      </c>
      <c r="AN115" s="225">
        <v>4</v>
      </c>
      <c r="AO115" s="226"/>
      <c r="AP115" s="227">
        <v>0</v>
      </c>
      <c r="AQ115" s="228">
        <v>0</v>
      </c>
      <c r="AS115" s="192" t="str">
        <f>CONCATENATE(AS108," ",AT115)</f>
        <v>08 4</v>
      </c>
      <c r="AT115" s="225">
        <v>4</v>
      </c>
      <c r="AU115" s="226"/>
      <c r="AV115" s="227">
        <v>0</v>
      </c>
      <c r="AW115" s="228">
        <f t="shared" si="115"/>
        <v>0</v>
      </c>
    </row>
    <row r="116" spans="2:49">
      <c r="B116" s="225">
        <v>5</v>
      </c>
      <c r="C116" s="226"/>
      <c r="D116" s="227">
        <v>0</v>
      </c>
      <c r="E116" s="228">
        <v>0</v>
      </c>
      <c r="G116" s="192" t="str">
        <f>CONCATENATE(G108," ",H116)</f>
        <v>08 5</v>
      </c>
      <c r="H116" s="225">
        <v>5</v>
      </c>
      <c r="I116" s="226"/>
      <c r="J116" s="227">
        <v>0</v>
      </c>
      <c r="K116" s="228">
        <f t="shared" si="108"/>
        <v>0</v>
      </c>
      <c r="L116" s="240"/>
      <c r="M116" s="240"/>
      <c r="N116" s="192" t="str">
        <f t="shared" si="103"/>
        <v>08 5</v>
      </c>
      <c r="O116" s="225">
        <v>5</v>
      </c>
      <c r="P116" s="226">
        <f t="shared" si="109"/>
        <v>0</v>
      </c>
      <c r="Q116" s="227">
        <f t="shared" si="110"/>
        <v>0</v>
      </c>
      <c r="R116" s="227">
        <f t="shared" si="104"/>
        <v>0</v>
      </c>
      <c r="U116" s="192" t="str">
        <f t="shared" si="105"/>
        <v>08 5</v>
      </c>
      <c r="V116" s="225">
        <v>5</v>
      </c>
      <c r="W116" s="226">
        <f t="shared" si="111"/>
        <v>0</v>
      </c>
      <c r="X116" s="227">
        <f t="shared" si="112"/>
        <v>0</v>
      </c>
      <c r="Y116" s="758">
        <f t="shared" si="113"/>
        <v>0</v>
      </c>
      <c r="Z116" s="231">
        <v>1.3</v>
      </c>
      <c r="AB116" s="192" t="str">
        <f t="shared" si="106"/>
        <v>08 5</v>
      </c>
      <c r="AC116" s="225">
        <v>5</v>
      </c>
      <c r="AD116" s="226">
        <f t="shared" si="107"/>
        <v>0</v>
      </c>
      <c r="AE116" s="227">
        <f t="shared" si="114"/>
        <v>0</v>
      </c>
      <c r="AF116" s="227">
        <f t="shared" si="114"/>
        <v>0</v>
      </c>
      <c r="AN116" s="225">
        <v>5</v>
      </c>
      <c r="AO116" s="226"/>
      <c r="AP116" s="227">
        <v>0</v>
      </c>
      <c r="AQ116" s="228">
        <v>0</v>
      </c>
      <c r="AS116" s="192" t="str">
        <f>CONCATENATE(AS108," ",AT116)</f>
        <v>08 5</v>
      </c>
      <c r="AT116" s="225">
        <v>5</v>
      </c>
      <c r="AU116" s="226"/>
      <c r="AV116" s="227">
        <v>0</v>
      </c>
      <c r="AW116" s="228">
        <f t="shared" ref="AW116:AW121" si="116">AQ116*$K$1</f>
        <v>0</v>
      </c>
    </row>
    <row r="117" spans="2:49">
      <c r="B117" s="225">
        <v>6</v>
      </c>
      <c r="C117" s="226"/>
      <c r="D117" s="227">
        <v>0</v>
      </c>
      <c r="E117" s="228">
        <v>0</v>
      </c>
      <c r="G117" s="192" t="str">
        <f>CONCATENATE(G108," ",H117)</f>
        <v>08 6</v>
      </c>
      <c r="H117" s="225">
        <v>6</v>
      </c>
      <c r="I117" s="226"/>
      <c r="J117" s="227">
        <v>0</v>
      </c>
      <c r="K117" s="228">
        <f t="shared" si="108"/>
        <v>0</v>
      </c>
      <c r="L117" s="240"/>
      <c r="M117" s="240"/>
      <c r="N117" s="192" t="str">
        <f t="shared" si="103"/>
        <v>08 6</v>
      </c>
      <c r="O117" s="225">
        <v>6</v>
      </c>
      <c r="P117" s="226">
        <f t="shared" si="109"/>
        <v>0</v>
      </c>
      <c r="Q117" s="227">
        <f t="shared" si="110"/>
        <v>0</v>
      </c>
      <c r="R117" s="227">
        <f t="shared" si="104"/>
        <v>0</v>
      </c>
      <c r="U117" s="192" t="str">
        <f t="shared" si="105"/>
        <v>08 6</v>
      </c>
      <c r="V117" s="225">
        <v>6</v>
      </c>
      <c r="W117" s="226">
        <f t="shared" si="111"/>
        <v>0</v>
      </c>
      <c r="X117" s="227">
        <f t="shared" si="112"/>
        <v>0</v>
      </c>
      <c r="Y117" s="758">
        <f t="shared" si="113"/>
        <v>0</v>
      </c>
      <c r="Z117" s="231">
        <v>1.3</v>
      </c>
      <c r="AB117" s="192" t="str">
        <f t="shared" si="106"/>
        <v>08 6</v>
      </c>
      <c r="AC117" s="225">
        <v>6</v>
      </c>
      <c r="AD117" s="226">
        <f t="shared" si="107"/>
        <v>0</v>
      </c>
      <c r="AE117" s="227">
        <f t="shared" si="114"/>
        <v>0</v>
      </c>
      <c r="AF117" s="227">
        <f t="shared" si="114"/>
        <v>0</v>
      </c>
      <c r="AN117" s="225">
        <v>6</v>
      </c>
      <c r="AO117" s="226"/>
      <c r="AP117" s="227">
        <v>0</v>
      </c>
      <c r="AQ117" s="228">
        <v>0</v>
      </c>
      <c r="AS117" s="192" t="str">
        <f>CONCATENATE(AS108," ",AT117)</f>
        <v>08 6</v>
      </c>
      <c r="AT117" s="225">
        <v>6</v>
      </c>
      <c r="AU117" s="226"/>
      <c r="AV117" s="227">
        <v>0</v>
      </c>
      <c r="AW117" s="228">
        <f t="shared" si="116"/>
        <v>0</v>
      </c>
    </row>
    <row r="118" spans="2:49">
      <c r="B118" s="225">
        <v>7</v>
      </c>
      <c r="C118" s="226"/>
      <c r="D118" s="227">
        <v>0</v>
      </c>
      <c r="E118" s="228">
        <v>0</v>
      </c>
      <c r="G118" s="192" t="str">
        <f>CONCATENATE(G108," ",H118)</f>
        <v>08 7</v>
      </c>
      <c r="H118" s="225">
        <v>7</v>
      </c>
      <c r="I118" s="226"/>
      <c r="J118" s="227">
        <v>0</v>
      </c>
      <c r="K118" s="228">
        <f t="shared" si="108"/>
        <v>0</v>
      </c>
      <c r="L118" s="240"/>
      <c r="M118" s="240"/>
      <c r="N118" s="192" t="str">
        <f t="shared" si="103"/>
        <v>08 7</v>
      </c>
      <c r="O118" s="225">
        <v>7</v>
      </c>
      <c r="P118" s="226">
        <f t="shared" si="109"/>
        <v>0</v>
      </c>
      <c r="Q118" s="227">
        <f t="shared" si="110"/>
        <v>0</v>
      </c>
      <c r="R118" s="227">
        <f t="shared" si="104"/>
        <v>0</v>
      </c>
      <c r="U118" s="192" t="str">
        <f t="shared" si="105"/>
        <v>08 7</v>
      </c>
      <c r="V118" s="225">
        <v>7</v>
      </c>
      <c r="W118" s="226">
        <f t="shared" si="111"/>
        <v>0</v>
      </c>
      <c r="X118" s="227">
        <f t="shared" si="112"/>
        <v>0</v>
      </c>
      <c r="Y118" s="758">
        <f t="shared" si="113"/>
        <v>0</v>
      </c>
      <c r="Z118" s="231">
        <v>1.3</v>
      </c>
      <c r="AB118" s="192" t="str">
        <f t="shared" si="106"/>
        <v>08 7</v>
      </c>
      <c r="AC118" s="225">
        <v>7</v>
      </c>
      <c r="AD118" s="226">
        <f t="shared" si="107"/>
        <v>0</v>
      </c>
      <c r="AE118" s="227">
        <f t="shared" si="114"/>
        <v>0</v>
      </c>
      <c r="AF118" s="227">
        <f t="shared" si="114"/>
        <v>0</v>
      </c>
      <c r="AN118" s="225">
        <v>7</v>
      </c>
      <c r="AO118" s="226"/>
      <c r="AP118" s="227">
        <v>0</v>
      </c>
      <c r="AQ118" s="228">
        <v>0</v>
      </c>
      <c r="AS118" s="192" t="str">
        <f>CONCATENATE(AS108," ",AT118)</f>
        <v>08 7</v>
      </c>
      <c r="AT118" s="225">
        <v>7</v>
      </c>
      <c r="AU118" s="226"/>
      <c r="AV118" s="227">
        <v>0</v>
      </c>
      <c r="AW118" s="228">
        <f t="shared" si="116"/>
        <v>0</v>
      </c>
    </row>
    <row r="119" spans="2:49">
      <c r="B119" s="225">
        <v>8</v>
      </c>
      <c r="C119" s="226"/>
      <c r="D119" s="227">
        <v>0</v>
      </c>
      <c r="E119" s="228">
        <v>0</v>
      </c>
      <c r="G119" s="192" t="str">
        <f>CONCATENATE(G108," ",H119)</f>
        <v>08 8</v>
      </c>
      <c r="H119" s="225">
        <v>8</v>
      </c>
      <c r="I119" s="226"/>
      <c r="J119" s="227">
        <v>0</v>
      </c>
      <c r="K119" s="228">
        <f t="shared" si="108"/>
        <v>0</v>
      </c>
      <c r="L119" s="240"/>
      <c r="M119" s="240"/>
      <c r="N119" s="192" t="str">
        <f t="shared" si="103"/>
        <v>08 8</v>
      </c>
      <c r="O119" s="225">
        <v>8</v>
      </c>
      <c r="P119" s="226">
        <f t="shared" si="109"/>
        <v>0</v>
      </c>
      <c r="Q119" s="227">
        <f t="shared" si="110"/>
        <v>0</v>
      </c>
      <c r="R119" s="227">
        <f t="shared" si="104"/>
        <v>0</v>
      </c>
      <c r="U119" s="192" t="str">
        <f t="shared" si="105"/>
        <v>08 8</v>
      </c>
      <c r="V119" s="225">
        <v>8</v>
      </c>
      <c r="W119" s="226">
        <f t="shared" si="111"/>
        <v>0</v>
      </c>
      <c r="X119" s="227">
        <f t="shared" si="112"/>
        <v>0</v>
      </c>
      <c r="Y119" s="758">
        <f t="shared" si="113"/>
        <v>0</v>
      </c>
      <c r="Z119" s="231">
        <v>1.3</v>
      </c>
      <c r="AB119" s="192" t="str">
        <f t="shared" si="106"/>
        <v>08 8</v>
      </c>
      <c r="AC119" s="225">
        <v>8</v>
      </c>
      <c r="AD119" s="226">
        <f t="shared" si="107"/>
        <v>0</v>
      </c>
      <c r="AE119" s="227">
        <f t="shared" si="114"/>
        <v>0</v>
      </c>
      <c r="AF119" s="227">
        <f t="shared" si="114"/>
        <v>0</v>
      </c>
      <c r="AN119" s="225">
        <v>8</v>
      </c>
      <c r="AO119" s="226"/>
      <c r="AP119" s="227">
        <v>0</v>
      </c>
      <c r="AQ119" s="228">
        <v>0</v>
      </c>
      <c r="AS119" s="192" t="str">
        <f>CONCATENATE(AS108," ",AT119)</f>
        <v>08 8</v>
      </c>
      <c r="AT119" s="225">
        <v>8</v>
      </c>
      <c r="AU119" s="226"/>
      <c r="AV119" s="227">
        <v>0</v>
      </c>
      <c r="AW119" s="228">
        <f t="shared" si="116"/>
        <v>0</v>
      </c>
    </row>
    <row r="120" spans="2:49">
      <c r="B120" s="225">
        <v>9</v>
      </c>
      <c r="C120" s="226"/>
      <c r="D120" s="227">
        <v>0</v>
      </c>
      <c r="E120" s="228">
        <v>0</v>
      </c>
      <c r="G120" s="192" t="str">
        <f>CONCATENATE(G108," ",H120)</f>
        <v>08 9</v>
      </c>
      <c r="H120" s="225">
        <v>9</v>
      </c>
      <c r="I120" s="226"/>
      <c r="J120" s="227">
        <v>0</v>
      </c>
      <c r="K120" s="228">
        <f t="shared" si="108"/>
        <v>0</v>
      </c>
      <c r="L120" s="240"/>
      <c r="M120" s="240"/>
      <c r="N120" s="192" t="str">
        <f t="shared" si="103"/>
        <v>08 9</v>
      </c>
      <c r="O120" s="225">
        <v>9</v>
      </c>
      <c r="P120" s="226">
        <f t="shared" si="109"/>
        <v>0</v>
      </c>
      <c r="Q120" s="227">
        <f t="shared" si="110"/>
        <v>0</v>
      </c>
      <c r="R120" s="227">
        <f t="shared" si="104"/>
        <v>0</v>
      </c>
      <c r="U120" s="192" t="str">
        <f t="shared" si="105"/>
        <v>08 9</v>
      </c>
      <c r="V120" s="225">
        <v>9</v>
      </c>
      <c r="W120" s="226">
        <f t="shared" si="111"/>
        <v>0</v>
      </c>
      <c r="X120" s="227">
        <f t="shared" si="112"/>
        <v>0</v>
      </c>
      <c r="Y120" s="758">
        <f t="shared" si="113"/>
        <v>0</v>
      </c>
      <c r="Z120" s="231">
        <v>1.3</v>
      </c>
      <c r="AB120" s="192" t="str">
        <f t="shared" si="106"/>
        <v>08 9</v>
      </c>
      <c r="AC120" s="225">
        <v>9</v>
      </c>
      <c r="AD120" s="226">
        <f t="shared" si="107"/>
        <v>0</v>
      </c>
      <c r="AE120" s="227">
        <f t="shared" si="114"/>
        <v>0</v>
      </c>
      <c r="AF120" s="227">
        <f t="shared" si="114"/>
        <v>0</v>
      </c>
      <c r="AN120" s="225">
        <v>9</v>
      </c>
      <c r="AO120" s="226"/>
      <c r="AP120" s="227">
        <v>0</v>
      </c>
      <c r="AQ120" s="228">
        <v>0</v>
      </c>
      <c r="AS120" s="192" t="str">
        <f>CONCATENATE(AS108," ",AT120)</f>
        <v>08 9</v>
      </c>
      <c r="AT120" s="225">
        <v>9</v>
      </c>
      <c r="AU120" s="226"/>
      <c r="AV120" s="227">
        <v>0</v>
      </c>
      <c r="AW120" s="228">
        <f t="shared" si="116"/>
        <v>0</v>
      </c>
    </row>
    <row r="121" spans="2:49">
      <c r="G121" s="240"/>
      <c r="L121" s="240"/>
      <c r="M121" s="240"/>
      <c r="N121" s="192"/>
      <c r="O121" s="240"/>
      <c r="U121" s="192"/>
      <c r="V121" s="240"/>
      <c r="X121" s="227">
        <f t="shared" si="112"/>
        <v>0</v>
      </c>
      <c r="Y121" s="758">
        <f t="shared" si="113"/>
        <v>0</v>
      </c>
      <c r="Z121" s="231">
        <v>1.3</v>
      </c>
      <c r="AB121" s="192"/>
      <c r="AS121" s="240"/>
      <c r="AW121" s="228">
        <f t="shared" si="116"/>
        <v>0</v>
      </c>
    </row>
    <row r="122" spans="2:49">
      <c r="B122" s="836" t="s">
        <v>4915</v>
      </c>
      <c r="C122" s="837"/>
      <c r="D122" s="219"/>
      <c r="E122" s="220"/>
      <c r="G122" s="218" t="s">
        <v>4916</v>
      </c>
      <c r="H122" s="836" t="s">
        <v>4915</v>
      </c>
      <c r="I122" s="837"/>
      <c r="J122" s="219"/>
      <c r="K122" s="220"/>
      <c r="L122" s="240"/>
      <c r="M122" s="240"/>
      <c r="N122" s="218" t="str">
        <f>G122</f>
        <v>09</v>
      </c>
      <c r="O122" s="836" t="str">
        <f>H122</f>
        <v xml:space="preserve"> Petroquímico</v>
      </c>
      <c r="P122" s="837"/>
      <c r="Q122" s="219"/>
      <c r="R122" s="220"/>
      <c r="U122" s="218" t="str">
        <f>N122</f>
        <v>09</v>
      </c>
      <c r="V122" s="836" t="str">
        <f>O122</f>
        <v xml:space="preserve"> Petroquímico</v>
      </c>
      <c r="W122" s="837"/>
      <c r="X122" s="219"/>
      <c r="Y122" s="220"/>
      <c r="AB122" s="218" t="str">
        <f>U122</f>
        <v>09</v>
      </c>
      <c r="AC122" s="836" t="str">
        <f>V122</f>
        <v xml:space="preserve"> Petroquímico</v>
      </c>
      <c r="AD122" s="837"/>
      <c r="AE122" s="219"/>
      <c r="AF122" s="220"/>
      <c r="AN122" s="836" t="s">
        <v>4915</v>
      </c>
      <c r="AO122" s="837"/>
      <c r="AP122" s="219"/>
      <c r="AQ122" s="220"/>
      <c r="AS122" s="218" t="s">
        <v>4916</v>
      </c>
      <c r="AT122" s="282" t="s">
        <v>4915</v>
      </c>
      <c r="AU122" s="283"/>
      <c r="AV122" s="219"/>
      <c r="AW122" s="220"/>
    </row>
    <row r="123" spans="2:49">
      <c r="B123" s="838" t="s">
        <v>4898</v>
      </c>
      <c r="C123" s="838"/>
      <c r="D123" s="219"/>
      <c r="E123" s="220"/>
      <c r="G123" s="222"/>
      <c r="H123" s="838" t="s">
        <v>4913</v>
      </c>
      <c r="I123" s="838"/>
      <c r="J123" s="219"/>
      <c r="K123" s="220"/>
      <c r="L123" s="240"/>
      <c r="M123" s="240"/>
      <c r="N123" s="222"/>
      <c r="O123" s="838" t="s">
        <v>4898</v>
      </c>
      <c r="P123" s="838"/>
      <c r="Q123" s="219"/>
      <c r="R123" s="220"/>
      <c r="U123" s="222"/>
      <c r="V123" s="838" t="s">
        <v>4898</v>
      </c>
      <c r="W123" s="838"/>
      <c r="X123" s="219"/>
      <c r="Y123" s="220"/>
      <c r="AB123" s="222"/>
      <c r="AC123" s="838" t="s">
        <v>4898</v>
      </c>
      <c r="AD123" s="838"/>
      <c r="AE123" s="219"/>
      <c r="AF123" s="220"/>
      <c r="AN123" s="838" t="s">
        <v>4898</v>
      </c>
      <c r="AO123" s="838"/>
      <c r="AP123" s="219"/>
      <c r="AQ123" s="220"/>
      <c r="AS123" s="222"/>
      <c r="AT123" s="284" t="s">
        <v>4913</v>
      </c>
      <c r="AU123" s="284"/>
      <c r="AV123" s="219"/>
      <c r="AW123" s="220"/>
    </row>
    <row r="124" spans="2:49">
      <c r="B124" s="835" t="s">
        <v>4899</v>
      </c>
      <c r="C124" s="835"/>
      <c r="D124" s="224" t="s">
        <v>4901</v>
      </c>
      <c r="E124" s="224"/>
      <c r="G124" s="222"/>
      <c r="H124" s="835" t="s">
        <v>4899</v>
      </c>
      <c r="I124" s="835"/>
      <c r="J124" s="224" t="s">
        <v>4901</v>
      </c>
      <c r="K124" s="224"/>
      <c r="L124" s="240"/>
      <c r="M124" s="240"/>
      <c r="N124" s="222"/>
      <c r="O124" s="835" t="s">
        <v>4899</v>
      </c>
      <c r="P124" s="835" t="s">
        <v>4900</v>
      </c>
      <c r="Q124" s="224" t="s">
        <v>4901</v>
      </c>
      <c r="R124" s="224"/>
      <c r="U124" s="222"/>
      <c r="V124" s="835" t="s">
        <v>4899</v>
      </c>
      <c r="W124" s="835" t="s">
        <v>4900</v>
      </c>
      <c r="X124" s="224" t="s">
        <v>4901</v>
      </c>
      <c r="Y124" s="224"/>
      <c r="AB124" s="222"/>
      <c r="AC124" s="835" t="s">
        <v>4899</v>
      </c>
      <c r="AD124" s="835" t="s">
        <v>4900</v>
      </c>
      <c r="AE124" s="841" t="s">
        <v>4901</v>
      </c>
      <c r="AF124" s="841"/>
      <c r="AN124" s="835" t="s">
        <v>4899</v>
      </c>
      <c r="AO124" s="835"/>
      <c r="AP124" s="224" t="s">
        <v>4901</v>
      </c>
      <c r="AQ124" s="224"/>
      <c r="AS124" s="222"/>
      <c r="AT124" s="285" t="s">
        <v>4899</v>
      </c>
      <c r="AU124" s="285"/>
      <c r="AV124" s="224" t="s">
        <v>4901</v>
      </c>
      <c r="AW124" s="224"/>
    </row>
    <row r="125" spans="2:49">
      <c r="B125" s="835"/>
      <c r="C125" s="835"/>
      <c r="D125" s="223" t="s">
        <v>4902</v>
      </c>
      <c r="E125" s="223" t="s">
        <v>4903</v>
      </c>
      <c r="G125" s="222"/>
      <c r="H125" s="835"/>
      <c r="I125" s="835"/>
      <c r="J125" s="223" t="s">
        <v>4902</v>
      </c>
      <c r="K125" s="223" t="s">
        <v>4903</v>
      </c>
      <c r="L125" s="240"/>
      <c r="M125" s="240"/>
      <c r="N125" s="222"/>
      <c r="O125" s="835"/>
      <c r="P125" s="835"/>
      <c r="Q125" s="223" t="s">
        <v>4902</v>
      </c>
      <c r="R125" s="223" t="s">
        <v>4903</v>
      </c>
      <c r="U125" s="222"/>
      <c r="V125" s="835"/>
      <c r="W125" s="835"/>
      <c r="X125" s="223" t="s">
        <v>4902</v>
      </c>
      <c r="Y125" s="223" t="s">
        <v>4903</v>
      </c>
      <c r="AB125" s="222"/>
      <c r="AC125" s="835"/>
      <c r="AD125" s="835"/>
      <c r="AE125" s="223" t="s">
        <v>4902</v>
      </c>
      <c r="AF125" s="223" t="s">
        <v>4903</v>
      </c>
      <c r="AN125" s="835"/>
      <c r="AO125" s="835"/>
      <c r="AP125" s="223" t="s">
        <v>4902</v>
      </c>
      <c r="AQ125" s="223" t="s">
        <v>4903</v>
      </c>
      <c r="AS125" s="222"/>
      <c r="AT125" s="285"/>
      <c r="AU125" s="285"/>
      <c r="AV125" s="223" t="s">
        <v>4902</v>
      </c>
      <c r="AW125" s="223" t="s">
        <v>4903</v>
      </c>
    </row>
    <row r="126" spans="2:49">
      <c r="B126" s="225">
        <v>1</v>
      </c>
      <c r="C126" s="226">
        <v>999999999</v>
      </c>
      <c r="D126" s="227">
        <v>0</v>
      </c>
      <c r="E126" s="228">
        <v>5.4143419999999942E-2</v>
      </c>
      <c r="G126" s="192" t="str">
        <f>CONCATENATE(G122," ",H126)</f>
        <v>09 1</v>
      </c>
      <c r="H126" s="225">
        <v>1</v>
      </c>
      <c r="I126" s="226">
        <v>999999999</v>
      </c>
      <c r="J126" s="227">
        <v>0</v>
      </c>
      <c r="K126" s="228">
        <f>E126*$K$1</f>
        <v>4.9639318967456707E-2</v>
      </c>
      <c r="L126" s="240"/>
      <c r="M126" s="240"/>
      <c r="N126" s="192" t="str">
        <f t="shared" ref="N126:N134" si="117">G126</f>
        <v>09 1</v>
      </c>
      <c r="O126" s="225">
        <v>1</v>
      </c>
      <c r="P126" s="226">
        <f>I126</f>
        <v>999999999</v>
      </c>
      <c r="Q126" s="227">
        <v>0</v>
      </c>
      <c r="R126" s="227">
        <f t="shared" ref="R126:R134" si="118">K126*$R$1</f>
        <v>0</v>
      </c>
      <c r="U126" s="192" t="str">
        <f t="shared" ref="U126:U134" si="119">N126</f>
        <v>09 1</v>
      </c>
      <c r="V126" s="225">
        <v>1</v>
      </c>
      <c r="W126" s="226">
        <f>P126</f>
        <v>999999999</v>
      </c>
      <c r="X126" s="227">
        <f>J126*Z126</f>
        <v>0</v>
      </c>
      <c r="Y126" s="758">
        <f>K126*Z126</f>
        <v>6.4531114657693719E-2</v>
      </c>
      <c r="Z126" s="231">
        <v>1.3</v>
      </c>
      <c r="AB126" s="192" t="str">
        <f t="shared" ref="AB126:AB134" si="120">U126</f>
        <v>09 1</v>
      </c>
      <c r="AC126" s="225">
        <v>1</v>
      </c>
      <c r="AD126" s="226">
        <f t="shared" ref="AD126:AD134" si="121">P126</f>
        <v>999999999</v>
      </c>
      <c r="AE126" s="227">
        <f>X126+Q126</f>
        <v>0</v>
      </c>
      <c r="AF126" s="227">
        <f>Y126+R126</f>
        <v>6.4531114657693719E-2</v>
      </c>
      <c r="AN126" s="225">
        <v>1</v>
      </c>
      <c r="AO126" s="226">
        <v>999999999</v>
      </c>
      <c r="AP126" s="227">
        <v>0</v>
      </c>
      <c r="AQ126" s="228">
        <v>3.3826999999999998</v>
      </c>
      <c r="AS126" s="192" t="str">
        <f>CONCATENATE(AS122," ",AT126)</f>
        <v>09 1</v>
      </c>
      <c r="AT126" s="225">
        <v>1</v>
      </c>
      <c r="AU126" s="226">
        <v>999999999</v>
      </c>
      <c r="AV126" s="227">
        <v>0</v>
      </c>
      <c r="AW126" s="228">
        <f>AQ126*$AW$1</f>
        <v>3.1012988147260732</v>
      </c>
    </row>
    <row r="127" spans="2:49">
      <c r="B127" s="225">
        <v>2</v>
      </c>
      <c r="C127" s="226"/>
      <c r="D127" s="227">
        <v>0</v>
      </c>
      <c r="E127" s="228"/>
      <c r="G127" s="192" t="str">
        <f>CONCATENATE(G122," ",H127)</f>
        <v>09 2</v>
      </c>
      <c r="H127" s="225">
        <v>2</v>
      </c>
      <c r="I127" s="226"/>
      <c r="J127" s="227">
        <v>0</v>
      </c>
      <c r="K127" s="228">
        <f t="shared" ref="K127:K134" si="122">E127*$K$1</f>
        <v>0</v>
      </c>
      <c r="L127" s="240"/>
      <c r="M127" s="240"/>
      <c r="N127" s="192" t="str">
        <f t="shared" si="117"/>
        <v>09 2</v>
      </c>
      <c r="O127" s="225">
        <v>2</v>
      </c>
      <c r="P127" s="226">
        <f t="shared" ref="P127:P134" si="123">I127</f>
        <v>0</v>
      </c>
      <c r="Q127" s="227">
        <f t="shared" ref="Q127:Q134" si="124">J127*$R$1</f>
        <v>0</v>
      </c>
      <c r="R127" s="227">
        <f t="shared" si="118"/>
        <v>0</v>
      </c>
      <c r="U127" s="192" t="str">
        <f t="shared" si="119"/>
        <v>09 2</v>
      </c>
      <c r="V127" s="225">
        <v>2</v>
      </c>
      <c r="W127" s="226">
        <f t="shared" ref="W127:W134" si="125">P127</f>
        <v>0</v>
      </c>
      <c r="X127" s="227">
        <f t="shared" ref="X127:X135" si="126">J127*Z127</f>
        <v>0</v>
      </c>
      <c r="Y127" s="758">
        <f t="shared" ref="Y127:Y135" si="127">K127*Z127</f>
        <v>0</v>
      </c>
      <c r="Z127" s="231">
        <v>1.3</v>
      </c>
      <c r="AB127" s="192" t="str">
        <f t="shared" si="120"/>
        <v>09 2</v>
      </c>
      <c r="AC127" s="225">
        <v>2</v>
      </c>
      <c r="AD127" s="226">
        <f t="shared" si="121"/>
        <v>0</v>
      </c>
      <c r="AE127" s="227">
        <f t="shared" ref="AE127:AF134" si="128">X127+Q127</f>
        <v>0</v>
      </c>
      <c r="AF127" s="227">
        <f t="shared" si="128"/>
        <v>0</v>
      </c>
      <c r="AN127" s="225">
        <v>2</v>
      </c>
      <c r="AO127" s="226"/>
      <c r="AP127" s="227">
        <v>0</v>
      </c>
      <c r="AQ127" s="228">
        <v>0</v>
      </c>
      <c r="AS127" s="192" t="str">
        <f>CONCATENATE(AS122," ",AT127)</f>
        <v>09 2</v>
      </c>
      <c r="AT127" s="225">
        <v>2</v>
      </c>
      <c r="AU127" s="226"/>
      <c r="AV127" s="227">
        <v>0</v>
      </c>
      <c r="AW127" s="228">
        <f t="shared" ref="AW127:AW129" si="129">AQ127*$AW$1</f>
        <v>0</v>
      </c>
    </row>
    <row r="128" spans="2:49">
      <c r="B128" s="225">
        <v>3</v>
      </c>
      <c r="C128" s="226"/>
      <c r="D128" s="227">
        <v>0</v>
      </c>
      <c r="E128" s="228"/>
      <c r="G128" s="192" t="str">
        <f>CONCATENATE(G122," ",H128)</f>
        <v>09 3</v>
      </c>
      <c r="H128" s="225">
        <v>3</v>
      </c>
      <c r="I128" s="226"/>
      <c r="J128" s="227">
        <v>0</v>
      </c>
      <c r="K128" s="228">
        <f t="shared" si="122"/>
        <v>0</v>
      </c>
      <c r="L128" s="240"/>
      <c r="M128" s="240"/>
      <c r="N128" s="192" t="str">
        <f t="shared" si="117"/>
        <v>09 3</v>
      </c>
      <c r="O128" s="225">
        <v>3</v>
      </c>
      <c r="P128" s="226">
        <f t="shared" si="123"/>
        <v>0</v>
      </c>
      <c r="Q128" s="227">
        <f t="shared" si="124"/>
        <v>0</v>
      </c>
      <c r="R128" s="227">
        <f t="shared" si="118"/>
        <v>0</v>
      </c>
      <c r="U128" s="192" t="str">
        <f t="shared" si="119"/>
        <v>09 3</v>
      </c>
      <c r="V128" s="225">
        <v>3</v>
      </c>
      <c r="W128" s="226">
        <f t="shared" si="125"/>
        <v>0</v>
      </c>
      <c r="X128" s="227">
        <f t="shared" si="126"/>
        <v>0</v>
      </c>
      <c r="Y128" s="758">
        <f t="shared" si="127"/>
        <v>0</v>
      </c>
      <c r="Z128" s="231">
        <v>1.3</v>
      </c>
      <c r="AB128" s="192" t="str">
        <f t="shared" si="120"/>
        <v>09 3</v>
      </c>
      <c r="AC128" s="225">
        <v>3</v>
      </c>
      <c r="AD128" s="226">
        <f t="shared" si="121"/>
        <v>0</v>
      </c>
      <c r="AE128" s="227">
        <f t="shared" si="128"/>
        <v>0</v>
      </c>
      <c r="AF128" s="227">
        <f t="shared" si="128"/>
        <v>0</v>
      </c>
      <c r="AN128" s="225">
        <v>3</v>
      </c>
      <c r="AO128" s="226"/>
      <c r="AP128" s="227">
        <v>0</v>
      </c>
      <c r="AQ128" s="228">
        <v>0</v>
      </c>
      <c r="AS128" s="192" t="str">
        <f>CONCATENATE(AS122," ",AT128)</f>
        <v>09 3</v>
      </c>
      <c r="AT128" s="225">
        <v>3</v>
      </c>
      <c r="AU128" s="226"/>
      <c r="AV128" s="227">
        <v>0</v>
      </c>
      <c r="AW128" s="228">
        <f t="shared" si="129"/>
        <v>0</v>
      </c>
    </row>
    <row r="129" spans="2:49">
      <c r="B129" s="225">
        <v>4</v>
      </c>
      <c r="C129" s="226"/>
      <c r="D129" s="227">
        <v>0</v>
      </c>
      <c r="E129" s="228"/>
      <c r="G129" s="192" t="str">
        <f>CONCATENATE(G122," ",H129)</f>
        <v>09 4</v>
      </c>
      <c r="H129" s="225">
        <v>4</v>
      </c>
      <c r="I129" s="226"/>
      <c r="J129" s="227">
        <v>0</v>
      </c>
      <c r="K129" s="228">
        <f t="shared" si="122"/>
        <v>0</v>
      </c>
      <c r="L129" s="240"/>
      <c r="M129" s="240"/>
      <c r="N129" s="192" t="str">
        <f t="shared" si="117"/>
        <v>09 4</v>
      </c>
      <c r="O129" s="225">
        <v>4</v>
      </c>
      <c r="P129" s="226">
        <f t="shared" si="123"/>
        <v>0</v>
      </c>
      <c r="Q129" s="227">
        <f t="shared" si="124"/>
        <v>0</v>
      </c>
      <c r="R129" s="227">
        <f t="shared" si="118"/>
        <v>0</v>
      </c>
      <c r="U129" s="192" t="str">
        <f t="shared" si="119"/>
        <v>09 4</v>
      </c>
      <c r="V129" s="225">
        <v>4</v>
      </c>
      <c r="W129" s="226">
        <f t="shared" si="125"/>
        <v>0</v>
      </c>
      <c r="X129" s="227">
        <f t="shared" si="126"/>
        <v>0</v>
      </c>
      <c r="Y129" s="758">
        <f t="shared" si="127"/>
        <v>0</v>
      </c>
      <c r="Z129" s="231">
        <v>1.3</v>
      </c>
      <c r="AB129" s="192" t="str">
        <f t="shared" si="120"/>
        <v>09 4</v>
      </c>
      <c r="AC129" s="225">
        <v>4</v>
      </c>
      <c r="AD129" s="226">
        <f t="shared" si="121"/>
        <v>0</v>
      </c>
      <c r="AE129" s="227">
        <f t="shared" si="128"/>
        <v>0</v>
      </c>
      <c r="AF129" s="227">
        <f t="shared" si="128"/>
        <v>0</v>
      </c>
      <c r="AN129" s="225">
        <v>4</v>
      </c>
      <c r="AO129" s="226"/>
      <c r="AP129" s="227">
        <v>0</v>
      </c>
      <c r="AQ129" s="228">
        <v>0</v>
      </c>
      <c r="AS129" s="192" t="str">
        <f>CONCATENATE(AS122," ",AT129)</f>
        <v>09 4</v>
      </c>
      <c r="AT129" s="225">
        <v>4</v>
      </c>
      <c r="AU129" s="226"/>
      <c r="AV129" s="227">
        <v>0</v>
      </c>
      <c r="AW129" s="228">
        <f t="shared" si="129"/>
        <v>0</v>
      </c>
    </row>
    <row r="130" spans="2:49">
      <c r="B130" s="225">
        <v>5</v>
      </c>
      <c r="C130" s="226"/>
      <c r="D130" s="227">
        <v>0</v>
      </c>
      <c r="E130" s="228"/>
      <c r="G130" s="192" t="str">
        <f>CONCATENATE(G122," ",H130)</f>
        <v>09 5</v>
      </c>
      <c r="H130" s="225">
        <v>5</v>
      </c>
      <c r="I130" s="226"/>
      <c r="J130" s="227">
        <v>0</v>
      </c>
      <c r="K130" s="228">
        <f t="shared" si="122"/>
        <v>0</v>
      </c>
      <c r="L130" s="240"/>
      <c r="M130" s="240"/>
      <c r="N130" s="192" t="str">
        <f t="shared" si="117"/>
        <v>09 5</v>
      </c>
      <c r="O130" s="225">
        <v>5</v>
      </c>
      <c r="P130" s="226">
        <f t="shared" si="123"/>
        <v>0</v>
      </c>
      <c r="Q130" s="227">
        <f t="shared" si="124"/>
        <v>0</v>
      </c>
      <c r="R130" s="227">
        <f t="shared" si="118"/>
        <v>0</v>
      </c>
      <c r="U130" s="192" t="str">
        <f t="shared" si="119"/>
        <v>09 5</v>
      </c>
      <c r="V130" s="225">
        <v>5</v>
      </c>
      <c r="W130" s="226">
        <f t="shared" si="125"/>
        <v>0</v>
      </c>
      <c r="X130" s="227">
        <f t="shared" si="126"/>
        <v>0</v>
      </c>
      <c r="Y130" s="758">
        <f t="shared" si="127"/>
        <v>0</v>
      </c>
      <c r="Z130" s="231">
        <v>1.3</v>
      </c>
      <c r="AB130" s="192" t="str">
        <f t="shared" si="120"/>
        <v>09 5</v>
      </c>
      <c r="AC130" s="225">
        <v>5</v>
      </c>
      <c r="AD130" s="226">
        <f t="shared" si="121"/>
        <v>0</v>
      </c>
      <c r="AE130" s="227">
        <f t="shared" si="128"/>
        <v>0</v>
      </c>
      <c r="AF130" s="227">
        <f t="shared" si="128"/>
        <v>0</v>
      </c>
      <c r="AN130" s="225">
        <v>5</v>
      </c>
      <c r="AO130" s="226"/>
      <c r="AP130" s="227">
        <v>0</v>
      </c>
      <c r="AQ130" s="228">
        <v>0</v>
      </c>
      <c r="AS130" s="192" t="str">
        <f>CONCATENATE(AS122," ",AT130)</f>
        <v>09 5</v>
      </c>
      <c r="AT130" s="225">
        <v>5</v>
      </c>
      <c r="AU130" s="226"/>
      <c r="AV130" s="227">
        <v>0</v>
      </c>
      <c r="AW130" s="228">
        <f t="shared" ref="AW130:AW135" si="130">AQ130*$K$1</f>
        <v>0</v>
      </c>
    </row>
    <row r="131" spans="2:49">
      <c r="B131" s="225">
        <v>6</v>
      </c>
      <c r="C131" s="226"/>
      <c r="D131" s="227">
        <v>0</v>
      </c>
      <c r="E131" s="228"/>
      <c r="G131" s="192" t="str">
        <f>CONCATENATE(G122," ",H131)</f>
        <v>09 6</v>
      </c>
      <c r="H131" s="225">
        <v>6</v>
      </c>
      <c r="I131" s="226"/>
      <c r="J131" s="227">
        <v>0</v>
      </c>
      <c r="K131" s="228">
        <f t="shared" si="122"/>
        <v>0</v>
      </c>
      <c r="L131" s="240"/>
      <c r="M131" s="240"/>
      <c r="N131" s="192" t="str">
        <f t="shared" si="117"/>
        <v>09 6</v>
      </c>
      <c r="O131" s="225">
        <v>6</v>
      </c>
      <c r="P131" s="226">
        <f t="shared" si="123"/>
        <v>0</v>
      </c>
      <c r="Q131" s="227">
        <f t="shared" si="124"/>
        <v>0</v>
      </c>
      <c r="R131" s="227">
        <f t="shared" si="118"/>
        <v>0</v>
      </c>
      <c r="U131" s="192" t="str">
        <f t="shared" si="119"/>
        <v>09 6</v>
      </c>
      <c r="V131" s="225">
        <v>6</v>
      </c>
      <c r="W131" s="226">
        <f t="shared" si="125"/>
        <v>0</v>
      </c>
      <c r="X131" s="227">
        <f t="shared" si="126"/>
        <v>0</v>
      </c>
      <c r="Y131" s="758">
        <f t="shared" si="127"/>
        <v>0</v>
      </c>
      <c r="Z131" s="231">
        <v>1.3</v>
      </c>
      <c r="AB131" s="192" t="str">
        <f t="shared" si="120"/>
        <v>09 6</v>
      </c>
      <c r="AC131" s="225">
        <v>6</v>
      </c>
      <c r="AD131" s="226">
        <f t="shared" si="121"/>
        <v>0</v>
      </c>
      <c r="AE131" s="227">
        <f t="shared" si="128"/>
        <v>0</v>
      </c>
      <c r="AF131" s="227">
        <f t="shared" si="128"/>
        <v>0</v>
      </c>
      <c r="AN131" s="225">
        <v>6</v>
      </c>
      <c r="AO131" s="226"/>
      <c r="AP131" s="227">
        <v>0</v>
      </c>
      <c r="AQ131" s="228">
        <v>0</v>
      </c>
      <c r="AS131" s="192" t="str">
        <f>CONCATENATE(AS122," ",AT131)</f>
        <v>09 6</v>
      </c>
      <c r="AT131" s="225">
        <v>6</v>
      </c>
      <c r="AU131" s="226"/>
      <c r="AV131" s="227">
        <v>0</v>
      </c>
      <c r="AW131" s="228">
        <f t="shared" si="130"/>
        <v>0</v>
      </c>
    </row>
    <row r="132" spans="2:49">
      <c r="B132" s="225">
        <v>7</v>
      </c>
      <c r="C132" s="226"/>
      <c r="D132" s="227">
        <v>0</v>
      </c>
      <c r="E132" s="228"/>
      <c r="G132" s="192" t="str">
        <f>CONCATENATE(G122," ",H132)</f>
        <v>09 7</v>
      </c>
      <c r="H132" s="225">
        <v>7</v>
      </c>
      <c r="I132" s="226"/>
      <c r="J132" s="227">
        <v>0</v>
      </c>
      <c r="K132" s="228">
        <f t="shared" si="122"/>
        <v>0</v>
      </c>
      <c r="L132" s="240"/>
      <c r="M132" s="240"/>
      <c r="N132" s="192" t="str">
        <f t="shared" si="117"/>
        <v>09 7</v>
      </c>
      <c r="O132" s="225">
        <v>7</v>
      </c>
      <c r="P132" s="226">
        <f t="shared" si="123"/>
        <v>0</v>
      </c>
      <c r="Q132" s="227">
        <f t="shared" si="124"/>
        <v>0</v>
      </c>
      <c r="R132" s="227">
        <f t="shared" si="118"/>
        <v>0</v>
      </c>
      <c r="U132" s="192" t="str">
        <f t="shared" si="119"/>
        <v>09 7</v>
      </c>
      <c r="V132" s="225">
        <v>7</v>
      </c>
      <c r="W132" s="226">
        <f t="shared" si="125"/>
        <v>0</v>
      </c>
      <c r="X132" s="227">
        <f t="shared" si="126"/>
        <v>0</v>
      </c>
      <c r="Y132" s="758">
        <f t="shared" si="127"/>
        <v>0</v>
      </c>
      <c r="Z132" s="231">
        <v>1.3</v>
      </c>
      <c r="AB132" s="192" t="str">
        <f t="shared" si="120"/>
        <v>09 7</v>
      </c>
      <c r="AC132" s="225">
        <v>7</v>
      </c>
      <c r="AD132" s="226">
        <f t="shared" si="121"/>
        <v>0</v>
      </c>
      <c r="AE132" s="227">
        <f t="shared" si="128"/>
        <v>0</v>
      </c>
      <c r="AF132" s="227">
        <f t="shared" si="128"/>
        <v>0</v>
      </c>
      <c r="AN132" s="225">
        <v>7</v>
      </c>
      <c r="AO132" s="226"/>
      <c r="AP132" s="227">
        <v>0</v>
      </c>
      <c r="AQ132" s="228">
        <v>0</v>
      </c>
      <c r="AS132" s="192" t="str">
        <f>CONCATENATE(AS122," ",AT132)</f>
        <v>09 7</v>
      </c>
      <c r="AT132" s="225">
        <v>7</v>
      </c>
      <c r="AU132" s="226"/>
      <c r="AV132" s="227">
        <v>0</v>
      </c>
      <c r="AW132" s="228">
        <f t="shared" si="130"/>
        <v>0</v>
      </c>
    </row>
    <row r="133" spans="2:49">
      <c r="B133" s="225">
        <v>8</v>
      </c>
      <c r="C133" s="226"/>
      <c r="D133" s="227">
        <v>0</v>
      </c>
      <c r="E133" s="228"/>
      <c r="G133" s="192" t="str">
        <f>CONCATENATE(G122," ",H133)</f>
        <v>09 8</v>
      </c>
      <c r="H133" s="225">
        <v>8</v>
      </c>
      <c r="I133" s="226"/>
      <c r="J133" s="227">
        <v>0</v>
      </c>
      <c r="K133" s="228">
        <f t="shared" si="122"/>
        <v>0</v>
      </c>
      <c r="L133" s="240"/>
      <c r="M133" s="240"/>
      <c r="N133" s="192" t="str">
        <f t="shared" si="117"/>
        <v>09 8</v>
      </c>
      <c r="O133" s="225">
        <v>8</v>
      </c>
      <c r="P133" s="226">
        <f t="shared" si="123"/>
        <v>0</v>
      </c>
      <c r="Q133" s="227">
        <f t="shared" si="124"/>
        <v>0</v>
      </c>
      <c r="R133" s="227">
        <f t="shared" si="118"/>
        <v>0</v>
      </c>
      <c r="U133" s="192" t="str">
        <f t="shared" si="119"/>
        <v>09 8</v>
      </c>
      <c r="V133" s="225">
        <v>8</v>
      </c>
      <c r="W133" s="226">
        <f t="shared" si="125"/>
        <v>0</v>
      </c>
      <c r="X133" s="227">
        <f t="shared" si="126"/>
        <v>0</v>
      </c>
      <c r="Y133" s="758">
        <f t="shared" si="127"/>
        <v>0</v>
      </c>
      <c r="Z133" s="231">
        <v>1.3</v>
      </c>
      <c r="AB133" s="192" t="str">
        <f t="shared" si="120"/>
        <v>09 8</v>
      </c>
      <c r="AC133" s="225">
        <v>8</v>
      </c>
      <c r="AD133" s="226">
        <f t="shared" si="121"/>
        <v>0</v>
      </c>
      <c r="AE133" s="227">
        <f t="shared" si="128"/>
        <v>0</v>
      </c>
      <c r="AF133" s="227">
        <f t="shared" si="128"/>
        <v>0</v>
      </c>
      <c r="AN133" s="225">
        <v>8</v>
      </c>
      <c r="AO133" s="226"/>
      <c r="AP133" s="227">
        <v>0</v>
      </c>
      <c r="AQ133" s="228">
        <v>0</v>
      </c>
      <c r="AS133" s="192" t="str">
        <f>CONCATENATE(AS122," ",AT133)</f>
        <v>09 8</v>
      </c>
      <c r="AT133" s="225">
        <v>8</v>
      </c>
      <c r="AU133" s="226"/>
      <c r="AV133" s="227">
        <v>0</v>
      </c>
      <c r="AW133" s="228">
        <f t="shared" si="130"/>
        <v>0</v>
      </c>
    </row>
    <row r="134" spans="2:49">
      <c r="B134" s="225">
        <v>9</v>
      </c>
      <c r="C134" s="226"/>
      <c r="D134" s="227">
        <v>0</v>
      </c>
      <c r="E134" s="228"/>
      <c r="G134" s="192" t="str">
        <f>CONCATENATE(G122," ",H134)</f>
        <v>09 9</v>
      </c>
      <c r="H134" s="225">
        <v>9</v>
      </c>
      <c r="I134" s="226"/>
      <c r="J134" s="227">
        <v>0</v>
      </c>
      <c r="K134" s="228">
        <f t="shared" si="122"/>
        <v>0</v>
      </c>
      <c r="L134" s="240"/>
      <c r="M134" s="240"/>
      <c r="N134" s="192" t="str">
        <f t="shared" si="117"/>
        <v>09 9</v>
      </c>
      <c r="O134" s="225">
        <v>9</v>
      </c>
      <c r="P134" s="226">
        <f t="shared" si="123"/>
        <v>0</v>
      </c>
      <c r="Q134" s="227">
        <f t="shared" si="124"/>
        <v>0</v>
      </c>
      <c r="R134" s="227">
        <f t="shared" si="118"/>
        <v>0</v>
      </c>
      <c r="U134" s="192" t="str">
        <f t="shared" si="119"/>
        <v>09 9</v>
      </c>
      <c r="V134" s="225">
        <v>9</v>
      </c>
      <c r="W134" s="226">
        <f t="shared" si="125"/>
        <v>0</v>
      </c>
      <c r="X134" s="227">
        <f t="shared" si="126"/>
        <v>0</v>
      </c>
      <c r="Y134" s="758">
        <f t="shared" si="127"/>
        <v>0</v>
      </c>
      <c r="Z134" s="231">
        <v>1.3</v>
      </c>
      <c r="AB134" s="192" t="str">
        <f t="shared" si="120"/>
        <v>09 9</v>
      </c>
      <c r="AC134" s="225">
        <v>9</v>
      </c>
      <c r="AD134" s="226">
        <f t="shared" si="121"/>
        <v>0</v>
      </c>
      <c r="AE134" s="227">
        <f t="shared" si="128"/>
        <v>0</v>
      </c>
      <c r="AF134" s="227">
        <f t="shared" si="128"/>
        <v>0</v>
      </c>
      <c r="AN134" s="225">
        <v>9</v>
      </c>
      <c r="AO134" s="226"/>
      <c r="AP134" s="227">
        <v>0</v>
      </c>
      <c r="AQ134" s="228">
        <v>0</v>
      </c>
      <c r="AS134" s="192" t="str">
        <f>CONCATENATE(AS122," ",AT134)</f>
        <v>09 9</v>
      </c>
      <c r="AT134" s="225">
        <v>9</v>
      </c>
      <c r="AU134" s="226"/>
      <c r="AV134" s="227">
        <v>0</v>
      </c>
      <c r="AW134" s="228">
        <f t="shared" si="130"/>
        <v>0</v>
      </c>
    </row>
    <row r="135" spans="2:49">
      <c r="N135" s="192"/>
      <c r="U135" s="192"/>
      <c r="X135" s="227">
        <f t="shared" si="126"/>
        <v>0</v>
      </c>
      <c r="Y135" s="758">
        <f t="shared" si="127"/>
        <v>0</v>
      </c>
      <c r="Z135" s="231">
        <v>1.3</v>
      </c>
      <c r="AB135" s="192"/>
      <c r="AW135" s="228">
        <f t="shared" si="130"/>
        <v>0</v>
      </c>
    </row>
    <row r="136" spans="2:49">
      <c r="B136" s="836" t="s">
        <v>18</v>
      </c>
      <c r="C136" s="837"/>
      <c r="D136" s="219"/>
      <c r="E136" s="220"/>
      <c r="G136" s="218" t="s">
        <v>333</v>
      </c>
      <c r="H136" s="836" t="s">
        <v>18</v>
      </c>
      <c r="I136" s="837"/>
      <c r="J136" s="219"/>
      <c r="K136" s="220"/>
      <c r="L136" s="240"/>
      <c r="M136" s="240"/>
      <c r="N136" s="218" t="str">
        <f>G136</f>
        <v>10</v>
      </c>
      <c r="O136" s="836" t="str">
        <f>H136</f>
        <v>Industrial</v>
      </c>
      <c r="P136" s="837"/>
      <c r="Q136" s="219"/>
      <c r="R136" s="220"/>
      <c r="U136" s="218" t="str">
        <f>N136</f>
        <v>10</v>
      </c>
      <c r="V136" s="836" t="str">
        <f>O136</f>
        <v>Industrial</v>
      </c>
      <c r="W136" s="837"/>
      <c r="X136" s="219"/>
      <c r="Y136" s="220"/>
      <c r="AB136" s="218" t="str">
        <f>U136</f>
        <v>10</v>
      </c>
      <c r="AC136" s="836" t="str">
        <f>V136</f>
        <v>Industrial</v>
      </c>
      <c r="AD136" s="837"/>
      <c r="AE136" s="219"/>
      <c r="AF136" s="220"/>
      <c r="AN136" s="836" t="s">
        <v>18</v>
      </c>
      <c r="AO136" s="837"/>
      <c r="AP136" s="219"/>
      <c r="AQ136" s="220"/>
      <c r="AS136" s="218" t="s">
        <v>333</v>
      </c>
      <c r="AT136" s="282" t="s">
        <v>18</v>
      </c>
      <c r="AU136" s="283"/>
      <c r="AV136" s="219"/>
      <c r="AW136" s="220"/>
    </row>
    <row r="137" spans="2:49">
      <c r="B137" s="838" t="s">
        <v>4898</v>
      </c>
      <c r="C137" s="838"/>
      <c r="D137" s="219"/>
      <c r="E137" s="220"/>
      <c r="G137" s="222"/>
      <c r="H137" s="838" t="s">
        <v>4913</v>
      </c>
      <c r="I137" s="838"/>
      <c r="J137" s="219"/>
      <c r="K137" s="220"/>
      <c r="L137" s="240"/>
      <c r="M137" s="240"/>
      <c r="N137" s="222"/>
      <c r="O137" s="838" t="s">
        <v>4898</v>
      </c>
      <c r="P137" s="838"/>
      <c r="Q137" s="219"/>
      <c r="R137" s="220"/>
      <c r="U137" s="222"/>
      <c r="V137" s="838" t="s">
        <v>4898</v>
      </c>
      <c r="W137" s="838"/>
      <c r="X137" s="219"/>
      <c r="Y137" s="220"/>
      <c r="AB137" s="222"/>
      <c r="AC137" s="838" t="s">
        <v>4898</v>
      </c>
      <c r="AD137" s="838"/>
      <c r="AE137" s="219"/>
      <c r="AF137" s="220"/>
      <c r="AN137" s="838" t="s">
        <v>4898</v>
      </c>
      <c r="AO137" s="838"/>
      <c r="AP137" s="219"/>
      <c r="AQ137" s="220"/>
      <c r="AS137" s="222"/>
      <c r="AT137" s="284" t="s">
        <v>4913</v>
      </c>
      <c r="AU137" s="284"/>
      <c r="AV137" s="219"/>
      <c r="AW137" s="220"/>
    </row>
    <row r="138" spans="2:49">
      <c r="B138" s="835" t="s">
        <v>4899</v>
      </c>
      <c r="C138" s="835"/>
      <c r="D138" s="224" t="s">
        <v>4901</v>
      </c>
      <c r="E138" s="224"/>
      <c r="G138" s="222"/>
      <c r="H138" s="835" t="s">
        <v>4899</v>
      </c>
      <c r="I138" s="835"/>
      <c r="J138" s="224" t="s">
        <v>4901</v>
      </c>
      <c r="K138" s="224"/>
      <c r="L138" s="240"/>
      <c r="M138" s="240"/>
      <c r="N138" s="222"/>
      <c r="O138" s="835" t="s">
        <v>4899</v>
      </c>
      <c r="P138" s="835" t="s">
        <v>4900</v>
      </c>
      <c r="Q138" s="224" t="s">
        <v>4901</v>
      </c>
      <c r="R138" s="224"/>
      <c r="U138" s="222"/>
      <c r="V138" s="835" t="s">
        <v>4899</v>
      </c>
      <c r="W138" s="835" t="s">
        <v>4900</v>
      </c>
      <c r="X138" s="224" t="s">
        <v>4901</v>
      </c>
      <c r="Y138" s="224"/>
      <c r="AB138" s="222"/>
      <c r="AC138" s="835" t="s">
        <v>4899</v>
      </c>
      <c r="AD138" s="835" t="s">
        <v>4900</v>
      </c>
      <c r="AE138" s="841" t="s">
        <v>4901</v>
      </c>
      <c r="AF138" s="841"/>
      <c r="AN138" s="835" t="s">
        <v>4899</v>
      </c>
      <c r="AO138" s="835"/>
      <c r="AP138" s="224" t="s">
        <v>4901</v>
      </c>
      <c r="AQ138" s="224"/>
      <c r="AS138" s="222"/>
      <c r="AT138" s="285" t="s">
        <v>4899</v>
      </c>
      <c r="AU138" s="285"/>
      <c r="AV138" s="224" t="s">
        <v>4901</v>
      </c>
      <c r="AW138" s="224"/>
    </row>
    <row r="139" spans="2:49">
      <c r="B139" s="835"/>
      <c r="C139" s="835"/>
      <c r="D139" s="223" t="s">
        <v>4902</v>
      </c>
      <c r="E139" s="223" t="s">
        <v>4903</v>
      </c>
      <c r="G139" s="222"/>
      <c r="H139" s="835"/>
      <c r="I139" s="835"/>
      <c r="J139" s="223" t="s">
        <v>4902</v>
      </c>
      <c r="K139" s="223" t="s">
        <v>4903</v>
      </c>
      <c r="L139" s="240"/>
      <c r="M139" s="240"/>
      <c r="N139" s="222"/>
      <c r="O139" s="835"/>
      <c r="P139" s="835"/>
      <c r="Q139" s="223" t="s">
        <v>4902</v>
      </c>
      <c r="R139" s="223" t="s">
        <v>4903</v>
      </c>
      <c r="U139" s="222"/>
      <c r="V139" s="835"/>
      <c r="W139" s="835"/>
      <c r="X139" s="223" t="s">
        <v>4902</v>
      </c>
      <c r="Y139" s="223" t="s">
        <v>4903</v>
      </c>
      <c r="AB139" s="222"/>
      <c r="AC139" s="835"/>
      <c r="AD139" s="835"/>
      <c r="AE139" s="223" t="s">
        <v>4902</v>
      </c>
      <c r="AF139" s="223" t="s">
        <v>4903</v>
      </c>
      <c r="AN139" s="835"/>
      <c r="AO139" s="835"/>
      <c r="AP139" s="223" t="s">
        <v>4902</v>
      </c>
      <c r="AQ139" s="223" t="s">
        <v>4903</v>
      </c>
      <c r="AS139" s="222"/>
      <c r="AT139" s="285"/>
      <c r="AU139" s="285"/>
      <c r="AV139" s="223" t="s">
        <v>4902</v>
      </c>
      <c r="AW139" s="223" t="s">
        <v>4903</v>
      </c>
    </row>
    <row r="140" spans="2:49">
      <c r="B140" s="225">
        <v>1</v>
      </c>
      <c r="C140" s="226">
        <v>200</v>
      </c>
      <c r="D140" s="227">
        <v>0</v>
      </c>
      <c r="E140" s="228">
        <v>1.7224263399999997</v>
      </c>
      <c r="G140" s="192" t="str">
        <f>CONCATENATE(G136," ",H140)</f>
        <v>10 1</v>
      </c>
      <c r="H140" s="225">
        <v>1</v>
      </c>
      <c r="I140" s="226">
        <v>200</v>
      </c>
      <c r="J140" s="227">
        <v>0</v>
      </c>
      <c r="K140" s="228">
        <f>E140*$K$1</f>
        <v>1.5791405583394826</v>
      </c>
      <c r="L140" s="240"/>
      <c r="M140" s="240"/>
      <c r="N140" s="192" t="str">
        <f t="shared" ref="N140:N149" si="131">G140</f>
        <v>10 1</v>
      </c>
      <c r="O140" s="225">
        <v>1</v>
      </c>
      <c r="P140" s="226">
        <f>I140</f>
        <v>200</v>
      </c>
      <c r="Q140" s="227">
        <v>0</v>
      </c>
      <c r="R140" s="227">
        <f t="shared" ref="R140:R149" si="132">K140*$R$1</f>
        <v>0</v>
      </c>
      <c r="U140" s="192" t="str">
        <f t="shared" ref="U140:U149" si="133">N140</f>
        <v>10 1</v>
      </c>
      <c r="V140" s="225">
        <v>1</v>
      </c>
      <c r="W140" s="226">
        <f>P140</f>
        <v>200</v>
      </c>
      <c r="X140" s="227">
        <f>J140*Z140</f>
        <v>0</v>
      </c>
      <c r="Y140" s="758">
        <f>K140*Z140</f>
        <v>2.0528827258413274</v>
      </c>
      <c r="Z140" s="231">
        <v>1.3</v>
      </c>
      <c r="AB140" s="192" t="str">
        <f t="shared" ref="AB140:AB149" si="134">U140</f>
        <v>10 1</v>
      </c>
      <c r="AC140" s="225">
        <v>1</v>
      </c>
      <c r="AD140" s="226">
        <f t="shared" ref="AD140:AD149" si="135">P140</f>
        <v>200</v>
      </c>
      <c r="AE140" s="227">
        <f>X140+Q140</f>
        <v>0</v>
      </c>
      <c r="AF140" s="227">
        <f>Y140+R140</f>
        <v>2.0528827258413274</v>
      </c>
      <c r="AN140" s="225">
        <v>1</v>
      </c>
      <c r="AO140" s="226">
        <v>200</v>
      </c>
      <c r="AP140" s="227">
        <v>0</v>
      </c>
      <c r="AQ140" s="228">
        <v>5.5228999999999999</v>
      </c>
      <c r="AS140" s="192" t="str">
        <f>CONCATENATE(AS136," ",AT140)</f>
        <v>10 1</v>
      </c>
      <c r="AT140" s="225">
        <v>1</v>
      </c>
      <c r="AU140" s="226">
        <v>200</v>
      </c>
      <c r="AV140" s="227">
        <v>0</v>
      </c>
      <c r="AW140" s="228">
        <f>AQ140*$AW$1</f>
        <v>5.0634591373313125</v>
      </c>
    </row>
    <row r="141" spans="2:49">
      <c r="B141" s="225">
        <v>2</v>
      </c>
      <c r="C141" s="226">
        <v>2000</v>
      </c>
      <c r="D141" s="227">
        <v>0</v>
      </c>
      <c r="E141" s="228">
        <v>1.6075271800000004</v>
      </c>
      <c r="G141" s="192" t="str">
        <f>CONCATENATE(G136," ",H141)</f>
        <v>10 2</v>
      </c>
      <c r="H141" s="225">
        <v>2</v>
      </c>
      <c r="I141" s="226">
        <v>2000</v>
      </c>
      <c r="J141" s="227">
        <v>0</v>
      </c>
      <c r="K141" s="228">
        <f t="shared" ref="K141:K149" si="136">E141*$K$1</f>
        <v>1.4737996683045935</v>
      </c>
      <c r="L141" s="240"/>
      <c r="M141" s="240"/>
      <c r="N141" s="192" t="str">
        <f t="shared" si="131"/>
        <v>10 2</v>
      </c>
      <c r="O141" s="225">
        <v>2</v>
      </c>
      <c r="P141" s="226">
        <f t="shared" ref="P141:P149" si="137">I141</f>
        <v>2000</v>
      </c>
      <c r="Q141" s="227">
        <f t="shared" ref="Q141:Q149" si="138">J141*$R$1</f>
        <v>0</v>
      </c>
      <c r="R141" s="227">
        <f t="shared" si="132"/>
        <v>0</v>
      </c>
      <c r="U141" s="192" t="str">
        <f t="shared" si="133"/>
        <v>10 2</v>
      </c>
      <c r="V141" s="225">
        <v>2</v>
      </c>
      <c r="W141" s="226">
        <f t="shared" ref="W141:W149" si="139">P141</f>
        <v>2000</v>
      </c>
      <c r="X141" s="227">
        <f t="shared" ref="X141:X149" si="140">J141*Z141</f>
        <v>0</v>
      </c>
      <c r="Y141" s="758">
        <f t="shared" ref="Y141:Y149" si="141">K141*Z141</f>
        <v>1.9159395687959717</v>
      </c>
      <c r="Z141" s="231">
        <v>1.3</v>
      </c>
      <c r="AB141" s="192" t="str">
        <f t="shared" si="134"/>
        <v>10 2</v>
      </c>
      <c r="AC141" s="225">
        <v>2</v>
      </c>
      <c r="AD141" s="226">
        <f t="shared" si="135"/>
        <v>2000</v>
      </c>
      <c r="AE141" s="227">
        <f t="shared" ref="AE141:AF149" si="142">X141+Q141</f>
        <v>0</v>
      </c>
      <c r="AF141" s="227">
        <f t="shared" si="142"/>
        <v>1.9159395687959717</v>
      </c>
      <c r="AN141" s="225">
        <v>2</v>
      </c>
      <c r="AO141" s="226">
        <v>2000</v>
      </c>
      <c r="AP141" s="227">
        <v>0</v>
      </c>
      <c r="AQ141" s="228">
        <v>5.3783000000000003</v>
      </c>
      <c r="AS141" s="192" t="str">
        <f>CONCATENATE(AS136," ",AT141)</f>
        <v>10 2</v>
      </c>
      <c r="AT141" s="225">
        <v>2</v>
      </c>
      <c r="AU141" s="226">
        <v>2000</v>
      </c>
      <c r="AV141" s="227">
        <v>0</v>
      </c>
      <c r="AW141" s="228">
        <f t="shared" ref="AW141:AW143" si="143">AQ141*$AW$1</f>
        <v>4.9308881707633674</v>
      </c>
    </row>
    <row r="142" spans="2:49">
      <c r="B142" s="225">
        <v>3</v>
      </c>
      <c r="C142" s="226">
        <v>10000</v>
      </c>
      <c r="D142" s="227">
        <v>0</v>
      </c>
      <c r="E142" s="228">
        <v>1.5385559</v>
      </c>
      <c r="G142" s="192" t="str">
        <f>CONCATENATE(G136," ",H142)</f>
        <v>10 3</v>
      </c>
      <c r="H142" s="225">
        <v>3</v>
      </c>
      <c r="I142" s="226">
        <v>10000</v>
      </c>
      <c r="J142" s="227">
        <v>0</v>
      </c>
      <c r="K142" s="228">
        <f t="shared" si="136"/>
        <v>1.410565994341741</v>
      </c>
      <c r="L142" s="240"/>
      <c r="M142" s="240"/>
      <c r="N142" s="192" t="str">
        <f t="shared" si="131"/>
        <v>10 3</v>
      </c>
      <c r="O142" s="225">
        <v>3</v>
      </c>
      <c r="P142" s="226">
        <f t="shared" si="137"/>
        <v>10000</v>
      </c>
      <c r="Q142" s="227">
        <f t="shared" si="138"/>
        <v>0</v>
      </c>
      <c r="R142" s="227">
        <f t="shared" si="132"/>
        <v>0</v>
      </c>
      <c r="U142" s="192" t="str">
        <f t="shared" si="133"/>
        <v>10 3</v>
      </c>
      <c r="V142" s="225">
        <v>3</v>
      </c>
      <c r="W142" s="226">
        <f t="shared" si="139"/>
        <v>10000</v>
      </c>
      <c r="X142" s="227">
        <f t="shared" si="140"/>
        <v>0</v>
      </c>
      <c r="Y142" s="758">
        <f t="shared" si="141"/>
        <v>1.8337357926442635</v>
      </c>
      <c r="Z142" s="231">
        <v>1.3</v>
      </c>
      <c r="AB142" s="192" t="str">
        <f t="shared" si="134"/>
        <v>10 3</v>
      </c>
      <c r="AC142" s="225">
        <v>3</v>
      </c>
      <c r="AD142" s="226">
        <f t="shared" si="135"/>
        <v>10000</v>
      </c>
      <c r="AE142" s="227">
        <f t="shared" si="142"/>
        <v>0</v>
      </c>
      <c r="AF142" s="227">
        <f t="shared" si="142"/>
        <v>1.8337357926442635</v>
      </c>
      <c r="AN142" s="225">
        <v>3</v>
      </c>
      <c r="AO142" s="226">
        <v>10000</v>
      </c>
      <c r="AP142" s="227">
        <v>0</v>
      </c>
      <c r="AQ142" s="228">
        <v>5.2915000000000001</v>
      </c>
      <c r="AS142" s="192" t="str">
        <f>CONCATENATE(AS136," ",AT142)</f>
        <v>10 3</v>
      </c>
      <c r="AT142" s="225">
        <v>3</v>
      </c>
      <c r="AU142" s="226">
        <v>10000</v>
      </c>
      <c r="AV142" s="227">
        <v>0</v>
      </c>
      <c r="AW142" s="228">
        <f t="shared" si="143"/>
        <v>4.851308918356052</v>
      </c>
    </row>
    <row r="143" spans="2:49">
      <c r="B143" s="225">
        <v>4</v>
      </c>
      <c r="C143" s="226">
        <v>50000</v>
      </c>
      <c r="D143" s="227">
        <v>0</v>
      </c>
      <c r="E143" s="228">
        <v>1.0625904999999998</v>
      </c>
      <c r="G143" s="192" t="str">
        <f>CONCATENATE(G136," ",H143)</f>
        <v>10 4</v>
      </c>
      <c r="H143" s="225">
        <v>4</v>
      </c>
      <c r="I143" s="226">
        <v>50000</v>
      </c>
      <c r="J143" s="227">
        <v>0</v>
      </c>
      <c r="K143" s="228">
        <f t="shared" si="136"/>
        <v>0.97419536411422381</v>
      </c>
      <c r="L143" s="240"/>
      <c r="M143" s="240"/>
      <c r="N143" s="192" t="str">
        <f t="shared" si="131"/>
        <v>10 4</v>
      </c>
      <c r="O143" s="225">
        <v>4</v>
      </c>
      <c r="P143" s="226">
        <f t="shared" si="137"/>
        <v>50000</v>
      </c>
      <c r="Q143" s="227">
        <f t="shared" si="138"/>
        <v>0</v>
      </c>
      <c r="R143" s="227">
        <f t="shared" si="132"/>
        <v>0</v>
      </c>
      <c r="U143" s="192" t="str">
        <f t="shared" si="133"/>
        <v>10 4</v>
      </c>
      <c r="V143" s="225">
        <v>4</v>
      </c>
      <c r="W143" s="226">
        <f t="shared" si="139"/>
        <v>50000</v>
      </c>
      <c r="X143" s="227">
        <f t="shared" si="140"/>
        <v>0</v>
      </c>
      <c r="Y143" s="758">
        <f t="shared" si="141"/>
        <v>1.266453973348491</v>
      </c>
      <c r="Z143" s="231">
        <v>1.3</v>
      </c>
      <c r="AB143" s="192" t="str">
        <f t="shared" si="134"/>
        <v>10 4</v>
      </c>
      <c r="AC143" s="225">
        <v>4</v>
      </c>
      <c r="AD143" s="226">
        <f t="shared" si="135"/>
        <v>50000</v>
      </c>
      <c r="AE143" s="227">
        <f t="shared" si="142"/>
        <v>0</v>
      </c>
      <c r="AF143" s="227">
        <f t="shared" si="142"/>
        <v>1.266453973348491</v>
      </c>
      <c r="AN143" s="225">
        <v>4</v>
      </c>
      <c r="AO143" s="226">
        <v>50000</v>
      </c>
      <c r="AP143" s="227">
        <v>0</v>
      </c>
      <c r="AQ143" s="228">
        <v>4.6924999999999999</v>
      </c>
      <c r="AS143" s="192" t="str">
        <f>CONCATENATE(AS136," ",AT143)</f>
        <v>10 4</v>
      </c>
      <c r="AT143" s="225">
        <v>4</v>
      </c>
      <c r="AU143" s="226">
        <v>50000</v>
      </c>
      <c r="AV143" s="227">
        <v>0</v>
      </c>
      <c r="AW143" s="228">
        <f t="shared" si="143"/>
        <v>4.3021387318124873</v>
      </c>
    </row>
    <row r="144" spans="2:49">
      <c r="B144" s="225">
        <v>5</v>
      </c>
      <c r="C144" s="226">
        <v>100000</v>
      </c>
      <c r="D144" s="227">
        <v>0</v>
      </c>
      <c r="E144" s="228">
        <v>0.85710694000000043</v>
      </c>
      <c r="G144" s="192" t="str">
        <f>CONCATENATE(G136," ",H144)</f>
        <v>10 5</v>
      </c>
      <c r="H144" s="225">
        <v>5</v>
      </c>
      <c r="I144" s="226">
        <v>100000</v>
      </c>
      <c r="J144" s="227">
        <v>0</v>
      </c>
      <c r="K144" s="228">
        <f t="shared" si="136"/>
        <v>0.78580563961199423</v>
      </c>
      <c r="L144" s="240"/>
      <c r="M144" s="240"/>
      <c r="N144" s="192" t="str">
        <f t="shared" si="131"/>
        <v>10 5</v>
      </c>
      <c r="O144" s="225">
        <v>5</v>
      </c>
      <c r="P144" s="226">
        <f t="shared" si="137"/>
        <v>100000</v>
      </c>
      <c r="Q144" s="227">
        <f t="shared" si="138"/>
        <v>0</v>
      </c>
      <c r="R144" s="227">
        <f t="shared" si="132"/>
        <v>0</v>
      </c>
      <c r="U144" s="192" t="str">
        <f t="shared" si="133"/>
        <v>10 5</v>
      </c>
      <c r="V144" s="225">
        <v>5</v>
      </c>
      <c r="W144" s="226">
        <f t="shared" si="139"/>
        <v>100000</v>
      </c>
      <c r="X144" s="227">
        <f t="shared" si="140"/>
        <v>0</v>
      </c>
      <c r="Y144" s="758">
        <f t="shared" si="141"/>
        <v>1.0215473314955925</v>
      </c>
      <c r="Z144" s="231">
        <v>1.3</v>
      </c>
      <c r="AB144" s="192" t="str">
        <f t="shared" si="134"/>
        <v>10 5</v>
      </c>
      <c r="AC144" s="225">
        <v>5</v>
      </c>
      <c r="AD144" s="226">
        <f t="shared" si="135"/>
        <v>100000</v>
      </c>
      <c r="AE144" s="227">
        <f t="shared" si="142"/>
        <v>0</v>
      </c>
      <c r="AF144" s="227">
        <f t="shared" si="142"/>
        <v>1.0215473314955925</v>
      </c>
      <c r="AN144" s="225">
        <v>5</v>
      </c>
      <c r="AO144" s="226">
        <v>100000</v>
      </c>
      <c r="AP144" s="227">
        <v>0</v>
      </c>
      <c r="AQ144" s="228">
        <v>4.4339000000000004</v>
      </c>
      <c r="AS144" s="192" t="str">
        <f>CONCATENATE(AS136," ",AT144)</f>
        <v>10 5</v>
      </c>
      <c r="AT144" s="225">
        <v>5</v>
      </c>
      <c r="AU144" s="226">
        <v>100000</v>
      </c>
      <c r="AV144" s="227">
        <v>0</v>
      </c>
      <c r="AW144" s="228">
        <f t="shared" ref="AW144:AW149" si="144">AQ144*$K$1</f>
        <v>4.0650512355851651</v>
      </c>
    </row>
    <row r="145" spans="2:49">
      <c r="B145" s="225">
        <v>6</v>
      </c>
      <c r="C145" s="226">
        <v>300000</v>
      </c>
      <c r="D145" s="227">
        <v>0</v>
      </c>
      <c r="E145" s="228">
        <v>0.63668490000000011</v>
      </c>
      <c r="G145" s="192" t="str">
        <f>CONCATENATE(G136," ",H145)</f>
        <v>10 6</v>
      </c>
      <c r="H145" s="225">
        <v>6</v>
      </c>
      <c r="I145" s="226">
        <v>300000</v>
      </c>
      <c r="J145" s="227">
        <v>0</v>
      </c>
      <c r="K145" s="228">
        <f t="shared" si="136"/>
        <v>0.58372014240813219</v>
      </c>
      <c r="L145" s="240"/>
      <c r="M145" s="240"/>
      <c r="N145" s="192" t="str">
        <f t="shared" si="131"/>
        <v>10 6</v>
      </c>
      <c r="O145" s="225">
        <v>6</v>
      </c>
      <c r="P145" s="226">
        <f t="shared" si="137"/>
        <v>300000</v>
      </c>
      <c r="Q145" s="227">
        <f t="shared" si="138"/>
        <v>0</v>
      </c>
      <c r="R145" s="227">
        <f t="shared" si="132"/>
        <v>0</v>
      </c>
      <c r="U145" s="192" t="str">
        <f t="shared" si="133"/>
        <v>10 6</v>
      </c>
      <c r="V145" s="225">
        <v>6</v>
      </c>
      <c r="W145" s="226">
        <f t="shared" si="139"/>
        <v>300000</v>
      </c>
      <c r="X145" s="227">
        <f t="shared" si="140"/>
        <v>0</v>
      </c>
      <c r="Y145" s="758">
        <f t="shared" si="141"/>
        <v>0.75883618513057183</v>
      </c>
      <c r="Z145" s="231">
        <v>1.3</v>
      </c>
      <c r="AB145" s="192" t="str">
        <f t="shared" si="134"/>
        <v>10 6</v>
      </c>
      <c r="AC145" s="225">
        <v>6</v>
      </c>
      <c r="AD145" s="226">
        <f t="shared" si="135"/>
        <v>300000</v>
      </c>
      <c r="AE145" s="227">
        <f t="shared" si="142"/>
        <v>0</v>
      </c>
      <c r="AF145" s="227">
        <f t="shared" si="142"/>
        <v>0.75883618513057183</v>
      </c>
      <c r="AN145" s="225">
        <v>6</v>
      </c>
      <c r="AO145" s="226">
        <v>300000</v>
      </c>
      <c r="AP145" s="227">
        <v>0</v>
      </c>
      <c r="AQ145" s="228">
        <v>4.1565000000000003</v>
      </c>
      <c r="AS145" s="192" t="str">
        <f>CONCATENATE(AS136," ",AT145)</f>
        <v>10 6</v>
      </c>
      <c r="AT145" s="225">
        <v>6</v>
      </c>
      <c r="AU145" s="226">
        <v>300000</v>
      </c>
      <c r="AV145" s="227">
        <v>0</v>
      </c>
      <c r="AW145" s="228">
        <f t="shared" si="144"/>
        <v>3.8107276800806829</v>
      </c>
    </row>
    <row r="146" spans="2:49">
      <c r="B146" s="225">
        <v>7</v>
      </c>
      <c r="C146" s="226">
        <v>600000</v>
      </c>
      <c r="D146" s="227">
        <v>0</v>
      </c>
      <c r="E146" s="228">
        <v>0.37629448000000032</v>
      </c>
      <c r="G146" s="192" t="str">
        <f>CONCATENATE(G136," ",H146)</f>
        <v>10 7</v>
      </c>
      <c r="H146" s="225">
        <v>7</v>
      </c>
      <c r="I146" s="226">
        <v>600000</v>
      </c>
      <c r="J146" s="227">
        <v>0</v>
      </c>
      <c r="K146" s="228">
        <f t="shared" si="136"/>
        <v>0.3449911682419266</v>
      </c>
      <c r="L146" s="240"/>
      <c r="M146" s="240"/>
      <c r="N146" s="192" t="str">
        <f t="shared" si="131"/>
        <v>10 7</v>
      </c>
      <c r="O146" s="225">
        <v>7</v>
      </c>
      <c r="P146" s="226">
        <f t="shared" si="137"/>
        <v>600000</v>
      </c>
      <c r="Q146" s="227">
        <f t="shared" si="138"/>
        <v>0</v>
      </c>
      <c r="R146" s="227">
        <f t="shared" si="132"/>
        <v>0</v>
      </c>
      <c r="U146" s="192" t="str">
        <f t="shared" si="133"/>
        <v>10 7</v>
      </c>
      <c r="V146" s="225">
        <v>7</v>
      </c>
      <c r="W146" s="226">
        <f t="shared" si="139"/>
        <v>600000</v>
      </c>
      <c r="X146" s="227">
        <f t="shared" si="140"/>
        <v>0</v>
      </c>
      <c r="Y146" s="758">
        <f t="shared" si="141"/>
        <v>0.44848851871450462</v>
      </c>
      <c r="Z146" s="231">
        <v>1.3</v>
      </c>
      <c r="AB146" s="192" t="str">
        <f t="shared" si="134"/>
        <v>10 7</v>
      </c>
      <c r="AC146" s="225">
        <v>7</v>
      </c>
      <c r="AD146" s="226">
        <f t="shared" si="135"/>
        <v>600000</v>
      </c>
      <c r="AE146" s="227">
        <f t="shared" si="142"/>
        <v>0</v>
      </c>
      <c r="AF146" s="227">
        <f t="shared" si="142"/>
        <v>0.44848851871450462</v>
      </c>
      <c r="AN146" s="225">
        <v>7</v>
      </c>
      <c r="AO146" s="226">
        <v>600000</v>
      </c>
      <c r="AP146" s="227">
        <v>0</v>
      </c>
      <c r="AQ146" s="228">
        <v>3.8288000000000002</v>
      </c>
      <c r="AS146" s="192" t="str">
        <f>CONCATENATE(AS136," ",AT146)</f>
        <v>10 7</v>
      </c>
      <c r="AT146" s="225">
        <v>7</v>
      </c>
      <c r="AU146" s="226">
        <v>600000</v>
      </c>
      <c r="AV146" s="227">
        <v>0</v>
      </c>
      <c r="AW146" s="228">
        <f t="shared" si="144"/>
        <v>3.5102884978931597</v>
      </c>
    </row>
    <row r="147" spans="2:49">
      <c r="B147" s="225">
        <v>8</v>
      </c>
      <c r="C147" s="226">
        <v>1500000</v>
      </c>
      <c r="D147" s="227">
        <v>0</v>
      </c>
      <c r="E147" s="228">
        <v>0.36914307999999973</v>
      </c>
      <c r="G147" s="192" t="str">
        <f>CONCATENATE(G136," ",H147)</f>
        <v>10 8</v>
      </c>
      <c r="H147" s="225">
        <v>8</v>
      </c>
      <c r="I147" s="226">
        <v>1500000</v>
      </c>
      <c r="J147" s="227">
        <v>0</v>
      </c>
      <c r="K147" s="228">
        <f t="shared" si="136"/>
        <v>0.33843468131029392</v>
      </c>
      <c r="L147" s="240"/>
      <c r="M147" s="240"/>
      <c r="N147" s="192" t="str">
        <f t="shared" si="131"/>
        <v>10 8</v>
      </c>
      <c r="O147" s="225">
        <v>8</v>
      </c>
      <c r="P147" s="226">
        <f t="shared" si="137"/>
        <v>1500000</v>
      </c>
      <c r="Q147" s="227">
        <f t="shared" si="138"/>
        <v>0</v>
      </c>
      <c r="R147" s="227">
        <f t="shared" si="132"/>
        <v>0</v>
      </c>
      <c r="U147" s="192" t="str">
        <f t="shared" si="133"/>
        <v>10 8</v>
      </c>
      <c r="V147" s="225">
        <v>8</v>
      </c>
      <c r="W147" s="226">
        <f t="shared" si="139"/>
        <v>1500000</v>
      </c>
      <c r="X147" s="227">
        <f t="shared" si="140"/>
        <v>0</v>
      </c>
      <c r="Y147" s="758">
        <f t="shared" si="141"/>
        <v>0.43996508570338211</v>
      </c>
      <c r="Z147" s="231">
        <v>1.3</v>
      </c>
      <c r="AB147" s="192" t="str">
        <f t="shared" si="134"/>
        <v>10 8</v>
      </c>
      <c r="AC147" s="225">
        <v>8</v>
      </c>
      <c r="AD147" s="226">
        <f t="shared" si="135"/>
        <v>1500000</v>
      </c>
      <c r="AE147" s="227">
        <f t="shared" si="142"/>
        <v>0</v>
      </c>
      <c r="AF147" s="227">
        <f t="shared" si="142"/>
        <v>0.43996508570338211</v>
      </c>
      <c r="AN147" s="225">
        <v>8</v>
      </c>
      <c r="AO147" s="226">
        <v>1500000</v>
      </c>
      <c r="AP147" s="227">
        <v>0</v>
      </c>
      <c r="AQ147" s="228">
        <v>3.8197999999999999</v>
      </c>
      <c r="AS147" s="192" t="str">
        <f>CONCATENATE(AS136," ",AT147)</f>
        <v>10 8</v>
      </c>
      <c r="AT147" s="225">
        <v>8</v>
      </c>
      <c r="AU147" s="226">
        <v>1500000</v>
      </c>
      <c r="AV147" s="227">
        <v>0</v>
      </c>
      <c r="AW147" s="228">
        <f t="shared" si="144"/>
        <v>3.5020371929200507</v>
      </c>
    </row>
    <row r="148" spans="2:49">
      <c r="B148" s="225">
        <v>9</v>
      </c>
      <c r="C148" s="226">
        <v>3000000</v>
      </c>
      <c r="D148" s="227">
        <v>0</v>
      </c>
      <c r="E148" s="228">
        <v>0.34983429999999993</v>
      </c>
      <c r="G148" s="192" t="str">
        <f>CONCATENATE(G136," ",H148)</f>
        <v>10 9</v>
      </c>
      <c r="H148" s="225">
        <v>9</v>
      </c>
      <c r="I148" s="226">
        <v>3000000</v>
      </c>
      <c r="J148" s="227">
        <v>0</v>
      </c>
      <c r="K148" s="228">
        <f t="shared" si="136"/>
        <v>0.32073216659488735</v>
      </c>
      <c r="L148" s="240"/>
      <c r="M148" s="240"/>
      <c r="N148" s="192" t="str">
        <f t="shared" si="131"/>
        <v>10 9</v>
      </c>
      <c r="O148" s="225">
        <v>9</v>
      </c>
      <c r="P148" s="226">
        <f t="shared" si="137"/>
        <v>3000000</v>
      </c>
      <c r="Q148" s="227">
        <f t="shared" si="138"/>
        <v>0</v>
      </c>
      <c r="R148" s="227">
        <f t="shared" si="132"/>
        <v>0</v>
      </c>
      <c r="U148" s="192" t="str">
        <f t="shared" si="133"/>
        <v>10 9</v>
      </c>
      <c r="V148" s="225">
        <v>9</v>
      </c>
      <c r="W148" s="226">
        <f t="shared" si="139"/>
        <v>3000000</v>
      </c>
      <c r="X148" s="227">
        <f t="shared" si="140"/>
        <v>0</v>
      </c>
      <c r="Y148" s="758">
        <f t="shared" si="141"/>
        <v>0.41695181657335356</v>
      </c>
      <c r="Z148" s="231">
        <v>1.3</v>
      </c>
      <c r="AB148" s="192" t="str">
        <f t="shared" si="134"/>
        <v>10 9</v>
      </c>
      <c r="AC148" s="225">
        <v>9</v>
      </c>
      <c r="AD148" s="226">
        <f t="shared" si="135"/>
        <v>3000000</v>
      </c>
      <c r="AE148" s="227">
        <f t="shared" si="142"/>
        <v>0</v>
      </c>
      <c r="AF148" s="227">
        <f t="shared" si="142"/>
        <v>0.41695181657335356</v>
      </c>
      <c r="AN148" s="225">
        <v>9</v>
      </c>
      <c r="AO148" s="226">
        <v>3000000</v>
      </c>
      <c r="AP148" s="227">
        <v>0</v>
      </c>
      <c r="AQ148" s="228">
        <v>3.7955000000000001</v>
      </c>
      <c r="AS148" s="192" t="str">
        <f>CONCATENATE(AS136," ",AT148)</f>
        <v>10 9</v>
      </c>
      <c r="AT148" s="225">
        <v>9</v>
      </c>
      <c r="AU148" s="226">
        <v>3000000</v>
      </c>
      <c r="AV148" s="227">
        <v>0</v>
      </c>
      <c r="AW148" s="228">
        <f t="shared" si="144"/>
        <v>3.4797586694926572</v>
      </c>
    </row>
    <row r="149" spans="2:49">
      <c r="B149" s="225">
        <v>10</v>
      </c>
      <c r="C149" s="226">
        <v>999999999</v>
      </c>
      <c r="D149" s="227">
        <v>0</v>
      </c>
      <c r="E149" s="228">
        <v>0.28602791999999999</v>
      </c>
      <c r="G149" s="192" t="str">
        <f>CONCATENATE(G136," ",H149)</f>
        <v>10 10</v>
      </c>
      <c r="H149" s="225">
        <v>10</v>
      </c>
      <c r="I149" s="226">
        <v>999999999</v>
      </c>
      <c r="J149" s="227">
        <v>0</v>
      </c>
      <c r="K149" s="228">
        <f t="shared" si="136"/>
        <v>0.26223373319376952</v>
      </c>
      <c r="L149" s="240"/>
      <c r="M149" s="240"/>
      <c r="N149" s="192" t="str">
        <f t="shared" si="131"/>
        <v>10 10</v>
      </c>
      <c r="O149" s="225">
        <v>10</v>
      </c>
      <c r="P149" s="226">
        <f t="shared" si="137"/>
        <v>999999999</v>
      </c>
      <c r="Q149" s="227">
        <f t="shared" si="138"/>
        <v>0</v>
      </c>
      <c r="R149" s="227">
        <f t="shared" si="132"/>
        <v>0</v>
      </c>
      <c r="U149" s="192" t="str">
        <f t="shared" si="133"/>
        <v>10 10</v>
      </c>
      <c r="V149" s="225">
        <v>10</v>
      </c>
      <c r="W149" s="226">
        <f t="shared" si="139"/>
        <v>999999999</v>
      </c>
      <c r="X149" s="227">
        <f t="shared" si="140"/>
        <v>0</v>
      </c>
      <c r="Y149" s="758">
        <f t="shared" si="141"/>
        <v>0.34090385315190042</v>
      </c>
      <c r="Z149" s="231">
        <v>1.3</v>
      </c>
      <c r="AB149" s="192" t="str">
        <f t="shared" si="134"/>
        <v>10 10</v>
      </c>
      <c r="AC149" s="225">
        <v>10</v>
      </c>
      <c r="AD149" s="226">
        <f t="shared" si="135"/>
        <v>999999999</v>
      </c>
      <c r="AE149" s="227">
        <f t="shared" si="142"/>
        <v>0</v>
      </c>
      <c r="AF149" s="227">
        <f t="shared" si="142"/>
        <v>0.34090385315190042</v>
      </c>
      <c r="AN149" s="225">
        <v>10</v>
      </c>
      <c r="AO149" s="226">
        <v>999999999</v>
      </c>
      <c r="AP149" s="227">
        <v>0</v>
      </c>
      <c r="AQ149" s="228">
        <v>3.7151999999999998</v>
      </c>
      <c r="AS149" s="192" t="str">
        <f>CONCATENATE(AS136," ",AT149)</f>
        <v>10 10</v>
      </c>
      <c r="AT149" s="225">
        <v>10</v>
      </c>
      <c r="AU149" s="226">
        <v>999999999</v>
      </c>
      <c r="AV149" s="227">
        <v>0</v>
      </c>
      <c r="AW149" s="228">
        <f t="shared" si="144"/>
        <v>3.4061386928992543</v>
      </c>
    </row>
    <row r="151" spans="2:49">
      <c r="B151" s="836" t="s">
        <v>106</v>
      </c>
      <c r="C151" s="837"/>
      <c r="D151" s="219"/>
      <c r="E151" s="220"/>
      <c r="G151" s="218" t="s">
        <v>391</v>
      </c>
      <c r="H151" s="836" t="s">
        <v>106</v>
      </c>
      <c r="I151" s="837"/>
      <c r="J151" s="219"/>
      <c r="K151" s="220"/>
      <c r="L151" s="240"/>
      <c r="M151" s="240"/>
      <c r="N151" s="218" t="str">
        <f>G151</f>
        <v>11</v>
      </c>
      <c r="O151" s="836" t="str">
        <f>H151</f>
        <v>Vidreiras</v>
      </c>
      <c r="P151" s="837"/>
      <c r="Q151" s="219"/>
      <c r="R151" s="220"/>
      <c r="U151" s="218" t="str">
        <f>N151</f>
        <v>11</v>
      </c>
      <c r="V151" s="836" t="str">
        <f>O151</f>
        <v>Vidreiras</v>
      </c>
      <c r="W151" s="837"/>
      <c r="X151" s="219"/>
      <c r="Y151" s="220"/>
      <c r="AB151" s="218" t="str">
        <f>U151</f>
        <v>11</v>
      </c>
      <c r="AC151" s="836" t="str">
        <f>V151</f>
        <v>Vidreiras</v>
      </c>
      <c r="AD151" s="837"/>
      <c r="AE151" s="219"/>
      <c r="AF151" s="220"/>
      <c r="AN151" s="836" t="s">
        <v>106</v>
      </c>
      <c r="AO151" s="837"/>
      <c r="AP151" s="219"/>
      <c r="AQ151" s="220"/>
      <c r="AS151" s="218" t="s">
        <v>391</v>
      </c>
      <c r="AT151" s="282" t="s">
        <v>106</v>
      </c>
      <c r="AU151" s="283"/>
      <c r="AV151" s="219"/>
      <c r="AW151" s="220"/>
    </row>
    <row r="152" spans="2:49">
      <c r="B152" s="838" t="s">
        <v>4898</v>
      </c>
      <c r="C152" s="838"/>
      <c r="D152" s="219"/>
      <c r="E152" s="220"/>
      <c r="G152" s="222"/>
      <c r="H152" s="838" t="s">
        <v>4913</v>
      </c>
      <c r="I152" s="838"/>
      <c r="J152" s="219"/>
      <c r="K152" s="220"/>
      <c r="L152" s="240"/>
      <c r="M152" s="240"/>
      <c r="N152" s="222"/>
      <c r="O152" s="838" t="s">
        <v>4898</v>
      </c>
      <c r="P152" s="838"/>
      <c r="Q152" s="219"/>
      <c r="R152" s="220"/>
      <c r="U152" s="222"/>
      <c r="V152" s="838" t="s">
        <v>4898</v>
      </c>
      <c r="W152" s="838"/>
      <c r="X152" s="219"/>
      <c r="Y152" s="220"/>
      <c r="AB152" s="222"/>
      <c r="AC152" s="838" t="s">
        <v>4898</v>
      </c>
      <c r="AD152" s="838"/>
      <c r="AE152" s="219"/>
      <c r="AF152" s="220"/>
      <c r="AN152" s="838" t="s">
        <v>4898</v>
      </c>
      <c r="AO152" s="838"/>
      <c r="AP152" s="219"/>
      <c r="AQ152" s="220"/>
      <c r="AS152" s="222"/>
      <c r="AT152" s="284" t="s">
        <v>4913</v>
      </c>
      <c r="AU152" s="284"/>
      <c r="AV152" s="219"/>
      <c r="AW152" s="220"/>
    </row>
    <row r="153" spans="2:49">
      <c r="B153" s="835" t="s">
        <v>4899</v>
      </c>
      <c r="C153" s="835"/>
      <c r="D153" s="224" t="s">
        <v>4901</v>
      </c>
      <c r="E153" s="224"/>
      <c r="G153" s="222"/>
      <c r="H153" s="835" t="s">
        <v>4899</v>
      </c>
      <c r="I153" s="835"/>
      <c r="J153" s="224" t="s">
        <v>4901</v>
      </c>
      <c r="K153" s="224"/>
      <c r="L153" s="240"/>
      <c r="M153" s="240"/>
      <c r="N153" s="222"/>
      <c r="O153" s="835" t="s">
        <v>4899</v>
      </c>
      <c r="P153" s="835" t="s">
        <v>4900</v>
      </c>
      <c r="Q153" s="224" t="s">
        <v>4901</v>
      </c>
      <c r="R153" s="224"/>
      <c r="U153" s="222"/>
      <c r="V153" s="835" t="s">
        <v>4899</v>
      </c>
      <c r="W153" s="835" t="s">
        <v>4900</v>
      </c>
      <c r="X153" s="224" t="s">
        <v>4901</v>
      </c>
      <c r="Y153" s="224"/>
      <c r="AB153" s="222"/>
      <c r="AC153" s="835" t="s">
        <v>4899</v>
      </c>
      <c r="AD153" s="835" t="s">
        <v>4900</v>
      </c>
      <c r="AE153" s="841" t="s">
        <v>4901</v>
      </c>
      <c r="AF153" s="841"/>
      <c r="AN153" s="835" t="s">
        <v>4899</v>
      </c>
      <c r="AO153" s="835"/>
      <c r="AP153" s="224" t="s">
        <v>4901</v>
      </c>
      <c r="AQ153" s="224"/>
      <c r="AS153" s="222"/>
      <c r="AT153" s="285" t="s">
        <v>4899</v>
      </c>
      <c r="AU153" s="285"/>
      <c r="AV153" s="224" t="s">
        <v>4901</v>
      </c>
      <c r="AW153" s="224"/>
    </row>
    <row r="154" spans="2:49">
      <c r="B154" s="835"/>
      <c r="C154" s="835"/>
      <c r="D154" s="223" t="s">
        <v>4902</v>
      </c>
      <c r="E154" s="223" t="s">
        <v>4903</v>
      </c>
      <c r="G154" s="222"/>
      <c r="H154" s="835"/>
      <c r="I154" s="835"/>
      <c r="J154" s="223" t="s">
        <v>4902</v>
      </c>
      <c r="K154" s="223" t="s">
        <v>4903</v>
      </c>
      <c r="L154" s="240"/>
      <c r="M154" s="240"/>
      <c r="N154" s="222"/>
      <c r="O154" s="835"/>
      <c r="P154" s="835"/>
      <c r="Q154" s="223" t="s">
        <v>4902</v>
      </c>
      <c r="R154" s="223" t="s">
        <v>4903</v>
      </c>
      <c r="U154" s="222"/>
      <c r="V154" s="835"/>
      <c r="W154" s="835"/>
      <c r="X154" s="223" t="s">
        <v>4902</v>
      </c>
      <c r="Y154" s="223" t="s">
        <v>4903</v>
      </c>
      <c r="AB154" s="222"/>
      <c r="AC154" s="835"/>
      <c r="AD154" s="835"/>
      <c r="AE154" s="223" t="s">
        <v>4902</v>
      </c>
      <c r="AF154" s="223" t="s">
        <v>4903</v>
      </c>
      <c r="AN154" s="835"/>
      <c r="AO154" s="835"/>
      <c r="AP154" s="223" t="s">
        <v>4902</v>
      </c>
      <c r="AQ154" s="223" t="s">
        <v>4903</v>
      </c>
      <c r="AS154" s="222"/>
      <c r="AT154" s="285"/>
      <c r="AU154" s="285"/>
      <c r="AV154" s="223" t="s">
        <v>4902</v>
      </c>
      <c r="AW154" s="223" t="s">
        <v>4903</v>
      </c>
    </row>
    <row r="155" spans="2:49">
      <c r="B155" s="225">
        <v>1</v>
      </c>
      <c r="C155" s="226">
        <v>200</v>
      </c>
      <c r="D155" s="227">
        <v>0</v>
      </c>
      <c r="E155" s="228">
        <v>3.4720358600000001</v>
      </c>
      <c r="G155" s="192" t="str">
        <f>CONCATENATE(G151," ",H155)</f>
        <v>11 1</v>
      </c>
      <c r="H155" s="225">
        <v>1</v>
      </c>
      <c r="I155" s="226">
        <v>200</v>
      </c>
      <c r="J155" s="227">
        <v>0</v>
      </c>
      <c r="K155" s="228">
        <f>E155*$K$1</f>
        <v>3.1832029731588447</v>
      </c>
      <c r="L155" s="240"/>
      <c r="M155" s="240"/>
      <c r="N155" s="192" t="str">
        <f t="shared" ref="N155:N164" si="145">G155</f>
        <v>11 1</v>
      </c>
      <c r="O155" s="225">
        <v>1</v>
      </c>
      <c r="P155" s="226">
        <f>I155</f>
        <v>200</v>
      </c>
      <c r="Q155" s="227">
        <v>0</v>
      </c>
      <c r="R155" s="227">
        <f t="shared" ref="R155:R164" si="146">K155*$R$1</f>
        <v>0</v>
      </c>
      <c r="U155" s="192" t="str">
        <f t="shared" ref="U155:U164" si="147">N155</f>
        <v>11 1</v>
      </c>
      <c r="V155" s="225">
        <v>1</v>
      </c>
      <c r="W155" s="226">
        <f>P155</f>
        <v>200</v>
      </c>
      <c r="X155" s="227">
        <f>J155*Z155</f>
        <v>0</v>
      </c>
      <c r="Y155" s="758">
        <f>K155*Z155</f>
        <v>4.138163865106498</v>
      </c>
      <c r="Z155" s="231">
        <v>1.3</v>
      </c>
      <c r="AB155" s="192" t="str">
        <f t="shared" ref="AB155:AB164" si="148">U155</f>
        <v>11 1</v>
      </c>
      <c r="AC155" s="225">
        <v>1</v>
      </c>
      <c r="AD155" s="226">
        <f t="shared" ref="AD155:AD164" si="149">P155</f>
        <v>200</v>
      </c>
      <c r="AE155" s="227">
        <f>X155+Q155</f>
        <v>0</v>
      </c>
      <c r="AF155" s="227">
        <f>Y155+R155</f>
        <v>4.138163865106498</v>
      </c>
      <c r="AN155" s="225">
        <v>1</v>
      </c>
      <c r="AO155" s="226">
        <v>200</v>
      </c>
      <c r="AP155" s="227">
        <v>0</v>
      </c>
      <c r="AQ155" s="228">
        <v>5.1534000000000004</v>
      </c>
      <c r="AS155" s="192" t="str">
        <f>CONCATENATE(AS151," ",AT155)</f>
        <v>11 1</v>
      </c>
      <c r="AT155" s="225">
        <v>1</v>
      </c>
      <c r="AU155" s="226">
        <v>200</v>
      </c>
      <c r="AV155" s="227">
        <v>0</v>
      </c>
      <c r="AW155" s="228">
        <f>AQ155*$AW$1</f>
        <v>4.7246972276020189</v>
      </c>
    </row>
    <row r="156" spans="2:49">
      <c r="B156" s="225">
        <v>2</v>
      </c>
      <c r="C156" s="226">
        <v>2000</v>
      </c>
      <c r="D156" s="227">
        <v>0</v>
      </c>
      <c r="E156" s="228">
        <v>1.5563347199999997</v>
      </c>
      <c r="G156" s="192" t="str">
        <f>CONCATENATE(G151," ",H156)</f>
        <v>11 2</v>
      </c>
      <c r="H156" s="225">
        <v>2</v>
      </c>
      <c r="I156" s="226">
        <v>2000</v>
      </c>
      <c r="J156" s="227">
        <v>0</v>
      </c>
      <c r="K156" s="228">
        <f t="shared" ref="K156:K164" si="150">E156*$K$1</f>
        <v>1.4268658238841856</v>
      </c>
      <c r="L156" s="240"/>
      <c r="M156" s="240"/>
      <c r="N156" s="192" t="str">
        <f t="shared" si="145"/>
        <v>11 2</v>
      </c>
      <c r="O156" s="225">
        <v>2</v>
      </c>
      <c r="P156" s="226">
        <f t="shared" ref="P156:P164" si="151">I156</f>
        <v>2000</v>
      </c>
      <c r="Q156" s="227">
        <f t="shared" ref="Q156:Q164" si="152">J156*$R$1</f>
        <v>0</v>
      </c>
      <c r="R156" s="227">
        <f t="shared" si="146"/>
        <v>0</v>
      </c>
      <c r="U156" s="192" t="str">
        <f t="shared" si="147"/>
        <v>11 2</v>
      </c>
      <c r="V156" s="225">
        <v>2</v>
      </c>
      <c r="W156" s="226">
        <f t="shared" ref="W156:W164" si="153">P156</f>
        <v>2000</v>
      </c>
      <c r="X156" s="227">
        <f t="shared" ref="X156:X164" si="154">J156*Z156</f>
        <v>0</v>
      </c>
      <c r="Y156" s="758">
        <f t="shared" ref="Y156:Y164" si="155">K156*Z156</f>
        <v>1.8549255710494412</v>
      </c>
      <c r="Z156" s="231">
        <v>1.3</v>
      </c>
      <c r="AB156" s="192" t="str">
        <f t="shared" si="148"/>
        <v>11 2</v>
      </c>
      <c r="AC156" s="225">
        <v>2</v>
      </c>
      <c r="AD156" s="226">
        <f t="shared" si="149"/>
        <v>2000</v>
      </c>
      <c r="AE156" s="227">
        <f t="shared" ref="AE156:AF164" si="156">X156+Q156</f>
        <v>0</v>
      </c>
      <c r="AF156" s="227">
        <f t="shared" si="156"/>
        <v>1.8549255710494412</v>
      </c>
      <c r="AN156" s="225">
        <v>2</v>
      </c>
      <c r="AO156" s="226">
        <v>2000</v>
      </c>
      <c r="AP156" s="227">
        <v>0</v>
      </c>
      <c r="AQ156" s="228">
        <v>5.0087999999999999</v>
      </c>
      <c r="AS156" s="192" t="str">
        <f>CONCATENATE(AS151," ",AT156)</f>
        <v>11 2</v>
      </c>
      <c r="AT156" s="225">
        <v>2</v>
      </c>
      <c r="AU156" s="226">
        <v>2000</v>
      </c>
      <c r="AV156" s="227">
        <v>0</v>
      </c>
      <c r="AW156" s="228">
        <f t="shared" ref="AW156:AW158" si="157">AQ156*$AW$1</f>
        <v>4.5921262610340721</v>
      </c>
    </row>
    <row r="157" spans="2:49">
      <c r="B157" s="225">
        <v>3</v>
      </c>
      <c r="C157" s="226">
        <v>10000</v>
      </c>
      <c r="D157" s="227">
        <v>0</v>
      </c>
      <c r="E157" s="228">
        <v>1.2542277999999998</v>
      </c>
      <c r="G157" s="192" t="str">
        <f>CONCATENATE(G151," ",H157)</f>
        <v>11 3</v>
      </c>
      <c r="H157" s="225">
        <v>3</v>
      </c>
      <c r="I157" s="226">
        <v>10000</v>
      </c>
      <c r="J157" s="227">
        <v>0</v>
      </c>
      <c r="K157" s="228">
        <f t="shared" si="150"/>
        <v>1.1498906759501257</v>
      </c>
      <c r="L157" s="240"/>
      <c r="M157" s="240"/>
      <c r="N157" s="192" t="str">
        <f t="shared" si="145"/>
        <v>11 3</v>
      </c>
      <c r="O157" s="225">
        <v>3</v>
      </c>
      <c r="P157" s="226">
        <f t="shared" si="151"/>
        <v>10000</v>
      </c>
      <c r="Q157" s="227">
        <f t="shared" si="152"/>
        <v>0</v>
      </c>
      <c r="R157" s="227">
        <f t="shared" si="146"/>
        <v>0</v>
      </c>
      <c r="U157" s="192" t="str">
        <f t="shared" si="147"/>
        <v>11 3</v>
      </c>
      <c r="V157" s="225">
        <v>3</v>
      </c>
      <c r="W157" s="226">
        <f t="shared" si="153"/>
        <v>10000</v>
      </c>
      <c r="X157" s="227">
        <f t="shared" si="154"/>
        <v>0</v>
      </c>
      <c r="Y157" s="758">
        <f t="shared" si="155"/>
        <v>1.4948578787351634</v>
      </c>
      <c r="Z157" s="231">
        <v>1.3</v>
      </c>
      <c r="AB157" s="192" t="str">
        <f t="shared" si="148"/>
        <v>11 3</v>
      </c>
      <c r="AC157" s="225">
        <v>3</v>
      </c>
      <c r="AD157" s="226">
        <f t="shared" si="149"/>
        <v>10000</v>
      </c>
      <c r="AE157" s="227">
        <f t="shared" si="156"/>
        <v>0</v>
      </c>
      <c r="AF157" s="227">
        <f t="shared" si="156"/>
        <v>1.4948578787351634</v>
      </c>
      <c r="AN157" s="225">
        <v>3</v>
      </c>
      <c r="AO157" s="226">
        <v>10000</v>
      </c>
      <c r="AP157" s="227">
        <v>0</v>
      </c>
      <c r="AQ157" s="228">
        <v>4.9218999999999999</v>
      </c>
      <c r="AS157" s="192" t="str">
        <f>CONCATENATE(AS151," ",AT157)</f>
        <v>11 3</v>
      </c>
      <c r="AT157" s="225">
        <v>3</v>
      </c>
      <c r="AU157" s="226">
        <v>10000</v>
      </c>
      <c r="AV157" s="227">
        <v>0</v>
      </c>
      <c r="AW157" s="228">
        <f t="shared" si="157"/>
        <v>4.5124553274603896</v>
      </c>
    </row>
    <row r="158" spans="2:49">
      <c r="B158" s="225">
        <v>4</v>
      </c>
      <c r="C158" s="226">
        <v>50000</v>
      </c>
      <c r="D158" s="227">
        <v>0</v>
      </c>
      <c r="E158" s="228">
        <v>0.83825470000000024</v>
      </c>
      <c r="G158" s="192" t="str">
        <f>CONCATENATE(G151," ",H158)</f>
        <v>11 4</v>
      </c>
      <c r="H158" s="225">
        <v>4</v>
      </c>
      <c r="I158" s="226">
        <v>50000</v>
      </c>
      <c r="J158" s="227">
        <v>0</v>
      </c>
      <c r="K158" s="228">
        <f t="shared" si="150"/>
        <v>0.76852168609352323</v>
      </c>
      <c r="L158" s="240"/>
      <c r="M158" s="240"/>
      <c r="N158" s="192" t="str">
        <f t="shared" si="145"/>
        <v>11 4</v>
      </c>
      <c r="O158" s="225">
        <v>4</v>
      </c>
      <c r="P158" s="226">
        <f t="shared" si="151"/>
        <v>50000</v>
      </c>
      <c r="Q158" s="227">
        <f t="shared" si="152"/>
        <v>0</v>
      </c>
      <c r="R158" s="227">
        <f t="shared" si="146"/>
        <v>0</v>
      </c>
      <c r="U158" s="192" t="str">
        <f t="shared" si="147"/>
        <v>11 4</v>
      </c>
      <c r="V158" s="225">
        <v>4</v>
      </c>
      <c r="W158" s="226">
        <f t="shared" si="153"/>
        <v>50000</v>
      </c>
      <c r="X158" s="227">
        <f t="shared" si="154"/>
        <v>0</v>
      </c>
      <c r="Y158" s="758">
        <f t="shared" si="155"/>
        <v>0.99907819192158021</v>
      </c>
      <c r="Z158" s="231">
        <v>1.3</v>
      </c>
      <c r="AB158" s="192" t="str">
        <f t="shared" si="148"/>
        <v>11 4</v>
      </c>
      <c r="AC158" s="225">
        <v>4</v>
      </c>
      <c r="AD158" s="226">
        <f t="shared" si="149"/>
        <v>50000</v>
      </c>
      <c r="AE158" s="227">
        <f t="shared" si="156"/>
        <v>0</v>
      </c>
      <c r="AF158" s="227">
        <f t="shared" si="156"/>
        <v>0.99907819192158021</v>
      </c>
      <c r="AN158" s="225">
        <v>4</v>
      </c>
      <c r="AO158" s="226">
        <v>50000</v>
      </c>
      <c r="AP158" s="227">
        <v>0</v>
      </c>
      <c r="AQ158" s="228">
        <v>4.3230000000000004</v>
      </c>
      <c r="AS158" s="192" t="str">
        <f>CONCATENATE(AS151," ",AT158)</f>
        <v>11 4</v>
      </c>
      <c r="AT158" s="225">
        <v>4</v>
      </c>
      <c r="AU158" s="226">
        <v>50000</v>
      </c>
      <c r="AV158" s="227">
        <v>0</v>
      </c>
      <c r="AW158" s="228">
        <f t="shared" si="157"/>
        <v>3.9633768220831929</v>
      </c>
    </row>
    <row r="159" spans="2:49">
      <c r="B159" s="225">
        <v>5</v>
      </c>
      <c r="C159" s="226">
        <v>100000</v>
      </c>
      <c r="D159" s="227">
        <v>0</v>
      </c>
      <c r="E159" s="228">
        <v>0.67631522000000022</v>
      </c>
      <c r="G159" s="192" t="str">
        <f>CONCATENATE(G151," ",H159)</f>
        <v>11 5</v>
      </c>
      <c r="H159" s="225">
        <v>5</v>
      </c>
      <c r="I159" s="226">
        <v>100000</v>
      </c>
      <c r="J159" s="227">
        <v>0</v>
      </c>
      <c r="K159" s="228">
        <f t="shared" si="150"/>
        <v>0.62005368201945321</v>
      </c>
      <c r="L159" s="240"/>
      <c r="M159" s="240"/>
      <c r="N159" s="192" t="str">
        <f t="shared" si="145"/>
        <v>11 5</v>
      </c>
      <c r="O159" s="225">
        <v>5</v>
      </c>
      <c r="P159" s="226">
        <f t="shared" si="151"/>
        <v>100000</v>
      </c>
      <c r="Q159" s="227">
        <f t="shared" si="152"/>
        <v>0</v>
      </c>
      <c r="R159" s="227">
        <f t="shared" si="146"/>
        <v>0</v>
      </c>
      <c r="U159" s="192" t="str">
        <f t="shared" si="147"/>
        <v>11 5</v>
      </c>
      <c r="V159" s="225">
        <v>5</v>
      </c>
      <c r="W159" s="226">
        <f t="shared" si="153"/>
        <v>100000</v>
      </c>
      <c r="X159" s="227">
        <f t="shared" si="154"/>
        <v>0</v>
      </c>
      <c r="Y159" s="758">
        <f t="shared" si="155"/>
        <v>0.80606978662528916</v>
      </c>
      <c r="Z159" s="231">
        <v>1.3</v>
      </c>
      <c r="AB159" s="192" t="str">
        <f t="shared" si="148"/>
        <v>11 5</v>
      </c>
      <c r="AC159" s="225">
        <v>5</v>
      </c>
      <c r="AD159" s="226">
        <f t="shared" si="149"/>
        <v>100000</v>
      </c>
      <c r="AE159" s="227">
        <f t="shared" si="156"/>
        <v>0</v>
      </c>
      <c r="AF159" s="227">
        <f t="shared" si="156"/>
        <v>0.80606978662528916</v>
      </c>
      <c r="AN159" s="225">
        <v>5</v>
      </c>
      <c r="AO159" s="226">
        <v>100000</v>
      </c>
      <c r="AP159" s="227">
        <v>0</v>
      </c>
      <c r="AQ159" s="228">
        <v>4.0640000000000001</v>
      </c>
      <c r="AS159" s="192" t="str">
        <f>CONCATENATE(AS151," ",AT159)</f>
        <v>11 5</v>
      </c>
      <c r="AT159" s="225">
        <v>5</v>
      </c>
      <c r="AU159" s="226">
        <v>100000</v>
      </c>
      <c r="AV159" s="227">
        <v>0</v>
      </c>
      <c r="AW159" s="228">
        <f t="shared" ref="AW159:AW164" si="158">AQ159*$K$1</f>
        <v>3.725922601190399</v>
      </c>
    </row>
    <row r="160" spans="2:49">
      <c r="B160" s="225">
        <v>6</v>
      </c>
      <c r="C160" s="226">
        <v>300000</v>
      </c>
      <c r="D160" s="227">
        <v>0</v>
      </c>
      <c r="E160" s="228">
        <v>0.50245673999999996</v>
      </c>
      <c r="G160" s="192" t="str">
        <f>CONCATENATE(G151," ",H160)</f>
        <v>11 6</v>
      </c>
      <c r="H160" s="225">
        <v>6</v>
      </c>
      <c r="I160" s="226">
        <v>300000</v>
      </c>
      <c r="J160" s="227">
        <v>0</v>
      </c>
      <c r="K160" s="228">
        <f t="shared" si="150"/>
        <v>0.46065819972599603</v>
      </c>
      <c r="L160" s="240"/>
      <c r="M160" s="240"/>
      <c r="N160" s="192" t="str">
        <f t="shared" si="145"/>
        <v>11 6</v>
      </c>
      <c r="O160" s="225">
        <v>6</v>
      </c>
      <c r="P160" s="226">
        <f t="shared" si="151"/>
        <v>300000</v>
      </c>
      <c r="Q160" s="227">
        <f t="shared" si="152"/>
        <v>0</v>
      </c>
      <c r="R160" s="227">
        <f t="shared" si="146"/>
        <v>0</v>
      </c>
      <c r="U160" s="192" t="str">
        <f t="shared" si="147"/>
        <v>11 6</v>
      </c>
      <c r="V160" s="225">
        <v>6</v>
      </c>
      <c r="W160" s="226">
        <f t="shared" si="153"/>
        <v>300000</v>
      </c>
      <c r="X160" s="227">
        <f t="shared" si="154"/>
        <v>0</v>
      </c>
      <c r="Y160" s="758">
        <f t="shared" si="155"/>
        <v>0.59885565964379484</v>
      </c>
      <c r="Z160" s="231">
        <v>1.3</v>
      </c>
      <c r="AB160" s="192" t="str">
        <f t="shared" si="148"/>
        <v>11 6</v>
      </c>
      <c r="AC160" s="225">
        <v>6</v>
      </c>
      <c r="AD160" s="226">
        <f t="shared" si="149"/>
        <v>300000</v>
      </c>
      <c r="AE160" s="227">
        <f t="shared" si="156"/>
        <v>0</v>
      </c>
      <c r="AF160" s="227">
        <f t="shared" si="156"/>
        <v>0.59885565964379484</v>
      </c>
      <c r="AN160" s="225">
        <v>6</v>
      </c>
      <c r="AO160" s="226">
        <v>300000</v>
      </c>
      <c r="AP160" s="227">
        <v>0</v>
      </c>
      <c r="AQ160" s="228">
        <v>3.7867000000000002</v>
      </c>
      <c r="AS160" s="192" t="str">
        <f>CONCATENATE(AS151," ",AT160)</f>
        <v>11 6</v>
      </c>
      <c r="AT160" s="225">
        <v>6</v>
      </c>
      <c r="AU160" s="226">
        <v>300000</v>
      </c>
      <c r="AV160" s="227">
        <v>0</v>
      </c>
      <c r="AW160" s="228">
        <f t="shared" si="158"/>
        <v>3.4716907268522847</v>
      </c>
    </row>
    <row r="161" spans="2:49">
      <c r="B161" s="225">
        <v>7</v>
      </c>
      <c r="C161" s="226">
        <v>600000</v>
      </c>
      <c r="D161" s="227">
        <v>0</v>
      </c>
      <c r="E161" s="228">
        <v>0.29673479999999985</v>
      </c>
      <c r="G161" s="192" t="str">
        <f>CONCATENATE(G151," ",H161)</f>
        <v>11 7</v>
      </c>
      <c r="H161" s="225">
        <v>7</v>
      </c>
      <c r="I161" s="226">
        <v>600000</v>
      </c>
      <c r="J161" s="227">
        <v>0</v>
      </c>
      <c r="K161" s="228">
        <f t="shared" si="150"/>
        <v>0.27204992565937802</v>
      </c>
      <c r="L161" s="240"/>
      <c r="M161" s="240"/>
      <c r="N161" s="192" t="str">
        <f t="shared" si="145"/>
        <v>11 7</v>
      </c>
      <c r="O161" s="225">
        <v>7</v>
      </c>
      <c r="P161" s="226">
        <f t="shared" si="151"/>
        <v>600000</v>
      </c>
      <c r="Q161" s="227">
        <f t="shared" si="152"/>
        <v>0</v>
      </c>
      <c r="R161" s="227">
        <f t="shared" si="146"/>
        <v>0</v>
      </c>
      <c r="U161" s="192" t="str">
        <f t="shared" si="147"/>
        <v>11 7</v>
      </c>
      <c r="V161" s="225">
        <v>7</v>
      </c>
      <c r="W161" s="226">
        <f t="shared" si="153"/>
        <v>600000</v>
      </c>
      <c r="X161" s="227">
        <f t="shared" si="154"/>
        <v>0</v>
      </c>
      <c r="Y161" s="758">
        <f t="shared" si="155"/>
        <v>0.35366490335719142</v>
      </c>
      <c r="Z161" s="231">
        <v>1.3</v>
      </c>
      <c r="AB161" s="192" t="str">
        <f t="shared" si="148"/>
        <v>11 7</v>
      </c>
      <c r="AC161" s="225">
        <v>7</v>
      </c>
      <c r="AD161" s="226">
        <f t="shared" si="149"/>
        <v>600000</v>
      </c>
      <c r="AE161" s="227">
        <f t="shared" si="156"/>
        <v>0</v>
      </c>
      <c r="AF161" s="227">
        <f t="shared" si="156"/>
        <v>0.35366490335719142</v>
      </c>
      <c r="AN161" s="225">
        <v>7</v>
      </c>
      <c r="AO161" s="226">
        <v>600000</v>
      </c>
      <c r="AP161" s="227">
        <v>0</v>
      </c>
      <c r="AQ161" s="228">
        <v>3.4592000000000001</v>
      </c>
      <c r="AS161" s="192" t="str">
        <f>CONCATENATE(AS151," ",AT161)</f>
        <v>11 7</v>
      </c>
      <c r="AT161" s="225">
        <v>7</v>
      </c>
      <c r="AU161" s="226">
        <v>600000</v>
      </c>
      <c r="AV161" s="227">
        <v>0</v>
      </c>
      <c r="AW161" s="228">
        <f t="shared" si="158"/>
        <v>3.1714349069974972</v>
      </c>
    </row>
    <row r="162" spans="2:49">
      <c r="B162" s="225">
        <v>8</v>
      </c>
      <c r="C162" s="226">
        <v>1500000</v>
      </c>
      <c r="D162" s="227">
        <v>0</v>
      </c>
      <c r="E162" s="228">
        <v>0.29117259999999989</v>
      </c>
      <c r="G162" s="192" t="str">
        <f>CONCATENATE(G151," ",H162)</f>
        <v>11 8</v>
      </c>
      <c r="H162" s="225">
        <v>8</v>
      </c>
      <c r="I162" s="226">
        <v>1500000</v>
      </c>
      <c r="J162" s="227">
        <v>0</v>
      </c>
      <c r="K162" s="228">
        <f t="shared" si="150"/>
        <v>0.26695043582366418</v>
      </c>
      <c r="L162" s="240"/>
      <c r="M162" s="240"/>
      <c r="N162" s="192" t="str">
        <f t="shared" si="145"/>
        <v>11 8</v>
      </c>
      <c r="O162" s="225">
        <v>8</v>
      </c>
      <c r="P162" s="226">
        <f t="shared" si="151"/>
        <v>1500000</v>
      </c>
      <c r="Q162" s="227">
        <f t="shared" si="152"/>
        <v>0</v>
      </c>
      <c r="R162" s="227">
        <f t="shared" si="146"/>
        <v>0</v>
      </c>
      <c r="U162" s="192" t="str">
        <f t="shared" si="147"/>
        <v>11 8</v>
      </c>
      <c r="V162" s="225">
        <v>8</v>
      </c>
      <c r="W162" s="226">
        <f t="shared" si="153"/>
        <v>1500000</v>
      </c>
      <c r="X162" s="227">
        <f t="shared" si="154"/>
        <v>0</v>
      </c>
      <c r="Y162" s="758">
        <f t="shared" si="155"/>
        <v>0.34703556657076345</v>
      </c>
      <c r="Z162" s="231">
        <v>1.3</v>
      </c>
      <c r="AB162" s="192" t="str">
        <f t="shared" si="148"/>
        <v>11 8</v>
      </c>
      <c r="AC162" s="225">
        <v>8</v>
      </c>
      <c r="AD162" s="226">
        <f t="shared" si="149"/>
        <v>1500000</v>
      </c>
      <c r="AE162" s="227">
        <f t="shared" si="156"/>
        <v>0</v>
      </c>
      <c r="AF162" s="227">
        <f t="shared" si="156"/>
        <v>0.34703556657076345</v>
      </c>
      <c r="AN162" s="225">
        <v>8</v>
      </c>
      <c r="AO162" s="226">
        <v>1500000</v>
      </c>
      <c r="AP162" s="227">
        <v>0</v>
      </c>
      <c r="AQ162" s="228">
        <v>3.4500999999999999</v>
      </c>
      <c r="AS162" s="192" t="str">
        <f>CONCATENATE(AS151," ",AT162)</f>
        <v>11 8</v>
      </c>
      <c r="AT162" s="225">
        <v>8</v>
      </c>
      <c r="AU162" s="226">
        <v>1500000</v>
      </c>
      <c r="AV162" s="227">
        <v>0</v>
      </c>
      <c r="AW162" s="228">
        <f t="shared" si="158"/>
        <v>3.1630919208580206</v>
      </c>
    </row>
    <row r="163" spans="2:49">
      <c r="B163" s="225">
        <v>9</v>
      </c>
      <c r="C163" s="226">
        <v>3000000</v>
      </c>
      <c r="D163" s="227">
        <v>0</v>
      </c>
      <c r="E163" s="228">
        <v>0.27655195999999993</v>
      </c>
      <c r="G163" s="192" t="str">
        <f>CONCATENATE(G151," ",H163)</f>
        <v>11 9</v>
      </c>
      <c r="H163" s="225">
        <v>9</v>
      </c>
      <c r="I163" s="226">
        <v>3000000</v>
      </c>
      <c r="J163" s="227">
        <v>0</v>
      </c>
      <c r="K163" s="228">
        <f t="shared" si="150"/>
        <v>0.25354606254121625</v>
      </c>
      <c r="L163" s="240"/>
      <c r="M163" s="240"/>
      <c r="N163" s="192" t="str">
        <f t="shared" si="145"/>
        <v>11 9</v>
      </c>
      <c r="O163" s="225">
        <v>9</v>
      </c>
      <c r="P163" s="226">
        <f t="shared" si="151"/>
        <v>3000000</v>
      </c>
      <c r="Q163" s="227">
        <f t="shared" si="152"/>
        <v>0</v>
      </c>
      <c r="R163" s="227">
        <f t="shared" si="146"/>
        <v>0</v>
      </c>
      <c r="U163" s="192" t="str">
        <f t="shared" si="147"/>
        <v>11 9</v>
      </c>
      <c r="V163" s="225">
        <v>9</v>
      </c>
      <c r="W163" s="226">
        <f t="shared" si="153"/>
        <v>3000000</v>
      </c>
      <c r="X163" s="227">
        <f t="shared" si="154"/>
        <v>0</v>
      </c>
      <c r="Y163" s="758">
        <f t="shared" si="155"/>
        <v>0.32960988130358115</v>
      </c>
      <c r="Z163" s="231">
        <v>1.3</v>
      </c>
      <c r="AB163" s="192" t="str">
        <f t="shared" si="148"/>
        <v>11 9</v>
      </c>
      <c r="AC163" s="225">
        <v>9</v>
      </c>
      <c r="AD163" s="226">
        <f t="shared" si="149"/>
        <v>3000000</v>
      </c>
      <c r="AE163" s="227">
        <f t="shared" si="156"/>
        <v>0</v>
      </c>
      <c r="AF163" s="227">
        <f t="shared" si="156"/>
        <v>0.32960988130358115</v>
      </c>
      <c r="AN163" s="225">
        <v>9</v>
      </c>
      <c r="AO163" s="226">
        <v>3000000</v>
      </c>
      <c r="AP163" s="227">
        <v>0</v>
      </c>
      <c r="AQ163" s="228">
        <v>3.4258000000000002</v>
      </c>
      <c r="AS163" s="192" t="str">
        <f>CONCATENATE(AS151," ",AT163)</f>
        <v>11 9</v>
      </c>
      <c r="AT163" s="225">
        <v>9</v>
      </c>
      <c r="AU163" s="226">
        <v>3000000</v>
      </c>
      <c r="AV163" s="227">
        <v>0</v>
      </c>
      <c r="AW163" s="228">
        <f t="shared" si="158"/>
        <v>3.1408133974306272</v>
      </c>
    </row>
    <row r="164" spans="2:49">
      <c r="B164" s="225">
        <v>10</v>
      </c>
      <c r="C164" s="226">
        <v>999999999</v>
      </c>
      <c r="D164" s="227">
        <v>0</v>
      </c>
      <c r="E164" s="228">
        <v>0.22585648000000003</v>
      </c>
      <c r="G164" s="192" t="str">
        <f>CONCATENATE(G151," ",H164)</f>
        <v>11 10</v>
      </c>
      <c r="H164" s="225">
        <v>10</v>
      </c>
      <c r="I164" s="226">
        <v>999999999</v>
      </c>
      <c r="J164" s="227">
        <v>0</v>
      </c>
      <c r="K164" s="228">
        <f t="shared" si="150"/>
        <v>0.20706785518142407</v>
      </c>
      <c r="L164" s="240"/>
      <c r="M164" s="240"/>
      <c r="N164" s="192" t="str">
        <f t="shared" si="145"/>
        <v>11 10</v>
      </c>
      <c r="O164" s="225">
        <v>10</v>
      </c>
      <c r="P164" s="226">
        <f t="shared" si="151"/>
        <v>999999999</v>
      </c>
      <c r="Q164" s="227">
        <f t="shared" si="152"/>
        <v>0</v>
      </c>
      <c r="R164" s="227">
        <f t="shared" si="146"/>
        <v>0</v>
      </c>
      <c r="U164" s="192" t="str">
        <f t="shared" si="147"/>
        <v>11 10</v>
      </c>
      <c r="V164" s="225">
        <v>10</v>
      </c>
      <c r="W164" s="226">
        <f t="shared" si="153"/>
        <v>999999999</v>
      </c>
      <c r="X164" s="227">
        <f t="shared" si="154"/>
        <v>0</v>
      </c>
      <c r="Y164" s="758">
        <f t="shared" si="155"/>
        <v>0.26918821173585128</v>
      </c>
      <c r="Z164" s="231">
        <v>1.3</v>
      </c>
      <c r="AB164" s="192" t="str">
        <f t="shared" si="148"/>
        <v>11 10</v>
      </c>
      <c r="AC164" s="225">
        <v>10</v>
      </c>
      <c r="AD164" s="226">
        <f t="shared" si="149"/>
        <v>999999999</v>
      </c>
      <c r="AE164" s="227">
        <f t="shared" si="156"/>
        <v>0</v>
      </c>
      <c r="AF164" s="227">
        <f t="shared" si="156"/>
        <v>0.26918821173585128</v>
      </c>
      <c r="AN164" s="225">
        <v>10</v>
      </c>
      <c r="AO164" s="226">
        <v>999999999</v>
      </c>
      <c r="AP164" s="227">
        <v>0</v>
      </c>
      <c r="AQ164" s="228">
        <v>3.3452000000000002</v>
      </c>
      <c r="AS164" s="192" t="str">
        <f>CONCATENATE(AS151," ",AT164)</f>
        <v>11 10</v>
      </c>
      <c r="AT164" s="225">
        <v>10</v>
      </c>
      <c r="AU164" s="226">
        <v>999999999</v>
      </c>
      <c r="AV164" s="227">
        <v>0</v>
      </c>
      <c r="AW164" s="228">
        <f t="shared" si="158"/>
        <v>3.066918377338121</v>
      </c>
    </row>
    <row r="166" spans="2:49">
      <c r="B166" s="836" t="s">
        <v>4632</v>
      </c>
      <c r="C166" s="837"/>
      <c r="D166" s="219"/>
      <c r="E166" s="220"/>
      <c r="G166" s="218" t="s">
        <v>4917</v>
      </c>
      <c r="H166" s="836" t="s">
        <v>4632</v>
      </c>
      <c r="I166" s="837"/>
      <c r="J166" s="219"/>
      <c r="K166" s="220"/>
      <c r="L166" s="240"/>
      <c r="M166" s="240"/>
      <c r="N166" s="218" t="str">
        <f>G166</f>
        <v>12</v>
      </c>
      <c r="O166" s="836" t="str">
        <f>H166</f>
        <v>GLP Residencial</v>
      </c>
      <c r="P166" s="837"/>
      <c r="Q166" s="219"/>
      <c r="R166" s="220"/>
      <c r="U166" s="218" t="str">
        <f>N166</f>
        <v>12</v>
      </c>
      <c r="V166" s="836" t="str">
        <f>O166</f>
        <v>GLP Residencial</v>
      </c>
      <c r="W166" s="837"/>
      <c r="X166" s="219"/>
      <c r="Y166" s="220"/>
      <c r="AB166" s="218" t="str">
        <f>U166</f>
        <v>12</v>
      </c>
      <c r="AC166" s="836" t="str">
        <f>V166</f>
        <v>GLP Residencial</v>
      </c>
      <c r="AD166" s="837"/>
      <c r="AE166" s="219"/>
      <c r="AF166" s="220"/>
      <c r="AN166" s="836" t="s">
        <v>4632</v>
      </c>
      <c r="AO166" s="837"/>
      <c r="AP166" s="219"/>
      <c r="AQ166" s="220"/>
      <c r="AS166" s="218" t="s">
        <v>4917</v>
      </c>
      <c r="AT166" s="282" t="s">
        <v>4632</v>
      </c>
      <c r="AU166" s="283"/>
      <c r="AV166" s="219"/>
      <c r="AW166" s="220"/>
    </row>
    <row r="167" spans="2:49">
      <c r="B167" s="838" t="s">
        <v>4898</v>
      </c>
      <c r="C167" s="838"/>
      <c r="D167" s="219"/>
      <c r="E167" s="220"/>
      <c r="G167" s="222"/>
      <c r="H167" s="838" t="s">
        <v>4898</v>
      </c>
      <c r="I167" s="838"/>
      <c r="J167" s="219"/>
      <c r="K167" s="220"/>
      <c r="L167" s="240"/>
      <c r="M167" s="240"/>
      <c r="N167" s="222"/>
      <c r="O167" s="838" t="s">
        <v>4898</v>
      </c>
      <c r="P167" s="838"/>
      <c r="Q167" s="219"/>
      <c r="R167" s="220"/>
      <c r="U167" s="222"/>
      <c r="V167" s="838" t="s">
        <v>4898</v>
      </c>
      <c r="W167" s="838"/>
      <c r="X167" s="219"/>
      <c r="Y167" s="220"/>
      <c r="AB167" s="222"/>
      <c r="AC167" s="838" t="s">
        <v>4898</v>
      </c>
      <c r="AD167" s="838"/>
      <c r="AE167" s="219"/>
      <c r="AF167" s="220"/>
      <c r="AN167" s="838" t="s">
        <v>4898</v>
      </c>
      <c r="AO167" s="838"/>
      <c r="AP167" s="219"/>
      <c r="AQ167" s="220"/>
      <c r="AS167" s="222"/>
      <c r="AT167" s="284" t="s">
        <v>4898</v>
      </c>
      <c r="AU167" s="284"/>
      <c r="AV167" s="219"/>
      <c r="AW167" s="220"/>
    </row>
    <row r="168" spans="2:49">
      <c r="B168" s="835" t="s">
        <v>4899</v>
      </c>
      <c r="C168" s="835"/>
      <c r="D168" s="224" t="s">
        <v>4901</v>
      </c>
      <c r="E168" s="224"/>
      <c r="G168" s="222"/>
      <c r="H168" s="835" t="s">
        <v>4899</v>
      </c>
      <c r="I168" s="835"/>
      <c r="J168" s="224" t="s">
        <v>4901</v>
      </c>
      <c r="K168" s="224"/>
      <c r="L168" s="240"/>
      <c r="M168" s="240"/>
      <c r="N168" s="222"/>
      <c r="O168" s="835" t="s">
        <v>4899</v>
      </c>
      <c r="P168" s="835" t="s">
        <v>4900</v>
      </c>
      <c r="Q168" s="224" t="s">
        <v>4901</v>
      </c>
      <c r="R168" s="224"/>
      <c r="U168" s="222"/>
      <c r="V168" s="835" t="s">
        <v>4899</v>
      </c>
      <c r="W168" s="835" t="s">
        <v>4900</v>
      </c>
      <c r="X168" s="224" t="s">
        <v>4901</v>
      </c>
      <c r="Y168" s="224"/>
      <c r="AB168" s="222"/>
      <c r="AC168" s="835" t="s">
        <v>4899</v>
      </c>
      <c r="AD168" s="835" t="s">
        <v>4900</v>
      </c>
      <c r="AE168" s="841" t="s">
        <v>4901</v>
      </c>
      <c r="AF168" s="841"/>
      <c r="AN168" s="835" t="s">
        <v>4899</v>
      </c>
      <c r="AO168" s="835"/>
      <c r="AP168" s="224" t="s">
        <v>4901</v>
      </c>
      <c r="AQ168" s="224"/>
      <c r="AS168" s="222"/>
      <c r="AT168" s="285" t="s">
        <v>4899</v>
      </c>
      <c r="AU168" s="285"/>
      <c r="AV168" s="224" t="s">
        <v>4901</v>
      </c>
      <c r="AW168" s="224"/>
    </row>
    <row r="169" spans="2:49">
      <c r="B169" s="835"/>
      <c r="C169" s="835"/>
      <c r="D169" s="223" t="s">
        <v>4902</v>
      </c>
      <c r="E169" s="223" t="s">
        <v>4903</v>
      </c>
      <c r="G169" s="222"/>
      <c r="H169" s="835"/>
      <c r="I169" s="835"/>
      <c r="J169" s="223" t="s">
        <v>4902</v>
      </c>
      <c r="K169" s="223" t="s">
        <v>4903</v>
      </c>
      <c r="L169" s="240"/>
      <c r="M169" s="240"/>
      <c r="N169" s="222"/>
      <c r="O169" s="835"/>
      <c r="P169" s="835"/>
      <c r="Q169" s="223" t="s">
        <v>4902</v>
      </c>
      <c r="R169" s="223" t="s">
        <v>4903</v>
      </c>
      <c r="U169" s="222"/>
      <c r="V169" s="835"/>
      <c r="W169" s="835"/>
      <c r="X169" s="223" t="s">
        <v>4902</v>
      </c>
      <c r="Y169" s="223" t="s">
        <v>4903</v>
      </c>
      <c r="AB169" s="222"/>
      <c r="AC169" s="835"/>
      <c r="AD169" s="835"/>
      <c r="AE169" s="223" t="s">
        <v>4902</v>
      </c>
      <c r="AF169" s="223" t="s">
        <v>4903</v>
      </c>
      <c r="AN169" s="835"/>
      <c r="AO169" s="835"/>
      <c r="AP169" s="223" t="s">
        <v>4902</v>
      </c>
      <c r="AQ169" s="223" t="s">
        <v>4903</v>
      </c>
      <c r="AS169" s="222"/>
      <c r="AT169" s="285"/>
      <c r="AU169" s="285"/>
      <c r="AV169" s="223" t="s">
        <v>4902</v>
      </c>
      <c r="AW169" s="223" t="s">
        <v>4903</v>
      </c>
    </row>
    <row r="170" spans="2:49">
      <c r="B170" s="225">
        <v>1</v>
      </c>
      <c r="C170" s="226">
        <v>999999999</v>
      </c>
      <c r="D170" s="227">
        <v>0</v>
      </c>
      <c r="E170" s="228">
        <v>3.4792461309213398</v>
      </c>
      <c r="G170" s="192" t="str">
        <f>CONCATENATE(G166," ",H170)</f>
        <v>12 1</v>
      </c>
      <c r="H170" s="225">
        <v>1</v>
      </c>
      <c r="I170" s="226">
        <v>999999999</v>
      </c>
      <c r="J170" s="227">
        <v>0</v>
      </c>
      <c r="K170" s="228">
        <f>E170*$K$1</f>
        <v>3.1898134336378123</v>
      </c>
      <c r="L170" s="240"/>
      <c r="M170" s="240"/>
      <c r="N170" s="192" t="str">
        <f t="shared" ref="N170:N178" si="159">G170</f>
        <v>12 1</v>
      </c>
      <c r="O170" s="225">
        <v>1</v>
      </c>
      <c r="P170" s="226">
        <f>I170</f>
        <v>999999999</v>
      </c>
      <c r="Q170" s="227">
        <v>0</v>
      </c>
      <c r="R170" s="227">
        <f t="shared" ref="R170:R178" si="160">K170*$R$1</f>
        <v>0</v>
      </c>
      <c r="U170" s="192" t="str">
        <f t="shared" ref="U170:U178" si="161">N170</f>
        <v>12 1</v>
      </c>
      <c r="V170" s="225">
        <v>1</v>
      </c>
      <c r="W170" s="226">
        <f>P170</f>
        <v>999999999</v>
      </c>
      <c r="X170" s="227">
        <f>J170*Z170</f>
        <v>0</v>
      </c>
      <c r="Y170" s="758">
        <f>K170*Z170</f>
        <v>4.1467574637291564</v>
      </c>
      <c r="Z170" s="231">
        <v>1.3</v>
      </c>
      <c r="AB170" s="192" t="str">
        <f t="shared" ref="AB170:AB178" si="162">U170</f>
        <v>12 1</v>
      </c>
      <c r="AC170" s="225">
        <v>1</v>
      </c>
      <c r="AD170" s="226">
        <f t="shared" ref="AD170:AD178" si="163">P170</f>
        <v>999999999</v>
      </c>
      <c r="AE170" s="227">
        <f>X170+Q170</f>
        <v>0</v>
      </c>
      <c r="AF170" s="227">
        <f>Y170+R170</f>
        <v>4.1467574637291564</v>
      </c>
      <c r="AN170" s="225">
        <v>1</v>
      </c>
      <c r="AO170" s="226">
        <v>999999999</v>
      </c>
      <c r="AP170" s="227">
        <v>0</v>
      </c>
      <c r="AQ170" s="308">
        <v>5.1224223398260449</v>
      </c>
      <c r="AS170" s="192" t="str">
        <f>CONCATENATE(AS166," ",AT170)</f>
        <v>12 1</v>
      </c>
      <c r="AT170" s="225">
        <v>1</v>
      </c>
      <c r="AU170" s="226">
        <v>999999999</v>
      </c>
      <c r="AV170" s="227">
        <v>0</v>
      </c>
      <c r="AW170" s="228">
        <f>AQ170*$AW$1</f>
        <v>4.6962965474410598</v>
      </c>
    </row>
    <row r="171" spans="2:49">
      <c r="B171" s="225">
        <v>2</v>
      </c>
      <c r="C171" s="226"/>
      <c r="D171" s="227">
        <v>0</v>
      </c>
      <c r="E171" s="228">
        <v>0</v>
      </c>
      <c r="G171" s="192" t="str">
        <f>CONCATENATE(G166," ",H171)</f>
        <v>12 2</v>
      </c>
      <c r="H171" s="225">
        <v>2</v>
      </c>
      <c r="I171" s="226"/>
      <c r="J171" s="227">
        <v>0</v>
      </c>
      <c r="K171" s="228">
        <f t="shared" ref="K171:K178" si="164">E171*$K$1</f>
        <v>0</v>
      </c>
      <c r="L171" s="240"/>
      <c r="M171" s="240"/>
      <c r="N171" s="192" t="str">
        <f t="shared" si="159"/>
        <v>12 2</v>
      </c>
      <c r="O171" s="225">
        <v>2</v>
      </c>
      <c r="P171" s="226">
        <f t="shared" ref="P171:P178" si="165">I171</f>
        <v>0</v>
      </c>
      <c r="Q171" s="227">
        <f t="shared" ref="Q171:Q178" si="166">J171*$R$1</f>
        <v>0</v>
      </c>
      <c r="R171" s="227">
        <f t="shared" si="160"/>
        <v>0</v>
      </c>
      <c r="U171" s="192" t="str">
        <f t="shared" si="161"/>
        <v>12 2</v>
      </c>
      <c r="V171" s="225">
        <v>2</v>
      </c>
      <c r="W171" s="226">
        <f t="shared" ref="W171:W178" si="167">P171</f>
        <v>0</v>
      </c>
      <c r="X171" s="227">
        <f t="shared" ref="X171:X179" si="168">J171*Z171</f>
        <v>0</v>
      </c>
      <c r="Y171" s="758">
        <f t="shared" ref="Y171:Y179" si="169">K171*Z171</f>
        <v>0</v>
      </c>
      <c r="Z171" s="231">
        <v>1.3</v>
      </c>
      <c r="AB171" s="192" t="str">
        <f t="shared" si="162"/>
        <v>12 2</v>
      </c>
      <c r="AC171" s="225">
        <v>2</v>
      </c>
      <c r="AD171" s="226">
        <f t="shared" si="163"/>
        <v>0</v>
      </c>
      <c r="AE171" s="227">
        <f t="shared" ref="AE171:AF179" si="170">X171+Q171</f>
        <v>0</v>
      </c>
      <c r="AF171" s="227">
        <f t="shared" si="170"/>
        <v>0</v>
      </c>
      <c r="AN171" s="225">
        <v>2</v>
      </c>
      <c r="AO171" s="226"/>
      <c r="AP171" s="227">
        <v>0</v>
      </c>
      <c r="AQ171" s="228">
        <v>0</v>
      </c>
      <c r="AS171" s="192" t="str">
        <f>CONCATENATE(AS166," ",AT171)</f>
        <v>12 2</v>
      </c>
      <c r="AT171" s="225">
        <v>2</v>
      </c>
      <c r="AU171" s="226"/>
      <c r="AV171" s="227">
        <v>0</v>
      </c>
      <c r="AW171" s="228">
        <f t="shared" ref="AW171:AW173" si="171">AQ171*$AW$1</f>
        <v>0</v>
      </c>
    </row>
    <row r="172" spans="2:49">
      <c r="B172" s="225">
        <v>3</v>
      </c>
      <c r="C172" s="226"/>
      <c r="D172" s="227">
        <v>0</v>
      </c>
      <c r="E172" s="228">
        <v>0</v>
      </c>
      <c r="G172" s="192" t="str">
        <f>CONCATENATE(G166," ",H172)</f>
        <v>12 3</v>
      </c>
      <c r="H172" s="225">
        <v>3</v>
      </c>
      <c r="I172" s="226"/>
      <c r="J172" s="227">
        <v>0</v>
      </c>
      <c r="K172" s="228">
        <f t="shared" si="164"/>
        <v>0</v>
      </c>
      <c r="L172" s="240"/>
      <c r="M172" s="240"/>
      <c r="N172" s="192" t="str">
        <f t="shared" si="159"/>
        <v>12 3</v>
      </c>
      <c r="O172" s="225">
        <v>3</v>
      </c>
      <c r="P172" s="226">
        <f t="shared" si="165"/>
        <v>0</v>
      </c>
      <c r="Q172" s="227">
        <f t="shared" si="166"/>
        <v>0</v>
      </c>
      <c r="R172" s="227">
        <f t="shared" si="160"/>
        <v>0</v>
      </c>
      <c r="U172" s="192" t="str">
        <f t="shared" si="161"/>
        <v>12 3</v>
      </c>
      <c r="V172" s="225">
        <v>3</v>
      </c>
      <c r="W172" s="226">
        <f t="shared" si="167"/>
        <v>0</v>
      </c>
      <c r="X172" s="227">
        <f t="shared" si="168"/>
        <v>0</v>
      </c>
      <c r="Y172" s="758">
        <f t="shared" si="169"/>
        <v>0</v>
      </c>
      <c r="Z172" s="231">
        <v>1.3</v>
      </c>
      <c r="AB172" s="192" t="str">
        <f t="shared" si="162"/>
        <v>12 3</v>
      </c>
      <c r="AC172" s="225">
        <v>3</v>
      </c>
      <c r="AD172" s="226">
        <f t="shared" si="163"/>
        <v>0</v>
      </c>
      <c r="AE172" s="227">
        <f t="shared" si="170"/>
        <v>0</v>
      </c>
      <c r="AF172" s="227">
        <f t="shared" si="170"/>
        <v>0</v>
      </c>
      <c r="AN172" s="225">
        <v>3</v>
      </c>
      <c r="AO172" s="226"/>
      <c r="AP172" s="227">
        <v>0</v>
      </c>
      <c r="AQ172" s="228">
        <v>0</v>
      </c>
      <c r="AS172" s="192" t="str">
        <f>CONCATENATE(AS166," ",AT172)</f>
        <v>12 3</v>
      </c>
      <c r="AT172" s="225">
        <v>3</v>
      </c>
      <c r="AU172" s="226"/>
      <c r="AV172" s="227">
        <v>0</v>
      </c>
      <c r="AW172" s="228">
        <f t="shared" si="171"/>
        <v>0</v>
      </c>
    </row>
    <row r="173" spans="2:49">
      <c r="B173" s="225">
        <v>4</v>
      </c>
      <c r="C173" s="226"/>
      <c r="D173" s="227">
        <v>0</v>
      </c>
      <c r="E173" s="228">
        <v>0</v>
      </c>
      <c r="G173" s="192" t="str">
        <f>CONCATENATE(G166," ",H173)</f>
        <v>12 4</v>
      </c>
      <c r="H173" s="225">
        <v>4</v>
      </c>
      <c r="I173" s="226"/>
      <c r="J173" s="227">
        <v>0</v>
      </c>
      <c r="K173" s="228">
        <f t="shared" si="164"/>
        <v>0</v>
      </c>
      <c r="L173" s="240"/>
      <c r="M173" s="240"/>
      <c r="N173" s="192" t="str">
        <f t="shared" si="159"/>
        <v>12 4</v>
      </c>
      <c r="O173" s="225">
        <v>4</v>
      </c>
      <c r="P173" s="226">
        <f t="shared" si="165"/>
        <v>0</v>
      </c>
      <c r="Q173" s="227">
        <f t="shared" si="166"/>
        <v>0</v>
      </c>
      <c r="R173" s="227">
        <f t="shared" si="160"/>
        <v>0</v>
      </c>
      <c r="U173" s="192" t="str">
        <f t="shared" si="161"/>
        <v>12 4</v>
      </c>
      <c r="V173" s="225">
        <v>4</v>
      </c>
      <c r="W173" s="226">
        <f t="shared" si="167"/>
        <v>0</v>
      </c>
      <c r="X173" s="227">
        <f t="shared" si="168"/>
        <v>0</v>
      </c>
      <c r="Y173" s="758">
        <f t="shared" si="169"/>
        <v>0</v>
      </c>
      <c r="Z173" s="231">
        <v>1.3</v>
      </c>
      <c r="AB173" s="192" t="str">
        <f t="shared" si="162"/>
        <v>12 4</v>
      </c>
      <c r="AC173" s="225">
        <v>4</v>
      </c>
      <c r="AD173" s="226">
        <f t="shared" si="163"/>
        <v>0</v>
      </c>
      <c r="AE173" s="227">
        <f t="shared" si="170"/>
        <v>0</v>
      </c>
      <c r="AF173" s="227">
        <f t="shared" si="170"/>
        <v>0</v>
      </c>
      <c r="AN173" s="225">
        <v>4</v>
      </c>
      <c r="AO173" s="226"/>
      <c r="AP173" s="227">
        <v>0</v>
      </c>
      <c r="AQ173" s="228">
        <v>0</v>
      </c>
      <c r="AS173" s="192" t="str">
        <f>CONCATENATE(AS166," ",AT173)</f>
        <v>12 4</v>
      </c>
      <c r="AT173" s="225">
        <v>4</v>
      </c>
      <c r="AU173" s="226"/>
      <c r="AV173" s="227">
        <v>0</v>
      </c>
      <c r="AW173" s="228">
        <f t="shared" si="171"/>
        <v>0</v>
      </c>
    </row>
    <row r="174" spans="2:49">
      <c r="B174" s="225">
        <v>5</v>
      </c>
      <c r="C174" s="226"/>
      <c r="D174" s="227">
        <v>0</v>
      </c>
      <c r="E174" s="228">
        <v>0</v>
      </c>
      <c r="G174" s="192" t="str">
        <f>CONCATENATE(G166," ",H174)</f>
        <v>12 5</v>
      </c>
      <c r="H174" s="225">
        <v>5</v>
      </c>
      <c r="I174" s="226"/>
      <c r="J174" s="227">
        <v>0</v>
      </c>
      <c r="K174" s="228">
        <f t="shared" si="164"/>
        <v>0</v>
      </c>
      <c r="L174" s="240"/>
      <c r="M174" s="240"/>
      <c r="N174" s="192" t="str">
        <f t="shared" si="159"/>
        <v>12 5</v>
      </c>
      <c r="O174" s="225">
        <v>5</v>
      </c>
      <c r="P174" s="226">
        <f t="shared" si="165"/>
        <v>0</v>
      </c>
      <c r="Q174" s="227">
        <f t="shared" si="166"/>
        <v>0</v>
      </c>
      <c r="R174" s="227">
        <f t="shared" si="160"/>
        <v>0</v>
      </c>
      <c r="U174" s="192" t="str">
        <f t="shared" si="161"/>
        <v>12 5</v>
      </c>
      <c r="V174" s="225">
        <v>5</v>
      </c>
      <c r="W174" s="226">
        <f t="shared" si="167"/>
        <v>0</v>
      </c>
      <c r="X174" s="227">
        <f t="shared" si="168"/>
        <v>0</v>
      </c>
      <c r="Y174" s="758">
        <f t="shared" si="169"/>
        <v>0</v>
      </c>
      <c r="Z174" s="231">
        <v>1.3</v>
      </c>
      <c r="AB174" s="192" t="str">
        <f t="shared" si="162"/>
        <v>12 5</v>
      </c>
      <c r="AC174" s="225">
        <v>5</v>
      </c>
      <c r="AD174" s="226">
        <f t="shared" si="163"/>
        <v>0</v>
      </c>
      <c r="AE174" s="227">
        <f t="shared" si="170"/>
        <v>0</v>
      </c>
      <c r="AF174" s="227">
        <f t="shared" si="170"/>
        <v>0</v>
      </c>
      <c r="AN174" s="225">
        <v>5</v>
      </c>
      <c r="AO174" s="226"/>
      <c r="AP174" s="227">
        <v>0</v>
      </c>
      <c r="AQ174" s="228">
        <v>0</v>
      </c>
      <c r="AS174" s="192" t="str">
        <f>CONCATENATE(AS166," ",AT174)</f>
        <v>12 5</v>
      </c>
      <c r="AT174" s="225">
        <v>5</v>
      </c>
      <c r="AU174" s="226"/>
      <c r="AV174" s="227">
        <v>0</v>
      </c>
      <c r="AW174" s="228">
        <f t="shared" ref="AW174:AW178" si="172">AQ174*$K$1</f>
        <v>0</v>
      </c>
    </row>
    <row r="175" spans="2:49">
      <c r="B175" s="225">
        <v>6</v>
      </c>
      <c r="C175" s="226"/>
      <c r="D175" s="227">
        <v>0</v>
      </c>
      <c r="E175" s="228">
        <v>0</v>
      </c>
      <c r="G175" s="192" t="str">
        <f>CONCATENATE(G166," ",H175)</f>
        <v>12 6</v>
      </c>
      <c r="H175" s="225">
        <v>6</v>
      </c>
      <c r="I175" s="226"/>
      <c r="J175" s="227">
        <v>0</v>
      </c>
      <c r="K175" s="228">
        <f t="shared" si="164"/>
        <v>0</v>
      </c>
      <c r="L175" s="240"/>
      <c r="M175" s="240"/>
      <c r="N175" s="192" t="str">
        <f t="shared" si="159"/>
        <v>12 6</v>
      </c>
      <c r="O175" s="225">
        <v>6</v>
      </c>
      <c r="P175" s="226">
        <f t="shared" si="165"/>
        <v>0</v>
      </c>
      <c r="Q175" s="227">
        <f t="shared" si="166"/>
        <v>0</v>
      </c>
      <c r="R175" s="227">
        <f t="shared" si="160"/>
        <v>0</v>
      </c>
      <c r="U175" s="192" t="str">
        <f t="shared" si="161"/>
        <v>12 6</v>
      </c>
      <c r="V175" s="225">
        <v>6</v>
      </c>
      <c r="W175" s="226">
        <f t="shared" si="167"/>
        <v>0</v>
      </c>
      <c r="X175" s="227">
        <f t="shared" si="168"/>
        <v>0</v>
      </c>
      <c r="Y175" s="758">
        <f t="shared" si="169"/>
        <v>0</v>
      </c>
      <c r="Z175" s="231">
        <v>1.3</v>
      </c>
      <c r="AB175" s="192" t="str">
        <f t="shared" si="162"/>
        <v>12 6</v>
      </c>
      <c r="AC175" s="225">
        <v>6</v>
      </c>
      <c r="AD175" s="226">
        <f t="shared" si="163"/>
        <v>0</v>
      </c>
      <c r="AE175" s="227">
        <f t="shared" si="170"/>
        <v>0</v>
      </c>
      <c r="AF175" s="227">
        <f t="shared" si="170"/>
        <v>0</v>
      </c>
      <c r="AN175" s="225">
        <v>6</v>
      </c>
      <c r="AO175" s="226"/>
      <c r="AP175" s="227">
        <v>0</v>
      </c>
      <c r="AQ175" s="228">
        <v>0</v>
      </c>
      <c r="AS175" s="192" t="str">
        <f>CONCATENATE(AS166," ",AT175)</f>
        <v>12 6</v>
      </c>
      <c r="AT175" s="225">
        <v>6</v>
      </c>
      <c r="AU175" s="226"/>
      <c r="AV175" s="227">
        <v>0</v>
      </c>
      <c r="AW175" s="228">
        <f t="shared" si="172"/>
        <v>0</v>
      </c>
    </row>
    <row r="176" spans="2:49">
      <c r="B176" s="225">
        <v>7</v>
      </c>
      <c r="C176" s="226"/>
      <c r="D176" s="227">
        <v>0</v>
      </c>
      <c r="E176" s="228">
        <v>0</v>
      </c>
      <c r="G176" s="192" t="str">
        <f>CONCATENATE(G166," ",H176)</f>
        <v>12 7</v>
      </c>
      <c r="H176" s="225">
        <v>7</v>
      </c>
      <c r="I176" s="226"/>
      <c r="J176" s="227">
        <v>0</v>
      </c>
      <c r="K176" s="228">
        <f t="shared" si="164"/>
        <v>0</v>
      </c>
      <c r="L176" s="240"/>
      <c r="M176" s="240"/>
      <c r="N176" s="192" t="str">
        <f t="shared" si="159"/>
        <v>12 7</v>
      </c>
      <c r="O176" s="225">
        <v>7</v>
      </c>
      <c r="P176" s="226">
        <f t="shared" si="165"/>
        <v>0</v>
      </c>
      <c r="Q176" s="227">
        <f t="shared" si="166"/>
        <v>0</v>
      </c>
      <c r="R176" s="227">
        <f t="shared" si="160"/>
        <v>0</v>
      </c>
      <c r="U176" s="192" t="str">
        <f t="shared" si="161"/>
        <v>12 7</v>
      </c>
      <c r="V176" s="225">
        <v>7</v>
      </c>
      <c r="W176" s="226">
        <f t="shared" si="167"/>
        <v>0</v>
      </c>
      <c r="X176" s="227">
        <f t="shared" si="168"/>
        <v>0</v>
      </c>
      <c r="Y176" s="758">
        <f t="shared" si="169"/>
        <v>0</v>
      </c>
      <c r="Z176" s="231">
        <v>1.3</v>
      </c>
      <c r="AB176" s="192" t="str">
        <f t="shared" si="162"/>
        <v>12 7</v>
      </c>
      <c r="AC176" s="225">
        <v>7</v>
      </c>
      <c r="AD176" s="226">
        <f t="shared" si="163"/>
        <v>0</v>
      </c>
      <c r="AE176" s="227">
        <f t="shared" si="170"/>
        <v>0</v>
      </c>
      <c r="AF176" s="227">
        <f t="shared" si="170"/>
        <v>0</v>
      </c>
      <c r="AN176" s="225">
        <v>7</v>
      </c>
      <c r="AO176" s="226"/>
      <c r="AP176" s="227">
        <v>0</v>
      </c>
      <c r="AQ176" s="228">
        <v>0</v>
      </c>
      <c r="AS176" s="192" t="str">
        <f>CONCATENATE(AS166," ",AT176)</f>
        <v>12 7</v>
      </c>
      <c r="AT176" s="225">
        <v>7</v>
      </c>
      <c r="AU176" s="226"/>
      <c r="AV176" s="227">
        <v>0</v>
      </c>
      <c r="AW176" s="228">
        <f t="shared" si="172"/>
        <v>0</v>
      </c>
    </row>
    <row r="177" spans="2:49">
      <c r="B177" s="225">
        <v>8</v>
      </c>
      <c r="C177" s="226"/>
      <c r="D177" s="227">
        <v>0</v>
      </c>
      <c r="E177" s="228">
        <v>0</v>
      </c>
      <c r="G177" s="192" t="str">
        <f>CONCATENATE(G166," ",H177)</f>
        <v>12 8</v>
      </c>
      <c r="H177" s="225">
        <v>8</v>
      </c>
      <c r="I177" s="226"/>
      <c r="J177" s="227">
        <v>0</v>
      </c>
      <c r="K177" s="228">
        <f t="shared" si="164"/>
        <v>0</v>
      </c>
      <c r="L177" s="240"/>
      <c r="M177" s="240"/>
      <c r="N177" s="192" t="str">
        <f t="shared" si="159"/>
        <v>12 8</v>
      </c>
      <c r="O177" s="225">
        <v>8</v>
      </c>
      <c r="P177" s="226">
        <f t="shared" si="165"/>
        <v>0</v>
      </c>
      <c r="Q177" s="227">
        <f t="shared" si="166"/>
        <v>0</v>
      </c>
      <c r="R177" s="227">
        <f t="shared" si="160"/>
        <v>0</v>
      </c>
      <c r="U177" s="192" t="str">
        <f t="shared" si="161"/>
        <v>12 8</v>
      </c>
      <c r="V177" s="225">
        <v>8</v>
      </c>
      <c r="W177" s="226">
        <f t="shared" si="167"/>
        <v>0</v>
      </c>
      <c r="X177" s="227">
        <f t="shared" si="168"/>
        <v>0</v>
      </c>
      <c r="Y177" s="758">
        <f t="shared" si="169"/>
        <v>0</v>
      </c>
      <c r="Z177" s="231">
        <v>1.3</v>
      </c>
      <c r="AB177" s="192" t="str">
        <f t="shared" si="162"/>
        <v>12 8</v>
      </c>
      <c r="AC177" s="225">
        <v>8</v>
      </c>
      <c r="AD177" s="226">
        <f t="shared" si="163"/>
        <v>0</v>
      </c>
      <c r="AE177" s="227">
        <f t="shared" si="170"/>
        <v>0</v>
      </c>
      <c r="AF177" s="227">
        <f t="shared" si="170"/>
        <v>0</v>
      </c>
      <c r="AN177" s="225">
        <v>8</v>
      </c>
      <c r="AO177" s="226"/>
      <c r="AP177" s="227">
        <v>0</v>
      </c>
      <c r="AQ177" s="228">
        <v>0</v>
      </c>
      <c r="AS177" s="192" t="str">
        <f>CONCATENATE(AS166," ",AT177)</f>
        <v>12 8</v>
      </c>
      <c r="AT177" s="225">
        <v>8</v>
      </c>
      <c r="AU177" s="226"/>
      <c r="AV177" s="227">
        <v>0</v>
      </c>
      <c r="AW177" s="228">
        <f t="shared" si="172"/>
        <v>0</v>
      </c>
    </row>
    <row r="178" spans="2:49">
      <c r="B178" s="225">
        <v>9</v>
      </c>
      <c r="C178" s="226"/>
      <c r="D178" s="227">
        <v>0</v>
      </c>
      <c r="E178" s="228">
        <v>0</v>
      </c>
      <c r="G178" s="192" t="str">
        <f>CONCATENATE(G166," ",H178)</f>
        <v>12 9</v>
      </c>
      <c r="H178" s="225">
        <v>9</v>
      </c>
      <c r="I178" s="226"/>
      <c r="J178" s="227">
        <v>0</v>
      </c>
      <c r="K178" s="228">
        <f t="shared" si="164"/>
        <v>0</v>
      </c>
      <c r="L178" s="240"/>
      <c r="M178" s="240"/>
      <c r="N178" s="192" t="str">
        <f t="shared" si="159"/>
        <v>12 9</v>
      </c>
      <c r="O178" s="225">
        <v>9</v>
      </c>
      <c r="P178" s="226">
        <f t="shared" si="165"/>
        <v>0</v>
      </c>
      <c r="Q178" s="227">
        <f t="shared" si="166"/>
        <v>0</v>
      </c>
      <c r="R178" s="227">
        <f t="shared" si="160"/>
        <v>0</v>
      </c>
      <c r="U178" s="192" t="str">
        <f t="shared" si="161"/>
        <v>12 9</v>
      </c>
      <c r="V178" s="225">
        <v>9</v>
      </c>
      <c r="W178" s="226">
        <f t="shared" si="167"/>
        <v>0</v>
      </c>
      <c r="X178" s="227">
        <f t="shared" si="168"/>
        <v>0</v>
      </c>
      <c r="Y178" s="758">
        <f t="shared" si="169"/>
        <v>0</v>
      </c>
      <c r="Z178" s="231">
        <v>1.3</v>
      </c>
      <c r="AB178" s="192" t="str">
        <f t="shared" si="162"/>
        <v>12 9</v>
      </c>
      <c r="AC178" s="225">
        <v>9</v>
      </c>
      <c r="AD178" s="226">
        <f t="shared" si="163"/>
        <v>0</v>
      </c>
      <c r="AE178" s="227">
        <f t="shared" si="170"/>
        <v>0</v>
      </c>
      <c r="AF178" s="227">
        <f t="shared" si="170"/>
        <v>0</v>
      </c>
      <c r="AN178" s="225">
        <v>9</v>
      </c>
      <c r="AO178" s="226"/>
      <c r="AP178" s="227">
        <v>0</v>
      </c>
      <c r="AQ178" s="228">
        <v>0</v>
      </c>
      <c r="AS178" s="192" t="str">
        <f>CONCATENATE(AS166," ",AT178)</f>
        <v>12 9</v>
      </c>
      <c r="AT178" s="225">
        <v>9</v>
      </c>
      <c r="AU178" s="226"/>
      <c r="AV178" s="227">
        <v>0</v>
      </c>
      <c r="AW178" s="228">
        <f t="shared" si="172"/>
        <v>0</v>
      </c>
    </row>
    <row r="179" spans="2:49">
      <c r="N179" s="192"/>
      <c r="U179" s="192"/>
      <c r="X179" s="227">
        <f t="shared" si="168"/>
        <v>0</v>
      </c>
      <c r="Y179" s="758">
        <f t="shared" si="169"/>
        <v>0</v>
      </c>
      <c r="Z179" s="231">
        <v>1.3</v>
      </c>
      <c r="AB179" s="192"/>
      <c r="AF179" s="227">
        <f t="shared" si="170"/>
        <v>0</v>
      </c>
    </row>
    <row r="180" spans="2:49">
      <c r="B180" s="836" t="s">
        <v>4633</v>
      </c>
      <c r="C180" s="837"/>
      <c r="D180" s="219"/>
      <c r="E180" s="220"/>
      <c r="G180" s="218" t="s">
        <v>4918</v>
      </c>
      <c r="H180" s="836" t="s">
        <v>4633</v>
      </c>
      <c r="I180" s="837"/>
      <c r="J180" s="219"/>
      <c r="K180" s="220"/>
      <c r="L180" s="240"/>
      <c r="M180" s="240"/>
      <c r="N180" s="218" t="str">
        <f>G180</f>
        <v>13</v>
      </c>
      <c r="O180" s="836" t="str">
        <f>H180</f>
        <v>GLP Industrial</v>
      </c>
      <c r="P180" s="837"/>
      <c r="Q180" s="219"/>
      <c r="R180" s="220"/>
      <c r="U180" s="218" t="str">
        <f>N180</f>
        <v>13</v>
      </c>
      <c r="V180" s="836" t="str">
        <f>O180</f>
        <v>GLP Industrial</v>
      </c>
      <c r="W180" s="837"/>
      <c r="X180" s="219"/>
      <c r="Y180" s="220"/>
      <c r="AB180" s="218" t="str">
        <f>U180</f>
        <v>13</v>
      </c>
      <c r="AC180" s="836" t="str">
        <f>V180</f>
        <v>GLP Industrial</v>
      </c>
      <c r="AD180" s="837"/>
      <c r="AE180" s="219"/>
      <c r="AF180" s="220"/>
      <c r="AN180" s="836" t="s">
        <v>4633</v>
      </c>
      <c r="AO180" s="837"/>
      <c r="AP180" s="219"/>
      <c r="AQ180" s="220"/>
      <c r="AS180" s="218" t="s">
        <v>4918</v>
      </c>
      <c r="AT180" s="282" t="s">
        <v>4633</v>
      </c>
      <c r="AU180" s="283"/>
      <c r="AV180" s="219"/>
      <c r="AW180" s="220"/>
    </row>
    <row r="181" spans="2:49">
      <c r="B181" s="838" t="s">
        <v>4898</v>
      </c>
      <c r="C181" s="838"/>
      <c r="D181" s="219"/>
      <c r="E181" s="220"/>
      <c r="G181" s="222"/>
      <c r="H181" s="838"/>
      <c r="I181" s="838"/>
      <c r="J181" s="219"/>
      <c r="K181" s="220"/>
      <c r="L181" s="240"/>
      <c r="M181" s="240"/>
      <c r="N181" s="222"/>
      <c r="O181" s="838" t="s">
        <v>4898</v>
      </c>
      <c r="P181" s="838"/>
      <c r="Q181" s="219"/>
      <c r="R181" s="220"/>
      <c r="U181" s="222"/>
      <c r="V181" s="838" t="s">
        <v>4898</v>
      </c>
      <c r="W181" s="838"/>
      <c r="X181" s="219"/>
      <c r="Y181" s="220"/>
      <c r="AB181" s="222"/>
      <c r="AC181" s="838" t="s">
        <v>4898</v>
      </c>
      <c r="AD181" s="838"/>
      <c r="AE181" s="219"/>
      <c r="AF181" s="220"/>
      <c r="AN181" s="838" t="s">
        <v>4898</v>
      </c>
      <c r="AO181" s="838"/>
      <c r="AP181" s="219"/>
      <c r="AQ181" s="220"/>
      <c r="AS181" s="222"/>
      <c r="AT181" s="284" t="s">
        <v>4898</v>
      </c>
      <c r="AU181" s="284"/>
      <c r="AV181" s="219"/>
      <c r="AW181" s="220"/>
    </row>
    <row r="182" spans="2:49">
      <c r="B182" s="835" t="s">
        <v>4899</v>
      </c>
      <c r="C182" s="835"/>
      <c r="D182" s="224" t="s">
        <v>4901</v>
      </c>
      <c r="E182" s="224"/>
      <c r="G182" s="222"/>
      <c r="H182" s="835" t="s">
        <v>4899</v>
      </c>
      <c r="I182" s="835"/>
      <c r="J182" s="224" t="s">
        <v>4901</v>
      </c>
      <c r="K182" s="224"/>
      <c r="L182" s="240"/>
      <c r="M182" s="240"/>
      <c r="N182" s="222"/>
      <c r="O182" s="835" t="s">
        <v>4899</v>
      </c>
      <c r="P182" s="835" t="s">
        <v>4900</v>
      </c>
      <c r="Q182" s="224" t="s">
        <v>4901</v>
      </c>
      <c r="R182" s="224"/>
      <c r="U182" s="222"/>
      <c r="V182" s="835" t="s">
        <v>4899</v>
      </c>
      <c r="W182" s="835" t="s">
        <v>4900</v>
      </c>
      <c r="X182" s="224" t="s">
        <v>4901</v>
      </c>
      <c r="Y182" s="224"/>
      <c r="AB182" s="222"/>
      <c r="AC182" s="835" t="s">
        <v>4899</v>
      </c>
      <c r="AD182" s="835" t="s">
        <v>4900</v>
      </c>
      <c r="AE182" s="841" t="s">
        <v>4901</v>
      </c>
      <c r="AF182" s="841"/>
      <c r="AN182" s="835" t="s">
        <v>4899</v>
      </c>
      <c r="AO182" s="835"/>
      <c r="AP182" s="224" t="s">
        <v>4901</v>
      </c>
      <c r="AQ182" s="224"/>
      <c r="AS182" s="222"/>
      <c r="AT182" s="285" t="s">
        <v>4899</v>
      </c>
      <c r="AU182" s="285"/>
      <c r="AV182" s="224" t="s">
        <v>4901</v>
      </c>
      <c r="AW182" s="224"/>
    </row>
    <row r="183" spans="2:49">
      <c r="B183" s="835"/>
      <c r="C183" s="835"/>
      <c r="D183" s="223" t="s">
        <v>4902</v>
      </c>
      <c r="E183" s="223" t="s">
        <v>4903</v>
      </c>
      <c r="G183" s="222"/>
      <c r="H183" s="835"/>
      <c r="I183" s="835"/>
      <c r="J183" s="223" t="s">
        <v>4902</v>
      </c>
      <c r="K183" s="223" t="s">
        <v>4903</v>
      </c>
      <c r="L183" s="240"/>
      <c r="M183" s="240"/>
      <c r="N183" s="222"/>
      <c r="O183" s="835"/>
      <c r="P183" s="835"/>
      <c r="Q183" s="223" t="s">
        <v>4902</v>
      </c>
      <c r="R183" s="223" t="s">
        <v>4903</v>
      </c>
      <c r="U183" s="222"/>
      <c r="V183" s="835"/>
      <c r="W183" s="835"/>
      <c r="X183" s="223" t="s">
        <v>4902</v>
      </c>
      <c r="Y183" s="223" t="s">
        <v>4903</v>
      </c>
      <c r="AB183" s="222"/>
      <c r="AC183" s="835"/>
      <c r="AD183" s="835"/>
      <c r="AE183" s="223" t="s">
        <v>4902</v>
      </c>
      <c r="AF183" s="223" t="s">
        <v>4903</v>
      </c>
      <c r="AN183" s="835"/>
      <c r="AO183" s="835"/>
      <c r="AP183" s="223" t="s">
        <v>4902</v>
      </c>
      <c r="AQ183" s="223" t="s">
        <v>4903</v>
      </c>
      <c r="AS183" s="222"/>
      <c r="AT183" s="285"/>
      <c r="AU183" s="285"/>
      <c r="AV183" s="223" t="s">
        <v>4902</v>
      </c>
      <c r="AW183" s="223" t="s">
        <v>4903</v>
      </c>
    </row>
    <row r="184" spans="2:49">
      <c r="B184" s="225">
        <v>1</v>
      </c>
      <c r="C184" s="226">
        <v>999999999</v>
      </c>
      <c r="D184" s="227">
        <v>0</v>
      </c>
      <c r="E184" s="228">
        <v>3.2024739357958079</v>
      </c>
      <c r="G184" s="192" t="str">
        <f>CONCATENATE(G180," ",H184)</f>
        <v>13 1</v>
      </c>
      <c r="H184" s="225">
        <v>1</v>
      </c>
      <c r="I184" s="226">
        <v>999999999</v>
      </c>
      <c r="J184" s="227">
        <v>0</v>
      </c>
      <c r="K184" s="228">
        <f>E184*$K$1</f>
        <v>2.9360654569647568</v>
      </c>
      <c r="L184" s="240"/>
      <c r="M184" s="240"/>
      <c r="N184" s="192" t="str">
        <f t="shared" ref="N184:N192" si="173">G184</f>
        <v>13 1</v>
      </c>
      <c r="O184" s="225">
        <v>1</v>
      </c>
      <c r="P184" s="226">
        <f>I184</f>
        <v>999999999</v>
      </c>
      <c r="Q184" s="227">
        <v>0</v>
      </c>
      <c r="R184" s="227">
        <f t="shared" ref="R184:R192" si="174">K184*$R$1</f>
        <v>0</v>
      </c>
      <c r="U184" s="192" t="str">
        <f t="shared" ref="U184:U192" si="175">N184</f>
        <v>13 1</v>
      </c>
      <c r="V184" s="225">
        <v>1</v>
      </c>
      <c r="W184" s="226">
        <f>P184</f>
        <v>999999999</v>
      </c>
      <c r="X184" s="227">
        <f>J184*Z184</f>
        <v>0</v>
      </c>
      <c r="Y184" s="758">
        <f>K184*Z184</f>
        <v>3.8168850940541841</v>
      </c>
      <c r="Z184" s="231">
        <v>1.3</v>
      </c>
      <c r="AB184" s="192" t="str">
        <f t="shared" ref="AB184:AB193" si="176">U184</f>
        <v>13 1</v>
      </c>
      <c r="AC184" s="225">
        <v>1</v>
      </c>
      <c r="AD184" s="226">
        <f t="shared" ref="AD184:AD192" si="177">P184</f>
        <v>999999999</v>
      </c>
      <c r="AE184" s="227">
        <f>X184+Q184</f>
        <v>0</v>
      </c>
      <c r="AF184" s="227">
        <f>Y184+R184</f>
        <v>3.8168850940541841</v>
      </c>
      <c r="AN184" s="225">
        <v>1</v>
      </c>
      <c r="AO184" s="226">
        <v>999999999</v>
      </c>
      <c r="AP184" s="227">
        <v>0</v>
      </c>
      <c r="AQ184" s="308">
        <v>4.7518057497936432</v>
      </c>
      <c r="AS184" s="192" t="str">
        <f>CONCATENATE(AS180," ",AT184)</f>
        <v>13 1</v>
      </c>
      <c r="AT184" s="225">
        <v>1</v>
      </c>
      <c r="AU184" s="226">
        <v>999999999</v>
      </c>
      <c r="AV184" s="227">
        <v>0</v>
      </c>
      <c r="AW184" s="228">
        <f>AQ184*$AW$1</f>
        <v>4.3565109349465123</v>
      </c>
    </row>
    <row r="185" spans="2:49">
      <c r="B185" s="225">
        <v>2</v>
      </c>
      <c r="C185" s="226"/>
      <c r="D185" s="227">
        <v>0</v>
      </c>
      <c r="E185" s="228">
        <v>0</v>
      </c>
      <c r="G185" s="192" t="str">
        <f>CONCATENATE(G180," ",H185)</f>
        <v>13 2</v>
      </c>
      <c r="H185" s="225">
        <v>2</v>
      </c>
      <c r="I185" s="226"/>
      <c r="J185" s="227">
        <v>0</v>
      </c>
      <c r="K185" s="228">
        <f t="shared" ref="K185:K192" si="178">E185*$K$1</f>
        <v>0</v>
      </c>
      <c r="L185" s="240"/>
      <c r="M185" s="240"/>
      <c r="N185" s="192" t="str">
        <f t="shared" si="173"/>
        <v>13 2</v>
      </c>
      <c r="O185" s="225">
        <v>2</v>
      </c>
      <c r="P185" s="226">
        <f t="shared" ref="P185:P192" si="179">I185</f>
        <v>0</v>
      </c>
      <c r="Q185" s="227">
        <f t="shared" ref="Q185:Q192" si="180">J185*$R$1</f>
        <v>0</v>
      </c>
      <c r="R185" s="227">
        <f t="shared" si="174"/>
        <v>0</v>
      </c>
      <c r="U185" s="192" t="str">
        <f t="shared" si="175"/>
        <v>13 2</v>
      </c>
      <c r="V185" s="225">
        <v>2</v>
      </c>
      <c r="W185" s="226">
        <f t="shared" ref="W185:W192" si="181">P185</f>
        <v>0</v>
      </c>
      <c r="X185" s="227">
        <f t="shared" ref="X185:X193" si="182">J185*Z185</f>
        <v>0</v>
      </c>
      <c r="Y185" s="758">
        <f t="shared" ref="Y185:Y193" si="183">K185*Z185</f>
        <v>0</v>
      </c>
      <c r="Z185" s="231">
        <f t="shared" ref="Z185:Z193" si="184">$Y$1</f>
        <v>1.0900000000000001</v>
      </c>
      <c r="AB185" s="192" t="str">
        <f t="shared" si="176"/>
        <v>13 2</v>
      </c>
      <c r="AC185" s="225">
        <v>2</v>
      </c>
      <c r="AD185" s="226">
        <f t="shared" si="177"/>
        <v>0</v>
      </c>
      <c r="AE185" s="227">
        <f t="shared" ref="AE185:AF192" si="185">X185+Q185</f>
        <v>0</v>
      </c>
      <c r="AF185" s="227">
        <f t="shared" si="185"/>
        <v>0</v>
      </c>
      <c r="AN185" s="225">
        <v>2</v>
      </c>
      <c r="AO185" s="226"/>
      <c r="AP185" s="227">
        <v>0</v>
      </c>
      <c r="AQ185" s="228">
        <v>0</v>
      </c>
      <c r="AS185" s="192" t="str">
        <f>CONCATENATE(AS180," ",AT185)</f>
        <v>13 2</v>
      </c>
      <c r="AT185" s="225">
        <v>2</v>
      </c>
      <c r="AU185" s="226"/>
      <c r="AV185" s="227">
        <v>0</v>
      </c>
      <c r="AW185" s="228">
        <f t="shared" ref="AW185:AW192" si="186">AQ185*$K$1</f>
        <v>0</v>
      </c>
    </row>
    <row r="186" spans="2:49">
      <c r="B186" s="225">
        <v>3</v>
      </c>
      <c r="C186" s="226"/>
      <c r="D186" s="227">
        <v>0</v>
      </c>
      <c r="E186" s="228">
        <v>0</v>
      </c>
      <c r="G186" s="192" t="str">
        <f>CONCATENATE(G180," ",H186)</f>
        <v>13 3</v>
      </c>
      <c r="H186" s="225">
        <v>3</v>
      </c>
      <c r="I186" s="226"/>
      <c r="J186" s="227">
        <v>0</v>
      </c>
      <c r="K186" s="228">
        <f t="shared" si="178"/>
        <v>0</v>
      </c>
      <c r="L186" s="240"/>
      <c r="M186" s="240"/>
      <c r="N186" s="192" t="str">
        <f t="shared" si="173"/>
        <v>13 3</v>
      </c>
      <c r="O186" s="225">
        <v>3</v>
      </c>
      <c r="P186" s="226">
        <f t="shared" si="179"/>
        <v>0</v>
      </c>
      <c r="Q186" s="227">
        <f t="shared" si="180"/>
        <v>0</v>
      </c>
      <c r="R186" s="227">
        <f t="shared" si="174"/>
        <v>0</v>
      </c>
      <c r="U186" s="192" t="str">
        <f t="shared" si="175"/>
        <v>13 3</v>
      </c>
      <c r="V186" s="225">
        <v>3</v>
      </c>
      <c r="W186" s="226">
        <f t="shared" si="181"/>
        <v>0</v>
      </c>
      <c r="X186" s="227">
        <f t="shared" si="182"/>
        <v>0</v>
      </c>
      <c r="Y186" s="758">
        <f t="shared" si="183"/>
        <v>0</v>
      </c>
      <c r="Z186" s="231">
        <f t="shared" si="184"/>
        <v>1.0900000000000001</v>
      </c>
      <c r="AB186" s="192" t="str">
        <f t="shared" si="176"/>
        <v>13 3</v>
      </c>
      <c r="AC186" s="225">
        <v>3</v>
      </c>
      <c r="AD186" s="226">
        <f t="shared" si="177"/>
        <v>0</v>
      </c>
      <c r="AE186" s="227">
        <f t="shared" si="185"/>
        <v>0</v>
      </c>
      <c r="AF186" s="227">
        <f t="shared" si="185"/>
        <v>0</v>
      </c>
      <c r="AN186" s="225">
        <v>3</v>
      </c>
      <c r="AO186" s="226"/>
      <c r="AP186" s="227">
        <v>0</v>
      </c>
      <c r="AQ186" s="228">
        <v>0</v>
      </c>
      <c r="AS186" s="192" t="str">
        <f>CONCATENATE(AS180," ",AT186)</f>
        <v>13 3</v>
      </c>
      <c r="AT186" s="225">
        <v>3</v>
      </c>
      <c r="AU186" s="226"/>
      <c r="AV186" s="227">
        <v>0</v>
      </c>
      <c r="AW186" s="228">
        <f t="shared" si="186"/>
        <v>0</v>
      </c>
    </row>
    <row r="187" spans="2:49">
      <c r="B187" s="225">
        <v>4</v>
      </c>
      <c r="C187" s="226"/>
      <c r="D187" s="227">
        <v>0</v>
      </c>
      <c r="E187" s="228">
        <v>0</v>
      </c>
      <c r="G187" s="192" t="str">
        <f>CONCATENATE(G180," ",H187)</f>
        <v>13 4</v>
      </c>
      <c r="H187" s="225">
        <v>4</v>
      </c>
      <c r="I187" s="226"/>
      <c r="J187" s="227">
        <v>0</v>
      </c>
      <c r="K187" s="228">
        <f t="shared" si="178"/>
        <v>0</v>
      </c>
      <c r="L187" s="240"/>
      <c r="M187" s="240"/>
      <c r="N187" s="192" t="str">
        <f t="shared" si="173"/>
        <v>13 4</v>
      </c>
      <c r="O187" s="225">
        <v>4</v>
      </c>
      <c r="P187" s="226">
        <f t="shared" si="179"/>
        <v>0</v>
      </c>
      <c r="Q187" s="227">
        <f t="shared" si="180"/>
        <v>0</v>
      </c>
      <c r="R187" s="227">
        <f t="shared" si="174"/>
        <v>0</v>
      </c>
      <c r="U187" s="192" t="str">
        <f t="shared" si="175"/>
        <v>13 4</v>
      </c>
      <c r="V187" s="225">
        <v>4</v>
      </c>
      <c r="W187" s="226">
        <f t="shared" si="181"/>
        <v>0</v>
      </c>
      <c r="X187" s="227">
        <f t="shared" si="182"/>
        <v>0</v>
      </c>
      <c r="Y187" s="758">
        <f t="shared" si="183"/>
        <v>0</v>
      </c>
      <c r="Z187" s="231">
        <f t="shared" si="184"/>
        <v>1.0900000000000001</v>
      </c>
      <c r="AB187" s="192" t="str">
        <f t="shared" si="176"/>
        <v>13 4</v>
      </c>
      <c r="AC187" s="225">
        <v>4</v>
      </c>
      <c r="AD187" s="226">
        <f t="shared" si="177"/>
        <v>0</v>
      </c>
      <c r="AE187" s="227">
        <f t="shared" si="185"/>
        <v>0</v>
      </c>
      <c r="AF187" s="227">
        <f t="shared" si="185"/>
        <v>0</v>
      </c>
      <c r="AN187" s="225">
        <v>4</v>
      </c>
      <c r="AO187" s="226"/>
      <c r="AP187" s="227">
        <v>0</v>
      </c>
      <c r="AQ187" s="228">
        <v>0</v>
      </c>
      <c r="AS187" s="192" t="str">
        <f>CONCATENATE(AS180," ",AT187)</f>
        <v>13 4</v>
      </c>
      <c r="AT187" s="225">
        <v>4</v>
      </c>
      <c r="AU187" s="226"/>
      <c r="AV187" s="227">
        <v>0</v>
      </c>
      <c r="AW187" s="228">
        <f t="shared" si="186"/>
        <v>0</v>
      </c>
    </row>
    <row r="188" spans="2:49">
      <c r="B188" s="225">
        <v>5</v>
      </c>
      <c r="C188" s="226"/>
      <c r="D188" s="227">
        <v>0</v>
      </c>
      <c r="E188" s="228">
        <v>0</v>
      </c>
      <c r="G188" s="192" t="str">
        <f>CONCATENATE(G180," ",H188)</f>
        <v>13 5</v>
      </c>
      <c r="H188" s="225">
        <v>5</v>
      </c>
      <c r="I188" s="226"/>
      <c r="J188" s="227">
        <v>0</v>
      </c>
      <c r="K188" s="228">
        <f t="shared" si="178"/>
        <v>0</v>
      </c>
      <c r="L188" s="240"/>
      <c r="M188" s="240"/>
      <c r="N188" s="192" t="str">
        <f t="shared" si="173"/>
        <v>13 5</v>
      </c>
      <c r="O188" s="225">
        <v>5</v>
      </c>
      <c r="P188" s="226">
        <f t="shared" si="179"/>
        <v>0</v>
      </c>
      <c r="Q188" s="227">
        <f t="shared" si="180"/>
        <v>0</v>
      </c>
      <c r="R188" s="227">
        <f t="shared" si="174"/>
        <v>0</v>
      </c>
      <c r="U188" s="192" t="str">
        <f t="shared" si="175"/>
        <v>13 5</v>
      </c>
      <c r="V188" s="225">
        <v>5</v>
      </c>
      <c r="W188" s="226">
        <f t="shared" si="181"/>
        <v>0</v>
      </c>
      <c r="X188" s="227">
        <f t="shared" si="182"/>
        <v>0</v>
      </c>
      <c r="Y188" s="758">
        <f t="shared" si="183"/>
        <v>0</v>
      </c>
      <c r="Z188" s="231">
        <f t="shared" si="184"/>
        <v>1.0900000000000001</v>
      </c>
      <c r="AB188" s="192" t="str">
        <f t="shared" si="176"/>
        <v>13 5</v>
      </c>
      <c r="AC188" s="225">
        <v>5</v>
      </c>
      <c r="AD188" s="226">
        <f t="shared" si="177"/>
        <v>0</v>
      </c>
      <c r="AE188" s="227">
        <f t="shared" si="185"/>
        <v>0</v>
      </c>
      <c r="AF188" s="227">
        <f t="shared" si="185"/>
        <v>0</v>
      </c>
      <c r="AN188" s="225">
        <v>5</v>
      </c>
      <c r="AO188" s="226"/>
      <c r="AP188" s="227">
        <v>0</v>
      </c>
      <c r="AQ188" s="228">
        <v>0</v>
      </c>
      <c r="AS188" s="192" t="str">
        <f>CONCATENATE(AS180," ",AT188)</f>
        <v>13 5</v>
      </c>
      <c r="AT188" s="225">
        <v>5</v>
      </c>
      <c r="AU188" s="226"/>
      <c r="AV188" s="227">
        <v>0</v>
      </c>
      <c r="AW188" s="228">
        <f t="shared" si="186"/>
        <v>0</v>
      </c>
    </row>
    <row r="189" spans="2:49">
      <c r="B189" s="225">
        <v>6</v>
      </c>
      <c r="C189" s="226"/>
      <c r="D189" s="227">
        <v>0</v>
      </c>
      <c r="E189" s="228">
        <v>0</v>
      </c>
      <c r="G189" s="192" t="str">
        <f>CONCATENATE(G180," ",H189)</f>
        <v>13 6</v>
      </c>
      <c r="H189" s="225">
        <v>6</v>
      </c>
      <c r="I189" s="226"/>
      <c r="J189" s="227">
        <v>0</v>
      </c>
      <c r="K189" s="228">
        <f t="shared" si="178"/>
        <v>0</v>
      </c>
      <c r="L189" s="240"/>
      <c r="M189" s="240"/>
      <c r="N189" s="192" t="str">
        <f t="shared" si="173"/>
        <v>13 6</v>
      </c>
      <c r="O189" s="225">
        <v>6</v>
      </c>
      <c r="P189" s="226">
        <f t="shared" si="179"/>
        <v>0</v>
      </c>
      <c r="Q189" s="227">
        <f t="shared" si="180"/>
        <v>0</v>
      </c>
      <c r="R189" s="227">
        <f t="shared" si="174"/>
        <v>0</v>
      </c>
      <c r="U189" s="192" t="str">
        <f t="shared" si="175"/>
        <v>13 6</v>
      </c>
      <c r="V189" s="225">
        <v>6</v>
      </c>
      <c r="W189" s="226">
        <f t="shared" si="181"/>
        <v>0</v>
      </c>
      <c r="X189" s="227">
        <f t="shared" si="182"/>
        <v>0</v>
      </c>
      <c r="Y189" s="758">
        <f t="shared" si="183"/>
        <v>0</v>
      </c>
      <c r="Z189" s="231">
        <f t="shared" si="184"/>
        <v>1.0900000000000001</v>
      </c>
      <c r="AB189" s="192" t="str">
        <f t="shared" si="176"/>
        <v>13 6</v>
      </c>
      <c r="AC189" s="225">
        <v>6</v>
      </c>
      <c r="AD189" s="226">
        <f t="shared" si="177"/>
        <v>0</v>
      </c>
      <c r="AE189" s="227">
        <f t="shared" si="185"/>
        <v>0</v>
      </c>
      <c r="AF189" s="227">
        <f t="shared" si="185"/>
        <v>0</v>
      </c>
      <c r="AN189" s="225">
        <v>6</v>
      </c>
      <c r="AO189" s="226"/>
      <c r="AP189" s="227">
        <v>0</v>
      </c>
      <c r="AQ189" s="228">
        <v>0</v>
      </c>
      <c r="AS189" s="192" t="str">
        <f>CONCATENATE(AS180," ",AT189)</f>
        <v>13 6</v>
      </c>
      <c r="AT189" s="225">
        <v>6</v>
      </c>
      <c r="AU189" s="226"/>
      <c r="AV189" s="227">
        <v>0</v>
      </c>
      <c r="AW189" s="228">
        <f t="shared" si="186"/>
        <v>0</v>
      </c>
    </row>
    <row r="190" spans="2:49">
      <c r="B190" s="225">
        <v>7</v>
      </c>
      <c r="C190" s="226"/>
      <c r="D190" s="227">
        <v>0</v>
      </c>
      <c r="E190" s="228">
        <v>0</v>
      </c>
      <c r="G190" s="192" t="str">
        <f>CONCATENATE(G180," ",H190)</f>
        <v>13 7</v>
      </c>
      <c r="H190" s="225">
        <v>7</v>
      </c>
      <c r="I190" s="226"/>
      <c r="J190" s="227">
        <v>0</v>
      </c>
      <c r="K190" s="228">
        <f t="shared" si="178"/>
        <v>0</v>
      </c>
      <c r="L190" s="240"/>
      <c r="M190" s="240"/>
      <c r="N190" s="192" t="str">
        <f t="shared" si="173"/>
        <v>13 7</v>
      </c>
      <c r="O190" s="225">
        <v>7</v>
      </c>
      <c r="P190" s="226">
        <f t="shared" si="179"/>
        <v>0</v>
      </c>
      <c r="Q190" s="227">
        <f t="shared" si="180"/>
        <v>0</v>
      </c>
      <c r="R190" s="227">
        <f t="shared" si="174"/>
        <v>0</v>
      </c>
      <c r="U190" s="192" t="str">
        <f t="shared" si="175"/>
        <v>13 7</v>
      </c>
      <c r="V190" s="225">
        <v>7</v>
      </c>
      <c r="W190" s="226">
        <f t="shared" si="181"/>
        <v>0</v>
      </c>
      <c r="X190" s="227">
        <f t="shared" si="182"/>
        <v>0</v>
      </c>
      <c r="Y190" s="758">
        <f t="shared" si="183"/>
        <v>0</v>
      </c>
      <c r="Z190" s="231">
        <f t="shared" si="184"/>
        <v>1.0900000000000001</v>
      </c>
      <c r="AB190" s="192" t="str">
        <f t="shared" si="176"/>
        <v>13 7</v>
      </c>
      <c r="AC190" s="225">
        <v>7</v>
      </c>
      <c r="AD190" s="226">
        <f t="shared" si="177"/>
        <v>0</v>
      </c>
      <c r="AE190" s="227">
        <f t="shared" si="185"/>
        <v>0</v>
      </c>
      <c r="AF190" s="227">
        <f t="shared" si="185"/>
        <v>0</v>
      </c>
      <c r="AN190" s="225">
        <v>7</v>
      </c>
      <c r="AO190" s="226"/>
      <c r="AP190" s="227">
        <v>0</v>
      </c>
      <c r="AQ190" s="228">
        <v>0</v>
      </c>
      <c r="AS190" s="192" t="str">
        <f>CONCATENATE(AS180," ",AT190)</f>
        <v>13 7</v>
      </c>
      <c r="AT190" s="225">
        <v>7</v>
      </c>
      <c r="AU190" s="226"/>
      <c r="AV190" s="227">
        <v>0</v>
      </c>
      <c r="AW190" s="228">
        <f t="shared" si="186"/>
        <v>0</v>
      </c>
    </row>
    <row r="191" spans="2:49">
      <c r="B191" s="225">
        <v>8</v>
      </c>
      <c r="C191" s="226"/>
      <c r="D191" s="227">
        <v>0</v>
      </c>
      <c r="E191" s="228">
        <v>0</v>
      </c>
      <c r="G191" s="192" t="str">
        <f>CONCATENATE(G180," ",H191)</f>
        <v>13 8</v>
      </c>
      <c r="H191" s="225">
        <v>8</v>
      </c>
      <c r="I191" s="226"/>
      <c r="J191" s="227">
        <v>0</v>
      </c>
      <c r="K191" s="228">
        <f t="shared" si="178"/>
        <v>0</v>
      </c>
      <c r="L191" s="240"/>
      <c r="M191" s="240"/>
      <c r="N191" s="192" t="str">
        <f t="shared" si="173"/>
        <v>13 8</v>
      </c>
      <c r="O191" s="225">
        <v>8</v>
      </c>
      <c r="P191" s="226">
        <f t="shared" si="179"/>
        <v>0</v>
      </c>
      <c r="Q191" s="227">
        <f t="shared" si="180"/>
        <v>0</v>
      </c>
      <c r="R191" s="227">
        <f t="shared" si="174"/>
        <v>0</v>
      </c>
      <c r="U191" s="192" t="str">
        <f t="shared" si="175"/>
        <v>13 8</v>
      </c>
      <c r="V191" s="225">
        <v>8</v>
      </c>
      <c r="W191" s="226">
        <f t="shared" si="181"/>
        <v>0</v>
      </c>
      <c r="X191" s="227">
        <f t="shared" si="182"/>
        <v>0</v>
      </c>
      <c r="Y191" s="758">
        <f t="shared" si="183"/>
        <v>0</v>
      </c>
      <c r="Z191" s="231">
        <f t="shared" si="184"/>
        <v>1.0900000000000001</v>
      </c>
      <c r="AB191" s="192" t="str">
        <f t="shared" si="176"/>
        <v>13 8</v>
      </c>
      <c r="AC191" s="225">
        <v>8</v>
      </c>
      <c r="AD191" s="226">
        <f t="shared" si="177"/>
        <v>0</v>
      </c>
      <c r="AE191" s="227">
        <f t="shared" si="185"/>
        <v>0</v>
      </c>
      <c r="AF191" s="227">
        <f t="shared" si="185"/>
        <v>0</v>
      </c>
      <c r="AN191" s="225">
        <v>8</v>
      </c>
      <c r="AO191" s="226"/>
      <c r="AP191" s="227">
        <v>0</v>
      </c>
      <c r="AQ191" s="228">
        <v>0</v>
      </c>
      <c r="AS191" s="192" t="str">
        <f>CONCATENATE(AS180," ",AT191)</f>
        <v>13 8</v>
      </c>
      <c r="AT191" s="225">
        <v>8</v>
      </c>
      <c r="AU191" s="226"/>
      <c r="AV191" s="227">
        <v>0</v>
      </c>
      <c r="AW191" s="228">
        <f t="shared" si="186"/>
        <v>0</v>
      </c>
    </row>
    <row r="192" spans="2:49">
      <c r="B192" s="225">
        <v>9</v>
      </c>
      <c r="C192" s="226"/>
      <c r="D192" s="227">
        <v>0</v>
      </c>
      <c r="E192" s="228">
        <v>0</v>
      </c>
      <c r="G192" s="192" t="str">
        <f>CONCATENATE(G180," ",H192)</f>
        <v>13 9</v>
      </c>
      <c r="H192" s="225">
        <v>9</v>
      </c>
      <c r="I192" s="226"/>
      <c r="J192" s="227">
        <v>0</v>
      </c>
      <c r="K192" s="228">
        <f t="shared" si="178"/>
        <v>0</v>
      </c>
      <c r="L192" s="240"/>
      <c r="M192" s="240"/>
      <c r="N192" s="192" t="str">
        <f t="shared" si="173"/>
        <v>13 9</v>
      </c>
      <c r="O192" s="225">
        <v>9</v>
      </c>
      <c r="P192" s="226">
        <f t="shared" si="179"/>
        <v>0</v>
      </c>
      <c r="Q192" s="227">
        <f t="shared" si="180"/>
        <v>0</v>
      </c>
      <c r="R192" s="227">
        <f t="shared" si="174"/>
        <v>0</v>
      </c>
      <c r="U192" s="192" t="str">
        <f t="shared" si="175"/>
        <v>13 9</v>
      </c>
      <c r="V192" s="225">
        <v>9</v>
      </c>
      <c r="W192" s="226">
        <f t="shared" si="181"/>
        <v>0</v>
      </c>
      <c r="X192" s="227">
        <f t="shared" si="182"/>
        <v>0</v>
      </c>
      <c r="Y192" s="758">
        <f t="shared" si="183"/>
        <v>0</v>
      </c>
      <c r="Z192" s="231">
        <f t="shared" si="184"/>
        <v>1.0900000000000001</v>
      </c>
      <c r="AB192" s="192" t="str">
        <f t="shared" si="176"/>
        <v>13 9</v>
      </c>
      <c r="AC192" s="225">
        <v>9</v>
      </c>
      <c r="AD192" s="226">
        <f t="shared" si="177"/>
        <v>0</v>
      </c>
      <c r="AE192" s="227">
        <f t="shared" si="185"/>
        <v>0</v>
      </c>
      <c r="AF192" s="227">
        <f t="shared" si="185"/>
        <v>0</v>
      </c>
      <c r="AN192" s="225">
        <v>9</v>
      </c>
      <c r="AO192" s="226"/>
      <c r="AP192" s="227">
        <v>0</v>
      </c>
      <c r="AQ192" s="228">
        <v>0</v>
      </c>
      <c r="AS192" s="192" t="str">
        <f>CONCATENATE(AS180," ",AT192)</f>
        <v>13 9</v>
      </c>
      <c r="AT192" s="225">
        <v>9</v>
      </c>
      <c r="AU192" s="226"/>
      <c r="AV192" s="227">
        <v>0</v>
      </c>
      <c r="AW192" s="228">
        <f t="shared" si="186"/>
        <v>0</v>
      </c>
    </row>
    <row r="193" spans="2:49">
      <c r="N193" s="192"/>
      <c r="U193" s="192"/>
      <c r="X193" s="227">
        <f t="shared" si="182"/>
        <v>0</v>
      </c>
      <c r="Y193" s="758">
        <f t="shared" si="183"/>
        <v>0</v>
      </c>
      <c r="Z193" s="231">
        <f t="shared" si="184"/>
        <v>1.0900000000000001</v>
      </c>
      <c r="AB193" s="192">
        <f t="shared" si="176"/>
        <v>0</v>
      </c>
    </row>
    <row r="194" spans="2:49">
      <c r="B194" s="836" t="s">
        <v>113</v>
      </c>
      <c r="C194" s="837"/>
      <c r="D194" s="219"/>
      <c r="E194" s="220"/>
      <c r="G194" s="218" t="s">
        <v>4919</v>
      </c>
      <c r="H194" s="836" t="s">
        <v>113</v>
      </c>
      <c r="I194" s="837"/>
      <c r="J194" s="219"/>
      <c r="K194" s="220"/>
      <c r="L194" s="240"/>
      <c r="M194" s="240"/>
      <c r="N194" s="218" t="str">
        <f>G194</f>
        <v>14</v>
      </c>
      <c r="O194" s="836" t="str">
        <f>H194</f>
        <v>Industrial Livre</v>
      </c>
      <c r="P194" s="837"/>
      <c r="Q194" s="219"/>
      <c r="R194" s="220"/>
      <c r="U194" s="218" t="str">
        <f>N194</f>
        <v>14</v>
      </c>
      <c r="V194" s="836" t="str">
        <f>O194</f>
        <v>Industrial Livre</v>
      </c>
      <c r="W194" s="837"/>
      <c r="X194" s="219"/>
      <c r="Y194" s="220"/>
      <c r="AB194" s="218" t="str">
        <f>U194</f>
        <v>14</v>
      </c>
      <c r="AC194" s="836" t="str">
        <f>V194</f>
        <v>Industrial Livre</v>
      </c>
      <c r="AD194" s="837"/>
      <c r="AE194" s="219"/>
      <c r="AF194" s="220"/>
      <c r="AN194" s="836" t="s">
        <v>113</v>
      </c>
      <c r="AO194" s="837"/>
      <c r="AP194" s="219"/>
      <c r="AQ194" s="220"/>
      <c r="AS194" s="218" t="s">
        <v>4919</v>
      </c>
      <c r="AT194" s="282" t="s">
        <v>113</v>
      </c>
      <c r="AU194" s="283"/>
      <c r="AV194" s="219"/>
      <c r="AW194" s="220"/>
    </row>
    <row r="195" spans="2:49">
      <c r="B195" s="838" t="s">
        <v>4898</v>
      </c>
      <c r="C195" s="838"/>
      <c r="D195" s="219"/>
      <c r="E195" s="220"/>
      <c r="G195" s="222"/>
      <c r="H195" s="838"/>
      <c r="I195" s="838"/>
      <c r="J195" s="219"/>
      <c r="K195" s="220"/>
      <c r="L195" s="240"/>
      <c r="M195" s="240"/>
      <c r="N195" s="222"/>
      <c r="O195" s="838" t="s">
        <v>4898</v>
      </c>
      <c r="P195" s="838"/>
      <c r="Q195" s="219"/>
      <c r="R195" s="220"/>
      <c r="U195" s="222"/>
      <c r="V195" s="838" t="s">
        <v>4898</v>
      </c>
      <c r="W195" s="838"/>
      <c r="X195" s="219"/>
      <c r="Y195" s="220"/>
      <c r="AB195" s="222"/>
      <c r="AC195" s="838" t="s">
        <v>4898</v>
      </c>
      <c r="AD195" s="838"/>
      <c r="AE195" s="219"/>
      <c r="AF195" s="220"/>
      <c r="AN195" s="838" t="s">
        <v>4898</v>
      </c>
      <c r="AO195" s="838"/>
      <c r="AP195" s="219"/>
      <c r="AQ195" s="220"/>
      <c r="AS195" s="222"/>
      <c r="AT195" s="284" t="s">
        <v>4898</v>
      </c>
      <c r="AU195" s="284"/>
      <c r="AV195" s="219"/>
      <c r="AW195" s="220"/>
    </row>
    <row r="196" spans="2:49">
      <c r="B196" s="835" t="s">
        <v>4899</v>
      </c>
      <c r="C196" s="835"/>
      <c r="D196" s="224" t="s">
        <v>4901</v>
      </c>
      <c r="E196" s="224"/>
      <c r="G196" s="222"/>
      <c r="H196" s="835" t="s">
        <v>4899</v>
      </c>
      <c r="I196" s="835"/>
      <c r="J196" s="224" t="s">
        <v>4901</v>
      </c>
      <c r="K196" s="224"/>
      <c r="L196" s="240"/>
      <c r="M196" s="240"/>
      <c r="N196" s="222"/>
      <c r="O196" s="835" t="s">
        <v>4899</v>
      </c>
      <c r="P196" s="835" t="s">
        <v>4900</v>
      </c>
      <c r="Q196" s="224" t="s">
        <v>4901</v>
      </c>
      <c r="R196" s="224"/>
      <c r="U196" s="222"/>
      <c r="V196" s="835" t="s">
        <v>4899</v>
      </c>
      <c r="W196" s="835" t="s">
        <v>4900</v>
      </c>
      <c r="X196" s="224" t="s">
        <v>4901</v>
      </c>
      <c r="Y196" s="224"/>
      <c r="AB196" s="222"/>
      <c r="AC196" s="835" t="s">
        <v>4899</v>
      </c>
      <c r="AD196" s="835" t="s">
        <v>4900</v>
      </c>
      <c r="AE196" s="841" t="s">
        <v>4901</v>
      </c>
      <c r="AF196" s="841"/>
      <c r="AN196" s="835" t="s">
        <v>4899</v>
      </c>
      <c r="AO196" s="835"/>
      <c r="AP196" s="224" t="s">
        <v>4901</v>
      </c>
      <c r="AQ196" s="224"/>
      <c r="AS196" s="222"/>
      <c r="AT196" s="285" t="s">
        <v>4899</v>
      </c>
      <c r="AU196" s="285"/>
      <c r="AV196" s="224" t="s">
        <v>4901</v>
      </c>
      <c r="AW196" s="224"/>
    </row>
    <row r="197" spans="2:49">
      <c r="B197" s="835"/>
      <c r="C197" s="835"/>
      <c r="D197" s="223" t="s">
        <v>4902</v>
      </c>
      <c r="E197" s="223" t="s">
        <v>4903</v>
      </c>
      <c r="G197" s="222"/>
      <c r="H197" s="835"/>
      <c r="I197" s="835"/>
      <c r="J197" s="223" t="s">
        <v>4902</v>
      </c>
      <c r="K197" s="223" t="s">
        <v>4903</v>
      </c>
      <c r="L197" s="240"/>
      <c r="M197" s="240"/>
      <c r="N197" s="222"/>
      <c r="O197" s="835"/>
      <c r="P197" s="835"/>
      <c r="Q197" s="223" t="s">
        <v>4902</v>
      </c>
      <c r="R197" s="223" t="s">
        <v>4903</v>
      </c>
      <c r="U197" s="222"/>
      <c r="V197" s="835"/>
      <c r="W197" s="835"/>
      <c r="X197" s="223" t="s">
        <v>4902</v>
      </c>
      <c r="Y197" s="223" t="s">
        <v>4903</v>
      </c>
      <c r="AB197" s="222"/>
      <c r="AC197" s="835"/>
      <c r="AD197" s="835"/>
      <c r="AE197" s="223" t="s">
        <v>4902</v>
      </c>
      <c r="AF197" s="223" t="s">
        <v>4903</v>
      </c>
      <c r="AN197" s="835"/>
      <c r="AO197" s="835"/>
      <c r="AP197" s="223" t="s">
        <v>4902</v>
      </c>
      <c r="AQ197" s="223" t="s">
        <v>4903</v>
      </c>
      <c r="AS197" s="222"/>
      <c r="AT197" s="285"/>
      <c r="AU197" s="285"/>
      <c r="AV197" s="223" t="s">
        <v>4902</v>
      </c>
      <c r="AW197" s="223" t="s">
        <v>4903</v>
      </c>
    </row>
    <row r="198" spans="2:49">
      <c r="B198" s="225">
        <v>1</v>
      </c>
      <c r="C198" s="226">
        <v>200</v>
      </c>
      <c r="D198" s="227">
        <v>0</v>
      </c>
      <c r="E198" s="228">
        <v>1.7224263399999997</v>
      </c>
      <c r="F198" s="290"/>
      <c r="G198" s="192" t="str">
        <f>CONCATENATE(G194," ",H198)</f>
        <v>14 1</v>
      </c>
      <c r="H198" s="225">
        <v>1</v>
      </c>
      <c r="I198" s="226">
        <v>200</v>
      </c>
      <c r="J198" s="227">
        <v>0</v>
      </c>
      <c r="K198" s="228">
        <f>E198*$K$1</f>
        <v>1.5791405583394826</v>
      </c>
      <c r="L198" s="241"/>
      <c r="M198" s="240"/>
      <c r="N198" s="192" t="str">
        <f t="shared" ref="N198:N207" si="187">G198</f>
        <v>14 1</v>
      </c>
      <c r="O198" s="225">
        <v>1</v>
      </c>
      <c r="P198" s="226">
        <f>I198</f>
        <v>200</v>
      </c>
      <c r="Q198" s="227"/>
      <c r="R198" s="227"/>
      <c r="U198" s="192" t="str">
        <f t="shared" ref="U198:U207" si="188">N198</f>
        <v>14 1</v>
      </c>
      <c r="V198" s="225">
        <v>1</v>
      </c>
      <c r="W198" s="226">
        <f>P198</f>
        <v>200</v>
      </c>
      <c r="X198" s="227">
        <f>J198*Z198</f>
        <v>0</v>
      </c>
      <c r="Y198" s="288">
        <f>Y140</f>
        <v>2.0528827258413274</v>
      </c>
      <c r="Z198" s="231"/>
      <c r="AB198" s="192" t="str">
        <f t="shared" ref="AB198:AB207" si="189">U198</f>
        <v>14 1</v>
      </c>
      <c r="AC198" s="225">
        <v>1</v>
      </c>
      <c r="AD198" s="226">
        <f t="shared" ref="AD198:AD207" si="190">P198</f>
        <v>200</v>
      </c>
      <c r="AE198" s="227">
        <f>X198+Q198</f>
        <v>0</v>
      </c>
      <c r="AF198" s="227">
        <f t="shared" ref="AF198:AF207" si="191">Y198+R198</f>
        <v>2.0528827258413274</v>
      </c>
      <c r="AH198" s="291">
        <f>AF198-AF140</f>
        <v>0</v>
      </c>
      <c r="AN198" s="225">
        <v>1</v>
      </c>
      <c r="AO198" s="226">
        <v>200</v>
      </c>
      <c r="AP198" s="227">
        <v>0</v>
      </c>
      <c r="AQ198" s="228">
        <v>1.6897000926646113</v>
      </c>
      <c r="AS198" s="192" t="str">
        <f>CONCATENATE(AS194," ",AT198)</f>
        <v>14 1</v>
      </c>
      <c r="AT198" s="225">
        <v>1</v>
      </c>
      <c r="AU198" s="226">
        <v>200</v>
      </c>
      <c r="AV198" s="227">
        <v>0</v>
      </c>
      <c r="AW198" s="228">
        <f t="shared" ref="AW198:AW207" si="192">AQ198*$AW$1</f>
        <v>1.5491367530739633</v>
      </c>
    </row>
    <row r="199" spans="2:49">
      <c r="B199" s="225">
        <v>2</v>
      </c>
      <c r="C199" s="226">
        <v>2000</v>
      </c>
      <c r="D199" s="227">
        <v>0</v>
      </c>
      <c r="E199" s="228">
        <v>1.6075271800000004</v>
      </c>
      <c r="F199" s="290"/>
      <c r="G199" s="192" t="str">
        <f>CONCATENATE(G194," ",H199)</f>
        <v>14 2</v>
      </c>
      <c r="H199" s="225">
        <v>2</v>
      </c>
      <c r="I199" s="226">
        <v>2000</v>
      </c>
      <c r="J199" s="227">
        <v>0</v>
      </c>
      <c r="K199" s="228">
        <f t="shared" ref="K199:K207" si="193">E199*$K$1</f>
        <v>1.4737996683045935</v>
      </c>
      <c r="L199" s="241"/>
      <c r="M199" s="240"/>
      <c r="N199" s="192" t="str">
        <f t="shared" si="187"/>
        <v>14 2</v>
      </c>
      <c r="O199" s="225">
        <v>2</v>
      </c>
      <c r="P199" s="226">
        <f t="shared" ref="P199:P207" si="194">I199</f>
        <v>2000</v>
      </c>
      <c r="Q199" s="227"/>
      <c r="R199" s="227"/>
      <c r="U199" s="192" t="str">
        <f t="shared" si="188"/>
        <v>14 2</v>
      </c>
      <c r="V199" s="225">
        <v>2</v>
      </c>
      <c r="W199" s="226">
        <f t="shared" ref="W199:W207" si="195">P199</f>
        <v>2000</v>
      </c>
      <c r="X199" s="227">
        <f t="shared" ref="X199:X207" si="196">J199*Z199</f>
        <v>0</v>
      </c>
      <c r="Y199" s="288">
        <f t="shared" ref="Y199:Y207" si="197">Y141</f>
        <v>1.9159395687959717</v>
      </c>
      <c r="Z199" s="231"/>
      <c r="AB199" s="192" t="str">
        <f t="shared" si="189"/>
        <v>14 2</v>
      </c>
      <c r="AC199" s="225">
        <v>2</v>
      </c>
      <c r="AD199" s="226">
        <f t="shared" si="190"/>
        <v>2000</v>
      </c>
      <c r="AE199" s="227">
        <f t="shared" ref="AE199:AE207" si="198">X199+Q199</f>
        <v>0</v>
      </c>
      <c r="AF199" s="227">
        <f t="shared" si="191"/>
        <v>1.9159395687959717</v>
      </c>
      <c r="AH199" s="291">
        <f t="shared" ref="AH199:AH207" si="199">AF199-AF141</f>
        <v>0</v>
      </c>
      <c r="AN199" s="225">
        <v>2</v>
      </c>
      <c r="AO199" s="226">
        <v>2000</v>
      </c>
      <c r="AP199" s="227">
        <v>0</v>
      </c>
      <c r="AQ199" s="228">
        <v>1.5769756454426589</v>
      </c>
      <c r="AS199" s="192" t="str">
        <f>CONCATENATE(AS194," ",AT199)</f>
        <v>14 2</v>
      </c>
      <c r="AT199" s="225">
        <v>2</v>
      </c>
      <c r="AU199" s="226">
        <v>2000</v>
      </c>
      <c r="AV199" s="227">
        <v>0</v>
      </c>
      <c r="AW199" s="228">
        <f t="shared" si="192"/>
        <v>1.4457896650791389</v>
      </c>
    </row>
    <row r="200" spans="2:49">
      <c r="B200" s="225">
        <v>3</v>
      </c>
      <c r="C200" s="226">
        <v>10000</v>
      </c>
      <c r="D200" s="227">
        <v>0</v>
      </c>
      <c r="E200" s="228">
        <v>1.5385559</v>
      </c>
      <c r="F200" s="290"/>
      <c r="G200" s="192" t="str">
        <f>CONCATENATE(G194," ",H200)</f>
        <v>14 3</v>
      </c>
      <c r="H200" s="225">
        <v>3</v>
      </c>
      <c r="I200" s="226">
        <v>10000</v>
      </c>
      <c r="J200" s="227">
        <v>0</v>
      </c>
      <c r="K200" s="228">
        <f t="shared" si="193"/>
        <v>1.410565994341741</v>
      </c>
      <c r="L200" s="241"/>
      <c r="M200" s="240"/>
      <c r="N200" s="192" t="str">
        <f t="shared" si="187"/>
        <v>14 3</v>
      </c>
      <c r="O200" s="225">
        <v>3</v>
      </c>
      <c r="P200" s="226">
        <f t="shared" si="194"/>
        <v>10000</v>
      </c>
      <c r="Q200" s="227"/>
      <c r="R200" s="227"/>
      <c r="U200" s="192" t="str">
        <f t="shared" si="188"/>
        <v>14 3</v>
      </c>
      <c r="V200" s="225">
        <v>3</v>
      </c>
      <c r="W200" s="226">
        <f t="shared" si="195"/>
        <v>10000</v>
      </c>
      <c r="X200" s="227">
        <f t="shared" si="196"/>
        <v>0</v>
      </c>
      <c r="Y200" s="288">
        <f t="shared" si="197"/>
        <v>1.8337357926442635</v>
      </c>
      <c r="Z200" s="231"/>
      <c r="AB200" s="192" t="str">
        <f t="shared" si="189"/>
        <v>14 3</v>
      </c>
      <c r="AC200" s="225">
        <v>3</v>
      </c>
      <c r="AD200" s="226">
        <f t="shared" si="190"/>
        <v>10000</v>
      </c>
      <c r="AE200" s="227">
        <f t="shared" si="198"/>
        <v>0</v>
      </c>
      <c r="AF200" s="227">
        <f t="shared" si="191"/>
        <v>1.8337357926442635</v>
      </c>
      <c r="AH200" s="291">
        <f t="shared" si="199"/>
        <v>0</v>
      </c>
      <c r="AN200" s="225">
        <v>3</v>
      </c>
      <c r="AO200" s="226">
        <v>10000</v>
      </c>
      <c r="AP200" s="227">
        <v>0</v>
      </c>
      <c r="AQ200" s="228">
        <v>1.5093409771094877</v>
      </c>
      <c r="AS200" s="192" t="str">
        <f>CONCATENATE(AS194," ",AT200)</f>
        <v>14 3</v>
      </c>
      <c r="AT200" s="225">
        <v>3</v>
      </c>
      <c r="AU200" s="226">
        <v>10000</v>
      </c>
      <c r="AV200" s="227">
        <v>0</v>
      </c>
      <c r="AW200" s="228">
        <f t="shared" si="192"/>
        <v>1.3837814122822443</v>
      </c>
    </row>
    <row r="201" spans="2:49">
      <c r="B201" s="225">
        <v>4</v>
      </c>
      <c r="C201" s="226">
        <v>50000</v>
      </c>
      <c r="D201" s="227">
        <v>0</v>
      </c>
      <c r="E201" s="228">
        <v>1.0625904999999998</v>
      </c>
      <c r="F201" s="290"/>
      <c r="G201" s="192" t="str">
        <f>CONCATENATE(G194," ",H201)</f>
        <v>14 4</v>
      </c>
      <c r="H201" s="225">
        <v>4</v>
      </c>
      <c r="I201" s="226">
        <v>50000</v>
      </c>
      <c r="J201" s="227">
        <v>0</v>
      </c>
      <c r="K201" s="228">
        <f t="shared" si="193"/>
        <v>0.97419536411422381</v>
      </c>
      <c r="L201" s="241"/>
      <c r="M201" s="240"/>
      <c r="N201" s="192" t="str">
        <f t="shared" si="187"/>
        <v>14 4</v>
      </c>
      <c r="O201" s="225">
        <v>4</v>
      </c>
      <c r="P201" s="226">
        <f t="shared" si="194"/>
        <v>50000</v>
      </c>
      <c r="Q201" s="227"/>
      <c r="R201" s="227"/>
      <c r="U201" s="192" t="str">
        <f t="shared" si="188"/>
        <v>14 4</v>
      </c>
      <c r="V201" s="225">
        <v>4</v>
      </c>
      <c r="W201" s="226">
        <f t="shared" si="195"/>
        <v>50000</v>
      </c>
      <c r="X201" s="227">
        <f t="shared" si="196"/>
        <v>0</v>
      </c>
      <c r="Y201" s="288">
        <f t="shared" si="197"/>
        <v>1.266453973348491</v>
      </c>
      <c r="Z201" s="231"/>
      <c r="AB201" s="192" t="str">
        <f t="shared" si="189"/>
        <v>14 4</v>
      </c>
      <c r="AC201" s="225">
        <v>4</v>
      </c>
      <c r="AD201" s="226">
        <f t="shared" si="190"/>
        <v>50000</v>
      </c>
      <c r="AE201" s="227">
        <f t="shared" si="198"/>
        <v>0</v>
      </c>
      <c r="AF201" s="227">
        <f t="shared" si="191"/>
        <v>1.266453973348491</v>
      </c>
      <c r="AH201" s="291">
        <f t="shared" si="199"/>
        <v>0</v>
      </c>
      <c r="AN201" s="225">
        <v>4</v>
      </c>
      <c r="AO201" s="226">
        <v>50000</v>
      </c>
      <c r="AP201" s="227">
        <v>0</v>
      </c>
      <c r="AQ201" s="228">
        <v>1.0423633773679557</v>
      </c>
      <c r="AS201" s="192" t="str">
        <f>CONCATENATE(AS194," ",AT201)</f>
        <v>14 4</v>
      </c>
      <c r="AT201" s="225">
        <v>4</v>
      </c>
      <c r="AU201" s="226">
        <v>50000</v>
      </c>
      <c r="AV201" s="227">
        <v>0</v>
      </c>
      <c r="AW201" s="228">
        <f t="shared" si="192"/>
        <v>0.95565090216250559</v>
      </c>
    </row>
    <row r="202" spans="2:49">
      <c r="B202" s="225">
        <v>5</v>
      </c>
      <c r="C202" s="226">
        <v>100000</v>
      </c>
      <c r="D202" s="227">
        <v>0</v>
      </c>
      <c r="E202" s="228">
        <v>0.85710694000000043</v>
      </c>
      <c r="F202" s="290"/>
      <c r="G202" s="192" t="str">
        <f>CONCATENATE(G194," ",H202)</f>
        <v>14 5</v>
      </c>
      <c r="H202" s="225">
        <v>5</v>
      </c>
      <c r="I202" s="226">
        <v>100000</v>
      </c>
      <c r="J202" s="227">
        <v>0</v>
      </c>
      <c r="K202" s="228">
        <f t="shared" si="193"/>
        <v>0.78580563961199423</v>
      </c>
      <c r="L202" s="241"/>
      <c r="M202" s="240"/>
      <c r="N202" s="192" t="str">
        <f t="shared" si="187"/>
        <v>14 5</v>
      </c>
      <c r="O202" s="225">
        <v>5</v>
      </c>
      <c r="P202" s="226">
        <f t="shared" si="194"/>
        <v>100000</v>
      </c>
      <c r="Q202" s="227"/>
      <c r="R202" s="227"/>
      <c r="U202" s="192" t="str">
        <f t="shared" si="188"/>
        <v>14 5</v>
      </c>
      <c r="V202" s="225">
        <v>5</v>
      </c>
      <c r="W202" s="226">
        <f t="shared" si="195"/>
        <v>100000</v>
      </c>
      <c r="X202" s="227">
        <f t="shared" si="196"/>
        <v>0</v>
      </c>
      <c r="Y202" s="288">
        <f t="shared" si="197"/>
        <v>1.0215473314955925</v>
      </c>
      <c r="Z202" s="231"/>
      <c r="AB202" s="192" t="str">
        <f t="shared" si="189"/>
        <v>14 5</v>
      </c>
      <c r="AC202" s="225">
        <v>5</v>
      </c>
      <c r="AD202" s="226">
        <f t="shared" si="190"/>
        <v>100000</v>
      </c>
      <c r="AE202" s="227">
        <f t="shared" si="198"/>
        <v>0</v>
      </c>
      <c r="AF202" s="227">
        <f t="shared" si="191"/>
        <v>1.0215473314955925</v>
      </c>
      <c r="AH202" s="291">
        <f t="shared" si="199"/>
        <v>0</v>
      </c>
      <c r="AN202" s="225">
        <v>5</v>
      </c>
      <c r="AO202" s="226">
        <v>100000</v>
      </c>
      <c r="AP202" s="227">
        <v>0</v>
      </c>
      <c r="AQ202" s="228">
        <v>0.84078554233575797</v>
      </c>
      <c r="AS202" s="192" t="str">
        <f>CONCATENATE(AS194," ",AT202)</f>
        <v>14 5</v>
      </c>
      <c r="AT202" s="225">
        <v>5</v>
      </c>
      <c r="AU202" s="226">
        <v>100000</v>
      </c>
      <c r="AV202" s="227">
        <v>0</v>
      </c>
      <c r="AW202" s="228">
        <f t="shared" si="192"/>
        <v>0.77084199186587787</v>
      </c>
    </row>
    <row r="203" spans="2:49">
      <c r="B203" s="225">
        <v>6</v>
      </c>
      <c r="C203" s="226">
        <v>300000</v>
      </c>
      <c r="D203" s="227">
        <v>0</v>
      </c>
      <c r="E203" s="228">
        <v>0.63668490000000011</v>
      </c>
      <c r="F203" s="290"/>
      <c r="G203" s="192" t="str">
        <f>CONCATENATE(G194," ",H203)</f>
        <v>14 6</v>
      </c>
      <c r="H203" s="225">
        <v>6</v>
      </c>
      <c r="I203" s="226">
        <v>300000</v>
      </c>
      <c r="J203" s="227">
        <v>0</v>
      </c>
      <c r="K203" s="228">
        <f t="shared" si="193"/>
        <v>0.58372014240813219</v>
      </c>
      <c r="L203" s="241"/>
      <c r="M203" s="240"/>
      <c r="N203" s="192" t="str">
        <f t="shared" si="187"/>
        <v>14 6</v>
      </c>
      <c r="O203" s="225">
        <v>6</v>
      </c>
      <c r="P203" s="226">
        <f t="shared" si="194"/>
        <v>300000</v>
      </c>
      <c r="Q203" s="227"/>
      <c r="R203" s="227"/>
      <c r="U203" s="192" t="str">
        <f t="shared" si="188"/>
        <v>14 6</v>
      </c>
      <c r="V203" s="225">
        <v>6</v>
      </c>
      <c r="W203" s="226">
        <f t="shared" si="195"/>
        <v>300000</v>
      </c>
      <c r="X203" s="227">
        <f t="shared" si="196"/>
        <v>0</v>
      </c>
      <c r="Y203" s="288">
        <f t="shared" si="197"/>
        <v>0.75883618513057183</v>
      </c>
      <c r="Z203" s="231"/>
      <c r="AB203" s="192" t="str">
        <f t="shared" si="189"/>
        <v>14 6</v>
      </c>
      <c r="AC203" s="225">
        <v>6</v>
      </c>
      <c r="AD203" s="226">
        <f t="shared" si="190"/>
        <v>300000</v>
      </c>
      <c r="AE203" s="227">
        <f t="shared" si="198"/>
        <v>0</v>
      </c>
      <c r="AF203" s="227">
        <f t="shared" si="191"/>
        <v>0.75883618513057183</v>
      </c>
      <c r="AH203" s="291">
        <f t="shared" si="199"/>
        <v>0</v>
      </c>
      <c r="AN203" s="225">
        <v>6</v>
      </c>
      <c r="AO203" s="226">
        <v>300000</v>
      </c>
      <c r="AP203" s="227">
        <v>0</v>
      </c>
      <c r="AQ203" s="228">
        <v>0.62461983766307216</v>
      </c>
      <c r="AS203" s="192" t="str">
        <f>CONCATENATE(AS194," ",AT203)</f>
        <v>14 6</v>
      </c>
      <c r="AT203" s="225">
        <v>6</v>
      </c>
      <c r="AU203" s="226">
        <v>300000</v>
      </c>
      <c r="AV203" s="227">
        <v>0</v>
      </c>
      <c r="AW203" s="228">
        <f t="shared" si="192"/>
        <v>0.57265875253462561</v>
      </c>
    </row>
    <row r="204" spans="2:49">
      <c r="B204" s="225">
        <v>7</v>
      </c>
      <c r="C204" s="226">
        <v>600000</v>
      </c>
      <c r="D204" s="227">
        <v>0</v>
      </c>
      <c r="E204" s="228">
        <v>0.37629448000000032</v>
      </c>
      <c r="F204" s="290"/>
      <c r="G204" s="192" t="str">
        <f>CONCATENATE(G194," ",H204)</f>
        <v>14 7</v>
      </c>
      <c r="H204" s="225">
        <v>7</v>
      </c>
      <c r="I204" s="226">
        <v>600000</v>
      </c>
      <c r="J204" s="227">
        <v>0</v>
      </c>
      <c r="K204" s="228">
        <f t="shared" si="193"/>
        <v>0.3449911682419266</v>
      </c>
      <c r="L204" s="241"/>
      <c r="M204" s="240"/>
      <c r="N204" s="192" t="str">
        <f t="shared" si="187"/>
        <v>14 7</v>
      </c>
      <c r="O204" s="225">
        <v>7</v>
      </c>
      <c r="P204" s="226">
        <f t="shared" si="194"/>
        <v>600000</v>
      </c>
      <c r="Q204" s="227"/>
      <c r="R204" s="227"/>
      <c r="U204" s="192" t="str">
        <f t="shared" si="188"/>
        <v>14 7</v>
      </c>
      <c r="V204" s="225">
        <v>7</v>
      </c>
      <c r="W204" s="226">
        <f t="shared" si="195"/>
        <v>600000</v>
      </c>
      <c r="X204" s="227">
        <f t="shared" si="196"/>
        <v>0</v>
      </c>
      <c r="Y204" s="288">
        <f t="shared" si="197"/>
        <v>0.44848851871450462</v>
      </c>
      <c r="Z204" s="231"/>
      <c r="AB204" s="192" t="str">
        <f t="shared" si="189"/>
        <v>14 7</v>
      </c>
      <c r="AC204" s="225">
        <v>7</v>
      </c>
      <c r="AD204" s="226">
        <f t="shared" si="190"/>
        <v>600000</v>
      </c>
      <c r="AE204" s="227">
        <f t="shared" si="198"/>
        <v>0</v>
      </c>
      <c r="AF204" s="227">
        <f t="shared" si="191"/>
        <v>0.44848851871450462</v>
      </c>
      <c r="AH204" s="291">
        <f t="shared" si="199"/>
        <v>0</v>
      </c>
      <c r="AN204" s="225">
        <v>7</v>
      </c>
      <c r="AO204" s="226">
        <v>600000</v>
      </c>
      <c r="AP204" s="227">
        <v>0</v>
      </c>
      <c r="AQ204" s="228">
        <v>0.36916634770861739</v>
      </c>
      <c r="AS204" s="192" t="str">
        <f>CONCATENATE(AS194," ",AT204)</f>
        <v>14 7</v>
      </c>
      <c r="AT204" s="225">
        <v>7</v>
      </c>
      <c r="AU204" s="226">
        <v>600000</v>
      </c>
      <c r="AV204" s="227">
        <v>0</v>
      </c>
      <c r="AW204" s="228">
        <f t="shared" si="192"/>
        <v>0.3384560134169417</v>
      </c>
    </row>
    <row r="205" spans="2:49">
      <c r="B205" s="225">
        <v>8</v>
      </c>
      <c r="C205" s="226">
        <v>1500000</v>
      </c>
      <c r="D205" s="227">
        <v>0</v>
      </c>
      <c r="E205" s="228">
        <v>0.36914307999999973</v>
      </c>
      <c r="F205" s="290"/>
      <c r="G205" s="192" t="str">
        <f>CONCATENATE(G194," ",H205)</f>
        <v>14 8</v>
      </c>
      <c r="H205" s="225">
        <v>8</v>
      </c>
      <c r="I205" s="226">
        <v>1500000</v>
      </c>
      <c r="J205" s="227">
        <v>0</v>
      </c>
      <c r="K205" s="228">
        <f t="shared" si="193"/>
        <v>0.33843468131029392</v>
      </c>
      <c r="L205" s="241"/>
      <c r="M205" s="240"/>
      <c r="N205" s="192" t="str">
        <f t="shared" si="187"/>
        <v>14 8</v>
      </c>
      <c r="O205" s="225">
        <v>8</v>
      </c>
      <c r="P205" s="226">
        <f t="shared" si="194"/>
        <v>1500000</v>
      </c>
      <c r="Q205" s="227"/>
      <c r="R205" s="227"/>
      <c r="U205" s="192" t="str">
        <f t="shared" si="188"/>
        <v>14 8</v>
      </c>
      <c r="V205" s="225">
        <v>8</v>
      </c>
      <c r="W205" s="226">
        <f t="shared" si="195"/>
        <v>1500000</v>
      </c>
      <c r="X205" s="227">
        <f t="shared" si="196"/>
        <v>0</v>
      </c>
      <c r="Y205" s="288">
        <f t="shared" si="197"/>
        <v>0.43996508570338211</v>
      </c>
      <c r="Z205" s="231"/>
      <c r="AB205" s="192" t="str">
        <f t="shared" si="189"/>
        <v>14 8</v>
      </c>
      <c r="AC205" s="225">
        <v>8</v>
      </c>
      <c r="AD205" s="226">
        <f t="shared" si="190"/>
        <v>1500000</v>
      </c>
      <c r="AE205" s="227">
        <f t="shared" si="198"/>
        <v>0</v>
      </c>
      <c r="AF205" s="227">
        <f t="shared" si="191"/>
        <v>0.43996508570338211</v>
      </c>
      <c r="AH205" s="291">
        <f t="shared" si="199"/>
        <v>0</v>
      </c>
      <c r="AN205" s="225">
        <v>8</v>
      </c>
      <c r="AO205" s="226">
        <v>1500000</v>
      </c>
      <c r="AP205" s="227">
        <v>0</v>
      </c>
      <c r="AQ205" s="228">
        <v>0.36212106975724562</v>
      </c>
      <c r="AS205" s="192" t="str">
        <f>CONCATENATE(AS194," ",AT205)</f>
        <v>14 8</v>
      </c>
      <c r="AT205" s="225">
        <v>8</v>
      </c>
      <c r="AU205" s="226">
        <v>1500000</v>
      </c>
      <c r="AV205" s="227">
        <v>0</v>
      </c>
      <c r="AW205" s="228">
        <f t="shared" si="192"/>
        <v>0.33199682041726536</v>
      </c>
    </row>
    <row r="206" spans="2:49">
      <c r="B206" s="225">
        <v>9</v>
      </c>
      <c r="C206" s="226">
        <v>3000000</v>
      </c>
      <c r="D206" s="227">
        <v>0</v>
      </c>
      <c r="E206" s="228">
        <v>0.34983429999999993</v>
      </c>
      <c r="F206" s="290"/>
      <c r="G206" s="192" t="str">
        <f>CONCATENATE(G194," ",H206)</f>
        <v>14 9</v>
      </c>
      <c r="H206" s="225">
        <v>9</v>
      </c>
      <c r="I206" s="226">
        <v>3000000</v>
      </c>
      <c r="J206" s="227">
        <v>0</v>
      </c>
      <c r="K206" s="228">
        <f t="shared" si="193"/>
        <v>0.32073216659488735</v>
      </c>
      <c r="L206" s="241"/>
      <c r="M206" s="240"/>
      <c r="N206" s="192" t="str">
        <f t="shared" si="187"/>
        <v>14 9</v>
      </c>
      <c r="O206" s="225">
        <v>9</v>
      </c>
      <c r="P206" s="226">
        <f t="shared" si="194"/>
        <v>3000000</v>
      </c>
      <c r="Q206" s="227"/>
      <c r="R206" s="227"/>
      <c r="U206" s="192" t="str">
        <f t="shared" si="188"/>
        <v>14 9</v>
      </c>
      <c r="V206" s="225">
        <v>9</v>
      </c>
      <c r="W206" s="226">
        <f t="shared" si="195"/>
        <v>3000000</v>
      </c>
      <c r="X206" s="227">
        <f t="shared" si="196"/>
        <v>0</v>
      </c>
      <c r="Y206" s="288">
        <f t="shared" si="197"/>
        <v>0.41695181657335356</v>
      </c>
      <c r="Z206" s="231"/>
      <c r="AB206" s="192" t="str">
        <f t="shared" si="189"/>
        <v>14 9</v>
      </c>
      <c r="AC206" s="225">
        <v>9</v>
      </c>
      <c r="AD206" s="226">
        <f t="shared" si="190"/>
        <v>3000000</v>
      </c>
      <c r="AE206" s="227">
        <f t="shared" si="198"/>
        <v>0</v>
      </c>
      <c r="AF206" s="227">
        <f t="shared" si="191"/>
        <v>0.41695181657335356</v>
      </c>
      <c r="AH206" s="291">
        <f t="shared" si="199"/>
        <v>0</v>
      </c>
      <c r="AN206" s="225">
        <v>9</v>
      </c>
      <c r="AO206" s="226">
        <v>3000000</v>
      </c>
      <c r="AP206" s="227">
        <v>0</v>
      </c>
      <c r="AQ206" s="228">
        <v>0.34322314772297707</v>
      </c>
      <c r="AS206" s="192" t="str">
        <f>CONCATENATE(AS194," ",AT206)</f>
        <v>14 9</v>
      </c>
      <c r="AT206" s="225">
        <v>9</v>
      </c>
      <c r="AU206" s="226">
        <v>3000000</v>
      </c>
      <c r="AV206" s="227">
        <v>0</v>
      </c>
      <c r="AW206" s="228">
        <f t="shared" si="192"/>
        <v>0.31467098507695651</v>
      </c>
    </row>
    <row r="207" spans="2:49">
      <c r="B207" s="225">
        <v>10</v>
      </c>
      <c r="C207" s="226">
        <v>999999999</v>
      </c>
      <c r="D207" s="227">
        <v>0</v>
      </c>
      <c r="E207" s="228">
        <v>0.28602791999999999</v>
      </c>
      <c r="F207" s="290"/>
      <c r="G207" s="192" t="str">
        <f>CONCATENATE(G194," ",H207)</f>
        <v>14 10</v>
      </c>
      <c r="H207" s="225">
        <v>10</v>
      </c>
      <c r="I207" s="226">
        <v>999999999</v>
      </c>
      <c r="J207" s="227">
        <v>0</v>
      </c>
      <c r="K207" s="228">
        <f t="shared" si="193"/>
        <v>0.26223373319376952</v>
      </c>
      <c r="L207" s="241"/>
      <c r="M207" s="240"/>
      <c r="N207" s="192" t="str">
        <f t="shared" si="187"/>
        <v>14 10</v>
      </c>
      <c r="O207" s="225">
        <v>9</v>
      </c>
      <c r="P207" s="226">
        <f t="shared" si="194"/>
        <v>999999999</v>
      </c>
      <c r="Q207" s="227"/>
      <c r="R207" s="227"/>
      <c r="U207" s="192" t="str">
        <f t="shared" si="188"/>
        <v>14 10</v>
      </c>
      <c r="V207" s="225">
        <v>10</v>
      </c>
      <c r="W207" s="226">
        <f t="shared" si="195"/>
        <v>999999999</v>
      </c>
      <c r="X207" s="227">
        <f t="shared" si="196"/>
        <v>0</v>
      </c>
      <c r="Y207" s="288">
        <f t="shared" si="197"/>
        <v>0.34090385315190042</v>
      </c>
      <c r="Z207" s="231"/>
      <c r="AB207" s="192" t="str">
        <f t="shared" si="189"/>
        <v>14 10</v>
      </c>
      <c r="AC207" s="225">
        <v>10</v>
      </c>
      <c r="AD207" s="226">
        <f t="shared" si="190"/>
        <v>999999999</v>
      </c>
      <c r="AE207" s="227">
        <f t="shared" si="198"/>
        <v>0</v>
      </c>
      <c r="AF207" s="227">
        <f t="shared" si="191"/>
        <v>0.34090385315190042</v>
      </c>
      <c r="AH207" s="291">
        <f t="shared" si="199"/>
        <v>0</v>
      </c>
      <c r="AN207" s="225">
        <v>10</v>
      </c>
      <c r="AO207" s="226">
        <v>999999999</v>
      </c>
      <c r="AP207" s="227">
        <v>0</v>
      </c>
      <c r="AQ207" s="228">
        <v>0.2805616167672445</v>
      </c>
      <c r="AS207" s="192" t="str">
        <f>CONCATENATE(AS194," ",AT207)</f>
        <v>14 10</v>
      </c>
      <c r="AT207" s="225">
        <v>10</v>
      </c>
      <c r="AU207" s="226">
        <v>999999999</v>
      </c>
      <c r="AV207" s="227">
        <v>0</v>
      </c>
      <c r="AW207" s="228">
        <f t="shared" si="192"/>
        <v>0.25722216263277448</v>
      </c>
    </row>
    <row r="208" spans="2:49">
      <c r="Y208" s="762"/>
    </row>
    <row r="209" spans="2:49" ht="12" customHeight="1">
      <c r="B209" s="836" t="s">
        <v>4920</v>
      </c>
      <c r="C209" s="837"/>
      <c r="D209" s="219"/>
      <c r="E209" s="220"/>
      <c r="G209" s="218" t="s">
        <v>4921</v>
      </c>
      <c r="H209" s="836" t="s">
        <v>4920</v>
      </c>
      <c r="I209" s="837"/>
      <c r="J209" s="219"/>
      <c r="K209" s="220"/>
      <c r="L209" s="240"/>
      <c r="M209" s="240"/>
      <c r="N209" s="218" t="str">
        <f>G209</f>
        <v>15</v>
      </c>
      <c r="O209" s="836" t="str">
        <f>H209</f>
        <v>Petroquímico Livre</v>
      </c>
      <c r="P209" s="837"/>
      <c r="Q209" s="219"/>
      <c r="R209" s="220"/>
      <c r="U209" s="218" t="str">
        <f>N209</f>
        <v>15</v>
      </c>
      <c r="V209" s="836" t="str">
        <f>O209</f>
        <v>Petroquímico Livre</v>
      </c>
      <c r="W209" s="837"/>
      <c r="X209" s="219"/>
      <c r="Y209" s="220"/>
      <c r="AB209" s="218" t="str">
        <f>U209</f>
        <v>15</v>
      </c>
      <c r="AC209" s="836" t="str">
        <f>V209</f>
        <v>Petroquímico Livre</v>
      </c>
      <c r="AD209" s="837"/>
      <c r="AE209" s="219"/>
      <c r="AF209" s="220"/>
      <c r="AN209" s="836" t="s">
        <v>4920</v>
      </c>
      <c r="AO209" s="837"/>
      <c r="AP209" s="219"/>
      <c r="AQ209" s="220"/>
      <c r="AS209" s="218" t="s">
        <v>4921</v>
      </c>
      <c r="AT209" s="282" t="s">
        <v>4920</v>
      </c>
      <c r="AU209" s="283"/>
      <c r="AV209" s="219"/>
      <c r="AW209" s="220"/>
    </row>
    <row r="210" spans="2:49">
      <c r="B210" s="838" t="s">
        <v>4898</v>
      </c>
      <c r="C210" s="838"/>
      <c r="D210" s="219"/>
      <c r="E210" s="220"/>
      <c r="G210" s="222"/>
      <c r="H210" s="838" t="s">
        <v>4898</v>
      </c>
      <c r="I210" s="838"/>
      <c r="J210" s="219"/>
      <c r="K210" s="220"/>
      <c r="L210" s="240"/>
      <c r="M210" s="240"/>
      <c r="N210" s="222"/>
      <c r="O210" s="838" t="s">
        <v>4898</v>
      </c>
      <c r="P210" s="838"/>
      <c r="Q210" s="219"/>
      <c r="R210" s="220"/>
      <c r="U210" s="222"/>
      <c r="V210" s="838" t="s">
        <v>4898</v>
      </c>
      <c r="W210" s="838"/>
      <c r="X210" s="219"/>
      <c r="Y210" s="220"/>
      <c r="AB210" s="222"/>
      <c r="AC210" s="838" t="s">
        <v>4898</v>
      </c>
      <c r="AD210" s="838"/>
      <c r="AE210" s="219"/>
      <c r="AF210" s="220"/>
      <c r="AN210" s="838" t="s">
        <v>4898</v>
      </c>
      <c r="AO210" s="838"/>
      <c r="AP210" s="219"/>
      <c r="AQ210" s="220"/>
      <c r="AS210" s="222"/>
      <c r="AT210" s="284" t="s">
        <v>4898</v>
      </c>
      <c r="AU210" s="284"/>
      <c r="AV210" s="219"/>
      <c r="AW210" s="220"/>
    </row>
    <row r="211" spans="2:49">
      <c r="B211" s="835" t="s">
        <v>4899</v>
      </c>
      <c r="C211" s="835"/>
      <c r="D211" s="224" t="s">
        <v>4901</v>
      </c>
      <c r="E211" s="224"/>
      <c r="G211" s="222"/>
      <c r="H211" s="835" t="s">
        <v>4899</v>
      </c>
      <c r="I211" s="835"/>
      <c r="J211" s="224" t="s">
        <v>4901</v>
      </c>
      <c r="K211" s="224"/>
      <c r="L211" s="240"/>
      <c r="M211" s="240"/>
      <c r="N211" s="222"/>
      <c r="O211" s="835" t="s">
        <v>4899</v>
      </c>
      <c r="P211" s="835" t="s">
        <v>4900</v>
      </c>
      <c r="Q211" s="224" t="s">
        <v>4901</v>
      </c>
      <c r="R211" s="224"/>
      <c r="U211" s="222"/>
      <c r="V211" s="835" t="s">
        <v>4899</v>
      </c>
      <c r="W211" s="835" t="s">
        <v>4900</v>
      </c>
      <c r="X211" s="224" t="s">
        <v>4901</v>
      </c>
      <c r="Y211" s="224"/>
      <c r="AB211" s="222"/>
      <c r="AC211" s="835" t="s">
        <v>4899</v>
      </c>
      <c r="AD211" s="835" t="s">
        <v>4900</v>
      </c>
      <c r="AE211" s="841" t="s">
        <v>4901</v>
      </c>
      <c r="AF211" s="841"/>
      <c r="AN211" s="835" t="s">
        <v>4899</v>
      </c>
      <c r="AO211" s="835"/>
      <c r="AP211" s="224" t="s">
        <v>4901</v>
      </c>
      <c r="AQ211" s="224"/>
      <c r="AS211" s="222"/>
      <c r="AT211" s="285" t="s">
        <v>4899</v>
      </c>
      <c r="AU211" s="285"/>
      <c r="AV211" s="224" t="s">
        <v>4901</v>
      </c>
      <c r="AW211" s="224"/>
    </row>
    <row r="212" spans="2:49">
      <c r="B212" s="835"/>
      <c r="C212" s="835"/>
      <c r="D212" s="223" t="s">
        <v>4902</v>
      </c>
      <c r="E212" s="223" t="s">
        <v>4903</v>
      </c>
      <c r="G212" s="222"/>
      <c r="H212" s="835"/>
      <c r="I212" s="835"/>
      <c r="J212" s="223" t="s">
        <v>4902</v>
      </c>
      <c r="K212" s="223" t="s">
        <v>4903</v>
      </c>
      <c r="L212" s="240"/>
      <c r="M212" s="240"/>
      <c r="N212" s="222"/>
      <c r="O212" s="835"/>
      <c r="P212" s="835"/>
      <c r="Q212" s="223" t="s">
        <v>4902</v>
      </c>
      <c r="R212" s="223" t="s">
        <v>4903</v>
      </c>
      <c r="U212" s="222"/>
      <c r="V212" s="835"/>
      <c r="W212" s="835"/>
      <c r="X212" s="223" t="s">
        <v>4902</v>
      </c>
      <c r="Y212" s="223" t="s">
        <v>4903</v>
      </c>
      <c r="AB212" s="222"/>
      <c r="AC212" s="835"/>
      <c r="AD212" s="835"/>
      <c r="AE212" s="223" t="s">
        <v>4902</v>
      </c>
      <c r="AF212" s="223" t="s">
        <v>4903</v>
      </c>
      <c r="AN212" s="835"/>
      <c r="AO212" s="835"/>
      <c r="AP212" s="223" t="s">
        <v>4902</v>
      </c>
      <c r="AQ212" s="223" t="s">
        <v>4903</v>
      </c>
      <c r="AS212" s="222"/>
      <c r="AT212" s="285"/>
      <c r="AU212" s="285"/>
      <c r="AV212" s="223" t="s">
        <v>4902</v>
      </c>
      <c r="AW212" s="223" t="s">
        <v>4903</v>
      </c>
    </row>
    <row r="213" spans="2:49">
      <c r="B213" s="225">
        <v>1</v>
      </c>
      <c r="C213" s="226">
        <v>999999999</v>
      </c>
      <c r="D213" s="227">
        <v>0</v>
      </c>
      <c r="E213" s="228">
        <v>5.4143419999999942E-2</v>
      </c>
      <c r="G213" s="192" t="str">
        <f>CONCATENATE(G209," ",H213)</f>
        <v>15 1</v>
      </c>
      <c r="H213" s="225">
        <v>1</v>
      </c>
      <c r="I213" s="226">
        <v>999999999</v>
      </c>
      <c r="J213" s="227">
        <v>0</v>
      </c>
      <c r="K213" s="228">
        <f>E213*$K$1</f>
        <v>4.9639318967456707E-2</v>
      </c>
      <c r="L213" s="240"/>
      <c r="M213" s="240"/>
      <c r="N213" s="192" t="str">
        <f t="shared" ref="N213:N221" si="200">G213</f>
        <v>15 1</v>
      </c>
      <c r="O213" s="225">
        <v>1</v>
      </c>
      <c r="P213" s="226">
        <f>I213</f>
        <v>999999999</v>
      </c>
      <c r="Q213" s="227"/>
      <c r="R213" s="227"/>
      <c r="U213" s="192" t="str">
        <f t="shared" ref="U213:U221" si="201">N213</f>
        <v>15 1</v>
      </c>
      <c r="V213" s="225">
        <v>1</v>
      </c>
      <c r="W213" s="226">
        <f>P213</f>
        <v>999999999</v>
      </c>
      <c r="X213" s="227">
        <f>J213*Z213</f>
        <v>0</v>
      </c>
      <c r="Y213" s="288">
        <f>Y126</f>
        <v>6.4531114657693719E-2</v>
      </c>
      <c r="Z213" s="231"/>
      <c r="AB213" s="192" t="str">
        <f t="shared" ref="AB213:AB221" si="202">U213</f>
        <v>15 1</v>
      </c>
      <c r="AC213" s="225">
        <v>1</v>
      </c>
      <c r="AD213" s="226">
        <f t="shared" ref="AD213:AD221" si="203">P213</f>
        <v>999999999</v>
      </c>
      <c r="AE213" s="227">
        <f>X213+Q213</f>
        <v>0</v>
      </c>
      <c r="AF213" s="227">
        <f t="shared" ref="AF213:AF221" si="204">Y213+R213</f>
        <v>6.4531114657693719E-2</v>
      </c>
      <c r="AH213" s="291">
        <f>AF213-AF126</f>
        <v>0</v>
      </c>
      <c r="AN213" s="225">
        <v>1</v>
      </c>
      <c r="AO213" s="226">
        <v>999999999</v>
      </c>
      <c r="AP213" s="227">
        <v>0</v>
      </c>
      <c r="AQ213" s="228">
        <v>5.3097139243449609E-2</v>
      </c>
      <c r="AS213" s="192" t="str">
        <f>CONCATENATE(AS209," ",AT213)</f>
        <v>15 1</v>
      </c>
      <c r="AT213" s="225">
        <v>1</v>
      </c>
      <c r="AU213" s="226">
        <v>999999999</v>
      </c>
      <c r="AV213" s="227">
        <v>0</v>
      </c>
      <c r="AW213" s="228">
        <f>AQ213*$AW$1</f>
        <v>4.8680076566368746E-2</v>
      </c>
    </row>
    <row r="214" spans="2:49">
      <c r="B214" s="225">
        <v>2</v>
      </c>
      <c r="C214" s="226"/>
      <c r="D214" s="227">
        <v>0</v>
      </c>
      <c r="E214" s="228">
        <v>0</v>
      </c>
      <c r="G214" s="192" t="str">
        <f>CONCATENATE(G209," ",H214)</f>
        <v>15 2</v>
      </c>
      <c r="H214" s="225">
        <v>2</v>
      </c>
      <c r="I214" s="226"/>
      <c r="J214" s="227">
        <v>0</v>
      </c>
      <c r="K214" s="228">
        <f t="shared" ref="K214:K221" si="205">E214*$K$1</f>
        <v>0</v>
      </c>
      <c r="L214" s="240"/>
      <c r="M214" s="240"/>
      <c r="N214" s="192" t="str">
        <f t="shared" si="200"/>
        <v>15 2</v>
      </c>
      <c r="O214" s="225">
        <v>2</v>
      </c>
      <c r="P214" s="226">
        <f t="shared" ref="P214:P221" si="206">I214</f>
        <v>0</v>
      </c>
      <c r="Q214" s="227"/>
      <c r="R214" s="227"/>
      <c r="U214" s="192" t="str">
        <f t="shared" si="201"/>
        <v>15 2</v>
      </c>
      <c r="V214" s="225">
        <v>2</v>
      </c>
      <c r="W214" s="226">
        <f t="shared" ref="W214:W221" si="207">P214</f>
        <v>0</v>
      </c>
      <c r="X214" s="227">
        <f t="shared" ref="X214:X221" si="208">J214*Z214</f>
        <v>0</v>
      </c>
      <c r="Y214" s="288">
        <f t="shared" ref="Y214:Y221" si="209">K214*Z214</f>
        <v>0</v>
      </c>
      <c r="Z214" s="231"/>
      <c r="AB214" s="192" t="str">
        <f t="shared" si="202"/>
        <v>15 2</v>
      </c>
      <c r="AC214" s="225">
        <v>2</v>
      </c>
      <c r="AD214" s="226">
        <f t="shared" si="203"/>
        <v>0</v>
      </c>
      <c r="AE214" s="227">
        <f t="shared" ref="AE214:AE221" si="210">X214+Q214</f>
        <v>0</v>
      </c>
      <c r="AF214" s="227">
        <f t="shared" si="204"/>
        <v>0</v>
      </c>
      <c r="AN214" s="225">
        <v>2</v>
      </c>
      <c r="AO214" s="226"/>
      <c r="AP214" s="227">
        <v>0</v>
      </c>
      <c r="AQ214" s="228">
        <v>0</v>
      </c>
      <c r="AS214" s="192" t="str">
        <f>CONCATENATE(AS209," ",AT214)</f>
        <v>15 2</v>
      </c>
      <c r="AT214" s="225">
        <v>2</v>
      </c>
      <c r="AU214" s="226"/>
      <c r="AV214" s="227">
        <v>0</v>
      </c>
      <c r="AW214" s="228">
        <f t="shared" ref="AW214:AW221" si="211">AQ214*$K$1</f>
        <v>0</v>
      </c>
    </row>
    <row r="215" spans="2:49">
      <c r="B215" s="225">
        <v>3</v>
      </c>
      <c r="C215" s="226"/>
      <c r="D215" s="227">
        <v>0</v>
      </c>
      <c r="E215" s="228">
        <v>0</v>
      </c>
      <c r="G215" s="192" t="str">
        <f>CONCATENATE(G209," ",H215)</f>
        <v>15 3</v>
      </c>
      <c r="H215" s="225">
        <v>3</v>
      </c>
      <c r="I215" s="226"/>
      <c r="J215" s="227">
        <v>0</v>
      </c>
      <c r="K215" s="228">
        <f t="shared" si="205"/>
        <v>0</v>
      </c>
      <c r="L215" s="240"/>
      <c r="M215" s="240"/>
      <c r="N215" s="192" t="str">
        <f t="shared" si="200"/>
        <v>15 3</v>
      </c>
      <c r="O215" s="225">
        <v>3</v>
      </c>
      <c r="P215" s="226">
        <f t="shared" si="206"/>
        <v>0</v>
      </c>
      <c r="Q215" s="227"/>
      <c r="R215" s="227"/>
      <c r="U215" s="192" t="str">
        <f t="shared" si="201"/>
        <v>15 3</v>
      </c>
      <c r="V215" s="225">
        <v>3</v>
      </c>
      <c r="W215" s="226">
        <f t="shared" si="207"/>
        <v>0</v>
      </c>
      <c r="X215" s="227">
        <f t="shared" si="208"/>
        <v>0</v>
      </c>
      <c r="Y215" s="288">
        <f t="shared" si="209"/>
        <v>0</v>
      </c>
      <c r="Z215" s="231"/>
      <c r="AB215" s="192" t="str">
        <f t="shared" si="202"/>
        <v>15 3</v>
      </c>
      <c r="AC215" s="225">
        <v>3</v>
      </c>
      <c r="AD215" s="226">
        <f t="shared" si="203"/>
        <v>0</v>
      </c>
      <c r="AE215" s="227">
        <f t="shared" si="210"/>
        <v>0</v>
      </c>
      <c r="AF215" s="227">
        <f t="shared" si="204"/>
        <v>0</v>
      </c>
      <c r="AN215" s="225">
        <v>3</v>
      </c>
      <c r="AO215" s="226"/>
      <c r="AP215" s="227">
        <v>0</v>
      </c>
      <c r="AQ215" s="228">
        <v>0</v>
      </c>
      <c r="AS215" s="192" t="str">
        <f>CONCATENATE(AS209," ",AT215)</f>
        <v>15 3</v>
      </c>
      <c r="AT215" s="225">
        <v>3</v>
      </c>
      <c r="AU215" s="226"/>
      <c r="AV215" s="227">
        <v>0</v>
      </c>
      <c r="AW215" s="228">
        <f t="shared" si="211"/>
        <v>0</v>
      </c>
    </row>
    <row r="216" spans="2:49">
      <c r="B216" s="225">
        <v>4</v>
      </c>
      <c r="C216" s="226"/>
      <c r="D216" s="227">
        <v>0</v>
      </c>
      <c r="E216" s="228">
        <v>0</v>
      </c>
      <c r="G216" s="192" t="str">
        <f>CONCATENATE(G209," ",H216)</f>
        <v>15 4</v>
      </c>
      <c r="H216" s="225">
        <v>4</v>
      </c>
      <c r="I216" s="226"/>
      <c r="J216" s="227">
        <v>0</v>
      </c>
      <c r="K216" s="228">
        <f t="shared" si="205"/>
        <v>0</v>
      </c>
      <c r="L216" s="240"/>
      <c r="M216" s="240"/>
      <c r="N216" s="192" t="str">
        <f t="shared" si="200"/>
        <v>15 4</v>
      </c>
      <c r="O216" s="225">
        <v>4</v>
      </c>
      <c r="P216" s="226">
        <f t="shared" si="206"/>
        <v>0</v>
      </c>
      <c r="Q216" s="227"/>
      <c r="R216" s="227"/>
      <c r="U216" s="192" t="str">
        <f t="shared" si="201"/>
        <v>15 4</v>
      </c>
      <c r="V216" s="225">
        <v>4</v>
      </c>
      <c r="W216" s="226">
        <f t="shared" si="207"/>
        <v>0</v>
      </c>
      <c r="X216" s="227">
        <f t="shared" si="208"/>
        <v>0</v>
      </c>
      <c r="Y216" s="288">
        <f t="shared" si="209"/>
        <v>0</v>
      </c>
      <c r="Z216" s="231"/>
      <c r="AB216" s="192" t="str">
        <f t="shared" si="202"/>
        <v>15 4</v>
      </c>
      <c r="AC216" s="225">
        <v>4</v>
      </c>
      <c r="AD216" s="226">
        <f t="shared" si="203"/>
        <v>0</v>
      </c>
      <c r="AE216" s="227">
        <f t="shared" si="210"/>
        <v>0</v>
      </c>
      <c r="AF216" s="227">
        <f t="shared" si="204"/>
        <v>0</v>
      </c>
      <c r="AN216" s="225">
        <v>4</v>
      </c>
      <c r="AO216" s="226"/>
      <c r="AP216" s="227">
        <v>0</v>
      </c>
      <c r="AQ216" s="228">
        <v>0</v>
      </c>
      <c r="AS216" s="192" t="str">
        <f>CONCATENATE(AS209," ",AT216)</f>
        <v>15 4</v>
      </c>
      <c r="AT216" s="225">
        <v>4</v>
      </c>
      <c r="AU216" s="226"/>
      <c r="AV216" s="227">
        <v>0</v>
      </c>
      <c r="AW216" s="228">
        <f t="shared" si="211"/>
        <v>0</v>
      </c>
    </row>
    <row r="217" spans="2:49">
      <c r="B217" s="225">
        <v>5</v>
      </c>
      <c r="C217" s="226"/>
      <c r="D217" s="227">
        <v>0</v>
      </c>
      <c r="E217" s="228">
        <v>0</v>
      </c>
      <c r="G217" s="192" t="str">
        <f>CONCATENATE(G209," ",H217)</f>
        <v>15 5</v>
      </c>
      <c r="H217" s="225">
        <v>5</v>
      </c>
      <c r="I217" s="226"/>
      <c r="J217" s="227">
        <v>0</v>
      </c>
      <c r="K217" s="228">
        <f t="shared" si="205"/>
        <v>0</v>
      </c>
      <c r="L217" s="240"/>
      <c r="M217" s="240"/>
      <c r="N217" s="192" t="str">
        <f t="shared" si="200"/>
        <v>15 5</v>
      </c>
      <c r="O217" s="225">
        <v>5</v>
      </c>
      <c r="P217" s="226">
        <f t="shared" si="206"/>
        <v>0</v>
      </c>
      <c r="Q217" s="227"/>
      <c r="R217" s="227"/>
      <c r="U217" s="192" t="str">
        <f t="shared" si="201"/>
        <v>15 5</v>
      </c>
      <c r="V217" s="225">
        <v>5</v>
      </c>
      <c r="W217" s="226">
        <f t="shared" si="207"/>
        <v>0</v>
      </c>
      <c r="X217" s="227">
        <f t="shared" si="208"/>
        <v>0</v>
      </c>
      <c r="Y217" s="288">
        <f t="shared" si="209"/>
        <v>0</v>
      </c>
      <c r="Z217" s="231"/>
      <c r="AB217" s="192" t="str">
        <f t="shared" si="202"/>
        <v>15 5</v>
      </c>
      <c r="AC217" s="225">
        <v>5</v>
      </c>
      <c r="AD217" s="226">
        <f t="shared" si="203"/>
        <v>0</v>
      </c>
      <c r="AE217" s="227">
        <f t="shared" si="210"/>
        <v>0</v>
      </c>
      <c r="AF217" s="227">
        <f t="shared" si="204"/>
        <v>0</v>
      </c>
      <c r="AN217" s="225">
        <v>5</v>
      </c>
      <c r="AO217" s="226"/>
      <c r="AP217" s="227">
        <v>0</v>
      </c>
      <c r="AQ217" s="228">
        <v>0</v>
      </c>
      <c r="AS217" s="192" t="str">
        <f>CONCATENATE(AS209," ",AT217)</f>
        <v>15 5</v>
      </c>
      <c r="AT217" s="225">
        <v>5</v>
      </c>
      <c r="AU217" s="226"/>
      <c r="AV217" s="227">
        <v>0</v>
      </c>
      <c r="AW217" s="228">
        <f t="shared" si="211"/>
        <v>0</v>
      </c>
    </row>
    <row r="218" spans="2:49">
      <c r="B218" s="225">
        <v>6</v>
      </c>
      <c r="C218" s="226"/>
      <c r="D218" s="227">
        <v>0</v>
      </c>
      <c r="E218" s="228">
        <v>0</v>
      </c>
      <c r="G218" s="192" t="str">
        <f>CONCATENATE(G209," ",H218)</f>
        <v>15 6</v>
      </c>
      <c r="H218" s="225">
        <v>6</v>
      </c>
      <c r="I218" s="226"/>
      <c r="J218" s="227">
        <v>0</v>
      </c>
      <c r="K218" s="228">
        <f t="shared" si="205"/>
        <v>0</v>
      </c>
      <c r="L218" s="240"/>
      <c r="M218" s="240"/>
      <c r="N218" s="192" t="str">
        <f t="shared" si="200"/>
        <v>15 6</v>
      </c>
      <c r="O218" s="225">
        <v>6</v>
      </c>
      <c r="P218" s="226">
        <f t="shared" si="206"/>
        <v>0</v>
      </c>
      <c r="Q218" s="227"/>
      <c r="R218" s="227"/>
      <c r="U218" s="192" t="str">
        <f t="shared" si="201"/>
        <v>15 6</v>
      </c>
      <c r="V218" s="225">
        <v>6</v>
      </c>
      <c r="W218" s="226">
        <f t="shared" si="207"/>
        <v>0</v>
      </c>
      <c r="X218" s="227">
        <f t="shared" si="208"/>
        <v>0</v>
      </c>
      <c r="Y218" s="288">
        <f t="shared" si="209"/>
        <v>0</v>
      </c>
      <c r="Z218" s="231"/>
      <c r="AB218" s="192" t="str">
        <f t="shared" si="202"/>
        <v>15 6</v>
      </c>
      <c r="AC218" s="225">
        <v>6</v>
      </c>
      <c r="AD218" s="226">
        <f t="shared" si="203"/>
        <v>0</v>
      </c>
      <c r="AE218" s="227">
        <f t="shared" si="210"/>
        <v>0</v>
      </c>
      <c r="AF218" s="227">
        <f t="shared" si="204"/>
        <v>0</v>
      </c>
      <c r="AN218" s="225">
        <v>6</v>
      </c>
      <c r="AO218" s="226"/>
      <c r="AP218" s="227">
        <v>0</v>
      </c>
      <c r="AQ218" s="228">
        <v>0</v>
      </c>
      <c r="AS218" s="192" t="str">
        <f>CONCATENATE(AS209," ",AT218)</f>
        <v>15 6</v>
      </c>
      <c r="AT218" s="225">
        <v>6</v>
      </c>
      <c r="AU218" s="226"/>
      <c r="AV218" s="227">
        <v>0</v>
      </c>
      <c r="AW218" s="228">
        <f t="shared" si="211"/>
        <v>0</v>
      </c>
    </row>
    <row r="219" spans="2:49">
      <c r="B219" s="225">
        <v>7</v>
      </c>
      <c r="C219" s="226"/>
      <c r="D219" s="227">
        <v>0</v>
      </c>
      <c r="E219" s="228">
        <v>0</v>
      </c>
      <c r="G219" s="192" t="str">
        <f>CONCATENATE(G209," ",H219)</f>
        <v>15 7</v>
      </c>
      <c r="H219" s="225">
        <v>7</v>
      </c>
      <c r="I219" s="226"/>
      <c r="J219" s="227">
        <v>0</v>
      </c>
      <c r="K219" s="228">
        <f t="shared" si="205"/>
        <v>0</v>
      </c>
      <c r="L219" s="240"/>
      <c r="M219" s="240"/>
      <c r="N219" s="192" t="str">
        <f t="shared" si="200"/>
        <v>15 7</v>
      </c>
      <c r="O219" s="225">
        <v>7</v>
      </c>
      <c r="P219" s="226">
        <f t="shared" si="206"/>
        <v>0</v>
      </c>
      <c r="Q219" s="227"/>
      <c r="R219" s="227"/>
      <c r="U219" s="192" t="str">
        <f t="shared" si="201"/>
        <v>15 7</v>
      </c>
      <c r="V219" s="225">
        <v>7</v>
      </c>
      <c r="W219" s="226">
        <f t="shared" si="207"/>
        <v>0</v>
      </c>
      <c r="X219" s="227">
        <f t="shared" si="208"/>
        <v>0</v>
      </c>
      <c r="Y219" s="288">
        <f t="shared" si="209"/>
        <v>0</v>
      </c>
      <c r="Z219" s="231"/>
      <c r="AB219" s="192" t="str">
        <f t="shared" si="202"/>
        <v>15 7</v>
      </c>
      <c r="AC219" s="225">
        <v>7</v>
      </c>
      <c r="AD219" s="226">
        <f t="shared" si="203"/>
        <v>0</v>
      </c>
      <c r="AE219" s="227">
        <f t="shared" si="210"/>
        <v>0</v>
      </c>
      <c r="AF219" s="227">
        <f t="shared" si="204"/>
        <v>0</v>
      </c>
      <c r="AN219" s="225">
        <v>7</v>
      </c>
      <c r="AO219" s="226"/>
      <c r="AP219" s="227">
        <v>0</v>
      </c>
      <c r="AQ219" s="228">
        <v>0</v>
      </c>
      <c r="AS219" s="192" t="str">
        <f>CONCATENATE(AS209," ",AT219)</f>
        <v>15 7</v>
      </c>
      <c r="AT219" s="225">
        <v>7</v>
      </c>
      <c r="AU219" s="226"/>
      <c r="AV219" s="227">
        <v>0</v>
      </c>
      <c r="AW219" s="228">
        <f t="shared" si="211"/>
        <v>0</v>
      </c>
    </row>
    <row r="220" spans="2:49">
      <c r="B220" s="225">
        <v>8</v>
      </c>
      <c r="C220" s="226"/>
      <c r="D220" s="227">
        <v>0</v>
      </c>
      <c r="E220" s="228">
        <v>0</v>
      </c>
      <c r="G220" s="192" t="str">
        <f>CONCATENATE(G209," ",H220)</f>
        <v>15 8</v>
      </c>
      <c r="H220" s="225">
        <v>8</v>
      </c>
      <c r="I220" s="226"/>
      <c r="J220" s="227">
        <v>0</v>
      </c>
      <c r="K220" s="228">
        <f t="shared" si="205"/>
        <v>0</v>
      </c>
      <c r="L220" s="240"/>
      <c r="M220" s="240"/>
      <c r="N220" s="192" t="str">
        <f t="shared" si="200"/>
        <v>15 8</v>
      </c>
      <c r="O220" s="225">
        <v>8</v>
      </c>
      <c r="P220" s="226">
        <f t="shared" si="206"/>
        <v>0</v>
      </c>
      <c r="Q220" s="227"/>
      <c r="R220" s="227"/>
      <c r="U220" s="192" t="str">
        <f t="shared" si="201"/>
        <v>15 8</v>
      </c>
      <c r="V220" s="225">
        <v>8</v>
      </c>
      <c r="W220" s="226">
        <f t="shared" si="207"/>
        <v>0</v>
      </c>
      <c r="X220" s="227">
        <f t="shared" si="208"/>
        <v>0</v>
      </c>
      <c r="Y220" s="288">
        <f t="shared" si="209"/>
        <v>0</v>
      </c>
      <c r="Z220" s="231"/>
      <c r="AB220" s="192" t="str">
        <f t="shared" si="202"/>
        <v>15 8</v>
      </c>
      <c r="AC220" s="225">
        <v>8</v>
      </c>
      <c r="AD220" s="226">
        <f t="shared" si="203"/>
        <v>0</v>
      </c>
      <c r="AE220" s="227">
        <f t="shared" si="210"/>
        <v>0</v>
      </c>
      <c r="AF220" s="227">
        <f t="shared" si="204"/>
        <v>0</v>
      </c>
      <c r="AN220" s="225">
        <v>8</v>
      </c>
      <c r="AO220" s="226"/>
      <c r="AP220" s="227">
        <v>0</v>
      </c>
      <c r="AQ220" s="228">
        <v>0</v>
      </c>
      <c r="AS220" s="192" t="str">
        <f>CONCATENATE(AS209," ",AT220)</f>
        <v>15 8</v>
      </c>
      <c r="AT220" s="225">
        <v>8</v>
      </c>
      <c r="AU220" s="226"/>
      <c r="AV220" s="227">
        <v>0</v>
      </c>
      <c r="AW220" s="228">
        <f t="shared" si="211"/>
        <v>0</v>
      </c>
    </row>
    <row r="221" spans="2:49">
      <c r="B221" s="225">
        <v>9</v>
      </c>
      <c r="C221" s="226"/>
      <c r="D221" s="227">
        <v>0</v>
      </c>
      <c r="E221" s="228">
        <v>0</v>
      </c>
      <c r="G221" s="192" t="str">
        <f>CONCATENATE(G209," ",H221)</f>
        <v>15 9</v>
      </c>
      <c r="H221" s="225">
        <v>9</v>
      </c>
      <c r="I221" s="226"/>
      <c r="J221" s="227">
        <v>0</v>
      </c>
      <c r="K221" s="228">
        <f t="shared" si="205"/>
        <v>0</v>
      </c>
      <c r="L221" s="240"/>
      <c r="M221" s="240"/>
      <c r="N221" s="192" t="str">
        <f t="shared" si="200"/>
        <v>15 9</v>
      </c>
      <c r="O221" s="225">
        <v>9</v>
      </c>
      <c r="P221" s="226">
        <f t="shared" si="206"/>
        <v>0</v>
      </c>
      <c r="Q221" s="227"/>
      <c r="R221" s="227"/>
      <c r="U221" s="192" t="str">
        <f t="shared" si="201"/>
        <v>15 9</v>
      </c>
      <c r="V221" s="225">
        <v>9</v>
      </c>
      <c r="W221" s="226">
        <f t="shared" si="207"/>
        <v>0</v>
      </c>
      <c r="X221" s="227">
        <f t="shared" si="208"/>
        <v>0</v>
      </c>
      <c r="Y221" s="288">
        <f t="shared" si="209"/>
        <v>0</v>
      </c>
      <c r="Z221" s="231"/>
      <c r="AB221" s="192" t="str">
        <f t="shared" si="202"/>
        <v>15 9</v>
      </c>
      <c r="AC221" s="225">
        <v>9</v>
      </c>
      <c r="AD221" s="226">
        <f t="shared" si="203"/>
        <v>0</v>
      </c>
      <c r="AE221" s="227">
        <f t="shared" si="210"/>
        <v>0</v>
      </c>
      <c r="AF221" s="227">
        <f t="shared" si="204"/>
        <v>0</v>
      </c>
      <c r="AN221" s="225">
        <v>9</v>
      </c>
      <c r="AO221" s="226"/>
      <c r="AP221" s="227">
        <v>0</v>
      </c>
      <c r="AQ221" s="228">
        <v>0</v>
      </c>
      <c r="AS221" s="192" t="str">
        <f>CONCATENATE(AS209," ",AT221)</f>
        <v>15 9</v>
      </c>
      <c r="AT221" s="225">
        <v>9</v>
      </c>
      <c r="AU221" s="226"/>
      <c r="AV221" s="227">
        <v>0</v>
      </c>
      <c r="AW221" s="228">
        <f t="shared" si="211"/>
        <v>0</v>
      </c>
    </row>
    <row r="222" spans="2:49">
      <c r="N222" s="192"/>
    </row>
    <row r="224" spans="2:49">
      <c r="B224" s="836" t="s">
        <v>4922</v>
      </c>
      <c r="C224" s="837"/>
      <c r="D224" s="219"/>
      <c r="E224" s="220"/>
      <c r="G224" s="218">
        <v>16</v>
      </c>
      <c r="H224" s="836" t="s">
        <v>4922</v>
      </c>
      <c r="I224" s="837"/>
      <c r="J224" s="219"/>
      <c r="K224" s="220"/>
      <c r="O224" s="836" t="s">
        <v>4922</v>
      </c>
      <c r="P224" s="837"/>
      <c r="Q224" s="219"/>
      <c r="R224" s="220"/>
      <c r="V224" s="836" t="s">
        <v>4922</v>
      </c>
      <c r="W224" s="837"/>
      <c r="X224" s="219"/>
      <c r="Y224" s="220"/>
      <c r="AC224" s="836" t="s">
        <v>4922</v>
      </c>
      <c r="AD224" s="837"/>
      <c r="AE224" s="219"/>
      <c r="AF224" s="220"/>
      <c r="AN224" s="836" t="s">
        <v>4922</v>
      </c>
      <c r="AO224" s="837"/>
      <c r="AP224" s="219"/>
      <c r="AQ224" s="220"/>
      <c r="AS224" s="218">
        <v>16</v>
      </c>
      <c r="AT224" s="282" t="s">
        <v>4922</v>
      </c>
      <c r="AU224" s="283"/>
      <c r="AV224" s="219"/>
      <c r="AW224" s="220"/>
    </row>
    <row r="225" spans="2:49">
      <c r="B225" s="838" t="s">
        <v>4898</v>
      </c>
      <c r="C225" s="838"/>
      <c r="D225" s="219"/>
      <c r="E225" s="220"/>
      <c r="H225" s="838" t="s">
        <v>4898</v>
      </c>
      <c r="I225" s="838"/>
      <c r="J225" s="219"/>
      <c r="K225" s="220"/>
      <c r="O225" s="838" t="s">
        <v>4898</v>
      </c>
      <c r="P225" s="838"/>
      <c r="Q225" s="219"/>
      <c r="R225" s="220"/>
      <c r="V225" s="838" t="s">
        <v>4898</v>
      </c>
      <c r="W225" s="838"/>
      <c r="X225" s="219"/>
      <c r="Y225" s="220"/>
      <c r="AC225" s="838" t="s">
        <v>4898</v>
      </c>
      <c r="AD225" s="838"/>
      <c r="AE225" s="219"/>
      <c r="AF225" s="220"/>
      <c r="AN225" s="838" t="s">
        <v>4898</v>
      </c>
      <c r="AO225" s="838"/>
      <c r="AP225" s="219"/>
      <c r="AQ225" s="220"/>
      <c r="AT225" s="284" t="s">
        <v>4898</v>
      </c>
      <c r="AU225" s="284"/>
      <c r="AV225" s="219"/>
      <c r="AW225" s="220"/>
    </row>
    <row r="226" spans="2:49">
      <c r="B226" s="835" t="s">
        <v>4899</v>
      </c>
      <c r="C226" s="835"/>
      <c r="D226" s="224" t="s">
        <v>4901</v>
      </c>
      <c r="E226" s="224"/>
      <c r="H226" s="835" t="s">
        <v>4899</v>
      </c>
      <c r="I226" s="835"/>
      <c r="J226" s="224" t="s">
        <v>4901</v>
      </c>
      <c r="K226" s="224"/>
      <c r="O226" s="835" t="s">
        <v>4899</v>
      </c>
      <c r="P226" s="835"/>
      <c r="Q226" s="224" t="s">
        <v>4901</v>
      </c>
      <c r="R226" s="224"/>
      <c r="V226" s="835" t="s">
        <v>4899</v>
      </c>
      <c r="W226" s="835"/>
      <c r="X226" s="224" t="s">
        <v>4901</v>
      </c>
      <c r="Y226" s="224"/>
      <c r="AC226" s="835" t="s">
        <v>4899</v>
      </c>
      <c r="AD226" s="835"/>
      <c r="AE226" s="224" t="s">
        <v>4901</v>
      </c>
      <c r="AF226" s="224"/>
      <c r="AN226" s="835" t="s">
        <v>4899</v>
      </c>
      <c r="AO226" s="835"/>
      <c r="AP226" s="224" t="s">
        <v>4901</v>
      </c>
      <c r="AQ226" s="224"/>
      <c r="AT226" s="285" t="s">
        <v>4899</v>
      </c>
      <c r="AU226" s="285"/>
      <c r="AV226" s="224" t="s">
        <v>4901</v>
      </c>
      <c r="AW226" s="224"/>
    </row>
    <row r="227" spans="2:49">
      <c r="B227" s="835"/>
      <c r="C227" s="835"/>
      <c r="D227" s="223" t="s">
        <v>4902</v>
      </c>
      <c r="E227" s="223" t="s">
        <v>4903</v>
      </c>
      <c r="H227" s="835"/>
      <c r="I227" s="835"/>
      <c r="J227" s="223" t="s">
        <v>4902</v>
      </c>
      <c r="K227" s="223" t="s">
        <v>4903</v>
      </c>
      <c r="O227" s="835"/>
      <c r="P227" s="835"/>
      <c r="Q227" s="223" t="s">
        <v>4902</v>
      </c>
      <c r="R227" s="223" t="s">
        <v>4903</v>
      </c>
      <c r="V227" s="835"/>
      <c r="W227" s="835"/>
      <c r="X227" s="223" t="s">
        <v>4902</v>
      </c>
      <c r="Y227" s="223" t="s">
        <v>4903</v>
      </c>
      <c r="AC227" s="835"/>
      <c r="AD227" s="835"/>
      <c r="AE227" s="223" t="s">
        <v>4902</v>
      </c>
      <c r="AF227" s="223" t="s">
        <v>4903</v>
      </c>
      <c r="AN227" s="835"/>
      <c r="AO227" s="835"/>
      <c r="AP227" s="223" t="s">
        <v>4902</v>
      </c>
      <c r="AQ227" s="223" t="s">
        <v>4903</v>
      </c>
      <c r="AT227" s="285"/>
      <c r="AU227" s="285"/>
      <c r="AV227" s="223" t="s">
        <v>4902</v>
      </c>
      <c r="AW227" s="223" t="s">
        <v>4903</v>
      </c>
    </row>
    <row r="228" spans="2:49">
      <c r="B228" s="225">
        <v>1</v>
      </c>
      <c r="C228" s="226">
        <v>999999999</v>
      </c>
      <c r="D228" s="227">
        <v>0</v>
      </c>
      <c r="E228" s="308">
        <v>0.1366</v>
      </c>
      <c r="G228" s="192" t="str">
        <f>CONCATENATE(G224," ",H228)</f>
        <v>16 1</v>
      </c>
      <c r="H228" s="225">
        <v>1</v>
      </c>
      <c r="I228" s="226">
        <v>999999999</v>
      </c>
      <c r="J228" s="227">
        <v>0</v>
      </c>
      <c r="K228" s="228">
        <f>E228*K1</f>
        <v>0.12523647325851586</v>
      </c>
      <c r="L228" s="212" t="s">
        <v>4923</v>
      </c>
      <c r="N228" s="192" t="s">
        <v>4822</v>
      </c>
      <c r="O228" s="225">
        <v>1</v>
      </c>
      <c r="P228" s="226">
        <v>999999999</v>
      </c>
      <c r="Q228" s="227"/>
      <c r="R228" s="228"/>
      <c r="U228" s="192" t="s">
        <v>4822</v>
      </c>
      <c r="V228" s="225">
        <v>1</v>
      </c>
      <c r="W228" s="226">
        <v>999999999</v>
      </c>
      <c r="X228" s="227">
        <f>J228*Z228</f>
        <v>0</v>
      </c>
      <c r="Y228" s="229">
        <f>K228*Z228</f>
        <v>0.15394122355656967</v>
      </c>
      <c r="Z228" s="745">
        <f>Resultados!C25*Resultados!K43</f>
        <v>1.2292043966999999</v>
      </c>
      <c r="AB228" s="192" t="s">
        <v>4822</v>
      </c>
      <c r="AC228" s="225">
        <v>1</v>
      </c>
      <c r="AD228" s="226">
        <v>999999999</v>
      </c>
      <c r="AE228" s="227">
        <f>X228+Q228</f>
        <v>0</v>
      </c>
      <c r="AF228" s="228">
        <f>Y228+R228</f>
        <v>0.15394122355656967</v>
      </c>
      <c r="AN228" s="225">
        <v>1</v>
      </c>
      <c r="AO228" s="226">
        <v>999999999</v>
      </c>
      <c r="AP228" s="227">
        <v>0</v>
      </c>
      <c r="AQ228" s="228">
        <f>E228</f>
        <v>0.1366</v>
      </c>
      <c r="AS228" s="192" t="str">
        <f>CONCATENATE(AS224," ",AT228)</f>
        <v>16 1</v>
      </c>
      <c r="AT228" s="225">
        <v>1</v>
      </c>
      <c r="AU228" s="226">
        <v>999999999</v>
      </c>
      <c r="AV228" s="227">
        <v>0</v>
      </c>
      <c r="AW228" s="228">
        <f>AQ228*$AW$1</f>
        <v>0.12523647325851586</v>
      </c>
    </row>
    <row r="229" spans="2:49">
      <c r="E229" s="228">
        <f>E228*(1+1.9%)</f>
        <v>0.1391954</v>
      </c>
      <c r="G229" s="192">
        <v>100</v>
      </c>
      <c r="H229" s="225"/>
      <c r="I229" s="226">
        <v>999999999</v>
      </c>
      <c r="J229" s="227">
        <f>+J228</f>
        <v>0</v>
      </c>
      <c r="K229" s="228">
        <f>K228*(1+1.9%)</f>
        <v>0.12761596625042765</v>
      </c>
      <c r="L229" s="212" t="s">
        <v>4924</v>
      </c>
      <c r="N229" s="192">
        <v>100</v>
      </c>
      <c r="O229" s="225"/>
      <c r="P229" s="226">
        <v>999999999</v>
      </c>
      <c r="Q229" s="227">
        <f>+Q228</f>
        <v>0</v>
      </c>
      <c r="R229" s="228">
        <f>R228*(1+1.9%)</f>
        <v>0</v>
      </c>
      <c r="U229" s="192">
        <v>100</v>
      </c>
      <c r="V229" s="225"/>
      <c r="W229" s="226">
        <v>999999999</v>
      </c>
      <c r="X229" s="227">
        <f>+X228</f>
        <v>0</v>
      </c>
      <c r="Y229" s="229">
        <f>Y228</f>
        <v>0.15394122355656967</v>
      </c>
      <c r="AB229" s="212">
        <v>100</v>
      </c>
      <c r="AC229" s="225"/>
      <c r="AD229" s="226">
        <v>999999999</v>
      </c>
      <c r="AE229" s="227">
        <f>+AE228</f>
        <v>0</v>
      </c>
      <c r="AF229" s="228">
        <f>Y229</f>
        <v>0.15394122355656967</v>
      </c>
      <c r="AN229" s="225"/>
      <c r="AO229" s="226">
        <v>999999999</v>
      </c>
      <c r="AP229" s="227">
        <f>+AP228</f>
        <v>0</v>
      </c>
      <c r="AQ229" s="228">
        <f>AQ228*(1+1.9%)</f>
        <v>0.1391954</v>
      </c>
      <c r="AT229" s="225"/>
      <c r="AU229" s="226">
        <v>999999999</v>
      </c>
      <c r="AV229" s="227">
        <f>+AV228</f>
        <v>0</v>
      </c>
      <c r="AW229" s="228">
        <f>AW228*(1+1.9%)</f>
        <v>0.12761596625042765</v>
      </c>
    </row>
    <row r="231" spans="2:49">
      <c r="B231" s="836" t="s">
        <v>107</v>
      </c>
      <c r="C231" s="837"/>
      <c r="D231" s="219"/>
      <c r="E231" s="220"/>
      <c r="H231" s="836" t="s">
        <v>107</v>
      </c>
      <c r="I231" s="837"/>
      <c r="J231" s="219"/>
      <c r="K231" s="220"/>
      <c r="O231" s="282" t="s">
        <v>107</v>
      </c>
      <c r="P231" s="283"/>
      <c r="Q231" s="219"/>
      <c r="R231" s="220"/>
      <c r="V231" s="282" t="s">
        <v>107</v>
      </c>
      <c r="W231" s="283"/>
      <c r="X231" s="219"/>
      <c r="Y231" s="220"/>
      <c r="AC231" s="282" t="s">
        <v>107</v>
      </c>
      <c r="AD231" s="283"/>
      <c r="AE231" s="219"/>
      <c r="AF231" s="220"/>
      <c r="AN231" s="836" t="s">
        <v>107</v>
      </c>
      <c r="AO231" s="837"/>
      <c r="AP231" s="219"/>
      <c r="AQ231" s="220"/>
      <c r="AT231" s="836" t="s">
        <v>107</v>
      </c>
      <c r="AU231" s="837"/>
      <c r="AV231" s="219"/>
      <c r="AW231" s="220"/>
    </row>
    <row r="232" spans="2:49">
      <c r="B232" s="838"/>
      <c r="C232" s="838"/>
      <c r="D232" s="219"/>
      <c r="E232" s="220"/>
      <c r="H232" s="838"/>
      <c r="I232" s="838"/>
      <c r="J232" s="219"/>
      <c r="K232" s="220"/>
      <c r="O232" s="284"/>
      <c r="P232" s="284"/>
      <c r="Q232" s="219"/>
      <c r="R232" s="220"/>
      <c r="V232" s="284"/>
      <c r="W232" s="284"/>
      <c r="X232" s="219"/>
      <c r="Y232" s="220"/>
      <c r="AC232" s="284"/>
      <c r="AD232" s="284"/>
      <c r="AE232" s="219"/>
      <c r="AF232" s="220"/>
      <c r="AN232" s="838"/>
      <c r="AO232" s="838"/>
      <c r="AP232" s="219"/>
      <c r="AQ232" s="220"/>
      <c r="AT232" s="838"/>
      <c r="AU232" s="838"/>
      <c r="AV232" s="219"/>
      <c r="AW232" s="220"/>
    </row>
    <row r="233" spans="2:49">
      <c r="B233" s="835" t="s">
        <v>4899</v>
      </c>
      <c r="C233" s="835"/>
      <c r="D233" s="224" t="s">
        <v>4901</v>
      </c>
      <c r="E233" s="224"/>
      <c r="H233" s="835" t="s">
        <v>4899</v>
      </c>
      <c r="I233" s="835"/>
      <c r="J233" s="224" t="s">
        <v>4901</v>
      </c>
      <c r="K233" s="224"/>
      <c r="O233" s="285" t="s">
        <v>4899</v>
      </c>
      <c r="P233" s="285"/>
      <c r="Q233" s="224" t="s">
        <v>4901</v>
      </c>
      <c r="R233" s="224"/>
      <c r="V233" s="285" t="s">
        <v>4899</v>
      </c>
      <c r="W233" s="285"/>
      <c r="X233" s="224" t="s">
        <v>4901</v>
      </c>
      <c r="Y233" s="224"/>
      <c r="AC233" s="285" t="s">
        <v>4899</v>
      </c>
      <c r="AD233" s="285"/>
      <c r="AE233" s="224" t="s">
        <v>4901</v>
      </c>
      <c r="AF233" s="224"/>
      <c r="AN233" s="835" t="s">
        <v>4899</v>
      </c>
      <c r="AO233" s="835"/>
      <c r="AP233" s="224" t="s">
        <v>4901</v>
      </c>
      <c r="AQ233" s="224"/>
      <c r="AT233" s="835" t="s">
        <v>4899</v>
      </c>
      <c r="AU233" s="835"/>
      <c r="AV233" s="224" t="s">
        <v>4901</v>
      </c>
      <c r="AW233" s="224"/>
    </row>
    <row r="234" spans="2:49">
      <c r="B234" s="835"/>
      <c r="C234" s="835"/>
      <c r="D234" s="223" t="s">
        <v>4902</v>
      </c>
      <c r="E234" s="223" t="s">
        <v>4903</v>
      </c>
      <c r="H234" s="835"/>
      <c r="I234" s="835"/>
      <c r="J234" s="223" t="s">
        <v>4902</v>
      </c>
      <c r="K234" s="223" t="s">
        <v>4903</v>
      </c>
      <c r="O234" s="285"/>
      <c r="P234" s="285"/>
      <c r="Q234" s="223" t="s">
        <v>4902</v>
      </c>
      <c r="R234" s="223" t="s">
        <v>4903</v>
      </c>
      <c r="V234" s="285"/>
      <c r="W234" s="285"/>
      <c r="X234" s="223" t="s">
        <v>4902</v>
      </c>
      <c r="Y234" s="223" t="s">
        <v>4903</v>
      </c>
      <c r="AC234" s="285"/>
      <c r="AD234" s="285"/>
      <c r="AE234" s="223" t="s">
        <v>4902</v>
      </c>
      <c r="AF234" s="223" t="s">
        <v>4903</v>
      </c>
      <c r="AN234" s="835"/>
      <c r="AO234" s="835"/>
      <c r="AP234" s="223" t="s">
        <v>4902</v>
      </c>
      <c r="AQ234" s="223" t="s">
        <v>4903</v>
      </c>
      <c r="AT234" s="835"/>
      <c r="AU234" s="835"/>
      <c r="AV234" s="223" t="s">
        <v>4902</v>
      </c>
      <c r="AW234" s="223" t="s">
        <v>4903</v>
      </c>
    </row>
    <row r="235" spans="2:49">
      <c r="B235" s="225">
        <v>1</v>
      </c>
      <c r="C235" s="226">
        <v>200</v>
      </c>
      <c r="D235" s="227">
        <v>0</v>
      </c>
      <c r="E235" s="228">
        <v>3.4720358600000001</v>
      </c>
      <c r="G235" s="192" t="s">
        <v>4834</v>
      </c>
      <c r="H235" s="225">
        <v>1</v>
      </c>
      <c r="I235" s="226">
        <v>200</v>
      </c>
      <c r="J235" s="227">
        <v>0</v>
      </c>
      <c r="K235" s="228">
        <f>E235*$K$1</f>
        <v>3.1832029731588447</v>
      </c>
      <c r="O235" s="225">
        <v>1</v>
      </c>
      <c r="P235" s="226">
        <v>200</v>
      </c>
      <c r="Q235" s="227">
        <v>0</v>
      </c>
      <c r="R235" s="228"/>
      <c r="V235" s="225">
        <v>1</v>
      </c>
      <c r="W235" s="226">
        <v>200</v>
      </c>
      <c r="X235" s="227">
        <v>0</v>
      </c>
      <c r="Y235" s="758">
        <f>K235*Z235</f>
        <v>3.4696912407431411</v>
      </c>
      <c r="Z235" s="231">
        <f>$Y$1</f>
        <v>1.0900000000000001</v>
      </c>
      <c r="AC235" s="225">
        <v>1</v>
      </c>
      <c r="AD235" s="226">
        <v>200</v>
      </c>
      <c r="AE235" s="227">
        <v>0</v>
      </c>
      <c r="AF235" s="227">
        <f t="shared" ref="AF235:AF244" si="212">Y235+R235</f>
        <v>3.4696912407431411</v>
      </c>
      <c r="AN235" s="225">
        <v>1</v>
      </c>
      <c r="AO235" s="226">
        <v>200</v>
      </c>
      <c r="AP235" s="227">
        <v>0</v>
      </c>
      <c r="AQ235" s="228">
        <v>7.6840999999999999</v>
      </c>
      <c r="AT235" s="225">
        <v>1</v>
      </c>
      <c r="AU235" s="226">
        <v>200</v>
      </c>
      <c r="AV235" s="227">
        <v>0</v>
      </c>
      <c r="AW235" s="228">
        <f t="shared" ref="AW235:AW244" si="213">AQ235*$AW$1</f>
        <v>7.0448725048738048</v>
      </c>
    </row>
    <row r="236" spans="2:49">
      <c r="B236" s="225">
        <v>2</v>
      </c>
      <c r="C236" s="226">
        <v>2000</v>
      </c>
      <c r="D236" s="227">
        <v>0</v>
      </c>
      <c r="E236" s="228">
        <v>1.5563347199999997</v>
      </c>
      <c r="G236" s="192" t="s">
        <v>4836</v>
      </c>
      <c r="H236" s="225">
        <v>2</v>
      </c>
      <c r="I236" s="226">
        <v>2000</v>
      </c>
      <c r="J236" s="227">
        <v>0</v>
      </c>
      <c r="K236" s="228">
        <f t="shared" ref="K236:K244" si="214">E236*$K$1</f>
        <v>1.4268658238841856</v>
      </c>
      <c r="O236" s="225">
        <v>2</v>
      </c>
      <c r="P236" s="226">
        <v>2000</v>
      </c>
      <c r="Q236" s="227">
        <v>0</v>
      </c>
      <c r="R236" s="228"/>
      <c r="V236" s="225">
        <v>2</v>
      </c>
      <c r="W236" s="226">
        <v>2000</v>
      </c>
      <c r="X236" s="227">
        <v>0</v>
      </c>
      <c r="Y236" s="758">
        <f t="shared" ref="Y236:Y244" si="215">K236*Z236</f>
        <v>1.5552837480337625</v>
      </c>
      <c r="Z236" s="231">
        <f t="shared" ref="Z236:Z244" si="216">$Y$1</f>
        <v>1.0900000000000001</v>
      </c>
      <c r="AC236" s="225">
        <v>2</v>
      </c>
      <c r="AD236" s="226">
        <v>2000</v>
      </c>
      <c r="AE236" s="227">
        <v>0</v>
      </c>
      <c r="AF236" s="227">
        <f t="shared" si="212"/>
        <v>1.5552837480337625</v>
      </c>
      <c r="AN236" s="225">
        <v>2</v>
      </c>
      <c r="AO236" s="226">
        <v>2000</v>
      </c>
      <c r="AP236" s="227">
        <v>0</v>
      </c>
      <c r="AQ236" s="228">
        <v>5.2732000000000001</v>
      </c>
      <c r="AT236" s="225">
        <v>2</v>
      </c>
      <c r="AU236" s="226">
        <v>2000</v>
      </c>
      <c r="AV236" s="227">
        <v>0</v>
      </c>
      <c r="AW236" s="228">
        <f t="shared" si="213"/>
        <v>4.8345312649107317</v>
      </c>
    </row>
    <row r="237" spans="2:49">
      <c r="B237" s="225">
        <v>3</v>
      </c>
      <c r="C237" s="226">
        <v>10000</v>
      </c>
      <c r="D237" s="227">
        <v>0</v>
      </c>
      <c r="E237" s="228">
        <v>1.2542277999999998</v>
      </c>
      <c r="G237" s="192" t="s">
        <v>4837</v>
      </c>
      <c r="H237" s="225">
        <v>3</v>
      </c>
      <c r="I237" s="226">
        <v>10000</v>
      </c>
      <c r="J237" s="227">
        <v>0</v>
      </c>
      <c r="K237" s="228">
        <f t="shared" si="214"/>
        <v>1.1498906759501257</v>
      </c>
      <c r="O237" s="225">
        <v>3</v>
      </c>
      <c r="P237" s="226">
        <v>10000</v>
      </c>
      <c r="Q237" s="227">
        <v>0</v>
      </c>
      <c r="R237" s="228"/>
      <c r="V237" s="225">
        <v>3</v>
      </c>
      <c r="W237" s="226">
        <v>10000</v>
      </c>
      <c r="X237" s="227">
        <v>0</v>
      </c>
      <c r="Y237" s="758">
        <f t="shared" si="215"/>
        <v>1.2533808367856372</v>
      </c>
      <c r="Z237" s="231">
        <f t="shared" si="216"/>
        <v>1.0900000000000001</v>
      </c>
      <c r="AC237" s="225">
        <v>3</v>
      </c>
      <c r="AD237" s="226">
        <v>10000</v>
      </c>
      <c r="AE237" s="227">
        <v>0</v>
      </c>
      <c r="AF237" s="227">
        <f t="shared" si="212"/>
        <v>1.2533808367856372</v>
      </c>
      <c r="AN237" s="225">
        <v>3</v>
      </c>
      <c r="AO237" s="226">
        <v>10000</v>
      </c>
      <c r="AP237" s="227">
        <v>0</v>
      </c>
      <c r="AQ237" s="228">
        <v>4.8929999999999998</v>
      </c>
      <c r="AT237" s="225">
        <v>3</v>
      </c>
      <c r="AU237" s="226">
        <v>10000</v>
      </c>
      <c r="AV237" s="227">
        <v>0</v>
      </c>
      <c r="AW237" s="228">
        <f t="shared" si="213"/>
        <v>4.4859594703800738</v>
      </c>
    </row>
    <row r="238" spans="2:49">
      <c r="B238" s="225">
        <v>4</v>
      </c>
      <c r="C238" s="226">
        <v>50000</v>
      </c>
      <c r="D238" s="227">
        <v>0</v>
      </c>
      <c r="E238" s="228">
        <v>0.83825470000000024</v>
      </c>
      <c r="G238" s="192" t="s">
        <v>4838</v>
      </c>
      <c r="H238" s="225">
        <v>4</v>
      </c>
      <c r="I238" s="226">
        <v>50000</v>
      </c>
      <c r="J238" s="227">
        <v>0</v>
      </c>
      <c r="K238" s="228">
        <f t="shared" si="214"/>
        <v>0.76852168609352323</v>
      </c>
      <c r="O238" s="225">
        <v>4</v>
      </c>
      <c r="P238" s="226">
        <v>50000</v>
      </c>
      <c r="Q238" s="227">
        <v>0</v>
      </c>
      <c r="R238" s="228"/>
      <c r="V238" s="225">
        <v>4</v>
      </c>
      <c r="W238" s="226">
        <v>50000</v>
      </c>
      <c r="X238" s="227">
        <v>0</v>
      </c>
      <c r="Y238" s="758">
        <f t="shared" si="215"/>
        <v>0.83768863784194036</v>
      </c>
      <c r="Z238" s="231">
        <f t="shared" si="216"/>
        <v>1.0900000000000001</v>
      </c>
      <c r="AC238" s="225">
        <v>4</v>
      </c>
      <c r="AD238" s="226">
        <v>50000</v>
      </c>
      <c r="AE238" s="227">
        <v>0</v>
      </c>
      <c r="AF238" s="227">
        <f t="shared" si="212"/>
        <v>0.83768863784194036</v>
      </c>
      <c r="AN238" s="225">
        <v>4</v>
      </c>
      <c r="AO238" s="226">
        <v>50000</v>
      </c>
      <c r="AP238" s="227">
        <v>0</v>
      </c>
      <c r="AQ238" s="228">
        <v>4.3695000000000004</v>
      </c>
      <c r="AT238" s="225">
        <v>4</v>
      </c>
      <c r="AU238" s="226">
        <v>50000</v>
      </c>
      <c r="AV238" s="227">
        <v>0</v>
      </c>
      <c r="AW238" s="228">
        <f t="shared" si="213"/>
        <v>4.0060085644442545</v>
      </c>
    </row>
    <row r="239" spans="2:49">
      <c r="B239" s="225">
        <v>5</v>
      </c>
      <c r="C239" s="226">
        <v>100000</v>
      </c>
      <c r="D239" s="227">
        <v>0</v>
      </c>
      <c r="E239" s="228">
        <v>0.67631522000000022</v>
      </c>
      <c r="G239" s="192" t="s">
        <v>4839</v>
      </c>
      <c r="H239" s="225">
        <v>5</v>
      </c>
      <c r="I239" s="226">
        <v>100000</v>
      </c>
      <c r="J239" s="227">
        <v>0</v>
      </c>
      <c r="K239" s="228">
        <f t="shared" si="214"/>
        <v>0.62005368201945321</v>
      </c>
      <c r="O239" s="225">
        <v>5</v>
      </c>
      <c r="P239" s="226">
        <v>100000</v>
      </c>
      <c r="Q239" s="227">
        <v>0</v>
      </c>
      <c r="R239" s="228"/>
      <c r="V239" s="225">
        <v>5</v>
      </c>
      <c r="W239" s="226">
        <v>100000</v>
      </c>
      <c r="X239" s="227">
        <v>0</v>
      </c>
      <c r="Y239" s="758">
        <f t="shared" si="215"/>
        <v>0.67585851340120406</v>
      </c>
      <c r="Z239" s="231">
        <f t="shared" si="216"/>
        <v>1.0900000000000001</v>
      </c>
      <c r="AC239" s="225">
        <v>5</v>
      </c>
      <c r="AD239" s="226">
        <v>100000</v>
      </c>
      <c r="AE239" s="227">
        <v>0</v>
      </c>
      <c r="AF239" s="227">
        <f t="shared" si="212"/>
        <v>0.67585851340120406</v>
      </c>
      <c r="AN239" s="225">
        <v>5</v>
      </c>
      <c r="AO239" s="226">
        <v>100000</v>
      </c>
      <c r="AP239" s="227">
        <v>0</v>
      </c>
      <c r="AQ239" s="228">
        <v>4.1657000000000002</v>
      </c>
      <c r="AT239" s="225">
        <v>5</v>
      </c>
      <c r="AU239" s="226">
        <v>100000</v>
      </c>
      <c r="AV239" s="227">
        <v>0</v>
      </c>
      <c r="AW239" s="228">
        <f t="shared" si="213"/>
        <v>3.819162347386527</v>
      </c>
    </row>
    <row r="240" spans="2:49">
      <c r="B240" s="225">
        <v>6</v>
      </c>
      <c r="C240" s="226">
        <v>300000</v>
      </c>
      <c r="D240" s="227">
        <v>0</v>
      </c>
      <c r="E240" s="228">
        <v>0.50245673999999996</v>
      </c>
      <c r="G240" s="192" t="s">
        <v>4840</v>
      </c>
      <c r="H240" s="225">
        <v>6</v>
      </c>
      <c r="I240" s="226">
        <v>300000</v>
      </c>
      <c r="J240" s="227">
        <v>0</v>
      </c>
      <c r="K240" s="228">
        <f t="shared" si="214"/>
        <v>0.46065819972599603</v>
      </c>
      <c r="O240" s="225">
        <v>6</v>
      </c>
      <c r="P240" s="226">
        <v>300000</v>
      </c>
      <c r="Q240" s="227">
        <v>0</v>
      </c>
      <c r="R240" s="228"/>
      <c r="V240" s="225">
        <v>6</v>
      </c>
      <c r="W240" s="226">
        <v>300000</v>
      </c>
      <c r="X240" s="227">
        <v>0</v>
      </c>
      <c r="Y240" s="758">
        <f t="shared" si="215"/>
        <v>0.50211743770133566</v>
      </c>
      <c r="Z240" s="231">
        <f t="shared" si="216"/>
        <v>1.0900000000000001</v>
      </c>
      <c r="AC240" s="225">
        <v>6</v>
      </c>
      <c r="AD240" s="226">
        <v>300000</v>
      </c>
      <c r="AE240" s="227">
        <v>0</v>
      </c>
      <c r="AF240" s="227">
        <f t="shared" si="212"/>
        <v>0.50211743770133566</v>
      </c>
      <c r="AN240" s="225">
        <v>6</v>
      </c>
      <c r="AO240" s="226">
        <v>300000</v>
      </c>
      <c r="AP240" s="227">
        <v>0</v>
      </c>
      <c r="AQ240" s="228">
        <v>3.9468999999999999</v>
      </c>
      <c r="AT240" s="225">
        <v>6</v>
      </c>
      <c r="AU240" s="226">
        <v>300000</v>
      </c>
      <c r="AV240" s="227">
        <v>0</v>
      </c>
      <c r="AW240" s="228">
        <f t="shared" si="213"/>
        <v>3.6185639553736184</v>
      </c>
    </row>
    <row r="241" spans="2:49">
      <c r="B241" s="225">
        <v>7</v>
      </c>
      <c r="C241" s="226">
        <v>600000</v>
      </c>
      <c r="D241" s="227">
        <v>0</v>
      </c>
      <c r="E241" s="228">
        <v>0.29673479999999985</v>
      </c>
      <c r="G241" s="192" t="s">
        <v>4841</v>
      </c>
      <c r="H241" s="225">
        <v>7</v>
      </c>
      <c r="I241" s="226">
        <v>600000</v>
      </c>
      <c r="J241" s="227">
        <v>0</v>
      </c>
      <c r="K241" s="228">
        <f t="shared" si="214"/>
        <v>0.27204992565937802</v>
      </c>
      <c r="O241" s="225">
        <v>7</v>
      </c>
      <c r="P241" s="226">
        <v>600000</v>
      </c>
      <c r="Q241" s="227">
        <v>0</v>
      </c>
      <c r="R241" s="228"/>
      <c r="V241" s="225">
        <v>7</v>
      </c>
      <c r="W241" s="226">
        <v>600000</v>
      </c>
      <c r="X241" s="227">
        <v>0</v>
      </c>
      <c r="Y241" s="758">
        <f t="shared" si="215"/>
        <v>0.29653441896872207</v>
      </c>
      <c r="Z241" s="231">
        <f t="shared" si="216"/>
        <v>1.0900000000000001</v>
      </c>
      <c r="AC241" s="225">
        <v>7</v>
      </c>
      <c r="AD241" s="226">
        <v>600000</v>
      </c>
      <c r="AE241" s="227">
        <v>0</v>
      </c>
      <c r="AF241" s="227">
        <f t="shared" si="212"/>
        <v>0.29653441896872207</v>
      </c>
      <c r="AN241" s="225">
        <v>7</v>
      </c>
      <c r="AO241" s="226">
        <v>600000</v>
      </c>
      <c r="AP241" s="227">
        <v>0</v>
      </c>
      <c r="AQ241" s="228">
        <v>3.6880000000000002</v>
      </c>
      <c r="AT241" s="225">
        <v>7</v>
      </c>
      <c r="AU241" s="226">
        <v>600000</v>
      </c>
      <c r="AV241" s="227">
        <v>0</v>
      </c>
      <c r="AW241" s="228">
        <f t="shared" si="213"/>
        <v>3.381201415647193</v>
      </c>
    </row>
    <row r="242" spans="2:49">
      <c r="B242" s="225">
        <v>8</v>
      </c>
      <c r="C242" s="226">
        <v>1500000</v>
      </c>
      <c r="D242" s="227">
        <v>0</v>
      </c>
      <c r="E242" s="228">
        <v>0.29117259999999989</v>
      </c>
      <c r="G242" s="192" t="s">
        <v>4842</v>
      </c>
      <c r="H242" s="225">
        <v>8</v>
      </c>
      <c r="I242" s="226">
        <v>1500000</v>
      </c>
      <c r="J242" s="227">
        <v>0</v>
      </c>
      <c r="K242" s="228">
        <f t="shared" si="214"/>
        <v>0.26695043582366418</v>
      </c>
      <c r="O242" s="225">
        <v>8</v>
      </c>
      <c r="P242" s="226">
        <v>1500000</v>
      </c>
      <c r="Q242" s="227">
        <v>0</v>
      </c>
      <c r="R242" s="228"/>
      <c r="V242" s="225">
        <v>8</v>
      </c>
      <c r="W242" s="226">
        <v>1500000</v>
      </c>
      <c r="X242" s="227">
        <v>0</v>
      </c>
      <c r="Y242" s="758">
        <f t="shared" si="215"/>
        <v>0.29097597504779399</v>
      </c>
      <c r="Z242" s="231">
        <f t="shared" si="216"/>
        <v>1.0900000000000001</v>
      </c>
      <c r="AC242" s="225">
        <v>8</v>
      </c>
      <c r="AD242" s="226">
        <v>1500000</v>
      </c>
      <c r="AE242" s="227">
        <v>0</v>
      </c>
      <c r="AF242" s="227">
        <f t="shared" si="212"/>
        <v>0.29097597504779399</v>
      </c>
      <c r="AN242" s="225">
        <v>8</v>
      </c>
      <c r="AO242" s="226">
        <v>1500000</v>
      </c>
      <c r="AP242" s="227">
        <v>0</v>
      </c>
      <c r="AQ242" s="228">
        <v>3.681</v>
      </c>
      <c r="AT242" s="225">
        <v>8</v>
      </c>
      <c r="AU242" s="226">
        <v>1500000</v>
      </c>
      <c r="AV242" s="227">
        <v>0</v>
      </c>
      <c r="AW242" s="228">
        <f t="shared" si="213"/>
        <v>3.3747837340014417</v>
      </c>
    </row>
    <row r="243" spans="2:49">
      <c r="B243" s="225">
        <v>9</v>
      </c>
      <c r="C243" s="226">
        <v>3000000</v>
      </c>
      <c r="D243" s="227">
        <v>0</v>
      </c>
      <c r="E243" s="228">
        <v>0.27655195999999993</v>
      </c>
      <c r="G243" s="192" t="s">
        <v>4843</v>
      </c>
      <c r="H243" s="225">
        <v>9</v>
      </c>
      <c r="I243" s="226">
        <v>3000000</v>
      </c>
      <c r="J243" s="227">
        <v>0</v>
      </c>
      <c r="K243" s="228">
        <f t="shared" si="214"/>
        <v>0.25354606254121625</v>
      </c>
      <c r="O243" s="225">
        <v>9</v>
      </c>
      <c r="P243" s="226">
        <v>3000000</v>
      </c>
      <c r="Q243" s="227">
        <v>0</v>
      </c>
      <c r="R243" s="228"/>
      <c r="V243" s="225">
        <v>9</v>
      </c>
      <c r="W243" s="226">
        <v>3000000</v>
      </c>
      <c r="X243" s="227">
        <v>0</v>
      </c>
      <c r="Y243" s="758">
        <f t="shared" si="215"/>
        <v>0.27636520816992571</v>
      </c>
      <c r="Z243" s="231">
        <f t="shared" si="216"/>
        <v>1.0900000000000001</v>
      </c>
      <c r="AC243" s="225">
        <v>9</v>
      </c>
      <c r="AD243" s="226">
        <v>3000000</v>
      </c>
      <c r="AE243" s="227">
        <v>0</v>
      </c>
      <c r="AF243" s="227">
        <f t="shared" si="212"/>
        <v>0.27636520816992571</v>
      </c>
      <c r="AN243" s="225">
        <v>9</v>
      </c>
      <c r="AO243" s="226">
        <v>3000000</v>
      </c>
      <c r="AP243" s="227">
        <v>0</v>
      </c>
      <c r="AQ243" s="228">
        <v>3.6625999999999999</v>
      </c>
      <c r="AT243" s="225">
        <v>9</v>
      </c>
      <c r="AU243" s="226">
        <v>3000000</v>
      </c>
      <c r="AV243" s="227">
        <v>0</v>
      </c>
      <c r="AW243" s="228">
        <f t="shared" si="213"/>
        <v>3.3579143993897524</v>
      </c>
    </row>
    <row r="244" spans="2:49">
      <c r="B244" s="225">
        <v>10</v>
      </c>
      <c r="C244" s="226">
        <v>999999999</v>
      </c>
      <c r="D244" s="227">
        <v>0</v>
      </c>
      <c r="E244" s="228">
        <v>0.22585648000000003</v>
      </c>
      <c r="G244" s="192" t="s">
        <v>4844</v>
      </c>
      <c r="H244" s="225">
        <v>10</v>
      </c>
      <c r="I244" s="226">
        <v>999999999</v>
      </c>
      <c r="J244" s="227">
        <v>0</v>
      </c>
      <c r="K244" s="228">
        <f t="shared" si="214"/>
        <v>0.20706785518142407</v>
      </c>
      <c r="O244" s="225">
        <v>10</v>
      </c>
      <c r="P244" s="226">
        <v>999999999</v>
      </c>
      <c r="Q244" s="227">
        <v>0</v>
      </c>
      <c r="R244" s="228"/>
      <c r="V244" s="225">
        <v>10</v>
      </c>
      <c r="W244" s="226">
        <v>999999999</v>
      </c>
      <c r="X244" s="227">
        <v>0</v>
      </c>
      <c r="Y244" s="758">
        <f t="shared" si="215"/>
        <v>0.22570396214775224</v>
      </c>
      <c r="Z244" s="231">
        <f t="shared" si="216"/>
        <v>1.0900000000000001</v>
      </c>
      <c r="AC244" s="225">
        <v>10</v>
      </c>
      <c r="AD244" s="226">
        <v>999999999</v>
      </c>
      <c r="AE244" s="227">
        <v>0</v>
      </c>
      <c r="AF244" s="227">
        <f t="shared" si="212"/>
        <v>0.22570396214775224</v>
      </c>
      <c r="AN244" s="225">
        <v>10</v>
      </c>
      <c r="AO244" s="226">
        <v>999999999</v>
      </c>
      <c r="AP244" s="227">
        <v>0</v>
      </c>
      <c r="AQ244" s="228">
        <v>3.5988000000000002</v>
      </c>
      <c r="AT244" s="225">
        <v>10</v>
      </c>
      <c r="AU244" s="226">
        <v>999999999</v>
      </c>
      <c r="AV244" s="227">
        <v>0</v>
      </c>
      <c r="AW244" s="228">
        <f t="shared" si="213"/>
        <v>3.2994218152470491</v>
      </c>
    </row>
    <row r="245" spans="2:49">
      <c r="C245" s="226"/>
      <c r="G245" s="192"/>
      <c r="I245" s="226"/>
      <c r="P245" s="226"/>
      <c r="W245" s="226"/>
      <c r="AD245" s="226"/>
      <c r="AO245" s="226"/>
      <c r="AU245" s="226"/>
    </row>
    <row r="246" spans="2:49">
      <c r="B246" s="836" t="s">
        <v>109</v>
      </c>
      <c r="C246" s="837"/>
      <c r="D246" s="219"/>
      <c r="E246" s="220"/>
      <c r="H246" s="836" t="s">
        <v>109</v>
      </c>
      <c r="I246" s="837"/>
      <c r="J246" s="219"/>
      <c r="K246" s="220"/>
      <c r="O246" s="282" t="s">
        <v>109</v>
      </c>
      <c r="P246" s="283"/>
      <c r="Q246" s="219"/>
      <c r="R246" s="220"/>
      <c r="V246" s="282" t="s">
        <v>109</v>
      </c>
      <c r="W246" s="283"/>
      <c r="X246" s="219"/>
      <c r="Y246" s="220"/>
      <c r="AC246" s="282" t="s">
        <v>109</v>
      </c>
      <c r="AD246" s="283"/>
      <c r="AE246" s="219"/>
      <c r="AF246" s="220"/>
      <c r="AN246" s="836" t="s">
        <v>109</v>
      </c>
      <c r="AO246" s="837"/>
      <c r="AP246" s="219"/>
      <c r="AQ246" s="220"/>
      <c r="AT246" s="836" t="s">
        <v>109</v>
      </c>
      <c r="AU246" s="837"/>
      <c r="AV246" s="219"/>
      <c r="AW246" s="220"/>
    </row>
    <row r="247" spans="2:49">
      <c r="B247" s="838"/>
      <c r="C247" s="838"/>
      <c r="D247" s="219"/>
      <c r="E247" s="220"/>
      <c r="H247" s="838"/>
      <c r="I247" s="838"/>
      <c r="J247" s="219"/>
      <c r="K247" s="220"/>
      <c r="O247" s="284"/>
      <c r="P247" s="284"/>
      <c r="Q247" s="219"/>
      <c r="R247" s="220"/>
      <c r="V247" s="284"/>
      <c r="W247" s="284"/>
      <c r="X247" s="219"/>
      <c r="Y247" s="220"/>
      <c r="AC247" s="284"/>
      <c r="AD247" s="284"/>
      <c r="AE247" s="219"/>
      <c r="AF247" s="220"/>
      <c r="AN247" s="838"/>
      <c r="AO247" s="838"/>
      <c r="AP247" s="219"/>
      <c r="AQ247" s="220"/>
      <c r="AT247" s="838"/>
      <c r="AU247" s="838"/>
      <c r="AV247" s="219"/>
      <c r="AW247" s="220"/>
    </row>
    <row r="248" spans="2:49">
      <c r="B248" s="835" t="s">
        <v>4899</v>
      </c>
      <c r="C248" s="835"/>
      <c r="D248" s="224" t="s">
        <v>4901</v>
      </c>
      <c r="E248" s="224"/>
      <c r="H248" s="835" t="s">
        <v>4899</v>
      </c>
      <c r="I248" s="835"/>
      <c r="J248" s="224" t="s">
        <v>4901</v>
      </c>
      <c r="K248" s="224"/>
      <c r="O248" s="285" t="s">
        <v>4899</v>
      </c>
      <c r="P248" s="285"/>
      <c r="Q248" s="224" t="s">
        <v>4901</v>
      </c>
      <c r="R248" s="224"/>
      <c r="V248" s="285" t="s">
        <v>4899</v>
      </c>
      <c r="W248" s="285"/>
      <c r="X248" s="224" t="s">
        <v>4901</v>
      </c>
      <c r="Y248" s="224"/>
      <c r="AC248" s="285" t="s">
        <v>4899</v>
      </c>
      <c r="AD248" s="285"/>
      <c r="AE248" s="224" t="s">
        <v>4901</v>
      </c>
      <c r="AF248" s="224"/>
      <c r="AN248" s="835" t="s">
        <v>4899</v>
      </c>
      <c r="AO248" s="835"/>
      <c r="AP248" s="224" t="s">
        <v>4901</v>
      </c>
      <c r="AQ248" s="224"/>
      <c r="AT248" s="835" t="s">
        <v>4899</v>
      </c>
      <c r="AU248" s="835"/>
      <c r="AV248" s="224" t="s">
        <v>4901</v>
      </c>
      <c r="AW248" s="224"/>
    </row>
    <row r="249" spans="2:49">
      <c r="B249" s="835"/>
      <c r="C249" s="835"/>
      <c r="D249" s="223" t="s">
        <v>4902</v>
      </c>
      <c r="E249" s="223" t="s">
        <v>4903</v>
      </c>
      <c r="H249" s="835"/>
      <c r="I249" s="835"/>
      <c r="J249" s="223" t="s">
        <v>4902</v>
      </c>
      <c r="K249" s="223" t="s">
        <v>4903</v>
      </c>
      <c r="O249" s="285"/>
      <c r="P249" s="285"/>
      <c r="Q249" s="223" t="s">
        <v>4902</v>
      </c>
      <c r="R249" s="223" t="s">
        <v>4903</v>
      </c>
      <c r="V249" s="285"/>
      <c r="W249" s="285"/>
      <c r="X249" s="223" t="s">
        <v>4902</v>
      </c>
      <c r="Y249" s="223" t="s">
        <v>4903</v>
      </c>
      <c r="AC249" s="285"/>
      <c r="AD249" s="285"/>
      <c r="AE249" s="223" t="s">
        <v>4902</v>
      </c>
      <c r="AF249" s="223" t="s">
        <v>4903</v>
      </c>
      <c r="AN249" s="835"/>
      <c r="AO249" s="835"/>
      <c r="AP249" s="223" t="s">
        <v>4902</v>
      </c>
      <c r="AQ249" s="223" t="s">
        <v>4903</v>
      </c>
      <c r="AT249" s="835"/>
      <c r="AU249" s="835"/>
      <c r="AV249" s="223" t="s">
        <v>4902</v>
      </c>
      <c r="AW249" s="223" t="s">
        <v>4903</v>
      </c>
    </row>
    <row r="250" spans="2:49">
      <c r="B250" s="225">
        <v>1</v>
      </c>
      <c r="C250" s="226">
        <v>200</v>
      </c>
      <c r="D250" s="227">
        <v>0</v>
      </c>
      <c r="E250" s="228">
        <v>0.43952442000000014</v>
      </c>
      <c r="G250" s="192" t="s">
        <v>4851</v>
      </c>
      <c r="H250" s="225">
        <v>1</v>
      </c>
      <c r="I250" s="226">
        <v>200</v>
      </c>
      <c r="J250" s="227">
        <v>0</v>
      </c>
      <c r="K250" s="228">
        <f>E250*$K$1</f>
        <v>0.40296111472763335</v>
      </c>
      <c r="O250" s="225">
        <v>1</v>
      </c>
      <c r="P250" s="226">
        <v>200</v>
      </c>
      <c r="Q250" s="227">
        <v>0</v>
      </c>
      <c r="R250" s="228"/>
      <c r="V250" s="225">
        <v>1</v>
      </c>
      <c r="W250" s="226">
        <v>200</v>
      </c>
      <c r="X250" s="227">
        <v>0</v>
      </c>
      <c r="Y250" s="758">
        <f>K250*Z250</f>
        <v>0.43922761505312041</v>
      </c>
      <c r="Z250" s="231">
        <f>$Y$1</f>
        <v>1.0900000000000001</v>
      </c>
      <c r="AC250" s="225">
        <v>1</v>
      </c>
      <c r="AD250" s="226">
        <v>200</v>
      </c>
      <c r="AE250" s="227">
        <v>0</v>
      </c>
      <c r="AF250" s="227">
        <f t="shared" ref="AF250:AF259" si="217">Y250+R250</f>
        <v>0.43922761505312041</v>
      </c>
      <c r="AN250" s="225">
        <v>1</v>
      </c>
      <c r="AO250" s="226">
        <v>200</v>
      </c>
      <c r="AP250" s="227">
        <v>0</v>
      </c>
      <c r="AQ250" s="228">
        <v>3.8677000000000001</v>
      </c>
      <c r="AT250" s="225">
        <v>1</v>
      </c>
      <c r="AU250" s="226">
        <v>200</v>
      </c>
      <c r="AV250" s="227">
        <v>0</v>
      </c>
      <c r="AW250" s="228">
        <f t="shared" ref="AW250:AW259" si="218">AQ250*$AW$1</f>
        <v>3.5459524716102626</v>
      </c>
    </row>
    <row r="251" spans="2:49">
      <c r="B251" s="225">
        <v>2</v>
      </c>
      <c r="C251" s="226">
        <v>2000</v>
      </c>
      <c r="D251" s="227">
        <v>0</v>
      </c>
      <c r="E251" s="228">
        <v>0.27901522000000023</v>
      </c>
      <c r="G251" s="192" t="s">
        <v>4852</v>
      </c>
      <c r="H251" s="225">
        <v>2</v>
      </c>
      <c r="I251" s="226">
        <v>2000</v>
      </c>
      <c r="J251" s="227">
        <v>0</v>
      </c>
      <c r="K251" s="228">
        <f t="shared" ref="K251:K259" si="219">E251*$K$1</f>
        <v>0.25580440803988985</v>
      </c>
      <c r="O251" s="225">
        <v>2</v>
      </c>
      <c r="P251" s="226">
        <v>2000</v>
      </c>
      <c r="Q251" s="227">
        <v>0</v>
      </c>
      <c r="R251" s="228"/>
      <c r="V251" s="225">
        <v>2</v>
      </c>
      <c r="W251" s="226">
        <v>2000</v>
      </c>
      <c r="X251" s="227">
        <v>0</v>
      </c>
      <c r="Y251" s="758">
        <f t="shared" ref="Y251:Y259" si="220">K251*Z251</f>
        <v>0.27882680476347999</v>
      </c>
      <c r="Z251" s="231">
        <f t="shared" ref="Z251:Z259" si="221">$Y$1</f>
        <v>1.0900000000000001</v>
      </c>
      <c r="AC251" s="225">
        <v>2</v>
      </c>
      <c r="AD251" s="226">
        <v>2000</v>
      </c>
      <c r="AE251" s="227">
        <v>0</v>
      </c>
      <c r="AF251" s="227">
        <f t="shared" si="217"/>
        <v>0.27882680476347999</v>
      </c>
      <c r="AN251" s="225">
        <v>2</v>
      </c>
      <c r="AO251" s="226">
        <v>2000</v>
      </c>
      <c r="AP251" s="227">
        <v>0</v>
      </c>
      <c r="AQ251" s="228">
        <v>3.6657000000000002</v>
      </c>
      <c r="AT251" s="225">
        <v>2</v>
      </c>
      <c r="AU251" s="226">
        <v>2000</v>
      </c>
      <c r="AV251" s="227">
        <v>0</v>
      </c>
      <c r="AW251" s="228">
        <f t="shared" si="218"/>
        <v>3.3607565155471568</v>
      </c>
    </row>
    <row r="252" spans="2:49">
      <c r="B252" s="225">
        <v>3</v>
      </c>
      <c r="C252" s="226">
        <v>10000</v>
      </c>
      <c r="D252" s="227">
        <v>0</v>
      </c>
      <c r="E252" s="228">
        <v>0.25422369999999983</v>
      </c>
      <c r="G252" s="192" t="s">
        <v>4853</v>
      </c>
      <c r="H252" s="225">
        <v>3</v>
      </c>
      <c r="I252" s="226">
        <v>10000</v>
      </c>
      <c r="J252" s="227">
        <v>0</v>
      </c>
      <c r="K252" s="228">
        <f t="shared" si="219"/>
        <v>0.23307525334356471</v>
      </c>
      <c r="O252" s="225">
        <v>3</v>
      </c>
      <c r="P252" s="226">
        <v>10000</v>
      </c>
      <c r="Q252" s="227">
        <v>0</v>
      </c>
      <c r="R252" s="228"/>
      <c r="V252" s="225">
        <v>3</v>
      </c>
      <c r="W252" s="226">
        <v>10000</v>
      </c>
      <c r="X252" s="227">
        <v>0</v>
      </c>
      <c r="Y252" s="758">
        <f t="shared" si="220"/>
        <v>0.25405202614448558</v>
      </c>
      <c r="Z252" s="231">
        <f t="shared" si="221"/>
        <v>1.0900000000000001</v>
      </c>
      <c r="AC252" s="225">
        <v>3</v>
      </c>
      <c r="AD252" s="226">
        <v>10000</v>
      </c>
      <c r="AE252" s="227">
        <v>0</v>
      </c>
      <c r="AF252" s="227">
        <f t="shared" si="217"/>
        <v>0.25405202614448558</v>
      </c>
      <c r="AN252" s="225">
        <v>3</v>
      </c>
      <c r="AO252" s="226">
        <v>10000</v>
      </c>
      <c r="AP252" s="227">
        <v>0</v>
      </c>
      <c r="AQ252" s="228">
        <v>3.6345000000000001</v>
      </c>
      <c r="AT252" s="225">
        <v>3</v>
      </c>
      <c r="AU252" s="226">
        <v>10000</v>
      </c>
      <c r="AV252" s="227">
        <v>0</v>
      </c>
      <c r="AW252" s="228">
        <f t="shared" si="218"/>
        <v>3.3321519916403801</v>
      </c>
    </row>
    <row r="253" spans="2:49">
      <c r="B253" s="225">
        <v>4</v>
      </c>
      <c r="C253" s="226">
        <v>50000</v>
      </c>
      <c r="D253" s="227">
        <v>0</v>
      </c>
      <c r="E253" s="228">
        <v>0.21886399999999995</v>
      </c>
      <c r="G253" s="192" t="s">
        <v>4854</v>
      </c>
      <c r="H253" s="225">
        <v>4</v>
      </c>
      <c r="I253" s="226">
        <v>50000</v>
      </c>
      <c r="J253" s="227">
        <v>0</v>
      </c>
      <c r="K253" s="228">
        <f t="shared" si="219"/>
        <v>0.20065706795938368</v>
      </c>
      <c r="O253" s="225">
        <v>4</v>
      </c>
      <c r="P253" s="226">
        <v>50000</v>
      </c>
      <c r="Q253" s="227">
        <v>0</v>
      </c>
      <c r="R253" s="228"/>
      <c r="V253" s="225">
        <v>4</v>
      </c>
      <c r="W253" s="226">
        <v>50000</v>
      </c>
      <c r="X253" s="227">
        <v>0</v>
      </c>
      <c r="Y253" s="758">
        <f t="shared" si="220"/>
        <v>0.21871620407572823</v>
      </c>
      <c r="Z253" s="231">
        <f t="shared" si="221"/>
        <v>1.0900000000000001</v>
      </c>
      <c r="AC253" s="225">
        <v>4</v>
      </c>
      <c r="AD253" s="226">
        <v>50000</v>
      </c>
      <c r="AE253" s="227">
        <v>0</v>
      </c>
      <c r="AF253" s="227">
        <f t="shared" si="217"/>
        <v>0.21871620407572823</v>
      </c>
      <c r="AN253" s="225">
        <v>4</v>
      </c>
      <c r="AO253" s="226">
        <v>50000</v>
      </c>
      <c r="AP253" s="227">
        <v>0</v>
      </c>
      <c r="AQ253" s="228">
        <v>3.59</v>
      </c>
      <c r="AT253" s="225">
        <v>4</v>
      </c>
      <c r="AU253" s="226">
        <v>50000</v>
      </c>
      <c r="AV253" s="227">
        <v>0</v>
      </c>
      <c r="AW253" s="228">
        <f t="shared" si="218"/>
        <v>3.2913538726066762</v>
      </c>
    </row>
    <row r="254" spans="2:49">
      <c r="B254" s="225">
        <v>5</v>
      </c>
      <c r="C254" s="226">
        <v>100000</v>
      </c>
      <c r="D254" s="227">
        <v>0</v>
      </c>
      <c r="E254" s="228">
        <v>0.20543525999999979</v>
      </c>
      <c r="G254" s="192" t="s">
        <v>4855</v>
      </c>
      <c r="H254" s="225">
        <v>5</v>
      </c>
      <c r="I254" s="226">
        <v>100000</v>
      </c>
      <c r="J254" s="227">
        <v>0</v>
      </c>
      <c r="K254" s="228">
        <f t="shared" si="219"/>
        <v>0.1883454424988743</v>
      </c>
      <c r="O254" s="225">
        <v>5</v>
      </c>
      <c r="P254" s="226">
        <v>100000</v>
      </c>
      <c r="Q254" s="227">
        <v>0</v>
      </c>
      <c r="R254" s="228"/>
      <c r="V254" s="225">
        <v>5</v>
      </c>
      <c r="W254" s="226">
        <v>100000</v>
      </c>
      <c r="X254" s="227">
        <v>0</v>
      </c>
      <c r="Y254" s="758">
        <f t="shared" si="220"/>
        <v>0.20529653232377301</v>
      </c>
      <c r="Z254" s="231">
        <f t="shared" si="221"/>
        <v>1.0900000000000001</v>
      </c>
      <c r="AC254" s="225">
        <v>5</v>
      </c>
      <c r="AD254" s="226">
        <v>100000</v>
      </c>
      <c r="AE254" s="227">
        <v>0</v>
      </c>
      <c r="AF254" s="227">
        <f t="shared" si="217"/>
        <v>0.20529653232377301</v>
      </c>
      <c r="AN254" s="225">
        <v>5</v>
      </c>
      <c r="AO254" s="226">
        <v>100000</v>
      </c>
      <c r="AP254" s="227">
        <v>0</v>
      </c>
      <c r="AQ254" s="228">
        <v>3.5731000000000002</v>
      </c>
      <c r="AT254" s="225">
        <v>5</v>
      </c>
      <c r="AU254" s="226">
        <v>100000</v>
      </c>
      <c r="AV254" s="227">
        <v>0</v>
      </c>
      <c r="AW254" s="228">
        <f t="shared" si="218"/>
        <v>3.2758597554905058</v>
      </c>
    </row>
    <row r="255" spans="2:49">
      <c r="B255" s="225">
        <v>6</v>
      </c>
      <c r="C255" s="226">
        <v>300000</v>
      </c>
      <c r="D255" s="227">
        <v>0</v>
      </c>
      <c r="E255" s="228">
        <v>0.19097353999999989</v>
      </c>
      <c r="G255" s="192" t="s">
        <v>4856</v>
      </c>
      <c r="H255" s="225">
        <v>6</v>
      </c>
      <c r="I255" s="226">
        <v>300000</v>
      </c>
      <c r="J255" s="227">
        <v>0</v>
      </c>
      <c r="K255" s="228">
        <f t="shared" si="219"/>
        <v>0.17508676892601827</v>
      </c>
      <c r="O255" s="225">
        <v>6</v>
      </c>
      <c r="P255" s="226">
        <v>300000</v>
      </c>
      <c r="Q255" s="227">
        <v>0</v>
      </c>
      <c r="R255" s="228"/>
      <c r="V255" s="225">
        <v>6</v>
      </c>
      <c r="W255" s="226">
        <v>300000</v>
      </c>
      <c r="X255" s="227">
        <v>0</v>
      </c>
      <c r="Y255" s="758">
        <f t="shared" si="220"/>
        <v>0.19084457812935993</v>
      </c>
      <c r="Z255" s="231">
        <f t="shared" si="221"/>
        <v>1.0900000000000001</v>
      </c>
      <c r="AC255" s="225">
        <v>6</v>
      </c>
      <c r="AD255" s="226">
        <v>300000</v>
      </c>
      <c r="AE255" s="227">
        <v>0</v>
      </c>
      <c r="AF255" s="227">
        <f t="shared" si="217"/>
        <v>0.19084457812935993</v>
      </c>
      <c r="AN255" s="225">
        <v>6</v>
      </c>
      <c r="AO255" s="226">
        <v>300000</v>
      </c>
      <c r="AP255" s="227">
        <v>0</v>
      </c>
      <c r="AQ255" s="228">
        <v>3.5548999999999999</v>
      </c>
      <c r="AT255" s="225">
        <v>6</v>
      </c>
      <c r="AU255" s="226">
        <v>300000</v>
      </c>
      <c r="AV255" s="227">
        <v>0</v>
      </c>
      <c r="AW255" s="228">
        <f t="shared" si="218"/>
        <v>3.2591737832115526</v>
      </c>
    </row>
    <row r="256" spans="2:49">
      <c r="B256" s="225">
        <v>7</v>
      </c>
      <c r="C256" s="226">
        <v>600000</v>
      </c>
      <c r="D256" s="227">
        <v>0</v>
      </c>
      <c r="E256" s="228">
        <v>0.17381017999999981</v>
      </c>
      <c r="G256" s="192" t="s">
        <v>4857</v>
      </c>
      <c r="H256" s="225">
        <v>7</v>
      </c>
      <c r="I256" s="226">
        <v>600000</v>
      </c>
      <c r="J256" s="227">
        <v>0</v>
      </c>
      <c r="K256" s="228">
        <f t="shared" si="219"/>
        <v>0.15935120029010108</v>
      </c>
      <c r="O256" s="225">
        <v>7</v>
      </c>
      <c r="P256" s="226">
        <v>600000</v>
      </c>
      <c r="Q256" s="227">
        <v>0</v>
      </c>
      <c r="R256" s="228"/>
      <c r="V256" s="225">
        <v>7</v>
      </c>
      <c r="W256" s="226">
        <v>600000</v>
      </c>
      <c r="X256" s="227">
        <v>0</v>
      </c>
      <c r="Y256" s="758">
        <f t="shared" si="220"/>
        <v>0.1736928083162102</v>
      </c>
      <c r="Z256" s="231">
        <f t="shared" si="221"/>
        <v>1.0900000000000001</v>
      </c>
      <c r="AC256" s="225">
        <v>7</v>
      </c>
      <c r="AD256" s="226">
        <v>600000</v>
      </c>
      <c r="AE256" s="227">
        <v>0</v>
      </c>
      <c r="AF256" s="227">
        <f t="shared" si="217"/>
        <v>0.1736928083162102</v>
      </c>
      <c r="AN256" s="225">
        <v>7</v>
      </c>
      <c r="AO256" s="226">
        <v>600000</v>
      </c>
      <c r="AP256" s="227">
        <v>0</v>
      </c>
      <c r="AQ256" s="228">
        <v>3.5333000000000001</v>
      </c>
      <c r="AT256" s="225">
        <v>7</v>
      </c>
      <c r="AU256" s="226">
        <v>600000</v>
      </c>
      <c r="AV256" s="227">
        <v>0</v>
      </c>
      <c r="AW256" s="228">
        <f t="shared" si="218"/>
        <v>3.2393706512760918</v>
      </c>
    </row>
    <row r="257" spans="2:49">
      <c r="B257" s="225">
        <v>8</v>
      </c>
      <c r="C257" s="226">
        <v>1500000</v>
      </c>
      <c r="D257" s="227">
        <v>0</v>
      </c>
      <c r="E257" s="228">
        <v>0.17301557999999995</v>
      </c>
      <c r="G257" s="192" t="s">
        <v>4858</v>
      </c>
      <c r="H257" s="225">
        <v>8</v>
      </c>
      <c r="I257" s="226">
        <v>1500000</v>
      </c>
      <c r="J257" s="227">
        <v>0</v>
      </c>
      <c r="K257" s="228">
        <f t="shared" si="219"/>
        <v>0.15862270174214207</v>
      </c>
      <c r="O257" s="225">
        <v>8</v>
      </c>
      <c r="P257" s="226">
        <v>1500000</v>
      </c>
      <c r="Q257" s="227">
        <v>0</v>
      </c>
      <c r="R257" s="228"/>
      <c r="V257" s="225">
        <v>8</v>
      </c>
      <c r="W257" s="226">
        <v>1500000</v>
      </c>
      <c r="X257" s="227">
        <v>0</v>
      </c>
      <c r="Y257" s="758">
        <f t="shared" si="220"/>
        <v>0.17289874489893486</v>
      </c>
      <c r="Z257" s="231">
        <f t="shared" si="221"/>
        <v>1.0900000000000001</v>
      </c>
      <c r="AC257" s="225">
        <v>8</v>
      </c>
      <c r="AD257" s="226">
        <v>1500000</v>
      </c>
      <c r="AE257" s="227">
        <v>0</v>
      </c>
      <c r="AF257" s="227">
        <f t="shared" si="217"/>
        <v>0.17289874489893486</v>
      </c>
      <c r="AN257" s="225">
        <v>8</v>
      </c>
      <c r="AO257" s="226">
        <v>1500000</v>
      </c>
      <c r="AP257" s="227">
        <v>0</v>
      </c>
      <c r="AQ257" s="228">
        <v>3.5323000000000002</v>
      </c>
      <c r="AT257" s="225">
        <v>8</v>
      </c>
      <c r="AU257" s="226">
        <v>1500000</v>
      </c>
      <c r="AV257" s="227">
        <v>0</v>
      </c>
      <c r="AW257" s="228">
        <f t="shared" si="218"/>
        <v>3.2384538396124132</v>
      </c>
    </row>
    <row r="258" spans="2:49">
      <c r="B258" s="225">
        <v>9</v>
      </c>
      <c r="C258" s="226">
        <v>3000000</v>
      </c>
      <c r="D258" s="227">
        <v>0</v>
      </c>
      <c r="E258" s="228">
        <v>0.17198259999999976</v>
      </c>
      <c r="G258" s="192" t="s">
        <v>4859</v>
      </c>
      <c r="H258" s="225">
        <v>9</v>
      </c>
      <c r="I258" s="226">
        <v>3000000</v>
      </c>
      <c r="J258" s="227">
        <v>0</v>
      </c>
      <c r="K258" s="228">
        <f t="shared" si="219"/>
        <v>0.15767565362979505</v>
      </c>
      <c r="O258" s="225">
        <v>9</v>
      </c>
      <c r="P258" s="226">
        <v>3000000</v>
      </c>
      <c r="Q258" s="227">
        <v>0</v>
      </c>
      <c r="R258" s="228"/>
      <c r="V258" s="225">
        <v>9</v>
      </c>
      <c r="W258" s="226">
        <v>3000000</v>
      </c>
      <c r="X258" s="227">
        <v>0</v>
      </c>
      <c r="Y258" s="758">
        <f t="shared" si="220"/>
        <v>0.1718664624564766</v>
      </c>
      <c r="Z258" s="231">
        <f t="shared" si="221"/>
        <v>1.0900000000000001</v>
      </c>
      <c r="AC258" s="225">
        <v>9</v>
      </c>
      <c r="AD258" s="226">
        <v>3000000</v>
      </c>
      <c r="AE258" s="227">
        <v>0</v>
      </c>
      <c r="AF258" s="227">
        <f t="shared" si="217"/>
        <v>0.1718664624564766</v>
      </c>
      <c r="AN258" s="225">
        <v>9</v>
      </c>
      <c r="AO258" s="226">
        <v>3000000</v>
      </c>
      <c r="AP258" s="227">
        <v>0</v>
      </c>
      <c r="AQ258" s="228">
        <v>3.5310000000000001</v>
      </c>
      <c r="AT258" s="225">
        <v>9</v>
      </c>
      <c r="AU258" s="226">
        <v>3000000</v>
      </c>
      <c r="AV258" s="227">
        <v>0</v>
      </c>
      <c r="AW258" s="228">
        <f t="shared" si="218"/>
        <v>3.2372619844496309</v>
      </c>
    </row>
    <row r="259" spans="2:49">
      <c r="B259" s="225">
        <v>10</v>
      </c>
      <c r="C259" s="226">
        <v>999999999</v>
      </c>
      <c r="D259" s="227">
        <v>0</v>
      </c>
      <c r="E259" s="228">
        <v>0.16729445999999992</v>
      </c>
      <c r="G259" s="192" t="s">
        <v>4860</v>
      </c>
      <c r="H259" s="225">
        <v>10</v>
      </c>
      <c r="I259" s="226">
        <v>999999999</v>
      </c>
      <c r="J259" s="227">
        <v>0</v>
      </c>
      <c r="K259" s="228">
        <f t="shared" si="219"/>
        <v>0.15337751219683635</v>
      </c>
      <c r="O259" s="225">
        <v>10</v>
      </c>
      <c r="P259" s="226">
        <v>999999999</v>
      </c>
      <c r="Q259" s="227">
        <v>0</v>
      </c>
      <c r="R259" s="228"/>
      <c r="V259" s="225">
        <v>10</v>
      </c>
      <c r="W259" s="226">
        <v>999999999</v>
      </c>
      <c r="X259" s="227">
        <v>0</v>
      </c>
      <c r="Y259" s="758">
        <f t="shared" si="220"/>
        <v>0.16718148829455162</v>
      </c>
      <c r="Z259" s="231">
        <f t="shared" si="221"/>
        <v>1.0900000000000001</v>
      </c>
      <c r="AC259" s="225">
        <v>10</v>
      </c>
      <c r="AD259" s="226">
        <v>999999999</v>
      </c>
      <c r="AE259" s="227">
        <v>0</v>
      </c>
      <c r="AF259" s="227">
        <f t="shared" si="217"/>
        <v>0.16718148829455162</v>
      </c>
      <c r="AN259" s="225">
        <v>10</v>
      </c>
      <c r="AO259" s="226">
        <v>999999999</v>
      </c>
      <c r="AP259" s="227">
        <v>0</v>
      </c>
      <c r="AQ259" s="228">
        <v>3.5251000000000001</v>
      </c>
      <c r="AT259" s="225">
        <v>10</v>
      </c>
      <c r="AU259" s="226">
        <v>999999999</v>
      </c>
      <c r="AV259" s="227">
        <v>0</v>
      </c>
      <c r="AW259" s="228">
        <f t="shared" si="218"/>
        <v>3.2318527956339262</v>
      </c>
    </row>
    <row r="261" spans="2:49">
      <c r="B261" s="836" t="s">
        <v>108</v>
      </c>
      <c r="C261" s="837"/>
      <c r="D261" s="219"/>
      <c r="E261" s="220"/>
      <c r="H261" s="836" t="s">
        <v>108</v>
      </c>
      <c r="I261" s="837"/>
      <c r="J261" s="219"/>
      <c r="K261" s="220"/>
      <c r="O261" s="282" t="s">
        <v>108</v>
      </c>
      <c r="P261" s="283"/>
      <c r="Q261" s="219"/>
      <c r="R261" s="220"/>
      <c r="V261" s="282" t="s">
        <v>108</v>
      </c>
      <c r="W261" s="283"/>
      <c r="X261" s="219"/>
      <c r="Y261" s="220"/>
      <c r="AC261" s="282" t="s">
        <v>108</v>
      </c>
      <c r="AD261" s="283"/>
      <c r="AE261" s="219"/>
      <c r="AF261" s="220"/>
      <c r="AN261" s="836" t="s">
        <v>108</v>
      </c>
      <c r="AO261" s="837"/>
      <c r="AP261" s="219"/>
      <c r="AQ261" s="220"/>
      <c r="AT261" s="836" t="s">
        <v>108</v>
      </c>
      <c r="AU261" s="837"/>
      <c r="AV261" s="219"/>
      <c r="AW261" s="220"/>
    </row>
    <row r="262" spans="2:49">
      <c r="B262" s="838"/>
      <c r="C262" s="838"/>
      <c r="D262" s="219"/>
      <c r="E262" s="220"/>
      <c r="H262" s="838"/>
      <c r="I262" s="838"/>
      <c r="J262" s="219"/>
      <c r="K262" s="220"/>
      <c r="O262" s="284"/>
      <c r="P262" s="284"/>
      <c r="Q262" s="219"/>
      <c r="R262" s="220"/>
      <c r="V262" s="284"/>
      <c r="W262" s="284"/>
      <c r="X262" s="219"/>
      <c r="Y262" s="220"/>
      <c r="AC262" s="284"/>
      <c r="AD262" s="284"/>
      <c r="AE262" s="219"/>
      <c r="AF262" s="220"/>
      <c r="AN262" s="838"/>
      <c r="AO262" s="838"/>
      <c r="AP262" s="219"/>
      <c r="AQ262" s="220"/>
      <c r="AT262" s="838"/>
      <c r="AU262" s="838"/>
      <c r="AV262" s="219"/>
      <c r="AW262" s="220"/>
    </row>
    <row r="263" spans="2:49">
      <c r="B263" s="835" t="s">
        <v>4899</v>
      </c>
      <c r="C263" s="835"/>
      <c r="D263" s="224" t="s">
        <v>4901</v>
      </c>
      <c r="E263" s="224"/>
      <c r="H263" s="835" t="s">
        <v>4899</v>
      </c>
      <c r="I263" s="835"/>
      <c r="J263" s="224" t="s">
        <v>4901</v>
      </c>
      <c r="K263" s="224"/>
      <c r="O263" s="285" t="s">
        <v>4899</v>
      </c>
      <c r="P263" s="285"/>
      <c r="Q263" s="224" t="s">
        <v>4901</v>
      </c>
      <c r="R263" s="224"/>
      <c r="V263" s="285" t="s">
        <v>4899</v>
      </c>
      <c r="W263" s="285"/>
      <c r="X263" s="224" t="s">
        <v>4901</v>
      </c>
      <c r="Y263" s="224"/>
      <c r="AC263" s="285" t="s">
        <v>4899</v>
      </c>
      <c r="AD263" s="285"/>
      <c r="AE263" s="224" t="s">
        <v>4901</v>
      </c>
      <c r="AF263" s="224"/>
      <c r="AN263" s="835" t="s">
        <v>4899</v>
      </c>
      <c r="AO263" s="835"/>
      <c r="AP263" s="224" t="s">
        <v>4901</v>
      </c>
      <c r="AQ263" s="224"/>
      <c r="AT263" s="835" t="s">
        <v>4899</v>
      </c>
      <c r="AU263" s="835"/>
      <c r="AV263" s="224" t="s">
        <v>4901</v>
      </c>
      <c r="AW263" s="224"/>
    </row>
    <row r="264" spans="2:49">
      <c r="B264" s="835"/>
      <c r="C264" s="835"/>
      <c r="D264" s="223" t="s">
        <v>4902</v>
      </c>
      <c r="E264" s="223" t="s">
        <v>4903</v>
      </c>
      <c r="H264" s="835"/>
      <c r="I264" s="835"/>
      <c r="J264" s="223" t="s">
        <v>4902</v>
      </c>
      <c r="K264" s="223" t="s">
        <v>4903</v>
      </c>
      <c r="O264" s="285"/>
      <c r="P264" s="285"/>
      <c r="Q264" s="223" t="s">
        <v>4902</v>
      </c>
      <c r="R264" s="223" t="s">
        <v>4903</v>
      </c>
      <c r="V264" s="285"/>
      <c r="W264" s="285"/>
      <c r="X264" s="223" t="s">
        <v>4902</v>
      </c>
      <c r="Y264" s="223" t="s">
        <v>4903</v>
      </c>
      <c r="AC264" s="285"/>
      <c r="AD264" s="285"/>
      <c r="AE264" s="223" t="s">
        <v>4902</v>
      </c>
      <c r="AF264" s="223" t="s">
        <v>4903</v>
      </c>
      <c r="AN264" s="835"/>
      <c r="AO264" s="835"/>
      <c r="AP264" s="223" t="s">
        <v>4902</v>
      </c>
      <c r="AQ264" s="223" t="s">
        <v>4903</v>
      </c>
      <c r="AT264" s="835"/>
      <c r="AU264" s="835"/>
      <c r="AV264" s="223" t="s">
        <v>4902</v>
      </c>
      <c r="AW264" s="223" t="s">
        <v>4903</v>
      </c>
    </row>
    <row r="265" spans="2:49">
      <c r="B265" s="225">
        <v>1</v>
      </c>
      <c r="C265" s="226">
        <v>200</v>
      </c>
      <c r="D265" s="227">
        <v>0</v>
      </c>
      <c r="E265" s="228">
        <v>0.66074105999999944</v>
      </c>
      <c r="G265" s="192" t="s">
        <v>4845</v>
      </c>
      <c r="H265" s="225">
        <v>1</v>
      </c>
      <c r="I265" s="226">
        <v>200</v>
      </c>
      <c r="J265" s="227">
        <v>0</v>
      </c>
      <c r="K265" s="228">
        <f>E265*$K$1</f>
        <v>0.60577511047945354</v>
      </c>
      <c r="O265" s="225">
        <v>1</v>
      </c>
      <c r="P265" s="226">
        <v>200</v>
      </c>
      <c r="Q265" s="227">
        <v>0</v>
      </c>
      <c r="R265" s="228"/>
      <c r="V265" s="225">
        <v>1</v>
      </c>
      <c r="W265" s="226">
        <v>200</v>
      </c>
      <c r="X265" s="227">
        <v>0</v>
      </c>
      <c r="Y265" s="758">
        <f>K265*Z265</f>
        <v>0.66029487042260437</v>
      </c>
      <c r="Z265" s="231">
        <f>$Y$1</f>
        <v>1.0900000000000001</v>
      </c>
      <c r="AC265" s="225">
        <v>1</v>
      </c>
      <c r="AD265" s="226">
        <v>200</v>
      </c>
      <c r="AE265" s="227">
        <v>0</v>
      </c>
      <c r="AF265" s="227">
        <f t="shared" ref="AF265:AF270" si="222">Y265+R265</f>
        <v>0.66029487042260437</v>
      </c>
      <c r="AN265" s="225">
        <v>1</v>
      </c>
      <c r="AO265" s="226">
        <v>200</v>
      </c>
      <c r="AP265" s="227">
        <v>0</v>
      </c>
      <c r="AQ265" s="228">
        <v>4.1460999999999997</v>
      </c>
      <c r="AT265" s="225">
        <v>1</v>
      </c>
      <c r="AU265" s="226">
        <v>200</v>
      </c>
      <c r="AV265" s="227">
        <v>0</v>
      </c>
      <c r="AW265" s="228">
        <f t="shared" ref="AW265:AW270" si="223">AQ265*$AW$1</f>
        <v>3.8011928387784231</v>
      </c>
    </row>
    <row r="266" spans="2:49">
      <c r="B266" s="225">
        <v>2</v>
      </c>
      <c r="C266" s="226">
        <v>2000</v>
      </c>
      <c r="D266" s="227">
        <v>0</v>
      </c>
      <c r="E266" s="228">
        <v>0.29617857999999986</v>
      </c>
      <c r="G266" s="192" t="s">
        <v>4846</v>
      </c>
      <c r="H266" s="225">
        <v>2</v>
      </c>
      <c r="I266" s="226">
        <v>2000</v>
      </c>
      <c r="J266" s="227">
        <v>0</v>
      </c>
      <c r="K266" s="228">
        <f t="shared" ref="K266:K270" si="224">E266*$K$1</f>
        <v>0.27153997667580665</v>
      </c>
      <c r="O266" s="225">
        <v>2</v>
      </c>
      <c r="P266" s="226">
        <v>2000</v>
      </c>
      <c r="Q266" s="227">
        <v>0</v>
      </c>
      <c r="R266" s="228"/>
      <c r="V266" s="225">
        <v>2</v>
      </c>
      <c r="W266" s="226">
        <v>2000</v>
      </c>
      <c r="X266" s="227">
        <v>0</v>
      </c>
      <c r="Y266" s="758">
        <f t="shared" ref="Y266:Y270" si="225">K266*Z266</f>
        <v>0.29597857457662929</v>
      </c>
      <c r="Z266" s="231">
        <f t="shared" ref="Z266:Z270" si="226">$Y$1</f>
        <v>1.0900000000000001</v>
      </c>
      <c r="AC266" s="225">
        <v>2</v>
      </c>
      <c r="AD266" s="226">
        <v>2000</v>
      </c>
      <c r="AE266" s="227">
        <v>0</v>
      </c>
      <c r="AF266" s="227">
        <f t="shared" si="222"/>
        <v>0.29597857457662929</v>
      </c>
      <c r="AN266" s="225">
        <v>2</v>
      </c>
      <c r="AO266" s="226">
        <v>2000</v>
      </c>
      <c r="AP266" s="227">
        <v>0</v>
      </c>
      <c r="AQ266" s="228">
        <v>3.6873</v>
      </c>
      <c r="AT266" s="225">
        <v>2</v>
      </c>
      <c r="AU266" s="226">
        <v>2000</v>
      </c>
      <c r="AV266" s="227">
        <v>0</v>
      </c>
      <c r="AW266" s="228">
        <f t="shared" si="223"/>
        <v>3.3805596474826176</v>
      </c>
    </row>
    <row r="267" spans="2:49">
      <c r="B267" s="225">
        <v>3</v>
      </c>
      <c r="C267" s="226">
        <v>10000</v>
      </c>
      <c r="D267" s="227">
        <v>0</v>
      </c>
      <c r="E267" s="228">
        <v>0.23857007999999968</v>
      </c>
      <c r="G267" s="192" t="s">
        <v>4847</v>
      </c>
      <c r="H267" s="225">
        <v>3</v>
      </c>
      <c r="I267" s="226">
        <v>10000</v>
      </c>
      <c r="J267" s="227">
        <v>0</v>
      </c>
      <c r="K267" s="228">
        <f t="shared" si="224"/>
        <v>0.21872383194876979</v>
      </c>
      <c r="O267" s="225">
        <v>3</v>
      </c>
      <c r="P267" s="226">
        <v>10000</v>
      </c>
      <c r="Q267" s="227">
        <v>0</v>
      </c>
      <c r="R267" s="228"/>
      <c r="V267" s="225">
        <v>3</v>
      </c>
      <c r="W267" s="226">
        <v>10000</v>
      </c>
      <c r="X267" s="227">
        <v>0</v>
      </c>
      <c r="Y267" s="758">
        <f t="shared" si="225"/>
        <v>0.2384089768241591</v>
      </c>
      <c r="Z267" s="231">
        <f t="shared" si="226"/>
        <v>1.0900000000000001</v>
      </c>
      <c r="AC267" s="225">
        <v>3</v>
      </c>
      <c r="AD267" s="226">
        <v>10000</v>
      </c>
      <c r="AE267" s="227">
        <v>0</v>
      </c>
      <c r="AF267" s="227">
        <f t="shared" si="222"/>
        <v>0.2384089768241591</v>
      </c>
      <c r="AN267" s="225">
        <v>3</v>
      </c>
      <c r="AO267" s="226">
        <v>10000</v>
      </c>
      <c r="AP267" s="227">
        <v>0</v>
      </c>
      <c r="AQ267" s="228">
        <v>3.6147999999999998</v>
      </c>
      <c r="AT267" s="225">
        <v>3</v>
      </c>
      <c r="AU267" s="226">
        <v>10000</v>
      </c>
      <c r="AV267" s="227">
        <v>0</v>
      </c>
      <c r="AW267" s="228">
        <f t="shared" si="223"/>
        <v>3.314090801865909</v>
      </c>
    </row>
    <row r="268" spans="2:49">
      <c r="B268" s="225">
        <v>4</v>
      </c>
      <c r="C268" s="226">
        <v>50000</v>
      </c>
      <c r="D268" s="227">
        <v>0</v>
      </c>
      <c r="E268" s="228">
        <v>0.15966629999999959</v>
      </c>
      <c r="G268" s="192" t="s">
        <v>4848</v>
      </c>
      <c r="H268" s="225">
        <v>4</v>
      </c>
      <c r="I268" s="226">
        <v>50000</v>
      </c>
      <c r="J268" s="227">
        <v>0</v>
      </c>
      <c r="K268" s="228">
        <f t="shared" si="224"/>
        <v>0.14638392613642842</v>
      </c>
      <c r="O268" s="225">
        <v>4</v>
      </c>
      <c r="P268" s="226">
        <v>50000</v>
      </c>
      <c r="Q268" s="227">
        <v>0</v>
      </c>
      <c r="R268" s="228"/>
      <c r="V268" s="225">
        <v>4</v>
      </c>
      <c r="W268" s="226">
        <v>50000</v>
      </c>
      <c r="X268" s="227">
        <v>0</v>
      </c>
      <c r="Y268" s="758">
        <f t="shared" si="225"/>
        <v>0.15955847948870699</v>
      </c>
      <c r="Z268" s="231">
        <f t="shared" si="226"/>
        <v>1.0900000000000001</v>
      </c>
      <c r="AC268" s="225">
        <v>4</v>
      </c>
      <c r="AD268" s="226">
        <v>50000</v>
      </c>
      <c r="AE268" s="227">
        <v>0</v>
      </c>
      <c r="AF268" s="227">
        <f t="shared" si="222"/>
        <v>0.15955847948870699</v>
      </c>
      <c r="AN268" s="225">
        <v>4</v>
      </c>
      <c r="AO268" s="226">
        <v>50000</v>
      </c>
      <c r="AP268" s="227">
        <v>0</v>
      </c>
      <c r="AQ268" s="228">
        <v>3.5154999999999998</v>
      </c>
      <c r="AT268" s="225">
        <v>4</v>
      </c>
      <c r="AU268" s="226">
        <v>50000</v>
      </c>
      <c r="AV268" s="227">
        <v>0</v>
      </c>
      <c r="AW268" s="228">
        <f t="shared" si="223"/>
        <v>3.2230514036626099</v>
      </c>
    </row>
    <row r="269" spans="2:49">
      <c r="B269" s="225">
        <v>5</v>
      </c>
      <c r="C269" s="226">
        <v>100000</v>
      </c>
      <c r="D269" s="227">
        <v>0</v>
      </c>
      <c r="E269" s="228">
        <v>0.12875635999999968</v>
      </c>
      <c r="G269" s="192" t="s">
        <v>4849</v>
      </c>
      <c r="H269" s="225">
        <v>5</v>
      </c>
      <c r="I269" s="226">
        <v>100000</v>
      </c>
      <c r="J269" s="227">
        <v>0</v>
      </c>
      <c r="K269" s="228">
        <f t="shared" si="224"/>
        <v>0.11804533262081847</v>
      </c>
      <c r="O269" s="225">
        <v>5</v>
      </c>
      <c r="P269" s="226">
        <v>100000</v>
      </c>
      <c r="Q269" s="227">
        <v>0</v>
      </c>
      <c r="R269" s="228"/>
      <c r="V269" s="225">
        <v>5</v>
      </c>
      <c r="W269" s="226">
        <v>100000</v>
      </c>
      <c r="X269" s="227">
        <v>0</v>
      </c>
      <c r="Y269" s="758">
        <f t="shared" si="225"/>
        <v>0.12866941255669215</v>
      </c>
      <c r="Z269" s="231">
        <f t="shared" si="226"/>
        <v>1.0900000000000001</v>
      </c>
      <c r="AC269" s="225">
        <v>5</v>
      </c>
      <c r="AD269" s="226">
        <v>100000</v>
      </c>
      <c r="AE269" s="227">
        <v>0</v>
      </c>
      <c r="AF269" s="227">
        <f t="shared" si="222"/>
        <v>0.12866941255669215</v>
      </c>
      <c r="AN269" s="225">
        <v>5</v>
      </c>
      <c r="AO269" s="226">
        <v>100000</v>
      </c>
      <c r="AP269" s="227">
        <v>0</v>
      </c>
      <c r="AQ269" s="228">
        <v>3.4765999999999999</v>
      </c>
      <c r="AT269" s="225">
        <v>5</v>
      </c>
      <c r="AU269" s="226">
        <v>100000</v>
      </c>
      <c r="AV269" s="227">
        <v>0</v>
      </c>
      <c r="AW269" s="228">
        <f t="shared" si="223"/>
        <v>3.1873874299455069</v>
      </c>
    </row>
    <row r="270" spans="2:49">
      <c r="B270" s="225">
        <v>6</v>
      </c>
      <c r="C270" s="226">
        <v>999999999</v>
      </c>
      <c r="D270" s="227">
        <v>0</v>
      </c>
      <c r="E270" s="228">
        <v>9.5383159999999911E-2</v>
      </c>
      <c r="G270" s="192" t="s">
        <v>4850</v>
      </c>
      <c r="H270" s="225">
        <v>6</v>
      </c>
      <c r="I270" s="226">
        <v>999999999</v>
      </c>
      <c r="J270" s="227">
        <v>0</v>
      </c>
      <c r="K270" s="228">
        <f t="shared" si="224"/>
        <v>8.7448393606535349E-2</v>
      </c>
      <c r="O270" s="225">
        <v>6</v>
      </c>
      <c r="P270" s="226">
        <v>999999999</v>
      </c>
      <c r="Q270" s="227">
        <v>0</v>
      </c>
      <c r="R270" s="228"/>
      <c r="V270" s="225">
        <v>6</v>
      </c>
      <c r="W270" s="226">
        <v>999999999</v>
      </c>
      <c r="X270" s="227">
        <v>0</v>
      </c>
      <c r="Y270" s="758">
        <f t="shared" si="225"/>
        <v>9.5318749031123542E-2</v>
      </c>
      <c r="Z270" s="231">
        <f t="shared" si="226"/>
        <v>1.0900000000000001</v>
      </c>
      <c r="AC270" s="225">
        <v>6</v>
      </c>
      <c r="AD270" s="226">
        <v>999999999</v>
      </c>
      <c r="AE270" s="227">
        <v>0</v>
      </c>
      <c r="AF270" s="227">
        <f t="shared" si="222"/>
        <v>9.5318749031123542E-2</v>
      </c>
      <c r="AN270" s="225">
        <v>6</v>
      </c>
      <c r="AO270" s="226">
        <v>999999999</v>
      </c>
      <c r="AP270" s="227">
        <v>0</v>
      </c>
      <c r="AQ270" s="228">
        <v>3.4346000000000001</v>
      </c>
      <c r="AT270" s="225">
        <v>6</v>
      </c>
      <c r="AU270" s="226">
        <v>999999999</v>
      </c>
      <c r="AV270" s="227">
        <v>0</v>
      </c>
      <c r="AW270" s="228">
        <f t="shared" si="223"/>
        <v>3.1488813400710001</v>
      </c>
    </row>
    <row r="271" spans="2:49">
      <c r="B271" s="225">
        <v>7</v>
      </c>
      <c r="C271" s="226"/>
      <c r="D271" s="227"/>
      <c r="E271" s="228"/>
      <c r="H271" s="225">
        <v>7</v>
      </c>
      <c r="I271" s="226"/>
      <c r="J271" s="227"/>
      <c r="K271" s="228"/>
      <c r="O271" s="225">
        <v>7</v>
      </c>
      <c r="P271" s="226"/>
      <c r="Q271" s="227"/>
      <c r="R271" s="228"/>
      <c r="V271" s="225">
        <v>7</v>
      </c>
      <c r="W271" s="226"/>
      <c r="X271" s="227"/>
      <c r="Y271" s="758"/>
      <c r="Z271" s="231"/>
      <c r="AC271" s="225">
        <v>7</v>
      </c>
      <c r="AD271" s="226"/>
      <c r="AE271" s="227"/>
      <c r="AF271" s="227"/>
      <c r="AN271" s="225">
        <v>7</v>
      </c>
      <c r="AO271" s="226"/>
      <c r="AP271" s="227"/>
      <c r="AQ271" s="228"/>
      <c r="AT271" s="225">
        <v>7</v>
      </c>
      <c r="AU271" s="226"/>
      <c r="AV271" s="227"/>
      <c r="AW271" s="228"/>
    </row>
    <row r="272" spans="2:49">
      <c r="B272" s="225">
        <v>8</v>
      </c>
      <c r="C272" s="226"/>
      <c r="D272" s="227"/>
      <c r="E272" s="228"/>
      <c r="H272" s="225">
        <v>8</v>
      </c>
      <c r="I272" s="226"/>
      <c r="J272" s="227"/>
      <c r="K272" s="228"/>
      <c r="O272" s="225">
        <v>8</v>
      </c>
      <c r="P272" s="226"/>
      <c r="Q272" s="227"/>
      <c r="R272" s="228"/>
      <c r="V272" s="225">
        <v>8</v>
      </c>
      <c r="W272" s="226"/>
      <c r="X272" s="227"/>
      <c r="Y272" s="230"/>
      <c r="Z272" s="231"/>
      <c r="AC272" s="225">
        <v>8</v>
      </c>
      <c r="AD272" s="226"/>
      <c r="AE272" s="227"/>
      <c r="AF272" s="227"/>
      <c r="AN272" s="225">
        <v>8</v>
      </c>
      <c r="AO272" s="226"/>
      <c r="AP272" s="227"/>
      <c r="AQ272" s="228"/>
      <c r="AT272" s="225">
        <v>8</v>
      </c>
      <c r="AU272" s="226"/>
      <c r="AV272" s="227"/>
      <c r="AW272" s="228"/>
    </row>
    <row r="273" spans="2:49">
      <c r="B273" s="225">
        <v>9</v>
      </c>
      <c r="C273" s="226"/>
      <c r="D273" s="227"/>
      <c r="E273" s="228"/>
      <c r="H273" s="225">
        <v>9</v>
      </c>
      <c r="I273" s="226"/>
      <c r="J273" s="227"/>
      <c r="K273" s="228"/>
      <c r="O273" s="225">
        <v>9</v>
      </c>
      <c r="P273" s="226"/>
      <c r="Q273" s="227"/>
      <c r="R273" s="228"/>
      <c r="V273" s="225">
        <v>9</v>
      </c>
      <c r="W273" s="226"/>
      <c r="X273" s="227"/>
      <c r="Y273" s="230"/>
      <c r="Z273" s="231"/>
      <c r="AC273" s="225">
        <v>9</v>
      </c>
      <c r="AD273" s="226"/>
      <c r="AE273" s="227"/>
      <c r="AF273" s="227"/>
      <c r="AN273" s="225">
        <v>9</v>
      </c>
      <c r="AO273" s="226"/>
      <c r="AP273" s="227"/>
      <c r="AQ273" s="228"/>
      <c r="AT273" s="225">
        <v>9</v>
      </c>
      <c r="AU273" s="226"/>
      <c r="AV273" s="227"/>
      <c r="AW273" s="228"/>
    </row>
    <row r="274" spans="2:49">
      <c r="B274" s="225">
        <v>10</v>
      </c>
      <c r="C274" s="226"/>
      <c r="D274" s="227"/>
      <c r="E274" s="228"/>
      <c r="H274" s="225">
        <v>10</v>
      </c>
      <c r="I274" s="226"/>
      <c r="J274" s="227"/>
      <c r="K274" s="228"/>
      <c r="O274" s="225">
        <v>10</v>
      </c>
      <c r="P274" s="226"/>
      <c r="Q274" s="227"/>
      <c r="R274" s="228"/>
      <c r="V274" s="225">
        <v>10</v>
      </c>
      <c r="W274" s="226"/>
      <c r="X274" s="227"/>
      <c r="Y274" s="230"/>
      <c r="Z274" s="231"/>
      <c r="AC274" s="225">
        <v>10</v>
      </c>
      <c r="AD274" s="226"/>
      <c r="AE274" s="227"/>
      <c r="AF274" s="227"/>
      <c r="AN274" s="225">
        <v>10</v>
      </c>
      <c r="AO274" s="226"/>
      <c r="AP274" s="227"/>
      <c r="AQ274" s="228"/>
      <c r="AT274" s="225">
        <v>10</v>
      </c>
      <c r="AU274" s="226"/>
      <c r="AV274" s="227"/>
      <c r="AW274" s="228"/>
    </row>
    <row r="276" spans="2:49">
      <c r="B276" s="836" t="s">
        <v>4925</v>
      </c>
      <c r="C276" s="837"/>
      <c r="D276" s="219"/>
      <c r="E276" s="220"/>
      <c r="H276" s="836" t="s">
        <v>4925</v>
      </c>
      <c r="I276" s="837"/>
      <c r="J276" s="219"/>
      <c r="K276" s="220"/>
      <c r="O276" s="836" t="s">
        <v>4925</v>
      </c>
      <c r="P276" s="837"/>
      <c r="Q276" s="219"/>
      <c r="R276" s="220"/>
      <c r="V276" s="836" t="s">
        <v>4925</v>
      </c>
      <c r="W276" s="837"/>
      <c r="X276" s="219"/>
      <c r="Y276" s="220"/>
      <c r="AC276" s="836" t="s">
        <v>4925</v>
      </c>
      <c r="AD276" s="837"/>
      <c r="AE276" s="219"/>
      <c r="AF276" s="220"/>
      <c r="AN276" s="836" t="s">
        <v>4925</v>
      </c>
      <c r="AO276" s="837"/>
      <c r="AP276" s="219"/>
      <c r="AQ276" s="220"/>
      <c r="AT276" s="836" t="s">
        <v>4925</v>
      </c>
      <c r="AU276" s="837"/>
      <c r="AV276" s="219"/>
      <c r="AW276" s="220"/>
    </row>
    <row r="277" spans="2:49">
      <c r="B277" s="838"/>
      <c r="C277" s="838"/>
      <c r="D277" s="219"/>
      <c r="E277" s="220"/>
      <c r="H277" s="838"/>
      <c r="I277" s="838"/>
      <c r="J277" s="219"/>
      <c r="K277" s="220"/>
      <c r="O277" s="284"/>
      <c r="P277" s="284"/>
      <c r="Q277" s="219"/>
      <c r="R277" s="220"/>
      <c r="V277" s="284"/>
      <c r="W277" s="284"/>
      <c r="X277" s="219"/>
      <c r="Y277" s="220"/>
      <c r="AC277" s="284"/>
      <c r="AD277" s="284"/>
      <c r="AE277" s="219"/>
      <c r="AF277" s="220"/>
      <c r="AN277" s="838"/>
      <c r="AO277" s="838"/>
      <c r="AP277" s="219"/>
      <c r="AQ277" s="220"/>
      <c r="AT277" s="838"/>
      <c r="AU277" s="838"/>
      <c r="AV277" s="219"/>
      <c r="AW277" s="220"/>
    </row>
    <row r="278" spans="2:49">
      <c r="B278" s="835" t="s">
        <v>4899</v>
      </c>
      <c r="C278" s="835"/>
      <c r="D278" s="224" t="s">
        <v>4901</v>
      </c>
      <c r="E278" s="224"/>
      <c r="H278" s="835" t="s">
        <v>4899</v>
      </c>
      <c r="I278" s="835"/>
      <c r="J278" s="224" t="s">
        <v>4901</v>
      </c>
      <c r="K278" s="224"/>
      <c r="O278" s="285" t="s">
        <v>4899</v>
      </c>
      <c r="P278" s="285"/>
      <c r="Q278" s="224" t="s">
        <v>4901</v>
      </c>
      <c r="R278" s="224"/>
      <c r="V278" s="285" t="s">
        <v>4899</v>
      </c>
      <c r="W278" s="285"/>
      <c r="X278" s="224" t="s">
        <v>4901</v>
      </c>
      <c r="Y278" s="224"/>
      <c r="AC278" s="285" t="s">
        <v>4899</v>
      </c>
      <c r="AD278" s="285"/>
      <c r="AE278" s="224" t="s">
        <v>4901</v>
      </c>
      <c r="AF278" s="224"/>
      <c r="AN278" s="835" t="s">
        <v>4899</v>
      </c>
      <c r="AO278" s="835"/>
      <c r="AP278" s="224" t="s">
        <v>4901</v>
      </c>
      <c r="AQ278" s="224"/>
      <c r="AT278" s="835" t="s">
        <v>4899</v>
      </c>
      <c r="AU278" s="835"/>
      <c r="AV278" s="224" t="s">
        <v>4901</v>
      </c>
      <c r="AW278" s="224"/>
    </row>
    <row r="279" spans="2:49">
      <c r="B279" s="835"/>
      <c r="C279" s="835"/>
      <c r="D279" s="223" t="s">
        <v>4902</v>
      </c>
      <c r="E279" s="223" t="s">
        <v>4903</v>
      </c>
      <c r="H279" s="835"/>
      <c r="I279" s="835"/>
      <c r="J279" s="223" t="s">
        <v>4902</v>
      </c>
      <c r="K279" s="223" t="s">
        <v>4903</v>
      </c>
      <c r="O279" s="285"/>
      <c r="P279" s="285"/>
      <c r="Q279" s="223" t="s">
        <v>4902</v>
      </c>
      <c r="R279" s="223" t="s">
        <v>4903</v>
      </c>
      <c r="V279" s="285"/>
      <c r="W279" s="285"/>
      <c r="X279" s="223" t="s">
        <v>4902</v>
      </c>
      <c r="Y279" s="223" t="s">
        <v>4903</v>
      </c>
      <c r="AC279" s="285"/>
      <c r="AD279" s="285"/>
      <c r="AE279" s="223" t="s">
        <v>4902</v>
      </c>
      <c r="AF279" s="223" t="s">
        <v>4903</v>
      </c>
      <c r="AN279" s="835"/>
      <c r="AO279" s="835"/>
      <c r="AP279" s="223" t="s">
        <v>4902</v>
      </c>
      <c r="AQ279" s="223" t="s">
        <v>4903</v>
      </c>
      <c r="AT279" s="835"/>
      <c r="AU279" s="835"/>
      <c r="AV279" s="223" t="s">
        <v>4902</v>
      </c>
      <c r="AW279" s="223" t="s">
        <v>4903</v>
      </c>
    </row>
    <row r="280" spans="2:49">
      <c r="B280" s="225">
        <v>1</v>
      </c>
      <c r="C280" s="226">
        <v>200</v>
      </c>
      <c r="D280" s="227">
        <v>0</v>
      </c>
      <c r="E280" s="228">
        <v>3.4720358600000001</v>
      </c>
      <c r="G280" s="192" t="s">
        <v>4861</v>
      </c>
      <c r="H280" s="225">
        <v>1</v>
      </c>
      <c r="I280" s="226">
        <v>200</v>
      </c>
      <c r="J280" s="227">
        <v>0</v>
      </c>
      <c r="K280" s="228">
        <f>E280*$K$1</f>
        <v>3.1832029731588447</v>
      </c>
      <c r="O280" s="225">
        <v>1</v>
      </c>
      <c r="P280" s="226">
        <v>200</v>
      </c>
      <c r="Q280" s="227">
        <v>0</v>
      </c>
      <c r="R280" s="228"/>
      <c r="V280" s="225">
        <v>1</v>
      </c>
      <c r="W280" s="226">
        <v>200</v>
      </c>
      <c r="X280" s="227">
        <v>0</v>
      </c>
      <c r="Y280" s="229">
        <f>Y235</f>
        <v>3.4696912407431411</v>
      </c>
      <c r="Z280" s="231"/>
      <c r="AC280" s="225">
        <v>1</v>
      </c>
      <c r="AD280" s="226">
        <v>200</v>
      </c>
      <c r="AE280" s="227">
        <v>0</v>
      </c>
      <c r="AF280" s="227">
        <f t="shared" ref="AF280:AF289" si="227">Y280+R280</f>
        <v>3.4696912407431411</v>
      </c>
      <c r="AN280" s="225">
        <v>1</v>
      </c>
      <c r="AO280" s="226">
        <v>200</v>
      </c>
      <c r="AP280" s="227">
        <v>0</v>
      </c>
      <c r="AQ280" s="228">
        <v>3.4060692447358432</v>
      </c>
      <c r="AT280" s="225">
        <v>1</v>
      </c>
      <c r="AU280" s="226">
        <v>200</v>
      </c>
      <c r="AV280" s="227">
        <v>0</v>
      </c>
      <c r="AW280" s="228">
        <f>AQ280*$AW$1</f>
        <v>3.1227240108712575</v>
      </c>
    </row>
    <row r="281" spans="2:49">
      <c r="B281" s="225">
        <v>2</v>
      </c>
      <c r="C281" s="226">
        <v>2000</v>
      </c>
      <c r="D281" s="227">
        <v>0</v>
      </c>
      <c r="E281" s="228">
        <v>1.5563347199999997</v>
      </c>
      <c r="G281" s="192" t="s">
        <v>4863</v>
      </c>
      <c r="H281" s="225">
        <v>2</v>
      </c>
      <c r="I281" s="226">
        <v>2000</v>
      </c>
      <c r="J281" s="227">
        <v>0</v>
      </c>
      <c r="K281" s="228">
        <f t="shared" ref="K281:K289" si="228">E281*$K$1</f>
        <v>1.4268658238841856</v>
      </c>
      <c r="O281" s="225">
        <v>2</v>
      </c>
      <c r="P281" s="226">
        <v>2000</v>
      </c>
      <c r="Q281" s="227">
        <v>0</v>
      </c>
      <c r="R281" s="228"/>
      <c r="V281" s="225">
        <v>2</v>
      </c>
      <c r="W281" s="226">
        <v>2000</v>
      </c>
      <c r="X281" s="227">
        <v>0</v>
      </c>
      <c r="Y281" s="229">
        <f t="shared" ref="Y281:Y289" si="229">Y236</f>
        <v>1.5552837480337625</v>
      </c>
      <c r="Z281" s="231"/>
      <c r="AC281" s="225">
        <v>2</v>
      </c>
      <c r="AD281" s="226">
        <v>2000</v>
      </c>
      <c r="AE281" s="227">
        <v>0</v>
      </c>
      <c r="AF281" s="227">
        <f t="shared" si="227"/>
        <v>1.5552837480337625</v>
      </c>
      <c r="AN281" s="225">
        <v>2</v>
      </c>
      <c r="AO281" s="226">
        <v>2000</v>
      </c>
      <c r="AP281" s="227">
        <v>0</v>
      </c>
      <c r="AQ281" s="228">
        <v>1.5268035154245669</v>
      </c>
      <c r="AT281" s="225">
        <v>2</v>
      </c>
      <c r="AU281" s="226">
        <v>2000</v>
      </c>
      <c r="AV281" s="227">
        <v>0</v>
      </c>
      <c r="AW281" s="228">
        <f t="shared" ref="AW281:AW289" si="230">AQ281*$AW$1</f>
        <v>1.3997912710869458</v>
      </c>
    </row>
    <row r="282" spans="2:49">
      <c r="B282" s="225">
        <v>3</v>
      </c>
      <c r="C282" s="226">
        <v>10000</v>
      </c>
      <c r="D282" s="227">
        <v>0</v>
      </c>
      <c r="E282" s="228">
        <v>1.2542277999999998</v>
      </c>
      <c r="G282" s="192" t="s">
        <v>4864</v>
      </c>
      <c r="H282" s="225">
        <v>3</v>
      </c>
      <c r="I282" s="226">
        <v>10000</v>
      </c>
      <c r="J282" s="227">
        <v>0</v>
      </c>
      <c r="K282" s="228">
        <f t="shared" si="228"/>
        <v>1.1498906759501257</v>
      </c>
      <c r="O282" s="225">
        <v>3</v>
      </c>
      <c r="P282" s="226">
        <v>10000</v>
      </c>
      <c r="Q282" s="227">
        <v>0</v>
      </c>
      <c r="R282" s="228"/>
      <c r="V282" s="225">
        <v>3</v>
      </c>
      <c r="W282" s="226">
        <v>10000</v>
      </c>
      <c r="X282" s="227">
        <v>0</v>
      </c>
      <c r="Y282" s="229">
        <f t="shared" si="229"/>
        <v>1.2533808367856372</v>
      </c>
      <c r="Z282" s="231"/>
      <c r="AC282" s="225">
        <v>3</v>
      </c>
      <c r="AD282" s="226">
        <v>10000</v>
      </c>
      <c r="AE282" s="227">
        <v>0</v>
      </c>
      <c r="AF282" s="227">
        <f t="shared" si="227"/>
        <v>1.2533808367856372</v>
      </c>
      <c r="AN282" s="225">
        <v>3</v>
      </c>
      <c r="AO282" s="226">
        <v>10000</v>
      </c>
      <c r="AP282" s="227">
        <v>0</v>
      </c>
      <c r="AQ282" s="228">
        <v>1.2304045277291975</v>
      </c>
      <c r="AT282" s="225">
        <v>3</v>
      </c>
      <c r="AU282" s="226">
        <v>10000</v>
      </c>
      <c r="AV282" s="227">
        <v>0</v>
      </c>
      <c r="AW282" s="228">
        <f t="shared" si="230"/>
        <v>1.1280492220652598</v>
      </c>
    </row>
    <row r="283" spans="2:49">
      <c r="B283" s="225">
        <v>4</v>
      </c>
      <c r="C283" s="226">
        <v>50000</v>
      </c>
      <c r="D283" s="227">
        <v>0</v>
      </c>
      <c r="E283" s="228">
        <v>0.83825470000000024</v>
      </c>
      <c r="G283" s="192" t="s">
        <v>4865</v>
      </c>
      <c r="H283" s="225">
        <v>4</v>
      </c>
      <c r="I283" s="226">
        <v>50000</v>
      </c>
      <c r="J283" s="227">
        <v>0</v>
      </c>
      <c r="K283" s="228">
        <f t="shared" si="228"/>
        <v>0.76852168609352323</v>
      </c>
      <c r="O283" s="225">
        <v>4</v>
      </c>
      <c r="P283" s="226">
        <v>50000</v>
      </c>
      <c r="Q283" s="227">
        <v>0</v>
      </c>
      <c r="R283" s="228"/>
      <c r="V283" s="225">
        <v>4</v>
      </c>
      <c r="W283" s="226">
        <v>50000</v>
      </c>
      <c r="X283" s="227">
        <v>0</v>
      </c>
      <c r="Y283" s="229">
        <f t="shared" si="229"/>
        <v>0.83768863784194036</v>
      </c>
      <c r="Z283" s="231"/>
      <c r="AC283" s="225">
        <v>4</v>
      </c>
      <c r="AD283" s="226">
        <v>50000</v>
      </c>
      <c r="AE283" s="227">
        <v>0</v>
      </c>
      <c r="AF283" s="227">
        <f t="shared" si="227"/>
        <v>0.83768863784194036</v>
      </c>
      <c r="AN283" s="225">
        <v>4</v>
      </c>
      <c r="AO283" s="226">
        <v>50000</v>
      </c>
      <c r="AP283" s="227">
        <v>0</v>
      </c>
      <c r="AQ283" s="228">
        <v>0.82235860591031973</v>
      </c>
      <c r="AT283" s="225">
        <v>4</v>
      </c>
      <c r="AU283" s="226">
        <v>50000</v>
      </c>
      <c r="AV283" s="227">
        <v>0</v>
      </c>
      <c r="AW283" s="228">
        <f t="shared" si="230"/>
        <v>0.75394796162516942</v>
      </c>
    </row>
    <row r="284" spans="2:49">
      <c r="B284" s="225">
        <v>5</v>
      </c>
      <c r="C284" s="226">
        <v>100000</v>
      </c>
      <c r="D284" s="227">
        <v>0</v>
      </c>
      <c r="E284" s="228">
        <v>0.67631522000000022</v>
      </c>
      <c r="G284" s="192" t="s">
        <v>4866</v>
      </c>
      <c r="H284" s="225">
        <v>5</v>
      </c>
      <c r="I284" s="226">
        <v>100000</v>
      </c>
      <c r="J284" s="227">
        <v>0</v>
      </c>
      <c r="K284" s="228">
        <f t="shared" si="228"/>
        <v>0.62005368201945321</v>
      </c>
      <c r="O284" s="225">
        <v>5</v>
      </c>
      <c r="P284" s="226">
        <v>100000</v>
      </c>
      <c r="Q284" s="227">
        <v>0</v>
      </c>
      <c r="R284" s="228"/>
      <c r="V284" s="225">
        <v>5</v>
      </c>
      <c r="W284" s="226">
        <v>100000</v>
      </c>
      <c r="X284" s="227">
        <v>0</v>
      </c>
      <c r="Y284" s="229">
        <f t="shared" si="229"/>
        <v>0.67585851340120406</v>
      </c>
      <c r="Z284" s="231"/>
      <c r="AC284" s="225">
        <v>5</v>
      </c>
      <c r="AD284" s="226">
        <v>100000</v>
      </c>
      <c r="AE284" s="227">
        <v>0</v>
      </c>
      <c r="AF284" s="227">
        <f t="shared" si="227"/>
        <v>0.67585851340120406</v>
      </c>
      <c r="AN284" s="225">
        <v>5</v>
      </c>
      <c r="AO284" s="226">
        <v>100000</v>
      </c>
      <c r="AP284" s="227">
        <v>0</v>
      </c>
      <c r="AQ284" s="228">
        <v>0.66346686670114063</v>
      </c>
      <c r="AT284" s="225">
        <v>5</v>
      </c>
      <c r="AU284" s="226">
        <v>100000</v>
      </c>
      <c r="AV284" s="227">
        <v>0</v>
      </c>
      <c r="AW284" s="228">
        <f t="shared" si="230"/>
        <v>0.60827416185599348</v>
      </c>
    </row>
    <row r="285" spans="2:49">
      <c r="B285" s="225">
        <v>6</v>
      </c>
      <c r="C285" s="226">
        <v>300000</v>
      </c>
      <c r="D285" s="227">
        <v>0</v>
      </c>
      <c r="E285" s="228">
        <v>0.50245673999999996</v>
      </c>
      <c r="G285" s="192" t="s">
        <v>4867</v>
      </c>
      <c r="H285" s="225">
        <v>6</v>
      </c>
      <c r="I285" s="226">
        <v>300000</v>
      </c>
      <c r="J285" s="227">
        <v>0</v>
      </c>
      <c r="K285" s="228">
        <f t="shared" si="228"/>
        <v>0.46065819972599603</v>
      </c>
      <c r="O285" s="225">
        <v>6</v>
      </c>
      <c r="P285" s="226">
        <v>300000</v>
      </c>
      <c r="Q285" s="227">
        <v>0</v>
      </c>
      <c r="R285" s="228"/>
      <c r="V285" s="225">
        <v>6</v>
      </c>
      <c r="W285" s="226">
        <v>300000</v>
      </c>
      <c r="X285" s="227">
        <v>0</v>
      </c>
      <c r="Y285" s="229">
        <f t="shared" si="229"/>
        <v>0.50211743770133566</v>
      </c>
      <c r="Z285" s="231"/>
      <c r="AC285" s="225">
        <v>6</v>
      </c>
      <c r="AD285" s="226">
        <v>300000</v>
      </c>
      <c r="AE285" s="227">
        <v>0</v>
      </c>
      <c r="AF285" s="227">
        <f t="shared" si="227"/>
        <v>0.50211743770133566</v>
      </c>
      <c r="AN285" s="225">
        <v>6</v>
      </c>
      <c r="AO285" s="226">
        <v>300000</v>
      </c>
      <c r="AP285" s="227">
        <v>0</v>
      </c>
      <c r="AQ285" s="228">
        <v>0.49288825465498004</v>
      </c>
      <c r="AT285" s="225">
        <v>6</v>
      </c>
      <c r="AU285" s="226">
        <v>300000</v>
      </c>
      <c r="AV285" s="227">
        <v>0</v>
      </c>
      <c r="AW285" s="228">
        <f t="shared" si="230"/>
        <v>0.45188570075794265</v>
      </c>
    </row>
    <row r="286" spans="2:49">
      <c r="B286" s="225">
        <v>7</v>
      </c>
      <c r="C286" s="226">
        <v>600000</v>
      </c>
      <c r="D286" s="227">
        <v>0</v>
      </c>
      <c r="E286" s="228">
        <v>0.29673479999999985</v>
      </c>
      <c r="G286" s="192" t="s">
        <v>4868</v>
      </c>
      <c r="H286" s="225">
        <v>7</v>
      </c>
      <c r="I286" s="226">
        <v>600000</v>
      </c>
      <c r="J286" s="227">
        <v>0</v>
      </c>
      <c r="K286" s="228">
        <f t="shared" si="228"/>
        <v>0.27204992565937802</v>
      </c>
      <c r="O286" s="225">
        <v>7</v>
      </c>
      <c r="P286" s="226">
        <v>600000</v>
      </c>
      <c r="Q286" s="227">
        <v>0</v>
      </c>
      <c r="R286" s="228"/>
      <c r="V286" s="225">
        <v>7</v>
      </c>
      <c r="W286" s="226">
        <v>600000</v>
      </c>
      <c r="X286" s="227">
        <v>0</v>
      </c>
      <c r="Y286" s="229">
        <f t="shared" si="229"/>
        <v>0.29653441896872207</v>
      </c>
      <c r="Z286" s="231"/>
      <c r="AC286" s="225">
        <v>7</v>
      </c>
      <c r="AD286" s="226">
        <v>600000</v>
      </c>
      <c r="AE286" s="227">
        <v>0</v>
      </c>
      <c r="AF286" s="227">
        <f t="shared" si="227"/>
        <v>0.29653441896872207</v>
      </c>
      <c r="AN286" s="225">
        <v>7</v>
      </c>
      <c r="AO286" s="226">
        <v>600000</v>
      </c>
      <c r="AP286" s="227">
        <v>0</v>
      </c>
      <c r="AQ286" s="228">
        <v>0.29114464837686771</v>
      </c>
      <c r="AT286" s="225">
        <v>7</v>
      </c>
      <c r="AU286" s="226">
        <v>600000</v>
      </c>
      <c r="AV286" s="227">
        <v>0</v>
      </c>
      <c r="AW286" s="228">
        <f t="shared" si="230"/>
        <v>0.26692480944955782</v>
      </c>
    </row>
    <row r="287" spans="2:49">
      <c r="B287" s="225">
        <v>8</v>
      </c>
      <c r="C287" s="226">
        <v>1500000</v>
      </c>
      <c r="D287" s="227">
        <v>0</v>
      </c>
      <c r="E287" s="228">
        <v>0.29117259999999989</v>
      </c>
      <c r="G287" s="192" t="s">
        <v>4869</v>
      </c>
      <c r="H287" s="225">
        <v>8</v>
      </c>
      <c r="I287" s="226">
        <v>1500000</v>
      </c>
      <c r="J287" s="227">
        <v>0</v>
      </c>
      <c r="K287" s="228">
        <f t="shared" si="228"/>
        <v>0.26695043582366418</v>
      </c>
      <c r="O287" s="225">
        <v>8</v>
      </c>
      <c r="P287" s="226">
        <v>1500000</v>
      </c>
      <c r="Q287" s="227">
        <v>0</v>
      </c>
      <c r="R287" s="228"/>
      <c r="V287" s="225">
        <v>8</v>
      </c>
      <c r="W287" s="226">
        <v>1500000</v>
      </c>
      <c r="X287" s="227">
        <v>0</v>
      </c>
      <c r="Y287" s="229">
        <f t="shared" si="229"/>
        <v>0.29097597504779399</v>
      </c>
      <c r="Z287" s="231"/>
      <c r="AC287" s="225">
        <v>8</v>
      </c>
      <c r="AD287" s="226">
        <v>1500000</v>
      </c>
      <c r="AE287" s="227">
        <v>0</v>
      </c>
      <c r="AF287" s="227">
        <f t="shared" si="227"/>
        <v>0.29097597504779399</v>
      </c>
      <c r="AN287" s="225">
        <v>8</v>
      </c>
      <c r="AO287" s="226">
        <v>1500000</v>
      </c>
      <c r="AP287" s="227">
        <v>0</v>
      </c>
      <c r="AQ287" s="228">
        <v>0.28567419726168441</v>
      </c>
      <c r="AT287" s="225">
        <v>8</v>
      </c>
      <c r="AU287" s="226">
        <v>1500000</v>
      </c>
      <c r="AV287" s="227">
        <v>0</v>
      </c>
      <c r="AW287" s="228">
        <f t="shared" si="230"/>
        <v>0.26190943606157341</v>
      </c>
    </row>
    <row r="288" spans="2:49">
      <c r="B288" s="225">
        <v>9</v>
      </c>
      <c r="C288" s="226">
        <v>3000000</v>
      </c>
      <c r="D288" s="227">
        <v>0</v>
      </c>
      <c r="E288" s="228">
        <v>0.27655195999999993</v>
      </c>
      <c r="G288" s="192" t="s">
        <v>4870</v>
      </c>
      <c r="H288" s="225">
        <v>9</v>
      </c>
      <c r="I288" s="226">
        <v>3000000</v>
      </c>
      <c r="J288" s="227">
        <v>0</v>
      </c>
      <c r="K288" s="228">
        <f t="shared" si="228"/>
        <v>0.25354606254121625</v>
      </c>
      <c r="O288" s="225">
        <v>9</v>
      </c>
      <c r="P288" s="226">
        <v>3000000</v>
      </c>
      <c r="Q288" s="227">
        <v>0</v>
      </c>
      <c r="R288" s="228"/>
      <c r="V288" s="225">
        <v>9</v>
      </c>
      <c r="W288" s="226">
        <v>3000000</v>
      </c>
      <c r="X288" s="227">
        <v>0</v>
      </c>
      <c r="Y288" s="229">
        <f t="shared" si="229"/>
        <v>0.27636520816992571</v>
      </c>
      <c r="Z288" s="231"/>
      <c r="AC288" s="225">
        <v>9</v>
      </c>
      <c r="AD288" s="226">
        <v>3000000</v>
      </c>
      <c r="AE288" s="227">
        <v>0</v>
      </c>
      <c r="AF288" s="227">
        <f t="shared" si="227"/>
        <v>0.27636520816992571</v>
      </c>
      <c r="AN288" s="225">
        <v>9</v>
      </c>
      <c r="AO288" s="226">
        <v>3000000</v>
      </c>
      <c r="AP288" s="227">
        <v>0</v>
      </c>
      <c r="AQ288" s="228">
        <v>0.27133498449006854</v>
      </c>
      <c r="AT288" s="225">
        <v>9</v>
      </c>
      <c r="AU288" s="226">
        <v>3000000</v>
      </c>
      <c r="AV288" s="227">
        <v>0</v>
      </c>
      <c r="AW288" s="228">
        <f t="shared" si="230"/>
        <v>0.24876307854458482</v>
      </c>
    </row>
    <row r="289" spans="2:49">
      <c r="B289" s="225">
        <v>10</v>
      </c>
      <c r="C289" s="226">
        <v>999999999</v>
      </c>
      <c r="D289" s="227">
        <v>0</v>
      </c>
      <c r="E289" s="228">
        <v>0.22585648000000003</v>
      </c>
      <c r="G289" s="192" t="s">
        <v>4871</v>
      </c>
      <c r="H289" s="225">
        <v>10</v>
      </c>
      <c r="I289" s="226">
        <v>999999999</v>
      </c>
      <c r="J289" s="227">
        <v>0</v>
      </c>
      <c r="K289" s="228">
        <f t="shared" si="228"/>
        <v>0.20706785518142407</v>
      </c>
      <c r="O289" s="225">
        <v>10</v>
      </c>
      <c r="P289" s="226">
        <v>999999999</v>
      </c>
      <c r="Q289" s="227">
        <v>0</v>
      </c>
      <c r="R289" s="228"/>
      <c r="V289" s="225">
        <v>10</v>
      </c>
      <c r="W289" s="226">
        <v>999999999</v>
      </c>
      <c r="X289" s="227">
        <v>0</v>
      </c>
      <c r="Y289" s="229">
        <f t="shared" si="229"/>
        <v>0.22570396214775224</v>
      </c>
      <c r="Z289" s="231"/>
      <c r="AC289" s="225">
        <v>10</v>
      </c>
      <c r="AD289" s="226">
        <v>999999999</v>
      </c>
      <c r="AE289" s="227">
        <v>0</v>
      </c>
      <c r="AF289" s="227">
        <f t="shared" si="227"/>
        <v>0.22570396214775224</v>
      </c>
      <c r="AN289" s="225">
        <v>10</v>
      </c>
      <c r="AO289" s="226">
        <v>999999999</v>
      </c>
      <c r="AP289" s="227">
        <v>0</v>
      </c>
      <c r="AQ289" s="228">
        <v>0.22160361071567758</v>
      </c>
      <c r="AT289" s="225">
        <v>10</v>
      </c>
      <c r="AU289" s="226">
        <v>999999999</v>
      </c>
      <c r="AV289" s="227">
        <v>0</v>
      </c>
      <c r="AW289" s="228">
        <f t="shared" si="230"/>
        <v>0.2031687750174562</v>
      </c>
    </row>
    <row r="290" spans="2:49">
      <c r="C290" s="226"/>
      <c r="G290" s="192"/>
      <c r="I290" s="226"/>
      <c r="P290" s="226"/>
      <c r="W290" s="226"/>
      <c r="AD290" s="226"/>
      <c r="AO290" s="226"/>
      <c r="AU290" s="226"/>
    </row>
    <row r="291" spans="2:49">
      <c r="B291" s="836" t="s">
        <v>4638</v>
      </c>
      <c r="C291" s="837"/>
      <c r="D291" s="219"/>
      <c r="E291" s="220"/>
      <c r="H291" s="836" t="s">
        <v>4638</v>
      </c>
      <c r="I291" s="837"/>
      <c r="J291" s="219"/>
      <c r="K291" s="220"/>
      <c r="O291" s="836" t="s">
        <v>4638</v>
      </c>
      <c r="P291" s="837"/>
      <c r="Q291" s="219"/>
      <c r="R291" s="220"/>
      <c r="V291" s="836" t="s">
        <v>4638</v>
      </c>
      <c r="W291" s="837"/>
      <c r="X291" s="219"/>
      <c r="Y291" s="220"/>
      <c r="AC291" s="836" t="s">
        <v>4638</v>
      </c>
      <c r="AD291" s="837"/>
      <c r="AE291" s="219"/>
      <c r="AF291" s="220"/>
      <c r="AN291" s="836" t="s">
        <v>4638</v>
      </c>
      <c r="AO291" s="837"/>
      <c r="AP291" s="219"/>
      <c r="AQ291" s="220"/>
      <c r="AT291" s="836" t="s">
        <v>4638</v>
      </c>
      <c r="AU291" s="837"/>
      <c r="AV291" s="219"/>
      <c r="AW291" s="220"/>
    </row>
    <row r="292" spans="2:49">
      <c r="B292" s="838"/>
      <c r="C292" s="838"/>
      <c r="D292" s="219"/>
      <c r="E292" s="220"/>
      <c r="H292" s="838"/>
      <c r="I292" s="838"/>
      <c r="J292" s="219"/>
      <c r="K292" s="220"/>
      <c r="O292" s="284"/>
      <c r="P292" s="284"/>
      <c r="Q292" s="219"/>
      <c r="R292" s="220"/>
      <c r="V292" s="284"/>
      <c r="W292" s="284"/>
      <c r="X292" s="219"/>
      <c r="Y292" s="220"/>
      <c r="AC292" s="284"/>
      <c r="AD292" s="284"/>
      <c r="AE292" s="219"/>
      <c r="AF292" s="220"/>
      <c r="AN292" s="838"/>
      <c r="AO292" s="838"/>
      <c r="AP292" s="219"/>
      <c r="AQ292" s="220"/>
      <c r="AT292" s="838"/>
      <c r="AU292" s="838"/>
      <c r="AV292" s="219"/>
      <c r="AW292" s="220"/>
    </row>
    <row r="293" spans="2:49">
      <c r="B293" s="835" t="s">
        <v>4899</v>
      </c>
      <c r="C293" s="835"/>
      <c r="D293" s="224" t="s">
        <v>4901</v>
      </c>
      <c r="E293" s="224"/>
      <c r="H293" s="835" t="s">
        <v>4899</v>
      </c>
      <c r="I293" s="835"/>
      <c r="J293" s="224" t="s">
        <v>4901</v>
      </c>
      <c r="K293" s="224"/>
      <c r="O293" s="285" t="s">
        <v>4899</v>
      </c>
      <c r="P293" s="285"/>
      <c r="Q293" s="224" t="s">
        <v>4901</v>
      </c>
      <c r="R293" s="224"/>
      <c r="V293" s="285" t="s">
        <v>4899</v>
      </c>
      <c r="W293" s="285"/>
      <c r="X293" s="224" t="s">
        <v>4901</v>
      </c>
      <c r="Y293" s="224"/>
      <c r="AC293" s="285" t="s">
        <v>4899</v>
      </c>
      <c r="AD293" s="285"/>
      <c r="AE293" s="224" t="s">
        <v>4901</v>
      </c>
      <c r="AF293" s="224"/>
      <c r="AN293" s="835" t="s">
        <v>4899</v>
      </c>
      <c r="AO293" s="835"/>
      <c r="AP293" s="224" t="s">
        <v>4901</v>
      </c>
      <c r="AQ293" s="224"/>
      <c r="AT293" s="835" t="s">
        <v>4899</v>
      </c>
      <c r="AU293" s="835"/>
      <c r="AV293" s="224" t="s">
        <v>4901</v>
      </c>
      <c r="AW293" s="224"/>
    </row>
    <row r="294" spans="2:49">
      <c r="B294" s="835"/>
      <c r="C294" s="835"/>
      <c r="D294" s="223" t="s">
        <v>4902</v>
      </c>
      <c r="E294" s="223" t="s">
        <v>4903</v>
      </c>
      <c r="H294" s="835"/>
      <c r="I294" s="835"/>
      <c r="J294" s="223" t="s">
        <v>4902</v>
      </c>
      <c r="K294" s="223" t="s">
        <v>4903</v>
      </c>
      <c r="O294" s="285"/>
      <c r="P294" s="285"/>
      <c r="Q294" s="223" t="s">
        <v>4902</v>
      </c>
      <c r="R294" s="223" t="s">
        <v>4903</v>
      </c>
      <c r="V294" s="285"/>
      <c r="W294" s="285"/>
      <c r="X294" s="223" t="s">
        <v>4902</v>
      </c>
      <c r="Y294" s="223" t="s">
        <v>4903</v>
      </c>
      <c r="AC294" s="285"/>
      <c r="AD294" s="285"/>
      <c r="AE294" s="223" t="s">
        <v>4902</v>
      </c>
      <c r="AF294" s="223" t="s">
        <v>4903</v>
      </c>
      <c r="AN294" s="835"/>
      <c r="AO294" s="835"/>
      <c r="AP294" s="223" t="s">
        <v>4902</v>
      </c>
      <c r="AQ294" s="223" t="s">
        <v>4903</v>
      </c>
      <c r="AT294" s="835"/>
      <c r="AU294" s="835"/>
      <c r="AV294" s="223" t="s">
        <v>4902</v>
      </c>
      <c r="AW294" s="223" t="s">
        <v>4903</v>
      </c>
    </row>
    <row r="295" spans="2:49">
      <c r="B295" s="225">
        <v>1</v>
      </c>
      <c r="C295" s="226">
        <v>200</v>
      </c>
      <c r="D295" s="227">
        <v>0</v>
      </c>
      <c r="E295" s="228">
        <v>0.43952442000000014</v>
      </c>
      <c r="G295" s="192" t="s">
        <v>4872</v>
      </c>
      <c r="H295" s="225">
        <v>1</v>
      </c>
      <c r="I295" s="226">
        <v>200</v>
      </c>
      <c r="J295" s="227">
        <v>0</v>
      </c>
      <c r="K295" s="228">
        <f>E295*$K$1</f>
        <v>0.40296111472763335</v>
      </c>
      <c r="O295" s="225">
        <v>1</v>
      </c>
      <c r="P295" s="226">
        <v>200</v>
      </c>
      <c r="Q295" s="227">
        <v>0</v>
      </c>
      <c r="R295" s="228"/>
      <c r="V295" s="225">
        <v>1</v>
      </c>
      <c r="W295" s="226">
        <v>200</v>
      </c>
      <c r="X295" s="227">
        <v>0</v>
      </c>
      <c r="Y295" s="229">
        <f>Y250</f>
        <v>0.43922761505312041</v>
      </c>
      <c r="Z295" s="231"/>
      <c r="AC295" s="225">
        <v>1</v>
      </c>
      <c r="AD295" s="226">
        <v>200</v>
      </c>
      <c r="AE295" s="227">
        <v>0</v>
      </c>
      <c r="AF295" s="227">
        <f t="shared" ref="AF295:AF304" si="231">Y295+R295</f>
        <v>0.43922761505312041</v>
      </c>
      <c r="AN295" s="225">
        <v>1</v>
      </c>
      <c r="AO295" s="226">
        <v>200</v>
      </c>
      <c r="AP295" s="227">
        <v>0</v>
      </c>
      <c r="AQ295" s="228">
        <v>0.43122135117473526</v>
      </c>
      <c r="AT295" s="225">
        <v>1</v>
      </c>
      <c r="AU295" s="226">
        <v>200</v>
      </c>
      <c r="AV295" s="227">
        <v>0</v>
      </c>
      <c r="AW295" s="228">
        <f>AQ295*$AW$1</f>
        <v>0.39534876438430316</v>
      </c>
    </row>
    <row r="296" spans="2:49">
      <c r="B296" s="225">
        <v>2</v>
      </c>
      <c r="C296" s="226">
        <v>2000</v>
      </c>
      <c r="D296" s="227">
        <v>0</v>
      </c>
      <c r="E296" s="228">
        <v>0.27901522000000023</v>
      </c>
      <c r="G296" s="192" t="s">
        <v>4874</v>
      </c>
      <c r="H296" s="225">
        <v>2</v>
      </c>
      <c r="I296" s="226">
        <v>2000</v>
      </c>
      <c r="J296" s="227">
        <v>0</v>
      </c>
      <c r="K296" s="228">
        <f t="shared" ref="K296:K304" si="232">E296*$K$1</f>
        <v>0.25580440803988985</v>
      </c>
      <c r="O296" s="225">
        <v>2</v>
      </c>
      <c r="P296" s="226">
        <v>2000</v>
      </c>
      <c r="Q296" s="227">
        <v>0</v>
      </c>
      <c r="R296" s="228"/>
      <c r="V296" s="225">
        <v>2</v>
      </c>
      <c r="W296" s="226">
        <v>2000</v>
      </c>
      <c r="X296" s="227">
        <v>0</v>
      </c>
      <c r="Y296" s="229">
        <f t="shared" ref="Y296:Y304" si="233">Y251</f>
        <v>0.27882680476347999</v>
      </c>
      <c r="Z296" s="231"/>
      <c r="AC296" s="225">
        <v>2</v>
      </c>
      <c r="AD296" s="226">
        <v>2000</v>
      </c>
      <c r="AE296" s="227">
        <v>0</v>
      </c>
      <c r="AF296" s="227">
        <f t="shared" si="231"/>
        <v>0.27882680476347999</v>
      </c>
      <c r="AN296" s="225">
        <v>2</v>
      </c>
      <c r="AO296" s="226">
        <v>2000</v>
      </c>
      <c r="AP296" s="227">
        <v>0</v>
      </c>
      <c r="AQ296" s="228">
        <v>0.27373866755583054</v>
      </c>
      <c r="AT296" s="225">
        <v>2</v>
      </c>
      <c r="AU296" s="226">
        <v>2000</v>
      </c>
      <c r="AV296" s="227">
        <v>0</v>
      </c>
      <c r="AW296" s="228">
        <f t="shared" ref="AW296:AW304" si="234">AQ296*$AW$1</f>
        <v>0.25096680321506248</v>
      </c>
    </row>
    <row r="297" spans="2:49">
      <c r="B297" s="225">
        <v>3</v>
      </c>
      <c r="C297" s="226">
        <v>10000</v>
      </c>
      <c r="D297" s="227">
        <v>0</v>
      </c>
      <c r="E297" s="228">
        <v>0.25422369999999983</v>
      </c>
      <c r="G297" s="192" t="s">
        <v>4875</v>
      </c>
      <c r="H297" s="225">
        <v>3</v>
      </c>
      <c r="I297" s="226">
        <v>10000</v>
      </c>
      <c r="J297" s="227">
        <v>0</v>
      </c>
      <c r="K297" s="228">
        <f t="shared" si="232"/>
        <v>0.23307525334356471</v>
      </c>
      <c r="O297" s="225">
        <v>3</v>
      </c>
      <c r="P297" s="226">
        <v>10000</v>
      </c>
      <c r="Q297" s="227">
        <v>0</v>
      </c>
      <c r="R297" s="228"/>
      <c r="V297" s="225">
        <v>3</v>
      </c>
      <c r="W297" s="226">
        <v>10000</v>
      </c>
      <c r="X297" s="227">
        <v>0</v>
      </c>
      <c r="Y297" s="229">
        <f t="shared" si="233"/>
        <v>0.25405202614448558</v>
      </c>
      <c r="Z297" s="231"/>
      <c r="AC297" s="225">
        <v>3</v>
      </c>
      <c r="AD297" s="226">
        <v>10000</v>
      </c>
      <c r="AE297" s="227">
        <v>0</v>
      </c>
      <c r="AF297" s="227">
        <f t="shared" si="231"/>
        <v>0.25405202614448558</v>
      </c>
      <c r="AN297" s="225">
        <v>3</v>
      </c>
      <c r="AO297" s="226">
        <v>10000</v>
      </c>
      <c r="AP297" s="227">
        <v>0</v>
      </c>
      <c r="AQ297" s="228">
        <v>0.2493702944063792</v>
      </c>
      <c r="AT297" s="225">
        <v>3</v>
      </c>
      <c r="AU297" s="226">
        <v>10000</v>
      </c>
      <c r="AV297" s="227">
        <v>0</v>
      </c>
      <c r="AW297" s="228">
        <f t="shared" si="234"/>
        <v>0.22862559448676967</v>
      </c>
    </row>
    <row r="298" spans="2:49">
      <c r="B298" s="225">
        <v>4</v>
      </c>
      <c r="C298" s="226">
        <v>50000</v>
      </c>
      <c r="D298" s="227">
        <v>0</v>
      </c>
      <c r="E298" s="228">
        <v>0.21886399999999995</v>
      </c>
      <c r="G298" s="192" t="s">
        <v>4876</v>
      </c>
      <c r="H298" s="225">
        <v>4</v>
      </c>
      <c r="I298" s="226">
        <v>50000</v>
      </c>
      <c r="J298" s="227">
        <v>0</v>
      </c>
      <c r="K298" s="228">
        <f t="shared" si="232"/>
        <v>0.20065706795938368</v>
      </c>
      <c r="O298" s="225">
        <v>4</v>
      </c>
      <c r="P298" s="226">
        <v>50000</v>
      </c>
      <c r="Q298" s="227">
        <v>0</v>
      </c>
      <c r="R298" s="228"/>
      <c r="V298" s="225">
        <v>4</v>
      </c>
      <c r="W298" s="226">
        <v>50000</v>
      </c>
      <c r="X298" s="227">
        <v>0</v>
      </c>
      <c r="Y298" s="229">
        <f t="shared" si="233"/>
        <v>0.21871620407572823</v>
      </c>
      <c r="Z298" s="231"/>
      <c r="AC298" s="225">
        <v>4</v>
      </c>
      <c r="AD298" s="226">
        <v>50000</v>
      </c>
      <c r="AE298" s="227">
        <v>0</v>
      </c>
      <c r="AF298" s="227">
        <f t="shared" si="231"/>
        <v>0.21871620407572823</v>
      </c>
      <c r="AN298" s="225">
        <v>4</v>
      </c>
      <c r="AO298" s="226">
        <v>50000</v>
      </c>
      <c r="AP298" s="227">
        <v>0</v>
      </c>
      <c r="AQ298" s="228">
        <v>0.21472410401022046</v>
      </c>
      <c r="AT298" s="225">
        <v>4</v>
      </c>
      <c r="AU298" s="226">
        <v>50000</v>
      </c>
      <c r="AV298" s="227">
        <v>0</v>
      </c>
      <c r="AW298" s="228">
        <f t="shared" si="234"/>
        <v>0.196861563029537</v>
      </c>
    </row>
    <row r="299" spans="2:49">
      <c r="B299" s="225">
        <v>5</v>
      </c>
      <c r="C299" s="226">
        <v>100000</v>
      </c>
      <c r="D299" s="227">
        <v>0</v>
      </c>
      <c r="E299" s="228">
        <v>0.20543525999999979</v>
      </c>
      <c r="G299" s="192" t="s">
        <v>4877</v>
      </c>
      <c r="H299" s="225">
        <v>5</v>
      </c>
      <c r="I299" s="226">
        <v>100000</v>
      </c>
      <c r="J299" s="227">
        <v>0</v>
      </c>
      <c r="K299" s="228">
        <f t="shared" si="232"/>
        <v>0.1883454424988743</v>
      </c>
      <c r="O299" s="225">
        <v>5</v>
      </c>
      <c r="P299" s="226">
        <v>100000</v>
      </c>
      <c r="Q299" s="227">
        <v>0</v>
      </c>
      <c r="R299" s="228"/>
      <c r="V299" s="225">
        <v>5</v>
      </c>
      <c r="W299" s="226">
        <v>100000</v>
      </c>
      <c r="X299" s="227">
        <v>0</v>
      </c>
      <c r="Y299" s="229">
        <f t="shared" si="233"/>
        <v>0.20529653232377301</v>
      </c>
      <c r="Z299" s="231"/>
      <c r="AC299" s="225">
        <v>5</v>
      </c>
      <c r="AD299" s="226">
        <v>100000</v>
      </c>
      <c r="AE299" s="227">
        <v>0</v>
      </c>
      <c r="AF299" s="227">
        <f t="shared" si="231"/>
        <v>0.20529653232377301</v>
      </c>
      <c r="AN299" s="225">
        <v>5</v>
      </c>
      <c r="AO299" s="226">
        <v>100000</v>
      </c>
      <c r="AP299" s="227">
        <v>0</v>
      </c>
      <c r="AQ299" s="228">
        <v>0.20154528996000659</v>
      </c>
      <c r="AT299" s="225">
        <v>5</v>
      </c>
      <c r="AU299" s="226">
        <v>100000</v>
      </c>
      <c r="AV299" s="227">
        <v>0</v>
      </c>
      <c r="AW299" s="228">
        <f t="shared" si="234"/>
        <v>0.18477907259484769</v>
      </c>
    </row>
    <row r="300" spans="2:49">
      <c r="B300" s="225">
        <v>6</v>
      </c>
      <c r="C300" s="226">
        <v>300000</v>
      </c>
      <c r="D300" s="227">
        <v>0</v>
      </c>
      <c r="E300" s="228">
        <v>0.19097353999999989</v>
      </c>
      <c r="G300" s="192" t="s">
        <v>4878</v>
      </c>
      <c r="H300" s="225">
        <v>6</v>
      </c>
      <c r="I300" s="226">
        <v>300000</v>
      </c>
      <c r="J300" s="227">
        <v>0</v>
      </c>
      <c r="K300" s="228">
        <f t="shared" si="232"/>
        <v>0.17508676892601827</v>
      </c>
      <c r="O300" s="225">
        <v>6</v>
      </c>
      <c r="P300" s="226">
        <v>300000</v>
      </c>
      <c r="Q300" s="227">
        <v>0</v>
      </c>
      <c r="R300" s="228"/>
      <c r="V300" s="225">
        <v>6</v>
      </c>
      <c r="W300" s="226">
        <v>300000</v>
      </c>
      <c r="X300" s="227">
        <v>0</v>
      </c>
      <c r="Y300" s="229">
        <f t="shared" si="233"/>
        <v>0.19084457812935993</v>
      </c>
      <c r="Z300" s="231"/>
      <c r="AC300" s="225">
        <v>6</v>
      </c>
      <c r="AD300" s="226">
        <v>300000</v>
      </c>
      <c r="AE300" s="227">
        <v>0</v>
      </c>
      <c r="AF300" s="227">
        <f t="shared" si="231"/>
        <v>0.19084457812935993</v>
      </c>
      <c r="AN300" s="225">
        <v>6</v>
      </c>
      <c r="AO300" s="226">
        <v>300000</v>
      </c>
      <c r="AP300" s="227">
        <v>0</v>
      </c>
      <c r="AQ300" s="228">
        <v>0.1873718484343054</v>
      </c>
      <c r="AT300" s="225">
        <v>6</v>
      </c>
      <c r="AU300" s="226">
        <v>300000</v>
      </c>
      <c r="AV300" s="227">
        <v>0</v>
      </c>
      <c r="AW300" s="228">
        <f t="shared" si="234"/>
        <v>0.17178469608961625</v>
      </c>
    </row>
    <row r="301" spans="2:49">
      <c r="B301" s="225">
        <v>7</v>
      </c>
      <c r="C301" s="226">
        <v>600000</v>
      </c>
      <c r="D301" s="227">
        <v>0</v>
      </c>
      <c r="E301" s="228">
        <v>0.17381017999999981</v>
      </c>
      <c r="G301" s="192" t="s">
        <v>4879</v>
      </c>
      <c r="H301" s="225">
        <v>7</v>
      </c>
      <c r="I301" s="226">
        <v>600000</v>
      </c>
      <c r="J301" s="227">
        <v>0</v>
      </c>
      <c r="K301" s="228">
        <f t="shared" si="232"/>
        <v>0.15935120029010108</v>
      </c>
      <c r="O301" s="225">
        <v>7</v>
      </c>
      <c r="P301" s="226">
        <v>600000</v>
      </c>
      <c r="Q301" s="227">
        <v>0</v>
      </c>
      <c r="R301" s="228"/>
      <c r="V301" s="225">
        <v>7</v>
      </c>
      <c r="W301" s="226">
        <v>600000</v>
      </c>
      <c r="X301" s="227">
        <v>0</v>
      </c>
      <c r="Y301" s="229">
        <f t="shared" si="233"/>
        <v>0.1736928083162102</v>
      </c>
      <c r="Z301" s="231"/>
      <c r="AC301" s="225">
        <v>7</v>
      </c>
      <c r="AD301" s="226">
        <v>600000</v>
      </c>
      <c r="AE301" s="227">
        <v>0</v>
      </c>
      <c r="AF301" s="227">
        <f t="shared" si="231"/>
        <v>0.1736928083162102</v>
      </c>
      <c r="AN301" s="225">
        <v>7</v>
      </c>
      <c r="AO301" s="226">
        <v>600000</v>
      </c>
      <c r="AP301" s="227">
        <v>0</v>
      </c>
      <c r="AQ301" s="228">
        <v>0.17054606697396946</v>
      </c>
      <c r="AT301" s="225">
        <v>7</v>
      </c>
      <c r="AU301" s="226">
        <v>600000</v>
      </c>
      <c r="AV301" s="227">
        <v>0</v>
      </c>
      <c r="AW301" s="228">
        <f t="shared" si="234"/>
        <v>0.15635862339627074</v>
      </c>
    </row>
    <row r="302" spans="2:49">
      <c r="B302" s="225">
        <v>8</v>
      </c>
      <c r="C302" s="226">
        <v>1500000</v>
      </c>
      <c r="D302" s="227">
        <v>0</v>
      </c>
      <c r="E302" s="228">
        <v>0.17301557999999995</v>
      </c>
      <c r="G302" s="192" t="s">
        <v>4880</v>
      </c>
      <c r="H302" s="225">
        <v>8</v>
      </c>
      <c r="I302" s="226">
        <v>1500000</v>
      </c>
      <c r="J302" s="227">
        <v>0</v>
      </c>
      <c r="K302" s="228">
        <f t="shared" si="232"/>
        <v>0.15862270174214207</v>
      </c>
      <c r="O302" s="225">
        <v>8</v>
      </c>
      <c r="P302" s="226">
        <v>1500000</v>
      </c>
      <c r="Q302" s="227">
        <v>0</v>
      </c>
      <c r="R302" s="228"/>
      <c r="V302" s="225">
        <v>8</v>
      </c>
      <c r="W302" s="226">
        <v>1500000</v>
      </c>
      <c r="X302" s="227">
        <v>0</v>
      </c>
      <c r="Y302" s="229">
        <f t="shared" si="233"/>
        <v>0.17289874489893486</v>
      </c>
      <c r="Z302" s="231"/>
      <c r="AC302" s="225">
        <v>8</v>
      </c>
      <c r="AD302" s="226">
        <v>1500000</v>
      </c>
      <c r="AE302" s="227">
        <v>0</v>
      </c>
      <c r="AF302" s="227">
        <f t="shared" si="231"/>
        <v>0.17289874489893486</v>
      </c>
      <c r="AN302" s="225">
        <v>8</v>
      </c>
      <c r="AO302" s="226">
        <v>1500000</v>
      </c>
      <c r="AP302" s="227">
        <v>0</v>
      </c>
      <c r="AQ302" s="228">
        <v>0.16971721074439641</v>
      </c>
      <c r="AT302" s="225">
        <v>8</v>
      </c>
      <c r="AU302" s="226">
        <v>1500000</v>
      </c>
      <c r="AV302" s="227">
        <v>0</v>
      </c>
      <c r="AW302" s="228">
        <f t="shared" si="234"/>
        <v>0.1555987183374854</v>
      </c>
    </row>
    <row r="303" spans="2:49">
      <c r="B303" s="225">
        <v>9</v>
      </c>
      <c r="C303" s="226">
        <v>3000000</v>
      </c>
      <c r="D303" s="227">
        <v>0</v>
      </c>
      <c r="E303" s="228">
        <v>0.17198259999999976</v>
      </c>
      <c r="G303" s="192" t="s">
        <v>4881</v>
      </c>
      <c r="H303" s="225">
        <v>9</v>
      </c>
      <c r="I303" s="226">
        <v>3000000</v>
      </c>
      <c r="J303" s="227">
        <v>0</v>
      </c>
      <c r="K303" s="228">
        <f t="shared" si="232"/>
        <v>0.15767565362979505</v>
      </c>
      <c r="O303" s="225">
        <v>9</v>
      </c>
      <c r="P303" s="226">
        <v>3000000</v>
      </c>
      <c r="Q303" s="227">
        <v>0</v>
      </c>
      <c r="R303" s="228"/>
      <c r="V303" s="225">
        <v>9</v>
      </c>
      <c r="W303" s="226">
        <v>3000000</v>
      </c>
      <c r="X303" s="227">
        <v>0</v>
      </c>
      <c r="Y303" s="229">
        <f t="shared" si="233"/>
        <v>0.1718664624564766</v>
      </c>
      <c r="Z303" s="231"/>
      <c r="AC303" s="225">
        <v>9</v>
      </c>
      <c r="AD303" s="226">
        <v>3000000</v>
      </c>
      <c r="AE303" s="227">
        <v>0</v>
      </c>
      <c r="AF303" s="227">
        <f t="shared" si="231"/>
        <v>0.1718664624564766</v>
      </c>
      <c r="AN303" s="225">
        <v>9</v>
      </c>
      <c r="AO303" s="226">
        <v>3000000</v>
      </c>
      <c r="AP303" s="227">
        <v>0</v>
      </c>
      <c r="AQ303" s="228">
        <v>0.16872258326890868</v>
      </c>
      <c r="AT303" s="225">
        <v>9</v>
      </c>
      <c r="AU303" s="226">
        <v>3000000</v>
      </c>
      <c r="AV303" s="227">
        <v>0</v>
      </c>
      <c r="AW303" s="228">
        <f t="shared" si="234"/>
        <v>0.15468683226694288</v>
      </c>
    </row>
    <row r="304" spans="2:49">
      <c r="B304" s="225">
        <v>10</v>
      </c>
      <c r="C304" s="226">
        <v>999999999</v>
      </c>
      <c r="D304" s="227">
        <v>0</v>
      </c>
      <c r="E304" s="228">
        <v>0.16729445999999992</v>
      </c>
      <c r="G304" s="192" t="s">
        <v>4882</v>
      </c>
      <c r="H304" s="225">
        <v>10</v>
      </c>
      <c r="I304" s="226">
        <v>999999999</v>
      </c>
      <c r="J304" s="227">
        <v>0</v>
      </c>
      <c r="K304" s="228">
        <f t="shared" si="232"/>
        <v>0.15337751219683635</v>
      </c>
      <c r="O304" s="225">
        <v>10</v>
      </c>
      <c r="P304" s="226">
        <v>999999999</v>
      </c>
      <c r="Q304" s="227">
        <v>0</v>
      </c>
      <c r="R304" s="228"/>
      <c r="V304" s="225">
        <v>10</v>
      </c>
      <c r="W304" s="226">
        <v>999999999</v>
      </c>
      <c r="X304" s="227">
        <v>0</v>
      </c>
      <c r="Y304" s="229">
        <f t="shared" si="233"/>
        <v>0.16718148829455162</v>
      </c>
      <c r="Z304" s="231"/>
      <c r="AC304" s="225">
        <v>10</v>
      </c>
      <c r="AD304" s="226">
        <v>999999999</v>
      </c>
      <c r="AE304" s="227">
        <v>0</v>
      </c>
      <c r="AF304" s="227">
        <f t="shared" si="231"/>
        <v>0.16718148829455162</v>
      </c>
      <c r="AN304" s="225">
        <v>10</v>
      </c>
      <c r="AO304" s="226">
        <v>999999999</v>
      </c>
      <c r="AP304" s="227">
        <v>0</v>
      </c>
      <c r="AQ304" s="228">
        <v>0.16416387400625645</v>
      </c>
      <c r="AT304" s="225">
        <v>10</v>
      </c>
      <c r="AU304" s="226">
        <v>999999999</v>
      </c>
      <c r="AV304" s="227">
        <v>0</v>
      </c>
      <c r="AW304" s="228">
        <f t="shared" si="234"/>
        <v>0.15050735444362304</v>
      </c>
    </row>
  </sheetData>
  <mergeCells count="488">
    <mergeCell ref="AT291:AU291"/>
    <mergeCell ref="AN292:AO292"/>
    <mergeCell ref="AT292:AU292"/>
    <mergeCell ref="AN293:AN294"/>
    <mergeCell ref="AO293:AO294"/>
    <mergeCell ref="AT293:AT294"/>
    <mergeCell ref="AU293:AU294"/>
    <mergeCell ref="AT263:AT264"/>
    <mergeCell ref="AU263:AU264"/>
    <mergeCell ref="AN276:AO276"/>
    <mergeCell ref="AT276:AU276"/>
    <mergeCell ref="AN277:AO277"/>
    <mergeCell ref="AT277:AU277"/>
    <mergeCell ref="AN278:AN279"/>
    <mergeCell ref="AO278:AO279"/>
    <mergeCell ref="AT278:AT279"/>
    <mergeCell ref="AU278:AU279"/>
    <mergeCell ref="AT247:AU247"/>
    <mergeCell ref="AN248:AN249"/>
    <mergeCell ref="AO248:AO249"/>
    <mergeCell ref="AT248:AT249"/>
    <mergeCell ref="AU248:AU249"/>
    <mergeCell ref="AN261:AO261"/>
    <mergeCell ref="AT261:AU261"/>
    <mergeCell ref="AN262:AO262"/>
    <mergeCell ref="AT262:AU262"/>
    <mergeCell ref="AT231:AU231"/>
    <mergeCell ref="AN232:AO232"/>
    <mergeCell ref="AT232:AU232"/>
    <mergeCell ref="AN233:AN234"/>
    <mergeCell ref="AO233:AO234"/>
    <mergeCell ref="AT233:AT234"/>
    <mergeCell ref="AU233:AU234"/>
    <mergeCell ref="AN246:AO246"/>
    <mergeCell ref="AT246:AU246"/>
    <mergeCell ref="V291:W291"/>
    <mergeCell ref="AC291:AD291"/>
    <mergeCell ref="B292:C292"/>
    <mergeCell ref="H292:I292"/>
    <mergeCell ref="B293:B294"/>
    <mergeCell ref="C293:C294"/>
    <mergeCell ref="H293:H294"/>
    <mergeCell ref="I293:I294"/>
    <mergeCell ref="AN231:AO231"/>
    <mergeCell ref="AN247:AO247"/>
    <mergeCell ref="AN263:AN264"/>
    <mergeCell ref="AO263:AO264"/>
    <mergeCell ref="AN291:AO291"/>
    <mergeCell ref="B277:C277"/>
    <mergeCell ref="H277:I277"/>
    <mergeCell ref="B278:B279"/>
    <mergeCell ref="C278:C279"/>
    <mergeCell ref="H278:H279"/>
    <mergeCell ref="I278:I279"/>
    <mergeCell ref="B291:C291"/>
    <mergeCell ref="H291:I291"/>
    <mergeCell ref="O291:P291"/>
    <mergeCell ref="B263:B264"/>
    <mergeCell ref="C263:C264"/>
    <mergeCell ref="H263:H264"/>
    <mergeCell ref="I263:I264"/>
    <mergeCell ref="B276:C276"/>
    <mergeCell ref="H276:I276"/>
    <mergeCell ref="O276:P276"/>
    <mergeCell ref="V276:W276"/>
    <mergeCell ref="AC276:AD276"/>
    <mergeCell ref="B247:C247"/>
    <mergeCell ref="H247:I247"/>
    <mergeCell ref="B248:B249"/>
    <mergeCell ref="C248:C249"/>
    <mergeCell ref="H248:H249"/>
    <mergeCell ref="I248:I249"/>
    <mergeCell ref="B261:C261"/>
    <mergeCell ref="H261:I261"/>
    <mergeCell ref="B262:C262"/>
    <mergeCell ref="H262:I262"/>
    <mergeCell ref="B231:C231"/>
    <mergeCell ref="H231:I231"/>
    <mergeCell ref="B232:C232"/>
    <mergeCell ref="H232:I232"/>
    <mergeCell ref="B233:B234"/>
    <mergeCell ref="C233:C234"/>
    <mergeCell ref="H233:H234"/>
    <mergeCell ref="I233:I234"/>
    <mergeCell ref="B246:C246"/>
    <mergeCell ref="H246:I246"/>
    <mergeCell ref="B196:B197"/>
    <mergeCell ref="C196:C197"/>
    <mergeCell ref="B209:C209"/>
    <mergeCell ref="B210:C210"/>
    <mergeCell ref="B211:B212"/>
    <mergeCell ref="C211:C212"/>
    <mergeCell ref="B167:C167"/>
    <mergeCell ref="B168:B169"/>
    <mergeCell ref="C168:C169"/>
    <mergeCell ref="B180:C180"/>
    <mergeCell ref="B181:C181"/>
    <mergeCell ref="B182:B183"/>
    <mergeCell ref="C182:C183"/>
    <mergeCell ref="B194:C194"/>
    <mergeCell ref="B195:C195"/>
    <mergeCell ref="B136:C136"/>
    <mergeCell ref="B137:C137"/>
    <mergeCell ref="B138:B139"/>
    <mergeCell ref="C138:C139"/>
    <mergeCell ref="B151:C151"/>
    <mergeCell ref="B152:C152"/>
    <mergeCell ref="B153:B154"/>
    <mergeCell ref="C153:C154"/>
    <mergeCell ref="B166:C166"/>
    <mergeCell ref="B95:B96"/>
    <mergeCell ref="C95:C96"/>
    <mergeCell ref="B108:C108"/>
    <mergeCell ref="B109:C109"/>
    <mergeCell ref="B110:B111"/>
    <mergeCell ref="C110:C111"/>
    <mergeCell ref="B122:C122"/>
    <mergeCell ref="B123:C123"/>
    <mergeCell ref="B124:B125"/>
    <mergeCell ref="C124:C125"/>
    <mergeCell ref="B64:C64"/>
    <mergeCell ref="B65:B66"/>
    <mergeCell ref="C65:C66"/>
    <mergeCell ref="B78:C78"/>
    <mergeCell ref="B79:C79"/>
    <mergeCell ref="B80:B81"/>
    <mergeCell ref="C80:C81"/>
    <mergeCell ref="B93:C93"/>
    <mergeCell ref="B94:C94"/>
    <mergeCell ref="B33:C33"/>
    <mergeCell ref="B34:C34"/>
    <mergeCell ref="B35:B36"/>
    <mergeCell ref="C35:C36"/>
    <mergeCell ref="B48:C48"/>
    <mergeCell ref="B49:C49"/>
    <mergeCell ref="B50:B51"/>
    <mergeCell ref="C50:C51"/>
    <mergeCell ref="B63:C63"/>
    <mergeCell ref="B3:C3"/>
    <mergeCell ref="B4:C4"/>
    <mergeCell ref="B5:B6"/>
    <mergeCell ref="C5:C6"/>
    <mergeCell ref="D5:E5"/>
    <mergeCell ref="B18:C18"/>
    <mergeCell ref="B19:C19"/>
    <mergeCell ref="B20:B21"/>
    <mergeCell ref="C20:C21"/>
    <mergeCell ref="AC211:AC212"/>
    <mergeCell ref="AD211:AD212"/>
    <mergeCell ref="AE211:AF211"/>
    <mergeCell ref="H210:I210"/>
    <mergeCell ref="O210:P210"/>
    <mergeCell ref="V210:W210"/>
    <mergeCell ref="AC210:AD210"/>
    <mergeCell ref="H211:H212"/>
    <mergeCell ref="I211:I212"/>
    <mergeCell ref="O211:O212"/>
    <mergeCell ref="P211:P212"/>
    <mergeCell ref="V211:V212"/>
    <mergeCell ref="W211:W212"/>
    <mergeCell ref="AC196:AC197"/>
    <mergeCell ref="AD196:AD197"/>
    <mergeCell ref="AE196:AF196"/>
    <mergeCell ref="H209:I209"/>
    <mergeCell ref="O209:P209"/>
    <mergeCell ref="V209:W209"/>
    <mergeCell ref="AC209:AD209"/>
    <mergeCell ref="H195:I195"/>
    <mergeCell ref="O195:P195"/>
    <mergeCell ref="V195:W195"/>
    <mergeCell ref="AC195:AD195"/>
    <mergeCell ref="H196:H197"/>
    <mergeCell ref="I196:I197"/>
    <mergeCell ref="O196:O197"/>
    <mergeCell ref="P196:P197"/>
    <mergeCell ref="V196:V197"/>
    <mergeCell ref="W196:W197"/>
    <mergeCell ref="AC182:AC183"/>
    <mergeCell ref="AD182:AD183"/>
    <mergeCell ref="AE182:AF182"/>
    <mergeCell ref="H194:I194"/>
    <mergeCell ref="O194:P194"/>
    <mergeCell ref="V194:W194"/>
    <mergeCell ref="AC194:AD194"/>
    <mergeCell ref="H181:I181"/>
    <mergeCell ref="O181:P181"/>
    <mergeCell ref="V181:W181"/>
    <mergeCell ref="AC181:AD181"/>
    <mergeCell ref="H182:H183"/>
    <mergeCell ref="I182:I183"/>
    <mergeCell ref="O182:O183"/>
    <mergeCell ref="P182:P183"/>
    <mergeCell ref="V182:V183"/>
    <mergeCell ref="W182:W183"/>
    <mergeCell ref="AC168:AC169"/>
    <mergeCell ref="AD168:AD169"/>
    <mergeCell ref="AE168:AF168"/>
    <mergeCell ref="H180:I180"/>
    <mergeCell ref="O180:P180"/>
    <mergeCell ref="V180:W180"/>
    <mergeCell ref="AC180:AD180"/>
    <mergeCell ref="H167:I167"/>
    <mergeCell ref="O167:P167"/>
    <mergeCell ref="V167:W167"/>
    <mergeCell ref="AC167:AD167"/>
    <mergeCell ref="H168:H169"/>
    <mergeCell ref="I168:I169"/>
    <mergeCell ref="O168:O169"/>
    <mergeCell ref="P168:P169"/>
    <mergeCell ref="V168:V169"/>
    <mergeCell ref="W168:W169"/>
    <mergeCell ref="AC153:AC154"/>
    <mergeCell ref="AD153:AD154"/>
    <mergeCell ref="AE153:AF153"/>
    <mergeCell ref="H166:I166"/>
    <mergeCell ref="O166:P166"/>
    <mergeCell ref="V166:W166"/>
    <mergeCell ref="AC166:AD166"/>
    <mergeCell ref="H152:I152"/>
    <mergeCell ref="O152:P152"/>
    <mergeCell ref="V152:W152"/>
    <mergeCell ref="AC152:AD152"/>
    <mergeCell ref="H153:H154"/>
    <mergeCell ref="I153:I154"/>
    <mergeCell ref="O153:O154"/>
    <mergeCell ref="P153:P154"/>
    <mergeCell ref="V153:V154"/>
    <mergeCell ref="W153:W154"/>
    <mergeCell ref="AC138:AC139"/>
    <mergeCell ref="AD138:AD139"/>
    <mergeCell ref="AE138:AF138"/>
    <mergeCell ref="H151:I151"/>
    <mergeCell ref="O151:P151"/>
    <mergeCell ref="V151:W151"/>
    <mergeCell ref="AC151:AD151"/>
    <mergeCell ref="H137:I137"/>
    <mergeCell ref="O137:P137"/>
    <mergeCell ref="V137:W137"/>
    <mergeCell ref="AC137:AD137"/>
    <mergeCell ref="H138:H139"/>
    <mergeCell ref="I138:I139"/>
    <mergeCell ref="O138:O139"/>
    <mergeCell ref="P138:P139"/>
    <mergeCell ref="V138:V139"/>
    <mergeCell ref="W138:W139"/>
    <mergeCell ref="AC124:AC125"/>
    <mergeCell ref="AD124:AD125"/>
    <mergeCell ref="AE124:AF124"/>
    <mergeCell ref="H136:I136"/>
    <mergeCell ref="O136:P136"/>
    <mergeCell ref="V136:W136"/>
    <mergeCell ref="AC136:AD136"/>
    <mergeCell ref="H123:I123"/>
    <mergeCell ref="O123:P123"/>
    <mergeCell ref="V123:W123"/>
    <mergeCell ref="AC123:AD123"/>
    <mergeCell ref="H124:H125"/>
    <mergeCell ref="I124:I125"/>
    <mergeCell ref="O124:O125"/>
    <mergeCell ref="P124:P125"/>
    <mergeCell ref="V124:V125"/>
    <mergeCell ref="W124:W125"/>
    <mergeCell ref="AC110:AC111"/>
    <mergeCell ref="AD110:AD111"/>
    <mergeCell ref="AE110:AF110"/>
    <mergeCell ref="H122:I122"/>
    <mergeCell ref="O122:P122"/>
    <mergeCell ref="V122:W122"/>
    <mergeCell ref="AC122:AD122"/>
    <mergeCell ref="H109:I109"/>
    <mergeCell ref="O109:P109"/>
    <mergeCell ref="V109:W109"/>
    <mergeCell ref="AC109:AD109"/>
    <mergeCell ref="H110:H111"/>
    <mergeCell ref="I110:I111"/>
    <mergeCell ref="O110:O111"/>
    <mergeCell ref="P110:P111"/>
    <mergeCell ref="V110:V111"/>
    <mergeCell ref="W110:W111"/>
    <mergeCell ref="AC95:AC96"/>
    <mergeCell ref="AD95:AD96"/>
    <mergeCell ref="AE95:AF95"/>
    <mergeCell ref="H108:I108"/>
    <mergeCell ref="O108:P108"/>
    <mergeCell ref="V108:W108"/>
    <mergeCell ref="AC108:AD108"/>
    <mergeCell ref="H94:I94"/>
    <mergeCell ref="O94:P94"/>
    <mergeCell ref="V94:W94"/>
    <mergeCell ref="AC94:AD94"/>
    <mergeCell ref="H95:H96"/>
    <mergeCell ref="I95:I96"/>
    <mergeCell ref="O95:O96"/>
    <mergeCell ref="P95:P96"/>
    <mergeCell ref="V95:V96"/>
    <mergeCell ref="W95:W96"/>
    <mergeCell ref="AC80:AC81"/>
    <mergeCell ref="AD80:AD81"/>
    <mergeCell ref="AE80:AF80"/>
    <mergeCell ref="H93:I93"/>
    <mergeCell ref="O93:P93"/>
    <mergeCell ref="V93:W93"/>
    <mergeCell ref="AC93:AD93"/>
    <mergeCell ref="H79:I79"/>
    <mergeCell ref="O79:P79"/>
    <mergeCell ref="V79:W79"/>
    <mergeCell ref="AC79:AD79"/>
    <mergeCell ref="H80:H81"/>
    <mergeCell ref="I80:I81"/>
    <mergeCell ref="O80:O81"/>
    <mergeCell ref="P80:P81"/>
    <mergeCell ref="V80:V81"/>
    <mergeCell ref="W80:W81"/>
    <mergeCell ref="AC65:AC66"/>
    <mergeCell ref="AD65:AD66"/>
    <mergeCell ref="AE65:AF65"/>
    <mergeCell ref="H78:I78"/>
    <mergeCell ref="O78:P78"/>
    <mergeCell ref="V78:W78"/>
    <mergeCell ref="AC78:AD78"/>
    <mergeCell ref="H64:I64"/>
    <mergeCell ref="O64:P64"/>
    <mergeCell ref="V64:W64"/>
    <mergeCell ref="AC64:AD64"/>
    <mergeCell ref="H65:H66"/>
    <mergeCell ref="I65:I66"/>
    <mergeCell ref="O65:O66"/>
    <mergeCell ref="P65:P66"/>
    <mergeCell ref="V65:V66"/>
    <mergeCell ref="W65:W66"/>
    <mergeCell ref="AC50:AC51"/>
    <mergeCell ref="AD50:AD51"/>
    <mergeCell ref="AE50:AF50"/>
    <mergeCell ref="H63:I63"/>
    <mergeCell ref="O63:P63"/>
    <mergeCell ref="V63:W63"/>
    <mergeCell ref="AC63:AD63"/>
    <mergeCell ref="H49:I49"/>
    <mergeCell ref="O49:P49"/>
    <mergeCell ref="V49:W49"/>
    <mergeCell ref="AC49:AD49"/>
    <mergeCell ref="H50:H51"/>
    <mergeCell ref="I50:I51"/>
    <mergeCell ref="O50:O51"/>
    <mergeCell ref="P50:P51"/>
    <mergeCell ref="V50:V51"/>
    <mergeCell ref="W50:W51"/>
    <mergeCell ref="AC35:AC36"/>
    <mergeCell ref="AD35:AD36"/>
    <mergeCell ref="AE35:AF35"/>
    <mergeCell ref="H48:I48"/>
    <mergeCell ref="O48:P48"/>
    <mergeCell ref="V48:W48"/>
    <mergeCell ref="AC48:AD48"/>
    <mergeCell ref="H34:I34"/>
    <mergeCell ref="O34:P34"/>
    <mergeCell ref="V34:W34"/>
    <mergeCell ref="AC34:AD34"/>
    <mergeCell ref="H35:H36"/>
    <mergeCell ref="I35:I36"/>
    <mergeCell ref="O35:O36"/>
    <mergeCell ref="P35:P36"/>
    <mergeCell ref="V35:V36"/>
    <mergeCell ref="W35:W36"/>
    <mergeCell ref="AC20:AC21"/>
    <mergeCell ref="AD20:AD21"/>
    <mergeCell ref="AE20:AF20"/>
    <mergeCell ref="H33:I33"/>
    <mergeCell ref="O33:P33"/>
    <mergeCell ref="V33:W33"/>
    <mergeCell ref="AC33:AD33"/>
    <mergeCell ref="H19:I19"/>
    <mergeCell ref="O19:P19"/>
    <mergeCell ref="V19:W19"/>
    <mergeCell ref="AC19:AD19"/>
    <mergeCell ref="H20:H21"/>
    <mergeCell ref="I20:I21"/>
    <mergeCell ref="O20:O21"/>
    <mergeCell ref="P20:P21"/>
    <mergeCell ref="V20:V21"/>
    <mergeCell ref="W20:W21"/>
    <mergeCell ref="AE5:AF5"/>
    <mergeCell ref="H18:I18"/>
    <mergeCell ref="O18:P18"/>
    <mergeCell ref="V18:W18"/>
    <mergeCell ref="AC18:AD18"/>
    <mergeCell ref="H5:H6"/>
    <mergeCell ref="I5:I6"/>
    <mergeCell ref="J5:K5"/>
    <mergeCell ref="O5:O6"/>
    <mergeCell ref="P5:P6"/>
    <mergeCell ref="V5:V6"/>
    <mergeCell ref="H3:I3"/>
    <mergeCell ref="O3:P3"/>
    <mergeCell ref="V3:W3"/>
    <mergeCell ref="AC3:AD3"/>
    <mergeCell ref="H4:I4"/>
    <mergeCell ref="O4:P4"/>
    <mergeCell ref="V4:W4"/>
    <mergeCell ref="AC4:AD4"/>
    <mergeCell ref="W5:W6"/>
    <mergeCell ref="AC5:AC6"/>
    <mergeCell ref="AD5:AD6"/>
    <mergeCell ref="V224:W224"/>
    <mergeCell ref="V225:W225"/>
    <mergeCell ref="V226:V227"/>
    <mergeCell ref="W226:W227"/>
    <mergeCell ref="AC224:AD224"/>
    <mergeCell ref="AC225:AD225"/>
    <mergeCell ref="AC226:AC227"/>
    <mergeCell ref="AD226:AD227"/>
    <mergeCell ref="B224:C224"/>
    <mergeCell ref="B225:C225"/>
    <mergeCell ref="B226:B227"/>
    <mergeCell ref="C226:C227"/>
    <mergeCell ref="H224:I224"/>
    <mergeCell ref="H225:I225"/>
    <mergeCell ref="H226:H227"/>
    <mergeCell ref="I226:I227"/>
    <mergeCell ref="O224:P224"/>
    <mergeCell ref="O225:P225"/>
    <mergeCell ref="O226:O227"/>
    <mergeCell ref="P226:P227"/>
    <mergeCell ref="AN3:AO3"/>
    <mergeCell ref="AN4:AO4"/>
    <mergeCell ref="AN5:AN6"/>
    <mergeCell ref="AO5:AO6"/>
    <mergeCell ref="AP5:AQ5"/>
    <mergeCell ref="AN18:AO18"/>
    <mergeCell ref="AN19:AO19"/>
    <mergeCell ref="AN20:AN21"/>
    <mergeCell ref="AO20:AO21"/>
    <mergeCell ref="AN33:AO33"/>
    <mergeCell ref="AN34:AO34"/>
    <mergeCell ref="AN35:AN36"/>
    <mergeCell ref="AO35:AO36"/>
    <mergeCell ref="AN48:AO48"/>
    <mergeCell ref="AN49:AO49"/>
    <mergeCell ref="AN50:AN51"/>
    <mergeCell ref="AO50:AO51"/>
    <mergeCell ref="AN63:AO63"/>
    <mergeCell ref="AN64:AO64"/>
    <mergeCell ref="AN65:AN66"/>
    <mergeCell ref="AO65:AO66"/>
    <mergeCell ref="AN78:AO78"/>
    <mergeCell ref="AN79:AO79"/>
    <mergeCell ref="AN80:AN81"/>
    <mergeCell ref="AO80:AO81"/>
    <mergeCell ref="AN93:AO93"/>
    <mergeCell ref="AN94:AO94"/>
    <mergeCell ref="AN95:AN96"/>
    <mergeCell ref="AO95:AO96"/>
    <mergeCell ref="AN108:AO108"/>
    <mergeCell ref="AN109:AO109"/>
    <mergeCell ref="AN110:AN111"/>
    <mergeCell ref="AO110:AO111"/>
    <mergeCell ref="AN122:AO122"/>
    <mergeCell ref="AN123:AO123"/>
    <mergeCell ref="AN124:AN125"/>
    <mergeCell ref="AO124:AO125"/>
    <mergeCell ref="AN136:AO136"/>
    <mergeCell ref="AN137:AO137"/>
    <mergeCell ref="AN138:AN139"/>
    <mergeCell ref="AO138:AO139"/>
    <mergeCell ref="AN151:AO151"/>
    <mergeCell ref="AN152:AO152"/>
    <mergeCell ref="AN153:AN154"/>
    <mergeCell ref="AO153:AO154"/>
    <mergeCell ref="AN166:AO166"/>
    <mergeCell ref="AN167:AO167"/>
    <mergeCell ref="AN168:AN169"/>
    <mergeCell ref="AO168:AO169"/>
    <mergeCell ref="AN180:AO180"/>
    <mergeCell ref="AN181:AO181"/>
    <mergeCell ref="AN182:AN183"/>
    <mergeCell ref="AO182:AO183"/>
    <mergeCell ref="AN194:AO194"/>
    <mergeCell ref="AN195:AO195"/>
    <mergeCell ref="AN196:AN197"/>
    <mergeCell ref="AO196:AO197"/>
    <mergeCell ref="AN209:AO209"/>
    <mergeCell ref="AN210:AO210"/>
    <mergeCell ref="AN211:AN212"/>
    <mergeCell ref="AO211:AO212"/>
    <mergeCell ref="AN224:AO224"/>
    <mergeCell ref="AN225:AO225"/>
    <mergeCell ref="AN226:AN227"/>
    <mergeCell ref="AO226:AO227"/>
  </mergeCells>
  <dataValidations count="1">
    <dataValidation type="list" allowBlank="1" showInputMessage="1" showErrorMessage="1" sqref="H4:I4 H79:I79 H64:I64 H49:I49 H34:I34 H19:I19 O4:P4 O79:P79 O64:P64 O49:P49 O34:P34 O19:P19 H94:I94 O109:P109 AC4:AD4 AC79:AD79 AC64:AD64 AC49:AD49 AC34:AD34 AC19:AD19 AC109:AD109 V4:W4 V79:W79 V64:W64 V49:W49 V34:W34 V19:W19 V109:W109 H109:I109 O123:P123 AC123:AD123 V123:W123 H123:I123 O137:P137 AC137:AD137 V137:W137 H137:I137 O152:P152 AC152:AD152 V152:W152 H167:I167 O167:P167 AC167:AD167 V167:W167 H181:I181 O181:P181 AC181:AD181 V181:W181 H195:I195 O195:P195 AC195:AD195 V195:W195 H210:I210 O210:P210 AC210:AD210 V210:W210 B4:C4 B79:C79 B64:C64 B49:C49 B34:C34 B19:C19 B109:C109 B123:C123 B137:C137 B152:C152 B167:C167 B181:C181 B195:C195 B210:C210 H152:I152 B225:C225 H225:I225 O225:P225 V225:W225 AC225:AD225 AN4:AO4 AN79:AO79 AN64:AO64 AN49:AO49 AN34:AO34 AN19:AO19 AN109:AO109 AN123:AO123 AN137:AO137 AN152:AO152 AN167:AO167 AN181:AO181 AN195:AO195 AN210:AO210 AN225:AO225 AT4:AU4 AT79:AU79 AT64:AU64 AT49:AU49 AT34:AU34 AT19:AU19 AT94:AU94 AT109:AU109 AT123:AU123 AT137:AU137 AT167:AU167 AT181:AU181 AT195:AU195 AT210:AU210 AT152:AU152 AT225:AU225 B232:C232 B247:C247 B262:C262 B277:C277 B292:C292 H232:I232 H247:I247 H262:I262 H277:I277 H292:I292 O232:P232 O247:P247 O262:P262 O277:P277 O292:P292 V232:W232 V247:W247 V262:W262 V277:W277 V292:W292 AC232:AD232 AC247:AD247 AC262:AD262 AC277:AD277 AC292:AD292 AN232:AO232 AN247:AO247 AN262:AO262 AN277:AO277 AN292:AO292 AT232:AU232 AT247:AU247 AT262:AU262 AT277:AU277 AT292:AU292" xr:uid="{A437E92D-8552-45CE-818C-538344CF2EEB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&amp;L&amp;"Calibri"&amp;10&amp;K000000 Interno&amp;1#_x000D_</oddHeader>
    <oddFooter>&amp;L_x000D_&amp;1#&amp;"Calibri"&amp;10&amp;K000000 Interno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D438D-9C64-46C2-B11F-0D6A345726AF}">
  <sheetPr>
    <tabColor theme="4" tint="0.79998168889431442"/>
  </sheetPr>
  <dimension ref="A1:AJ221"/>
  <sheetViews>
    <sheetView showGridLines="0" topLeftCell="A130" zoomScale="85" zoomScaleNormal="85" workbookViewId="0">
      <selection activeCell="T169" sqref="T169"/>
    </sheetView>
  </sheetViews>
  <sheetFormatPr defaultColWidth="11.42578125" defaultRowHeight="11.45"/>
  <cols>
    <col min="1" max="1" width="11.42578125" style="50"/>
    <col min="2" max="2" width="41" style="50" customWidth="1"/>
    <col min="3" max="3" width="11" style="50" customWidth="1"/>
    <col min="4" max="5" width="13.5703125" style="50" customWidth="1"/>
    <col min="6" max="10" width="15.140625" style="50" bestFit="1" customWidth="1"/>
    <col min="11" max="11" width="15.140625" style="50" customWidth="1"/>
    <col min="12" max="12" width="11.42578125" style="50"/>
    <col min="13" max="18" width="13" style="50" customWidth="1"/>
    <col min="19" max="19" width="2.7109375" style="50" customWidth="1"/>
    <col min="20" max="20" width="15.140625" style="50" bestFit="1" customWidth="1"/>
    <col min="21" max="21" width="4.28515625" style="50" customWidth="1"/>
    <col min="22" max="29" width="11.42578125" style="50" customWidth="1"/>
    <col min="30" max="30" width="3.85546875" style="50" customWidth="1"/>
    <col min="31" max="37" width="11.42578125" style="50" customWidth="1"/>
    <col min="38" max="16384" width="11.42578125" style="50"/>
  </cols>
  <sheetData>
    <row r="1" spans="1:36">
      <c r="F1" s="50" t="s">
        <v>4926</v>
      </c>
      <c r="M1" s="50" t="s">
        <v>4927</v>
      </c>
      <c r="V1" s="298" t="s">
        <v>4928</v>
      </c>
      <c r="X1" s="50" t="s">
        <v>4926</v>
      </c>
      <c r="AE1" s="50" t="s">
        <v>4927</v>
      </c>
    </row>
    <row r="2" spans="1:36">
      <c r="B2" s="195" t="s">
        <v>4749</v>
      </c>
      <c r="C2" s="196" t="s">
        <v>4750</v>
      </c>
      <c r="D2" s="196" t="s">
        <v>4929</v>
      </c>
      <c r="E2" s="196" t="s">
        <v>4930</v>
      </c>
      <c r="F2" s="242">
        <v>2022</v>
      </c>
      <c r="G2" s="243">
        <v>2023</v>
      </c>
      <c r="H2" s="243">
        <v>2024</v>
      </c>
      <c r="I2" s="244">
        <v>2025</v>
      </c>
      <c r="J2" s="244">
        <v>2026</v>
      </c>
      <c r="K2" s="244">
        <v>2027</v>
      </c>
      <c r="M2" s="242">
        <v>2022</v>
      </c>
      <c r="N2" s="243">
        <v>2023</v>
      </c>
      <c r="O2" s="243">
        <v>2024</v>
      </c>
      <c r="P2" s="244">
        <v>2025</v>
      </c>
      <c r="Q2" s="244">
        <v>2026</v>
      </c>
      <c r="R2" s="244">
        <v>2027</v>
      </c>
      <c r="T2" s="245" t="s">
        <v>8</v>
      </c>
      <c r="X2" s="242">
        <v>2022</v>
      </c>
      <c r="Y2" s="243">
        <v>2023</v>
      </c>
      <c r="Z2" s="243">
        <v>2024</v>
      </c>
      <c r="AA2" s="244">
        <v>2025</v>
      </c>
      <c r="AB2" s="244">
        <v>2026</v>
      </c>
      <c r="AC2" s="244">
        <v>2027</v>
      </c>
      <c r="AE2" s="242">
        <v>2022</v>
      </c>
      <c r="AF2" s="243">
        <v>2023</v>
      </c>
      <c r="AG2" s="243">
        <v>2024</v>
      </c>
      <c r="AH2" s="244">
        <v>2025</v>
      </c>
      <c r="AI2" s="244">
        <v>2026</v>
      </c>
      <c r="AJ2" s="244">
        <v>2027</v>
      </c>
    </row>
    <row r="3" spans="1:36">
      <c r="A3" s="192" t="str">
        <f>Usuarios!A9</f>
        <v>01 1</v>
      </c>
      <c r="B3" s="50" t="str">
        <f>Usuarios!B9</f>
        <v>Residencial</v>
      </c>
      <c r="C3" s="50">
        <f>Usuarios!C9</f>
        <v>1</v>
      </c>
      <c r="D3" s="51">
        <f>Usuarios!D9</f>
        <v>0</v>
      </c>
      <c r="E3" s="51">
        <f>Usuarios!E9</f>
        <v>7</v>
      </c>
      <c r="F3" s="51"/>
      <c r="G3" s="51">
        <f>SUMIFS(Tarifas!$K$7:$K$320,Tarifas!$G$7:$G$320,$A3)*SUMIFS(Mercado!G$9:G$160,Mercado!$A$9:$A$160,$A3)</f>
        <v>8747.4718485927006</v>
      </c>
      <c r="H3" s="51">
        <f>SUMIFS(Tarifas!$K$7:$K$320,Tarifas!$G$7:$G$320,$A3)*SUMIFS(Mercado!H$9:H$160,Mercado!$A$9:$A$160,$A3)</f>
        <v>8903.4404982166998</v>
      </c>
      <c r="I3" s="51">
        <f>SUMIFS(Tarifas!$K$7:$K$320,Tarifas!$G$7:$G$320,$A3)*SUMIFS(Mercado!I$9:I$160,Mercado!$A$9:$A$160,$A3)</f>
        <v>9080.7726592580857</v>
      </c>
      <c r="J3" s="51">
        <f>SUMIFS(Tarifas!$K$7:$K$320,Tarifas!$G$7:$G$320,$A3)*SUMIFS(Mercado!J$9:J$160,Mercado!$A$9:$A$160,$A3)</f>
        <v>9285.1117215498762</v>
      </c>
      <c r="K3" s="51">
        <f>SUMIFS(Tarifas!$K$7:$K$320,Tarifas!$G$7:$G$320,$A3)*SUMIFS(Mercado!K$9:K$160,Mercado!$A$9:$A$160,$A3)</f>
        <v>9478.2712145273126</v>
      </c>
      <c r="M3" s="55">
        <f>F3</f>
        <v>0</v>
      </c>
      <c r="N3" s="55">
        <f t="shared" ref="N3:N66" si="0">G3</f>
        <v>8747.4718485927006</v>
      </c>
      <c r="O3" s="55">
        <f t="shared" ref="O3:O66" si="1">H3</f>
        <v>8903.4404982166998</v>
      </c>
      <c r="P3" s="55">
        <f t="shared" ref="P3:P66" si="2">I3</f>
        <v>9080.7726592580857</v>
      </c>
      <c r="Q3" s="55">
        <f t="shared" ref="Q3:Q66" si="3">J3</f>
        <v>9285.1117215498762</v>
      </c>
      <c r="R3" s="55">
        <f t="shared" ref="R3:R66" si="4">K3</f>
        <v>9478.2712145273126</v>
      </c>
      <c r="T3" s="51">
        <f>NPV(Inputs!$C$6,'Vendas Vigente'!N3:Q3)+((R3*Inputs!$C$11)/(1+Inputs!$C$6)^(4.55))</f>
        <v>32698.879514324421</v>
      </c>
      <c r="X3" s="51"/>
      <c r="Y3" s="51">
        <f>SUMIFS(Tarifas!$AW$7:$AW$320,Tarifas!$G$7:$G$320,$A3)*SUMIFS(Mercado!G$9:G$160,Mercado!$A$9:$A$160,$A3)</f>
        <v>17351.786216785731</v>
      </c>
      <c r="Z3" s="51">
        <f>SUMIFS(Tarifas!$AW$7:$AW$320,Tarifas!$G$7:$G$320,$A3)*SUMIFS(Mercado!H$9:H$160,Mercado!$A$9:$A$160,$A3)</f>
        <v>17661.170998084774</v>
      </c>
      <c r="AA3" s="51">
        <f>SUMIFS(Tarifas!$AW$7:$AW$320,Tarifas!$G$7:$G$320,$A3)*SUMIFS(Mercado!I$9:I$160,Mercado!$A$9:$A$160,$A3)</f>
        <v>18012.933175889983</v>
      </c>
      <c r="AB3" s="51">
        <f>SUMIFS(Tarifas!$AW$7:$AW$320,Tarifas!$G$7:$G$320,$A3)*SUMIFS(Mercado!J$9:J$160,Mercado!$A$9:$A$160,$A3)</f>
        <v>18418.267172500222</v>
      </c>
      <c r="AC3" s="51">
        <f>SUMIFS(Tarifas!$AW$7:$AW$320,Tarifas!$G$7:$G$320,$A3)*SUMIFS(Mercado!K$9:K$160,Mercado!$A$9:$A$160,$A3)</f>
        <v>18801.424990656149</v>
      </c>
      <c r="AE3" s="55">
        <f>X3</f>
        <v>0</v>
      </c>
      <c r="AF3" s="55">
        <f t="shared" ref="AF3:AF66" si="5">Y3</f>
        <v>17351.786216785731</v>
      </c>
      <c r="AG3" s="55">
        <f t="shared" ref="AG3:AG66" si="6">Z3</f>
        <v>17661.170998084774</v>
      </c>
      <c r="AH3" s="55">
        <f t="shared" ref="AH3:AH66" si="7">AA3</f>
        <v>18012.933175889983</v>
      </c>
      <c r="AI3" s="55">
        <f t="shared" ref="AI3:AI66" si="8">AB3</f>
        <v>18418.267172500222</v>
      </c>
      <c r="AJ3" s="55">
        <f t="shared" ref="AJ3:AJ66" si="9">AC3</f>
        <v>18801.424990656149</v>
      </c>
    </row>
    <row r="4" spans="1:36">
      <c r="A4" s="192" t="str">
        <f>Usuarios!A10</f>
        <v>01 2</v>
      </c>
      <c r="B4" s="50" t="str">
        <f>Usuarios!B10</f>
        <v>Residencial</v>
      </c>
      <c r="C4" s="50">
        <f>Usuarios!C10</f>
        <v>2</v>
      </c>
      <c r="D4" s="51">
        <f>Usuarios!D10</f>
        <v>8</v>
      </c>
      <c r="E4" s="51">
        <f>Usuarios!E10</f>
        <v>23</v>
      </c>
      <c r="F4" s="51"/>
      <c r="G4" s="51">
        <f>SUMIFS(Tarifas!$K$7:$K$320,Tarifas!$G$7:$G$320,$A4)*SUMIFS(Mercado!G$9:G$160,Mercado!$A$9:$A$160,$A4)</f>
        <v>15864.607578349756</v>
      </c>
      <c r="H4" s="51">
        <f>SUMIFS(Tarifas!$K$7:$K$320,Tarifas!$G$7:$G$320,$A4)*SUMIFS(Mercado!H$9:H$160,Mercado!$A$9:$A$160,$A4)</f>
        <v>15650.740506596139</v>
      </c>
      <c r="I4" s="51">
        <f>SUMIFS(Tarifas!$K$7:$K$320,Tarifas!$G$7:$G$320,$A4)*SUMIFS(Mercado!I$9:I$160,Mercado!$A$9:$A$160,$A4)</f>
        <v>15496.573887910637</v>
      </c>
      <c r="J4" s="51">
        <f>SUMIFS(Tarifas!$K$7:$K$320,Tarifas!$G$7:$G$320,$A4)*SUMIFS(Mercado!J$9:J$160,Mercado!$A$9:$A$160,$A4)</f>
        <v>15403.904992290905</v>
      </c>
      <c r="K4" s="51">
        <f>SUMIFS(Tarifas!$K$7:$K$320,Tarifas!$G$7:$G$320,$A4)*SUMIFS(Mercado!K$9:K$160,Mercado!$A$9:$A$160,$A4)</f>
        <v>15304.185134764277</v>
      </c>
      <c r="M4" s="55">
        <f t="shared" ref="M4:M67" si="10">F4</f>
        <v>0</v>
      </c>
      <c r="N4" s="55">
        <f t="shared" si="0"/>
        <v>15864.607578349756</v>
      </c>
      <c r="O4" s="55">
        <f t="shared" si="1"/>
        <v>15650.740506596139</v>
      </c>
      <c r="P4" s="55">
        <f t="shared" si="2"/>
        <v>15496.573887910637</v>
      </c>
      <c r="Q4" s="55">
        <f t="shared" si="3"/>
        <v>15403.904992290905</v>
      </c>
      <c r="R4" s="55">
        <f t="shared" si="4"/>
        <v>15304.185134764277</v>
      </c>
      <c r="T4" s="51">
        <f>NPV(Inputs!$C$6,'Vendas Vigente'!N4:Q4)+((R4*Inputs!$C$11)/(1+Inputs!$C$6)^(4.55))</f>
        <v>56407.968148089611</v>
      </c>
      <c r="X4" s="51"/>
      <c r="Y4" s="51">
        <f>SUMIFS(Tarifas!$AW$7:$AW$320,Tarifas!$G$7:$G$320,$A4)*SUMIFS(Mercado!G$9:G$160,Mercado!$A$9:$A$160,$A4)</f>
        <v>28188.616087481871</v>
      </c>
      <c r="Z4" s="51">
        <f>SUMIFS(Tarifas!$AW$7:$AW$320,Tarifas!$G$7:$G$320,$A4)*SUMIFS(Mercado!H$9:H$160,Mercado!$A$9:$A$160,$A4)</f>
        <v>27808.611933603912</v>
      </c>
      <c r="AA4" s="51">
        <f>SUMIFS(Tarifas!$AW$7:$AW$320,Tarifas!$G$7:$G$320,$A4)*SUMIFS(Mercado!I$9:I$160,Mercado!$A$9:$A$160,$A4)</f>
        <v>27534.684979774847</v>
      </c>
      <c r="AB4" s="51">
        <f>SUMIFS(Tarifas!$AW$7:$AW$320,Tarifas!$G$7:$G$320,$A4)*SUMIFS(Mercado!J$9:J$160,Mercado!$A$9:$A$160,$A4)</f>
        <v>27370.028658528023</v>
      </c>
      <c r="AC4" s="51">
        <f>SUMIFS(Tarifas!$AW$7:$AW$320,Tarifas!$G$7:$G$320,$A4)*SUMIFS(Mercado!K$9:K$160,Mercado!$A$9:$A$160,$A4)</f>
        <v>27192.844018678967</v>
      </c>
      <c r="AE4" s="55">
        <f t="shared" ref="AE4:AE67" si="11">X4</f>
        <v>0</v>
      </c>
      <c r="AF4" s="55">
        <f t="shared" si="5"/>
        <v>28188.616087481871</v>
      </c>
      <c r="AG4" s="55">
        <f t="shared" si="6"/>
        <v>27808.611933603912</v>
      </c>
      <c r="AH4" s="55">
        <f t="shared" si="7"/>
        <v>27534.684979774847</v>
      </c>
      <c r="AI4" s="55">
        <f t="shared" si="8"/>
        <v>27370.028658528023</v>
      </c>
      <c r="AJ4" s="55">
        <f t="shared" si="9"/>
        <v>27192.844018678967</v>
      </c>
    </row>
    <row r="5" spans="1:36">
      <c r="A5" s="192" t="str">
        <f>Usuarios!A11</f>
        <v>01 3</v>
      </c>
      <c r="B5" s="50" t="str">
        <f>Usuarios!B11</f>
        <v>Residencial</v>
      </c>
      <c r="C5" s="50">
        <f>Usuarios!C11</f>
        <v>3</v>
      </c>
      <c r="D5" s="51">
        <f>Usuarios!D11</f>
        <v>24</v>
      </c>
      <c r="E5" s="51">
        <f>Usuarios!E11</f>
        <v>83</v>
      </c>
      <c r="F5" s="51"/>
      <c r="G5" s="51">
        <f>SUMIFS(Tarifas!$K$7:$K$320,Tarifas!$G$7:$G$320,$A5)*SUMIFS(Mercado!G$9:G$160,Mercado!$A$9:$A$160,$A5)</f>
        <v>5959.9215039115152</v>
      </c>
      <c r="H5" s="51">
        <f>SUMIFS(Tarifas!$K$7:$K$320,Tarifas!$G$7:$G$320,$A5)*SUMIFS(Mercado!H$9:H$160,Mercado!$A$9:$A$160,$A5)</f>
        <v>5816.5850822810216</v>
      </c>
      <c r="I5" s="51">
        <f>SUMIFS(Tarifas!$K$7:$K$320,Tarifas!$G$7:$G$320,$A5)*SUMIFS(Mercado!I$9:I$160,Mercado!$A$9:$A$160,$A5)</f>
        <v>5697.5858032586457</v>
      </c>
      <c r="J5" s="51">
        <f>SUMIFS(Tarifas!$K$7:$K$320,Tarifas!$G$7:$G$320,$A5)*SUMIFS(Mercado!J$9:J$160,Mercado!$A$9:$A$160,$A5)</f>
        <v>5602.8371901105847</v>
      </c>
      <c r="K5" s="51">
        <f>SUMIFS(Tarifas!$K$7:$K$320,Tarifas!$G$7:$G$320,$A5)*SUMIFS(Mercado!K$9:K$160,Mercado!$A$9:$A$160,$A5)</f>
        <v>5506.927648195343</v>
      </c>
      <c r="M5" s="55">
        <f t="shared" si="10"/>
        <v>0</v>
      </c>
      <c r="N5" s="55">
        <f t="shared" si="0"/>
        <v>5959.9215039115152</v>
      </c>
      <c r="O5" s="55">
        <f t="shared" si="1"/>
        <v>5816.5850822810216</v>
      </c>
      <c r="P5" s="55">
        <f t="shared" si="2"/>
        <v>5697.5858032586457</v>
      </c>
      <c r="Q5" s="55">
        <f t="shared" si="3"/>
        <v>5602.8371901105847</v>
      </c>
      <c r="R5" s="55">
        <f t="shared" si="4"/>
        <v>5506.927648195343</v>
      </c>
      <c r="T5" s="51">
        <f>NPV(Inputs!$C$6,'Vendas Vigente'!N5:Q5)+((R5*Inputs!$C$11)/(1+Inputs!$C$6)^(4.55))</f>
        <v>20820.641713838704</v>
      </c>
      <c r="X5" s="51"/>
      <c r="Y5" s="51">
        <f>SUMIFS(Tarifas!$AW$7:$AW$320,Tarifas!$G$7:$G$320,$A5)*SUMIFS(Mercado!G$9:G$160,Mercado!$A$9:$A$160,$A5)</f>
        <v>9950.1277007404788</v>
      </c>
      <c r="Z5" s="51">
        <f>SUMIFS(Tarifas!$AW$7:$AW$320,Tarifas!$G$7:$G$320,$A5)*SUMIFS(Mercado!H$9:H$160,Mercado!$A$9:$A$160,$A5)</f>
        <v>9710.826612889814</v>
      </c>
      <c r="AA5" s="51">
        <f>SUMIFS(Tarifas!$AW$7:$AW$320,Tarifas!$G$7:$G$320,$A5)*SUMIFS(Mercado!I$9:I$160,Mercado!$A$9:$A$160,$A5)</f>
        <v>9512.156542857585</v>
      </c>
      <c r="AB5" s="51">
        <f>SUMIFS(Tarifas!$AW$7:$AW$320,Tarifas!$G$7:$G$320,$A5)*SUMIFS(Mercado!J$9:J$160,Mercado!$A$9:$A$160,$A5)</f>
        <v>9353.973117174457</v>
      </c>
      <c r="AC5" s="51">
        <f>SUMIFS(Tarifas!$AW$7:$AW$320,Tarifas!$G$7:$G$320,$A5)*SUMIFS(Mercado!K$9:K$160,Mercado!$A$9:$A$160,$A5)</f>
        <v>9193.8515133664441</v>
      </c>
      <c r="AE5" s="55">
        <f t="shared" si="11"/>
        <v>0</v>
      </c>
      <c r="AF5" s="55">
        <f t="shared" si="5"/>
        <v>9950.1277007404788</v>
      </c>
      <c r="AG5" s="55">
        <f t="shared" si="6"/>
        <v>9710.826612889814</v>
      </c>
      <c r="AH5" s="55">
        <f t="shared" si="7"/>
        <v>9512.156542857585</v>
      </c>
      <c r="AI5" s="55">
        <f t="shared" si="8"/>
        <v>9353.973117174457</v>
      </c>
      <c r="AJ5" s="55">
        <f t="shared" si="9"/>
        <v>9193.8515133664441</v>
      </c>
    </row>
    <row r="6" spans="1:36">
      <c r="A6" s="192" t="str">
        <f>Usuarios!A12</f>
        <v>01 4</v>
      </c>
      <c r="B6" s="50" t="str">
        <f>Usuarios!B12</f>
        <v>Residencial</v>
      </c>
      <c r="C6" s="50">
        <f>Usuarios!C12</f>
        <v>4</v>
      </c>
      <c r="D6" s="51">
        <f>Usuarios!D12</f>
        <v>83</v>
      </c>
      <c r="E6" s="51">
        <f>Usuarios!E12</f>
        <v>999999999</v>
      </c>
      <c r="F6" s="51"/>
      <c r="G6" s="51">
        <f>SUMIFS(Tarifas!$K$7:$K$320,Tarifas!$G$7:$G$320,$A6)*SUMIFS(Mercado!G$9:G$160,Mercado!$A$9:$A$160,$A6)</f>
        <v>493.91984281860124</v>
      </c>
      <c r="H6" s="51">
        <f>SUMIFS(Tarifas!$K$7:$K$320,Tarifas!$G$7:$G$320,$A6)*SUMIFS(Mercado!H$9:H$160,Mercado!$A$9:$A$160,$A6)</f>
        <v>401.44759923697723</v>
      </c>
      <c r="I6" s="51">
        <f>SUMIFS(Tarifas!$K$7:$K$320,Tarifas!$G$7:$G$320,$A6)*SUMIFS(Mercado!I$9:I$160,Mercado!$A$9:$A$160,$A6)</f>
        <v>327.48883626647336</v>
      </c>
      <c r="J6" s="51">
        <f>SUMIFS(Tarifas!$K$7:$K$320,Tarifas!$G$7:$G$320,$A6)*SUMIFS(Mercado!J$9:J$160,Mercado!$A$9:$A$160,$A6)</f>
        <v>268.19981522799679</v>
      </c>
      <c r="K6" s="51">
        <f>SUMIFS(Tarifas!$K$7:$K$320,Tarifas!$G$7:$G$320,$A6)*SUMIFS(Mercado!K$9:K$160,Mercado!$A$9:$A$160,$A6)</f>
        <v>219.53546470573897</v>
      </c>
      <c r="M6" s="55">
        <f t="shared" si="10"/>
        <v>0</v>
      </c>
      <c r="N6" s="55">
        <f t="shared" si="0"/>
        <v>493.91984281860124</v>
      </c>
      <c r="O6" s="55">
        <f t="shared" si="1"/>
        <v>401.44759923697723</v>
      </c>
      <c r="P6" s="55">
        <f t="shared" si="2"/>
        <v>327.48883626647336</v>
      </c>
      <c r="Q6" s="55">
        <f t="shared" si="3"/>
        <v>268.19981522799679</v>
      </c>
      <c r="R6" s="55">
        <f t="shared" si="4"/>
        <v>219.53546470573897</v>
      </c>
      <c r="T6" s="51">
        <f>NPV(Inputs!$C$6,'Vendas Vigente'!N6:Q6)+((R6*Inputs!$C$11)/(1+Inputs!$C$6)^(4.55))</f>
        <v>1317.8082831033419</v>
      </c>
      <c r="X6" s="51"/>
      <c r="Y6" s="51">
        <f>SUMIFS(Tarifas!$AW$7:$AW$320,Tarifas!$G$7:$G$320,$A6)*SUMIFS(Mercado!G$9:G$160,Mercado!$A$9:$A$160,$A6)</f>
        <v>798.74873927571832</v>
      </c>
      <c r="Z6" s="51">
        <f>SUMIFS(Tarifas!$AW$7:$AW$320,Tarifas!$G$7:$G$320,$A6)*SUMIFS(Mercado!H$9:H$160,Mercado!$A$9:$A$160,$A6)</f>
        <v>649.20607754073274</v>
      </c>
      <c r="AA6" s="51">
        <f>SUMIFS(Tarifas!$AW$7:$AW$320,Tarifas!$G$7:$G$320,$A6)*SUMIFS(Mercado!I$9:I$160,Mercado!$A$9:$A$160,$A6)</f>
        <v>529.60272582283574</v>
      </c>
      <c r="AB6" s="51">
        <f>SUMIFS(Tarifas!$AW$7:$AW$320,Tarifas!$G$7:$G$320,$A6)*SUMIFS(Mercado!J$9:J$160,Mercado!$A$9:$A$160,$A6)</f>
        <v>433.72273335861871</v>
      </c>
      <c r="AC6" s="51">
        <f>SUMIFS(Tarifas!$AW$7:$AW$320,Tarifas!$G$7:$G$320,$A6)*SUMIFS(Mercado!K$9:K$160,Mercado!$A$9:$A$160,$A6)</f>
        <v>355.02456159555226</v>
      </c>
      <c r="AE6" s="55">
        <f t="shared" si="11"/>
        <v>0</v>
      </c>
      <c r="AF6" s="55">
        <f t="shared" si="5"/>
        <v>798.74873927571832</v>
      </c>
      <c r="AG6" s="55">
        <f t="shared" si="6"/>
        <v>649.20607754073274</v>
      </c>
      <c r="AH6" s="55">
        <f t="shared" si="7"/>
        <v>529.60272582283574</v>
      </c>
      <c r="AI6" s="55">
        <f t="shared" si="8"/>
        <v>433.72273335861871</v>
      </c>
      <c r="AJ6" s="55">
        <f t="shared" si="9"/>
        <v>355.02456159555226</v>
      </c>
    </row>
    <row r="7" spans="1:36">
      <c r="A7" s="192"/>
      <c r="D7" s="51"/>
      <c r="E7" s="51"/>
      <c r="F7" s="51"/>
      <c r="G7" s="51">
        <f>SUMIFS(Tarifas!$K$7:$K$320,Tarifas!$G$7:$G$320,$A7)*SUMIFS(Mercado!G$9:G$160,Mercado!$A$9:$A$160,$A7)</f>
        <v>0</v>
      </c>
      <c r="H7" s="51">
        <f>SUMIFS(Tarifas!$K$7:$K$320,Tarifas!$G$7:$G$320,$A7)*SUMIFS(Mercado!H$9:H$160,Mercado!$A$9:$A$160,$A7)</f>
        <v>0</v>
      </c>
      <c r="I7" s="51">
        <f>SUMIFS(Tarifas!$K$7:$K$320,Tarifas!$G$7:$G$320,$A7)*SUMIFS(Mercado!I$9:I$160,Mercado!$A$9:$A$160,$A7)</f>
        <v>0</v>
      </c>
      <c r="J7" s="51">
        <f>SUMIFS(Tarifas!$K$7:$K$320,Tarifas!$G$7:$G$320,$A7)*SUMIFS(Mercado!J$9:J$160,Mercado!$A$9:$A$160,$A7)</f>
        <v>0</v>
      </c>
      <c r="K7" s="51">
        <f>SUMIFS(Tarifas!$K$7:$K$320,Tarifas!$G$7:$G$320,$A7)*SUMIFS(Mercado!K$9:K$160,Mercado!$A$9:$A$160,$A7)</f>
        <v>0</v>
      </c>
      <c r="M7" s="55">
        <f t="shared" si="10"/>
        <v>0</v>
      </c>
      <c r="N7" s="55">
        <f t="shared" si="0"/>
        <v>0</v>
      </c>
      <c r="O7" s="55">
        <f t="shared" si="1"/>
        <v>0</v>
      </c>
      <c r="P7" s="55">
        <f t="shared" si="2"/>
        <v>0</v>
      </c>
      <c r="Q7" s="55">
        <f t="shared" si="3"/>
        <v>0</v>
      </c>
      <c r="R7" s="55">
        <f t="shared" si="4"/>
        <v>0</v>
      </c>
      <c r="T7" s="51">
        <f>NPV(Inputs!$C$6,'Vendas Vigente'!N7:Q7)+((R7*Inputs!$C$11)/(1+Inputs!$C$6)^(4.55))</f>
        <v>0</v>
      </c>
      <c r="X7" s="51"/>
      <c r="Y7" s="51">
        <f>SUMIFS(Tarifas!$AW$7:$AW$320,Tarifas!$G$7:$G$320,$A7)*SUMIFS(Mercado!G$9:G$160,Mercado!$A$9:$A$160,$A7)</f>
        <v>0</v>
      </c>
      <c r="Z7" s="51">
        <f>SUMIFS(Tarifas!$AW$7:$AW$320,Tarifas!$G$7:$G$320,$A7)*SUMIFS(Mercado!H$9:H$160,Mercado!$A$9:$A$160,$A7)</f>
        <v>0</v>
      </c>
      <c r="AA7" s="51">
        <f>SUMIFS(Tarifas!$AW$7:$AW$320,Tarifas!$G$7:$G$320,$A7)*SUMIFS(Mercado!I$9:I$160,Mercado!$A$9:$A$160,$A7)</f>
        <v>0</v>
      </c>
      <c r="AB7" s="51">
        <f>SUMIFS(Tarifas!$AW$7:$AW$320,Tarifas!$G$7:$G$320,$A7)*SUMIFS(Mercado!J$9:J$160,Mercado!$A$9:$A$160,$A7)</f>
        <v>0</v>
      </c>
      <c r="AC7" s="51">
        <f>SUMIFS(Tarifas!$AW$7:$AW$320,Tarifas!$G$7:$G$320,$A7)*SUMIFS(Mercado!K$9:K$160,Mercado!$A$9:$A$160,$A7)</f>
        <v>0</v>
      </c>
      <c r="AE7" s="55">
        <f t="shared" si="11"/>
        <v>0</v>
      </c>
      <c r="AF7" s="55">
        <f t="shared" si="5"/>
        <v>0</v>
      </c>
      <c r="AG7" s="55">
        <f t="shared" si="6"/>
        <v>0</v>
      </c>
      <c r="AH7" s="55">
        <f t="shared" si="7"/>
        <v>0</v>
      </c>
      <c r="AI7" s="55">
        <f t="shared" si="8"/>
        <v>0</v>
      </c>
      <c r="AJ7" s="55">
        <f t="shared" si="9"/>
        <v>0</v>
      </c>
    </row>
    <row r="8" spans="1:36">
      <c r="A8" s="192" t="str">
        <f>Usuarios!A14</f>
        <v>02 1</v>
      </c>
      <c r="B8" s="50" t="str">
        <f>Usuarios!B14</f>
        <v>Residencial Social MCMV</v>
      </c>
      <c r="C8" s="50">
        <f>Usuarios!C14</f>
        <v>1</v>
      </c>
      <c r="D8" s="51">
        <f>Usuarios!D14</f>
        <v>0</v>
      </c>
      <c r="E8" s="51">
        <f>Usuarios!E14</f>
        <v>7</v>
      </c>
      <c r="F8" s="51"/>
      <c r="G8" s="51">
        <f>SUMIFS(Tarifas!$K$7:$K$320,Tarifas!$G$7:$G$320,$A8)*SUMIFS(Mercado!G$9:G$160,Mercado!$A$9:$A$160,$A8)</f>
        <v>33.74274065283528</v>
      </c>
      <c r="H8" s="51">
        <f>SUMIFS(Tarifas!$K$7:$K$320,Tarifas!$G$7:$G$320,$A8)*SUMIFS(Mercado!H$9:H$160,Mercado!$A$9:$A$160,$A8)</f>
        <v>30.215174443370838</v>
      </c>
      <c r="I8" s="51">
        <f>SUMIFS(Tarifas!$K$7:$K$320,Tarifas!$G$7:$G$320,$A8)*SUMIFS(Mercado!I$9:I$160,Mercado!$A$9:$A$160,$A8)</f>
        <v>39.1170716990082</v>
      </c>
      <c r="J8" s="51">
        <f>SUMIFS(Tarifas!$K$7:$K$320,Tarifas!$G$7:$G$320,$A8)*SUMIFS(Mercado!J$9:J$160,Mercado!$A$9:$A$160,$A8)</f>
        <v>39.208547801601362</v>
      </c>
      <c r="K8" s="51">
        <f>SUMIFS(Tarifas!$K$7:$K$320,Tarifas!$G$7:$G$320,$A8)*SUMIFS(Mercado!K$9:K$160,Mercado!$A$9:$A$160,$A8)</f>
        <v>39.280718031411197</v>
      </c>
      <c r="M8" s="55">
        <f t="shared" si="10"/>
        <v>0</v>
      </c>
      <c r="N8" s="55">
        <f t="shared" si="0"/>
        <v>33.74274065283528</v>
      </c>
      <c r="O8" s="55">
        <f t="shared" si="1"/>
        <v>30.215174443370838</v>
      </c>
      <c r="P8" s="55">
        <f t="shared" si="2"/>
        <v>39.1170716990082</v>
      </c>
      <c r="Q8" s="55">
        <f t="shared" si="3"/>
        <v>39.208547801601362</v>
      </c>
      <c r="R8" s="55">
        <f t="shared" si="4"/>
        <v>39.280718031411197</v>
      </c>
      <c r="T8" s="51">
        <f>NPV(Inputs!$C$6,'Vendas Vigente'!N8:Q8)+((R8*Inputs!$C$11)/(1+Inputs!$C$6)^(4.55))</f>
        <v>129.24211716776017</v>
      </c>
      <c r="X8" s="51"/>
      <c r="Y8" s="51">
        <f>SUMIFS(Tarifas!$AW$7:$AW$320,Tarifas!$G$7:$G$320,$A8)*SUMIFS(Mercado!G$9:G$160,Mercado!$A$9:$A$160,$A8)</f>
        <v>80.716958472892131</v>
      </c>
      <c r="Z8" s="51">
        <f>SUMIFS(Tarifas!$AW$7:$AW$320,Tarifas!$G$7:$G$320,$A8)*SUMIFS(Mercado!H$9:H$160,Mercado!$A$9:$A$160,$A8)</f>
        <v>72.278568178243844</v>
      </c>
      <c r="AA8" s="51">
        <f>SUMIFS(Tarifas!$AW$7:$AW$320,Tarifas!$G$7:$G$320,$A8)*SUMIFS(Mercado!I$9:I$160,Mercado!$A$9:$A$160,$A8)</f>
        <v>93.573046848661434</v>
      </c>
      <c r="AB8" s="51">
        <f>SUMIFS(Tarifas!$AW$7:$AW$320,Tarifas!$G$7:$G$320,$A8)*SUMIFS(Mercado!J$9:J$160,Mercado!$A$9:$A$160,$A8)</f>
        <v>93.791869405200089</v>
      </c>
      <c r="AC8" s="51">
        <f>SUMIFS(Tarifas!$AW$7:$AW$320,Tarifas!$G$7:$G$320,$A8)*SUMIFS(Mercado!K$9:K$160,Mercado!$A$9:$A$160,$A8)</f>
        <v>93.964509840737733</v>
      </c>
      <c r="AE8" s="55">
        <f t="shared" si="11"/>
        <v>0</v>
      </c>
      <c r="AF8" s="55">
        <f t="shared" si="5"/>
        <v>80.716958472892131</v>
      </c>
      <c r="AG8" s="55">
        <f t="shared" si="6"/>
        <v>72.278568178243844</v>
      </c>
      <c r="AH8" s="55">
        <f t="shared" si="7"/>
        <v>93.573046848661434</v>
      </c>
      <c r="AI8" s="55">
        <f t="shared" si="8"/>
        <v>93.791869405200089</v>
      </c>
      <c r="AJ8" s="55">
        <f t="shared" si="9"/>
        <v>93.964509840737733</v>
      </c>
    </row>
    <row r="9" spans="1:36">
      <c r="A9" s="192" t="str">
        <f>Usuarios!A15</f>
        <v>02 2</v>
      </c>
      <c r="B9" s="50" t="str">
        <f>Usuarios!B15</f>
        <v>Residencial Social MCMV</v>
      </c>
      <c r="C9" s="50">
        <f>Usuarios!C15</f>
        <v>2</v>
      </c>
      <c r="D9" s="51">
        <f>Usuarios!D15</f>
        <v>8</v>
      </c>
      <c r="E9" s="51">
        <f>Usuarios!E15</f>
        <v>23</v>
      </c>
      <c r="F9" s="51"/>
      <c r="G9" s="51">
        <f>SUMIFS(Tarifas!$K$7:$K$320,Tarifas!$G$7:$G$320,$A9)*SUMIFS(Mercado!G$9:G$160,Mercado!$A$9:$A$160,$A9)</f>
        <v>91.511924856927862</v>
      </c>
      <c r="H9" s="51">
        <f>SUMIFS(Tarifas!$K$7:$K$320,Tarifas!$G$7:$G$320,$A9)*SUMIFS(Mercado!H$9:H$160,Mercado!$A$9:$A$160,$A9)</f>
        <v>73.200603901342745</v>
      </c>
      <c r="I9" s="51">
        <f>SUMIFS(Tarifas!$K$7:$K$320,Tarifas!$G$7:$G$320,$A9)*SUMIFS(Mercado!I$9:I$160,Mercado!$A$9:$A$160,$A9)</f>
        <v>93.879031393963828</v>
      </c>
      <c r="J9" s="51">
        <f>SUMIFS(Tarifas!$K$7:$K$320,Tarifas!$G$7:$G$320,$A9)*SUMIFS(Mercado!J$9:J$160,Mercado!$A$9:$A$160,$A9)</f>
        <v>93.217129919710345</v>
      </c>
      <c r="K9" s="51">
        <f>SUMIFS(Tarifas!$K$7:$K$320,Tarifas!$G$7:$G$320,$A9)*SUMIFS(Mercado!K$9:K$160,Mercado!$A$9:$A$160,$A9)</f>
        <v>92.513922232922738</v>
      </c>
      <c r="M9" s="55">
        <f t="shared" si="10"/>
        <v>0</v>
      </c>
      <c r="N9" s="55">
        <f t="shared" si="0"/>
        <v>91.511924856927862</v>
      </c>
      <c r="O9" s="55">
        <f t="shared" si="1"/>
        <v>73.200603901342745</v>
      </c>
      <c r="P9" s="55">
        <f t="shared" si="2"/>
        <v>93.879031393963828</v>
      </c>
      <c r="Q9" s="55">
        <f t="shared" si="3"/>
        <v>93.217129919710345</v>
      </c>
      <c r="R9" s="55">
        <f t="shared" si="4"/>
        <v>92.513922232922738</v>
      </c>
      <c r="T9" s="51">
        <f>NPV(Inputs!$C$6,'Vendas Vigente'!N9:Q9)+((R9*Inputs!$C$11)/(1+Inputs!$C$6)^(4.55))</f>
        <v>319.13874262183987</v>
      </c>
      <c r="X9" s="51"/>
      <c r="Y9" s="51">
        <f>SUMIFS(Tarifas!$AW$7:$AW$320,Tarifas!$G$7:$G$320,$A9)*SUMIFS(Mercado!G$9:G$160,Mercado!$A$9:$A$160,$A9)</f>
        <v>211.65281866797326</v>
      </c>
      <c r="Z9" s="51">
        <f>SUMIFS(Tarifas!$AW$7:$AW$320,Tarifas!$G$7:$G$320,$A9)*SUMIFS(Mercado!H$9:H$160,Mercado!$A$9:$A$160,$A9)</f>
        <v>169.30158739573417</v>
      </c>
      <c r="AA9" s="51">
        <f>SUMIFS(Tarifas!$AW$7:$AW$320,Tarifas!$G$7:$G$320,$A9)*SUMIFS(Mercado!I$9:I$160,Mercado!$A$9:$A$160,$A9)</f>
        <v>217.12756713856146</v>
      </c>
      <c r="AB9" s="51">
        <f>SUMIFS(Tarifas!$AW$7:$AW$320,Tarifas!$G$7:$G$320,$A9)*SUMIFS(Mercado!J$9:J$160,Mercado!$A$9:$A$160,$A9)</f>
        <v>215.5966921960306</v>
      </c>
      <c r="AC9" s="51">
        <f>SUMIFS(Tarifas!$AW$7:$AW$320,Tarifas!$G$7:$G$320,$A9)*SUMIFS(Mercado!K$9:K$160,Mercado!$A$9:$A$160,$A9)</f>
        <v>213.97028242211013</v>
      </c>
      <c r="AE9" s="55">
        <f t="shared" si="11"/>
        <v>0</v>
      </c>
      <c r="AF9" s="55">
        <f t="shared" si="5"/>
        <v>211.65281866797326</v>
      </c>
      <c r="AG9" s="55">
        <f t="shared" si="6"/>
        <v>169.30158739573417</v>
      </c>
      <c r="AH9" s="55">
        <f t="shared" si="7"/>
        <v>217.12756713856146</v>
      </c>
      <c r="AI9" s="55">
        <f t="shared" si="8"/>
        <v>215.5966921960306</v>
      </c>
      <c r="AJ9" s="55">
        <f t="shared" si="9"/>
        <v>213.97028242211013</v>
      </c>
    </row>
    <row r="10" spans="1:36">
      <c r="A10" s="192" t="str">
        <f>Usuarios!A16</f>
        <v>02 3</v>
      </c>
      <c r="B10" s="50" t="str">
        <f>Usuarios!B16</f>
        <v>Residencial Social MCMV</v>
      </c>
      <c r="C10" s="50">
        <f>Usuarios!C16</f>
        <v>3</v>
      </c>
      <c r="D10" s="51">
        <f>Usuarios!D16</f>
        <v>24</v>
      </c>
      <c r="E10" s="51">
        <f>Usuarios!E16</f>
        <v>83</v>
      </c>
      <c r="F10" s="51"/>
      <c r="G10" s="51">
        <f>SUMIFS(Tarifas!$K$7:$K$320,Tarifas!$G$7:$G$320,$A10)*SUMIFS(Mercado!G$9:G$160,Mercado!$A$9:$A$160,$A10)</f>
        <v>22.655633096703344</v>
      </c>
      <c r="H10" s="51">
        <f>SUMIFS(Tarifas!$K$7:$K$320,Tarifas!$G$7:$G$320,$A10)*SUMIFS(Mercado!H$9:H$160,Mercado!$A$9:$A$160,$A10)</f>
        <v>14.677131615486569</v>
      </c>
      <c r="I10" s="51">
        <f>SUMIFS(Tarifas!$K$7:$K$320,Tarifas!$G$7:$G$320,$A10)*SUMIFS(Mercado!I$9:I$160,Mercado!$A$9:$A$160,$A10)</f>
        <v>15.24484935650537</v>
      </c>
      <c r="J10" s="51">
        <f>SUMIFS(Tarifas!$K$7:$K$320,Tarifas!$G$7:$G$320,$A10)*SUMIFS(Mercado!J$9:J$160,Mercado!$A$9:$A$160,$A10)</f>
        <v>12.259655787135371</v>
      </c>
      <c r="K10" s="51">
        <f>SUMIFS(Tarifas!$K$7:$K$320,Tarifas!$G$7:$G$320,$A10)*SUMIFS(Mercado!K$9:K$160,Mercado!$A$9:$A$160,$A10)</f>
        <v>9.8541156654008581</v>
      </c>
      <c r="M10" s="55">
        <f t="shared" si="10"/>
        <v>0</v>
      </c>
      <c r="N10" s="55">
        <f t="shared" si="0"/>
        <v>22.655633096703344</v>
      </c>
      <c r="O10" s="55">
        <f t="shared" si="1"/>
        <v>14.677131615486569</v>
      </c>
      <c r="P10" s="55">
        <f t="shared" si="2"/>
        <v>15.24484935650537</v>
      </c>
      <c r="Q10" s="55">
        <f t="shared" si="3"/>
        <v>12.259655787135371</v>
      </c>
      <c r="R10" s="55">
        <f t="shared" si="4"/>
        <v>9.8541156654008581</v>
      </c>
      <c r="T10" s="51">
        <f>NPV(Inputs!$C$6,'Vendas Vigente'!N10:Q10)+((R10*Inputs!$C$11)/(1+Inputs!$C$6)^(4.55))</f>
        <v>57.358812014836865</v>
      </c>
      <c r="X10" s="51"/>
      <c r="Y10" s="51">
        <f>SUMIFS(Tarifas!$AW$7:$AW$320,Tarifas!$G$7:$G$320,$A10)*SUMIFS(Mercado!G$9:G$160,Mercado!$A$9:$A$160,$A10)</f>
        <v>37.823726756362923</v>
      </c>
      <c r="Z10" s="51">
        <f>SUMIFS(Tarifas!$AW$7:$AW$320,Tarifas!$G$7:$G$320,$A10)*SUMIFS(Mercado!H$9:H$160,Mercado!$A$9:$A$160,$A10)</f>
        <v>24.503566659195208</v>
      </c>
      <c r="AA10" s="51">
        <f>SUMIFS(Tarifas!$AW$7:$AW$320,Tarifas!$G$7:$G$320,$A10)*SUMIFS(Mercado!I$9:I$160,Mercado!$A$9:$A$160,$A10)</f>
        <v>25.451375118988778</v>
      </c>
      <c r="AB10" s="51">
        <f>SUMIFS(Tarifas!$AW$7:$AW$320,Tarifas!$G$7:$G$320,$A10)*SUMIFS(Mercado!J$9:J$160,Mercado!$A$9:$A$160,$A10)</f>
        <v>20.46757504592296</v>
      </c>
      <c r="AC10" s="51">
        <f>SUMIFS(Tarifas!$AW$7:$AW$320,Tarifas!$G$7:$G$320,$A10)*SUMIFS(Mercado!K$9:K$160,Mercado!$A$9:$A$160,$A10)</f>
        <v>16.45151017245033</v>
      </c>
      <c r="AE10" s="55">
        <f t="shared" si="11"/>
        <v>0</v>
      </c>
      <c r="AF10" s="55">
        <f t="shared" si="5"/>
        <v>37.823726756362923</v>
      </c>
      <c r="AG10" s="55">
        <f t="shared" si="6"/>
        <v>24.503566659195208</v>
      </c>
      <c r="AH10" s="55">
        <f t="shared" si="7"/>
        <v>25.451375118988778</v>
      </c>
      <c r="AI10" s="55">
        <f t="shared" si="8"/>
        <v>20.46757504592296</v>
      </c>
      <c r="AJ10" s="55">
        <f t="shared" si="9"/>
        <v>16.45151017245033</v>
      </c>
    </row>
    <row r="11" spans="1:36">
      <c r="A11" s="192" t="str">
        <f>Usuarios!A17</f>
        <v>02 4</v>
      </c>
      <c r="B11" s="50" t="str">
        <f>Usuarios!B17</f>
        <v>Residencial Social MCMV</v>
      </c>
      <c r="C11" s="50">
        <f>Usuarios!C17</f>
        <v>4</v>
      </c>
      <c r="D11" s="51">
        <f>Usuarios!D17</f>
        <v>83</v>
      </c>
      <c r="E11" s="51">
        <f>Usuarios!E17</f>
        <v>999999999</v>
      </c>
      <c r="F11" s="51"/>
      <c r="G11" s="51">
        <f>SUMIFS(Tarifas!$K$7:$K$320,Tarifas!$G$7:$G$320,$A11)*SUMIFS(Mercado!G$9:G$160,Mercado!$A$9:$A$160,$A11)</f>
        <v>3.9694547864281149</v>
      </c>
      <c r="H11" s="51">
        <f>SUMIFS(Tarifas!$K$7:$K$320,Tarifas!$G$7:$G$320,$A11)*SUMIFS(Mercado!H$9:H$160,Mercado!$A$9:$A$160,$A11)</f>
        <v>0</v>
      </c>
      <c r="I11" s="51">
        <f>SUMIFS(Tarifas!$K$7:$K$320,Tarifas!$G$7:$G$320,$A11)*SUMIFS(Mercado!I$9:I$160,Mercado!$A$9:$A$160,$A11)</f>
        <v>6.9141215002434198</v>
      </c>
      <c r="J11" s="51">
        <f>SUMIFS(Tarifas!$K$7:$K$320,Tarifas!$G$7:$G$320,$A11)*SUMIFS(Mercado!J$9:J$160,Mercado!$A$9:$A$160,$A11)</f>
        <v>12.983097486233023</v>
      </c>
      <c r="K11" s="51">
        <f>SUMIFS(Tarifas!$K$7:$K$320,Tarifas!$G$7:$G$320,$A11)*SUMIFS(Mercado!K$9:K$160,Mercado!$A$9:$A$160,$A11)</f>
        <v>18.361013996143129</v>
      </c>
      <c r="M11" s="55">
        <f t="shared" si="10"/>
        <v>0</v>
      </c>
      <c r="N11" s="55">
        <f t="shared" si="0"/>
        <v>3.9694547864281149</v>
      </c>
      <c r="O11" s="55">
        <f t="shared" si="1"/>
        <v>0</v>
      </c>
      <c r="P11" s="55">
        <f t="shared" si="2"/>
        <v>6.9141215002434198</v>
      </c>
      <c r="Q11" s="55">
        <f t="shared" si="3"/>
        <v>12.983097486233023</v>
      </c>
      <c r="R11" s="55">
        <f t="shared" si="4"/>
        <v>18.361013996143129</v>
      </c>
      <c r="T11" s="51">
        <f>NPV(Inputs!$C$6,'Vendas Vigente'!N11:Q11)+((R11*Inputs!$C$11)/(1+Inputs!$C$6)^(4.55))</f>
        <v>25.07397773113432</v>
      </c>
      <c r="X11" s="51"/>
      <c r="Y11" s="51">
        <f>SUMIFS(Tarifas!$AW$7:$AW$320,Tarifas!$G$7:$G$320,$A11)*SUMIFS(Mercado!G$9:G$160,Mercado!$A$9:$A$160,$A11)</f>
        <v>6.4192541611167213</v>
      </c>
      <c r="Z11" s="51">
        <f>SUMIFS(Tarifas!$AW$7:$AW$320,Tarifas!$G$7:$G$320,$A11)*SUMIFS(Mercado!H$9:H$160,Mercado!$A$9:$A$160,$A11)</f>
        <v>0</v>
      </c>
      <c r="AA11" s="51">
        <f>SUMIFS(Tarifas!$AW$7:$AW$320,Tarifas!$G$7:$G$320,$A11)*SUMIFS(Mercado!I$9:I$160,Mercado!$A$9:$A$160,$A11)</f>
        <v>11.181259290987498</v>
      </c>
      <c r="AB11" s="51">
        <f>SUMIFS(Tarifas!$AW$7:$AW$320,Tarifas!$G$7:$G$320,$A11)*SUMIFS(Mercado!J$9:J$160,Mercado!$A$9:$A$160,$A11)</f>
        <v>20.99578079277731</v>
      </c>
      <c r="AC11" s="51">
        <f>SUMIFS(Tarifas!$AW$7:$AW$320,Tarifas!$G$7:$G$320,$A11)*SUMIFS(Mercado!K$9:K$160,Mercado!$A$9:$A$160,$A11)</f>
        <v>29.692746696612005</v>
      </c>
      <c r="AE11" s="55">
        <f t="shared" si="11"/>
        <v>0</v>
      </c>
      <c r="AF11" s="55">
        <f t="shared" si="5"/>
        <v>6.4192541611167213</v>
      </c>
      <c r="AG11" s="55">
        <f t="shared" si="6"/>
        <v>0</v>
      </c>
      <c r="AH11" s="55">
        <f t="shared" si="7"/>
        <v>11.181259290987498</v>
      </c>
      <c r="AI11" s="55">
        <f t="shared" si="8"/>
        <v>20.99578079277731</v>
      </c>
      <c r="AJ11" s="55">
        <f t="shared" si="9"/>
        <v>29.692746696612005</v>
      </c>
    </row>
    <row r="12" spans="1:36">
      <c r="A12" s="192"/>
      <c r="D12" s="51"/>
      <c r="E12" s="51"/>
      <c r="F12" s="51"/>
      <c r="G12" s="51">
        <f>SUMIFS(Tarifas!$K$7:$K$320,Tarifas!$G$7:$G$320,$A12)*SUMIFS(Mercado!G$9:G$160,Mercado!$A$9:$A$160,$A12)</f>
        <v>0</v>
      </c>
      <c r="H12" s="51">
        <f>SUMIFS(Tarifas!$K$7:$K$320,Tarifas!$G$7:$G$320,$A12)*SUMIFS(Mercado!H$9:H$160,Mercado!$A$9:$A$160,$A12)</f>
        <v>0</v>
      </c>
      <c r="I12" s="51">
        <f>SUMIFS(Tarifas!$K$7:$K$320,Tarifas!$G$7:$G$320,$A12)*SUMIFS(Mercado!I$9:I$160,Mercado!$A$9:$A$160,$A12)</f>
        <v>0</v>
      </c>
      <c r="J12" s="51">
        <f>SUMIFS(Tarifas!$K$7:$K$320,Tarifas!$G$7:$G$320,$A12)*SUMIFS(Mercado!J$9:J$160,Mercado!$A$9:$A$160,$A12)</f>
        <v>0</v>
      </c>
      <c r="K12" s="51">
        <f>SUMIFS(Tarifas!$K$7:$K$320,Tarifas!$G$7:$G$320,$A12)*SUMIFS(Mercado!K$9:K$160,Mercado!$A$9:$A$160,$A12)</f>
        <v>0</v>
      </c>
      <c r="M12" s="55">
        <f t="shared" si="10"/>
        <v>0</v>
      </c>
      <c r="N12" s="55">
        <f t="shared" si="0"/>
        <v>0</v>
      </c>
      <c r="O12" s="55">
        <f t="shared" si="1"/>
        <v>0</v>
      </c>
      <c r="P12" s="55">
        <f t="shared" si="2"/>
        <v>0</v>
      </c>
      <c r="Q12" s="55">
        <f t="shared" si="3"/>
        <v>0</v>
      </c>
      <c r="R12" s="55">
        <f t="shared" si="4"/>
        <v>0</v>
      </c>
      <c r="T12" s="51">
        <f>NPV(Inputs!$C$6,'Vendas Vigente'!N12:Q12)+((R12*Inputs!$C$11)/(1+Inputs!$C$6)^(4.55))</f>
        <v>0</v>
      </c>
      <c r="X12" s="51"/>
      <c r="Y12" s="51">
        <f>SUMIFS(Tarifas!$AW$7:$AW$320,Tarifas!$G$7:$G$320,$A12)*SUMIFS(Mercado!G$9:G$160,Mercado!$A$9:$A$160,$A12)</f>
        <v>0</v>
      </c>
      <c r="Z12" s="51">
        <f>SUMIFS(Tarifas!$AW$7:$AW$320,Tarifas!$G$7:$G$320,$A12)*SUMIFS(Mercado!H$9:H$160,Mercado!$A$9:$A$160,$A12)</f>
        <v>0</v>
      </c>
      <c r="AA12" s="51">
        <f>SUMIFS(Tarifas!$AW$7:$AW$320,Tarifas!$G$7:$G$320,$A12)*SUMIFS(Mercado!I$9:I$160,Mercado!$A$9:$A$160,$A12)</f>
        <v>0</v>
      </c>
      <c r="AB12" s="51">
        <f>SUMIFS(Tarifas!$AW$7:$AW$320,Tarifas!$G$7:$G$320,$A12)*SUMIFS(Mercado!J$9:J$160,Mercado!$A$9:$A$160,$A12)</f>
        <v>0</v>
      </c>
      <c r="AC12" s="51">
        <f>SUMIFS(Tarifas!$AW$7:$AW$320,Tarifas!$G$7:$G$320,$A12)*SUMIFS(Mercado!K$9:K$160,Mercado!$A$9:$A$160,$A12)</f>
        <v>0</v>
      </c>
      <c r="AE12" s="55">
        <f t="shared" si="11"/>
        <v>0</v>
      </c>
      <c r="AF12" s="55">
        <f t="shared" si="5"/>
        <v>0</v>
      </c>
      <c r="AG12" s="55">
        <f t="shared" si="6"/>
        <v>0</v>
      </c>
      <c r="AH12" s="55">
        <f t="shared" si="7"/>
        <v>0</v>
      </c>
      <c r="AI12" s="55">
        <f t="shared" si="8"/>
        <v>0</v>
      </c>
      <c r="AJ12" s="55">
        <f t="shared" si="9"/>
        <v>0</v>
      </c>
    </row>
    <row r="13" spans="1:36">
      <c r="A13" s="192" t="str">
        <f>Usuarios!A19</f>
        <v>03 1</v>
      </c>
      <c r="B13" s="50" t="str">
        <f>Usuarios!B19</f>
        <v>Comercial</v>
      </c>
      <c r="C13" s="50">
        <f>Usuarios!C19</f>
        <v>1</v>
      </c>
      <c r="D13" s="51">
        <f>Usuarios!D19</f>
        <v>0</v>
      </c>
      <c r="E13" s="51">
        <f>Usuarios!E19</f>
        <v>200</v>
      </c>
      <c r="F13" s="51"/>
      <c r="G13" s="51">
        <f>SUMIFS(Tarifas!$K$7:$K$320,Tarifas!$G$7:$G$320,$A13)*SUMIFS(Mercado!G$9:G$160,Mercado!$A$9:$A$160,$A13)</f>
        <v>2199.3108270542475</v>
      </c>
      <c r="H13" s="51">
        <f>SUMIFS(Tarifas!$K$7:$K$320,Tarifas!$G$7:$G$320,$A13)*SUMIFS(Mercado!H$9:H$160,Mercado!$A$9:$A$160,$A13)</f>
        <v>2124.8402307050042</v>
      </c>
      <c r="I13" s="51">
        <f>SUMIFS(Tarifas!$K$7:$K$320,Tarifas!$G$7:$G$320,$A13)*SUMIFS(Mercado!I$9:I$160,Mercado!$A$9:$A$160,$A13)</f>
        <v>2047.7153810657699</v>
      </c>
      <c r="J13" s="51">
        <f>SUMIFS(Tarifas!$K$7:$K$320,Tarifas!$G$7:$G$320,$A13)*SUMIFS(Mercado!J$9:J$160,Mercado!$A$9:$A$160,$A13)</f>
        <v>2009.791797597203</v>
      </c>
      <c r="K13" s="51">
        <f>SUMIFS(Tarifas!$K$7:$K$320,Tarifas!$G$7:$G$320,$A13)*SUMIFS(Mercado!K$9:K$160,Mercado!$A$9:$A$160,$A13)</f>
        <v>2006.2457871583722</v>
      </c>
      <c r="M13" s="55">
        <f t="shared" si="10"/>
        <v>0</v>
      </c>
      <c r="N13" s="55">
        <f t="shared" si="0"/>
        <v>2199.3108270542475</v>
      </c>
      <c r="O13" s="55">
        <f t="shared" si="1"/>
        <v>2124.8402307050042</v>
      </c>
      <c r="P13" s="55">
        <f t="shared" si="2"/>
        <v>2047.7153810657699</v>
      </c>
      <c r="Q13" s="55">
        <f t="shared" si="3"/>
        <v>2009.791797597203</v>
      </c>
      <c r="R13" s="55">
        <f t="shared" si="4"/>
        <v>2006.2457871583722</v>
      </c>
      <c r="T13" s="51">
        <f>NPV(Inputs!$C$6,'Vendas Vigente'!N13:Q13)+((R13*Inputs!$C$11)/(1+Inputs!$C$6)^(4.55))</f>
        <v>7571.8764174706321</v>
      </c>
      <c r="X13" s="51"/>
      <c r="Y13" s="51">
        <f>SUMIFS(Tarifas!$AW$7:$AW$320,Tarifas!$G$7:$G$320,$A13)*SUMIFS(Mercado!G$9:G$160,Mercado!$A$9:$A$160,$A13)</f>
        <v>4795.6924893874766</v>
      </c>
      <c r="Z13" s="51">
        <f>SUMIFS(Tarifas!$AW$7:$AW$320,Tarifas!$G$7:$G$320,$A13)*SUMIFS(Mercado!H$9:H$160,Mercado!$A$9:$A$160,$A13)</f>
        <v>4633.3061294427926</v>
      </c>
      <c r="AA13" s="51">
        <f>SUMIFS(Tarifas!$AW$7:$AW$320,Tarifas!$G$7:$G$320,$A13)*SUMIFS(Mercado!I$9:I$160,Mercado!$A$9:$A$160,$A13)</f>
        <v>4465.1320552691059</v>
      </c>
      <c r="AB13" s="51">
        <f>SUMIFS(Tarifas!$AW$7:$AW$320,Tarifas!$G$7:$G$320,$A13)*SUMIFS(Mercado!J$9:J$160,Mercado!$A$9:$A$160,$A13)</f>
        <v>4382.4380394103009</v>
      </c>
      <c r="AC13" s="51">
        <f>SUMIFS(Tarifas!$AW$7:$AW$320,Tarifas!$G$7:$G$320,$A13)*SUMIFS(Mercado!K$9:K$160,Mercado!$A$9:$A$160,$A13)</f>
        <v>4374.7058101048287</v>
      </c>
      <c r="AE13" s="55">
        <f t="shared" si="11"/>
        <v>0</v>
      </c>
      <c r="AF13" s="55">
        <f t="shared" si="5"/>
        <v>4795.6924893874766</v>
      </c>
      <c r="AG13" s="55">
        <f t="shared" si="6"/>
        <v>4633.3061294427926</v>
      </c>
      <c r="AH13" s="55">
        <f t="shared" si="7"/>
        <v>4465.1320552691059</v>
      </c>
      <c r="AI13" s="55">
        <f t="shared" si="8"/>
        <v>4382.4380394103009</v>
      </c>
      <c r="AJ13" s="55">
        <f t="shared" si="9"/>
        <v>4374.7058101048287</v>
      </c>
    </row>
    <row r="14" spans="1:36">
      <c r="A14" s="192" t="str">
        <f>Usuarios!A20</f>
        <v>03 2</v>
      </c>
      <c r="B14" s="50" t="str">
        <f>Usuarios!B20</f>
        <v>Comercial</v>
      </c>
      <c r="C14" s="50">
        <f>Usuarios!C20</f>
        <v>2</v>
      </c>
      <c r="D14" s="51">
        <f>Usuarios!D20</f>
        <v>201</v>
      </c>
      <c r="E14" s="51">
        <f>Usuarios!E20</f>
        <v>500</v>
      </c>
      <c r="F14" s="51"/>
      <c r="G14" s="51">
        <f>SUMIFS(Tarifas!$K$7:$K$320,Tarifas!$G$7:$G$320,$A14)*SUMIFS(Mercado!G$9:G$160,Mercado!$A$9:$A$160,$A14)</f>
        <v>3518.2286791635916</v>
      </c>
      <c r="H14" s="51">
        <f>SUMIFS(Tarifas!$K$7:$K$320,Tarifas!$G$7:$G$320,$A14)*SUMIFS(Mercado!H$9:H$160,Mercado!$A$9:$A$160,$A14)</f>
        <v>3452.3342854443522</v>
      </c>
      <c r="I14" s="51">
        <f>SUMIFS(Tarifas!$K$7:$K$320,Tarifas!$G$7:$G$320,$A14)*SUMIFS(Mercado!I$9:I$160,Mercado!$A$9:$A$160,$A14)</f>
        <v>3245.0898281794148</v>
      </c>
      <c r="J14" s="51">
        <f>SUMIFS(Tarifas!$K$7:$K$320,Tarifas!$G$7:$G$320,$A14)*SUMIFS(Mercado!J$9:J$160,Mercado!$A$9:$A$160,$A14)</f>
        <v>3184.9909315749915</v>
      </c>
      <c r="K14" s="51">
        <f>SUMIFS(Tarifas!$K$7:$K$320,Tarifas!$G$7:$G$320,$A14)*SUMIFS(Mercado!K$9:K$160,Mercado!$A$9:$A$160,$A14)</f>
        <v>3179.3714384989189</v>
      </c>
      <c r="M14" s="55">
        <f t="shared" si="10"/>
        <v>0</v>
      </c>
      <c r="N14" s="55">
        <f t="shared" si="0"/>
        <v>3518.2286791635916</v>
      </c>
      <c r="O14" s="55">
        <f t="shared" si="1"/>
        <v>3452.3342854443522</v>
      </c>
      <c r="P14" s="55">
        <f t="shared" si="2"/>
        <v>3245.0898281794148</v>
      </c>
      <c r="Q14" s="55">
        <f t="shared" si="3"/>
        <v>3184.9909315749915</v>
      </c>
      <c r="R14" s="55">
        <f t="shared" si="4"/>
        <v>3179.3714384989189</v>
      </c>
      <c r="T14" s="51">
        <f>NPV(Inputs!$C$6,'Vendas Vigente'!N14:Q14)+((R14*Inputs!$C$11)/(1+Inputs!$C$6)^(4.55))</f>
        <v>12101.30286601459</v>
      </c>
      <c r="X14" s="51"/>
      <c r="Y14" s="51">
        <f>SUMIFS(Tarifas!$AW$7:$AW$320,Tarifas!$G$7:$G$320,$A14)*SUMIFS(Mercado!G$9:G$160,Mercado!$A$9:$A$160,$A14)</f>
        <v>7733.7631687724379</v>
      </c>
      <c r="Z14" s="51">
        <f>SUMIFS(Tarifas!$AW$7:$AW$320,Tarifas!$G$7:$G$320,$A14)*SUMIFS(Mercado!H$9:H$160,Mercado!$A$9:$A$160,$A14)</f>
        <v>7588.9142457355201</v>
      </c>
      <c r="AA14" s="51">
        <f>SUMIFS(Tarifas!$AW$7:$AW$320,Tarifas!$G$7:$G$320,$A14)*SUMIFS(Mercado!I$9:I$160,Mercado!$A$9:$A$160,$A14)</f>
        <v>7133.3498988185238</v>
      </c>
      <c r="AB14" s="51">
        <f>SUMIFS(Tarifas!$AW$7:$AW$320,Tarifas!$G$7:$G$320,$A14)*SUMIFS(Mercado!J$9:J$160,Mercado!$A$9:$A$160,$A14)</f>
        <v>7001.240625821054</v>
      </c>
      <c r="AC14" s="51">
        <f>SUMIFS(Tarifas!$AW$7:$AW$320,Tarifas!$G$7:$G$320,$A14)*SUMIFS(Mercado!K$9:K$160,Mercado!$A$9:$A$160,$A14)</f>
        <v>6988.8878675036976</v>
      </c>
      <c r="AE14" s="55">
        <f t="shared" si="11"/>
        <v>0</v>
      </c>
      <c r="AF14" s="55">
        <f t="shared" si="5"/>
        <v>7733.7631687724379</v>
      </c>
      <c r="AG14" s="55">
        <f t="shared" si="6"/>
        <v>7588.9142457355201</v>
      </c>
      <c r="AH14" s="55">
        <f t="shared" si="7"/>
        <v>7133.3498988185238</v>
      </c>
      <c r="AI14" s="55">
        <f t="shared" si="8"/>
        <v>7001.240625821054</v>
      </c>
      <c r="AJ14" s="55">
        <f t="shared" si="9"/>
        <v>6988.8878675036976</v>
      </c>
    </row>
    <row r="15" spans="1:36">
      <c r="A15" s="192" t="str">
        <f>Usuarios!A21</f>
        <v>03 3</v>
      </c>
      <c r="B15" s="50" t="str">
        <f>Usuarios!B21</f>
        <v>Comercial</v>
      </c>
      <c r="C15" s="50">
        <f>Usuarios!C21</f>
        <v>3</v>
      </c>
      <c r="D15" s="51">
        <f>Usuarios!D21</f>
        <v>501</v>
      </c>
      <c r="E15" s="51">
        <f>Usuarios!E21</f>
        <v>2000</v>
      </c>
      <c r="F15" s="51"/>
      <c r="G15" s="51">
        <f>SUMIFS(Tarifas!$K$7:$K$320,Tarifas!$G$7:$G$320,$A15)*SUMIFS(Mercado!G$9:G$160,Mercado!$A$9:$A$160,$A15)</f>
        <v>3753.7513685496201</v>
      </c>
      <c r="H15" s="51">
        <f>SUMIFS(Tarifas!$K$7:$K$320,Tarifas!$G$7:$G$320,$A15)*SUMIFS(Mercado!H$9:H$160,Mercado!$A$9:$A$160,$A15)</f>
        <v>3837.5010303638132</v>
      </c>
      <c r="I15" s="51">
        <f>SUMIFS(Tarifas!$K$7:$K$320,Tarifas!$G$7:$G$320,$A15)*SUMIFS(Mercado!I$9:I$160,Mercado!$A$9:$A$160,$A15)</f>
        <v>3375.5043494063912</v>
      </c>
      <c r="J15" s="51">
        <f>SUMIFS(Tarifas!$K$7:$K$320,Tarifas!$G$7:$G$320,$A15)*SUMIFS(Mercado!J$9:J$160,Mercado!$A$9:$A$160,$A15)</f>
        <v>3312.9901825808247</v>
      </c>
      <c r="K15" s="51">
        <f>SUMIFS(Tarifas!$K$7:$K$320,Tarifas!$G$7:$G$320,$A15)*SUMIFS(Mercado!K$9:K$160,Mercado!$A$9:$A$160,$A15)</f>
        <v>3307.1448518429738</v>
      </c>
      <c r="M15" s="55">
        <f t="shared" si="10"/>
        <v>0</v>
      </c>
      <c r="N15" s="55">
        <f t="shared" si="0"/>
        <v>3753.7513685496201</v>
      </c>
      <c r="O15" s="55">
        <f t="shared" si="1"/>
        <v>3837.5010303638132</v>
      </c>
      <c r="P15" s="55">
        <f t="shared" si="2"/>
        <v>3375.5043494063912</v>
      </c>
      <c r="Q15" s="55">
        <f t="shared" si="3"/>
        <v>3312.9901825808247</v>
      </c>
      <c r="R15" s="55">
        <f t="shared" si="4"/>
        <v>3307.1448518429738</v>
      </c>
      <c r="T15" s="51">
        <f>NPV(Inputs!$C$6,'Vendas Vigente'!N15:Q15)+((R15*Inputs!$C$11)/(1+Inputs!$C$6)^(4.55))</f>
        <v>12881.769981367494</v>
      </c>
      <c r="X15" s="51"/>
      <c r="Y15" s="51">
        <f>SUMIFS(Tarifas!$AW$7:$AW$320,Tarifas!$G$7:$G$320,$A15)*SUMIFS(Mercado!G$9:G$160,Mercado!$A$9:$A$160,$A15)</f>
        <v>9728.0791988083729</v>
      </c>
      <c r="Z15" s="51">
        <f>SUMIFS(Tarifas!$AW$7:$AW$320,Tarifas!$G$7:$G$320,$A15)*SUMIFS(Mercado!H$9:H$160,Mercado!$A$9:$A$160,$A15)</f>
        <v>9945.1216352968295</v>
      </c>
      <c r="AA15" s="51">
        <f>SUMIFS(Tarifas!$AW$7:$AW$320,Tarifas!$G$7:$G$320,$A15)*SUMIFS(Mercado!I$9:I$160,Mercado!$A$9:$A$160,$A15)</f>
        <v>8747.8286180779141</v>
      </c>
      <c r="AB15" s="51">
        <f>SUMIFS(Tarifas!$AW$7:$AW$320,Tarifas!$G$7:$G$320,$A15)*SUMIFS(Mercado!J$9:J$160,Mercado!$A$9:$A$160,$A15)</f>
        <v>8585.8192822913497</v>
      </c>
      <c r="AC15" s="51">
        <f>SUMIFS(Tarifas!$AW$7:$AW$320,Tarifas!$G$7:$G$320,$A15)*SUMIFS(Mercado!K$9:K$160,Mercado!$A$9:$A$160,$A15)</f>
        <v>8570.6707455935102</v>
      </c>
      <c r="AE15" s="55">
        <f t="shared" si="11"/>
        <v>0</v>
      </c>
      <c r="AF15" s="55">
        <f t="shared" si="5"/>
        <v>9728.0791988083729</v>
      </c>
      <c r="AG15" s="55">
        <f t="shared" si="6"/>
        <v>9945.1216352968295</v>
      </c>
      <c r="AH15" s="55">
        <f t="shared" si="7"/>
        <v>8747.8286180779141</v>
      </c>
      <c r="AI15" s="55">
        <f t="shared" si="8"/>
        <v>8585.8192822913497</v>
      </c>
      <c r="AJ15" s="55">
        <f t="shared" si="9"/>
        <v>8570.6707455935102</v>
      </c>
    </row>
    <row r="16" spans="1:36">
      <c r="A16" s="192" t="str">
        <f>Usuarios!A22</f>
        <v>03 4</v>
      </c>
      <c r="B16" s="50" t="str">
        <f>Usuarios!B22</f>
        <v>Comercial</v>
      </c>
      <c r="C16" s="50">
        <f>Usuarios!C22</f>
        <v>4</v>
      </c>
      <c r="D16" s="51">
        <f>Usuarios!D22</f>
        <v>2001</v>
      </c>
      <c r="E16" s="51">
        <f>Usuarios!E22</f>
        <v>20000</v>
      </c>
      <c r="F16" s="51"/>
      <c r="G16" s="51">
        <f>SUMIFS(Tarifas!$K$7:$K$320,Tarifas!$G$7:$G$320,$A16)*SUMIFS(Mercado!G$9:G$160,Mercado!$A$9:$A$160,$A16)</f>
        <v>1230.1000849081145</v>
      </c>
      <c r="H16" s="51">
        <f>SUMIFS(Tarifas!$K$7:$K$320,Tarifas!$G$7:$G$320,$A16)*SUMIFS(Mercado!H$9:H$160,Mercado!$A$9:$A$160,$A16)</f>
        <v>1089.1221978248454</v>
      </c>
      <c r="I16" s="51">
        <f>SUMIFS(Tarifas!$K$7:$K$320,Tarifas!$G$7:$G$320,$A16)*SUMIFS(Mercado!I$9:I$160,Mercado!$A$9:$A$160,$A16)</f>
        <v>1508.1711887287456</v>
      </c>
      <c r="J16" s="51">
        <f>SUMIFS(Tarifas!$K$7:$K$320,Tarifas!$G$7:$G$320,$A16)*SUMIFS(Mercado!J$9:J$160,Mercado!$A$9:$A$160,$A16)</f>
        <v>1480.2399359338021</v>
      </c>
      <c r="K16" s="51">
        <f>SUMIFS(Tarifas!$K$7:$K$320,Tarifas!$G$7:$G$320,$A16)*SUMIFS(Mercado!K$9:K$160,Mercado!$A$9:$A$160,$A16)</f>
        <v>1477.62824935459</v>
      </c>
      <c r="M16" s="55">
        <f t="shared" si="10"/>
        <v>0</v>
      </c>
      <c r="N16" s="55">
        <f t="shared" si="0"/>
        <v>1230.1000849081145</v>
      </c>
      <c r="O16" s="55">
        <f t="shared" si="1"/>
        <v>1089.1221978248454</v>
      </c>
      <c r="P16" s="55">
        <f t="shared" si="2"/>
        <v>1508.1711887287456</v>
      </c>
      <c r="Q16" s="55">
        <f t="shared" si="3"/>
        <v>1480.2399359338021</v>
      </c>
      <c r="R16" s="55">
        <f t="shared" si="4"/>
        <v>1477.62824935459</v>
      </c>
      <c r="T16" s="51">
        <f>NPV(Inputs!$C$6,'Vendas Vigente'!N16:Q16)+((R16*Inputs!$C$11)/(1+Inputs!$C$6)^(4.55))</f>
        <v>4817.8824952738305</v>
      </c>
      <c r="X16" s="51"/>
      <c r="Y16" s="51">
        <f>SUMIFS(Tarifas!$AW$7:$AW$320,Tarifas!$G$7:$G$320,$A16)*SUMIFS(Mercado!G$9:G$160,Mercado!$A$9:$A$160,$A16)</f>
        <v>3264.5681352641036</v>
      </c>
      <c r="Z16" s="51">
        <f>SUMIFS(Tarifas!$AW$7:$AW$320,Tarifas!$G$7:$G$320,$A16)*SUMIFS(Mercado!H$9:H$160,Mercado!$A$9:$A$160,$A16)</f>
        <v>2890.4262881124719</v>
      </c>
      <c r="AA16" s="51">
        <f>SUMIFS(Tarifas!$AW$7:$AW$320,Tarifas!$G$7:$G$320,$A16)*SUMIFS(Mercado!I$9:I$160,Mercado!$A$9:$A$160,$A16)</f>
        <v>4002.542285504373</v>
      </c>
      <c r="AB16" s="51">
        <f>SUMIFS(Tarifas!$AW$7:$AW$320,Tarifas!$G$7:$G$320,$A16)*SUMIFS(Mercado!J$9:J$160,Mercado!$A$9:$A$160,$A16)</f>
        <v>3928.415408373729</v>
      </c>
      <c r="AC16" s="51">
        <f>SUMIFS(Tarifas!$AW$7:$AW$320,Tarifas!$G$7:$G$320,$A16)*SUMIFS(Mercado!K$9:K$160,Mercado!$A$9:$A$160,$A16)</f>
        <v>3921.4842416415277</v>
      </c>
      <c r="AE16" s="55">
        <f t="shared" si="11"/>
        <v>0</v>
      </c>
      <c r="AF16" s="55">
        <f t="shared" si="5"/>
        <v>3264.5681352641036</v>
      </c>
      <c r="AG16" s="55">
        <f t="shared" si="6"/>
        <v>2890.4262881124719</v>
      </c>
      <c r="AH16" s="55">
        <f t="shared" si="7"/>
        <v>4002.542285504373</v>
      </c>
      <c r="AI16" s="55">
        <f t="shared" si="8"/>
        <v>3928.415408373729</v>
      </c>
      <c r="AJ16" s="55">
        <f t="shared" si="9"/>
        <v>3921.4842416415277</v>
      </c>
    </row>
    <row r="17" spans="1:36">
      <c r="A17" s="192" t="str">
        <f>Usuarios!A23</f>
        <v>03 5</v>
      </c>
      <c r="B17" s="50" t="str">
        <f>Usuarios!B23</f>
        <v>Comercial</v>
      </c>
      <c r="C17" s="50">
        <f>Usuarios!C23</f>
        <v>5</v>
      </c>
      <c r="D17" s="51">
        <f>Usuarios!D23</f>
        <v>20001</v>
      </c>
      <c r="E17" s="51">
        <f>Usuarios!E23</f>
        <v>50000</v>
      </c>
      <c r="F17" s="51"/>
      <c r="G17" s="51">
        <f>SUMIFS(Tarifas!$K$7:$K$320,Tarifas!$G$7:$G$320,$A17)*SUMIFS(Mercado!G$9:G$160,Mercado!$A$9:$A$160,$A17)</f>
        <v>200.55704929681792</v>
      </c>
      <c r="H17" s="51">
        <f>SUMIFS(Tarifas!$K$7:$K$320,Tarifas!$G$7:$G$320,$A17)*SUMIFS(Mercado!H$9:H$160,Mercado!$A$9:$A$160,$A17)</f>
        <v>404.09905508105743</v>
      </c>
      <c r="I17" s="51">
        <f>SUMIFS(Tarifas!$K$7:$K$320,Tarifas!$G$7:$G$320,$A17)*SUMIFS(Mercado!I$9:I$160,Mercado!$A$9:$A$160,$A17)</f>
        <v>415.2541871355906</v>
      </c>
      <c r="J17" s="51">
        <f>SUMIFS(Tarifas!$K$7:$K$320,Tarifas!$G$7:$G$320,$A17)*SUMIFS(Mercado!J$9:J$160,Mercado!$A$9:$A$160,$A17)</f>
        <v>407.56370096152466</v>
      </c>
      <c r="K17" s="51">
        <f>SUMIFS(Tarifas!$K$7:$K$320,Tarifas!$G$7:$G$320,$A17)*SUMIFS(Mercado!K$9:K$160,Mercado!$A$9:$A$160,$A17)</f>
        <v>406.84460899397573</v>
      </c>
      <c r="M17" s="55">
        <f t="shared" si="10"/>
        <v>0</v>
      </c>
      <c r="N17" s="55">
        <f t="shared" si="0"/>
        <v>200.55704929681792</v>
      </c>
      <c r="O17" s="55">
        <f t="shared" si="1"/>
        <v>404.09905508105743</v>
      </c>
      <c r="P17" s="55">
        <f t="shared" si="2"/>
        <v>415.2541871355906</v>
      </c>
      <c r="Q17" s="55">
        <f t="shared" si="3"/>
        <v>407.56370096152466</v>
      </c>
      <c r="R17" s="55">
        <f t="shared" si="4"/>
        <v>406.84460899397573</v>
      </c>
      <c r="T17" s="51">
        <f>NPV(Inputs!$C$6,'Vendas Vigente'!N17:Q17)+((R17*Inputs!$C$11)/(1+Inputs!$C$6)^(4.55))</f>
        <v>1287.5684310414911</v>
      </c>
      <c r="X17" s="51"/>
      <c r="Y17" s="51">
        <f>SUMIFS(Tarifas!$AW$7:$AW$320,Tarifas!$G$7:$G$320,$A17)*SUMIFS(Mercado!G$9:G$160,Mercado!$A$9:$A$160,$A17)</f>
        <v>544.12304188642668</v>
      </c>
      <c r="Z17" s="51">
        <f>SUMIFS(Tarifas!$AW$7:$AW$320,Tarifas!$G$7:$G$320,$A17)*SUMIFS(Mercado!H$9:H$160,Mercado!$A$9:$A$160,$A17)</f>
        <v>1096.3444458575025</v>
      </c>
      <c r="AA17" s="51">
        <f>SUMIFS(Tarifas!$AW$7:$AW$320,Tarifas!$G$7:$G$320,$A17)*SUMIFS(Mercado!I$9:I$160,Mercado!$A$9:$A$160,$A17)</f>
        <v>1126.6089736187498</v>
      </c>
      <c r="AB17" s="51">
        <f>SUMIFS(Tarifas!$AW$7:$AW$320,Tarifas!$G$7:$G$320,$A17)*SUMIFS(Mercado!J$9:J$160,Mercado!$A$9:$A$160,$A17)</f>
        <v>1105.7442334099665</v>
      </c>
      <c r="AC17" s="51">
        <f>SUMIFS(Tarifas!$AW$7:$AW$320,Tarifas!$G$7:$G$320,$A17)*SUMIFS(Mercado!K$9:K$160,Mercado!$A$9:$A$160,$A17)</f>
        <v>1103.7932947112236</v>
      </c>
      <c r="AE17" s="55">
        <f t="shared" si="11"/>
        <v>0</v>
      </c>
      <c r="AF17" s="55">
        <f t="shared" si="5"/>
        <v>544.12304188642668</v>
      </c>
      <c r="AG17" s="55">
        <f t="shared" si="6"/>
        <v>1096.3444458575025</v>
      </c>
      <c r="AH17" s="55">
        <f t="shared" si="7"/>
        <v>1126.6089736187498</v>
      </c>
      <c r="AI17" s="55">
        <f t="shared" si="8"/>
        <v>1105.7442334099665</v>
      </c>
      <c r="AJ17" s="55">
        <f t="shared" si="9"/>
        <v>1103.7932947112236</v>
      </c>
    </row>
    <row r="18" spans="1:36">
      <c r="A18" s="192" t="str">
        <f>Usuarios!A24</f>
        <v>03 6</v>
      </c>
      <c r="B18" s="50" t="str">
        <f>Usuarios!B24</f>
        <v>Comercial</v>
      </c>
      <c r="C18" s="50">
        <f>Usuarios!C24</f>
        <v>6</v>
      </c>
      <c r="D18" s="51">
        <f>Usuarios!D24</f>
        <v>50001</v>
      </c>
      <c r="E18" s="51">
        <f>Usuarios!E24</f>
        <v>999999999</v>
      </c>
      <c r="F18" s="51"/>
      <c r="G18" s="51">
        <f>SUMIFS(Tarifas!$K$7:$K$320,Tarifas!$G$7:$G$320,$A18)*SUMIFS(Mercado!G$9:G$160,Mercado!$A$9:$A$160,$A18)</f>
        <v>0</v>
      </c>
      <c r="H18" s="51">
        <f>SUMIFS(Tarifas!$K$7:$K$320,Tarifas!$G$7:$G$320,$A18)*SUMIFS(Mercado!H$9:H$160,Mercado!$A$9:$A$160,$A18)</f>
        <v>0</v>
      </c>
      <c r="I18" s="51">
        <f>SUMIFS(Tarifas!$K$7:$K$320,Tarifas!$G$7:$G$320,$A18)*SUMIFS(Mercado!I$9:I$160,Mercado!$A$9:$A$160,$A18)</f>
        <v>0</v>
      </c>
      <c r="J18" s="51">
        <f>SUMIFS(Tarifas!$K$7:$K$320,Tarifas!$G$7:$G$320,$A18)*SUMIFS(Mercado!J$9:J$160,Mercado!$A$9:$A$160,$A18)</f>
        <v>0</v>
      </c>
      <c r="K18" s="51">
        <f>SUMIFS(Tarifas!$K$7:$K$320,Tarifas!$G$7:$G$320,$A18)*SUMIFS(Mercado!K$9:K$160,Mercado!$A$9:$A$160,$A18)</f>
        <v>0</v>
      </c>
      <c r="M18" s="55">
        <f t="shared" si="10"/>
        <v>0</v>
      </c>
      <c r="N18" s="55">
        <f t="shared" si="0"/>
        <v>0</v>
      </c>
      <c r="O18" s="55">
        <f t="shared" si="1"/>
        <v>0</v>
      </c>
      <c r="P18" s="55">
        <f t="shared" si="2"/>
        <v>0</v>
      </c>
      <c r="Q18" s="55">
        <f t="shared" si="3"/>
        <v>0</v>
      </c>
      <c r="R18" s="55">
        <f t="shared" si="4"/>
        <v>0</v>
      </c>
      <c r="T18" s="51">
        <f>NPV(Inputs!$C$6,'Vendas Vigente'!N18:Q18)+((R18*Inputs!$C$11)/(1+Inputs!$C$6)^(4.55))</f>
        <v>0</v>
      </c>
      <c r="X18" s="51"/>
      <c r="Y18" s="51">
        <f>SUMIFS(Tarifas!$AW$7:$AW$320,Tarifas!$G$7:$G$320,$A18)*SUMIFS(Mercado!G$9:G$160,Mercado!$A$9:$A$160,$A18)</f>
        <v>0</v>
      </c>
      <c r="Z18" s="51">
        <f>SUMIFS(Tarifas!$AW$7:$AW$320,Tarifas!$G$7:$G$320,$A18)*SUMIFS(Mercado!H$9:H$160,Mercado!$A$9:$A$160,$A18)</f>
        <v>0</v>
      </c>
      <c r="AA18" s="51">
        <f>SUMIFS(Tarifas!$AW$7:$AW$320,Tarifas!$G$7:$G$320,$A18)*SUMIFS(Mercado!I$9:I$160,Mercado!$A$9:$A$160,$A18)</f>
        <v>0</v>
      </c>
      <c r="AB18" s="51">
        <f>SUMIFS(Tarifas!$AW$7:$AW$320,Tarifas!$G$7:$G$320,$A18)*SUMIFS(Mercado!J$9:J$160,Mercado!$A$9:$A$160,$A18)</f>
        <v>0</v>
      </c>
      <c r="AC18" s="51">
        <f>SUMIFS(Tarifas!$AW$7:$AW$320,Tarifas!$G$7:$G$320,$A18)*SUMIFS(Mercado!K$9:K$160,Mercado!$A$9:$A$160,$A18)</f>
        <v>0</v>
      </c>
      <c r="AE18" s="55">
        <f t="shared" si="11"/>
        <v>0</v>
      </c>
      <c r="AF18" s="55">
        <f t="shared" si="5"/>
        <v>0</v>
      </c>
      <c r="AG18" s="55">
        <f t="shared" si="6"/>
        <v>0</v>
      </c>
      <c r="AH18" s="55">
        <f t="shared" si="7"/>
        <v>0</v>
      </c>
      <c r="AI18" s="55">
        <f t="shared" si="8"/>
        <v>0</v>
      </c>
      <c r="AJ18" s="55">
        <f t="shared" si="9"/>
        <v>0</v>
      </c>
    </row>
    <row r="19" spans="1:36">
      <c r="A19" s="192"/>
      <c r="D19" s="51"/>
      <c r="E19" s="51"/>
      <c r="F19" s="51"/>
      <c r="G19" s="51">
        <f>SUMIFS(Tarifas!$K$7:$K$320,Tarifas!$G$7:$G$320,$A19)*SUMIFS(Mercado!G$9:G$160,Mercado!$A$9:$A$160,$A19)</f>
        <v>0</v>
      </c>
      <c r="H19" s="51">
        <f>SUMIFS(Tarifas!$K$7:$K$320,Tarifas!$G$7:$G$320,$A19)*SUMIFS(Mercado!H$9:H$160,Mercado!$A$9:$A$160,$A19)</f>
        <v>0</v>
      </c>
      <c r="I19" s="51">
        <f>SUMIFS(Tarifas!$K$7:$K$320,Tarifas!$G$7:$G$320,$A19)*SUMIFS(Mercado!I$9:I$160,Mercado!$A$9:$A$160,$A19)</f>
        <v>0</v>
      </c>
      <c r="J19" s="51">
        <f>SUMIFS(Tarifas!$K$7:$K$320,Tarifas!$G$7:$G$320,$A19)*SUMIFS(Mercado!J$9:J$160,Mercado!$A$9:$A$160,$A19)</f>
        <v>0</v>
      </c>
      <c r="K19" s="51">
        <f>SUMIFS(Tarifas!$K$7:$K$320,Tarifas!$G$7:$G$320,$A19)*SUMIFS(Mercado!K$9:K$160,Mercado!$A$9:$A$160,$A19)</f>
        <v>0</v>
      </c>
      <c r="M19" s="55">
        <f t="shared" si="10"/>
        <v>0</v>
      </c>
      <c r="N19" s="55">
        <f t="shared" si="0"/>
        <v>0</v>
      </c>
      <c r="O19" s="55">
        <f t="shared" si="1"/>
        <v>0</v>
      </c>
      <c r="P19" s="55">
        <f t="shared" si="2"/>
        <v>0</v>
      </c>
      <c r="Q19" s="55">
        <f t="shared" si="3"/>
        <v>0</v>
      </c>
      <c r="R19" s="55">
        <f t="shared" si="4"/>
        <v>0</v>
      </c>
      <c r="T19" s="51">
        <f>NPV(Inputs!$C$6,'Vendas Vigente'!N19:Q19)+((R19*Inputs!$C$11)/(1+Inputs!$C$6)^(4.55))</f>
        <v>0</v>
      </c>
      <c r="X19" s="51"/>
      <c r="Y19" s="51">
        <f>SUMIFS(Tarifas!$AW$7:$AW$320,Tarifas!$G$7:$G$320,$A19)*SUMIFS(Mercado!G$9:G$160,Mercado!$A$9:$A$160,$A19)</f>
        <v>0</v>
      </c>
      <c r="Z19" s="51">
        <f>SUMIFS(Tarifas!$AW$7:$AW$320,Tarifas!$G$7:$G$320,$A19)*SUMIFS(Mercado!H$9:H$160,Mercado!$A$9:$A$160,$A19)</f>
        <v>0</v>
      </c>
      <c r="AA19" s="51">
        <f>SUMIFS(Tarifas!$AW$7:$AW$320,Tarifas!$G$7:$G$320,$A19)*SUMIFS(Mercado!I$9:I$160,Mercado!$A$9:$A$160,$A19)</f>
        <v>0</v>
      </c>
      <c r="AB19" s="51">
        <f>SUMIFS(Tarifas!$AW$7:$AW$320,Tarifas!$G$7:$G$320,$A19)*SUMIFS(Mercado!J$9:J$160,Mercado!$A$9:$A$160,$A19)</f>
        <v>0</v>
      </c>
      <c r="AC19" s="51">
        <f>SUMIFS(Tarifas!$AW$7:$AW$320,Tarifas!$G$7:$G$320,$A19)*SUMIFS(Mercado!K$9:K$160,Mercado!$A$9:$A$160,$A19)</f>
        <v>0</v>
      </c>
      <c r="AE19" s="55">
        <f t="shared" si="11"/>
        <v>0</v>
      </c>
      <c r="AF19" s="55">
        <f t="shared" si="5"/>
        <v>0</v>
      </c>
      <c r="AG19" s="55">
        <f t="shared" si="6"/>
        <v>0</v>
      </c>
      <c r="AH19" s="55">
        <f t="shared" si="7"/>
        <v>0</v>
      </c>
      <c r="AI19" s="55">
        <f t="shared" si="8"/>
        <v>0</v>
      </c>
      <c r="AJ19" s="55">
        <f t="shared" si="9"/>
        <v>0</v>
      </c>
    </row>
    <row r="20" spans="1:36">
      <c r="A20" s="192" t="str">
        <f>Usuarios!A26</f>
        <v>04 1</v>
      </c>
      <c r="B20" s="50" t="str">
        <f>Usuarios!B26</f>
        <v>Climatização</v>
      </c>
      <c r="C20" s="50">
        <f>Usuarios!C26</f>
        <v>1</v>
      </c>
      <c r="D20" s="51">
        <f>Usuarios!D26</f>
        <v>0</v>
      </c>
      <c r="E20" s="51">
        <f>Usuarios!E26</f>
        <v>200</v>
      </c>
      <c r="F20" s="51"/>
      <c r="G20" s="51">
        <f>SUMIFS(Tarifas!$K$7:$K$320,Tarifas!$G$7:$G$320,$A20)*SUMIFS(Mercado!G$9:G$160,Mercado!$A$9:$A$160,$A20)</f>
        <v>212.18033753955135</v>
      </c>
      <c r="H20" s="51">
        <f>SUMIFS(Tarifas!$K$7:$K$320,Tarifas!$G$7:$G$320,$A20)*SUMIFS(Mercado!H$9:H$160,Mercado!$A$9:$A$160,$A20)</f>
        <v>253.65787036108574</v>
      </c>
      <c r="I20" s="51">
        <f>SUMIFS(Tarifas!$K$7:$K$320,Tarifas!$G$7:$G$320,$A20)*SUMIFS(Mercado!I$9:I$160,Mercado!$A$9:$A$160,$A20)</f>
        <v>265.54855838288387</v>
      </c>
      <c r="J20" s="51">
        <f>SUMIFS(Tarifas!$K$7:$K$320,Tarifas!$G$7:$G$320,$A20)*SUMIFS(Mercado!J$9:J$160,Mercado!$A$9:$A$160,$A20)</f>
        <v>260.63061274849127</v>
      </c>
      <c r="K20" s="51">
        <f>SUMIFS(Tarifas!$K$7:$K$320,Tarifas!$G$7:$G$320,$A20)*SUMIFS(Mercado!K$9:K$160,Mercado!$A$9:$A$160,$A20)</f>
        <v>260.1707646813482</v>
      </c>
      <c r="M20" s="55">
        <f t="shared" si="10"/>
        <v>0</v>
      </c>
      <c r="N20" s="55">
        <f t="shared" si="0"/>
        <v>212.18033753955135</v>
      </c>
      <c r="O20" s="55">
        <f t="shared" si="1"/>
        <v>253.65787036108574</v>
      </c>
      <c r="P20" s="55">
        <f t="shared" si="2"/>
        <v>265.54855838288387</v>
      </c>
      <c r="Q20" s="55">
        <f t="shared" si="3"/>
        <v>260.63061274849127</v>
      </c>
      <c r="R20" s="55">
        <f t="shared" si="4"/>
        <v>260.1707646813482</v>
      </c>
      <c r="T20" s="51">
        <f>NPV(Inputs!$C$6,'Vendas Vigente'!N20:Q20)+((R20*Inputs!$C$11)/(1+Inputs!$C$6)^(4.55))</f>
        <v>896.42401071688118</v>
      </c>
      <c r="V20" s="55"/>
      <c r="X20" s="51"/>
      <c r="Y20" s="51">
        <f>SUMIFS(Tarifas!$AW$7:$AW$320,Tarifas!$G$7:$G$320,$A20)*SUMIFS(Mercado!G$9:G$160,Mercado!$A$9:$A$160,$A20)</f>
        <v>507.575405848331</v>
      </c>
      <c r="Z20" s="51">
        <f>SUMIFS(Tarifas!$AW$7:$AW$320,Tarifas!$G$7:$G$320,$A20)*SUMIFS(Mercado!H$9:H$160,Mercado!$A$9:$A$160,$A20)</f>
        <v>606.79749117258211</v>
      </c>
      <c r="AA20" s="51">
        <f>SUMIFS(Tarifas!$AW$7:$AW$320,Tarifas!$G$7:$G$320,$A20)*SUMIFS(Mercado!I$9:I$160,Mercado!$A$9:$A$160,$A20)</f>
        <v>635.24226069489964</v>
      </c>
      <c r="AB20" s="51">
        <f>SUMIFS(Tarifas!$AW$7:$AW$320,Tarifas!$G$7:$G$320,$A20)*SUMIFS(Mercado!J$9:J$160,Mercado!$A$9:$A$160,$A20)</f>
        <v>623.47760672053437</v>
      </c>
      <c r="AC20" s="51">
        <f>SUMIFS(Tarifas!$AW$7:$AW$320,Tarifas!$G$7:$G$320,$A20)*SUMIFS(Mercado!K$9:K$160,Mercado!$A$9:$A$160,$A20)</f>
        <v>622.37756337054589</v>
      </c>
      <c r="AE20" s="55">
        <f t="shared" si="11"/>
        <v>0</v>
      </c>
      <c r="AF20" s="55">
        <f t="shared" si="5"/>
        <v>507.575405848331</v>
      </c>
      <c r="AG20" s="55">
        <f t="shared" si="6"/>
        <v>606.79749117258211</v>
      </c>
      <c r="AH20" s="55">
        <f t="shared" si="7"/>
        <v>635.24226069489964</v>
      </c>
      <c r="AI20" s="55">
        <f t="shared" si="8"/>
        <v>623.47760672053437</v>
      </c>
      <c r="AJ20" s="55">
        <f t="shared" si="9"/>
        <v>622.37756337054589</v>
      </c>
    </row>
    <row r="21" spans="1:36">
      <c r="A21" s="192" t="str">
        <f>Usuarios!A27</f>
        <v>04 2</v>
      </c>
      <c r="B21" s="50" t="str">
        <f>Usuarios!B27</f>
        <v>Climatização</v>
      </c>
      <c r="C21" s="50">
        <f>Usuarios!C27</f>
        <v>2</v>
      </c>
      <c r="D21" s="51">
        <f>Usuarios!D27</f>
        <v>201</v>
      </c>
      <c r="E21" s="51">
        <f>Usuarios!E27</f>
        <v>5000</v>
      </c>
      <c r="F21" s="51"/>
      <c r="G21" s="51">
        <f>SUMIFS(Tarifas!$K$7:$K$320,Tarifas!$G$7:$G$320,$A21)*SUMIFS(Mercado!G$9:G$160,Mercado!$A$9:$A$160,$A21)</f>
        <v>95.140197446458075</v>
      </c>
      <c r="H21" s="51">
        <f>SUMIFS(Tarifas!$K$7:$K$320,Tarifas!$G$7:$G$320,$A21)*SUMIFS(Mercado!H$9:H$160,Mercado!$A$9:$A$160,$A21)</f>
        <v>100.83825137993755</v>
      </c>
      <c r="I21" s="51">
        <f>SUMIFS(Tarifas!$K$7:$K$320,Tarifas!$G$7:$G$320,$A21)*SUMIFS(Mercado!I$9:I$160,Mercado!$A$9:$A$160,$A21)</f>
        <v>81.659817958561334</v>
      </c>
      <c r="J21" s="51">
        <f>SUMIFS(Tarifas!$K$7:$K$320,Tarifas!$G$7:$G$320,$A21)*SUMIFS(Mercado!J$9:J$160,Mercado!$A$9:$A$160,$A21)</f>
        <v>80.147482332714873</v>
      </c>
      <c r="K21" s="51">
        <f>SUMIFS(Tarifas!$K$7:$K$320,Tarifas!$G$7:$G$320,$A21)*SUMIFS(Mercado!K$9:K$160,Mercado!$A$9:$A$160,$A21)</f>
        <v>80.006072755196655</v>
      </c>
      <c r="M21" s="55">
        <f t="shared" si="10"/>
        <v>0</v>
      </c>
      <c r="N21" s="55">
        <f t="shared" si="0"/>
        <v>95.140197446458075</v>
      </c>
      <c r="O21" s="55">
        <f t="shared" si="1"/>
        <v>100.83825137993755</v>
      </c>
      <c r="P21" s="55">
        <f t="shared" si="2"/>
        <v>81.659817958561334</v>
      </c>
      <c r="Q21" s="55">
        <f t="shared" si="3"/>
        <v>80.147482332714873</v>
      </c>
      <c r="R21" s="55">
        <f t="shared" si="4"/>
        <v>80.006072755196655</v>
      </c>
      <c r="T21" s="51">
        <f>NPV(Inputs!$C$6,'Vendas Vigente'!N21:Q21)+((R21*Inputs!$C$11)/(1+Inputs!$C$6)^(4.55))</f>
        <v>322.35449714156232</v>
      </c>
      <c r="V21" s="55"/>
      <c r="X21" s="51"/>
      <c r="Y21" s="51">
        <f>SUMIFS(Tarifas!$AW$7:$AW$320,Tarifas!$G$7:$G$320,$A21)*SUMIFS(Mercado!G$9:G$160,Mercado!$A$9:$A$160,$A21)</f>
        <v>360.3387311800347</v>
      </c>
      <c r="Z21" s="51">
        <f>SUMIFS(Tarifas!$AW$7:$AW$320,Tarifas!$G$7:$G$320,$A21)*SUMIFS(Mercado!H$9:H$160,Mercado!$A$9:$A$160,$A21)</f>
        <v>381.91982497312767</v>
      </c>
      <c r="AA21" s="51">
        <f>SUMIFS(Tarifas!$AW$7:$AW$320,Tarifas!$G$7:$G$320,$A21)*SUMIFS(Mercado!I$9:I$160,Mercado!$A$9:$A$160,$A21)</f>
        <v>309.28246925428317</v>
      </c>
      <c r="AB21" s="51">
        <f>SUMIFS(Tarifas!$AW$7:$AW$320,Tarifas!$G$7:$G$320,$A21)*SUMIFS(Mercado!J$9:J$160,Mercado!$A$9:$A$160,$A21)</f>
        <v>303.55457384138413</v>
      </c>
      <c r="AC21" s="51">
        <f>SUMIFS(Tarifas!$AW$7:$AW$320,Tarifas!$G$7:$G$320,$A21)*SUMIFS(Mercado!K$9:K$160,Mercado!$A$9:$A$160,$A21)</f>
        <v>303.01899215133881</v>
      </c>
      <c r="AE21" s="55">
        <f t="shared" si="11"/>
        <v>0</v>
      </c>
      <c r="AF21" s="55">
        <f t="shared" si="5"/>
        <v>360.3387311800347</v>
      </c>
      <c r="AG21" s="55">
        <f t="shared" si="6"/>
        <v>381.91982497312767</v>
      </c>
      <c r="AH21" s="55">
        <f t="shared" si="7"/>
        <v>309.28246925428317</v>
      </c>
      <c r="AI21" s="55">
        <f t="shared" si="8"/>
        <v>303.55457384138413</v>
      </c>
      <c r="AJ21" s="55">
        <f t="shared" si="9"/>
        <v>303.01899215133881</v>
      </c>
    </row>
    <row r="22" spans="1:36">
      <c r="A22" s="192" t="str">
        <f>Usuarios!A28</f>
        <v>04 3</v>
      </c>
      <c r="B22" s="50" t="str">
        <f>Usuarios!B28</f>
        <v>Climatização</v>
      </c>
      <c r="C22" s="50">
        <f>Usuarios!C28</f>
        <v>3</v>
      </c>
      <c r="D22" s="51">
        <f>Usuarios!D28</f>
        <v>5001</v>
      </c>
      <c r="E22" s="51">
        <f>Usuarios!E28</f>
        <v>20000</v>
      </c>
      <c r="F22" s="51"/>
      <c r="G22" s="51">
        <f>SUMIFS(Tarifas!$K$7:$K$320,Tarifas!$G$7:$G$320,$A22)*SUMIFS(Mercado!G$9:G$160,Mercado!$A$9:$A$160,$A22)</f>
        <v>0</v>
      </c>
      <c r="H22" s="51">
        <f>SUMIFS(Tarifas!$K$7:$K$320,Tarifas!$G$7:$G$320,$A22)*SUMIFS(Mercado!H$9:H$160,Mercado!$A$9:$A$160,$A22)</f>
        <v>0</v>
      </c>
      <c r="I22" s="51">
        <f>SUMIFS(Tarifas!$K$7:$K$320,Tarifas!$G$7:$G$320,$A22)*SUMIFS(Mercado!I$9:I$160,Mercado!$A$9:$A$160,$A22)</f>
        <v>0</v>
      </c>
      <c r="J22" s="51">
        <f>SUMIFS(Tarifas!$K$7:$K$320,Tarifas!$G$7:$G$320,$A22)*SUMIFS(Mercado!J$9:J$160,Mercado!$A$9:$A$160,$A22)</f>
        <v>0</v>
      </c>
      <c r="K22" s="51">
        <f>SUMIFS(Tarifas!$K$7:$K$320,Tarifas!$G$7:$G$320,$A22)*SUMIFS(Mercado!K$9:K$160,Mercado!$A$9:$A$160,$A22)</f>
        <v>0</v>
      </c>
      <c r="M22" s="55">
        <f t="shared" si="10"/>
        <v>0</v>
      </c>
      <c r="N22" s="55">
        <f t="shared" si="0"/>
        <v>0</v>
      </c>
      <c r="O22" s="55">
        <f t="shared" si="1"/>
        <v>0</v>
      </c>
      <c r="P22" s="55">
        <f t="shared" si="2"/>
        <v>0</v>
      </c>
      <c r="Q22" s="55">
        <f t="shared" si="3"/>
        <v>0</v>
      </c>
      <c r="R22" s="55">
        <f t="shared" si="4"/>
        <v>0</v>
      </c>
      <c r="T22" s="51">
        <f>NPV(Inputs!$C$6,'Vendas Vigente'!N22:Q22)+((R22*Inputs!$C$11)/(1+Inputs!$C$6)^(4.55))</f>
        <v>0</v>
      </c>
      <c r="V22" s="55"/>
      <c r="X22" s="51"/>
      <c r="Y22" s="51">
        <f>SUMIFS(Tarifas!$AW$7:$AW$320,Tarifas!$G$7:$G$320,$A22)*SUMIFS(Mercado!G$9:G$160,Mercado!$A$9:$A$160,$A22)</f>
        <v>0</v>
      </c>
      <c r="Z22" s="51">
        <f>SUMIFS(Tarifas!$AW$7:$AW$320,Tarifas!$G$7:$G$320,$A22)*SUMIFS(Mercado!H$9:H$160,Mercado!$A$9:$A$160,$A22)</f>
        <v>0</v>
      </c>
      <c r="AA22" s="51">
        <f>SUMIFS(Tarifas!$AW$7:$AW$320,Tarifas!$G$7:$G$320,$A22)*SUMIFS(Mercado!I$9:I$160,Mercado!$A$9:$A$160,$A22)</f>
        <v>0</v>
      </c>
      <c r="AB22" s="51">
        <f>SUMIFS(Tarifas!$AW$7:$AW$320,Tarifas!$G$7:$G$320,$A22)*SUMIFS(Mercado!J$9:J$160,Mercado!$A$9:$A$160,$A22)</f>
        <v>0</v>
      </c>
      <c r="AC22" s="51">
        <f>SUMIFS(Tarifas!$AW$7:$AW$320,Tarifas!$G$7:$G$320,$A22)*SUMIFS(Mercado!K$9:K$160,Mercado!$A$9:$A$160,$A22)</f>
        <v>0</v>
      </c>
      <c r="AE22" s="55">
        <f t="shared" si="11"/>
        <v>0</v>
      </c>
      <c r="AF22" s="55">
        <f t="shared" si="5"/>
        <v>0</v>
      </c>
      <c r="AG22" s="55">
        <f t="shared" si="6"/>
        <v>0</v>
      </c>
      <c r="AH22" s="55">
        <f t="shared" si="7"/>
        <v>0</v>
      </c>
      <c r="AI22" s="55">
        <f t="shared" si="8"/>
        <v>0</v>
      </c>
      <c r="AJ22" s="55">
        <f t="shared" si="9"/>
        <v>0</v>
      </c>
    </row>
    <row r="23" spans="1:36">
      <c r="A23" s="192" t="str">
        <f>Usuarios!A29</f>
        <v>04 4</v>
      </c>
      <c r="B23" s="50" t="str">
        <f>Usuarios!B29</f>
        <v>Climatização</v>
      </c>
      <c r="C23" s="50">
        <f>Usuarios!C29</f>
        <v>4</v>
      </c>
      <c r="D23" s="51">
        <f>Usuarios!D29</f>
        <v>20001</v>
      </c>
      <c r="E23" s="51">
        <f>Usuarios!E29</f>
        <v>70000</v>
      </c>
      <c r="F23" s="51"/>
      <c r="G23" s="51">
        <f>SUMIFS(Tarifas!$K$7:$K$320,Tarifas!$G$7:$G$320,$A23)*SUMIFS(Mercado!G$9:G$160,Mercado!$A$9:$A$160,$A23)</f>
        <v>0</v>
      </c>
      <c r="H23" s="51">
        <f>SUMIFS(Tarifas!$K$7:$K$320,Tarifas!$G$7:$G$320,$A23)*SUMIFS(Mercado!H$9:H$160,Mercado!$A$9:$A$160,$A23)</f>
        <v>0</v>
      </c>
      <c r="I23" s="51">
        <f>SUMIFS(Tarifas!$K$7:$K$320,Tarifas!$G$7:$G$320,$A23)*SUMIFS(Mercado!I$9:I$160,Mercado!$A$9:$A$160,$A23)</f>
        <v>0</v>
      </c>
      <c r="J23" s="51">
        <f>SUMIFS(Tarifas!$K$7:$K$320,Tarifas!$G$7:$G$320,$A23)*SUMIFS(Mercado!J$9:J$160,Mercado!$A$9:$A$160,$A23)</f>
        <v>0</v>
      </c>
      <c r="K23" s="51">
        <f>SUMIFS(Tarifas!$K$7:$K$320,Tarifas!$G$7:$G$320,$A23)*SUMIFS(Mercado!K$9:K$160,Mercado!$A$9:$A$160,$A23)</f>
        <v>0</v>
      </c>
      <c r="M23" s="55">
        <f t="shared" si="10"/>
        <v>0</v>
      </c>
      <c r="N23" s="55">
        <f t="shared" si="0"/>
        <v>0</v>
      </c>
      <c r="O23" s="55">
        <f t="shared" si="1"/>
        <v>0</v>
      </c>
      <c r="P23" s="55">
        <f t="shared" si="2"/>
        <v>0</v>
      </c>
      <c r="Q23" s="55">
        <f t="shared" si="3"/>
        <v>0</v>
      </c>
      <c r="R23" s="55">
        <f t="shared" si="4"/>
        <v>0</v>
      </c>
      <c r="T23" s="51">
        <f>NPV(Inputs!$C$6,'Vendas Vigente'!N23:Q23)+((R23*Inputs!$C$11)/(1+Inputs!$C$6)^(4.55))</f>
        <v>0</v>
      </c>
      <c r="V23" s="55"/>
      <c r="X23" s="51"/>
      <c r="Y23" s="51">
        <f>SUMIFS(Tarifas!$AW$7:$AW$320,Tarifas!$G$7:$G$320,$A23)*SUMIFS(Mercado!G$9:G$160,Mercado!$A$9:$A$160,$A23)</f>
        <v>0</v>
      </c>
      <c r="Z23" s="51">
        <f>SUMIFS(Tarifas!$AW$7:$AW$320,Tarifas!$G$7:$G$320,$A23)*SUMIFS(Mercado!H$9:H$160,Mercado!$A$9:$A$160,$A23)</f>
        <v>0</v>
      </c>
      <c r="AA23" s="51">
        <f>SUMIFS(Tarifas!$AW$7:$AW$320,Tarifas!$G$7:$G$320,$A23)*SUMIFS(Mercado!I$9:I$160,Mercado!$A$9:$A$160,$A23)</f>
        <v>0</v>
      </c>
      <c r="AB23" s="51">
        <f>SUMIFS(Tarifas!$AW$7:$AW$320,Tarifas!$G$7:$G$320,$A23)*SUMIFS(Mercado!J$9:J$160,Mercado!$A$9:$A$160,$A23)</f>
        <v>0</v>
      </c>
      <c r="AC23" s="51">
        <f>SUMIFS(Tarifas!$AW$7:$AW$320,Tarifas!$G$7:$G$320,$A23)*SUMIFS(Mercado!K$9:K$160,Mercado!$A$9:$A$160,$A23)</f>
        <v>0</v>
      </c>
      <c r="AE23" s="55">
        <f t="shared" si="11"/>
        <v>0</v>
      </c>
      <c r="AF23" s="55">
        <f t="shared" si="5"/>
        <v>0</v>
      </c>
      <c r="AG23" s="55">
        <f t="shared" si="6"/>
        <v>0</v>
      </c>
      <c r="AH23" s="55">
        <f t="shared" si="7"/>
        <v>0</v>
      </c>
      <c r="AI23" s="55">
        <f t="shared" si="8"/>
        <v>0</v>
      </c>
      <c r="AJ23" s="55">
        <f t="shared" si="9"/>
        <v>0</v>
      </c>
    </row>
    <row r="24" spans="1:36">
      <c r="A24" s="192" t="str">
        <f>Usuarios!A30</f>
        <v>04 5</v>
      </c>
      <c r="B24" s="50" t="str">
        <f>Usuarios!B30</f>
        <v>Climatização</v>
      </c>
      <c r="C24" s="50">
        <f>Usuarios!C30</f>
        <v>5</v>
      </c>
      <c r="D24" s="51">
        <f>Usuarios!D30</f>
        <v>70001</v>
      </c>
      <c r="E24" s="51">
        <f>Usuarios!E30</f>
        <v>120000</v>
      </c>
      <c r="F24" s="51"/>
      <c r="G24" s="51">
        <f>SUMIFS(Tarifas!$K$7:$K$320,Tarifas!$G$7:$G$320,$A24)*SUMIFS(Mercado!G$9:G$160,Mercado!$A$9:$A$160,$A24)</f>
        <v>0</v>
      </c>
      <c r="H24" s="51">
        <f>SUMIFS(Tarifas!$K$7:$K$320,Tarifas!$G$7:$G$320,$A24)*SUMIFS(Mercado!H$9:H$160,Mercado!$A$9:$A$160,$A24)</f>
        <v>0</v>
      </c>
      <c r="I24" s="51">
        <f>SUMIFS(Tarifas!$K$7:$K$320,Tarifas!$G$7:$G$320,$A24)*SUMIFS(Mercado!I$9:I$160,Mercado!$A$9:$A$160,$A24)</f>
        <v>0</v>
      </c>
      <c r="J24" s="51">
        <f>SUMIFS(Tarifas!$K$7:$K$320,Tarifas!$G$7:$G$320,$A24)*SUMIFS(Mercado!J$9:J$160,Mercado!$A$9:$A$160,$A24)</f>
        <v>0</v>
      </c>
      <c r="K24" s="51">
        <f>SUMIFS(Tarifas!$K$7:$K$320,Tarifas!$G$7:$G$320,$A24)*SUMIFS(Mercado!K$9:K$160,Mercado!$A$9:$A$160,$A24)</f>
        <v>0</v>
      </c>
      <c r="M24" s="55">
        <f t="shared" si="10"/>
        <v>0</v>
      </c>
      <c r="N24" s="55">
        <f t="shared" si="0"/>
        <v>0</v>
      </c>
      <c r="O24" s="55">
        <f t="shared" si="1"/>
        <v>0</v>
      </c>
      <c r="P24" s="55">
        <f t="shared" si="2"/>
        <v>0</v>
      </c>
      <c r="Q24" s="55">
        <f t="shared" si="3"/>
        <v>0</v>
      </c>
      <c r="R24" s="55">
        <f t="shared" si="4"/>
        <v>0</v>
      </c>
      <c r="T24" s="51">
        <f>NPV(Inputs!$C$6,'Vendas Vigente'!N24:Q24)+((R24*Inputs!$C$11)/(1+Inputs!$C$6)^(4.55))</f>
        <v>0</v>
      </c>
      <c r="V24" s="55"/>
      <c r="X24" s="51"/>
      <c r="Y24" s="51">
        <f>SUMIFS(Tarifas!$AW$7:$AW$320,Tarifas!$G$7:$G$320,$A24)*SUMIFS(Mercado!G$9:G$160,Mercado!$A$9:$A$160,$A24)</f>
        <v>0</v>
      </c>
      <c r="Z24" s="51">
        <f>SUMIFS(Tarifas!$AW$7:$AW$320,Tarifas!$G$7:$G$320,$A24)*SUMIFS(Mercado!H$9:H$160,Mercado!$A$9:$A$160,$A24)</f>
        <v>0</v>
      </c>
      <c r="AA24" s="51">
        <f>SUMIFS(Tarifas!$AW$7:$AW$320,Tarifas!$G$7:$G$320,$A24)*SUMIFS(Mercado!I$9:I$160,Mercado!$A$9:$A$160,$A24)</f>
        <v>0</v>
      </c>
      <c r="AB24" s="51">
        <f>SUMIFS(Tarifas!$AW$7:$AW$320,Tarifas!$G$7:$G$320,$A24)*SUMIFS(Mercado!J$9:J$160,Mercado!$A$9:$A$160,$A24)</f>
        <v>0</v>
      </c>
      <c r="AC24" s="51">
        <f>SUMIFS(Tarifas!$AW$7:$AW$320,Tarifas!$G$7:$G$320,$A24)*SUMIFS(Mercado!K$9:K$160,Mercado!$A$9:$A$160,$A24)</f>
        <v>0</v>
      </c>
      <c r="AE24" s="55">
        <f t="shared" si="11"/>
        <v>0</v>
      </c>
      <c r="AF24" s="55">
        <f t="shared" si="5"/>
        <v>0</v>
      </c>
      <c r="AG24" s="55">
        <f t="shared" si="6"/>
        <v>0</v>
      </c>
      <c r="AH24" s="55">
        <f t="shared" si="7"/>
        <v>0</v>
      </c>
      <c r="AI24" s="55">
        <f t="shared" si="8"/>
        <v>0</v>
      </c>
      <c r="AJ24" s="55">
        <f t="shared" si="9"/>
        <v>0</v>
      </c>
    </row>
    <row r="25" spans="1:36">
      <c r="A25" s="192" t="str">
        <f>Usuarios!A31</f>
        <v>04 6</v>
      </c>
      <c r="B25" s="50" t="str">
        <f>Usuarios!B31</f>
        <v>Climatização</v>
      </c>
      <c r="C25" s="50">
        <f>Usuarios!C31</f>
        <v>6</v>
      </c>
      <c r="D25" s="51">
        <f>Usuarios!D31</f>
        <v>120001</v>
      </c>
      <c r="E25" s="51">
        <f>Usuarios!E31</f>
        <v>300000</v>
      </c>
      <c r="F25" s="51"/>
      <c r="G25" s="51">
        <f>SUMIFS(Tarifas!$K$7:$K$320,Tarifas!$G$7:$G$320,$A25)*SUMIFS(Mercado!G$9:G$160,Mercado!$A$9:$A$160,$A25)</f>
        <v>0</v>
      </c>
      <c r="H25" s="51">
        <f>SUMIFS(Tarifas!$K$7:$K$320,Tarifas!$G$7:$G$320,$A25)*SUMIFS(Mercado!H$9:H$160,Mercado!$A$9:$A$160,$A25)</f>
        <v>0</v>
      </c>
      <c r="I25" s="51">
        <f>SUMIFS(Tarifas!$K$7:$K$320,Tarifas!$G$7:$G$320,$A25)*SUMIFS(Mercado!I$9:I$160,Mercado!$A$9:$A$160,$A25)</f>
        <v>0</v>
      </c>
      <c r="J25" s="51">
        <f>SUMIFS(Tarifas!$K$7:$K$320,Tarifas!$G$7:$G$320,$A25)*SUMIFS(Mercado!J$9:J$160,Mercado!$A$9:$A$160,$A25)</f>
        <v>0</v>
      </c>
      <c r="K25" s="51">
        <f>SUMIFS(Tarifas!$K$7:$K$320,Tarifas!$G$7:$G$320,$A25)*SUMIFS(Mercado!K$9:K$160,Mercado!$A$9:$A$160,$A25)</f>
        <v>0</v>
      </c>
      <c r="M25" s="55">
        <f t="shared" si="10"/>
        <v>0</v>
      </c>
      <c r="N25" s="55">
        <f t="shared" si="0"/>
        <v>0</v>
      </c>
      <c r="O25" s="55">
        <f t="shared" si="1"/>
        <v>0</v>
      </c>
      <c r="P25" s="55">
        <f t="shared" si="2"/>
        <v>0</v>
      </c>
      <c r="Q25" s="55">
        <f t="shared" si="3"/>
        <v>0</v>
      </c>
      <c r="R25" s="55">
        <f t="shared" si="4"/>
        <v>0</v>
      </c>
      <c r="T25" s="51">
        <f>NPV(Inputs!$C$6,'Vendas Vigente'!N25:Q25)+((R25*Inputs!$C$11)/(1+Inputs!$C$6)^(4.55))</f>
        <v>0</v>
      </c>
      <c r="V25" s="55"/>
      <c r="X25" s="51"/>
      <c r="Y25" s="51">
        <f>SUMIFS(Tarifas!$AW$7:$AW$320,Tarifas!$G$7:$G$320,$A25)*SUMIFS(Mercado!G$9:G$160,Mercado!$A$9:$A$160,$A25)</f>
        <v>0</v>
      </c>
      <c r="Z25" s="51">
        <f>SUMIFS(Tarifas!$AW$7:$AW$320,Tarifas!$G$7:$G$320,$A25)*SUMIFS(Mercado!H$9:H$160,Mercado!$A$9:$A$160,$A25)</f>
        <v>0</v>
      </c>
      <c r="AA25" s="51">
        <f>SUMIFS(Tarifas!$AW$7:$AW$320,Tarifas!$G$7:$G$320,$A25)*SUMIFS(Mercado!I$9:I$160,Mercado!$A$9:$A$160,$A25)</f>
        <v>0</v>
      </c>
      <c r="AB25" s="51">
        <f>SUMIFS(Tarifas!$AW$7:$AW$320,Tarifas!$G$7:$G$320,$A25)*SUMIFS(Mercado!J$9:J$160,Mercado!$A$9:$A$160,$A25)</f>
        <v>0</v>
      </c>
      <c r="AC25" s="51">
        <f>SUMIFS(Tarifas!$AW$7:$AW$320,Tarifas!$G$7:$G$320,$A25)*SUMIFS(Mercado!K$9:K$160,Mercado!$A$9:$A$160,$A25)</f>
        <v>0</v>
      </c>
      <c r="AE25" s="55">
        <f t="shared" si="11"/>
        <v>0</v>
      </c>
      <c r="AF25" s="55">
        <f t="shared" si="5"/>
        <v>0</v>
      </c>
      <c r="AG25" s="55">
        <f t="shared" si="6"/>
        <v>0</v>
      </c>
      <c r="AH25" s="55">
        <f t="shared" si="7"/>
        <v>0</v>
      </c>
      <c r="AI25" s="55">
        <f t="shared" si="8"/>
        <v>0</v>
      </c>
      <c r="AJ25" s="55">
        <f t="shared" si="9"/>
        <v>0</v>
      </c>
    </row>
    <row r="26" spans="1:36">
      <c r="A26" s="192" t="str">
        <f>Usuarios!A32</f>
        <v>04 7</v>
      </c>
      <c r="B26" s="50" t="str">
        <f>Usuarios!B32</f>
        <v>Climatização</v>
      </c>
      <c r="C26" s="50">
        <f>Usuarios!C32</f>
        <v>7</v>
      </c>
      <c r="D26" s="51">
        <f>Usuarios!D32</f>
        <v>300001</v>
      </c>
      <c r="E26" s="51">
        <f>Usuarios!E32</f>
        <v>600000</v>
      </c>
      <c r="F26" s="51"/>
      <c r="G26" s="51">
        <f>SUMIFS(Tarifas!$K$7:$K$320,Tarifas!$G$7:$G$320,$A26)*SUMIFS(Mercado!G$9:G$160,Mercado!$A$9:$A$160,$A26)</f>
        <v>0</v>
      </c>
      <c r="H26" s="51">
        <f>SUMIFS(Tarifas!$K$7:$K$320,Tarifas!$G$7:$G$320,$A26)*SUMIFS(Mercado!H$9:H$160,Mercado!$A$9:$A$160,$A26)</f>
        <v>0</v>
      </c>
      <c r="I26" s="51">
        <f>SUMIFS(Tarifas!$K$7:$K$320,Tarifas!$G$7:$G$320,$A26)*SUMIFS(Mercado!I$9:I$160,Mercado!$A$9:$A$160,$A26)</f>
        <v>0</v>
      </c>
      <c r="J26" s="51">
        <f>SUMIFS(Tarifas!$K$7:$K$320,Tarifas!$G$7:$G$320,$A26)*SUMIFS(Mercado!J$9:J$160,Mercado!$A$9:$A$160,$A26)</f>
        <v>0</v>
      </c>
      <c r="K26" s="51">
        <f>SUMIFS(Tarifas!$K$7:$K$320,Tarifas!$G$7:$G$320,$A26)*SUMIFS(Mercado!K$9:K$160,Mercado!$A$9:$A$160,$A26)</f>
        <v>0</v>
      </c>
      <c r="M26" s="55">
        <f t="shared" si="10"/>
        <v>0</v>
      </c>
      <c r="N26" s="55">
        <f t="shared" si="0"/>
        <v>0</v>
      </c>
      <c r="O26" s="55">
        <f t="shared" si="1"/>
        <v>0</v>
      </c>
      <c r="P26" s="55">
        <f t="shared" si="2"/>
        <v>0</v>
      </c>
      <c r="Q26" s="55">
        <f t="shared" si="3"/>
        <v>0</v>
      </c>
      <c r="R26" s="55">
        <f t="shared" si="4"/>
        <v>0</v>
      </c>
      <c r="T26" s="51">
        <f>NPV(Inputs!$C$6,'Vendas Vigente'!N26:Q26)+((R26*Inputs!$C$11)/(1+Inputs!$C$6)^(4.55))</f>
        <v>0</v>
      </c>
      <c r="X26" s="51"/>
      <c r="Y26" s="51">
        <f>SUMIFS(Tarifas!$AW$7:$AW$320,Tarifas!$G$7:$G$320,$A26)*SUMIFS(Mercado!G$9:G$160,Mercado!$A$9:$A$160,$A26)</f>
        <v>0</v>
      </c>
      <c r="Z26" s="51">
        <f>SUMIFS(Tarifas!$AW$7:$AW$320,Tarifas!$G$7:$G$320,$A26)*SUMIFS(Mercado!H$9:H$160,Mercado!$A$9:$A$160,$A26)</f>
        <v>0</v>
      </c>
      <c r="AA26" s="51">
        <f>SUMIFS(Tarifas!$AW$7:$AW$320,Tarifas!$G$7:$G$320,$A26)*SUMIFS(Mercado!I$9:I$160,Mercado!$A$9:$A$160,$A26)</f>
        <v>0</v>
      </c>
      <c r="AB26" s="51">
        <f>SUMIFS(Tarifas!$AW$7:$AW$320,Tarifas!$G$7:$G$320,$A26)*SUMIFS(Mercado!J$9:J$160,Mercado!$A$9:$A$160,$A26)</f>
        <v>0</v>
      </c>
      <c r="AC26" s="51">
        <f>SUMIFS(Tarifas!$AW$7:$AW$320,Tarifas!$G$7:$G$320,$A26)*SUMIFS(Mercado!K$9:K$160,Mercado!$A$9:$A$160,$A26)</f>
        <v>0</v>
      </c>
      <c r="AE26" s="55">
        <f t="shared" si="11"/>
        <v>0</v>
      </c>
      <c r="AF26" s="55">
        <f t="shared" si="5"/>
        <v>0</v>
      </c>
      <c r="AG26" s="55">
        <f t="shared" si="6"/>
        <v>0</v>
      </c>
      <c r="AH26" s="55">
        <f t="shared" si="7"/>
        <v>0</v>
      </c>
      <c r="AI26" s="55">
        <f t="shared" si="8"/>
        <v>0</v>
      </c>
      <c r="AJ26" s="55">
        <f t="shared" si="9"/>
        <v>0</v>
      </c>
    </row>
    <row r="27" spans="1:36">
      <c r="A27" s="192" t="str">
        <f>Usuarios!A33</f>
        <v>04 8</v>
      </c>
      <c r="B27" s="50" t="str">
        <f>Usuarios!B33</f>
        <v>Climatização</v>
      </c>
      <c r="C27" s="50">
        <f>Usuarios!C33</f>
        <v>8</v>
      </c>
      <c r="D27" s="51">
        <f>Usuarios!D33</f>
        <v>600001</v>
      </c>
      <c r="E27" s="51">
        <f>Usuarios!E33</f>
        <v>1500000</v>
      </c>
      <c r="F27" s="51"/>
      <c r="G27" s="51">
        <f>SUMIFS(Tarifas!$K$7:$K$320,Tarifas!$G$7:$G$320,$A27)*SUMIFS(Mercado!G$9:G$160,Mercado!$A$9:$A$160,$A27)</f>
        <v>0</v>
      </c>
      <c r="H27" s="51">
        <f>SUMIFS(Tarifas!$K$7:$K$320,Tarifas!$G$7:$G$320,$A27)*SUMIFS(Mercado!H$9:H$160,Mercado!$A$9:$A$160,$A27)</f>
        <v>0</v>
      </c>
      <c r="I27" s="51">
        <f>SUMIFS(Tarifas!$K$7:$K$320,Tarifas!$G$7:$G$320,$A27)*SUMIFS(Mercado!I$9:I$160,Mercado!$A$9:$A$160,$A27)</f>
        <v>0</v>
      </c>
      <c r="J27" s="51">
        <f>SUMIFS(Tarifas!$K$7:$K$320,Tarifas!$G$7:$G$320,$A27)*SUMIFS(Mercado!J$9:J$160,Mercado!$A$9:$A$160,$A27)</f>
        <v>0</v>
      </c>
      <c r="K27" s="51">
        <f>SUMIFS(Tarifas!$K$7:$K$320,Tarifas!$G$7:$G$320,$A27)*SUMIFS(Mercado!K$9:K$160,Mercado!$A$9:$A$160,$A27)</f>
        <v>0</v>
      </c>
      <c r="M27" s="55">
        <f t="shared" si="10"/>
        <v>0</v>
      </c>
      <c r="N27" s="55">
        <f t="shared" si="0"/>
        <v>0</v>
      </c>
      <c r="O27" s="55">
        <f t="shared" si="1"/>
        <v>0</v>
      </c>
      <c r="P27" s="55">
        <f t="shared" si="2"/>
        <v>0</v>
      </c>
      <c r="Q27" s="55">
        <f t="shared" si="3"/>
        <v>0</v>
      </c>
      <c r="R27" s="55">
        <f t="shared" si="4"/>
        <v>0</v>
      </c>
      <c r="T27" s="51">
        <f>NPV(Inputs!$C$6,'Vendas Vigente'!N27:Q27)+((R27*Inputs!$C$11)/(1+Inputs!$C$6)^(4.55))</f>
        <v>0</v>
      </c>
      <c r="X27" s="51"/>
      <c r="Y27" s="51">
        <f>SUMIFS(Tarifas!$AW$7:$AW$320,Tarifas!$G$7:$G$320,$A27)*SUMIFS(Mercado!G$9:G$160,Mercado!$A$9:$A$160,$A27)</f>
        <v>0</v>
      </c>
      <c r="Z27" s="51">
        <f>SUMIFS(Tarifas!$AW$7:$AW$320,Tarifas!$G$7:$G$320,$A27)*SUMIFS(Mercado!H$9:H$160,Mercado!$A$9:$A$160,$A27)</f>
        <v>0</v>
      </c>
      <c r="AA27" s="51">
        <f>SUMIFS(Tarifas!$AW$7:$AW$320,Tarifas!$G$7:$G$320,$A27)*SUMIFS(Mercado!I$9:I$160,Mercado!$A$9:$A$160,$A27)</f>
        <v>0</v>
      </c>
      <c r="AB27" s="51">
        <f>SUMIFS(Tarifas!$AW$7:$AW$320,Tarifas!$G$7:$G$320,$A27)*SUMIFS(Mercado!J$9:J$160,Mercado!$A$9:$A$160,$A27)</f>
        <v>0</v>
      </c>
      <c r="AC27" s="51">
        <f>SUMIFS(Tarifas!$AW$7:$AW$320,Tarifas!$G$7:$G$320,$A27)*SUMIFS(Mercado!K$9:K$160,Mercado!$A$9:$A$160,$A27)</f>
        <v>0</v>
      </c>
      <c r="AE27" s="55">
        <f t="shared" si="11"/>
        <v>0</v>
      </c>
      <c r="AF27" s="55">
        <f t="shared" si="5"/>
        <v>0</v>
      </c>
      <c r="AG27" s="55">
        <f t="shared" si="6"/>
        <v>0</v>
      </c>
      <c r="AH27" s="55">
        <f t="shared" si="7"/>
        <v>0</v>
      </c>
      <c r="AI27" s="55">
        <f t="shared" si="8"/>
        <v>0</v>
      </c>
      <c r="AJ27" s="55">
        <f t="shared" si="9"/>
        <v>0</v>
      </c>
    </row>
    <row r="28" spans="1:36">
      <c r="A28" s="192" t="str">
        <f>Usuarios!A34</f>
        <v>04 9</v>
      </c>
      <c r="B28" s="50" t="str">
        <f>Usuarios!B34</f>
        <v>Climatização</v>
      </c>
      <c r="C28" s="50">
        <f>Usuarios!C34</f>
        <v>9</v>
      </c>
      <c r="D28" s="51">
        <f>Usuarios!D34</f>
        <v>1500001</v>
      </c>
      <c r="E28" s="51">
        <f>Usuarios!E34</f>
        <v>999999999</v>
      </c>
      <c r="F28" s="51"/>
      <c r="G28" s="51">
        <f>SUMIFS(Tarifas!$K$7:$K$320,Tarifas!$G$7:$G$320,$A28)*SUMIFS(Mercado!G$9:G$160,Mercado!$A$9:$A$160,$A28)</f>
        <v>0</v>
      </c>
      <c r="H28" s="51">
        <f>SUMIFS(Tarifas!$K$7:$K$320,Tarifas!$G$7:$G$320,$A28)*SUMIFS(Mercado!H$9:H$160,Mercado!$A$9:$A$160,$A28)</f>
        <v>0</v>
      </c>
      <c r="I28" s="51">
        <f>SUMIFS(Tarifas!$K$7:$K$320,Tarifas!$G$7:$G$320,$A28)*SUMIFS(Mercado!I$9:I$160,Mercado!$A$9:$A$160,$A28)</f>
        <v>0</v>
      </c>
      <c r="J28" s="51">
        <f>SUMIFS(Tarifas!$K$7:$K$320,Tarifas!$G$7:$G$320,$A28)*SUMIFS(Mercado!J$9:J$160,Mercado!$A$9:$A$160,$A28)</f>
        <v>0</v>
      </c>
      <c r="K28" s="51">
        <f>SUMIFS(Tarifas!$K$7:$K$320,Tarifas!$G$7:$G$320,$A28)*SUMIFS(Mercado!K$9:K$160,Mercado!$A$9:$A$160,$A28)</f>
        <v>0</v>
      </c>
      <c r="M28" s="55">
        <f t="shared" si="10"/>
        <v>0</v>
      </c>
      <c r="N28" s="55">
        <f t="shared" si="0"/>
        <v>0</v>
      </c>
      <c r="O28" s="55">
        <f t="shared" si="1"/>
        <v>0</v>
      </c>
      <c r="P28" s="55">
        <f t="shared" si="2"/>
        <v>0</v>
      </c>
      <c r="Q28" s="55">
        <f t="shared" si="3"/>
        <v>0</v>
      </c>
      <c r="R28" s="55">
        <f t="shared" si="4"/>
        <v>0</v>
      </c>
      <c r="T28" s="51">
        <f>NPV(Inputs!$C$6,'Vendas Vigente'!N28:Q28)+((R28*Inputs!$C$11)/(1+Inputs!$C$6)^(4.55))</f>
        <v>0</v>
      </c>
      <c r="X28" s="51"/>
      <c r="Y28" s="51">
        <f>SUMIFS(Tarifas!$AW$7:$AW$320,Tarifas!$G$7:$G$320,$A28)*SUMIFS(Mercado!G$9:G$160,Mercado!$A$9:$A$160,$A28)</f>
        <v>0</v>
      </c>
      <c r="Z28" s="51">
        <f>SUMIFS(Tarifas!$AW$7:$AW$320,Tarifas!$G$7:$G$320,$A28)*SUMIFS(Mercado!H$9:H$160,Mercado!$A$9:$A$160,$A28)</f>
        <v>0</v>
      </c>
      <c r="AA28" s="51">
        <f>SUMIFS(Tarifas!$AW$7:$AW$320,Tarifas!$G$7:$G$320,$A28)*SUMIFS(Mercado!I$9:I$160,Mercado!$A$9:$A$160,$A28)</f>
        <v>0</v>
      </c>
      <c r="AB28" s="51">
        <f>SUMIFS(Tarifas!$AW$7:$AW$320,Tarifas!$G$7:$G$320,$A28)*SUMIFS(Mercado!J$9:J$160,Mercado!$A$9:$A$160,$A28)</f>
        <v>0</v>
      </c>
      <c r="AC28" s="51">
        <f>SUMIFS(Tarifas!$AW$7:$AW$320,Tarifas!$G$7:$G$320,$A28)*SUMIFS(Mercado!K$9:K$160,Mercado!$A$9:$A$160,$A28)</f>
        <v>0</v>
      </c>
      <c r="AE28" s="55">
        <f t="shared" si="11"/>
        <v>0</v>
      </c>
      <c r="AF28" s="55">
        <f t="shared" si="5"/>
        <v>0</v>
      </c>
      <c r="AG28" s="55">
        <f t="shared" si="6"/>
        <v>0</v>
      </c>
      <c r="AH28" s="55">
        <f t="shared" si="7"/>
        <v>0</v>
      </c>
      <c r="AI28" s="55">
        <f t="shared" si="8"/>
        <v>0</v>
      </c>
      <c r="AJ28" s="55">
        <f t="shared" si="9"/>
        <v>0</v>
      </c>
    </row>
    <row r="29" spans="1:36">
      <c r="A29" s="192"/>
      <c r="D29" s="51"/>
      <c r="E29" s="51"/>
      <c r="F29" s="51"/>
      <c r="G29" s="51">
        <f>SUMIFS(Tarifas!$K$7:$K$320,Tarifas!$G$7:$G$320,$A29)*SUMIFS(Mercado!G$9:G$160,Mercado!$A$9:$A$160,$A29)</f>
        <v>0</v>
      </c>
      <c r="H29" s="51">
        <f>SUMIFS(Tarifas!$K$7:$K$320,Tarifas!$G$7:$G$320,$A29)*SUMIFS(Mercado!H$9:H$160,Mercado!$A$9:$A$160,$A29)</f>
        <v>0</v>
      </c>
      <c r="I29" s="51">
        <f>SUMIFS(Tarifas!$K$7:$K$320,Tarifas!$G$7:$G$320,$A29)*SUMIFS(Mercado!I$9:I$160,Mercado!$A$9:$A$160,$A29)</f>
        <v>0</v>
      </c>
      <c r="J29" s="51">
        <f>SUMIFS(Tarifas!$K$7:$K$320,Tarifas!$G$7:$G$320,$A29)*SUMIFS(Mercado!J$9:J$160,Mercado!$A$9:$A$160,$A29)</f>
        <v>0</v>
      </c>
      <c r="K29" s="51">
        <f>SUMIFS(Tarifas!$K$7:$K$320,Tarifas!$G$7:$G$320,$A29)*SUMIFS(Mercado!K$9:K$160,Mercado!$A$9:$A$160,$A29)</f>
        <v>0</v>
      </c>
      <c r="M29" s="55">
        <f t="shared" si="10"/>
        <v>0</v>
      </c>
      <c r="N29" s="55">
        <f t="shared" si="0"/>
        <v>0</v>
      </c>
      <c r="O29" s="55">
        <f t="shared" si="1"/>
        <v>0</v>
      </c>
      <c r="P29" s="55">
        <f t="shared" si="2"/>
        <v>0</v>
      </c>
      <c r="Q29" s="55">
        <f t="shared" si="3"/>
        <v>0</v>
      </c>
      <c r="R29" s="55">
        <f t="shared" si="4"/>
        <v>0</v>
      </c>
      <c r="T29" s="51">
        <f>NPV(Inputs!$C$6,'Vendas Vigente'!N29:Q29)+((R29*Inputs!$C$11)/(1+Inputs!$C$6)^(4.55))</f>
        <v>0</v>
      </c>
      <c r="X29" s="51"/>
      <c r="Y29" s="51">
        <f>SUMIFS(Tarifas!$AW$7:$AW$320,Tarifas!$G$7:$G$320,$A29)*SUMIFS(Mercado!G$9:G$160,Mercado!$A$9:$A$160,$A29)</f>
        <v>0</v>
      </c>
      <c r="Z29" s="51">
        <f>SUMIFS(Tarifas!$AW$7:$AW$320,Tarifas!$G$7:$G$320,$A29)*SUMIFS(Mercado!H$9:H$160,Mercado!$A$9:$A$160,$A29)</f>
        <v>0</v>
      </c>
      <c r="AA29" s="51">
        <f>SUMIFS(Tarifas!$AW$7:$AW$320,Tarifas!$G$7:$G$320,$A29)*SUMIFS(Mercado!I$9:I$160,Mercado!$A$9:$A$160,$A29)</f>
        <v>0</v>
      </c>
      <c r="AB29" s="51">
        <f>SUMIFS(Tarifas!$AW$7:$AW$320,Tarifas!$G$7:$G$320,$A29)*SUMIFS(Mercado!J$9:J$160,Mercado!$A$9:$A$160,$A29)</f>
        <v>0</v>
      </c>
      <c r="AC29" s="51">
        <f>SUMIFS(Tarifas!$AW$7:$AW$320,Tarifas!$G$7:$G$320,$A29)*SUMIFS(Mercado!K$9:K$160,Mercado!$A$9:$A$160,$A29)</f>
        <v>0</v>
      </c>
      <c r="AE29" s="55">
        <f t="shared" si="11"/>
        <v>0</v>
      </c>
      <c r="AF29" s="55">
        <f t="shared" si="5"/>
        <v>0</v>
      </c>
      <c r="AG29" s="55">
        <f t="shared" si="6"/>
        <v>0</v>
      </c>
      <c r="AH29" s="55">
        <f t="shared" si="7"/>
        <v>0</v>
      </c>
      <c r="AI29" s="55">
        <f t="shared" si="8"/>
        <v>0</v>
      </c>
      <c r="AJ29" s="55">
        <f t="shared" si="9"/>
        <v>0</v>
      </c>
    </row>
    <row r="30" spans="1:36">
      <c r="A30" s="192" t="str">
        <f>Usuarios!A36</f>
        <v>05 1</v>
      </c>
      <c r="B30" s="50" t="str">
        <f>Usuarios!B36</f>
        <v>Cogeração</v>
      </c>
      <c r="C30" s="50">
        <f>Usuarios!C36</f>
        <v>1</v>
      </c>
      <c r="D30" s="51">
        <f>Usuarios!D36</f>
        <v>0</v>
      </c>
      <c r="E30" s="51">
        <f>Usuarios!E36</f>
        <v>200</v>
      </c>
      <c r="F30" s="51"/>
      <c r="G30" s="51">
        <f>SUMIFS(Tarifas!$K$7:$K$320,Tarifas!$G$7:$G$320,$A30)*SUMIFS(Mercado!G$9:G$160,Mercado!$A$9:$A$160,$A30)</f>
        <v>4.4818816204536651E-3</v>
      </c>
      <c r="H30" s="51">
        <f>SUMIFS(Tarifas!$K$7:$K$320,Tarifas!$G$7:$G$320,$A30)*SUMIFS(Mercado!H$9:H$160,Mercado!$A$9:$A$160,$A30)</f>
        <v>0</v>
      </c>
      <c r="I30" s="51">
        <f>SUMIFS(Tarifas!$K$7:$K$320,Tarifas!$G$7:$G$320,$A30)*SUMIFS(Mercado!I$9:I$160,Mercado!$A$9:$A$160,$A30)</f>
        <v>0</v>
      </c>
      <c r="J30" s="51">
        <f>SUMIFS(Tarifas!$K$7:$K$320,Tarifas!$G$7:$G$320,$A30)*SUMIFS(Mercado!J$9:J$160,Mercado!$A$9:$A$160,$A30)</f>
        <v>0</v>
      </c>
      <c r="K30" s="51">
        <f>SUMIFS(Tarifas!$K$7:$K$320,Tarifas!$G$7:$G$320,$A30)*SUMIFS(Mercado!K$9:K$160,Mercado!$A$9:$A$160,$A30)</f>
        <v>0</v>
      </c>
      <c r="M30" s="55">
        <f t="shared" si="10"/>
        <v>0</v>
      </c>
      <c r="N30" s="55">
        <f t="shared" si="0"/>
        <v>4.4818816204536651E-3</v>
      </c>
      <c r="O30" s="55">
        <f t="shared" si="1"/>
        <v>0</v>
      </c>
      <c r="P30" s="55">
        <f t="shared" si="2"/>
        <v>0</v>
      </c>
      <c r="Q30" s="55">
        <f t="shared" si="3"/>
        <v>0</v>
      </c>
      <c r="R30" s="55">
        <f t="shared" si="4"/>
        <v>0</v>
      </c>
      <c r="T30" s="51">
        <f>NPV(Inputs!$C$6,'Vendas Vigente'!N30:Q30)+((R30*Inputs!$C$11)/(1+Inputs!$C$6)^(4.55))</f>
        <v>4.1148380650511069E-3</v>
      </c>
      <c r="X30" s="51"/>
      <c r="Y30" s="51">
        <f>SUMIFS(Tarifas!$AW$7:$AW$320,Tarifas!$G$7:$G$320,$A30)*SUMIFS(Mercado!G$9:G$160,Mercado!$A$9:$A$160,$A30)</f>
        <v>1.4756908857406631E-2</v>
      </c>
      <c r="Z30" s="51">
        <f>SUMIFS(Tarifas!$AW$7:$AW$320,Tarifas!$G$7:$G$320,$A30)*SUMIFS(Mercado!H$9:H$160,Mercado!$A$9:$A$160,$A30)</f>
        <v>0</v>
      </c>
      <c r="AA30" s="51">
        <f>SUMIFS(Tarifas!$AW$7:$AW$320,Tarifas!$G$7:$G$320,$A30)*SUMIFS(Mercado!I$9:I$160,Mercado!$A$9:$A$160,$A30)</f>
        <v>0</v>
      </c>
      <c r="AB30" s="51">
        <f>SUMIFS(Tarifas!$AW$7:$AW$320,Tarifas!$G$7:$G$320,$A30)*SUMIFS(Mercado!J$9:J$160,Mercado!$A$9:$A$160,$A30)</f>
        <v>0</v>
      </c>
      <c r="AC30" s="51">
        <f>SUMIFS(Tarifas!$AW$7:$AW$320,Tarifas!$G$7:$G$320,$A30)*SUMIFS(Mercado!K$9:K$160,Mercado!$A$9:$A$160,$A30)</f>
        <v>0</v>
      </c>
      <c r="AE30" s="55">
        <f t="shared" si="11"/>
        <v>0</v>
      </c>
      <c r="AF30" s="55">
        <f t="shared" si="5"/>
        <v>1.4756908857406631E-2</v>
      </c>
      <c r="AG30" s="55">
        <f t="shared" si="6"/>
        <v>0</v>
      </c>
      <c r="AH30" s="55">
        <f t="shared" si="7"/>
        <v>0</v>
      </c>
      <c r="AI30" s="55">
        <f t="shared" si="8"/>
        <v>0</v>
      </c>
      <c r="AJ30" s="55">
        <f t="shared" si="9"/>
        <v>0</v>
      </c>
    </row>
    <row r="31" spans="1:36">
      <c r="A31" s="192" t="str">
        <f>Usuarios!A37</f>
        <v>05 2</v>
      </c>
      <c r="B31" s="50" t="str">
        <f>Usuarios!B37</f>
        <v>Cogeração</v>
      </c>
      <c r="C31" s="50">
        <f>Usuarios!C37</f>
        <v>2</v>
      </c>
      <c r="D31" s="51">
        <f>Usuarios!D37</f>
        <v>201</v>
      </c>
      <c r="E31" s="51">
        <f>Usuarios!E37</f>
        <v>5000</v>
      </c>
      <c r="F31" s="51"/>
      <c r="G31" s="51">
        <f>SUMIFS(Tarifas!$K$7:$K$320,Tarifas!$G$7:$G$320,$A31)*SUMIFS(Mercado!G$9:G$160,Mercado!$A$9:$A$160,$A31)</f>
        <v>0</v>
      </c>
      <c r="H31" s="51">
        <f>SUMIFS(Tarifas!$K$7:$K$320,Tarifas!$G$7:$G$320,$A31)*SUMIFS(Mercado!H$9:H$160,Mercado!$A$9:$A$160,$A31)</f>
        <v>0</v>
      </c>
      <c r="I31" s="51">
        <f>SUMIFS(Tarifas!$K$7:$K$320,Tarifas!$G$7:$G$320,$A31)*SUMIFS(Mercado!I$9:I$160,Mercado!$A$9:$A$160,$A31)</f>
        <v>0</v>
      </c>
      <c r="J31" s="51">
        <f>SUMIFS(Tarifas!$K$7:$K$320,Tarifas!$G$7:$G$320,$A31)*SUMIFS(Mercado!J$9:J$160,Mercado!$A$9:$A$160,$A31)</f>
        <v>0</v>
      </c>
      <c r="K31" s="51">
        <f>SUMIFS(Tarifas!$K$7:$K$320,Tarifas!$G$7:$G$320,$A31)*SUMIFS(Mercado!K$9:K$160,Mercado!$A$9:$A$160,$A31)</f>
        <v>0</v>
      </c>
      <c r="M31" s="55">
        <f t="shared" si="10"/>
        <v>0</v>
      </c>
      <c r="N31" s="55">
        <f t="shared" si="0"/>
        <v>0</v>
      </c>
      <c r="O31" s="55">
        <f t="shared" si="1"/>
        <v>0</v>
      </c>
      <c r="P31" s="55">
        <f t="shared" si="2"/>
        <v>0</v>
      </c>
      <c r="Q31" s="55">
        <f t="shared" si="3"/>
        <v>0</v>
      </c>
      <c r="R31" s="55">
        <f t="shared" si="4"/>
        <v>0</v>
      </c>
      <c r="T31" s="51">
        <f>NPV(Inputs!$C$6,'Vendas Vigente'!N31:Q31)+((R31*Inputs!$C$11)/(1+Inputs!$C$6)^(4.55))</f>
        <v>0</v>
      </c>
      <c r="X31" s="51"/>
      <c r="Y31" s="51">
        <f>SUMIFS(Tarifas!$AW$7:$AW$320,Tarifas!$G$7:$G$320,$A31)*SUMIFS(Mercado!G$9:G$160,Mercado!$A$9:$A$160,$A31)</f>
        <v>0</v>
      </c>
      <c r="Z31" s="51">
        <f>SUMIFS(Tarifas!$AW$7:$AW$320,Tarifas!$G$7:$G$320,$A31)*SUMIFS(Mercado!H$9:H$160,Mercado!$A$9:$A$160,$A31)</f>
        <v>0</v>
      </c>
      <c r="AA31" s="51">
        <f>SUMIFS(Tarifas!$AW$7:$AW$320,Tarifas!$G$7:$G$320,$A31)*SUMIFS(Mercado!I$9:I$160,Mercado!$A$9:$A$160,$A31)</f>
        <v>0</v>
      </c>
      <c r="AB31" s="51">
        <f>SUMIFS(Tarifas!$AW$7:$AW$320,Tarifas!$G$7:$G$320,$A31)*SUMIFS(Mercado!J$9:J$160,Mercado!$A$9:$A$160,$A31)</f>
        <v>0</v>
      </c>
      <c r="AC31" s="51">
        <f>SUMIFS(Tarifas!$AW$7:$AW$320,Tarifas!$G$7:$G$320,$A31)*SUMIFS(Mercado!K$9:K$160,Mercado!$A$9:$A$160,$A31)</f>
        <v>0</v>
      </c>
      <c r="AE31" s="55">
        <f t="shared" si="11"/>
        <v>0</v>
      </c>
      <c r="AF31" s="55">
        <f t="shared" si="5"/>
        <v>0</v>
      </c>
      <c r="AG31" s="55">
        <f t="shared" si="6"/>
        <v>0</v>
      </c>
      <c r="AH31" s="55">
        <f t="shared" si="7"/>
        <v>0</v>
      </c>
      <c r="AI31" s="55">
        <f t="shared" si="8"/>
        <v>0</v>
      </c>
      <c r="AJ31" s="55">
        <f t="shared" si="9"/>
        <v>0</v>
      </c>
    </row>
    <row r="32" spans="1:36">
      <c r="A32" s="192" t="str">
        <f>Usuarios!A38</f>
        <v>05 3</v>
      </c>
      <c r="B32" s="50" t="str">
        <f>Usuarios!B38</f>
        <v>Cogeração</v>
      </c>
      <c r="C32" s="50">
        <f>Usuarios!C38</f>
        <v>3</v>
      </c>
      <c r="D32" s="51">
        <f>Usuarios!D38</f>
        <v>5001</v>
      </c>
      <c r="E32" s="51">
        <f>Usuarios!E38</f>
        <v>20000</v>
      </c>
      <c r="F32" s="51"/>
      <c r="G32" s="51">
        <f>SUMIFS(Tarifas!$K$7:$K$320,Tarifas!$G$7:$G$320,$A32)*SUMIFS(Mercado!G$9:G$160,Mercado!$A$9:$A$160,$A32)</f>
        <v>0</v>
      </c>
      <c r="H32" s="51">
        <f>SUMIFS(Tarifas!$K$7:$K$320,Tarifas!$G$7:$G$320,$A32)*SUMIFS(Mercado!H$9:H$160,Mercado!$A$9:$A$160,$A32)</f>
        <v>0</v>
      </c>
      <c r="I32" s="51">
        <f>SUMIFS(Tarifas!$K$7:$K$320,Tarifas!$G$7:$G$320,$A32)*SUMIFS(Mercado!I$9:I$160,Mercado!$A$9:$A$160,$A32)</f>
        <v>0</v>
      </c>
      <c r="J32" s="51">
        <f>SUMIFS(Tarifas!$K$7:$K$320,Tarifas!$G$7:$G$320,$A32)*SUMIFS(Mercado!J$9:J$160,Mercado!$A$9:$A$160,$A32)</f>
        <v>0</v>
      </c>
      <c r="K32" s="51">
        <f>SUMIFS(Tarifas!$K$7:$K$320,Tarifas!$G$7:$G$320,$A32)*SUMIFS(Mercado!K$9:K$160,Mercado!$A$9:$A$160,$A32)</f>
        <v>0</v>
      </c>
      <c r="M32" s="55">
        <f t="shared" si="10"/>
        <v>0</v>
      </c>
      <c r="N32" s="55">
        <f t="shared" si="0"/>
        <v>0</v>
      </c>
      <c r="O32" s="55">
        <f t="shared" si="1"/>
        <v>0</v>
      </c>
      <c r="P32" s="55">
        <f t="shared" si="2"/>
        <v>0</v>
      </c>
      <c r="Q32" s="55">
        <f t="shared" si="3"/>
        <v>0</v>
      </c>
      <c r="R32" s="55">
        <f t="shared" si="4"/>
        <v>0</v>
      </c>
      <c r="T32" s="51">
        <f>NPV(Inputs!$C$6,'Vendas Vigente'!N32:Q32)+((R32*Inputs!$C$11)/(1+Inputs!$C$6)^(4.55))</f>
        <v>0</v>
      </c>
      <c r="X32" s="51"/>
      <c r="Y32" s="51">
        <f>SUMIFS(Tarifas!$AW$7:$AW$320,Tarifas!$G$7:$G$320,$A32)*SUMIFS(Mercado!G$9:G$160,Mercado!$A$9:$A$160,$A32)</f>
        <v>0</v>
      </c>
      <c r="Z32" s="51">
        <f>SUMIFS(Tarifas!$AW$7:$AW$320,Tarifas!$G$7:$G$320,$A32)*SUMIFS(Mercado!H$9:H$160,Mercado!$A$9:$A$160,$A32)</f>
        <v>0</v>
      </c>
      <c r="AA32" s="51">
        <f>SUMIFS(Tarifas!$AW$7:$AW$320,Tarifas!$G$7:$G$320,$A32)*SUMIFS(Mercado!I$9:I$160,Mercado!$A$9:$A$160,$A32)</f>
        <v>0</v>
      </c>
      <c r="AB32" s="51">
        <f>SUMIFS(Tarifas!$AW$7:$AW$320,Tarifas!$G$7:$G$320,$A32)*SUMIFS(Mercado!J$9:J$160,Mercado!$A$9:$A$160,$A32)</f>
        <v>0</v>
      </c>
      <c r="AC32" s="51">
        <f>SUMIFS(Tarifas!$AW$7:$AW$320,Tarifas!$G$7:$G$320,$A32)*SUMIFS(Mercado!K$9:K$160,Mercado!$A$9:$A$160,$A32)</f>
        <v>0</v>
      </c>
      <c r="AE32" s="55">
        <f t="shared" si="11"/>
        <v>0</v>
      </c>
      <c r="AF32" s="55">
        <f t="shared" si="5"/>
        <v>0</v>
      </c>
      <c r="AG32" s="55">
        <f t="shared" si="6"/>
        <v>0</v>
      </c>
      <c r="AH32" s="55">
        <f t="shared" si="7"/>
        <v>0</v>
      </c>
      <c r="AI32" s="55">
        <f t="shared" si="8"/>
        <v>0</v>
      </c>
      <c r="AJ32" s="55">
        <f t="shared" si="9"/>
        <v>0</v>
      </c>
    </row>
    <row r="33" spans="1:36">
      <c r="A33" s="192" t="str">
        <f>Usuarios!A39</f>
        <v>05 4</v>
      </c>
      <c r="B33" s="50" t="str">
        <f>Usuarios!B39</f>
        <v>Cogeração</v>
      </c>
      <c r="C33" s="50">
        <f>Usuarios!C39</f>
        <v>4</v>
      </c>
      <c r="D33" s="51">
        <f>Usuarios!D39</f>
        <v>20001</v>
      </c>
      <c r="E33" s="51">
        <f>Usuarios!E39</f>
        <v>70000</v>
      </c>
      <c r="F33" s="51"/>
      <c r="G33" s="51">
        <f>SUMIFS(Tarifas!$K$7:$K$320,Tarifas!$G$7:$G$320,$A33)*SUMIFS(Mercado!G$9:G$160,Mercado!$A$9:$A$160,$A33)</f>
        <v>0</v>
      </c>
      <c r="H33" s="51">
        <f>SUMIFS(Tarifas!$K$7:$K$320,Tarifas!$G$7:$G$320,$A33)*SUMIFS(Mercado!H$9:H$160,Mercado!$A$9:$A$160,$A33)</f>
        <v>0</v>
      </c>
      <c r="I33" s="51">
        <f>SUMIFS(Tarifas!$K$7:$K$320,Tarifas!$G$7:$G$320,$A33)*SUMIFS(Mercado!I$9:I$160,Mercado!$A$9:$A$160,$A33)</f>
        <v>0</v>
      </c>
      <c r="J33" s="51">
        <f>SUMIFS(Tarifas!$K$7:$K$320,Tarifas!$G$7:$G$320,$A33)*SUMIFS(Mercado!J$9:J$160,Mercado!$A$9:$A$160,$A33)</f>
        <v>0</v>
      </c>
      <c r="K33" s="51">
        <f>SUMIFS(Tarifas!$K$7:$K$320,Tarifas!$G$7:$G$320,$A33)*SUMIFS(Mercado!K$9:K$160,Mercado!$A$9:$A$160,$A33)</f>
        <v>0</v>
      </c>
      <c r="M33" s="55">
        <f t="shared" si="10"/>
        <v>0</v>
      </c>
      <c r="N33" s="55">
        <f t="shared" si="0"/>
        <v>0</v>
      </c>
      <c r="O33" s="55">
        <f t="shared" si="1"/>
        <v>0</v>
      </c>
      <c r="P33" s="55">
        <f t="shared" si="2"/>
        <v>0</v>
      </c>
      <c r="Q33" s="55">
        <f t="shared" si="3"/>
        <v>0</v>
      </c>
      <c r="R33" s="55">
        <f t="shared" si="4"/>
        <v>0</v>
      </c>
      <c r="T33" s="51">
        <f>NPV(Inputs!$C$6,'Vendas Vigente'!N33:Q33)+((R33*Inputs!$C$11)/(1+Inputs!$C$6)^(4.55))</f>
        <v>0</v>
      </c>
      <c r="X33" s="51"/>
      <c r="Y33" s="51">
        <f>SUMIFS(Tarifas!$AW$7:$AW$320,Tarifas!$G$7:$G$320,$A33)*SUMIFS(Mercado!G$9:G$160,Mercado!$A$9:$A$160,$A33)</f>
        <v>0</v>
      </c>
      <c r="Z33" s="51">
        <f>SUMIFS(Tarifas!$AW$7:$AW$320,Tarifas!$G$7:$G$320,$A33)*SUMIFS(Mercado!H$9:H$160,Mercado!$A$9:$A$160,$A33)</f>
        <v>0</v>
      </c>
      <c r="AA33" s="51">
        <f>SUMIFS(Tarifas!$AW$7:$AW$320,Tarifas!$G$7:$G$320,$A33)*SUMIFS(Mercado!I$9:I$160,Mercado!$A$9:$A$160,$A33)</f>
        <v>0</v>
      </c>
      <c r="AB33" s="51">
        <f>SUMIFS(Tarifas!$AW$7:$AW$320,Tarifas!$G$7:$G$320,$A33)*SUMIFS(Mercado!J$9:J$160,Mercado!$A$9:$A$160,$A33)</f>
        <v>0</v>
      </c>
      <c r="AC33" s="51">
        <f>SUMIFS(Tarifas!$AW$7:$AW$320,Tarifas!$G$7:$G$320,$A33)*SUMIFS(Mercado!K$9:K$160,Mercado!$A$9:$A$160,$A33)</f>
        <v>0</v>
      </c>
      <c r="AE33" s="55">
        <f t="shared" si="11"/>
        <v>0</v>
      </c>
      <c r="AF33" s="55">
        <f t="shared" si="5"/>
        <v>0</v>
      </c>
      <c r="AG33" s="55">
        <f t="shared" si="6"/>
        <v>0</v>
      </c>
      <c r="AH33" s="55">
        <f t="shared" si="7"/>
        <v>0</v>
      </c>
      <c r="AI33" s="55">
        <f t="shared" si="8"/>
        <v>0</v>
      </c>
      <c r="AJ33" s="55">
        <f t="shared" si="9"/>
        <v>0</v>
      </c>
    </row>
    <row r="34" spans="1:36">
      <c r="A34" s="192" t="str">
        <f>Usuarios!A40</f>
        <v>05 5</v>
      </c>
      <c r="B34" s="50" t="str">
        <f>Usuarios!B40</f>
        <v>Cogeração</v>
      </c>
      <c r="C34" s="50">
        <f>Usuarios!C40</f>
        <v>5</v>
      </c>
      <c r="D34" s="51">
        <f>Usuarios!D40</f>
        <v>70001</v>
      </c>
      <c r="E34" s="51">
        <f>Usuarios!E40</f>
        <v>120000</v>
      </c>
      <c r="F34" s="51"/>
      <c r="G34" s="51">
        <f>SUMIFS(Tarifas!$K$7:$K$320,Tarifas!$G$7:$G$320,$A34)*SUMIFS(Mercado!G$9:G$160,Mercado!$A$9:$A$160,$A34)</f>
        <v>0</v>
      </c>
      <c r="H34" s="51">
        <f>SUMIFS(Tarifas!$K$7:$K$320,Tarifas!$G$7:$G$320,$A34)*SUMIFS(Mercado!H$9:H$160,Mercado!$A$9:$A$160,$A34)</f>
        <v>0</v>
      </c>
      <c r="I34" s="51">
        <f>SUMIFS(Tarifas!$K$7:$K$320,Tarifas!$G$7:$G$320,$A34)*SUMIFS(Mercado!I$9:I$160,Mercado!$A$9:$A$160,$A34)</f>
        <v>0</v>
      </c>
      <c r="J34" s="51">
        <f>SUMIFS(Tarifas!$K$7:$K$320,Tarifas!$G$7:$G$320,$A34)*SUMIFS(Mercado!J$9:J$160,Mercado!$A$9:$A$160,$A34)</f>
        <v>0</v>
      </c>
      <c r="K34" s="51">
        <f>SUMIFS(Tarifas!$K$7:$K$320,Tarifas!$G$7:$G$320,$A34)*SUMIFS(Mercado!K$9:K$160,Mercado!$A$9:$A$160,$A34)</f>
        <v>0</v>
      </c>
      <c r="M34" s="55">
        <f t="shared" si="10"/>
        <v>0</v>
      </c>
      <c r="N34" s="55">
        <f t="shared" si="0"/>
        <v>0</v>
      </c>
      <c r="O34" s="55">
        <f t="shared" si="1"/>
        <v>0</v>
      </c>
      <c r="P34" s="55">
        <f t="shared" si="2"/>
        <v>0</v>
      </c>
      <c r="Q34" s="55">
        <f t="shared" si="3"/>
        <v>0</v>
      </c>
      <c r="R34" s="55">
        <f t="shared" si="4"/>
        <v>0</v>
      </c>
      <c r="T34" s="51">
        <f>NPV(Inputs!$C$6,'Vendas Vigente'!N34:Q34)+((R34*Inputs!$C$11)/(1+Inputs!$C$6)^(4.55))</f>
        <v>0</v>
      </c>
      <c r="X34" s="51"/>
      <c r="Y34" s="51">
        <f>SUMIFS(Tarifas!$AW$7:$AW$320,Tarifas!$G$7:$G$320,$A34)*SUMIFS(Mercado!G$9:G$160,Mercado!$A$9:$A$160,$A34)</f>
        <v>0</v>
      </c>
      <c r="Z34" s="51">
        <f>SUMIFS(Tarifas!$AW$7:$AW$320,Tarifas!$G$7:$G$320,$A34)*SUMIFS(Mercado!H$9:H$160,Mercado!$A$9:$A$160,$A34)</f>
        <v>0</v>
      </c>
      <c r="AA34" s="51">
        <f>SUMIFS(Tarifas!$AW$7:$AW$320,Tarifas!$G$7:$G$320,$A34)*SUMIFS(Mercado!I$9:I$160,Mercado!$A$9:$A$160,$A34)</f>
        <v>0</v>
      </c>
      <c r="AB34" s="51">
        <f>SUMIFS(Tarifas!$AW$7:$AW$320,Tarifas!$G$7:$G$320,$A34)*SUMIFS(Mercado!J$9:J$160,Mercado!$A$9:$A$160,$A34)</f>
        <v>0</v>
      </c>
      <c r="AC34" s="51">
        <f>SUMIFS(Tarifas!$AW$7:$AW$320,Tarifas!$G$7:$G$320,$A34)*SUMIFS(Mercado!K$9:K$160,Mercado!$A$9:$A$160,$A34)</f>
        <v>0</v>
      </c>
      <c r="AE34" s="55">
        <f t="shared" si="11"/>
        <v>0</v>
      </c>
      <c r="AF34" s="55">
        <f t="shared" si="5"/>
        <v>0</v>
      </c>
      <c r="AG34" s="55">
        <f t="shared" si="6"/>
        <v>0</v>
      </c>
      <c r="AH34" s="55">
        <f t="shared" si="7"/>
        <v>0</v>
      </c>
      <c r="AI34" s="55">
        <f t="shared" si="8"/>
        <v>0</v>
      </c>
      <c r="AJ34" s="55">
        <f t="shared" si="9"/>
        <v>0</v>
      </c>
    </row>
    <row r="35" spans="1:36">
      <c r="A35" s="192" t="str">
        <f>Usuarios!A41</f>
        <v>05 6</v>
      </c>
      <c r="B35" s="50" t="str">
        <f>Usuarios!B41</f>
        <v>Cogeração</v>
      </c>
      <c r="C35" s="50">
        <f>Usuarios!C41</f>
        <v>6</v>
      </c>
      <c r="D35" s="51">
        <f>Usuarios!D41</f>
        <v>120001</v>
      </c>
      <c r="E35" s="51">
        <f>Usuarios!E41</f>
        <v>300000</v>
      </c>
      <c r="F35" s="51"/>
      <c r="G35" s="51">
        <f>SUMIFS(Tarifas!$K$7:$K$320,Tarifas!$G$7:$G$320,$A35)*SUMIFS(Mercado!G$9:G$160,Mercado!$A$9:$A$160,$A35)</f>
        <v>0</v>
      </c>
      <c r="H35" s="51">
        <f>SUMIFS(Tarifas!$K$7:$K$320,Tarifas!$G$7:$G$320,$A35)*SUMIFS(Mercado!H$9:H$160,Mercado!$A$9:$A$160,$A35)</f>
        <v>0</v>
      </c>
      <c r="I35" s="51">
        <f>SUMIFS(Tarifas!$K$7:$K$320,Tarifas!$G$7:$G$320,$A35)*SUMIFS(Mercado!I$9:I$160,Mercado!$A$9:$A$160,$A35)</f>
        <v>0</v>
      </c>
      <c r="J35" s="51">
        <f>SUMIFS(Tarifas!$K$7:$K$320,Tarifas!$G$7:$G$320,$A35)*SUMIFS(Mercado!J$9:J$160,Mercado!$A$9:$A$160,$A35)</f>
        <v>0</v>
      </c>
      <c r="K35" s="51">
        <f>SUMIFS(Tarifas!$K$7:$K$320,Tarifas!$G$7:$G$320,$A35)*SUMIFS(Mercado!K$9:K$160,Mercado!$A$9:$A$160,$A35)</f>
        <v>0</v>
      </c>
      <c r="M35" s="55">
        <f t="shared" si="10"/>
        <v>0</v>
      </c>
      <c r="N35" s="55">
        <f t="shared" si="0"/>
        <v>0</v>
      </c>
      <c r="O35" s="55">
        <f t="shared" si="1"/>
        <v>0</v>
      </c>
      <c r="P35" s="55">
        <f t="shared" si="2"/>
        <v>0</v>
      </c>
      <c r="Q35" s="55">
        <f t="shared" si="3"/>
        <v>0</v>
      </c>
      <c r="R35" s="55">
        <f t="shared" si="4"/>
        <v>0</v>
      </c>
      <c r="T35" s="51">
        <f>NPV(Inputs!$C$6,'Vendas Vigente'!N35:Q35)+((R35*Inputs!$C$11)/(1+Inputs!$C$6)^(4.55))</f>
        <v>0</v>
      </c>
      <c r="X35" s="51"/>
      <c r="Y35" s="51">
        <f>SUMIFS(Tarifas!$AW$7:$AW$320,Tarifas!$G$7:$G$320,$A35)*SUMIFS(Mercado!G$9:G$160,Mercado!$A$9:$A$160,$A35)</f>
        <v>0</v>
      </c>
      <c r="Z35" s="51">
        <f>SUMIFS(Tarifas!$AW$7:$AW$320,Tarifas!$G$7:$G$320,$A35)*SUMIFS(Mercado!H$9:H$160,Mercado!$A$9:$A$160,$A35)</f>
        <v>0</v>
      </c>
      <c r="AA35" s="51">
        <f>SUMIFS(Tarifas!$AW$7:$AW$320,Tarifas!$G$7:$G$320,$A35)*SUMIFS(Mercado!I$9:I$160,Mercado!$A$9:$A$160,$A35)</f>
        <v>0</v>
      </c>
      <c r="AB35" s="51">
        <f>SUMIFS(Tarifas!$AW$7:$AW$320,Tarifas!$G$7:$G$320,$A35)*SUMIFS(Mercado!J$9:J$160,Mercado!$A$9:$A$160,$A35)</f>
        <v>0</v>
      </c>
      <c r="AC35" s="51">
        <f>SUMIFS(Tarifas!$AW$7:$AW$320,Tarifas!$G$7:$G$320,$A35)*SUMIFS(Mercado!K$9:K$160,Mercado!$A$9:$A$160,$A35)</f>
        <v>0</v>
      </c>
      <c r="AE35" s="55">
        <f t="shared" si="11"/>
        <v>0</v>
      </c>
      <c r="AF35" s="55">
        <f t="shared" si="5"/>
        <v>0</v>
      </c>
      <c r="AG35" s="55">
        <f t="shared" si="6"/>
        <v>0</v>
      </c>
      <c r="AH35" s="55">
        <f t="shared" si="7"/>
        <v>0</v>
      </c>
      <c r="AI35" s="55">
        <f t="shared" si="8"/>
        <v>0</v>
      </c>
      <c r="AJ35" s="55">
        <f t="shared" si="9"/>
        <v>0</v>
      </c>
    </row>
    <row r="36" spans="1:36">
      <c r="A36" s="192" t="str">
        <f>Usuarios!A42</f>
        <v>05 7</v>
      </c>
      <c r="B36" s="50" t="str">
        <f>Usuarios!B42</f>
        <v>Cogeração</v>
      </c>
      <c r="C36" s="50">
        <f>Usuarios!C42</f>
        <v>7</v>
      </c>
      <c r="D36" s="51">
        <f>Usuarios!D42</f>
        <v>300001</v>
      </c>
      <c r="E36" s="51">
        <f>Usuarios!E42</f>
        <v>600000</v>
      </c>
      <c r="F36" s="51"/>
      <c r="G36" s="51">
        <f>SUMIFS(Tarifas!$K$7:$K$320,Tarifas!$G$7:$G$320,$A36)*SUMIFS(Mercado!G$9:G$160,Mercado!$A$9:$A$160,$A36)</f>
        <v>0</v>
      </c>
      <c r="H36" s="51">
        <f>SUMIFS(Tarifas!$K$7:$K$320,Tarifas!$G$7:$G$320,$A36)*SUMIFS(Mercado!H$9:H$160,Mercado!$A$9:$A$160,$A36)</f>
        <v>0</v>
      </c>
      <c r="I36" s="51">
        <f>SUMIFS(Tarifas!$K$7:$K$320,Tarifas!$G$7:$G$320,$A36)*SUMIFS(Mercado!I$9:I$160,Mercado!$A$9:$A$160,$A36)</f>
        <v>0</v>
      </c>
      <c r="J36" s="51">
        <f>SUMIFS(Tarifas!$K$7:$K$320,Tarifas!$G$7:$G$320,$A36)*SUMIFS(Mercado!J$9:J$160,Mercado!$A$9:$A$160,$A36)</f>
        <v>0</v>
      </c>
      <c r="K36" s="51">
        <f>SUMIFS(Tarifas!$K$7:$K$320,Tarifas!$G$7:$G$320,$A36)*SUMIFS(Mercado!K$9:K$160,Mercado!$A$9:$A$160,$A36)</f>
        <v>0</v>
      </c>
      <c r="M36" s="55">
        <f t="shared" si="10"/>
        <v>0</v>
      </c>
      <c r="N36" s="55">
        <f t="shared" si="0"/>
        <v>0</v>
      </c>
      <c r="O36" s="55">
        <f t="shared" si="1"/>
        <v>0</v>
      </c>
      <c r="P36" s="55">
        <f t="shared" si="2"/>
        <v>0</v>
      </c>
      <c r="Q36" s="55">
        <f t="shared" si="3"/>
        <v>0</v>
      </c>
      <c r="R36" s="55">
        <f t="shared" si="4"/>
        <v>0</v>
      </c>
      <c r="T36" s="51">
        <f>NPV(Inputs!$C$6,'Vendas Vigente'!N36:Q36)+((R36*Inputs!$C$11)/(1+Inputs!$C$6)^(4.55))</f>
        <v>0</v>
      </c>
      <c r="X36" s="51"/>
      <c r="Y36" s="51">
        <f>SUMIFS(Tarifas!$AW$7:$AW$320,Tarifas!$G$7:$G$320,$A36)*SUMIFS(Mercado!G$9:G$160,Mercado!$A$9:$A$160,$A36)</f>
        <v>0</v>
      </c>
      <c r="Z36" s="51">
        <f>SUMIFS(Tarifas!$AW$7:$AW$320,Tarifas!$G$7:$G$320,$A36)*SUMIFS(Mercado!H$9:H$160,Mercado!$A$9:$A$160,$A36)</f>
        <v>0</v>
      </c>
      <c r="AA36" s="51">
        <f>SUMIFS(Tarifas!$AW$7:$AW$320,Tarifas!$G$7:$G$320,$A36)*SUMIFS(Mercado!I$9:I$160,Mercado!$A$9:$A$160,$A36)</f>
        <v>0</v>
      </c>
      <c r="AB36" s="51">
        <f>SUMIFS(Tarifas!$AW$7:$AW$320,Tarifas!$G$7:$G$320,$A36)*SUMIFS(Mercado!J$9:J$160,Mercado!$A$9:$A$160,$A36)</f>
        <v>0</v>
      </c>
      <c r="AC36" s="51">
        <f>SUMIFS(Tarifas!$AW$7:$AW$320,Tarifas!$G$7:$G$320,$A36)*SUMIFS(Mercado!K$9:K$160,Mercado!$A$9:$A$160,$A36)</f>
        <v>0</v>
      </c>
      <c r="AE36" s="55">
        <f t="shared" si="11"/>
        <v>0</v>
      </c>
      <c r="AF36" s="55">
        <f t="shared" si="5"/>
        <v>0</v>
      </c>
      <c r="AG36" s="55">
        <f t="shared" si="6"/>
        <v>0</v>
      </c>
      <c r="AH36" s="55">
        <f t="shared" si="7"/>
        <v>0</v>
      </c>
      <c r="AI36" s="55">
        <f t="shared" si="8"/>
        <v>0</v>
      </c>
      <c r="AJ36" s="55">
        <f t="shared" si="9"/>
        <v>0</v>
      </c>
    </row>
    <row r="37" spans="1:36">
      <c r="A37" s="192" t="str">
        <f>Usuarios!A43</f>
        <v>05 8</v>
      </c>
      <c r="B37" s="50" t="str">
        <f>Usuarios!B43</f>
        <v>Cogeração</v>
      </c>
      <c r="C37" s="50">
        <f>Usuarios!C43</f>
        <v>8</v>
      </c>
      <c r="D37" s="51">
        <f>Usuarios!D43</f>
        <v>600001</v>
      </c>
      <c r="E37" s="51">
        <f>Usuarios!E43</f>
        <v>1500000</v>
      </c>
      <c r="F37" s="51"/>
      <c r="G37" s="51">
        <f>SUMIFS(Tarifas!$K$7:$K$320,Tarifas!$G$7:$G$320,$A37)*SUMIFS(Mercado!G$9:G$160,Mercado!$A$9:$A$160,$A37)</f>
        <v>0</v>
      </c>
      <c r="H37" s="51">
        <f>SUMIFS(Tarifas!$K$7:$K$320,Tarifas!$G$7:$G$320,$A37)*SUMIFS(Mercado!H$9:H$160,Mercado!$A$9:$A$160,$A37)</f>
        <v>0</v>
      </c>
      <c r="I37" s="51">
        <f>SUMIFS(Tarifas!$K$7:$K$320,Tarifas!$G$7:$G$320,$A37)*SUMIFS(Mercado!I$9:I$160,Mercado!$A$9:$A$160,$A37)</f>
        <v>0</v>
      </c>
      <c r="J37" s="51">
        <f>SUMIFS(Tarifas!$K$7:$K$320,Tarifas!$G$7:$G$320,$A37)*SUMIFS(Mercado!J$9:J$160,Mercado!$A$9:$A$160,$A37)</f>
        <v>0</v>
      </c>
      <c r="K37" s="51">
        <f>SUMIFS(Tarifas!$K$7:$K$320,Tarifas!$G$7:$G$320,$A37)*SUMIFS(Mercado!K$9:K$160,Mercado!$A$9:$A$160,$A37)</f>
        <v>0</v>
      </c>
      <c r="M37" s="55">
        <f t="shared" si="10"/>
        <v>0</v>
      </c>
      <c r="N37" s="55">
        <f t="shared" si="0"/>
        <v>0</v>
      </c>
      <c r="O37" s="55">
        <f t="shared" si="1"/>
        <v>0</v>
      </c>
      <c r="P37" s="55">
        <f t="shared" si="2"/>
        <v>0</v>
      </c>
      <c r="Q37" s="55">
        <f t="shared" si="3"/>
        <v>0</v>
      </c>
      <c r="R37" s="55">
        <f t="shared" si="4"/>
        <v>0</v>
      </c>
      <c r="T37" s="51">
        <f>NPV(Inputs!$C$6,'Vendas Vigente'!N37:Q37)+((R37*Inputs!$C$11)/(1+Inputs!$C$6)^(4.55))</f>
        <v>0</v>
      </c>
      <c r="X37" s="51"/>
      <c r="Y37" s="51">
        <f>SUMIFS(Tarifas!$AW$7:$AW$320,Tarifas!$G$7:$G$320,$A37)*SUMIFS(Mercado!G$9:G$160,Mercado!$A$9:$A$160,$A37)</f>
        <v>0</v>
      </c>
      <c r="Z37" s="51">
        <f>SUMIFS(Tarifas!$AW$7:$AW$320,Tarifas!$G$7:$G$320,$A37)*SUMIFS(Mercado!H$9:H$160,Mercado!$A$9:$A$160,$A37)</f>
        <v>0</v>
      </c>
      <c r="AA37" s="51">
        <f>SUMIFS(Tarifas!$AW$7:$AW$320,Tarifas!$G$7:$G$320,$A37)*SUMIFS(Mercado!I$9:I$160,Mercado!$A$9:$A$160,$A37)</f>
        <v>0</v>
      </c>
      <c r="AB37" s="51">
        <f>SUMIFS(Tarifas!$AW$7:$AW$320,Tarifas!$G$7:$G$320,$A37)*SUMIFS(Mercado!J$9:J$160,Mercado!$A$9:$A$160,$A37)</f>
        <v>0</v>
      </c>
      <c r="AC37" s="51">
        <f>SUMIFS(Tarifas!$AW$7:$AW$320,Tarifas!$G$7:$G$320,$A37)*SUMIFS(Mercado!K$9:K$160,Mercado!$A$9:$A$160,$A37)</f>
        <v>0</v>
      </c>
      <c r="AE37" s="55">
        <f t="shared" si="11"/>
        <v>0</v>
      </c>
      <c r="AF37" s="55">
        <f t="shared" si="5"/>
        <v>0</v>
      </c>
      <c r="AG37" s="55">
        <f t="shared" si="6"/>
        <v>0</v>
      </c>
      <c r="AH37" s="55">
        <f t="shared" si="7"/>
        <v>0</v>
      </c>
      <c r="AI37" s="55">
        <f t="shared" si="8"/>
        <v>0</v>
      </c>
      <c r="AJ37" s="55">
        <f t="shared" si="9"/>
        <v>0</v>
      </c>
    </row>
    <row r="38" spans="1:36">
      <c r="A38" s="192" t="str">
        <f>Usuarios!A44</f>
        <v>05 9</v>
      </c>
      <c r="B38" s="50" t="str">
        <f>Usuarios!B44</f>
        <v>Cogeração</v>
      </c>
      <c r="C38" s="50">
        <f>Usuarios!C44</f>
        <v>9</v>
      </c>
      <c r="D38" s="51">
        <f>Usuarios!D44</f>
        <v>1500001</v>
      </c>
      <c r="E38" s="51">
        <f>Usuarios!E44</f>
        <v>999999999</v>
      </c>
      <c r="F38" s="51"/>
      <c r="G38" s="51">
        <f>SUMIFS(Tarifas!$K$7:$K$320,Tarifas!$G$7:$G$320,$A38)*SUMIFS(Mercado!G$9:G$160,Mercado!$A$9:$A$160,$A38)</f>
        <v>0</v>
      </c>
      <c r="H38" s="51">
        <f>SUMIFS(Tarifas!$K$7:$K$320,Tarifas!$G$7:$G$320,$A38)*SUMIFS(Mercado!H$9:H$160,Mercado!$A$9:$A$160,$A38)</f>
        <v>0</v>
      </c>
      <c r="I38" s="51">
        <f>SUMIFS(Tarifas!$K$7:$K$320,Tarifas!$G$7:$G$320,$A38)*SUMIFS(Mercado!I$9:I$160,Mercado!$A$9:$A$160,$A38)</f>
        <v>0</v>
      </c>
      <c r="J38" s="51">
        <f>SUMIFS(Tarifas!$K$7:$K$320,Tarifas!$G$7:$G$320,$A38)*SUMIFS(Mercado!J$9:J$160,Mercado!$A$9:$A$160,$A38)</f>
        <v>0</v>
      </c>
      <c r="K38" s="51">
        <f>SUMIFS(Tarifas!$K$7:$K$320,Tarifas!$G$7:$G$320,$A38)*SUMIFS(Mercado!K$9:K$160,Mercado!$A$9:$A$160,$A38)</f>
        <v>0</v>
      </c>
      <c r="M38" s="55">
        <f t="shared" si="10"/>
        <v>0</v>
      </c>
      <c r="N38" s="55">
        <f t="shared" si="0"/>
        <v>0</v>
      </c>
      <c r="O38" s="55">
        <f t="shared" si="1"/>
        <v>0</v>
      </c>
      <c r="P38" s="55">
        <f t="shared" si="2"/>
        <v>0</v>
      </c>
      <c r="Q38" s="55">
        <f t="shared" si="3"/>
        <v>0</v>
      </c>
      <c r="R38" s="55">
        <f t="shared" si="4"/>
        <v>0</v>
      </c>
      <c r="T38" s="51">
        <f>NPV(Inputs!$C$6,'Vendas Vigente'!N38:Q38)+((R38*Inputs!$C$11)/(1+Inputs!$C$6)^(4.55))</f>
        <v>0</v>
      </c>
      <c r="X38" s="51"/>
      <c r="Y38" s="51">
        <f>SUMIFS(Tarifas!$AW$7:$AW$320,Tarifas!$G$7:$G$320,$A38)*SUMIFS(Mercado!G$9:G$160,Mercado!$A$9:$A$160,$A38)</f>
        <v>0</v>
      </c>
      <c r="Z38" s="51">
        <f>SUMIFS(Tarifas!$AW$7:$AW$320,Tarifas!$G$7:$G$320,$A38)*SUMIFS(Mercado!H$9:H$160,Mercado!$A$9:$A$160,$A38)</f>
        <v>0</v>
      </c>
      <c r="AA38" s="51">
        <f>SUMIFS(Tarifas!$AW$7:$AW$320,Tarifas!$G$7:$G$320,$A38)*SUMIFS(Mercado!I$9:I$160,Mercado!$A$9:$A$160,$A38)</f>
        <v>0</v>
      </c>
      <c r="AB38" s="51">
        <f>SUMIFS(Tarifas!$AW$7:$AW$320,Tarifas!$G$7:$G$320,$A38)*SUMIFS(Mercado!J$9:J$160,Mercado!$A$9:$A$160,$A38)</f>
        <v>0</v>
      </c>
      <c r="AC38" s="51">
        <f>SUMIFS(Tarifas!$AW$7:$AW$320,Tarifas!$G$7:$G$320,$A38)*SUMIFS(Mercado!K$9:K$160,Mercado!$A$9:$A$160,$A38)</f>
        <v>0</v>
      </c>
      <c r="AE38" s="55">
        <f t="shared" si="11"/>
        <v>0</v>
      </c>
      <c r="AF38" s="55">
        <f t="shared" si="5"/>
        <v>0</v>
      </c>
      <c r="AG38" s="55">
        <f t="shared" si="6"/>
        <v>0</v>
      </c>
      <c r="AH38" s="55">
        <f t="shared" si="7"/>
        <v>0</v>
      </c>
      <c r="AI38" s="55">
        <f t="shared" si="8"/>
        <v>0</v>
      </c>
      <c r="AJ38" s="55">
        <f t="shared" si="9"/>
        <v>0</v>
      </c>
    </row>
    <row r="39" spans="1:36">
      <c r="A39" s="192"/>
      <c r="D39" s="51"/>
      <c r="E39" s="51"/>
      <c r="F39" s="51"/>
      <c r="G39" s="51">
        <f>SUMIFS(Tarifas!$K$7:$K$320,Tarifas!$G$7:$G$320,$A39)*SUMIFS(Mercado!G$9:G$160,Mercado!$A$9:$A$160,$A39)</f>
        <v>0</v>
      </c>
      <c r="H39" s="51">
        <f>SUMIFS(Tarifas!$K$7:$K$320,Tarifas!$G$7:$G$320,$A39)*SUMIFS(Mercado!H$9:H$160,Mercado!$A$9:$A$160,$A39)</f>
        <v>0</v>
      </c>
      <c r="I39" s="51">
        <f>SUMIFS(Tarifas!$K$7:$K$320,Tarifas!$G$7:$G$320,$A39)*SUMIFS(Mercado!I$9:I$160,Mercado!$A$9:$A$160,$A39)</f>
        <v>0</v>
      </c>
      <c r="J39" s="51">
        <f>SUMIFS(Tarifas!$K$7:$K$320,Tarifas!$G$7:$G$320,$A39)*SUMIFS(Mercado!J$9:J$160,Mercado!$A$9:$A$160,$A39)</f>
        <v>0</v>
      </c>
      <c r="K39" s="51">
        <f>SUMIFS(Tarifas!$K$7:$K$320,Tarifas!$G$7:$G$320,$A39)*SUMIFS(Mercado!K$9:K$160,Mercado!$A$9:$A$160,$A39)</f>
        <v>0</v>
      </c>
      <c r="M39" s="55">
        <f t="shared" si="10"/>
        <v>0</v>
      </c>
      <c r="N39" s="55">
        <f t="shared" si="0"/>
        <v>0</v>
      </c>
      <c r="O39" s="55">
        <f t="shared" si="1"/>
        <v>0</v>
      </c>
      <c r="P39" s="55">
        <f t="shared" si="2"/>
        <v>0</v>
      </c>
      <c r="Q39" s="55">
        <f t="shared" si="3"/>
        <v>0</v>
      </c>
      <c r="R39" s="55">
        <f t="shared" si="4"/>
        <v>0</v>
      </c>
      <c r="T39" s="51">
        <f>NPV(Inputs!$C$6,'Vendas Vigente'!N39:Q39)+((R39*Inputs!$C$11)/(1+Inputs!$C$6)^(4.55))</f>
        <v>0</v>
      </c>
      <c r="X39" s="51"/>
      <c r="Y39" s="51">
        <f>SUMIFS(Tarifas!$AW$7:$AW$320,Tarifas!$G$7:$G$320,$A39)*SUMIFS(Mercado!G$9:G$160,Mercado!$A$9:$A$160,$A39)</f>
        <v>0</v>
      </c>
      <c r="Z39" s="51">
        <f>SUMIFS(Tarifas!$AW$7:$AW$320,Tarifas!$G$7:$G$320,$A39)*SUMIFS(Mercado!H$9:H$160,Mercado!$A$9:$A$160,$A39)</f>
        <v>0</v>
      </c>
      <c r="AA39" s="51">
        <f>SUMIFS(Tarifas!$AW$7:$AW$320,Tarifas!$G$7:$G$320,$A39)*SUMIFS(Mercado!I$9:I$160,Mercado!$A$9:$A$160,$A39)</f>
        <v>0</v>
      </c>
      <c r="AB39" s="51">
        <f>SUMIFS(Tarifas!$AW$7:$AW$320,Tarifas!$G$7:$G$320,$A39)*SUMIFS(Mercado!J$9:J$160,Mercado!$A$9:$A$160,$A39)</f>
        <v>0</v>
      </c>
      <c r="AC39" s="51">
        <f>SUMIFS(Tarifas!$AW$7:$AW$320,Tarifas!$G$7:$G$320,$A39)*SUMIFS(Mercado!K$9:K$160,Mercado!$A$9:$A$160,$A39)</f>
        <v>0</v>
      </c>
      <c r="AE39" s="55">
        <f t="shared" si="11"/>
        <v>0</v>
      </c>
      <c r="AF39" s="55">
        <f t="shared" si="5"/>
        <v>0</v>
      </c>
      <c r="AG39" s="55">
        <f t="shared" si="6"/>
        <v>0</v>
      </c>
      <c r="AH39" s="55">
        <f t="shared" si="7"/>
        <v>0</v>
      </c>
      <c r="AI39" s="55">
        <f t="shared" si="8"/>
        <v>0</v>
      </c>
      <c r="AJ39" s="55">
        <f t="shared" si="9"/>
        <v>0</v>
      </c>
    </row>
    <row r="40" spans="1:36">
      <c r="A40" s="192" t="str">
        <f>Usuarios!A46</f>
        <v>06 1</v>
      </c>
      <c r="B40" s="50" t="str">
        <f>Usuarios!B46</f>
        <v>Geração Distribuída</v>
      </c>
      <c r="C40" s="50">
        <f>Usuarios!C46</f>
        <v>1</v>
      </c>
      <c r="D40" s="51">
        <f>Usuarios!D46</f>
        <v>0</v>
      </c>
      <c r="E40" s="51">
        <f>Usuarios!E46</f>
        <v>200</v>
      </c>
      <c r="F40" s="51"/>
      <c r="G40" s="51">
        <f>SUMIFS(Tarifas!$K$7:$K$320,Tarifas!$G$7:$G$320,$A40)*SUMIFS(Mercado!G$9:G$160,Mercado!$A$9:$A$160,$A40)</f>
        <v>3.1302611066351265</v>
      </c>
      <c r="H40" s="51">
        <f>SUMIFS(Tarifas!$K$7:$K$320,Tarifas!$G$7:$G$320,$A40)*SUMIFS(Mercado!H$9:H$160,Mercado!$A$9:$A$160,$A40)</f>
        <v>2.7651104343562292</v>
      </c>
      <c r="I40" s="51">
        <f>SUMIFS(Tarifas!$K$7:$K$320,Tarifas!$G$7:$G$320,$A40)*SUMIFS(Mercado!I$9:I$160,Mercado!$A$9:$A$160,$A40)</f>
        <v>2.5430579173454131</v>
      </c>
      <c r="J40" s="51">
        <f>SUMIFS(Tarifas!$K$7:$K$320,Tarifas!$G$7:$G$320,$A40)*SUMIFS(Mercado!J$9:J$160,Mercado!$A$9:$A$160,$A40)</f>
        <v>2.4959606155985004</v>
      </c>
      <c r="K40" s="51">
        <f>SUMIFS(Tarifas!$K$7:$K$320,Tarifas!$G$7:$G$320,$A40)*SUMIFS(Mercado!K$9:K$160,Mercado!$A$9:$A$160,$A40)</f>
        <v>2.4915568249131153</v>
      </c>
      <c r="M40" s="55">
        <f t="shared" si="10"/>
        <v>0</v>
      </c>
      <c r="N40" s="55">
        <f t="shared" si="0"/>
        <v>3.1302611066351265</v>
      </c>
      <c r="O40" s="55">
        <f t="shared" si="1"/>
        <v>2.7651104343562292</v>
      </c>
      <c r="P40" s="55">
        <f t="shared" si="2"/>
        <v>2.5430579173454131</v>
      </c>
      <c r="Q40" s="55">
        <f t="shared" si="3"/>
        <v>2.4959606155985004</v>
      </c>
      <c r="R40" s="55">
        <f t="shared" si="4"/>
        <v>2.4915568249131153</v>
      </c>
      <c r="T40" s="51">
        <f>NPV(Inputs!$C$6,'Vendas Vigente'!N40:Q40)+((R40*Inputs!$C$11)/(1+Inputs!$C$6)^(4.55))</f>
        <v>9.8762159718634539</v>
      </c>
      <c r="X40" s="51"/>
      <c r="Y40" s="51">
        <f>SUMIFS(Tarifas!$AW$7:$AW$320,Tarifas!$G$7:$G$320,$A40)*SUMIFS(Mercado!G$9:G$160,Mercado!$A$9:$A$160,$A40)</f>
        <v>7.3520212815407939</v>
      </c>
      <c r="Z40" s="51">
        <f>SUMIFS(Tarifas!$AW$7:$AW$320,Tarifas!$G$7:$G$320,$A40)*SUMIFS(Mercado!H$9:H$160,Mercado!$A$9:$A$160,$A40)</f>
        <v>6.4943945781731678</v>
      </c>
      <c r="AA40" s="51">
        <f>SUMIFS(Tarifas!$AW$7:$AW$320,Tarifas!$G$7:$G$320,$A40)*SUMIFS(Mercado!I$9:I$160,Mercado!$A$9:$A$160,$A40)</f>
        <v>5.9728614615833795</v>
      </c>
      <c r="AB40" s="51">
        <f>SUMIFS(Tarifas!$AW$7:$AW$320,Tarifas!$G$7:$G$320,$A40)*SUMIFS(Mercado!J$9:J$160,Mercado!$A$9:$A$160,$A40)</f>
        <v>5.8622443747172088</v>
      </c>
      <c r="AC40" s="51">
        <f>SUMIFS(Tarifas!$AW$7:$AW$320,Tarifas!$G$7:$G$320,$A40)*SUMIFS(Mercado!K$9:K$160,Mercado!$A$9:$A$160,$A40)</f>
        <v>5.8519012238631882</v>
      </c>
      <c r="AE40" s="55">
        <f t="shared" si="11"/>
        <v>0</v>
      </c>
      <c r="AF40" s="55">
        <f t="shared" si="5"/>
        <v>7.3520212815407939</v>
      </c>
      <c r="AG40" s="55">
        <f t="shared" si="6"/>
        <v>6.4943945781731678</v>
      </c>
      <c r="AH40" s="55">
        <f t="shared" si="7"/>
        <v>5.9728614615833795</v>
      </c>
      <c r="AI40" s="55">
        <f t="shared" si="8"/>
        <v>5.8622443747172088</v>
      </c>
      <c r="AJ40" s="55">
        <f t="shared" si="9"/>
        <v>5.8519012238631882</v>
      </c>
    </row>
    <row r="41" spans="1:36">
      <c r="A41" s="192" t="str">
        <f>Usuarios!A47</f>
        <v>06 2</v>
      </c>
      <c r="B41" s="50" t="str">
        <f>Usuarios!B47</f>
        <v>Geração Distribuída</v>
      </c>
      <c r="C41" s="50">
        <f>Usuarios!C47</f>
        <v>2</v>
      </c>
      <c r="D41" s="51">
        <f>Usuarios!D47</f>
        <v>201</v>
      </c>
      <c r="E41" s="51">
        <f>Usuarios!E47</f>
        <v>5000</v>
      </c>
      <c r="F41" s="51"/>
      <c r="G41" s="51">
        <f>SUMIFS(Tarifas!$K$7:$K$320,Tarifas!$G$7:$G$320,$A41)*SUMIFS(Mercado!G$9:G$160,Mercado!$A$9:$A$160,$A41)</f>
        <v>21.914166371054318</v>
      </c>
      <c r="H41" s="51">
        <f>SUMIFS(Tarifas!$K$7:$K$320,Tarifas!$G$7:$G$320,$A41)*SUMIFS(Mercado!H$9:H$160,Mercado!$A$9:$A$160,$A41)</f>
        <v>12.395369672456326</v>
      </c>
      <c r="I41" s="51">
        <f>SUMIFS(Tarifas!$K$7:$K$320,Tarifas!$G$7:$G$320,$A41)*SUMIFS(Mercado!I$9:I$160,Mercado!$A$9:$A$160,$A41)</f>
        <v>37.678062103314389</v>
      </c>
      <c r="J41" s="51">
        <f>SUMIFS(Tarifas!$K$7:$K$320,Tarifas!$G$7:$G$320,$A41)*SUMIFS(Mercado!J$9:J$160,Mercado!$A$9:$A$160,$A41)</f>
        <v>36.980266332319488</v>
      </c>
      <c r="K41" s="51">
        <f>SUMIFS(Tarifas!$K$7:$K$320,Tarifas!$G$7:$G$320,$A41)*SUMIFS(Mercado!K$9:K$160,Mercado!$A$9:$A$160,$A41)</f>
        <v>36.915019568648788</v>
      </c>
      <c r="M41" s="55">
        <f t="shared" si="10"/>
        <v>0</v>
      </c>
      <c r="N41" s="55">
        <f t="shared" si="0"/>
        <v>21.914166371054318</v>
      </c>
      <c r="O41" s="55">
        <f t="shared" si="1"/>
        <v>12.395369672456326</v>
      </c>
      <c r="P41" s="55">
        <f t="shared" si="2"/>
        <v>37.678062103314389</v>
      </c>
      <c r="Q41" s="55">
        <f t="shared" si="3"/>
        <v>36.980266332319488</v>
      </c>
      <c r="R41" s="55">
        <f t="shared" si="4"/>
        <v>36.915019568648788</v>
      </c>
      <c r="T41" s="51">
        <f>NPV(Inputs!$C$6,'Vendas Vigente'!N41:Q41)+((R41*Inputs!$C$11)/(1+Inputs!$C$6)^(4.55))</f>
        <v>99.781660274716174</v>
      </c>
      <c r="X41" s="51"/>
      <c r="Y41" s="51">
        <f>SUMIFS(Tarifas!$AW$7:$AW$320,Tarifas!$G$7:$G$320,$A41)*SUMIFS(Mercado!G$9:G$160,Mercado!$A$9:$A$160,$A41)</f>
        <v>81.657848177931726</v>
      </c>
      <c r="Z41" s="51">
        <f>SUMIFS(Tarifas!$AW$7:$AW$320,Tarifas!$G$7:$G$320,$A41)*SUMIFS(Mercado!H$9:H$160,Mercado!$A$9:$A$160,$A41)</f>
        <v>46.188351301363276</v>
      </c>
      <c r="AA41" s="51">
        <f>SUMIFS(Tarifas!$AW$7:$AW$320,Tarifas!$G$7:$G$320,$A41)*SUMIFS(Mercado!I$9:I$160,Mercado!$A$9:$A$160,$A41)</f>
        <v>140.39819826023822</v>
      </c>
      <c r="AB41" s="51">
        <f>SUMIFS(Tarifas!$AW$7:$AW$320,Tarifas!$G$7:$G$320,$A41)*SUMIFS(Mercado!J$9:J$160,Mercado!$A$9:$A$160,$A41)</f>
        <v>137.79803085426434</v>
      </c>
      <c r="AC41" s="51">
        <f>SUMIFS(Tarifas!$AW$7:$AW$320,Tarifas!$G$7:$G$320,$A41)*SUMIFS(Mercado!K$9:K$160,Mercado!$A$9:$A$160,$A41)</f>
        <v>137.55490454812474</v>
      </c>
      <c r="AE41" s="55">
        <f t="shared" si="11"/>
        <v>0</v>
      </c>
      <c r="AF41" s="55">
        <f t="shared" si="5"/>
        <v>81.657848177931726</v>
      </c>
      <c r="AG41" s="55">
        <f t="shared" si="6"/>
        <v>46.188351301363276</v>
      </c>
      <c r="AH41" s="55">
        <f t="shared" si="7"/>
        <v>140.39819826023822</v>
      </c>
      <c r="AI41" s="55">
        <f t="shared" si="8"/>
        <v>137.79803085426434</v>
      </c>
      <c r="AJ41" s="55">
        <f t="shared" si="9"/>
        <v>137.55490454812474</v>
      </c>
    </row>
    <row r="42" spans="1:36">
      <c r="A42" s="192" t="str">
        <f>Usuarios!A48</f>
        <v>06 3</v>
      </c>
      <c r="B42" s="50" t="str">
        <f>Usuarios!B48</f>
        <v>Geração Distribuída</v>
      </c>
      <c r="C42" s="50">
        <f>Usuarios!C48</f>
        <v>3</v>
      </c>
      <c r="D42" s="51">
        <f>Usuarios!D48</f>
        <v>5001</v>
      </c>
      <c r="E42" s="51">
        <f>Usuarios!E48</f>
        <v>20000</v>
      </c>
      <c r="F42" s="51"/>
      <c r="G42" s="51">
        <f>SUMIFS(Tarifas!$K$7:$K$320,Tarifas!$G$7:$G$320,$A42)*SUMIFS(Mercado!G$9:G$160,Mercado!$A$9:$A$160,$A42)</f>
        <v>95.255607845121389</v>
      </c>
      <c r="H42" s="51">
        <f>SUMIFS(Tarifas!$K$7:$K$320,Tarifas!$G$7:$G$320,$A42)*SUMIFS(Mercado!H$9:H$160,Mercado!$A$9:$A$160,$A42)</f>
        <v>197.79750054573495</v>
      </c>
      <c r="I42" s="51">
        <f>SUMIFS(Tarifas!$K$7:$K$320,Tarifas!$G$7:$G$320,$A42)*SUMIFS(Mercado!I$9:I$160,Mercado!$A$9:$A$160,$A42)</f>
        <v>56.596303049753615</v>
      </c>
      <c r="J42" s="51">
        <f>SUMIFS(Tarifas!$K$7:$K$320,Tarifas!$G$7:$G$320,$A42)*SUMIFS(Mercado!J$9:J$160,Mercado!$A$9:$A$160,$A42)</f>
        <v>55.548142430086564</v>
      </c>
      <c r="K42" s="51">
        <f>SUMIFS(Tarifas!$K$7:$K$320,Tarifas!$G$7:$G$320,$A42)*SUMIFS(Mercado!K$9:K$160,Mercado!$A$9:$A$160,$A42)</f>
        <v>55.450135117513078</v>
      </c>
      <c r="M42" s="55">
        <f t="shared" si="10"/>
        <v>0</v>
      </c>
      <c r="N42" s="55">
        <f t="shared" si="0"/>
        <v>95.255607845121389</v>
      </c>
      <c r="O42" s="55">
        <f t="shared" si="1"/>
        <v>197.79750054573495</v>
      </c>
      <c r="P42" s="55">
        <f t="shared" si="2"/>
        <v>56.596303049753615</v>
      </c>
      <c r="Q42" s="55">
        <f t="shared" si="3"/>
        <v>55.548142430086564</v>
      </c>
      <c r="R42" s="55">
        <f t="shared" si="4"/>
        <v>55.450135117513078</v>
      </c>
      <c r="T42" s="51">
        <f>NPV(Inputs!$C$6,'Vendas Vigente'!N42:Q42)+((R42*Inputs!$C$11)/(1+Inputs!$C$6)^(4.55))</f>
        <v>358.14783756818298</v>
      </c>
      <c r="X42" s="51"/>
      <c r="Y42" s="51">
        <f>SUMIFS(Tarifas!$AW$7:$AW$320,Tarifas!$G$7:$G$320,$A42)*SUMIFS(Mercado!G$9:G$160,Mercado!$A$9:$A$160,$A42)</f>
        <v>425.66075725650416</v>
      </c>
      <c r="Z42" s="51">
        <f>SUMIFS(Tarifas!$AW$7:$AW$320,Tarifas!$G$7:$G$320,$A42)*SUMIFS(Mercado!H$9:H$160,Mercado!$A$9:$A$160,$A42)</f>
        <v>883.88112543080524</v>
      </c>
      <c r="AA42" s="51">
        <f>SUMIFS(Tarifas!$AW$7:$AW$320,Tarifas!$G$7:$G$320,$A42)*SUMIFS(Mercado!I$9:I$160,Mercado!$A$9:$A$160,$A42)</f>
        <v>252.90715957895756</v>
      </c>
      <c r="AB42" s="51">
        <f>SUMIFS(Tarifas!$AW$7:$AW$320,Tarifas!$G$7:$G$320,$A42)*SUMIFS(Mercado!J$9:J$160,Mercado!$A$9:$A$160,$A42)</f>
        <v>248.22333199980497</v>
      </c>
      <c r="AC42" s="51">
        <f>SUMIFS(Tarifas!$AW$7:$AW$320,Tarifas!$G$7:$G$320,$A42)*SUMIFS(Mercado!K$9:K$160,Mercado!$A$9:$A$160,$A42)</f>
        <v>247.78537493008017</v>
      </c>
      <c r="AE42" s="55">
        <f t="shared" si="11"/>
        <v>0</v>
      </c>
      <c r="AF42" s="55">
        <f t="shared" si="5"/>
        <v>425.66075725650416</v>
      </c>
      <c r="AG42" s="55">
        <f t="shared" si="6"/>
        <v>883.88112543080524</v>
      </c>
      <c r="AH42" s="55">
        <f t="shared" si="7"/>
        <v>252.90715957895756</v>
      </c>
      <c r="AI42" s="55">
        <f t="shared" si="8"/>
        <v>248.22333199980497</v>
      </c>
      <c r="AJ42" s="55">
        <f t="shared" si="9"/>
        <v>247.78537493008017</v>
      </c>
    </row>
    <row r="43" spans="1:36">
      <c r="A43" s="192" t="str">
        <f>Usuarios!A49</f>
        <v>06 4</v>
      </c>
      <c r="B43" s="50" t="str">
        <f>Usuarios!B49</f>
        <v>Geração Distribuída</v>
      </c>
      <c r="C43" s="50">
        <f>Usuarios!C49</f>
        <v>4</v>
      </c>
      <c r="D43" s="51">
        <f>Usuarios!D49</f>
        <v>20001</v>
      </c>
      <c r="E43" s="51">
        <f>Usuarios!E49</f>
        <v>70000</v>
      </c>
      <c r="F43" s="51"/>
      <c r="G43" s="51">
        <f>SUMIFS(Tarifas!$K$7:$K$320,Tarifas!$G$7:$G$320,$A43)*SUMIFS(Mercado!G$9:G$160,Mercado!$A$9:$A$160,$A43)</f>
        <v>79.568383555387214</v>
      </c>
      <c r="H43" s="51">
        <f>SUMIFS(Tarifas!$K$7:$K$320,Tarifas!$G$7:$G$320,$A43)*SUMIFS(Mercado!H$9:H$160,Mercado!$A$9:$A$160,$A43)</f>
        <v>2.7260692517549137</v>
      </c>
      <c r="I43" s="51">
        <f>SUMIFS(Tarifas!$K$7:$K$320,Tarifas!$G$7:$G$320,$A43)*SUMIFS(Mercado!I$9:I$160,Mercado!$A$9:$A$160,$A43)</f>
        <v>69.222061337519477</v>
      </c>
      <c r="J43" s="51">
        <f>SUMIFS(Tarifas!$K$7:$K$320,Tarifas!$G$7:$G$320,$A43)*SUMIFS(Mercado!J$9:J$160,Mercado!$A$9:$A$160,$A43)</f>
        <v>67.940072324166749</v>
      </c>
      <c r="K43" s="51">
        <f>SUMIFS(Tarifas!$K$7:$K$320,Tarifas!$G$7:$G$320,$A43)*SUMIFS(Mercado!K$9:K$160,Mercado!$A$9:$A$160,$A43)</f>
        <v>67.82020109871722</v>
      </c>
      <c r="M43" s="55">
        <f t="shared" si="10"/>
        <v>0</v>
      </c>
      <c r="N43" s="55">
        <f t="shared" si="0"/>
        <v>79.568383555387214</v>
      </c>
      <c r="O43" s="55">
        <f t="shared" si="1"/>
        <v>2.7260692517549137</v>
      </c>
      <c r="P43" s="55">
        <f t="shared" si="2"/>
        <v>69.222061337519477</v>
      </c>
      <c r="Q43" s="55">
        <f t="shared" si="3"/>
        <v>67.940072324166749</v>
      </c>
      <c r="R43" s="55">
        <f t="shared" si="4"/>
        <v>67.82020109871722</v>
      </c>
      <c r="T43" s="51">
        <f>NPV(Inputs!$C$6,'Vendas Vigente'!N43:Q43)+((R43*Inputs!$C$11)/(1+Inputs!$C$6)^(4.55))</f>
        <v>202.50960129082276</v>
      </c>
      <c r="X43" s="51"/>
      <c r="Y43" s="51">
        <f>SUMIFS(Tarifas!$AW$7:$AW$320,Tarifas!$G$7:$G$320,$A43)*SUMIFS(Mercado!G$9:G$160,Mercado!$A$9:$A$160,$A43)</f>
        <v>515.41655532056097</v>
      </c>
      <c r="Z43" s="51">
        <f>SUMIFS(Tarifas!$AW$7:$AW$320,Tarifas!$G$7:$G$320,$A43)*SUMIFS(Mercado!H$9:H$160,Mercado!$A$9:$A$160,$A43)</f>
        <v>17.658536726798776</v>
      </c>
      <c r="AA43" s="51">
        <f>SUMIFS(Tarifas!$AW$7:$AW$320,Tarifas!$G$7:$G$320,$A43)*SUMIFS(Mercado!I$9:I$160,Mercado!$A$9:$A$160,$A43)</f>
        <v>448.39664716749496</v>
      </c>
      <c r="AB43" s="51">
        <f>SUMIFS(Tarifas!$AW$7:$AW$320,Tarifas!$G$7:$G$320,$A43)*SUMIFS(Mercado!J$9:J$160,Mercado!$A$9:$A$160,$A43)</f>
        <v>440.09236433936496</v>
      </c>
      <c r="AC43" s="51">
        <f>SUMIFS(Tarifas!$AW$7:$AW$320,Tarifas!$G$7:$G$320,$A43)*SUMIFS(Mercado!K$9:K$160,Mercado!$A$9:$A$160,$A43)</f>
        <v>439.31587986974841</v>
      </c>
      <c r="AE43" s="55">
        <f t="shared" si="11"/>
        <v>0</v>
      </c>
      <c r="AF43" s="55">
        <f t="shared" si="5"/>
        <v>515.41655532056097</v>
      </c>
      <c r="AG43" s="55">
        <f t="shared" si="6"/>
        <v>17.658536726798776</v>
      </c>
      <c r="AH43" s="55">
        <f t="shared" si="7"/>
        <v>448.39664716749496</v>
      </c>
      <c r="AI43" s="55">
        <f t="shared" si="8"/>
        <v>440.09236433936496</v>
      </c>
      <c r="AJ43" s="55">
        <f t="shared" si="9"/>
        <v>439.31587986974841</v>
      </c>
    </row>
    <row r="44" spans="1:36">
      <c r="A44" s="192" t="str">
        <f>Usuarios!A50</f>
        <v>06 5</v>
      </c>
      <c r="B44" s="50" t="str">
        <f>Usuarios!B50</f>
        <v>Geração Distribuída</v>
      </c>
      <c r="C44" s="50">
        <f>Usuarios!C50</f>
        <v>5</v>
      </c>
      <c r="D44" s="51">
        <f>Usuarios!D50</f>
        <v>70001</v>
      </c>
      <c r="E44" s="51">
        <f>Usuarios!E50</f>
        <v>120000</v>
      </c>
      <c r="F44" s="51"/>
      <c r="G44" s="51">
        <f>SUMIFS(Tarifas!$K$7:$K$320,Tarifas!$G$7:$G$320,$A44)*SUMIFS(Mercado!G$9:G$160,Mercado!$A$9:$A$160,$A44)</f>
        <v>0</v>
      </c>
      <c r="H44" s="51">
        <f>SUMIFS(Tarifas!$K$7:$K$320,Tarifas!$G$7:$G$320,$A44)*SUMIFS(Mercado!H$9:H$160,Mercado!$A$9:$A$160,$A44)</f>
        <v>0</v>
      </c>
      <c r="I44" s="51">
        <f>SUMIFS(Tarifas!$K$7:$K$320,Tarifas!$G$7:$G$320,$A44)*SUMIFS(Mercado!I$9:I$160,Mercado!$A$9:$A$160,$A44)</f>
        <v>0</v>
      </c>
      <c r="J44" s="51">
        <f>SUMIFS(Tarifas!$K$7:$K$320,Tarifas!$G$7:$G$320,$A44)*SUMIFS(Mercado!J$9:J$160,Mercado!$A$9:$A$160,$A44)</f>
        <v>0</v>
      </c>
      <c r="K44" s="51">
        <f>SUMIFS(Tarifas!$K$7:$K$320,Tarifas!$G$7:$G$320,$A44)*SUMIFS(Mercado!K$9:K$160,Mercado!$A$9:$A$160,$A44)</f>
        <v>0</v>
      </c>
      <c r="M44" s="55">
        <f t="shared" si="10"/>
        <v>0</v>
      </c>
      <c r="N44" s="55">
        <f t="shared" si="0"/>
        <v>0</v>
      </c>
      <c r="O44" s="55">
        <f t="shared" si="1"/>
        <v>0</v>
      </c>
      <c r="P44" s="55">
        <f t="shared" si="2"/>
        <v>0</v>
      </c>
      <c r="Q44" s="55">
        <f t="shared" si="3"/>
        <v>0</v>
      </c>
      <c r="R44" s="55">
        <f t="shared" si="4"/>
        <v>0</v>
      </c>
      <c r="T44" s="51">
        <f>NPV(Inputs!$C$6,'Vendas Vigente'!N44:Q44)+((R44*Inputs!$C$11)/(1+Inputs!$C$6)^(4.55))</f>
        <v>0</v>
      </c>
      <c r="X44" s="51"/>
      <c r="Y44" s="51">
        <f>SUMIFS(Tarifas!$AW$7:$AW$320,Tarifas!$G$7:$G$320,$A44)*SUMIFS(Mercado!G$9:G$160,Mercado!$A$9:$A$160,$A44)</f>
        <v>0</v>
      </c>
      <c r="Z44" s="51">
        <f>SUMIFS(Tarifas!$AW$7:$AW$320,Tarifas!$G$7:$G$320,$A44)*SUMIFS(Mercado!H$9:H$160,Mercado!$A$9:$A$160,$A44)</f>
        <v>0</v>
      </c>
      <c r="AA44" s="51">
        <f>SUMIFS(Tarifas!$AW$7:$AW$320,Tarifas!$G$7:$G$320,$A44)*SUMIFS(Mercado!I$9:I$160,Mercado!$A$9:$A$160,$A44)</f>
        <v>0</v>
      </c>
      <c r="AB44" s="51">
        <f>SUMIFS(Tarifas!$AW$7:$AW$320,Tarifas!$G$7:$G$320,$A44)*SUMIFS(Mercado!J$9:J$160,Mercado!$A$9:$A$160,$A44)</f>
        <v>0</v>
      </c>
      <c r="AC44" s="51">
        <f>SUMIFS(Tarifas!$AW$7:$AW$320,Tarifas!$G$7:$G$320,$A44)*SUMIFS(Mercado!K$9:K$160,Mercado!$A$9:$A$160,$A44)</f>
        <v>0</v>
      </c>
      <c r="AE44" s="55">
        <f t="shared" si="11"/>
        <v>0</v>
      </c>
      <c r="AF44" s="55">
        <f t="shared" si="5"/>
        <v>0</v>
      </c>
      <c r="AG44" s="55">
        <f t="shared" si="6"/>
        <v>0</v>
      </c>
      <c r="AH44" s="55">
        <f t="shared" si="7"/>
        <v>0</v>
      </c>
      <c r="AI44" s="55">
        <f t="shared" si="8"/>
        <v>0</v>
      </c>
      <c r="AJ44" s="55">
        <f t="shared" si="9"/>
        <v>0</v>
      </c>
    </row>
    <row r="45" spans="1:36">
      <c r="A45" s="192" t="str">
        <f>Usuarios!A51</f>
        <v>06 6</v>
      </c>
      <c r="B45" s="50" t="str">
        <f>Usuarios!B51</f>
        <v>Geração Distribuída</v>
      </c>
      <c r="C45" s="50">
        <f>Usuarios!C51</f>
        <v>6</v>
      </c>
      <c r="D45" s="51">
        <f>Usuarios!D51</f>
        <v>120001</v>
      </c>
      <c r="E45" s="51">
        <f>Usuarios!E51</f>
        <v>300000</v>
      </c>
      <c r="F45" s="51"/>
      <c r="G45" s="51">
        <f>SUMIFS(Tarifas!$K$7:$K$320,Tarifas!$G$7:$G$320,$A45)*SUMIFS(Mercado!G$9:G$160,Mercado!$A$9:$A$160,$A45)</f>
        <v>0</v>
      </c>
      <c r="H45" s="51">
        <f>SUMIFS(Tarifas!$K$7:$K$320,Tarifas!$G$7:$G$320,$A45)*SUMIFS(Mercado!H$9:H$160,Mercado!$A$9:$A$160,$A45)</f>
        <v>0</v>
      </c>
      <c r="I45" s="51">
        <f>SUMIFS(Tarifas!$K$7:$K$320,Tarifas!$G$7:$G$320,$A45)*SUMIFS(Mercado!I$9:I$160,Mercado!$A$9:$A$160,$A45)</f>
        <v>0</v>
      </c>
      <c r="J45" s="51">
        <f>SUMIFS(Tarifas!$K$7:$K$320,Tarifas!$G$7:$G$320,$A45)*SUMIFS(Mercado!J$9:J$160,Mercado!$A$9:$A$160,$A45)</f>
        <v>0</v>
      </c>
      <c r="K45" s="51">
        <f>SUMIFS(Tarifas!$K$7:$K$320,Tarifas!$G$7:$G$320,$A45)*SUMIFS(Mercado!K$9:K$160,Mercado!$A$9:$A$160,$A45)</f>
        <v>0</v>
      </c>
      <c r="M45" s="55">
        <f t="shared" si="10"/>
        <v>0</v>
      </c>
      <c r="N45" s="55">
        <f t="shared" si="0"/>
        <v>0</v>
      </c>
      <c r="O45" s="55">
        <f t="shared" si="1"/>
        <v>0</v>
      </c>
      <c r="P45" s="55">
        <f t="shared" si="2"/>
        <v>0</v>
      </c>
      <c r="Q45" s="55">
        <f t="shared" si="3"/>
        <v>0</v>
      </c>
      <c r="R45" s="55">
        <f t="shared" si="4"/>
        <v>0</v>
      </c>
      <c r="T45" s="51">
        <f>NPV(Inputs!$C$6,'Vendas Vigente'!N45:Q45)+((R45*Inputs!$C$11)/(1+Inputs!$C$6)^(4.55))</f>
        <v>0</v>
      </c>
      <c r="X45" s="51"/>
      <c r="Y45" s="51">
        <f>SUMIFS(Tarifas!$AW$7:$AW$320,Tarifas!$G$7:$G$320,$A45)*SUMIFS(Mercado!G$9:G$160,Mercado!$A$9:$A$160,$A45)</f>
        <v>0</v>
      </c>
      <c r="Z45" s="51">
        <f>SUMIFS(Tarifas!$AW$7:$AW$320,Tarifas!$G$7:$G$320,$A45)*SUMIFS(Mercado!H$9:H$160,Mercado!$A$9:$A$160,$A45)</f>
        <v>0</v>
      </c>
      <c r="AA45" s="51">
        <f>SUMIFS(Tarifas!$AW$7:$AW$320,Tarifas!$G$7:$G$320,$A45)*SUMIFS(Mercado!I$9:I$160,Mercado!$A$9:$A$160,$A45)</f>
        <v>0</v>
      </c>
      <c r="AB45" s="51">
        <f>SUMIFS(Tarifas!$AW$7:$AW$320,Tarifas!$G$7:$G$320,$A45)*SUMIFS(Mercado!J$9:J$160,Mercado!$A$9:$A$160,$A45)</f>
        <v>0</v>
      </c>
      <c r="AC45" s="51">
        <f>SUMIFS(Tarifas!$AW$7:$AW$320,Tarifas!$G$7:$G$320,$A45)*SUMIFS(Mercado!K$9:K$160,Mercado!$A$9:$A$160,$A45)</f>
        <v>0</v>
      </c>
      <c r="AE45" s="55">
        <f t="shared" si="11"/>
        <v>0</v>
      </c>
      <c r="AF45" s="55">
        <f t="shared" si="5"/>
        <v>0</v>
      </c>
      <c r="AG45" s="55">
        <f t="shared" si="6"/>
        <v>0</v>
      </c>
      <c r="AH45" s="55">
        <f t="shared" si="7"/>
        <v>0</v>
      </c>
      <c r="AI45" s="55">
        <f t="shared" si="8"/>
        <v>0</v>
      </c>
      <c r="AJ45" s="55">
        <f t="shared" si="9"/>
        <v>0</v>
      </c>
    </row>
    <row r="46" spans="1:36">
      <c r="A46" s="192" t="str">
        <f>Usuarios!A52</f>
        <v>06 7</v>
      </c>
      <c r="B46" s="50" t="str">
        <f>Usuarios!B52</f>
        <v>Geração Distribuída</v>
      </c>
      <c r="C46" s="50">
        <f>Usuarios!C52</f>
        <v>7</v>
      </c>
      <c r="D46" s="51">
        <f>Usuarios!D52</f>
        <v>300001</v>
      </c>
      <c r="E46" s="51">
        <f>Usuarios!E52</f>
        <v>600000</v>
      </c>
      <c r="F46" s="51"/>
      <c r="G46" s="51">
        <f>SUMIFS(Tarifas!$K$7:$K$320,Tarifas!$G$7:$G$320,$A46)*SUMIFS(Mercado!G$9:G$160,Mercado!$A$9:$A$160,$A46)</f>
        <v>0</v>
      </c>
      <c r="H46" s="51">
        <f>SUMIFS(Tarifas!$K$7:$K$320,Tarifas!$G$7:$G$320,$A46)*SUMIFS(Mercado!H$9:H$160,Mercado!$A$9:$A$160,$A46)</f>
        <v>0</v>
      </c>
      <c r="I46" s="51">
        <f>SUMIFS(Tarifas!$K$7:$K$320,Tarifas!$G$7:$G$320,$A46)*SUMIFS(Mercado!I$9:I$160,Mercado!$A$9:$A$160,$A46)</f>
        <v>0</v>
      </c>
      <c r="J46" s="51">
        <f>SUMIFS(Tarifas!$K$7:$K$320,Tarifas!$G$7:$G$320,$A46)*SUMIFS(Mercado!J$9:J$160,Mercado!$A$9:$A$160,$A46)</f>
        <v>0</v>
      </c>
      <c r="K46" s="51">
        <f>SUMIFS(Tarifas!$K$7:$K$320,Tarifas!$G$7:$G$320,$A46)*SUMIFS(Mercado!K$9:K$160,Mercado!$A$9:$A$160,$A46)</f>
        <v>0</v>
      </c>
      <c r="M46" s="55">
        <f t="shared" si="10"/>
        <v>0</v>
      </c>
      <c r="N46" s="55">
        <f t="shared" si="0"/>
        <v>0</v>
      </c>
      <c r="O46" s="55">
        <f t="shared" si="1"/>
        <v>0</v>
      </c>
      <c r="P46" s="55">
        <f t="shared" si="2"/>
        <v>0</v>
      </c>
      <c r="Q46" s="55">
        <f t="shared" si="3"/>
        <v>0</v>
      </c>
      <c r="R46" s="55">
        <f t="shared" si="4"/>
        <v>0</v>
      </c>
      <c r="T46" s="51">
        <f>NPV(Inputs!$C$6,'Vendas Vigente'!N46:Q46)+((R46*Inputs!$C$11)/(1+Inputs!$C$6)^(4.55))</f>
        <v>0</v>
      </c>
      <c r="X46" s="51"/>
      <c r="Y46" s="51">
        <f>SUMIFS(Tarifas!$AW$7:$AW$320,Tarifas!$G$7:$G$320,$A46)*SUMIFS(Mercado!G$9:G$160,Mercado!$A$9:$A$160,$A46)</f>
        <v>0</v>
      </c>
      <c r="Z46" s="51">
        <f>SUMIFS(Tarifas!$AW$7:$AW$320,Tarifas!$G$7:$G$320,$A46)*SUMIFS(Mercado!H$9:H$160,Mercado!$A$9:$A$160,$A46)</f>
        <v>0</v>
      </c>
      <c r="AA46" s="51">
        <f>SUMIFS(Tarifas!$AW$7:$AW$320,Tarifas!$G$7:$G$320,$A46)*SUMIFS(Mercado!I$9:I$160,Mercado!$A$9:$A$160,$A46)</f>
        <v>0</v>
      </c>
      <c r="AB46" s="51">
        <f>SUMIFS(Tarifas!$AW$7:$AW$320,Tarifas!$G$7:$G$320,$A46)*SUMIFS(Mercado!J$9:J$160,Mercado!$A$9:$A$160,$A46)</f>
        <v>0</v>
      </c>
      <c r="AC46" s="51">
        <f>SUMIFS(Tarifas!$AW$7:$AW$320,Tarifas!$G$7:$G$320,$A46)*SUMIFS(Mercado!K$9:K$160,Mercado!$A$9:$A$160,$A46)</f>
        <v>0</v>
      </c>
      <c r="AE46" s="55">
        <f t="shared" si="11"/>
        <v>0</v>
      </c>
      <c r="AF46" s="55">
        <f t="shared" si="5"/>
        <v>0</v>
      </c>
      <c r="AG46" s="55">
        <f t="shared" si="6"/>
        <v>0</v>
      </c>
      <c r="AH46" s="55">
        <f t="shared" si="7"/>
        <v>0</v>
      </c>
      <c r="AI46" s="55">
        <f t="shared" si="8"/>
        <v>0</v>
      </c>
      <c r="AJ46" s="55">
        <f t="shared" si="9"/>
        <v>0</v>
      </c>
    </row>
    <row r="47" spans="1:36">
      <c r="A47" s="192" t="str">
        <f>Usuarios!A53</f>
        <v>06 8</v>
      </c>
      <c r="B47" s="50" t="str">
        <f>Usuarios!B53</f>
        <v>Geração Distribuída</v>
      </c>
      <c r="C47" s="50">
        <f>Usuarios!C53</f>
        <v>8</v>
      </c>
      <c r="D47" s="51">
        <f>Usuarios!D53</f>
        <v>600001</v>
      </c>
      <c r="E47" s="51">
        <f>Usuarios!E53</f>
        <v>1500000</v>
      </c>
      <c r="F47" s="51"/>
      <c r="G47" s="51">
        <f>SUMIFS(Tarifas!$K$7:$K$320,Tarifas!$G$7:$G$320,$A47)*SUMIFS(Mercado!G$9:G$160,Mercado!$A$9:$A$160,$A47)</f>
        <v>0</v>
      </c>
      <c r="H47" s="51">
        <f>SUMIFS(Tarifas!$K$7:$K$320,Tarifas!$G$7:$G$320,$A47)*SUMIFS(Mercado!H$9:H$160,Mercado!$A$9:$A$160,$A47)</f>
        <v>0</v>
      </c>
      <c r="I47" s="51">
        <f>SUMIFS(Tarifas!$K$7:$K$320,Tarifas!$G$7:$G$320,$A47)*SUMIFS(Mercado!I$9:I$160,Mercado!$A$9:$A$160,$A47)</f>
        <v>0</v>
      </c>
      <c r="J47" s="51">
        <f>SUMIFS(Tarifas!$K$7:$K$320,Tarifas!$G$7:$G$320,$A47)*SUMIFS(Mercado!J$9:J$160,Mercado!$A$9:$A$160,$A47)</f>
        <v>0</v>
      </c>
      <c r="K47" s="51">
        <f>SUMIFS(Tarifas!$K$7:$K$320,Tarifas!$G$7:$G$320,$A47)*SUMIFS(Mercado!K$9:K$160,Mercado!$A$9:$A$160,$A47)</f>
        <v>0</v>
      </c>
      <c r="M47" s="55">
        <f t="shared" si="10"/>
        <v>0</v>
      </c>
      <c r="N47" s="55">
        <f t="shared" si="0"/>
        <v>0</v>
      </c>
      <c r="O47" s="55">
        <f t="shared" si="1"/>
        <v>0</v>
      </c>
      <c r="P47" s="55">
        <f t="shared" si="2"/>
        <v>0</v>
      </c>
      <c r="Q47" s="55">
        <f t="shared" si="3"/>
        <v>0</v>
      </c>
      <c r="R47" s="55">
        <f t="shared" si="4"/>
        <v>0</v>
      </c>
      <c r="T47" s="51">
        <f>NPV(Inputs!$C$6,'Vendas Vigente'!N47:Q47)+((R47*Inputs!$C$11)/(1+Inputs!$C$6)^(4.55))</f>
        <v>0</v>
      </c>
      <c r="X47" s="51"/>
      <c r="Y47" s="51">
        <f>SUMIFS(Tarifas!$AW$7:$AW$320,Tarifas!$G$7:$G$320,$A47)*SUMIFS(Mercado!G$9:G$160,Mercado!$A$9:$A$160,$A47)</f>
        <v>0</v>
      </c>
      <c r="Z47" s="51">
        <f>SUMIFS(Tarifas!$AW$7:$AW$320,Tarifas!$G$7:$G$320,$A47)*SUMIFS(Mercado!H$9:H$160,Mercado!$A$9:$A$160,$A47)</f>
        <v>0</v>
      </c>
      <c r="AA47" s="51">
        <f>SUMIFS(Tarifas!$AW$7:$AW$320,Tarifas!$G$7:$G$320,$A47)*SUMIFS(Mercado!I$9:I$160,Mercado!$A$9:$A$160,$A47)</f>
        <v>0</v>
      </c>
      <c r="AB47" s="51">
        <f>SUMIFS(Tarifas!$AW$7:$AW$320,Tarifas!$G$7:$G$320,$A47)*SUMIFS(Mercado!J$9:J$160,Mercado!$A$9:$A$160,$A47)</f>
        <v>0</v>
      </c>
      <c r="AC47" s="51">
        <f>SUMIFS(Tarifas!$AW$7:$AW$320,Tarifas!$G$7:$G$320,$A47)*SUMIFS(Mercado!K$9:K$160,Mercado!$A$9:$A$160,$A47)</f>
        <v>0</v>
      </c>
      <c r="AE47" s="55">
        <f t="shared" si="11"/>
        <v>0</v>
      </c>
      <c r="AF47" s="55">
        <f t="shared" si="5"/>
        <v>0</v>
      </c>
      <c r="AG47" s="55">
        <f t="shared" si="6"/>
        <v>0</v>
      </c>
      <c r="AH47" s="55">
        <f t="shared" si="7"/>
        <v>0</v>
      </c>
      <c r="AI47" s="55">
        <f t="shared" si="8"/>
        <v>0</v>
      </c>
      <c r="AJ47" s="55">
        <f t="shared" si="9"/>
        <v>0</v>
      </c>
    </row>
    <row r="48" spans="1:36">
      <c r="A48" s="192" t="str">
        <f>Usuarios!A54</f>
        <v>06 9</v>
      </c>
      <c r="B48" s="50" t="str">
        <f>Usuarios!B54</f>
        <v>Geração Distribuída</v>
      </c>
      <c r="C48" s="50">
        <f>Usuarios!C54</f>
        <v>9</v>
      </c>
      <c r="D48" s="51">
        <f>Usuarios!D54</f>
        <v>1500001</v>
      </c>
      <c r="E48" s="51">
        <f>Usuarios!E54</f>
        <v>999999999</v>
      </c>
      <c r="F48" s="51"/>
      <c r="G48" s="51">
        <f>SUMIFS(Tarifas!$K$7:$K$320,Tarifas!$G$7:$G$320,$A48)*SUMIFS(Mercado!G$9:G$160,Mercado!$A$9:$A$160,$A48)</f>
        <v>0</v>
      </c>
      <c r="H48" s="51">
        <f>SUMIFS(Tarifas!$K$7:$K$320,Tarifas!$G$7:$G$320,$A48)*SUMIFS(Mercado!H$9:H$160,Mercado!$A$9:$A$160,$A48)</f>
        <v>0</v>
      </c>
      <c r="I48" s="51">
        <f>SUMIFS(Tarifas!$K$7:$K$320,Tarifas!$G$7:$G$320,$A48)*SUMIFS(Mercado!I$9:I$160,Mercado!$A$9:$A$160,$A48)</f>
        <v>0</v>
      </c>
      <c r="J48" s="51">
        <f>SUMIFS(Tarifas!$K$7:$K$320,Tarifas!$G$7:$G$320,$A48)*SUMIFS(Mercado!J$9:J$160,Mercado!$A$9:$A$160,$A48)</f>
        <v>0</v>
      </c>
      <c r="K48" s="51">
        <f>SUMIFS(Tarifas!$K$7:$K$320,Tarifas!$G$7:$G$320,$A48)*SUMIFS(Mercado!K$9:K$160,Mercado!$A$9:$A$160,$A48)</f>
        <v>0</v>
      </c>
      <c r="M48" s="55">
        <f t="shared" si="10"/>
        <v>0</v>
      </c>
      <c r="N48" s="55">
        <f t="shared" si="0"/>
        <v>0</v>
      </c>
      <c r="O48" s="55">
        <f t="shared" si="1"/>
        <v>0</v>
      </c>
      <c r="P48" s="55">
        <f t="shared" si="2"/>
        <v>0</v>
      </c>
      <c r="Q48" s="55">
        <f t="shared" si="3"/>
        <v>0</v>
      </c>
      <c r="R48" s="55">
        <f t="shared" si="4"/>
        <v>0</v>
      </c>
      <c r="T48" s="51">
        <f>NPV(Inputs!$C$6,'Vendas Vigente'!N48:Q48)+((R48*Inputs!$C$11)/(1+Inputs!$C$6)^(4.55))</f>
        <v>0</v>
      </c>
      <c r="X48" s="51"/>
      <c r="Y48" s="51">
        <f>SUMIFS(Tarifas!$AW$7:$AW$320,Tarifas!$G$7:$G$320,$A48)*SUMIFS(Mercado!G$9:G$160,Mercado!$A$9:$A$160,$A48)</f>
        <v>0</v>
      </c>
      <c r="Z48" s="51">
        <f>SUMIFS(Tarifas!$AW$7:$AW$320,Tarifas!$G$7:$G$320,$A48)*SUMIFS(Mercado!H$9:H$160,Mercado!$A$9:$A$160,$A48)</f>
        <v>0</v>
      </c>
      <c r="AA48" s="51">
        <f>SUMIFS(Tarifas!$AW$7:$AW$320,Tarifas!$G$7:$G$320,$A48)*SUMIFS(Mercado!I$9:I$160,Mercado!$A$9:$A$160,$A48)</f>
        <v>0</v>
      </c>
      <c r="AB48" s="51">
        <f>SUMIFS(Tarifas!$AW$7:$AW$320,Tarifas!$G$7:$G$320,$A48)*SUMIFS(Mercado!J$9:J$160,Mercado!$A$9:$A$160,$A48)</f>
        <v>0</v>
      </c>
      <c r="AC48" s="51">
        <f>SUMIFS(Tarifas!$AW$7:$AW$320,Tarifas!$G$7:$G$320,$A48)*SUMIFS(Mercado!K$9:K$160,Mercado!$A$9:$A$160,$A48)</f>
        <v>0</v>
      </c>
      <c r="AE48" s="55">
        <f t="shared" si="11"/>
        <v>0</v>
      </c>
      <c r="AF48" s="55">
        <f t="shared" si="5"/>
        <v>0</v>
      </c>
      <c r="AG48" s="55">
        <f t="shared" si="6"/>
        <v>0</v>
      </c>
      <c r="AH48" s="55">
        <f t="shared" si="7"/>
        <v>0</v>
      </c>
      <c r="AI48" s="55">
        <f t="shared" si="8"/>
        <v>0</v>
      </c>
      <c r="AJ48" s="55">
        <f t="shared" si="9"/>
        <v>0</v>
      </c>
    </row>
    <row r="49" spans="1:36">
      <c r="A49" s="192"/>
      <c r="D49" s="51"/>
      <c r="E49" s="51"/>
      <c r="F49" s="51"/>
      <c r="G49" s="51">
        <f>SUMIFS(Tarifas!$K$7:$K$320,Tarifas!$G$7:$G$320,$A49)*SUMIFS(Mercado!G$9:G$160,Mercado!$A$9:$A$160,$A49)</f>
        <v>0</v>
      </c>
      <c r="H49" s="51">
        <f>SUMIFS(Tarifas!$K$7:$K$320,Tarifas!$G$7:$G$320,$A49)*SUMIFS(Mercado!H$9:H$160,Mercado!$A$9:$A$160,$A49)</f>
        <v>0</v>
      </c>
      <c r="I49" s="51">
        <f>SUMIFS(Tarifas!$K$7:$K$320,Tarifas!$G$7:$G$320,$A49)*SUMIFS(Mercado!I$9:I$160,Mercado!$A$9:$A$160,$A49)</f>
        <v>0</v>
      </c>
      <c r="J49" s="51">
        <f>SUMIFS(Tarifas!$K$7:$K$320,Tarifas!$G$7:$G$320,$A49)*SUMIFS(Mercado!J$9:J$160,Mercado!$A$9:$A$160,$A49)</f>
        <v>0</v>
      </c>
      <c r="K49" s="51">
        <f>SUMIFS(Tarifas!$K$7:$K$320,Tarifas!$G$7:$G$320,$A49)*SUMIFS(Mercado!K$9:K$160,Mercado!$A$9:$A$160,$A49)</f>
        <v>0</v>
      </c>
      <c r="M49" s="55">
        <f t="shared" si="10"/>
        <v>0</v>
      </c>
      <c r="N49" s="55">
        <f t="shared" si="0"/>
        <v>0</v>
      </c>
      <c r="O49" s="55">
        <f t="shared" si="1"/>
        <v>0</v>
      </c>
      <c r="P49" s="55">
        <f t="shared" si="2"/>
        <v>0</v>
      </c>
      <c r="Q49" s="55">
        <f t="shared" si="3"/>
        <v>0</v>
      </c>
      <c r="R49" s="55">
        <f t="shared" si="4"/>
        <v>0</v>
      </c>
      <c r="T49" s="51">
        <f>NPV(Inputs!$C$6,'Vendas Vigente'!N49:Q49)+((R49*Inputs!$C$11)/(1+Inputs!$C$6)^(4.55))</f>
        <v>0</v>
      </c>
      <c r="X49" s="51"/>
      <c r="Y49" s="51">
        <f>SUMIFS(Tarifas!$AW$7:$AW$320,Tarifas!$G$7:$G$320,$A49)*SUMIFS(Mercado!G$9:G$160,Mercado!$A$9:$A$160,$A49)</f>
        <v>0</v>
      </c>
      <c r="Z49" s="51">
        <f>SUMIFS(Tarifas!$AW$7:$AW$320,Tarifas!$G$7:$G$320,$A49)*SUMIFS(Mercado!H$9:H$160,Mercado!$A$9:$A$160,$A49)</f>
        <v>0</v>
      </c>
      <c r="AA49" s="51">
        <f>SUMIFS(Tarifas!$AW$7:$AW$320,Tarifas!$G$7:$G$320,$A49)*SUMIFS(Mercado!I$9:I$160,Mercado!$A$9:$A$160,$A49)</f>
        <v>0</v>
      </c>
      <c r="AB49" s="51">
        <f>SUMIFS(Tarifas!$AW$7:$AW$320,Tarifas!$G$7:$G$320,$A49)*SUMIFS(Mercado!J$9:J$160,Mercado!$A$9:$A$160,$A49)</f>
        <v>0</v>
      </c>
      <c r="AC49" s="51">
        <f>SUMIFS(Tarifas!$AW$7:$AW$320,Tarifas!$G$7:$G$320,$A49)*SUMIFS(Mercado!K$9:K$160,Mercado!$A$9:$A$160,$A49)</f>
        <v>0</v>
      </c>
      <c r="AE49" s="55">
        <f t="shared" si="11"/>
        <v>0</v>
      </c>
      <c r="AF49" s="55">
        <f t="shared" si="5"/>
        <v>0</v>
      </c>
      <c r="AG49" s="55">
        <f t="shared" si="6"/>
        <v>0</v>
      </c>
      <c r="AH49" s="55">
        <f t="shared" si="7"/>
        <v>0</v>
      </c>
      <c r="AI49" s="55">
        <f t="shared" si="8"/>
        <v>0</v>
      </c>
      <c r="AJ49" s="55">
        <f t="shared" si="9"/>
        <v>0</v>
      </c>
    </row>
    <row r="50" spans="1:36">
      <c r="A50" s="192" t="str">
        <f>Usuarios!A56</f>
        <v>07 1</v>
      </c>
      <c r="B50" s="50" t="str">
        <f>Usuarios!B56</f>
        <v>GNV</v>
      </c>
      <c r="C50" s="50">
        <f>Usuarios!C56</f>
        <v>1</v>
      </c>
      <c r="D50" s="51">
        <f>Usuarios!D56</f>
        <v>0</v>
      </c>
      <c r="E50" s="51">
        <f>Usuarios!E56</f>
        <v>999999999</v>
      </c>
      <c r="F50" s="51"/>
      <c r="G50" s="51">
        <f>SUMIFS(Tarifas!$K$7:$K$320,Tarifas!$G$7:$G$320,$A50)*SUMIFS(Mercado!G$9:G$160,Mercado!$A$9:$A$160,$A50)</f>
        <v>56053.516500856545</v>
      </c>
      <c r="H50" s="51">
        <f>SUMIFS(Tarifas!$K$7:$K$320,Tarifas!$G$7:$G$320,$A50)*SUMIFS(Mercado!H$9:H$160,Mercado!$A$9:$A$160,$A50)</f>
        <v>48837.575472622339</v>
      </c>
      <c r="I50" s="51">
        <f>SUMIFS(Tarifas!$K$7:$K$320,Tarifas!$G$7:$G$320,$A50)*SUMIFS(Mercado!I$9:I$160,Mercado!$A$9:$A$160,$A50)</f>
        <v>42977.066415907655</v>
      </c>
      <c r="J50" s="51">
        <f>SUMIFS(Tarifas!$K$7:$K$320,Tarifas!$G$7:$G$320,$A50)*SUMIFS(Mercado!J$9:J$160,Mercado!$A$9:$A$160,$A50)</f>
        <v>39968.671766794119</v>
      </c>
      <c r="K50" s="51">
        <f>SUMIFS(Tarifas!$K$7:$K$320,Tarifas!$G$7:$G$320,$A50)*SUMIFS(Mercado!K$9:K$160,Mercado!$A$9:$A$160,$A50)</f>
        <v>38769.611613790294</v>
      </c>
      <c r="M50" s="55">
        <f t="shared" si="10"/>
        <v>0</v>
      </c>
      <c r="N50" s="55">
        <f t="shared" si="0"/>
        <v>56053.516500856545</v>
      </c>
      <c r="O50" s="55">
        <f t="shared" si="1"/>
        <v>48837.575472622339</v>
      </c>
      <c r="P50" s="55">
        <f t="shared" si="2"/>
        <v>42977.066415907655</v>
      </c>
      <c r="Q50" s="55">
        <f t="shared" si="3"/>
        <v>39968.671766794119</v>
      </c>
      <c r="R50" s="55">
        <f t="shared" si="4"/>
        <v>38769.611613790294</v>
      </c>
      <c r="T50" s="51">
        <f>NPV(Inputs!$C$6,'Vendas Vigente'!N50:Q50)+((R50*Inputs!$C$11)/(1+Inputs!$C$6)^(4.55))</f>
        <v>168759.36129498819</v>
      </c>
      <c r="X50" s="51"/>
      <c r="Y50" s="51">
        <f>SUMIFS(Tarifas!$AW$7:$AW$320,Tarifas!$G$7:$G$320,$A50)*SUMIFS(Mercado!G$9:G$160,Mercado!$A$9:$A$160,$A50)</f>
        <v>665898.08537423017</v>
      </c>
      <c r="Z50" s="51">
        <f>SUMIFS(Tarifas!$AW$7:$AW$320,Tarifas!$G$7:$G$320,$A50)*SUMIFS(Mercado!H$9:H$160,Mercado!$A$9:$A$160,$A50)</f>
        <v>580174.98333118379</v>
      </c>
      <c r="AA50" s="51">
        <f>SUMIFS(Tarifas!$AW$7:$AW$320,Tarifas!$G$7:$G$320,$A50)*SUMIFS(Mercado!I$9:I$160,Mercado!$A$9:$A$160,$A50)</f>
        <v>510553.98533144168</v>
      </c>
      <c r="AB50" s="51">
        <f>SUMIFS(Tarifas!$AW$7:$AW$320,Tarifas!$G$7:$G$320,$A50)*SUMIFS(Mercado!J$9:J$160,Mercado!$A$9:$A$160,$A50)</f>
        <v>474815.20635824074</v>
      </c>
      <c r="AC50" s="51">
        <f>SUMIFS(Tarifas!$AW$7:$AW$320,Tarifas!$G$7:$G$320,$A50)*SUMIFS(Mercado!K$9:K$160,Mercado!$A$9:$A$160,$A50)</f>
        <v>460570.75016749359</v>
      </c>
      <c r="AE50" s="55">
        <f t="shared" si="11"/>
        <v>0</v>
      </c>
      <c r="AF50" s="55">
        <f t="shared" si="5"/>
        <v>665898.08537423017</v>
      </c>
      <c r="AG50" s="55">
        <f t="shared" si="6"/>
        <v>580174.98333118379</v>
      </c>
      <c r="AH50" s="55">
        <f t="shared" si="7"/>
        <v>510553.98533144168</v>
      </c>
      <c r="AI50" s="55">
        <f t="shared" si="8"/>
        <v>474815.20635824074</v>
      </c>
      <c r="AJ50" s="55">
        <f t="shared" si="9"/>
        <v>460570.75016749359</v>
      </c>
    </row>
    <row r="51" spans="1:36">
      <c r="A51" s="192" t="str">
        <f>Usuarios!A57</f>
        <v>08 1</v>
      </c>
      <c r="B51" s="50" t="str">
        <f>Usuarios!B57</f>
        <v>GNV Transporte Público</v>
      </c>
      <c r="C51" s="50">
        <f>Usuarios!C57</f>
        <v>1</v>
      </c>
      <c r="D51" s="51">
        <f>Usuarios!D57</f>
        <v>0</v>
      </c>
      <c r="E51" s="51">
        <f>Usuarios!E57</f>
        <v>999999999</v>
      </c>
      <c r="F51" s="51"/>
      <c r="G51" s="51">
        <f>SUMIFS(Tarifas!$K$7:$K$320,Tarifas!$G$7:$G$320,$A51)*SUMIFS(Mercado!G$9:G$160,Mercado!$A$9:$A$160,$A51)</f>
        <v>0</v>
      </c>
      <c r="H51" s="51">
        <f>SUMIFS(Tarifas!$K$7:$K$320,Tarifas!$G$7:$G$320,$A51)*SUMIFS(Mercado!H$9:H$160,Mercado!$A$9:$A$160,$A51)</f>
        <v>0</v>
      </c>
      <c r="I51" s="51">
        <f>SUMIFS(Tarifas!$K$7:$K$320,Tarifas!$G$7:$G$320,$A51)*SUMIFS(Mercado!I$9:I$160,Mercado!$A$9:$A$160,$A51)</f>
        <v>0</v>
      </c>
      <c r="J51" s="51">
        <f>SUMIFS(Tarifas!$K$7:$K$320,Tarifas!$G$7:$G$320,$A51)*SUMIFS(Mercado!J$9:J$160,Mercado!$A$9:$A$160,$A51)</f>
        <v>0</v>
      </c>
      <c r="K51" s="51">
        <f>SUMIFS(Tarifas!$K$7:$K$320,Tarifas!$G$7:$G$320,$A51)*SUMIFS(Mercado!K$9:K$160,Mercado!$A$9:$A$160,$A51)</f>
        <v>0</v>
      </c>
      <c r="M51" s="55">
        <f t="shared" si="10"/>
        <v>0</v>
      </c>
      <c r="N51" s="55">
        <f t="shared" si="0"/>
        <v>0</v>
      </c>
      <c r="O51" s="55">
        <f t="shared" si="1"/>
        <v>0</v>
      </c>
      <c r="P51" s="55">
        <f t="shared" si="2"/>
        <v>0</v>
      </c>
      <c r="Q51" s="55">
        <f t="shared" si="3"/>
        <v>0</v>
      </c>
      <c r="R51" s="55">
        <f t="shared" si="4"/>
        <v>0</v>
      </c>
      <c r="T51" s="51">
        <f>NPV(Inputs!$C$6,'Vendas Vigente'!N51:Q51)+((R51*Inputs!$C$11)/(1+Inputs!$C$6)^(4.55))</f>
        <v>0</v>
      </c>
      <c r="X51" s="51"/>
      <c r="Y51" s="51">
        <f>SUMIFS(Tarifas!$AW$7:$AW$320,Tarifas!$G$7:$G$320,$A51)*SUMIFS(Mercado!G$9:G$160,Mercado!$A$9:$A$160,$A51)</f>
        <v>0</v>
      </c>
      <c r="Z51" s="51">
        <f>SUMIFS(Tarifas!$AW$7:$AW$320,Tarifas!$G$7:$G$320,$A51)*SUMIFS(Mercado!H$9:H$160,Mercado!$A$9:$A$160,$A51)</f>
        <v>0</v>
      </c>
      <c r="AA51" s="51">
        <f>SUMIFS(Tarifas!$AW$7:$AW$320,Tarifas!$G$7:$G$320,$A51)*SUMIFS(Mercado!I$9:I$160,Mercado!$A$9:$A$160,$A51)</f>
        <v>0</v>
      </c>
      <c r="AB51" s="51">
        <f>SUMIFS(Tarifas!$AW$7:$AW$320,Tarifas!$G$7:$G$320,$A51)*SUMIFS(Mercado!J$9:J$160,Mercado!$A$9:$A$160,$A51)</f>
        <v>0</v>
      </c>
      <c r="AC51" s="51">
        <f>SUMIFS(Tarifas!$AW$7:$AW$320,Tarifas!$G$7:$G$320,$A51)*SUMIFS(Mercado!K$9:K$160,Mercado!$A$9:$A$160,$A51)</f>
        <v>0</v>
      </c>
      <c r="AE51" s="55">
        <f t="shared" si="11"/>
        <v>0</v>
      </c>
      <c r="AF51" s="55">
        <f t="shared" si="5"/>
        <v>0</v>
      </c>
      <c r="AG51" s="55">
        <f t="shared" si="6"/>
        <v>0</v>
      </c>
      <c r="AH51" s="55">
        <f t="shared" si="7"/>
        <v>0</v>
      </c>
      <c r="AI51" s="55">
        <f t="shared" si="8"/>
        <v>0</v>
      </c>
      <c r="AJ51" s="55">
        <f t="shared" si="9"/>
        <v>0</v>
      </c>
    </row>
    <row r="52" spans="1:36">
      <c r="A52" s="192"/>
      <c r="D52" s="51"/>
      <c r="E52" s="51"/>
      <c r="F52" s="51"/>
      <c r="G52" s="51">
        <f>SUMIFS(Tarifas!$K$7:$K$320,Tarifas!$G$7:$G$320,$A52)*SUMIFS(Mercado!G$9:G$160,Mercado!$A$9:$A$160,$A52)</f>
        <v>0</v>
      </c>
      <c r="H52" s="51">
        <f>SUMIFS(Tarifas!$K$7:$K$320,Tarifas!$G$7:$G$320,$A52)*SUMIFS(Mercado!H$9:H$160,Mercado!$A$9:$A$160,$A52)</f>
        <v>0</v>
      </c>
      <c r="I52" s="51">
        <f>SUMIFS(Tarifas!$K$7:$K$320,Tarifas!$G$7:$G$320,$A52)*SUMIFS(Mercado!I$9:I$160,Mercado!$A$9:$A$160,$A52)</f>
        <v>0</v>
      </c>
      <c r="J52" s="51">
        <f>SUMIFS(Tarifas!$K$7:$K$320,Tarifas!$G$7:$G$320,$A52)*SUMIFS(Mercado!J$9:J$160,Mercado!$A$9:$A$160,$A52)</f>
        <v>0</v>
      </c>
      <c r="K52" s="51">
        <f>SUMIFS(Tarifas!$K$7:$K$320,Tarifas!$G$7:$G$320,$A52)*SUMIFS(Mercado!K$9:K$160,Mercado!$A$9:$A$160,$A52)</f>
        <v>0</v>
      </c>
      <c r="M52" s="55">
        <f t="shared" si="10"/>
        <v>0</v>
      </c>
      <c r="N52" s="55">
        <f t="shared" si="0"/>
        <v>0</v>
      </c>
      <c r="O52" s="55">
        <f t="shared" si="1"/>
        <v>0</v>
      </c>
      <c r="P52" s="55">
        <f t="shared" si="2"/>
        <v>0</v>
      </c>
      <c r="Q52" s="55">
        <f t="shared" si="3"/>
        <v>0</v>
      </c>
      <c r="R52" s="55">
        <f t="shared" si="4"/>
        <v>0</v>
      </c>
      <c r="T52" s="51">
        <f>NPV(Inputs!$C$6,'Vendas Vigente'!N52:Q52)+((R52*Inputs!$C$11)/(1+Inputs!$C$6)^(4.55))</f>
        <v>0</v>
      </c>
      <c r="X52" s="51"/>
      <c r="Y52" s="51">
        <f>SUMIFS(Tarifas!$AW$7:$AW$320,Tarifas!$G$7:$G$320,$A52)*SUMIFS(Mercado!G$9:G$160,Mercado!$A$9:$A$160,$A52)</f>
        <v>0</v>
      </c>
      <c r="Z52" s="51">
        <f>SUMIFS(Tarifas!$AW$7:$AW$320,Tarifas!$G$7:$G$320,$A52)*SUMIFS(Mercado!H$9:H$160,Mercado!$A$9:$A$160,$A52)</f>
        <v>0</v>
      </c>
      <c r="AA52" s="51">
        <f>SUMIFS(Tarifas!$AW$7:$AW$320,Tarifas!$G$7:$G$320,$A52)*SUMIFS(Mercado!I$9:I$160,Mercado!$A$9:$A$160,$A52)</f>
        <v>0</v>
      </c>
      <c r="AB52" s="51">
        <f>SUMIFS(Tarifas!$AW$7:$AW$320,Tarifas!$G$7:$G$320,$A52)*SUMIFS(Mercado!J$9:J$160,Mercado!$A$9:$A$160,$A52)</f>
        <v>0</v>
      </c>
      <c r="AC52" s="51">
        <f>SUMIFS(Tarifas!$AW$7:$AW$320,Tarifas!$G$7:$G$320,$A52)*SUMIFS(Mercado!K$9:K$160,Mercado!$A$9:$A$160,$A52)</f>
        <v>0</v>
      </c>
      <c r="AE52" s="55">
        <f t="shared" si="11"/>
        <v>0</v>
      </c>
      <c r="AF52" s="55">
        <f t="shared" si="5"/>
        <v>0</v>
      </c>
      <c r="AG52" s="55">
        <f t="shared" si="6"/>
        <v>0</v>
      </c>
      <c r="AH52" s="55">
        <f t="shared" si="7"/>
        <v>0</v>
      </c>
      <c r="AI52" s="55">
        <f t="shared" si="8"/>
        <v>0</v>
      </c>
      <c r="AJ52" s="55">
        <f t="shared" si="9"/>
        <v>0</v>
      </c>
    </row>
    <row r="53" spans="1:36">
      <c r="A53" s="192" t="str">
        <f>Usuarios!A59</f>
        <v>10 1</v>
      </c>
      <c r="B53" s="50" t="str">
        <f>Usuarios!B59</f>
        <v>Industrial</v>
      </c>
      <c r="C53" s="50">
        <f>Usuarios!C59</f>
        <v>1</v>
      </c>
      <c r="D53" s="51">
        <f>Usuarios!D59</f>
        <v>0</v>
      </c>
      <c r="E53" s="51">
        <f>Usuarios!E59</f>
        <v>200</v>
      </c>
      <c r="F53" s="51"/>
      <c r="G53" s="51">
        <f>SUMIFS(Tarifas!$K$7:$K$320,Tarifas!$G$7:$G$320,$A53)*SUMIFS(Mercado!G$9:G$160,Mercado!$A$9:$A$160,$A53)</f>
        <v>39.461143412345329</v>
      </c>
      <c r="H53" s="51">
        <f>SUMIFS(Tarifas!$K$7:$K$320,Tarifas!$G$7:$G$320,$A53)*SUMIFS(Mercado!H$9:H$160,Mercado!$A$9:$A$160,$A53)</f>
        <v>36.236538392216104</v>
      </c>
      <c r="I53" s="51">
        <f>SUMIFS(Tarifas!$K$7:$K$320,Tarifas!$G$7:$G$320,$A53)*SUMIFS(Mercado!I$9:I$160,Mercado!$A$9:$A$160,$A53)</f>
        <v>41.556668272431985</v>
      </c>
      <c r="J53" s="51">
        <f>SUMIFS(Tarifas!$K$7:$K$320,Tarifas!$G$7:$G$320,$A53)*SUMIFS(Mercado!J$9:J$160,Mercado!$A$9:$A$160,$A53)</f>
        <v>40.422339919782168</v>
      </c>
      <c r="K53" s="51">
        <f>SUMIFS(Tarifas!$K$7:$K$320,Tarifas!$G$7:$G$320,$A53)*SUMIFS(Mercado!K$9:K$160,Mercado!$A$9:$A$160,$A53)</f>
        <v>39.310698134185344</v>
      </c>
      <c r="M53" s="55">
        <f t="shared" si="10"/>
        <v>0</v>
      </c>
      <c r="N53" s="55">
        <f t="shared" si="0"/>
        <v>39.461143412345329</v>
      </c>
      <c r="O53" s="55">
        <f t="shared" si="1"/>
        <v>36.236538392216104</v>
      </c>
      <c r="P53" s="55">
        <f t="shared" si="2"/>
        <v>41.556668272431985</v>
      </c>
      <c r="Q53" s="55">
        <f t="shared" si="3"/>
        <v>40.422339919782168</v>
      </c>
      <c r="R53" s="55">
        <f t="shared" si="4"/>
        <v>39.310698134185344</v>
      </c>
      <c r="T53" s="51">
        <f>NPV(Inputs!$C$6,'Vendas Vigente'!N53:Q53)+((R53*Inputs!$C$11)/(1+Inputs!$C$6)^(4.55))</f>
        <v>142.32929246527684</v>
      </c>
      <c r="X53" s="51"/>
      <c r="Y53" s="51">
        <f>SUMIFS(Tarifas!$AW$7:$AW$320,Tarifas!$G$7:$G$320,$A53)*SUMIFS(Mercado!G$9:G$160,Mercado!$A$9:$A$160,$A53)</f>
        <v>126.53078038277218</v>
      </c>
      <c r="Z53" s="51">
        <f>SUMIFS(Tarifas!$AW$7:$AW$320,Tarifas!$G$7:$G$320,$A53)*SUMIFS(Mercado!H$9:H$160,Mercado!$A$9:$A$160,$A53)</f>
        <v>116.19119682434162</v>
      </c>
      <c r="AA53" s="51">
        <f>SUMIFS(Tarifas!$AW$7:$AW$320,Tarifas!$G$7:$G$320,$A53)*SUMIFS(Mercado!I$9:I$160,Mercado!$A$9:$A$160,$A53)</f>
        <v>133.25000777787378</v>
      </c>
      <c r="AB53" s="51">
        <f>SUMIFS(Tarifas!$AW$7:$AW$320,Tarifas!$G$7:$G$320,$A53)*SUMIFS(Mercado!J$9:J$160,Mercado!$A$9:$A$160,$A53)</f>
        <v>129.61282346794869</v>
      </c>
      <c r="AC53" s="51">
        <f>SUMIFS(Tarifas!$AW$7:$AW$320,Tarifas!$G$7:$G$320,$A53)*SUMIFS(Mercado!K$9:K$160,Mercado!$A$9:$A$160,$A53)</f>
        <v>126.04838284422209</v>
      </c>
      <c r="AE53" s="55">
        <f t="shared" si="11"/>
        <v>0</v>
      </c>
      <c r="AF53" s="55">
        <f t="shared" si="5"/>
        <v>126.53078038277218</v>
      </c>
      <c r="AG53" s="55">
        <f t="shared" si="6"/>
        <v>116.19119682434162</v>
      </c>
      <c r="AH53" s="55">
        <f t="shared" si="7"/>
        <v>133.25000777787378</v>
      </c>
      <c r="AI53" s="55">
        <f t="shared" si="8"/>
        <v>129.61282346794869</v>
      </c>
      <c r="AJ53" s="55">
        <f t="shared" si="9"/>
        <v>126.04838284422209</v>
      </c>
    </row>
    <row r="54" spans="1:36">
      <c r="A54" s="192" t="str">
        <f>Usuarios!A60</f>
        <v>10 2</v>
      </c>
      <c r="B54" s="50" t="str">
        <f>Usuarios!B60</f>
        <v>Industrial</v>
      </c>
      <c r="C54" s="50">
        <f>Usuarios!C60</f>
        <v>2</v>
      </c>
      <c r="D54" s="51">
        <f>Usuarios!D60</f>
        <v>201</v>
      </c>
      <c r="E54" s="51">
        <f>Usuarios!E60</f>
        <v>2000</v>
      </c>
      <c r="F54" s="51"/>
      <c r="G54" s="51">
        <f>SUMIFS(Tarifas!$K$7:$K$320,Tarifas!$G$7:$G$320,$A54)*SUMIFS(Mercado!G$9:G$160,Mercado!$A$9:$A$160,$A54)</f>
        <v>355.78113512740208</v>
      </c>
      <c r="H54" s="51">
        <f>SUMIFS(Tarifas!$K$7:$K$320,Tarifas!$G$7:$G$320,$A54)*SUMIFS(Mercado!H$9:H$160,Mercado!$A$9:$A$160,$A54)</f>
        <v>345.61781261477364</v>
      </c>
      <c r="I54" s="51">
        <f>SUMIFS(Tarifas!$K$7:$K$320,Tarifas!$G$7:$G$320,$A54)*SUMIFS(Mercado!I$9:I$160,Mercado!$A$9:$A$160,$A54)</f>
        <v>413.61505421245664</v>
      </c>
      <c r="J54" s="51">
        <f>SUMIFS(Tarifas!$K$7:$K$320,Tarifas!$G$7:$G$320,$A54)*SUMIFS(Mercado!J$9:J$160,Mercado!$A$9:$A$160,$A54)</f>
        <v>402.79602730137702</v>
      </c>
      <c r="K54" s="51">
        <f>SUMIFS(Tarifas!$K$7:$K$320,Tarifas!$G$7:$G$320,$A54)*SUMIFS(Mercado!K$9:K$160,Mercado!$A$9:$A$160,$A54)</f>
        <v>392.19338092851922</v>
      </c>
      <c r="M54" s="55">
        <f t="shared" si="10"/>
        <v>0</v>
      </c>
      <c r="N54" s="55">
        <f t="shared" si="0"/>
        <v>355.78113512740208</v>
      </c>
      <c r="O54" s="55">
        <f t="shared" si="1"/>
        <v>345.61781261477364</v>
      </c>
      <c r="P54" s="55">
        <f t="shared" si="2"/>
        <v>413.61505421245664</v>
      </c>
      <c r="Q54" s="55">
        <f t="shared" si="3"/>
        <v>402.79602730137702</v>
      </c>
      <c r="R54" s="55">
        <f t="shared" si="4"/>
        <v>392.19338092851922</v>
      </c>
      <c r="T54" s="51">
        <f>NPV(Inputs!$C$6,'Vendas Vigente'!N54:Q54)+((R54*Inputs!$C$11)/(1+Inputs!$C$6)^(4.55))</f>
        <v>1370.6602717399687</v>
      </c>
      <c r="X54" s="51"/>
      <c r="Y54" s="51">
        <f>SUMIFS(Tarifas!$AW$7:$AW$320,Tarifas!$G$7:$G$320,$A54)*SUMIFS(Mercado!G$9:G$160,Mercado!$A$9:$A$160,$A54)</f>
        <v>1190.3361279749599</v>
      </c>
      <c r="Z54" s="51">
        <f>SUMIFS(Tarifas!$AW$7:$AW$320,Tarifas!$G$7:$G$320,$A54)*SUMIFS(Mercado!H$9:H$160,Mercado!$A$9:$A$160,$A54)</f>
        <v>1156.3327231493759</v>
      </c>
      <c r="AA54" s="51">
        <f>SUMIFS(Tarifas!$AW$7:$AW$320,Tarifas!$G$7:$G$320,$A54)*SUMIFS(Mercado!I$9:I$160,Mercado!$A$9:$A$160,$A54)</f>
        <v>1383.8309384422696</v>
      </c>
      <c r="AB54" s="51">
        <f>SUMIFS(Tarifas!$AW$7:$AW$320,Tarifas!$G$7:$G$320,$A54)*SUMIFS(Mercado!J$9:J$160,Mercado!$A$9:$A$160,$A54)</f>
        <v>1347.6337449143448</v>
      </c>
      <c r="AC54" s="51">
        <f>SUMIFS(Tarifas!$AW$7:$AW$320,Tarifas!$G$7:$G$320,$A54)*SUMIFS(Mercado!K$9:K$160,Mercado!$A$9:$A$160,$A54)</f>
        <v>1312.1604952569789</v>
      </c>
      <c r="AE54" s="55">
        <f t="shared" si="11"/>
        <v>0</v>
      </c>
      <c r="AF54" s="55">
        <f t="shared" si="5"/>
        <v>1190.3361279749599</v>
      </c>
      <c r="AG54" s="55">
        <f t="shared" si="6"/>
        <v>1156.3327231493759</v>
      </c>
      <c r="AH54" s="55">
        <f t="shared" si="7"/>
        <v>1383.8309384422696</v>
      </c>
      <c r="AI54" s="55">
        <f t="shared" si="8"/>
        <v>1347.6337449143448</v>
      </c>
      <c r="AJ54" s="55">
        <f t="shared" si="9"/>
        <v>1312.1604952569789</v>
      </c>
    </row>
    <row r="55" spans="1:36">
      <c r="A55" s="192" t="str">
        <f>Usuarios!A61</f>
        <v>10 3</v>
      </c>
      <c r="B55" s="50" t="str">
        <f>Usuarios!B61</f>
        <v>Industrial</v>
      </c>
      <c r="C55" s="50">
        <f>Usuarios!C61</f>
        <v>3</v>
      </c>
      <c r="D55" s="51">
        <f>Usuarios!D61</f>
        <v>2001</v>
      </c>
      <c r="E55" s="51">
        <f>Usuarios!E61</f>
        <v>10000</v>
      </c>
      <c r="F55" s="51"/>
      <c r="G55" s="51">
        <f>SUMIFS(Tarifas!$K$7:$K$320,Tarifas!$G$7:$G$320,$A55)*SUMIFS(Mercado!G$9:G$160,Mercado!$A$9:$A$160,$A55)</f>
        <v>1000.1321964021303</v>
      </c>
      <c r="H55" s="51">
        <f>SUMIFS(Tarifas!$K$7:$K$320,Tarifas!$G$7:$G$320,$A55)*SUMIFS(Mercado!H$9:H$160,Mercado!$A$9:$A$160,$A55)</f>
        <v>992.52360342865097</v>
      </c>
      <c r="I55" s="51">
        <f>SUMIFS(Tarifas!$K$7:$K$320,Tarifas!$G$7:$G$320,$A55)*SUMIFS(Mercado!I$9:I$160,Mercado!$A$9:$A$160,$A55)</f>
        <v>1011.8128763505737</v>
      </c>
      <c r="J55" s="51">
        <f>SUMIFS(Tarifas!$K$7:$K$320,Tarifas!$G$7:$G$320,$A55)*SUMIFS(Mercado!J$9:J$160,Mercado!$A$9:$A$160,$A55)</f>
        <v>980.74347198701719</v>
      </c>
      <c r="K55" s="51">
        <f>SUMIFS(Tarifas!$K$7:$K$320,Tarifas!$G$7:$G$320,$A55)*SUMIFS(Mercado!K$9:K$160,Mercado!$A$9:$A$160,$A55)</f>
        <v>950.29545571073231</v>
      </c>
      <c r="M55" s="55">
        <f t="shared" si="10"/>
        <v>0</v>
      </c>
      <c r="N55" s="55">
        <f t="shared" si="0"/>
        <v>1000.1321964021303</v>
      </c>
      <c r="O55" s="55">
        <f t="shared" si="1"/>
        <v>992.52360342865097</v>
      </c>
      <c r="P55" s="55">
        <f t="shared" si="2"/>
        <v>1011.8128763505737</v>
      </c>
      <c r="Q55" s="55">
        <f t="shared" si="3"/>
        <v>980.74347198701719</v>
      </c>
      <c r="R55" s="55">
        <f t="shared" si="4"/>
        <v>950.29545571073231</v>
      </c>
      <c r="T55" s="51">
        <f>NPV(Inputs!$C$6,'Vendas Vigente'!N55:Q55)+((R55*Inputs!$C$11)/(1+Inputs!$C$6)^(4.55))</f>
        <v>3589.4459361093536</v>
      </c>
      <c r="X55" s="51"/>
      <c r="Y55" s="51">
        <f>SUMIFS(Tarifas!$AW$7:$AW$320,Tarifas!$G$7:$G$320,$A55)*SUMIFS(Mercado!G$9:G$160,Mercado!$A$9:$A$160,$A55)</f>
        <v>3439.7187110730733</v>
      </c>
      <c r="Z55" s="51">
        <f>SUMIFS(Tarifas!$AW$7:$AW$320,Tarifas!$G$7:$G$320,$A55)*SUMIFS(Mercado!H$9:H$160,Mercado!$A$9:$A$160,$A55)</f>
        <v>3413.5507507674606</v>
      </c>
      <c r="AA55" s="51">
        <f>SUMIFS(Tarifas!$AW$7:$AW$320,Tarifas!$G$7:$G$320,$A55)*SUMIFS(Mercado!I$9:I$160,Mercado!$A$9:$A$160,$A55)</f>
        <v>3479.8916537313075</v>
      </c>
      <c r="AB55" s="51">
        <f>SUMIFS(Tarifas!$AW$7:$AW$320,Tarifas!$G$7:$G$320,$A55)*SUMIFS(Mercado!J$9:J$160,Mercado!$A$9:$A$160,$A55)</f>
        <v>3373.0357681637056</v>
      </c>
      <c r="AC55" s="51">
        <f>SUMIFS(Tarifas!$AW$7:$AW$320,Tarifas!$G$7:$G$320,$A55)*SUMIFS(Mercado!K$9:K$160,Mercado!$A$9:$A$160,$A55)</f>
        <v>3268.317000307457</v>
      </c>
      <c r="AE55" s="55">
        <f t="shared" si="11"/>
        <v>0</v>
      </c>
      <c r="AF55" s="55">
        <f t="shared" si="5"/>
        <v>3439.7187110730733</v>
      </c>
      <c r="AG55" s="55">
        <f t="shared" si="6"/>
        <v>3413.5507507674606</v>
      </c>
      <c r="AH55" s="55">
        <f t="shared" si="7"/>
        <v>3479.8916537313075</v>
      </c>
      <c r="AI55" s="55">
        <f t="shared" si="8"/>
        <v>3373.0357681637056</v>
      </c>
      <c r="AJ55" s="55">
        <f t="shared" si="9"/>
        <v>3268.317000307457</v>
      </c>
    </row>
    <row r="56" spans="1:36">
      <c r="A56" s="192" t="str">
        <f>Usuarios!A62</f>
        <v>10 4</v>
      </c>
      <c r="B56" s="50" t="str">
        <f>Usuarios!B62</f>
        <v>Industrial</v>
      </c>
      <c r="C56" s="50">
        <f>Usuarios!C62</f>
        <v>4</v>
      </c>
      <c r="D56" s="51">
        <f>Usuarios!D62</f>
        <v>10001</v>
      </c>
      <c r="E56" s="51">
        <f>Usuarios!E62</f>
        <v>50000</v>
      </c>
      <c r="F56" s="51"/>
      <c r="G56" s="51">
        <f>SUMIFS(Tarifas!$K$7:$K$320,Tarifas!$G$7:$G$320,$A56)*SUMIFS(Mercado!G$9:G$160,Mercado!$A$9:$A$160,$A56)</f>
        <v>3894.0390965069137</v>
      </c>
      <c r="H56" s="51">
        <f>SUMIFS(Tarifas!$K$7:$K$320,Tarifas!$G$7:$G$320,$A56)*SUMIFS(Mercado!H$9:H$160,Mercado!$A$9:$A$160,$A56)</f>
        <v>3896.6655272085654</v>
      </c>
      <c r="I56" s="51">
        <f>SUMIFS(Tarifas!$K$7:$K$320,Tarifas!$G$7:$G$320,$A56)*SUMIFS(Mercado!I$9:I$160,Mercado!$A$9:$A$160,$A56)</f>
        <v>4228.4969316709748</v>
      </c>
      <c r="J56" s="51">
        <f>SUMIFS(Tarifas!$K$7:$K$320,Tarifas!$G$7:$G$320,$A56)*SUMIFS(Mercado!J$9:J$160,Mercado!$A$9:$A$160,$A56)</f>
        <v>4346.5674223362257</v>
      </c>
      <c r="K56" s="51">
        <f>SUMIFS(Tarifas!$K$7:$K$320,Tarifas!$G$7:$G$320,$A56)*SUMIFS(Mercado!K$9:K$160,Mercado!$A$9:$A$160,$A56)</f>
        <v>4227.0279625331286</v>
      </c>
      <c r="M56" s="55">
        <f t="shared" si="10"/>
        <v>0</v>
      </c>
      <c r="N56" s="55">
        <f t="shared" si="0"/>
        <v>3894.0390965069137</v>
      </c>
      <c r="O56" s="55">
        <f t="shared" si="1"/>
        <v>3896.6655272085654</v>
      </c>
      <c r="P56" s="55">
        <f t="shared" si="2"/>
        <v>4228.4969316709748</v>
      </c>
      <c r="Q56" s="55">
        <f t="shared" si="3"/>
        <v>4346.5674223362257</v>
      </c>
      <c r="R56" s="55">
        <f t="shared" si="4"/>
        <v>4227.0279625331286</v>
      </c>
      <c r="T56" s="51">
        <f>NPV(Inputs!$C$6,'Vendas Vigente'!N56:Q56)+((R56*Inputs!$C$11)/(1+Inputs!$C$6)^(4.55))</f>
        <v>14798.321220800313</v>
      </c>
      <c r="X56" s="51"/>
      <c r="Y56" s="51">
        <f>SUMIFS(Tarifas!$AW$7:$AW$320,Tarifas!$G$7:$G$320,$A56)*SUMIFS(Mercado!G$9:G$160,Mercado!$A$9:$A$160,$A56)</f>
        <v>17196.444406719897</v>
      </c>
      <c r="Z56" s="51">
        <f>SUMIFS(Tarifas!$AW$7:$AW$320,Tarifas!$G$7:$G$320,$A56)*SUMIFS(Mercado!H$9:H$160,Mercado!$A$9:$A$160,$A56)</f>
        <v>17208.042972740863</v>
      </c>
      <c r="AA56" s="51">
        <f>SUMIFS(Tarifas!$AW$7:$AW$320,Tarifas!$G$7:$G$320,$A56)*SUMIFS(Mercado!I$9:I$160,Mercado!$A$9:$A$160,$A56)</f>
        <v>18673.441793302361</v>
      </c>
      <c r="AB56" s="51">
        <f>SUMIFS(Tarifas!$AW$7:$AW$320,Tarifas!$G$7:$G$320,$A56)*SUMIFS(Mercado!J$9:J$160,Mercado!$A$9:$A$160,$A56)</f>
        <v>19194.852230763165</v>
      </c>
      <c r="AC56" s="51">
        <f>SUMIFS(Tarifas!$AW$7:$AW$320,Tarifas!$G$7:$G$320,$A56)*SUMIFS(Mercado!K$9:K$160,Mercado!$A$9:$A$160,$A56)</f>
        <v>18666.95468685887</v>
      </c>
      <c r="AE56" s="55">
        <f t="shared" si="11"/>
        <v>0</v>
      </c>
      <c r="AF56" s="55">
        <f t="shared" si="5"/>
        <v>17196.444406719897</v>
      </c>
      <c r="AG56" s="55">
        <f t="shared" si="6"/>
        <v>17208.042972740863</v>
      </c>
      <c r="AH56" s="55">
        <f t="shared" si="7"/>
        <v>18673.441793302361</v>
      </c>
      <c r="AI56" s="55">
        <f t="shared" si="8"/>
        <v>19194.852230763165</v>
      </c>
      <c r="AJ56" s="55">
        <f t="shared" si="9"/>
        <v>18666.95468685887</v>
      </c>
    </row>
    <row r="57" spans="1:36">
      <c r="A57" s="192" t="str">
        <f>Usuarios!A63</f>
        <v>10 5</v>
      </c>
      <c r="B57" s="50" t="str">
        <f>Usuarios!B63</f>
        <v>Industrial</v>
      </c>
      <c r="C57" s="50">
        <f>Usuarios!C63</f>
        <v>5</v>
      </c>
      <c r="D57" s="51">
        <f>Usuarios!D63</f>
        <v>50001</v>
      </c>
      <c r="E57" s="51">
        <f>Usuarios!E63</f>
        <v>100000</v>
      </c>
      <c r="F57" s="51"/>
      <c r="G57" s="51">
        <f>SUMIFS(Tarifas!$K$7:$K$320,Tarifas!$G$7:$G$320,$A57)*SUMIFS(Mercado!G$9:G$160,Mercado!$A$9:$A$160,$A57)</f>
        <v>4857.1636699523278</v>
      </c>
      <c r="H57" s="51">
        <f>SUMIFS(Tarifas!$K$7:$K$320,Tarifas!$G$7:$G$320,$A57)*SUMIFS(Mercado!H$9:H$160,Mercado!$A$9:$A$160,$A57)</f>
        <v>4576.2082931767345</v>
      </c>
      <c r="I57" s="51">
        <f>SUMIFS(Tarifas!$K$7:$K$320,Tarifas!$G$7:$G$320,$A57)*SUMIFS(Mercado!I$9:I$160,Mercado!$A$9:$A$160,$A57)</f>
        <v>5276.6198501307545</v>
      </c>
      <c r="J57" s="51">
        <f>SUMIFS(Tarifas!$K$7:$K$320,Tarifas!$G$7:$G$320,$A57)*SUMIFS(Mercado!J$9:J$160,Mercado!$A$9:$A$160,$A57)</f>
        <v>5604.8521661939594</v>
      </c>
      <c r="K57" s="51">
        <f>SUMIFS(Tarifas!$K$7:$K$320,Tarifas!$G$7:$G$320,$A57)*SUMIFS(Mercado!K$9:K$160,Mercado!$A$9:$A$160,$A57)</f>
        <v>5464.4661198440481</v>
      </c>
      <c r="M57" s="55">
        <f t="shared" si="10"/>
        <v>0</v>
      </c>
      <c r="N57" s="55">
        <f t="shared" si="0"/>
        <v>4857.1636699523278</v>
      </c>
      <c r="O57" s="55">
        <f t="shared" si="1"/>
        <v>4576.2082931767345</v>
      </c>
      <c r="P57" s="55">
        <f t="shared" si="2"/>
        <v>5276.6198501307545</v>
      </c>
      <c r="Q57" s="55">
        <f t="shared" si="3"/>
        <v>5604.8521661939594</v>
      </c>
      <c r="R57" s="55">
        <f t="shared" si="4"/>
        <v>5464.4661198440481</v>
      </c>
      <c r="T57" s="51">
        <f>NPV(Inputs!$C$6,'Vendas Vigente'!N57:Q57)+((R57*Inputs!$C$11)/(1+Inputs!$C$6)^(4.55))</f>
        <v>18422.46053283826</v>
      </c>
      <c r="X57" s="51"/>
      <c r="Y57" s="51">
        <f>SUMIFS(Tarifas!$AW$7:$AW$320,Tarifas!$G$7:$G$320,$A57)*SUMIFS(Mercado!G$9:G$160,Mercado!$A$9:$A$160,$A57)</f>
        <v>25126.593883607591</v>
      </c>
      <c r="Z57" s="51">
        <f>SUMIFS(Tarifas!$AW$7:$AW$320,Tarifas!$G$7:$G$320,$A57)*SUMIFS(Mercado!H$9:H$160,Mercado!$A$9:$A$160,$A57)</f>
        <v>23673.183594938939</v>
      </c>
      <c r="AA57" s="51">
        <f>SUMIFS(Tarifas!$AW$7:$AW$320,Tarifas!$G$7:$G$320,$A57)*SUMIFS(Mercado!I$9:I$160,Mercado!$A$9:$A$160,$A57)</f>
        <v>27296.482692690301</v>
      </c>
      <c r="AB57" s="51">
        <f>SUMIFS(Tarifas!$AW$7:$AW$320,Tarifas!$G$7:$G$320,$A57)*SUMIFS(Mercado!J$9:J$160,Mercado!$A$9:$A$160,$A57)</f>
        <v>28994.461320879502</v>
      </c>
      <c r="AC57" s="51">
        <f>SUMIFS(Tarifas!$AW$7:$AW$320,Tarifas!$G$7:$G$320,$A57)*SUMIFS(Mercado!K$9:K$160,Mercado!$A$9:$A$160,$A57)</f>
        <v>28268.230249980847</v>
      </c>
      <c r="AE57" s="55">
        <f t="shared" si="11"/>
        <v>0</v>
      </c>
      <c r="AF57" s="55">
        <f t="shared" si="5"/>
        <v>25126.593883607591</v>
      </c>
      <c r="AG57" s="55">
        <f t="shared" si="6"/>
        <v>23673.183594938939</v>
      </c>
      <c r="AH57" s="55">
        <f t="shared" si="7"/>
        <v>27296.482692690301</v>
      </c>
      <c r="AI57" s="55">
        <f t="shared" si="8"/>
        <v>28994.461320879502</v>
      </c>
      <c r="AJ57" s="55">
        <f t="shared" si="9"/>
        <v>28268.230249980847</v>
      </c>
    </row>
    <row r="58" spans="1:36">
      <c r="A58" s="192" t="str">
        <f>Usuarios!A64</f>
        <v>10 6</v>
      </c>
      <c r="B58" s="50" t="str">
        <f>Usuarios!B64</f>
        <v>Industrial</v>
      </c>
      <c r="C58" s="50">
        <f>Usuarios!C64</f>
        <v>6</v>
      </c>
      <c r="D58" s="51">
        <f>Usuarios!D64</f>
        <v>100001</v>
      </c>
      <c r="E58" s="51">
        <f>Usuarios!E64</f>
        <v>300000</v>
      </c>
      <c r="F58" s="51"/>
      <c r="G58" s="51">
        <f>SUMIFS(Tarifas!$K$7:$K$320,Tarifas!$G$7:$G$320,$A58)*SUMIFS(Mercado!G$9:G$160,Mercado!$A$9:$A$160,$A58)</f>
        <v>12391.219938841967</v>
      </c>
      <c r="H58" s="51">
        <f>SUMIFS(Tarifas!$K$7:$K$320,Tarifas!$G$7:$G$320,$A58)*SUMIFS(Mercado!H$9:H$160,Mercado!$A$9:$A$160,$A58)</f>
        <v>13105.764023286751</v>
      </c>
      <c r="I58" s="51">
        <f>SUMIFS(Tarifas!$K$7:$K$320,Tarifas!$G$7:$G$320,$A58)*SUMIFS(Mercado!I$9:I$160,Mercado!$A$9:$A$160,$A58)</f>
        <v>14909.06237575687</v>
      </c>
      <c r="J58" s="51">
        <f>SUMIFS(Tarifas!$K$7:$K$320,Tarifas!$G$7:$G$320,$A58)*SUMIFS(Mercado!J$9:J$160,Mercado!$A$9:$A$160,$A58)</f>
        <v>15899.735202678892</v>
      </c>
      <c r="K58" s="51">
        <f>SUMIFS(Tarifas!$K$7:$K$320,Tarifas!$G$7:$G$320,$A58)*SUMIFS(Mercado!K$9:K$160,Mercado!$A$9:$A$160,$A58)</f>
        <v>15497.68479811854</v>
      </c>
      <c r="M58" s="55">
        <f t="shared" si="10"/>
        <v>0</v>
      </c>
      <c r="N58" s="55">
        <f t="shared" si="0"/>
        <v>12391.219938841967</v>
      </c>
      <c r="O58" s="55">
        <f t="shared" si="1"/>
        <v>13105.764023286751</v>
      </c>
      <c r="P58" s="55">
        <f t="shared" si="2"/>
        <v>14909.06237575687</v>
      </c>
      <c r="Q58" s="55">
        <f t="shared" si="3"/>
        <v>15899.735202678892</v>
      </c>
      <c r="R58" s="55">
        <f t="shared" si="4"/>
        <v>15497.68479811854</v>
      </c>
      <c r="T58" s="51">
        <f>NPV(Inputs!$C$6,'Vendas Vigente'!N58:Q58)+((R58*Inputs!$C$11)/(1+Inputs!$C$6)^(4.55))</f>
        <v>51043.688942454828</v>
      </c>
      <c r="X58" s="51"/>
      <c r="Y58" s="51">
        <f>SUMIFS(Tarifas!$AW$7:$AW$320,Tarifas!$G$7:$G$320,$A58)*SUMIFS(Mercado!G$9:G$160,Mercado!$A$9:$A$160,$A58)</f>
        <v>80894.184353667937</v>
      </c>
      <c r="Z58" s="51">
        <f>SUMIFS(Tarifas!$AW$7:$AW$320,Tarifas!$G$7:$G$320,$A58)*SUMIFS(Mercado!H$9:H$160,Mercado!$A$9:$A$160,$A58)</f>
        <v>85558.976132135984</v>
      </c>
      <c r="AA58" s="51">
        <f>SUMIFS(Tarifas!$AW$7:$AW$320,Tarifas!$G$7:$G$320,$A58)*SUMIFS(Mercado!I$9:I$160,Mercado!$A$9:$A$160,$A58)</f>
        <v>97331.533643774863</v>
      </c>
      <c r="AB58" s="51">
        <f>SUMIFS(Tarifas!$AW$7:$AW$320,Tarifas!$G$7:$G$320,$A58)*SUMIFS(Mercado!J$9:J$160,Mercado!$A$9:$A$160,$A58)</f>
        <v>103798.98968851753</v>
      </c>
      <c r="AC58" s="51">
        <f>SUMIFS(Tarifas!$AW$7:$AW$320,Tarifas!$G$7:$G$320,$A58)*SUMIFS(Mercado!K$9:K$160,Mercado!$A$9:$A$160,$A58)</f>
        <v>101174.26510881554</v>
      </c>
      <c r="AE58" s="55">
        <f t="shared" si="11"/>
        <v>0</v>
      </c>
      <c r="AF58" s="55">
        <f t="shared" si="5"/>
        <v>80894.184353667937</v>
      </c>
      <c r="AG58" s="55">
        <f t="shared" si="6"/>
        <v>85558.976132135984</v>
      </c>
      <c r="AH58" s="55">
        <f t="shared" si="7"/>
        <v>97331.533643774863</v>
      </c>
      <c r="AI58" s="55">
        <f t="shared" si="8"/>
        <v>103798.98968851753</v>
      </c>
      <c r="AJ58" s="55">
        <f t="shared" si="9"/>
        <v>101174.26510881554</v>
      </c>
    </row>
    <row r="59" spans="1:36">
      <c r="A59" s="192" t="str">
        <f>Usuarios!A65</f>
        <v>10 7</v>
      </c>
      <c r="B59" s="50" t="str">
        <f>Usuarios!B65</f>
        <v>Industrial</v>
      </c>
      <c r="C59" s="50">
        <f>Usuarios!C65</f>
        <v>7</v>
      </c>
      <c r="D59" s="51">
        <f>Usuarios!D65</f>
        <v>300001</v>
      </c>
      <c r="E59" s="51">
        <f>Usuarios!E65</f>
        <v>600000</v>
      </c>
      <c r="F59" s="51"/>
      <c r="G59" s="51">
        <f>SUMIFS(Tarifas!$K$7:$K$320,Tarifas!$G$7:$G$320,$A59)*SUMIFS(Mercado!G$9:G$160,Mercado!$A$9:$A$160,$A59)</f>
        <v>7454.1248147468541</v>
      </c>
      <c r="H59" s="51">
        <f>SUMIFS(Tarifas!$K$7:$K$320,Tarifas!$G$7:$G$320,$A59)*SUMIFS(Mercado!H$9:H$160,Mercado!$A$9:$A$160,$A59)</f>
        <v>6803.5666890050161</v>
      </c>
      <c r="I59" s="51">
        <f>SUMIFS(Tarifas!$K$7:$K$320,Tarifas!$G$7:$G$320,$A59)*SUMIFS(Mercado!I$9:I$160,Mercado!$A$9:$A$160,$A59)</f>
        <v>8042.8299971247252</v>
      </c>
      <c r="J59" s="51">
        <f>SUMIFS(Tarifas!$K$7:$K$320,Tarifas!$G$7:$G$320,$A59)*SUMIFS(Mercado!J$9:J$160,Mercado!$A$9:$A$160,$A59)</f>
        <v>6709.8728581022369</v>
      </c>
      <c r="K59" s="51">
        <f>SUMIFS(Tarifas!$K$7:$K$320,Tarifas!$G$7:$G$320,$A59)*SUMIFS(Mercado!K$9:K$160,Mercado!$A$9:$A$160,$A59)</f>
        <v>6501.1573085999362</v>
      </c>
      <c r="M59" s="55">
        <f t="shared" si="10"/>
        <v>0</v>
      </c>
      <c r="N59" s="55">
        <f t="shared" si="0"/>
        <v>7454.1248147468541</v>
      </c>
      <c r="O59" s="55">
        <f t="shared" si="1"/>
        <v>6803.5666890050161</v>
      </c>
      <c r="P59" s="55">
        <f t="shared" si="2"/>
        <v>8042.8299971247252</v>
      </c>
      <c r="Q59" s="55">
        <f t="shared" si="3"/>
        <v>6709.8728581022369</v>
      </c>
      <c r="R59" s="55">
        <f t="shared" si="4"/>
        <v>6501.1573085999362</v>
      </c>
      <c r="T59" s="51">
        <f>NPV(Inputs!$C$6,'Vendas Vigente'!N59:Q59)+((R59*Inputs!$C$11)/(1+Inputs!$C$6)^(4.55))</f>
        <v>25997.082041562175</v>
      </c>
      <c r="X59" s="51"/>
      <c r="Y59" s="51">
        <f>SUMIFS(Tarifas!$AW$7:$AW$320,Tarifas!$G$7:$G$320,$A59)*SUMIFS(Mercado!G$9:G$160,Mercado!$A$9:$A$160,$A59)</f>
        <v>75845.792610890101</v>
      </c>
      <c r="Z59" s="51">
        <f>SUMIFS(Tarifas!$AW$7:$AW$320,Tarifas!$G$7:$G$320,$A59)*SUMIFS(Mercado!H$9:H$160,Mercado!$A$9:$A$160,$A59)</f>
        <v>69226.357343489028</v>
      </c>
      <c r="AA59" s="51">
        <f>SUMIFS(Tarifas!$AW$7:$AW$320,Tarifas!$G$7:$G$320,$A59)*SUMIFS(Mercado!I$9:I$160,Mercado!$A$9:$A$160,$A59)</f>
        <v>81835.873576968559</v>
      </c>
      <c r="AB59" s="51">
        <f>SUMIFS(Tarifas!$AW$7:$AW$320,Tarifas!$G$7:$G$320,$A59)*SUMIFS(Mercado!J$9:J$160,Mercado!$A$9:$A$160,$A59)</f>
        <v>68273.021701253296</v>
      </c>
      <c r="AC59" s="51">
        <f>SUMIFS(Tarifas!$AW$7:$AW$320,Tarifas!$G$7:$G$320,$A59)*SUMIFS(Mercado!K$9:K$160,Mercado!$A$9:$A$160,$A59)</f>
        <v>66149.338951683312</v>
      </c>
      <c r="AE59" s="55">
        <f t="shared" si="11"/>
        <v>0</v>
      </c>
      <c r="AF59" s="55">
        <f t="shared" si="5"/>
        <v>75845.792610890101</v>
      </c>
      <c r="AG59" s="55">
        <f t="shared" si="6"/>
        <v>69226.357343489028</v>
      </c>
      <c r="AH59" s="55">
        <f t="shared" si="7"/>
        <v>81835.873576968559</v>
      </c>
      <c r="AI59" s="55">
        <f t="shared" si="8"/>
        <v>68273.021701253296</v>
      </c>
      <c r="AJ59" s="55">
        <f t="shared" si="9"/>
        <v>66149.338951683312</v>
      </c>
    </row>
    <row r="60" spans="1:36">
      <c r="A60" s="192" t="str">
        <f>Usuarios!A66</f>
        <v>10 8</v>
      </c>
      <c r="B60" s="50" t="str">
        <f>Usuarios!B66</f>
        <v>Industrial</v>
      </c>
      <c r="C60" s="50">
        <f>Usuarios!C66</f>
        <v>8</v>
      </c>
      <c r="D60" s="51">
        <f>Usuarios!D66</f>
        <v>600001</v>
      </c>
      <c r="E60" s="51">
        <f>Usuarios!E66</f>
        <v>1500000</v>
      </c>
      <c r="F60" s="51"/>
      <c r="G60" s="51">
        <f>SUMIFS(Tarifas!$K$7:$K$320,Tarifas!$G$7:$G$320,$A60)*SUMIFS(Mercado!G$9:G$160,Mercado!$A$9:$A$160,$A60)</f>
        <v>27134.187728431578</v>
      </c>
      <c r="H60" s="51">
        <f>SUMIFS(Tarifas!$K$7:$K$320,Tarifas!$G$7:$G$320,$A60)*SUMIFS(Mercado!H$9:H$160,Mercado!$A$9:$A$160,$A60)</f>
        <v>21299.195791103088</v>
      </c>
      <c r="I60" s="51">
        <f>SUMIFS(Tarifas!$K$7:$K$320,Tarifas!$G$7:$G$320,$A60)*SUMIFS(Mercado!I$9:I$160,Mercado!$A$9:$A$160,$A60)</f>
        <v>24768.568960068405</v>
      </c>
      <c r="J60" s="51">
        <f>SUMIFS(Tarifas!$K$7:$K$320,Tarifas!$G$7:$G$320,$A60)*SUMIFS(Mercado!J$9:J$160,Mercado!$A$9:$A$160,$A60)</f>
        <v>24101.830834782195</v>
      </c>
      <c r="K60" s="51">
        <f>SUMIFS(Tarifas!$K$7:$K$320,Tarifas!$G$7:$G$320,$A60)*SUMIFS(Mercado!K$9:K$160,Mercado!$A$9:$A$160,$A60)</f>
        <v>23448.427472001702</v>
      </c>
      <c r="M60" s="55">
        <f t="shared" si="10"/>
        <v>0</v>
      </c>
      <c r="N60" s="55">
        <f t="shared" si="0"/>
        <v>27134.187728431578</v>
      </c>
      <c r="O60" s="55">
        <f t="shared" si="1"/>
        <v>21299.195791103088</v>
      </c>
      <c r="P60" s="55">
        <f t="shared" si="2"/>
        <v>24768.568960068405</v>
      </c>
      <c r="Q60" s="55">
        <f t="shared" si="3"/>
        <v>24101.830834782195</v>
      </c>
      <c r="R60" s="55">
        <f t="shared" si="4"/>
        <v>23448.427472001702</v>
      </c>
      <c r="T60" s="51">
        <f>NPV(Inputs!$C$6,'Vendas Vigente'!N60:Q60)+((R60*Inputs!$C$11)/(1+Inputs!$C$6)^(4.55))</f>
        <v>87911.510492551504</v>
      </c>
      <c r="X60" s="51"/>
      <c r="Y60" s="51">
        <f>SUMIFS(Tarifas!$AW$7:$AW$320,Tarifas!$G$7:$G$320,$A60)*SUMIFS(Mercado!G$9:G$160,Mercado!$A$9:$A$160,$A60)</f>
        <v>280777.76856893272</v>
      </c>
      <c r="Z60" s="51">
        <f>SUMIFS(Tarifas!$AW$7:$AW$320,Tarifas!$G$7:$G$320,$A60)*SUMIFS(Mercado!H$9:H$160,Mercado!$A$9:$A$160,$A60)</f>
        <v>220398.7355874466</v>
      </c>
      <c r="AA60" s="51">
        <f>SUMIFS(Tarifas!$AW$7:$AW$320,Tarifas!$G$7:$G$320,$A60)*SUMIFS(Mercado!I$9:I$160,Mercado!$A$9:$A$160,$A60)</f>
        <v>256298.93892002356</v>
      </c>
      <c r="AB60" s="51">
        <f>SUMIFS(Tarifas!$AW$7:$AW$320,Tarifas!$G$7:$G$320,$A60)*SUMIFS(Mercado!J$9:J$160,Mercado!$A$9:$A$160,$A60)</f>
        <v>249399.7000369101</v>
      </c>
      <c r="AC60" s="51">
        <f>SUMIFS(Tarifas!$AW$7:$AW$320,Tarifas!$G$7:$G$320,$A60)*SUMIFS(Mercado!K$9:K$160,Mercado!$A$9:$A$160,$A60)</f>
        <v>242638.44593145879</v>
      </c>
      <c r="AE60" s="55">
        <f t="shared" si="11"/>
        <v>0</v>
      </c>
      <c r="AF60" s="55">
        <f t="shared" si="5"/>
        <v>280777.76856893272</v>
      </c>
      <c r="AG60" s="55">
        <f t="shared" si="6"/>
        <v>220398.7355874466</v>
      </c>
      <c r="AH60" s="55">
        <f t="shared" si="7"/>
        <v>256298.93892002356</v>
      </c>
      <c r="AI60" s="55">
        <f t="shared" si="8"/>
        <v>249399.7000369101</v>
      </c>
      <c r="AJ60" s="55">
        <f t="shared" si="9"/>
        <v>242638.44593145879</v>
      </c>
    </row>
    <row r="61" spans="1:36">
      <c r="A61" s="192" t="str">
        <f>Usuarios!A67</f>
        <v>10 9</v>
      </c>
      <c r="B61" s="50" t="str">
        <f>Usuarios!B67</f>
        <v>Industrial</v>
      </c>
      <c r="C61" s="50">
        <f>Usuarios!C67</f>
        <v>9</v>
      </c>
      <c r="D61" s="51">
        <f>Usuarios!D67</f>
        <v>1500001</v>
      </c>
      <c r="E61" s="51">
        <f>Usuarios!E67</f>
        <v>3000000</v>
      </c>
      <c r="F61" s="51"/>
      <c r="G61" s="51">
        <f>SUMIFS(Tarifas!$K$7:$K$320,Tarifas!$G$7:$G$320,$A61)*SUMIFS(Mercado!G$9:G$160,Mercado!$A$9:$A$160,$A61)</f>
        <v>2545.1393177257355</v>
      </c>
      <c r="H61" s="51">
        <f>SUMIFS(Tarifas!$K$7:$K$320,Tarifas!$G$7:$G$320,$A61)*SUMIFS(Mercado!H$9:H$160,Mercado!$A$9:$A$160,$A61)</f>
        <v>7146.8530584465461</v>
      </c>
      <c r="I61" s="51">
        <f>SUMIFS(Tarifas!$K$7:$K$320,Tarifas!$G$7:$G$320,$A61)*SUMIFS(Mercado!I$9:I$160,Mercado!$A$9:$A$160,$A61)</f>
        <v>10985.156792068576</v>
      </c>
      <c r="J61" s="51">
        <f>SUMIFS(Tarifas!$K$7:$K$320,Tarifas!$G$7:$G$320,$A61)*SUMIFS(Mercado!J$9:J$160,Mercado!$A$9:$A$160,$A61)</f>
        <v>10761.435696839473</v>
      </c>
      <c r="K61" s="51">
        <f>SUMIFS(Tarifas!$K$7:$K$320,Tarifas!$G$7:$G$320,$A61)*SUMIFS(Mercado!K$9:K$160,Mercado!$A$9:$A$160,$A61)</f>
        <v>10542.189023514955</v>
      </c>
      <c r="M61" s="55">
        <f t="shared" si="10"/>
        <v>0</v>
      </c>
      <c r="N61" s="55">
        <f t="shared" si="0"/>
        <v>2545.1393177257355</v>
      </c>
      <c r="O61" s="55">
        <f t="shared" si="1"/>
        <v>7146.8530584465461</v>
      </c>
      <c r="P61" s="55">
        <f t="shared" si="2"/>
        <v>10985.156792068576</v>
      </c>
      <c r="Q61" s="55">
        <f t="shared" si="3"/>
        <v>10761.435696839473</v>
      </c>
      <c r="R61" s="55">
        <f t="shared" si="4"/>
        <v>10542.189023514955</v>
      </c>
      <c r="T61" s="51">
        <f>NPV(Inputs!$C$6,'Vendas Vigente'!N61:Q61)+((R61*Inputs!$C$11)/(1+Inputs!$C$6)^(4.55))</f>
        <v>28443.712982610377</v>
      </c>
      <c r="X61" s="51"/>
      <c r="Y61" s="51">
        <f>SUMIFS(Tarifas!$AW$7:$AW$320,Tarifas!$G$7:$G$320,$A61)*SUMIFS(Mercado!G$9:G$160,Mercado!$A$9:$A$160,$A61)</f>
        <v>27613.290864926712</v>
      </c>
      <c r="Z61" s="51">
        <f>SUMIFS(Tarifas!$AW$7:$AW$320,Tarifas!$G$7:$G$320,$A61)*SUMIFS(Mercado!H$9:H$160,Mercado!$A$9:$A$160,$A61)</f>
        <v>77539.22580871536</v>
      </c>
      <c r="AA61" s="51">
        <f>SUMIFS(Tarifas!$AW$7:$AW$320,Tarifas!$G$7:$G$320,$A61)*SUMIFS(Mercado!I$9:I$160,Mercado!$A$9:$A$160,$A61)</f>
        <v>119182.60331904644</v>
      </c>
      <c r="AB61" s="51">
        <f>SUMIFS(Tarifas!$AW$7:$AW$320,Tarifas!$G$7:$G$320,$A61)*SUMIFS(Mercado!J$9:J$160,Mercado!$A$9:$A$160,$A61)</f>
        <v>116755.35871512379</v>
      </c>
      <c r="AC61" s="51">
        <f>SUMIFS(Tarifas!$AW$7:$AW$320,Tarifas!$G$7:$G$320,$A61)*SUMIFS(Mercado!K$9:K$160,Mercado!$A$9:$A$160,$A61)</f>
        <v>114376.65900327959</v>
      </c>
      <c r="AE61" s="55">
        <f t="shared" si="11"/>
        <v>0</v>
      </c>
      <c r="AF61" s="55">
        <f t="shared" si="5"/>
        <v>27613.290864926712</v>
      </c>
      <c r="AG61" s="55">
        <f t="shared" si="6"/>
        <v>77539.22580871536</v>
      </c>
      <c r="AH61" s="55">
        <f t="shared" si="7"/>
        <v>119182.60331904644</v>
      </c>
      <c r="AI61" s="55">
        <f t="shared" si="8"/>
        <v>116755.35871512379</v>
      </c>
      <c r="AJ61" s="55">
        <f t="shared" si="9"/>
        <v>114376.65900327959</v>
      </c>
    </row>
    <row r="62" spans="1:36">
      <c r="A62" s="192" t="str">
        <f>Usuarios!A68</f>
        <v>10 10</v>
      </c>
      <c r="B62" s="50" t="str">
        <f>Usuarios!B68</f>
        <v>Industrial</v>
      </c>
      <c r="C62" s="50">
        <f>Usuarios!C68</f>
        <v>10</v>
      </c>
      <c r="D62" s="51">
        <f>Usuarios!D68</f>
        <v>3000001</v>
      </c>
      <c r="E62" s="51">
        <f>Usuarios!E68</f>
        <v>999999999</v>
      </c>
      <c r="F62" s="51"/>
      <c r="G62" s="51">
        <f>SUMIFS(Tarifas!$K$7:$K$320,Tarifas!$G$7:$G$320,$A62)*SUMIFS(Mercado!G$9:G$160,Mercado!$A$9:$A$160,$A62)</f>
        <v>117450.28601521374</v>
      </c>
      <c r="H62" s="51">
        <f>SUMIFS(Tarifas!$K$7:$K$320,Tarifas!$G$7:$G$320,$A62)*SUMIFS(Mercado!H$9:H$160,Mercado!$A$9:$A$160,$A62)</f>
        <v>57222.685175771621</v>
      </c>
      <c r="I62" s="51">
        <f>SUMIFS(Tarifas!$K$7:$K$320,Tarifas!$G$7:$G$320,$A62)*SUMIFS(Mercado!I$9:I$160,Mercado!$A$9:$A$160,$A62)</f>
        <v>0</v>
      </c>
      <c r="J62" s="51">
        <f>SUMIFS(Tarifas!$K$7:$K$320,Tarifas!$G$7:$G$320,$A62)*SUMIFS(Mercado!J$9:J$160,Mercado!$A$9:$A$160,$A62)</f>
        <v>0</v>
      </c>
      <c r="K62" s="51">
        <f>SUMIFS(Tarifas!$K$7:$K$320,Tarifas!$G$7:$G$320,$A62)*SUMIFS(Mercado!K$9:K$160,Mercado!$A$9:$A$160,$A62)</f>
        <v>0</v>
      </c>
      <c r="M62" s="55">
        <f t="shared" si="10"/>
        <v>0</v>
      </c>
      <c r="N62" s="55">
        <f t="shared" si="0"/>
        <v>117450.28601521374</v>
      </c>
      <c r="O62" s="55">
        <f t="shared" si="1"/>
        <v>57222.685175771621</v>
      </c>
      <c r="P62" s="55">
        <f t="shared" si="2"/>
        <v>0</v>
      </c>
      <c r="Q62" s="55">
        <f t="shared" si="3"/>
        <v>0</v>
      </c>
      <c r="R62" s="55">
        <f t="shared" si="4"/>
        <v>0</v>
      </c>
      <c r="T62" s="51">
        <f>NPV(Inputs!$C$6,'Vendas Vigente'!N62:Q62)+((R62*Inputs!$C$11)/(1+Inputs!$C$6)^(4.55))</f>
        <v>156065.66395038043</v>
      </c>
      <c r="X62" s="51"/>
      <c r="Y62" s="51">
        <f>SUMIFS(Tarifas!$AW$7:$AW$320,Tarifas!$G$7:$G$320,$A62)*SUMIFS(Mercado!G$9:G$160,Mercado!$A$9:$A$160,$A62)</f>
        <v>1525554.9269586063</v>
      </c>
      <c r="Z62" s="51">
        <f>SUMIFS(Tarifas!$AW$7:$AW$320,Tarifas!$G$7:$G$320,$A62)*SUMIFS(Mercado!H$9:H$160,Mercado!$A$9:$A$160,$A62)</f>
        <v>743262.12617644703</v>
      </c>
      <c r="AA62" s="51">
        <f>SUMIFS(Tarifas!$AW$7:$AW$320,Tarifas!$G$7:$G$320,$A62)*SUMIFS(Mercado!I$9:I$160,Mercado!$A$9:$A$160,$A62)</f>
        <v>0</v>
      </c>
      <c r="AB62" s="51">
        <f>SUMIFS(Tarifas!$AW$7:$AW$320,Tarifas!$G$7:$G$320,$A62)*SUMIFS(Mercado!J$9:J$160,Mercado!$A$9:$A$160,$A62)</f>
        <v>0</v>
      </c>
      <c r="AC62" s="51">
        <f>SUMIFS(Tarifas!$AW$7:$AW$320,Tarifas!$G$7:$G$320,$A62)*SUMIFS(Mercado!K$9:K$160,Mercado!$A$9:$A$160,$A62)</f>
        <v>0</v>
      </c>
      <c r="AE62" s="55">
        <f t="shared" si="11"/>
        <v>0</v>
      </c>
      <c r="AF62" s="55">
        <f t="shared" si="5"/>
        <v>1525554.9269586063</v>
      </c>
      <c r="AG62" s="55">
        <f t="shared" si="6"/>
        <v>743262.12617644703</v>
      </c>
      <c r="AH62" s="55">
        <f t="shared" si="7"/>
        <v>0</v>
      </c>
      <c r="AI62" s="55">
        <f t="shared" si="8"/>
        <v>0</v>
      </c>
      <c r="AJ62" s="55">
        <f t="shared" si="9"/>
        <v>0</v>
      </c>
    </row>
    <row r="63" spans="1:36">
      <c r="A63" s="192"/>
      <c r="D63" s="51"/>
      <c r="E63" s="51"/>
      <c r="F63" s="51"/>
      <c r="G63" s="51">
        <f>SUMIFS(Tarifas!$K$7:$K$320,Tarifas!$G$7:$G$320,$A63)*SUMIFS(Mercado!G$9:G$160,Mercado!$A$9:$A$160,$A63)</f>
        <v>0</v>
      </c>
      <c r="H63" s="51">
        <f>SUMIFS(Tarifas!$K$7:$K$320,Tarifas!$G$7:$G$320,$A63)*SUMIFS(Mercado!H$9:H$160,Mercado!$A$9:$A$160,$A63)</f>
        <v>0</v>
      </c>
      <c r="I63" s="51">
        <f>SUMIFS(Tarifas!$K$7:$K$320,Tarifas!$G$7:$G$320,$A63)*SUMIFS(Mercado!I$9:I$160,Mercado!$A$9:$A$160,$A63)</f>
        <v>0</v>
      </c>
      <c r="J63" s="51">
        <f>SUMIFS(Tarifas!$K$7:$K$320,Tarifas!$G$7:$G$320,$A63)*SUMIFS(Mercado!J$9:J$160,Mercado!$A$9:$A$160,$A63)</f>
        <v>0</v>
      </c>
      <c r="K63" s="51">
        <f>SUMIFS(Tarifas!$K$7:$K$320,Tarifas!$G$7:$G$320,$A63)*SUMIFS(Mercado!K$9:K$160,Mercado!$A$9:$A$160,$A63)</f>
        <v>0</v>
      </c>
      <c r="M63" s="55">
        <f t="shared" si="10"/>
        <v>0</v>
      </c>
      <c r="N63" s="55">
        <f t="shared" si="0"/>
        <v>0</v>
      </c>
      <c r="O63" s="55">
        <f t="shared" si="1"/>
        <v>0</v>
      </c>
      <c r="P63" s="55">
        <f t="shared" si="2"/>
        <v>0</v>
      </c>
      <c r="Q63" s="55">
        <f t="shared" si="3"/>
        <v>0</v>
      </c>
      <c r="R63" s="55">
        <f t="shared" si="4"/>
        <v>0</v>
      </c>
      <c r="T63" s="51">
        <f>NPV(Inputs!$C$6,'Vendas Vigente'!N63:Q63)+((R63*Inputs!$C$11)/(1+Inputs!$C$6)^(4.55))</f>
        <v>0</v>
      </c>
      <c r="X63" s="51"/>
      <c r="Y63" s="51">
        <f>SUMIFS(Tarifas!$AW$7:$AW$320,Tarifas!$G$7:$G$320,$A63)*SUMIFS(Mercado!G$9:G$160,Mercado!$A$9:$A$160,$A63)</f>
        <v>0</v>
      </c>
      <c r="Z63" s="51">
        <f>SUMIFS(Tarifas!$AW$7:$AW$320,Tarifas!$G$7:$G$320,$A63)*SUMIFS(Mercado!H$9:H$160,Mercado!$A$9:$A$160,$A63)</f>
        <v>0</v>
      </c>
      <c r="AA63" s="51">
        <f>SUMIFS(Tarifas!$AW$7:$AW$320,Tarifas!$G$7:$G$320,$A63)*SUMIFS(Mercado!I$9:I$160,Mercado!$A$9:$A$160,$A63)</f>
        <v>0</v>
      </c>
      <c r="AB63" s="51">
        <f>SUMIFS(Tarifas!$AW$7:$AW$320,Tarifas!$G$7:$G$320,$A63)*SUMIFS(Mercado!J$9:J$160,Mercado!$A$9:$A$160,$A63)</f>
        <v>0</v>
      </c>
      <c r="AC63" s="51">
        <f>SUMIFS(Tarifas!$AW$7:$AW$320,Tarifas!$G$7:$G$320,$A63)*SUMIFS(Mercado!K$9:K$160,Mercado!$A$9:$A$160,$A63)</f>
        <v>0</v>
      </c>
      <c r="AE63" s="55">
        <f t="shared" si="11"/>
        <v>0</v>
      </c>
      <c r="AF63" s="55">
        <f t="shared" si="5"/>
        <v>0</v>
      </c>
      <c r="AG63" s="55">
        <f t="shared" si="6"/>
        <v>0</v>
      </c>
      <c r="AH63" s="55">
        <f t="shared" si="7"/>
        <v>0</v>
      </c>
      <c r="AI63" s="55">
        <f t="shared" si="8"/>
        <v>0</v>
      </c>
      <c r="AJ63" s="55">
        <f t="shared" si="9"/>
        <v>0</v>
      </c>
    </row>
    <row r="64" spans="1:36">
      <c r="A64" s="192" t="str">
        <f>Usuarios!A70</f>
        <v>11 1</v>
      </c>
      <c r="B64" s="50" t="str">
        <f>Usuarios!B70</f>
        <v>Vidreiras</v>
      </c>
      <c r="C64" s="50">
        <f>Usuarios!C70</f>
        <v>1</v>
      </c>
      <c r="D64" s="51">
        <f>Usuarios!D70</f>
        <v>0</v>
      </c>
      <c r="E64" s="51">
        <f>Usuarios!E70</f>
        <v>200</v>
      </c>
      <c r="F64" s="51"/>
      <c r="G64" s="51">
        <f>SUMIFS(Tarifas!$K$7:$K$320,Tarifas!$G$7:$G$320,$A64)*SUMIFS(Mercado!G$9:G$160,Mercado!$A$9:$A$160,$A64)</f>
        <v>15.279374271162453</v>
      </c>
      <c r="H64" s="51">
        <f>SUMIFS(Tarifas!$K$7:$K$320,Tarifas!$G$7:$G$320,$A64)*SUMIFS(Mercado!H$9:H$160,Mercado!$A$9:$A$160,$A64)</f>
        <v>15.279374271162453</v>
      </c>
      <c r="I64" s="51">
        <f>SUMIFS(Tarifas!$K$7:$K$320,Tarifas!$G$7:$G$320,$A64)*SUMIFS(Mercado!I$9:I$160,Mercado!$A$9:$A$160,$A64)</f>
        <v>15.279374271162453</v>
      </c>
      <c r="J64" s="51">
        <f>SUMIFS(Tarifas!$K$7:$K$320,Tarifas!$G$7:$G$320,$A64)*SUMIFS(Mercado!J$9:J$160,Mercado!$A$9:$A$160,$A64)</f>
        <v>15.279374271162453</v>
      </c>
      <c r="K64" s="51">
        <f>SUMIFS(Tarifas!$K$7:$K$320,Tarifas!$G$7:$G$320,$A64)*SUMIFS(Mercado!K$9:K$160,Mercado!$A$9:$A$160,$A64)</f>
        <v>15.279374271162453</v>
      </c>
      <c r="M64" s="55">
        <f t="shared" si="10"/>
        <v>0</v>
      </c>
      <c r="N64" s="55">
        <f t="shared" si="0"/>
        <v>15.279374271162453</v>
      </c>
      <c r="O64" s="55">
        <f t="shared" si="1"/>
        <v>15.279374271162453</v>
      </c>
      <c r="P64" s="55">
        <f t="shared" si="2"/>
        <v>15.279374271162453</v>
      </c>
      <c r="Q64" s="55">
        <f t="shared" si="3"/>
        <v>15.279374271162453</v>
      </c>
      <c r="R64" s="55">
        <f t="shared" si="4"/>
        <v>15.279374271162453</v>
      </c>
      <c r="T64" s="51">
        <f>NPV(Inputs!$C$6,'Vendas Vigente'!N64:Q64)+((R64*Inputs!$C$11)/(1+Inputs!$C$6)^(4.55))</f>
        <v>55.29180167465482</v>
      </c>
      <c r="X64" s="51"/>
      <c r="Y64" s="51">
        <f>SUMIFS(Tarifas!$AW$7:$AW$320,Tarifas!$G$7:$G$320,$A64)*SUMIFS(Mercado!G$9:G$160,Mercado!$A$9:$A$160,$A64)</f>
        <v>22.678546692489689</v>
      </c>
      <c r="Z64" s="51">
        <f>SUMIFS(Tarifas!$AW$7:$AW$320,Tarifas!$G$7:$G$320,$A64)*SUMIFS(Mercado!H$9:H$160,Mercado!$A$9:$A$160,$A64)</f>
        <v>22.678546692489689</v>
      </c>
      <c r="AA64" s="51">
        <f>SUMIFS(Tarifas!$AW$7:$AW$320,Tarifas!$G$7:$G$320,$A64)*SUMIFS(Mercado!I$9:I$160,Mercado!$A$9:$A$160,$A64)</f>
        <v>22.678546692489689</v>
      </c>
      <c r="AB64" s="51">
        <f>SUMIFS(Tarifas!$AW$7:$AW$320,Tarifas!$G$7:$G$320,$A64)*SUMIFS(Mercado!J$9:J$160,Mercado!$A$9:$A$160,$A64)</f>
        <v>22.678546692489689</v>
      </c>
      <c r="AC64" s="51">
        <f>SUMIFS(Tarifas!$AW$7:$AW$320,Tarifas!$G$7:$G$320,$A64)*SUMIFS(Mercado!K$9:K$160,Mercado!$A$9:$A$160,$A64)</f>
        <v>22.678546692489689</v>
      </c>
      <c r="AE64" s="55">
        <f t="shared" si="11"/>
        <v>0</v>
      </c>
      <c r="AF64" s="55">
        <f t="shared" si="5"/>
        <v>22.678546692489689</v>
      </c>
      <c r="AG64" s="55">
        <f t="shared" si="6"/>
        <v>22.678546692489689</v>
      </c>
      <c r="AH64" s="55">
        <f t="shared" si="7"/>
        <v>22.678546692489689</v>
      </c>
      <c r="AI64" s="55">
        <f t="shared" si="8"/>
        <v>22.678546692489689</v>
      </c>
      <c r="AJ64" s="55">
        <f t="shared" si="9"/>
        <v>22.678546692489689</v>
      </c>
    </row>
    <row r="65" spans="1:36">
      <c r="A65" s="192" t="str">
        <f>Usuarios!A71</f>
        <v>11 2</v>
      </c>
      <c r="B65" s="50" t="str">
        <f>Usuarios!B71</f>
        <v>Vidreiras</v>
      </c>
      <c r="C65" s="50">
        <f>Usuarios!C71</f>
        <v>2</v>
      </c>
      <c r="D65" s="51">
        <f>Usuarios!D71</f>
        <v>201</v>
      </c>
      <c r="E65" s="51">
        <f>Usuarios!E71</f>
        <v>2000</v>
      </c>
      <c r="F65" s="51"/>
      <c r="G65" s="51">
        <f>SUMIFS(Tarifas!$K$7:$K$320,Tarifas!$G$7:$G$320,$A65)*SUMIFS(Mercado!G$9:G$160,Mercado!$A$9:$A$160,$A65)</f>
        <v>61.640603591796818</v>
      </c>
      <c r="H65" s="51">
        <f>SUMIFS(Tarifas!$K$7:$K$320,Tarifas!$G$7:$G$320,$A65)*SUMIFS(Mercado!H$9:H$160,Mercado!$A$9:$A$160,$A65)</f>
        <v>61.640603591796818</v>
      </c>
      <c r="I65" s="51">
        <f>SUMIFS(Tarifas!$K$7:$K$320,Tarifas!$G$7:$G$320,$A65)*SUMIFS(Mercado!I$9:I$160,Mercado!$A$9:$A$160,$A65)</f>
        <v>61.640603591796818</v>
      </c>
      <c r="J65" s="51">
        <f>SUMIFS(Tarifas!$K$7:$K$320,Tarifas!$G$7:$G$320,$A65)*SUMIFS(Mercado!J$9:J$160,Mercado!$A$9:$A$160,$A65)</f>
        <v>61.640603591796818</v>
      </c>
      <c r="K65" s="51">
        <f>SUMIFS(Tarifas!$K$7:$K$320,Tarifas!$G$7:$G$320,$A65)*SUMIFS(Mercado!K$9:K$160,Mercado!$A$9:$A$160,$A65)</f>
        <v>61.640603591796818</v>
      </c>
      <c r="M65" s="55">
        <f t="shared" si="10"/>
        <v>0</v>
      </c>
      <c r="N65" s="55">
        <f t="shared" si="0"/>
        <v>61.640603591796818</v>
      </c>
      <c r="O65" s="55">
        <f t="shared" si="1"/>
        <v>61.640603591796818</v>
      </c>
      <c r="P65" s="55">
        <f t="shared" si="2"/>
        <v>61.640603591796818</v>
      </c>
      <c r="Q65" s="55">
        <f t="shared" si="3"/>
        <v>61.640603591796818</v>
      </c>
      <c r="R65" s="55">
        <f t="shared" si="4"/>
        <v>61.640603591796818</v>
      </c>
      <c r="T65" s="51">
        <f>NPV(Inputs!$C$6,'Vendas Vigente'!N65:Q65)+((R65*Inputs!$C$11)/(1+Inputs!$C$6)^(4.55))</f>
        <v>223.06018351393837</v>
      </c>
      <c r="X65" s="51"/>
      <c r="Y65" s="51">
        <f>SUMIFS(Tarifas!$AW$7:$AW$320,Tarifas!$G$7:$G$320,$A65)*SUMIFS(Mercado!G$9:G$160,Mercado!$A$9:$A$160,$A65)</f>
        <v>198.37985447667194</v>
      </c>
      <c r="Z65" s="51">
        <f>SUMIFS(Tarifas!$AW$7:$AW$320,Tarifas!$G$7:$G$320,$A65)*SUMIFS(Mercado!H$9:H$160,Mercado!$A$9:$A$160,$A65)</f>
        <v>198.37985447667194</v>
      </c>
      <c r="AA65" s="51">
        <f>SUMIFS(Tarifas!$AW$7:$AW$320,Tarifas!$G$7:$G$320,$A65)*SUMIFS(Mercado!I$9:I$160,Mercado!$A$9:$A$160,$A65)</f>
        <v>198.37985447667194</v>
      </c>
      <c r="AB65" s="51">
        <f>SUMIFS(Tarifas!$AW$7:$AW$320,Tarifas!$G$7:$G$320,$A65)*SUMIFS(Mercado!J$9:J$160,Mercado!$A$9:$A$160,$A65)</f>
        <v>198.37985447667194</v>
      </c>
      <c r="AC65" s="51">
        <f>SUMIFS(Tarifas!$AW$7:$AW$320,Tarifas!$G$7:$G$320,$A65)*SUMIFS(Mercado!K$9:K$160,Mercado!$A$9:$A$160,$A65)</f>
        <v>198.37985447667194</v>
      </c>
      <c r="AE65" s="55">
        <f t="shared" si="11"/>
        <v>0</v>
      </c>
      <c r="AF65" s="55">
        <f t="shared" si="5"/>
        <v>198.37985447667194</v>
      </c>
      <c r="AG65" s="55">
        <f t="shared" si="6"/>
        <v>198.37985447667194</v>
      </c>
      <c r="AH65" s="55">
        <f t="shared" si="7"/>
        <v>198.37985447667194</v>
      </c>
      <c r="AI65" s="55">
        <f t="shared" si="8"/>
        <v>198.37985447667194</v>
      </c>
      <c r="AJ65" s="55">
        <f t="shared" si="9"/>
        <v>198.37985447667194</v>
      </c>
    </row>
    <row r="66" spans="1:36">
      <c r="A66" s="192" t="str">
        <f>Usuarios!A72</f>
        <v>11 3</v>
      </c>
      <c r="B66" s="50" t="str">
        <f>Usuarios!B72</f>
        <v>Vidreiras</v>
      </c>
      <c r="C66" s="50">
        <f>Usuarios!C72</f>
        <v>3</v>
      </c>
      <c r="D66" s="51">
        <f>Usuarios!D72</f>
        <v>2001</v>
      </c>
      <c r="E66" s="51">
        <f>Usuarios!E72</f>
        <v>10000</v>
      </c>
      <c r="F66" s="51"/>
      <c r="G66" s="51">
        <f>SUMIFS(Tarifas!$K$7:$K$320,Tarifas!$G$7:$G$320,$A66)*SUMIFS(Mercado!G$9:G$160,Mercado!$A$9:$A$160,$A66)</f>
        <v>220.77900978242414</v>
      </c>
      <c r="H66" s="51">
        <f>SUMIFS(Tarifas!$K$7:$K$320,Tarifas!$G$7:$G$320,$A66)*SUMIFS(Mercado!H$9:H$160,Mercado!$A$9:$A$160,$A66)</f>
        <v>220.77900978242414</v>
      </c>
      <c r="I66" s="51">
        <f>SUMIFS(Tarifas!$K$7:$K$320,Tarifas!$G$7:$G$320,$A66)*SUMIFS(Mercado!I$9:I$160,Mercado!$A$9:$A$160,$A66)</f>
        <v>220.77900978242414</v>
      </c>
      <c r="J66" s="51">
        <f>SUMIFS(Tarifas!$K$7:$K$320,Tarifas!$G$7:$G$320,$A66)*SUMIFS(Mercado!J$9:J$160,Mercado!$A$9:$A$160,$A66)</f>
        <v>220.77900978242414</v>
      </c>
      <c r="K66" s="51">
        <f>SUMIFS(Tarifas!$K$7:$K$320,Tarifas!$G$7:$G$320,$A66)*SUMIFS(Mercado!K$9:K$160,Mercado!$A$9:$A$160,$A66)</f>
        <v>220.77900978242414</v>
      </c>
      <c r="M66" s="55">
        <f t="shared" si="10"/>
        <v>0</v>
      </c>
      <c r="N66" s="55">
        <f t="shared" si="0"/>
        <v>220.77900978242414</v>
      </c>
      <c r="O66" s="55">
        <f t="shared" si="1"/>
        <v>220.77900978242414</v>
      </c>
      <c r="P66" s="55">
        <f t="shared" si="2"/>
        <v>220.77900978242414</v>
      </c>
      <c r="Q66" s="55">
        <f t="shared" si="3"/>
        <v>220.77900978242414</v>
      </c>
      <c r="R66" s="55">
        <f t="shared" si="4"/>
        <v>220.77900978242414</v>
      </c>
      <c r="T66" s="51">
        <f>NPV(Inputs!$C$6,'Vendas Vigente'!N66:Q66)+((R66*Inputs!$C$11)/(1+Inputs!$C$6)^(4.55))</f>
        <v>798.93777102219929</v>
      </c>
      <c r="X66" s="51"/>
      <c r="Y66" s="51">
        <f>SUMIFS(Tarifas!$AW$7:$AW$320,Tarifas!$G$7:$G$320,$A66)*SUMIFS(Mercado!G$9:G$160,Mercado!$A$9:$A$160,$A66)</f>
        <v>866.39142287239474</v>
      </c>
      <c r="Z66" s="51">
        <f>SUMIFS(Tarifas!$AW$7:$AW$320,Tarifas!$G$7:$G$320,$A66)*SUMIFS(Mercado!H$9:H$160,Mercado!$A$9:$A$160,$A66)</f>
        <v>866.39142287239474</v>
      </c>
      <c r="AA66" s="51">
        <f>SUMIFS(Tarifas!$AW$7:$AW$320,Tarifas!$G$7:$G$320,$A66)*SUMIFS(Mercado!I$9:I$160,Mercado!$A$9:$A$160,$A66)</f>
        <v>866.39142287239474</v>
      </c>
      <c r="AB66" s="51">
        <f>SUMIFS(Tarifas!$AW$7:$AW$320,Tarifas!$G$7:$G$320,$A66)*SUMIFS(Mercado!J$9:J$160,Mercado!$A$9:$A$160,$A66)</f>
        <v>866.39142287239474</v>
      </c>
      <c r="AC66" s="51">
        <f>SUMIFS(Tarifas!$AW$7:$AW$320,Tarifas!$G$7:$G$320,$A66)*SUMIFS(Mercado!K$9:K$160,Mercado!$A$9:$A$160,$A66)</f>
        <v>866.39142287239474</v>
      </c>
      <c r="AE66" s="55">
        <f t="shared" si="11"/>
        <v>0</v>
      </c>
      <c r="AF66" s="55">
        <f t="shared" si="5"/>
        <v>866.39142287239474</v>
      </c>
      <c r="AG66" s="55">
        <f t="shared" si="6"/>
        <v>866.39142287239474</v>
      </c>
      <c r="AH66" s="55">
        <f t="shared" si="7"/>
        <v>866.39142287239474</v>
      </c>
      <c r="AI66" s="55">
        <f t="shared" si="8"/>
        <v>866.39142287239474</v>
      </c>
      <c r="AJ66" s="55">
        <f t="shared" si="9"/>
        <v>866.39142287239474</v>
      </c>
    </row>
    <row r="67" spans="1:36">
      <c r="A67" s="192" t="str">
        <f>Usuarios!A73</f>
        <v>11 4</v>
      </c>
      <c r="B67" s="50" t="str">
        <f>Usuarios!B73</f>
        <v>Vidreiras</v>
      </c>
      <c r="C67" s="50">
        <f>Usuarios!C73</f>
        <v>4</v>
      </c>
      <c r="D67" s="51">
        <f>Usuarios!D73</f>
        <v>10001</v>
      </c>
      <c r="E67" s="51">
        <f>Usuarios!E73</f>
        <v>50000</v>
      </c>
      <c r="F67" s="51"/>
      <c r="G67" s="51">
        <f>SUMIFS(Tarifas!$K$7:$K$320,Tarifas!$G$7:$G$320,$A67)*SUMIFS(Mercado!G$9:G$160,Mercado!$A$9:$A$160,$A67)</f>
        <v>737.7808186497823</v>
      </c>
      <c r="H67" s="51">
        <f>SUMIFS(Tarifas!$K$7:$K$320,Tarifas!$G$7:$G$320,$A67)*SUMIFS(Mercado!H$9:H$160,Mercado!$A$9:$A$160,$A67)</f>
        <v>737.7808186497823</v>
      </c>
      <c r="I67" s="51">
        <f>SUMIFS(Tarifas!$K$7:$K$320,Tarifas!$G$7:$G$320,$A67)*SUMIFS(Mercado!I$9:I$160,Mercado!$A$9:$A$160,$A67)</f>
        <v>737.7808186497823</v>
      </c>
      <c r="J67" s="51">
        <f>SUMIFS(Tarifas!$K$7:$K$320,Tarifas!$G$7:$G$320,$A67)*SUMIFS(Mercado!J$9:J$160,Mercado!$A$9:$A$160,$A67)</f>
        <v>737.7808186497823</v>
      </c>
      <c r="K67" s="51">
        <f>SUMIFS(Tarifas!$K$7:$K$320,Tarifas!$G$7:$G$320,$A67)*SUMIFS(Mercado!K$9:K$160,Mercado!$A$9:$A$160,$A67)</f>
        <v>737.7808186497823</v>
      </c>
      <c r="M67" s="55">
        <f t="shared" si="10"/>
        <v>0</v>
      </c>
      <c r="N67" s="55">
        <f t="shared" ref="N67:N130" si="12">G67</f>
        <v>737.7808186497823</v>
      </c>
      <c r="O67" s="55">
        <f t="shared" ref="O67:O130" si="13">H67</f>
        <v>737.7808186497823</v>
      </c>
      <c r="P67" s="55">
        <f t="shared" ref="P67:P130" si="14">I67</f>
        <v>737.7808186497823</v>
      </c>
      <c r="Q67" s="55">
        <f t="shared" ref="Q67:Q130" si="15">J67</f>
        <v>737.7808186497823</v>
      </c>
      <c r="R67" s="55">
        <f t="shared" ref="R67:R130" si="16">K67</f>
        <v>737.7808186497823</v>
      </c>
      <c r="T67" s="51">
        <f>NPV(Inputs!$C$6,'Vendas Vigente'!N67:Q67)+((R67*Inputs!$C$11)/(1+Inputs!$C$6)^(4.55))</f>
        <v>2669.82338282919</v>
      </c>
      <c r="X67" s="51"/>
      <c r="Y67" s="51">
        <f>SUMIFS(Tarifas!$AW$7:$AW$320,Tarifas!$G$7:$G$320,$A67)*SUMIFS(Mercado!G$9:G$160,Mercado!$A$9:$A$160,$A67)</f>
        <v>3804.8417491998653</v>
      </c>
      <c r="Z67" s="51">
        <f>SUMIFS(Tarifas!$AW$7:$AW$320,Tarifas!$G$7:$G$320,$A67)*SUMIFS(Mercado!H$9:H$160,Mercado!$A$9:$A$160,$A67)</f>
        <v>3804.8417491998653</v>
      </c>
      <c r="AA67" s="51">
        <f>SUMIFS(Tarifas!$AW$7:$AW$320,Tarifas!$G$7:$G$320,$A67)*SUMIFS(Mercado!I$9:I$160,Mercado!$A$9:$A$160,$A67)</f>
        <v>3804.8417491998653</v>
      </c>
      <c r="AB67" s="51">
        <f>SUMIFS(Tarifas!$AW$7:$AW$320,Tarifas!$G$7:$G$320,$A67)*SUMIFS(Mercado!J$9:J$160,Mercado!$A$9:$A$160,$A67)</f>
        <v>3804.8417491998653</v>
      </c>
      <c r="AC67" s="51">
        <f>SUMIFS(Tarifas!$AW$7:$AW$320,Tarifas!$G$7:$G$320,$A67)*SUMIFS(Mercado!K$9:K$160,Mercado!$A$9:$A$160,$A67)</f>
        <v>3804.8417491998653</v>
      </c>
      <c r="AE67" s="55">
        <f t="shared" si="11"/>
        <v>0</v>
      </c>
      <c r="AF67" s="55">
        <f t="shared" ref="AF67:AF130" si="17">Y67</f>
        <v>3804.8417491998653</v>
      </c>
      <c r="AG67" s="55">
        <f t="shared" ref="AG67:AG130" si="18">Z67</f>
        <v>3804.8417491998653</v>
      </c>
      <c r="AH67" s="55">
        <f t="shared" ref="AH67:AH130" si="19">AA67</f>
        <v>3804.8417491998653</v>
      </c>
      <c r="AI67" s="55">
        <f t="shared" ref="AI67:AI130" si="20">AB67</f>
        <v>3804.8417491998653</v>
      </c>
      <c r="AJ67" s="55">
        <f t="shared" ref="AJ67:AJ130" si="21">AC67</f>
        <v>3804.8417491998653</v>
      </c>
    </row>
    <row r="68" spans="1:36">
      <c r="A68" s="192" t="str">
        <f>Usuarios!A74</f>
        <v>11 5</v>
      </c>
      <c r="B68" s="50" t="str">
        <f>Usuarios!B74</f>
        <v>Vidreiras</v>
      </c>
      <c r="C68" s="50">
        <f>Usuarios!C74</f>
        <v>5</v>
      </c>
      <c r="D68" s="51">
        <f>Usuarios!D74</f>
        <v>50001</v>
      </c>
      <c r="E68" s="51">
        <f>Usuarios!E74</f>
        <v>100000</v>
      </c>
      <c r="F68" s="51"/>
      <c r="G68" s="51">
        <f>SUMIFS(Tarifas!$K$7:$K$320,Tarifas!$G$7:$G$320,$A68)*SUMIFS(Mercado!G$9:G$160,Mercado!$A$9:$A$160,$A68)</f>
        <v>744.06441842334391</v>
      </c>
      <c r="H68" s="51">
        <f>SUMIFS(Tarifas!$K$7:$K$320,Tarifas!$G$7:$G$320,$A68)*SUMIFS(Mercado!H$9:H$160,Mercado!$A$9:$A$160,$A68)</f>
        <v>744.06441842334391</v>
      </c>
      <c r="I68" s="51">
        <f>SUMIFS(Tarifas!$K$7:$K$320,Tarifas!$G$7:$G$320,$A68)*SUMIFS(Mercado!I$9:I$160,Mercado!$A$9:$A$160,$A68)</f>
        <v>744.06441842334391</v>
      </c>
      <c r="J68" s="51">
        <f>SUMIFS(Tarifas!$K$7:$K$320,Tarifas!$G$7:$G$320,$A68)*SUMIFS(Mercado!J$9:J$160,Mercado!$A$9:$A$160,$A68)</f>
        <v>744.06441842334391</v>
      </c>
      <c r="K68" s="51">
        <f>SUMIFS(Tarifas!$K$7:$K$320,Tarifas!$G$7:$G$320,$A68)*SUMIFS(Mercado!K$9:K$160,Mercado!$A$9:$A$160,$A68)</f>
        <v>744.06441842334391</v>
      </c>
      <c r="M68" s="55">
        <f t="shared" ref="M68:M131" si="22">F68</f>
        <v>0</v>
      </c>
      <c r="N68" s="55">
        <f t="shared" si="12"/>
        <v>744.06441842334391</v>
      </c>
      <c r="O68" s="55">
        <f t="shared" si="13"/>
        <v>744.06441842334391</v>
      </c>
      <c r="P68" s="55">
        <f t="shared" si="14"/>
        <v>744.06441842334391</v>
      </c>
      <c r="Q68" s="55">
        <f t="shared" si="15"/>
        <v>744.06441842334391</v>
      </c>
      <c r="R68" s="55">
        <f t="shared" si="16"/>
        <v>744.06441842334391</v>
      </c>
      <c r="T68" s="51">
        <f>NPV(Inputs!$C$6,'Vendas Vigente'!N68:Q68)+((R68*Inputs!$C$11)/(1+Inputs!$C$6)^(4.55))</f>
        <v>2692.5619810411863</v>
      </c>
      <c r="X68" s="51"/>
      <c r="Y68" s="51">
        <f>SUMIFS(Tarifas!$AW$7:$AW$320,Tarifas!$G$7:$G$320,$A68)*SUMIFS(Mercado!G$9:G$160,Mercado!$A$9:$A$160,$A68)</f>
        <v>4471.1071214284784</v>
      </c>
      <c r="Z68" s="51">
        <f>SUMIFS(Tarifas!$AW$7:$AW$320,Tarifas!$G$7:$G$320,$A68)*SUMIFS(Mercado!H$9:H$160,Mercado!$A$9:$A$160,$A68)</f>
        <v>4471.1071214284784</v>
      </c>
      <c r="AA68" s="51">
        <f>SUMIFS(Tarifas!$AW$7:$AW$320,Tarifas!$G$7:$G$320,$A68)*SUMIFS(Mercado!I$9:I$160,Mercado!$A$9:$A$160,$A68)</f>
        <v>4471.1071214284784</v>
      </c>
      <c r="AB68" s="51">
        <f>SUMIFS(Tarifas!$AW$7:$AW$320,Tarifas!$G$7:$G$320,$A68)*SUMIFS(Mercado!J$9:J$160,Mercado!$A$9:$A$160,$A68)</f>
        <v>4471.1071214284784</v>
      </c>
      <c r="AC68" s="51">
        <f>SUMIFS(Tarifas!$AW$7:$AW$320,Tarifas!$G$7:$G$320,$A68)*SUMIFS(Mercado!K$9:K$160,Mercado!$A$9:$A$160,$A68)</f>
        <v>4471.1071214284784</v>
      </c>
      <c r="AE68" s="55">
        <f t="shared" ref="AE68:AE131" si="23">X68</f>
        <v>0</v>
      </c>
      <c r="AF68" s="55">
        <f t="shared" si="17"/>
        <v>4471.1071214284784</v>
      </c>
      <c r="AG68" s="55">
        <f t="shared" si="18"/>
        <v>4471.1071214284784</v>
      </c>
      <c r="AH68" s="55">
        <f t="shared" si="19"/>
        <v>4471.1071214284784</v>
      </c>
      <c r="AI68" s="55">
        <f t="shared" si="20"/>
        <v>4471.1071214284784</v>
      </c>
      <c r="AJ68" s="55">
        <f t="shared" si="21"/>
        <v>4471.1071214284784</v>
      </c>
    </row>
    <row r="69" spans="1:36">
      <c r="A69" s="192" t="str">
        <f>Usuarios!A75</f>
        <v>11 6</v>
      </c>
      <c r="B69" s="50" t="str">
        <f>Usuarios!B75</f>
        <v>Vidreiras</v>
      </c>
      <c r="C69" s="50">
        <f>Usuarios!C75</f>
        <v>6</v>
      </c>
      <c r="D69" s="51">
        <f>Usuarios!D75</f>
        <v>100001</v>
      </c>
      <c r="E69" s="51">
        <f>Usuarios!E75</f>
        <v>300000</v>
      </c>
      <c r="F69" s="51"/>
      <c r="G69" s="51">
        <f>SUMIFS(Tarifas!$K$7:$K$320,Tarifas!$G$7:$G$320,$A69)*SUMIFS(Mercado!G$9:G$160,Mercado!$A$9:$A$160,$A69)</f>
        <v>2211.1593586847807</v>
      </c>
      <c r="H69" s="51">
        <f>SUMIFS(Tarifas!$K$7:$K$320,Tarifas!$G$7:$G$320,$A69)*SUMIFS(Mercado!H$9:H$160,Mercado!$A$9:$A$160,$A69)</f>
        <v>2211.1593586847807</v>
      </c>
      <c r="I69" s="51">
        <f>SUMIFS(Tarifas!$K$7:$K$320,Tarifas!$G$7:$G$320,$A69)*SUMIFS(Mercado!I$9:I$160,Mercado!$A$9:$A$160,$A69)</f>
        <v>2211.1593586847807</v>
      </c>
      <c r="J69" s="51">
        <f>SUMIFS(Tarifas!$K$7:$K$320,Tarifas!$G$7:$G$320,$A69)*SUMIFS(Mercado!J$9:J$160,Mercado!$A$9:$A$160,$A69)</f>
        <v>2211.1593586847807</v>
      </c>
      <c r="K69" s="51">
        <f>SUMIFS(Tarifas!$K$7:$K$320,Tarifas!$G$7:$G$320,$A69)*SUMIFS(Mercado!K$9:K$160,Mercado!$A$9:$A$160,$A69)</f>
        <v>2211.1593586847807</v>
      </c>
      <c r="M69" s="55">
        <f t="shared" si="22"/>
        <v>0</v>
      </c>
      <c r="N69" s="55">
        <f t="shared" si="12"/>
        <v>2211.1593586847807</v>
      </c>
      <c r="O69" s="55">
        <f t="shared" si="13"/>
        <v>2211.1593586847807</v>
      </c>
      <c r="P69" s="55">
        <f t="shared" si="14"/>
        <v>2211.1593586847807</v>
      </c>
      <c r="Q69" s="55">
        <f t="shared" si="15"/>
        <v>2211.1593586847807</v>
      </c>
      <c r="R69" s="55">
        <f t="shared" si="16"/>
        <v>2211.1593586847807</v>
      </c>
      <c r="T69" s="51">
        <f>NPV(Inputs!$C$6,'Vendas Vigente'!N69:Q69)+((R69*Inputs!$C$11)/(1+Inputs!$C$6)^(4.55))</f>
        <v>8001.5701272663691</v>
      </c>
      <c r="X69" s="51"/>
      <c r="Y69" s="51">
        <f>SUMIFS(Tarifas!$AW$7:$AW$320,Tarifas!$G$7:$G$320,$A69)*SUMIFS(Mercado!G$9:G$160,Mercado!$A$9:$A$160,$A69)</f>
        <v>16664.115488890966</v>
      </c>
      <c r="Z69" s="51">
        <f>SUMIFS(Tarifas!$AW$7:$AW$320,Tarifas!$G$7:$G$320,$A69)*SUMIFS(Mercado!H$9:H$160,Mercado!$A$9:$A$160,$A69)</f>
        <v>16664.115488890966</v>
      </c>
      <c r="AA69" s="51">
        <f>SUMIFS(Tarifas!$AW$7:$AW$320,Tarifas!$G$7:$G$320,$A69)*SUMIFS(Mercado!I$9:I$160,Mercado!$A$9:$A$160,$A69)</f>
        <v>16664.115488890966</v>
      </c>
      <c r="AB69" s="51">
        <f>SUMIFS(Tarifas!$AW$7:$AW$320,Tarifas!$G$7:$G$320,$A69)*SUMIFS(Mercado!J$9:J$160,Mercado!$A$9:$A$160,$A69)</f>
        <v>16664.115488890966</v>
      </c>
      <c r="AC69" s="51">
        <f>SUMIFS(Tarifas!$AW$7:$AW$320,Tarifas!$G$7:$G$320,$A69)*SUMIFS(Mercado!K$9:K$160,Mercado!$A$9:$A$160,$A69)</f>
        <v>16664.115488890966</v>
      </c>
      <c r="AE69" s="55">
        <f t="shared" si="23"/>
        <v>0</v>
      </c>
      <c r="AF69" s="55">
        <f t="shared" si="17"/>
        <v>16664.115488890966</v>
      </c>
      <c r="AG69" s="55">
        <f t="shared" si="18"/>
        <v>16664.115488890966</v>
      </c>
      <c r="AH69" s="55">
        <f t="shared" si="19"/>
        <v>16664.115488890966</v>
      </c>
      <c r="AI69" s="55">
        <f t="shared" si="20"/>
        <v>16664.115488890966</v>
      </c>
      <c r="AJ69" s="55">
        <f t="shared" si="21"/>
        <v>16664.115488890966</v>
      </c>
    </row>
    <row r="70" spans="1:36">
      <c r="A70" s="192" t="str">
        <f>Usuarios!A76</f>
        <v>11 7</v>
      </c>
      <c r="B70" s="50" t="str">
        <f>Usuarios!B76</f>
        <v>Vidreiras</v>
      </c>
      <c r="C70" s="50">
        <f>Usuarios!C76</f>
        <v>7</v>
      </c>
      <c r="D70" s="51">
        <f>Usuarios!D76</f>
        <v>300001</v>
      </c>
      <c r="E70" s="51">
        <f>Usuarios!E76</f>
        <v>600000</v>
      </c>
      <c r="F70" s="51"/>
      <c r="G70" s="51">
        <f>SUMIFS(Tarifas!$K$7:$K$320,Tarifas!$G$7:$G$320,$A70)*SUMIFS(Mercado!G$9:G$160,Mercado!$A$9:$A$160,$A70)</f>
        <v>1958.7594647475219</v>
      </c>
      <c r="H70" s="51">
        <f>SUMIFS(Tarifas!$K$7:$K$320,Tarifas!$G$7:$G$320,$A70)*SUMIFS(Mercado!H$9:H$160,Mercado!$A$9:$A$160,$A70)</f>
        <v>1958.7594647475219</v>
      </c>
      <c r="I70" s="51">
        <f>SUMIFS(Tarifas!$K$7:$K$320,Tarifas!$G$7:$G$320,$A70)*SUMIFS(Mercado!I$9:I$160,Mercado!$A$9:$A$160,$A70)</f>
        <v>1958.7594647475219</v>
      </c>
      <c r="J70" s="51">
        <f>SUMIFS(Tarifas!$K$7:$K$320,Tarifas!$G$7:$G$320,$A70)*SUMIFS(Mercado!J$9:J$160,Mercado!$A$9:$A$160,$A70)</f>
        <v>1958.7594647475219</v>
      </c>
      <c r="K70" s="51">
        <f>SUMIFS(Tarifas!$K$7:$K$320,Tarifas!$G$7:$G$320,$A70)*SUMIFS(Mercado!K$9:K$160,Mercado!$A$9:$A$160,$A70)</f>
        <v>1958.7594647475219</v>
      </c>
      <c r="M70" s="55">
        <f t="shared" si="22"/>
        <v>0</v>
      </c>
      <c r="N70" s="55">
        <f t="shared" si="12"/>
        <v>1958.7594647475219</v>
      </c>
      <c r="O70" s="55">
        <f t="shared" si="13"/>
        <v>1958.7594647475219</v>
      </c>
      <c r="P70" s="55">
        <f t="shared" si="14"/>
        <v>1958.7594647475219</v>
      </c>
      <c r="Q70" s="55">
        <f t="shared" si="15"/>
        <v>1958.7594647475219</v>
      </c>
      <c r="R70" s="55">
        <f t="shared" si="16"/>
        <v>1958.7594647475219</v>
      </c>
      <c r="T70" s="51">
        <f>NPV(Inputs!$C$6,'Vendas Vigente'!N70:Q70)+((R70*Inputs!$C$11)/(1+Inputs!$C$6)^(4.55))</f>
        <v>7088.2051798141674</v>
      </c>
      <c r="X70" s="51"/>
      <c r="Y70" s="51">
        <f>SUMIFS(Tarifas!$AW$7:$AW$320,Tarifas!$G$7:$G$320,$A70)*SUMIFS(Mercado!G$9:G$160,Mercado!$A$9:$A$160,$A70)</f>
        <v>22834.331330381981</v>
      </c>
      <c r="Z70" s="51">
        <f>SUMIFS(Tarifas!$AW$7:$AW$320,Tarifas!$G$7:$G$320,$A70)*SUMIFS(Mercado!H$9:H$160,Mercado!$A$9:$A$160,$A70)</f>
        <v>22834.331330381981</v>
      </c>
      <c r="AA70" s="51">
        <f>SUMIFS(Tarifas!$AW$7:$AW$320,Tarifas!$G$7:$G$320,$A70)*SUMIFS(Mercado!I$9:I$160,Mercado!$A$9:$A$160,$A70)</f>
        <v>22834.331330381981</v>
      </c>
      <c r="AB70" s="51">
        <f>SUMIFS(Tarifas!$AW$7:$AW$320,Tarifas!$G$7:$G$320,$A70)*SUMIFS(Mercado!J$9:J$160,Mercado!$A$9:$A$160,$A70)</f>
        <v>22834.331330381981</v>
      </c>
      <c r="AC70" s="51">
        <f>SUMIFS(Tarifas!$AW$7:$AW$320,Tarifas!$G$7:$G$320,$A70)*SUMIFS(Mercado!K$9:K$160,Mercado!$A$9:$A$160,$A70)</f>
        <v>22834.331330381981</v>
      </c>
      <c r="AE70" s="55">
        <f t="shared" si="23"/>
        <v>0</v>
      </c>
      <c r="AF70" s="55">
        <f t="shared" si="17"/>
        <v>22834.331330381981</v>
      </c>
      <c r="AG70" s="55">
        <f t="shared" si="18"/>
        <v>22834.331330381981</v>
      </c>
      <c r="AH70" s="55">
        <f t="shared" si="19"/>
        <v>22834.331330381981</v>
      </c>
      <c r="AI70" s="55">
        <f t="shared" si="20"/>
        <v>22834.331330381981</v>
      </c>
      <c r="AJ70" s="55">
        <f t="shared" si="21"/>
        <v>22834.331330381981</v>
      </c>
    </row>
    <row r="71" spans="1:36">
      <c r="A71" s="192" t="str">
        <f>Usuarios!A77</f>
        <v>11 8</v>
      </c>
      <c r="B71" s="50" t="str">
        <f>Usuarios!B77</f>
        <v>Vidreiras</v>
      </c>
      <c r="C71" s="50">
        <f>Usuarios!C77</f>
        <v>8</v>
      </c>
      <c r="D71" s="51">
        <f>Usuarios!D77</f>
        <v>600001</v>
      </c>
      <c r="E71" s="51">
        <f>Usuarios!E77</f>
        <v>1500000</v>
      </c>
      <c r="F71" s="51"/>
      <c r="G71" s="51">
        <f>SUMIFS(Tarifas!$K$7:$K$320,Tarifas!$G$7:$G$320,$A71)*SUMIFS(Mercado!G$9:G$160,Mercado!$A$9:$A$160,$A71)</f>
        <v>4958.9556521981058</v>
      </c>
      <c r="H71" s="51">
        <f>SUMIFS(Tarifas!$K$7:$K$320,Tarifas!$G$7:$G$320,$A71)*SUMIFS(Mercado!H$9:H$160,Mercado!$A$9:$A$160,$A71)</f>
        <v>5574.5612428866762</v>
      </c>
      <c r="I71" s="51">
        <f>SUMIFS(Tarifas!$K$7:$K$320,Tarifas!$G$7:$G$320,$A71)*SUMIFS(Mercado!I$9:I$160,Mercado!$A$9:$A$160,$A71)</f>
        <v>5574.5612428866762</v>
      </c>
      <c r="J71" s="51">
        <f>SUMIFS(Tarifas!$K$7:$K$320,Tarifas!$G$7:$G$320,$A71)*SUMIFS(Mercado!J$9:J$160,Mercado!$A$9:$A$160,$A71)</f>
        <v>5574.5612428866762</v>
      </c>
      <c r="K71" s="51">
        <f>SUMIFS(Tarifas!$K$7:$K$320,Tarifas!$G$7:$G$320,$A71)*SUMIFS(Mercado!K$9:K$160,Mercado!$A$9:$A$160,$A71)</f>
        <v>5574.5612428866762</v>
      </c>
      <c r="M71" s="55">
        <f t="shared" si="22"/>
        <v>0</v>
      </c>
      <c r="N71" s="55">
        <f t="shared" si="12"/>
        <v>4958.9556521981058</v>
      </c>
      <c r="O71" s="55">
        <f t="shared" si="13"/>
        <v>5574.5612428866762</v>
      </c>
      <c r="P71" s="55">
        <f t="shared" si="14"/>
        <v>5574.5612428866762</v>
      </c>
      <c r="Q71" s="55">
        <f t="shared" si="15"/>
        <v>5574.5612428866762</v>
      </c>
      <c r="R71" s="55">
        <f t="shared" si="16"/>
        <v>5574.5612428866762</v>
      </c>
      <c r="T71" s="51">
        <f>NPV(Inputs!$C$6,'Vendas Vigente'!N71:Q71)+((R71*Inputs!$C$11)/(1+Inputs!$C$6)^(4.55))</f>
        <v>19607.594577373726</v>
      </c>
      <c r="X71" s="51"/>
      <c r="Y71" s="51">
        <f>SUMIFS(Tarifas!$AW$7:$AW$320,Tarifas!$G$7:$G$320,$A71)*SUMIFS(Mercado!G$9:G$160,Mercado!$A$9:$A$160,$A71)</f>
        <v>58758.595058905579</v>
      </c>
      <c r="Z71" s="51">
        <f>SUMIFS(Tarifas!$AW$7:$AW$320,Tarifas!$G$7:$G$320,$A71)*SUMIFS(Mercado!H$9:H$160,Mercado!$A$9:$A$160,$A71)</f>
        <v>66052.896955562886</v>
      </c>
      <c r="AA71" s="51">
        <f>SUMIFS(Tarifas!$AW$7:$AW$320,Tarifas!$G$7:$G$320,$A71)*SUMIFS(Mercado!I$9:I$160,Mercado!$A$9:$A$160,$A71)</f>
        <v>66052.896955562886</v>
      </c>
      <c r="AB71" s="51">
        <f>SUMIFS(Tarifas!$AW$7:$AW$320,Tarifas!$G$7:$G$320,$A71)*SUMIFS(Mercado!J$9:J$160,Mercado!$A$9:$A$160,$A71)</f>
        <v>66052.896955562886</v>
      </c>
      <c r="AC71" s="51">
        <f>SUMIFS(Tarifas!$AW$7:$AW$320,Tarifas!$G$7:$G$320,$A71)*SUMIFS(Mercado!K$9:K$160,Mercado!$A$9:$A$160,$A71)</f>
        <v>66052.896955562886</v>
      </c>
      <c r="AE71" s="55">
        <f t="shared" si="23"/>
        <v>0</v>
      </c>
      <c r="AF71" s="55">
        <f t="shared" si="17"/>
        <v>58758.595058905579</v>
      </c>
      <c r="AG71" s="55">
        <f t="shared" si="18"/>
        <v>66052.896955562886</v>
      </c>
      <c r="AH71" s="55">
        <f t="shared" si="19"/>
        <v>66052.896955562886</v>
      </c>
      <c r="AI71" s="55">
        <f t="shared" si="20"/>
        <v>66052.896955562886</v>
      </c>
      <c r="AJ71" s="55">
        <f t="shared" si="21"/>
        <v>66052.896955562886</v>
      </c>
    </row>
    <row r="72" spans="1:36">
      <c r="A72" s="192" t="str">
        <f>Usuarios!A78</f>
        <v>11 9</v>
      </c>
      <c r="B72" s="50" t="str">
        <f>Usuarios!B78</f>
        <v>Vidreiras</v>
      </c>
      <c r="C72" s="50">
        <f>Usuarios!C78</f>
        <v>9</v>
      </c>
      <c r="D72" s="51">
        <f>Usuarios!D78</f>
        <v>1500001</v>
      </c>
      <c r="E72" s="51">
        <f>Usuarios!E78</f>
        <v>3000000</v>
      </c>
      <c r="F72" s="51"/>
      <c r="G72" s="51">
        <f>SUMIFS(Tarifas!$K$7:$K$320,Tarifas!$G$7:$G$320,$A72)*SUMIFS(Mercado!G$9:G$160,Mercado!$A$9:$A$160,$A72)</f>
        <v>0</v>
      </c>
      <c r="H72" s="51">
        <f>SUMIFS(Tarifas!$K$7:$K$320,Tarifas!$G$7:$G$320,$A72)*SUMIFS(Mercado!H$9:H$160,Mercado!$A$9:$A$160,$A72)</f>
        <v>158.81440783212926</v>
      </c>
      <c r="I72" s="51">
        <f>SUMIFS(Tarifas!$K$7:$K$320,Tarifas!$G$7:$G$320,$A72)*SUMIFS(Mercado!I$9:I$160,Mercado!$A$9:$A$160,$A72)</f>
        <v>158.81440783212926</v>
      </c>
      <c r="J72" s="51">
        <f>SUMIFS(Tarifas!$K$7:$K$320,Tarifas!$G$7:$G$320,$A72)*SUMIFS(Mercado!J$9:J$160,Mercado!$A$9:$A$160,$A72)</f>
        <v>158.81440783212926</v>
      </c>
      <c r="K72" s="51">
        <f>SUMIFS(Tarifas!$K$7:$K$320,Tarifas!$G$7:$G$320,$A72)*SUMIFS(Mercado!K$9:K$160,Mercado!$A$9:$A$160,$A72)</f>
        <v>158.81440783212926</v>
      </c>
      <c r="M72" s="55">
        <f t="shared" si="22"/>
        <v>0</v>
      </c>
      <c r="N72" s="55">
        <f t="shared" si="12"/>
        <v>0</v>
      </c>
      <c r="O72" s="55">
        <f t="shared" si="13"/>
        <v>158.81440783212926</v>
      </c>
      <c r="P72" s="55">
        <f t="shared" si="14"/>
        <v>158.81440783212926</v>
      </c>
      <c r="Q72" s="55">
        <f t="shared" si="15"/>
        <v>158.81440783212926</v>
      </c>
      <c r="R72" s="55">
        <f t="shared" si="16"/>
        <v>158.81440783212926</v>
      </c>
      <c r="T72" s="51">
        <f>NPV(Inputs!$C$6,'Vendas Vigente'!N72:Q72)+((R72*Inputs!$C$11)/(1+Inputs!$C$6)^(4.55))</f>
        <v>428.89682079053972</v>
      </c>
      <c r="X72" s="51"/>
      <c r="Y72" s="51">
        <f>SUMIFS(Tarifas!$AW$7:$AW$320,Tarifas!$G$7:$G$320,$A72)*SUMIFS(Mercado!G$9:G$160,Mercado!$A$9:$A$160,$A72)</f>
        <v>0</v>
      </c>
      <c r="Z72" s="51">
        <f>SUMIFS(Tarifas!$AW$7:$AW$320,Tarifas!$G$7:$G$320,$A72)*SUMIFS(Mercado!H$9:H$160,Mercado!$A$9:$A$160,$A72)</f>
        <v>1967.3207101888145</v>
      </c>
      <c r="AA72" s="51">
        <f>SUMIFS(Tarifas!$AW$7:$AW$320,Tarifas!$G$7:$G$320,$A72)*SUMIFS(Mercado!I$9:I$160,Mercado!$A$9:$A$160,$A72)</f>
        <v>1967.3207101888145</v>
      </c>
      <c r="AB72" s="51">
        <f>SUMIFS(Tarifas!$AW$7:$AW$320,Tarifas!$G$7:$G$320,$A72)*SUMIFS(Mercado!J$9:J$160,Mercado!$A$9:$A$160,$A72)</f>
        <v>1967.3207101888145</v>
      </c>
      <c r="AC72" s="51">
        <f>SUMIFS(Tarifas!$AW$7:$AW$320,Tarifas!$G$7:$G$320,$A72)*SUMIFS(Mercado!K$9:K$160,Mercado!$A$9:$A$160,$A72)</f>
        <v>1967.3207101888145</v>
      </c>
      <c r="AE72" s="55">
        <f t="shared" si="23"/>
        <v>0</v>
      </c>
      <c r="AF72" s="55">
        <f t="shared" si="17"/>
        <v>0</v>
      </c>
      <c r="AG72" s="55">
        <f t="shared" si="18"/>
        <v>1967.3207101888145</v>
      </c>
      <c r="AH72" s="55">
        <f t="shared" si="19"/>
        <v>1967.3207101888145</v>
      </c>
      <c r="AI72" s="55">
        <f t="shared" si="20"/>
        <v>1967.3207101888145</v>
      </c>
      <c r="AJ72" s="55">
        <f t="shared" si="21"/>
        <v>1967.3207101888145</v>
      </c>
    </row>
    <row r="73" spans="1:36">
      <c r="A73" s="192" t="str">
        <f>Usuarios!A79</f>
        <v>11 10</v>
      </c>
      <c r="B73" s="50" t="str">
        <f>Usuarios!B79</f>
        <v>Vidreiras</v>
      </c>
      <c r="C73" s="50">
        <f>Usuarios!C79</f>
        <v>10</v>
      </c>
      <c r="D73" s="51">
        <f>Usuarios!D79</f>
        <v>3000001</v>
      </c>
      <c r="E73" s="51">
        <f>Usuarios!E79</f>
        <v>999999999</v>
      </c>
      <c r="F73" s="51"/>
      <c r="G73" s="51">
        <f>SUMIFS(Tarifas!$K$7:$K$320,Tarifas!$G$7:$G$320,$A73)*SUMIFS(Mercado!G$9:G$160,Mercado!$A$9:$A$160,$A73)</f>
        <v>0</v>
      </c>
      <c r="H73" s="51">
        <f>SUMIFS(Tarifas!$K$7:$K$320,Tarifas!$G$7:$G$320,$A73)*SUMIFS(Mercado!H$9:H$160,Mercado!$A$9:$A$160,$A73)</f>
        <v>0</v>
      </c>
      <c r="I73" s="51">
        <f>SUMIFS(Tarifas!$K$7:$K$320,Tarifas!$G$7:$G$320,$A73)*SUMIFS(Mercado!I$9:I$160,Mercado!$A$9:$A$160,$A73)</f>
        <v>0</v>
      </c>
      <c r="J73" s="51">
        <f>SUMIFS(Tarifas!$K$7:$K$320,Tarifas!$G$7:$G$320,$A73)*SUMIFS(Mercado!J$9:J$160,Mercado!$A$9:$A$160,$A73)</f>
        <v>0</v>
      </c>
      <c r="K73" s="51">
        <f>SUMIFS(Tarifas!$K$7:$K$320,Tarifas!$G$7:$G$320,$A73)*SUMIFS(Mercado!K$9:K$160,Mercado!$A$9:$A$160,$A73)</f>
        <v>0</v>
      </c>
      <c r="M73" s="55">
        <f t="shared" si="22"/>
        <v>0</v>
      </c>
      <c r="N73" s="55">
        <f t="shared" si="12"/>
        <v>0</v>
      </c>
      <c r="O73" s="55">
        <f t="shared" si="13"/>
        <v>0</v>
      </c>
      <c r="P73" s="55">
        <f t="shared" si="14"/>
        <v>0</v>
      </c>
      <c r="Q73" s="55">
        <f t="shared" si="15"/>
        <v>0</v>
      </c>
      <c r="R73" s="55">
        <f t="shared" si="16"/>
        <v>0</v>
      </c>
      <c r="T73" s="51">
        <f>NPV(Inputs!$C$6,'Vendas Vigente'!N73:Q73)+((R73*Inputs!$C$11)/(1+Inputs!$C$6)^(4.55))</f>
        <v>0</v>
      </c>
      <c r="X73" s="51"/>
      <c r="Y73" s="51">
        <f>SUMIFS(Tarifas!$AW$7:$AW$320,Tarifas!$G$7:$G$320,$A73)*SUMIFS(Mercado!G$9:G$160,Mercado!$A$9:$A$160,$A73)</f>
        <v>0</v>
      </c>
      <c r="Z73" s="51">
        <f>SUMIFS(Tarifas!$AW$7:$AW$320,Tarifas!$G$7:$G$320,$A73)*SUMIFS(Mercado!H$9:H$160,Mercado!$A$9:$A$160,$A73)</f>
        <v>0</v>
      </c>
      <c r="AA73" s="51">
        <f>SUMIFS(Tarifas!$AW$7:$AW$320,Tarifas!$G$7:$G$320,$A73)*SUMIFS(Mercado!I$9:I$160,Mercado!$A$9:$A$160,$A73)</f>
        <v>0</v>
      </c>
      <c r="AB73" s="51">
        <f>SUMIFS(Tarifas!$AW$7:$AW$320,Tarifas!$G$7:$G$320,$A73)*SUMIFS(Mercado!J$9:J$160,Mercado!$A$9:$A$160,$A73)</f>
        <v>0</v>
      </c>
      <c r="AC73" s="51">
        <f>SUMIFS(Tarifas!$AW$7:$AW$320,Tarifas!$G$7:$G$320,$A73)*SUMIFS(Mercado!K$9:K$160,Mercado!$A$9:$A$160,$A73)</f>
        <v>0</v>
      </c>
      <c r="AE73" s="55">
        <f t="shared" si="23"/>
        <v>0</v>
      </c>
      <c r="AF73" s="55">
        <f t="shared" si="17"/>
        <v>0</v>
      </c>
      <c r="AG73" s="55">
        <f t="shared" si="18"/>
        <v>0</v>
      </c>
      <c r="AH73" s="55">
        <f t="shared" si="19"/>
        <v>0</v>
      </c>
      <c r="AI73" s="55">
        <f t="shared" si="20"/>
        <v>0</v>
      </c>
      <c r="AJ73" s="55">
        <f t="shared" si="21"/>
        <v>0</v>
      </c>
    </row>
    <row r="74" spans="1:36">
      <c r="A74" s="192"/>
      <c r="D74" s="51"/>
      <c r="E74" s="51"/>
      <c r="F74" s="51"/>
      <c r="G74" s="51">
        <f>SUMIFS(Tarifas!$K$7:$K$320,Tarifas!$G$7:$G$320,$A74)*SUMIFS(Mercado!G$9:G$160,Mercado!$A$9:$A$160,$A74)</f>
        <v>0</v>
      </c>
      <c r="H74" s="51">
        <f>SUMIFS(Tarifas!$K$7:$K$320,Tarifas!$G$7:$G$320,$A74)*SUMIFS(Mercado!H$9:H$160,Mercado!$A$9:$A$160,$A74)</f>
        <v>0</v>
      </c>
      <c r="I74" s="51">
        <f>SUMIFS(Tarifas!$K$7:$K$320,Tarifas!$G$7:$G$320,$A74)*SUMIFS(Mercado!I$9:I$160,Mercado!$A$9:$A$160,$A74)</f>
        <v>0</v>
      </c>
      <c r="J74" s="51">
        <f>SUMIFS(Tarifas!$K$7:$K$320,Tarifas!$G$7:$G$320,$A74)*SUMIFS(Mercado!J$9:J$160,Mercado!$A$9:$A$160,$A74)</f>
        <v>0</v>
      </c>
      <c r="K74" s="51">
        <f>SUMIFS(Tarifas!$K$7:$K$320,Tarifas!$G$7:$G$320,$A74)*SUMIFS(Mercado!K$9:K$160,Mercado!$A$9:$A$160,$A74)</f>
        <v>0</v>
      </c>
      <c r="M74" s="55">
        <f t="shared" si="22"/>
        <v>0</v>
      </c>
      <c r="N74" s="55">
        <f t="shared" si="12"/>
        <v>0</v>
      </c>
      <c r="O74" s="55">
        <f t="shared" si="13"/>
        <v>0</v>
      </c>
      <c r="P74" s="55">
        <f t="shared" si="14"/>
        <v>0</v>
      </c>
      <c r="Q74" s="55">
        <f t="shared" si="15"/>
        <v>0</v>
      </c>
      <c r="R74" s="55">
        <f t="shared" si="16"/>
        <v>0</v>
      </c>
      <c r="T74" s="51">
        <f>NPV(Inputs!$C$6,'Vendas Vigente'!N74:Q74)+((R74*Inputs!$C$11)/(1+Inputs!$C$6)^(4.55))</f>
        <v>0</v>
      </c>
      <c r="X74" s="51"/>
      <c r="Y74" s="51">
        <f>SUMIFS(Tarifas!$AW$7:$AW$320,Tarifas!$G$7:$G$320,$A74)*SUMIFS(Mercado!G$9:G$160,Mercado!$A$9:$A$160,$A74)</f>
        <v>0</v>
      </c>
      <c r="Z74" s="51">
        <f>SUMIFS(Tarifas!$AW$7:$AW$320,Tarifas!$G$7:$G$320,$A74)*SUMIFS(Mercado!H$9:H$160,Mercado!$A$9:$A$160,$A74)</f>
        <v>0</v>
      </c>
      <c r="AA74" s="51">
        <f>SUMIFS(Tarifas!$AW$7:$AW$320,Tarifas!$G$7:$G$320,$A74)*SUMIFS(Mercado!I$9:I$160,Mercado!$A$9:$A$160,$A74)</f>
        <v>0</v>
      </c>
      <c r="AB74" s="51">
        <f>SUMIFS(Tarifas!$AW$7:$AW$320,Tarifas!$G$7:$G$320,$A74)*SUMIFS(Mercado!J$9:J$160,Mercado!$A$9:$A$160,$A74)</f>
        <v>0</v>
      </c>
      <c r="AC74" s="51">
        <f>SUMIFS(Tarifas!$AW$7:$AW$320,Tarifas!$G$7:$G$320,$A74)*SUMIFS(Mercado!K$9:K$160,Mercado!$A$9:$A$160,$A74)</f>
        <v>0</v>
      </c>
      <c r="AE74" s="55">
        <f t="shared" si="23"/>
        <v>0</v>
      </c>
      <c r="AF74" s="55">
        <f t="shared" si="17"/>
        <v>0</v>
      </c>
      <c r="AG74" s="55">
        <f t="shared" si="18"/>
        <v>0</v>
      </c>
      <c r="AH74" s="55">
        <f t="shared" si="19"/>
        <v>0</v>
      </c>
      <c r="AI74" s="55">
        <f t="shared" si="20"/>
        <v>0</v>
      </c>
      <c r="AJ74" s="55">
        <f t="shared" si="21"/>
        <v>0</v>
      </c>
    </row>
    <row r="75" spans="1:36">
      <c r="A75" s="192" t="str">
        <f>Usuarios!A81</f>
        <v>09 1</v>
      </c>
      <c r="B75" s="50" t="str">
        <f>Usuarios!B81</f>
        <v>Petroquímico</v>
      </c>
      <c r="C75" s="50">
        <f>Usuarios!C81</f>
        <v>1</v>
      </c>
      <c r="D75" s="51">
        <f>Usuarios!D81</f>
        <v>0</v>
      </c>
      <c r="E75" s="51">
        <f>Usuarios!E81</f>
        <v>999999999</v>
      </c>
      <c r="F75" s="51"/>
      <c r="G75" s="51">
        <f>SUMIFS(Tarifas!$K$7:$K$320,Tarifas!$G$7:$G$320,$A75)*SUMIFS(Mercado!G$9:G$160,Mercado!$A$9:$A$160,$A75)</f>
        <v>0</v>
      </c>
      <c r="H75" s="51">
        <f>SUMIFS(Tarifas!$K$7:$K$320,Tarifas!$G$7:$G$320,$A75)*SUMIFS(Mercado!H$9:H$160,Mercado!$A$9:$A$160,$A75)</f>
        <v>0</v>
      </c>
      <c r="I75" s="51">
        <f>SUMIFS(Tarifas!$K$7:$K$320,Tarifas!$G$7:$G$320,$A75)*SUMIFS(Mercado!I$9:I$160,Mercado!$A$9:$A$160,$A75)</f>
        <v>0</v>
      </c>
      <c r="J75" s="51">
        <f>SUMIFS(Tarifas!$K$7:$K$320,Tarifas!$G$7:$G$320,$A75)*SUMIFS(Mercado!J$9:J$160,Mercado!$A$9:$A$160,$A75)</f>
        <v>0</v>
      </c>
      <c r="K75" s="51">
        <f>SUMIFS(Tarifas!$K$7:$K$320,Tarifas!$G$7:$G$320,$A75)*SUMIFS(Mercado!K$9:K$160,Mercado!$A$9:$A$160,$A75)</f>
        <v>0</v>
      </c>
      <c r="M75" s="55">
        <f t="shared" si="22"/>
        <v>0</v>
      </c>
      <c r="N75" s="55">
        <f t="shared" si="12"/>
        <v>0</v>
      </c>
      <c r="O75" s="55">
        <f t="shared" si="13"/>
        <v>0</v>
      </c>
      <c r="P75" s="55">
        <f t="shared" si="14"/>
        <v>0</v>
      </c>
      <c r="Q75" s="55">
        <f t="shared" si="15"/>
        <v>0</v>
      </c>
      <c r="R75" s="55">
        <f t="shared" si="16"/>
        <v>0</v>
      </c>
      <c r="T75" s="51">
        <f>NPV(Inputs!$C$6,'Vendas Vigente'!N75:Q75)+((R75*Inputs!$C$11)/(1+Inputs!$C$6)^(4.55))</f>
        <v>0</v>
      </c>
      <c r="X75" s="51"/>
      <c r="Y75" s="51">
        <f>SUMIFS(Tarifas!$AW$7:$AW$320,Tarifas!$G$7:$G$320,$A75)*SUMIFS(Mercado!G$9:G$160,Mercado!$A$9:$A$160,$A75)</f>
        <v>0</v>
      </c>
      <c r="Z75" s="51">
        <f>SUMIFS(Tarifas!$AW$7:$AW$320,Tarifas!$G$7:$G$320,$A75)*SUMIFS(Mercado!H$9:H$160,Mercado!$A$9:$A$160,$A75)</f>
        <v>0</v>
      </c>
      <c r="AA75" s="51">
        <f>SUMIFS(Tarifas!$AW$7:$AW$320,Tarifas!$G$7:$G$320,$A75)*SUMIFS(Mercado!I$9:I$160,Mercado!$A$9:$A$160,$A75)</f>
        <v>0</v>
      </c>
      <c r="AB75" s="51">
        <f>SUMIFS(Tarifas!$AW$7:$AW$320,Tarifas!$G$7:$G$320,$A75)*SUMIFS(Mercado!J$9:J$160,Mercado!$A$9:$A$160,$A75)</f>
        <v>0</v>
      </c>
      <c r="AC75" s="51">
        <f>SUMIFS(Tarifas!$AW$7:$AW$320,Tarifas!$G$7:$G$320,$A75)*SUMIFS(Mercado!K$9:K$160,Mercado!$A$9:$A$160,$A75)</f>
        <v>0</v>
      </c>
      <c r="AE75" s="55">
        <f t="shared" si="23"/>
        <v>0</v>
      </c>
      <c r="AF75" s="55">
        <f t="shared" si="17"/>
        <v>0</v>
      </c>
      <c r="AG75" s="55">
        <f t="shared" si="18"/>
        <v>0</v>
      </c>
      <c r="AH75" s="55">
        <f t="shared" si="19"/>
        <v>0</v>
      </c>
      <c r="AI75" s="55">
        <f t="shared" si="20"/>
        <v>0</v>
      </c>
      <c r="AJ75" s="55">
        <f t="shared" si="21"/>
        <v>0</v>
      </c>
    </row>
    <row r="76" spans="1:36">
      <c r="A76" s="192"/>
      <c r="D76" s="51"/>
      <c r="E76" s="51"/>
      <c r="F76" s="51"/>
      <c r="G76" s="51">
        <f>SUMIFS(Tarifas!$K$7:$K$320,Tarifas!$G$7:$G$320,$A76)*SUMIFS(Mercado!G$9:G$160,Mercado!$A$9:$A$160,$A76)</f>
        <v>0</v>
      </c>
      <c r="H76" s="51">
        <f>SUMIFS(Tarifas!$K$7:$K$320,Tarifas!$G$7:$G$320,$A76)*SUMIFS(Mercado!H$9:H$160,Mercado!$A$9:$A$160,$A76)</f>
        <v>0</v>
      </c>
      <c r="I76" s="51">
        <f>SUMIFS(Tarifas!$K$7:$K$320,Tarifas!$G$7:$G$320,$A76)*SUMIFS(Mercado!I$9:I$160,Mercado!$A$9:$A$160,$A76)</f>
        <v>0</v>
      </c>
      <c r="J76" s="51">
        <f>SUMIFS(Tarifas!$K$7:$K$320,Tarifas!$G$7:$G$320,$A76)*SUMIFS(Mercado!J$9:J$160,Mercado!$A$9:$A$160,$A76)</f>
        <v>0</v>
      </c>
      <c r="K76" s="51">
        <f>SUMIFS(Tarifas!$K$7:$K$320,Tarifas!$G$7:$G$320,$A76)*SUMIFS(Mercado!K$9:K$160,Mercado!$A$9:$A$160,$A76)</f>
        <v>0</v>
      </c>
      <c r="M76" s="55">
        <f t="shared" si="22"/>
        <v>0</v>
      </c>
      <c r="N76" s="55">
        <f t="shared" si="12"/>
        <v>0</v>
      </c>
      <c r="O76" s="55">
        <f t="shared" si="13"/>
        <v>0</v>
      </c>
      <c r="P76" s="55">
        <f t="shared" si="14"/>
        <v>0</v>
      </c>
      <c r="Q76" s="55">
        <f t="shared" si="15"/>
        <v>0</v>
      </c>
      <c r="R76" s="55">
        <f t="shared" si="16"/>
        <v>0</v>
      </c>
      <c r="T76" s="51">
        <f>NPV(Inputs!$C$6,'Vendas Vigente'!N76:Q76)+((R76*Inputs!$C$11)/(1+Inputs!$C$6)^(4.55))</f>
        <v>0</v>
      </c>
      <c r="X76" s="51"/>
      <c r="Y76" s="51">
        <f>SUMIFS(Tarifas!$AW$7:$AW$320,Tarifas!$G$7:$G$320,$A76)*SUMIFS(Mercado!G$9:G$160,Mercado!$A$9:$A$160,$A76)</f>
        <v>0</v>
      </c>
      <c r="Z76" s="51">
        <f>SUMIFS(Tarifas!$AW$7:$AW$320,Tarifas!$G$7:$G$320,$A76)*SUMIFS(Mercado!H$9:H$160,Mercado!$A$9:$A$160,$A76)</f>
        <v>0</v>
      </c>
      <c r="AA76" s="51">
        <f>SUMIFS(Tarifas!$AW$7:$AW$320,Tarifas!$G$7:$G$320,$A76)*SUMIFS(Mercado!I$9:I$160,Mercado!$A$9:$A$160,$A76)</f>
        <v>0</v>
      </c>
      <c r="AB76" s="51">
        <f>SUMIFS(Tarifas!$AW$7:$AW$320,Tarifas!$G$7:$G$320,$A76)*SUMIFS(Mercado!J$9:J$160,Mercado!$A$9:$A$160,$A76)</f>
        <v>0</v>
      </c>
      <c r="AC76" s="51">
        <f>SUMIFS(Tarifas!$AW$7:$AW$320,Tarifas!$G$7:$G$320,$A76)*SUMIFS(Mercado!K$9:K$160,Mercado!$A$9:$A$160,$A76)</f>
        <v>0</v>
      </c>
      <c r="AE76" s="55">
        <f t="shared" si="23"/>
        <v>0</v>
      </c>
      <c r="AF76" s="55">
        <f t="shared" si="17"/>
        <v>0</v>
      </c>
      <c r="AG76" s="55">
        <f t="shared" si="18"/>
        <v>0</v>
      </c>
      <c r="AH76" s="55">
        <f t="shared" si="19"/>
        <v>0</v>
      </c>
      <c r="AI76" s="55">
        <f t="shared" si="20"/>
        <v>0</v>
      </c>
      <c r="AJ76" s="55">
        <f t="shared" si="21"/>
        <v>0</v>
      </c>
    </row>
    <row r="77" spans="1:36">
      <c r="A77" s="192">
        <f>Usuarios!A83</f>
        <v>100</v>
      </c>
      <c r="B77" s="50" t="str">
        <f>Usuarios!B83</f>
        <v>Térmicas</v>
      </c>
      <c r="C77" s="50">
        <f>Usuarios!C83</f>
        <v>1</v>
      </c>
      <c r="D77" s="51">
        <f>Usuarios!D83</f>
        <v>0</v>
      </c>
      <c r="E77" s="51">
        <f>Usuarios!E83</f>
        <v>999999999</v>
      </c>
      <c r="F77" s="51"/>
      <c r="G77" s="51">
        <f>SUMIFS(Tarifas!$K$7:$K$320,Tarifas!$G$7:$G$320,$A77)*SUMIFS(Mercado!G$9:G$160,Mercado!$A$9:$A$160,$A77)</f>
        <v>12087.389862288826</v>
      </c>
      <c r="H77" s="51">
        <f>SUMIFS(Tarifas!$K$7:$K$320,Tarifas!$G$7:$G$320,$A77)*SUMIFS(Mercado!H$9:H$160,Mercado!$A$9:$A$160,$A77)</f>
        <v>45071.615229582952</v>
      </c>
      <c r="I77" s="51">
        <f>SUMIFS(Tarifas!$K$7:$K$320,Tarifas!$G$7:$G$320,$A77)*SUMIFS(Mercado!I$9:I$160,Mercado!$A$9:$A$160,$A77)</f>
        <v>0</v>
      </c>
      <c r="J77" s="51">
        <f>SUMIFS(Tarifas!$K$7:$K$320,Tarifas!$G$7:$G$320,$A77)*SUMIFS(Mercado!J$9:J$160,Mercado!$A$9:$A$160,$A77)</f>
        <v>0</v>
      </c>
      <c r="K77" s="51">
        <f>SUMIFS(Tarifas!$K$7:$K$320,Tarifas!$G$7:$G$320,$A77)*SUMIFS(Mercado!K$9:K$160,Mercado!$A$9:$A$160,$A77)</f>
        <v>0</v>
      </c>
      <c r="M77" s="55">
        <f t="shared" si="22"/>
        <v>0</v>
      </c>
      <c r="N77" s="55">
        <f t="shared" si="12"/>
        <v>12087.389862288826</v>
      </c>
      <c r="O77" s="55">
        <f t="shared" si="13"/>
        <v>45071.615229582952</v>
      </c>
      <c r="P77" s="55">
        <f t="shared" si="14"/>
        <v>0</v>
      </c>
      <c r="Q77" s="55">
        <f t="shared" si="15"/>
        <v>0</v>
      </c>
      <c r="R77" s="55">
        <f t="shared" si="16"/>
        <v>0</v>
      </c>
      <c r="T77" s="51">
        <f>NPV(Inputs!$C$6,'Vendas Vigente'!N77:Q77)+((R77*Inputs!$C$11)/(1+Inputs!$C$6)^(4.55))</f>
        <v>49089.11730589543</v>
      </c>
      <c r="X77" s="51"/>
      <c r="Y77" s="51">
        <f>SUMIFS(Tarifas!$AW$7:$AW$320,Tarifas!$G$7:$G$320,$A77)*SUMIFS(Mercado!G$9:G$160,Mercado!$A$9:$A$160,$A77)</f>
        <v>12087.389862288826</v>
      </c>
      <c r="Z77" s="51">
        <f>SUMIFS(Tarifas!$AW$7:$AW$320,Tarifas!$G$7:$G$320,$A77)*SUMIFS(Mercado!H$9:H$160,Mercado!$A$9:$A$160,$A77)</f>
        <v>45071.615229582952</v>
      </c>
      <c r="AA77" s="51">
        <f>SUMIFS(Tarifas!$AW$7:$AW$320,Tarifas!$G$7:$G$320,$A77)*SUMIFS(Mercado!I$9:I$160,Mercado!$A$9:$A$160,$A77)</f>
        <v>0</v>
      </c>
      <c r="AB77" s="51">
        <f>SUMIFS(Tarifas!$AW$7:$AW$320,Tarifas!$G$7:$G$320,$A77)*SUMIFS(Mercado!J$9:J$160,Mercado!$A$9:$A$160,$A77)</f>
        <v>0</v>
      </c>
      <c r="AC77" s="51">
        <f>SUMIFS(Tarifas!$AW$7:$AW$320,Tarifas!$G$7:$G$320,$A77)*SUMIFS(Mercado!K$9:K$160,Mercado!$A$9:$A$160,$A77)</f>
        <v>0</v>
      </c>
      <c r="AE77" s="55">
        <f t="shared" si="23"/>
        <v>0</v>
      </c>
      <c r="AF77" s="55">
        <f t="shared" si="17"/>
        <v>12087.389862288826</v>
      </c>
      <c r="AG77" s="55">
        <f t="shared" si="18"/>
        <v>45071.615229582952</v>
      </c>
      <c r="AH77" s="55">
        <f t="shared" si="19"/>
        <v>0</v>
      </c>
      <c r="AI77" s="55">
        <f t="shared" si="20"/>
        <v>0</v>
      </c>
      <c r="AJ77" s="55">
        <f t="shared" si="21"/>
        <v>0</v>
      </c>
    </row>
    <row r="78" spans="1:36">
      <c r="A78" s="192"/>
      <c r="D78" s="51"/>
      <c r="E78" s="51"/>
      <c r="F78" s="51"/>
      <c r="G78" s="51">
        <f>SUMIFS(Tarifas!$K$7:$K$320,Tarifas!$G$7:$G$320,$A78)*SUMIFS(Mercado!G$9:G$160,Mercado!$A$9:$A$160,$A78)</f>
        <v>0</v>
      </c>
      <c r="H78" s="51">
        <f>SUMIFS(Tarifas!$K$7:$K$320,Tarifas!$G$7:$G$320,$A78)*SUMIFS(Mercado!H$9:H$160,Mercado!$A$9:$A$160,$A78)</f>
        <v>0</v>
      </c>
      <c r="I78" s="51">
        <f>SUMIFS(Tarifas!$K$7:$K$320,Tarifas!$G$7:$G$320,$A78)*SUMIFS(Mercado!I$9:I$160,Mercado!$A$9:$A$160,$A78)</f>
        <v>0</v>
      </c>
      <c r="J78" s="51">
        <f>SUMIFS(Tarifas!$K$7:$K$320,Tarifas!$G$7:$G$320,$A78)*SUMIFS(Mercado!J$9:J$160,Mercado!$A$9:$A$160,$A78)</f>
        <v>0</v>
      </c>
      <c r="K78" s="51">
        <f>SUMIFS(Tarifas!$K$7:$K$320,Tarifas!$G$7:$G$320,$A78)*SUMIFS(Mercado!K$9:K$160,Mercado!$A$9:$A$160,$A78)</f>
        <v>0</v>
      </c>
      <c r="M78" s="55">
        <f t="shared" si="22"/>
        <v>0</v>
      </c>
      <c r="N78" s="55">
        <f t="shared" si="12"/>
        <v>0</v>
      </c>
      <c r="O78" s="55">
        <f t="shared" si="13"/>
        <v>0</v>
      </c>
      <c r="P78" s="55">
        <f t="shared" si="14"/>
        <v>0</v>
      </c>
      <c r="Q78" s="55">
        <f t="shared" si="15"/>
        <v>0</v>
      </c>
      <c r="R78" s="55">
        <f t="shared" si="16"/>
        <v>0</v>
      </c>
      <c r="T78" s="51">
        <f>NPV(Inputs!$C$6,'Vendas Vigente'!N78:Q78)+((R78*Inputs!$C$11)/(1+Inputs!$C$6)^(4.55))</f>
        <v>0</v>
      </c>
      <c r="X78" s="51"/>
      <c r="Y78" s="51">
        <f>SUMIFS(Tarifas!$AW$7:$AW$320,Tarifas!$G$7:$G$320,$A78)*SUMIFS(Mercado!G$9:G$160,Mercado!$A$9:$A$160,$A78)</f>
        <v>0</v>
      </c>
      <c r="Z78" s="51">
        <f>SUMIFS(Tarifas!$AW$7:$AW$320,Tarifas!$G$7:$G$320,$A78)*SUMIFS(Mercado!H$9:H$160,Mercado!$A$9:$A$160,$A78)</f>
        <v>0</v>
      </c>
      <c r="AA78" s="51">
        <f>SUMIFS(Tarifas!$AW$7:$AW$320,Tarifas!$G$7:$G$320,$A78)*SUMIFS(Mercado!I$9:I$160,Mercado!$A$9:$A$160,$A78)</f>
        <v>0</v>
      </c>
      <c r="AB78" s="51">
        <f>SUMIFS(Tarifas!$AW$7:$AW$320,Tarifas!$G$7:$G$320,$A78)*SUMIFS(Mercado!J$9:J$160,Mercado!$A$9:$A$160,$A78)</f>
        <v>0</v>
      </c>
      <c r="AC78" s="51">
        <f>SUMIFS(Tarifas!$AW$7:$AW$320,Tarifas!$G$7:$G$320,$A78)*SUMIFS(Mercado!K$9:K$160,Mercado!$A$9:$A$160,$A78)</f>
        <v>0</v>
      </c>
      <c r="AE78" s="55">
        <f t="shared" si="23"/>
        <v>0</v>
      </c>
      <c r="AF78" s="55">
        <f t="shared" si="17"/>
        <v>0</v>
      </c>
      <c r="AG78" s="55">
        <f t="shared" si="18"/>
        <v>0</v>
      </c>
      <c r="AH78" s="55">
        <f t="shared" si="19"/>
        <v>0</v>
      </c>
      <c r="AI78" s="55">
        <f t="shared" si="20"/>
        <v>0</v>
      </c>
      <c r="AJ78" s="55">
        <f t="shared" si="21"/>
        <v>0</v>
      </c>
    </row>
    <row r="79" spans="1:36">
      <c r="A79" s="192" t="str">
        <f>Usuarios!A85</f>
        <v>12 1</v>
      </c>
      <c r="B79" s="50" t="str">
        <f>Usuarios!B85</f>
        <v>GLP Residencial</v>
      </c>
      <c r="C79" s="50">
        <f>Usuarios!C85</f>
        <v>1</v>
      </c>
      <c r="D79" s="51">
        <f>Usuarios!D85</f>
        <v>0</v>
      </c>
      <c r="E79" s="51">
        <f>Usuarios!E85</f>
        <v>999999999</v>
      </c>
      <c r="F79" s="51"/>
      <c r="G79" s="51">
        <f>SUMIFS(Tarifas!$K$7:$K$320,Tarifas!$G$7:$G$320,$A79)*SUMIFS(Mercado!G$9:G$160,Mercado!$A$9:$A$160,$A79)</f>
        <v>0</v>
      </c>
      <c r="H79" s="51">
        <f>SUMIFS(Tarifas!$K$7:$K$320,Tarifas!$G$7:$G$320,$A79)*SUMIFS(Mercado!H$9:H$160,Mercado!$A$9:$A$160,$A79)</f>
        <v>0</v>
      </c>
      <c r="I79" s="51">
        <f>SUMIFS(Tarifas!$K$7:$K$320,Tarifas!$G$7:$G$320,$A79)*SUMIFS(Mercado!I$9:I$160,Mercado!$A$9:$A$160,$A79)</f>
        <v>0</v>
      </c>
      <c r="J79" s="51">
        <f>SUMIFS(Tarifas!$K$7:$K$320,Tarifas!$G$7:$G$320,$A79)*SUMIFS(Mercado!J$9:J$160,Mercado!$A$9:$A$160,$A79)</f>
        <v>0</v>
      </c>
      <c r="K79" s="51">
        <f>SUMIFS(Tarifas!$K$7:$K$320,Tarifas!$G$7:$G$320,$A79)*SUMIFS(Mercado!K$9:K$160,Mercado!$A$9:$A$160,$A79)</f>
        <v>0</v>
      </c>
      <c r="M79" s="55">
        <f t="shared" si="22"/>
        <v>0</v>
      </c>
      <c r="N79" s="55">
        <f t="shared" si="12"/>
        <v>0</v>
      </c>
      <c r="O79" s="55">
        <f t="shared" si="13"/>
        <v>0</v>
      </c>
      <c r="P79" s="55">
        <f t="shared" si="14"/>
        <v>0</v>
      </c>
      <c r="Q79" s="55">
        <f t="shared" si="15"/>
        <v>0</v>
      </c>
      <c r="R79" s="55">
        <f t="shared" si="16"/>
        <v>0</v>
      </c>
      <c r="T79" s="51">
        <f>NPV(Inputs!$C$6,'Vendas Vigente'!N79:Q79)+((R79*Inputs!$C$11)/(1+Inputs!$C$6)^(4.55))</f>
        <v>0</v>
      </c>
      <c r="X79" s="51"/>
      <c r="Y79" s="51">
        <f>SUMIFS(Tarifas!$AW$7:$AW$320,Tarifas!$G$7:$G$320,$A79)*SUMIFS(Mercado!G$9:G$160,Mercado!$A$9:$A$160,$A79)</f>
        <v>0</v>
      </c>
      <c r="Z79" s="51">
        <f>SUMIFS(Tarifas!$AW$7:$AW$320,Tarifas!$G$7:$G$320,$A79)*SUMIFS(Mercado!H$9:H$160,Mercado!$A$9:$A$160,$A79)</f>
        <v>0</v>
      </c>
      <c r="AA79" s="51">
        <f>SUMIFS(Tarifas!$AW$7:$AW$320,Tarifas!$G$7:$G$320,$A79)*SUMIFS(Mercado!I$9:I$160,Mercado!$A$9:$A$160,$A79)</f>
        <v>0</v>
      </c>
      <c r="AB79" s="51">
        <f>SUMIFS(Tarifas!$AW$7:$AW$320,Tarifas!$G$7:$G$320,$A79)*SUMIFS(Mercado!J$9:J$160,Mercado!$A$9:$A$160,$A79)</f>
        <v>0</v>
      </c>
      <c r="AC79" s="51">
        <f>SUMIFS(Tarifas!$AW$7:$AW$320,Tarifas!$G$7:$G$320,$A79)*SUMIFS(Mercado!K$9:K$160,Mercado!$A$9:$A$160,$A79)</f>
        <v>0</v>
      </c>
      <c r="AE79" s="55">
        <f t="shared" si="23"/>
        <v>0</v>
      </c>
      <c r="AF79" s="55">
        <f t="shared" si="17"/>
        <v>0</v>
      </c>
      <c r="AG79" s="55">
        <f t="shared" si="18"/>
        <v>0</v>
      </c>
      <c r="AH79" s="55">
        <f t="shared" si="19"/>
        <v>0</v>
      </c>
      <c r="AI79" s="55">
        <f t="shared" si="20"/>
        <v>0</v>
      </c>
      <c r="AJ79" s="55">
        <f t="shared" si="21"/>
        <v>0</v>
      </c>
    </row>
    <row r="80" spans="1:36">
      <c r="A80" s="192"/>
      <c r="D80" s="51"/>
      <c r="E80" s="51"/>
      <c r="F80" s="51"/>
      <c r="G80" s="51">
        <f>SUMIFS(Tarifas!$K$7:$K$320,Tarifas!$G$7:$G$320,$A80)*SUMIFS(Mercado!G$9:G$160,Mercado!$A$9:$A$160,$A80)</f>
        <v>0</v>
      </c>
      <c r="H80" s="51">
        <f>SUMIFS(Tarifas!$K$7:$K$320,Tarifas!$G$7:$G$320,$A80)*SUMIFS(Mercado!H$9:H$160,Mercado!$A$9:$A$160,$A80)</f>
        <v>0</v>
      </c>
      <c r="I80" s="51">
        <f>SUMIFS(Tarifas!$K$7:$K$320,Tarifas!$G$7:$G$320,$A80)*SUMIFS(Mercado!I$9:I$160,Mercado!$A$9:$A$160,$A80)</f>
        <v>0</v>
      </c>
      <c r="J80" s="51">
        <f>SUMIFS(Tarifas!$K$7:$K$320,Tarifas!$G$7:$G$320,$A80)*SUMIFS(Mercado!J$9:J$160,Mercado!$A$9:$A$160,$A80)</f>
        <v>0</v>
      </c>
      <c r="K80" s="51">
        <f>SUMIFS(Tarifas!$K$7:$K$320,Tarifas!$G$7:$G$320,$A80)*SUMIFS(Mercado!K$9:K$160,Mercado!$A$9:$A$160,$A80)</f>
        <v>0</v>
      </c>
      <c r="M80" s="55">
        <f t="shared" si="22"/>
        <v>0</v>
      </c>
      <c r="N80" s="55">
        <f t="shared" si="12"/>
        <v>0</v>
      </c>
      <c r="O80" s="55">
        <f t="shared" si="13"/>
        <v>0</v>
      </c>
      <c r="P80" s="55">
        <f t="shared" si="14"/>
        <v>0</v>
      </c>
      <c r="Q80" s="55">
        <f t="shared" si="15"/>
        <v>0</v>
      </c>
      <c r="R80" s="55">
        <f t="shared" si="16"/>
        <v>0</v>
      </c>
      <c r="T80" s="51">
        <f>NPV(Inputs!$C$6,'Vendas Vigente'!N80:Q80)+((R80*Inputs!$C$11)/(1+Inputs!$C$6)^(4.55))</f>
        <v>0</v>
      </c>
      <c r="X80" s="51"/>
      <c r="Y80" s="51">
        <f>SUMIFS(Tarifas!$AW$7:$AW$320,Tarifas!$G$7:$G$320,$A80)*SUMIFS(Mercado!G$9:G$160,Mercado!$A$9:$A$160,$A80)</f>
        <v>0</v>
      </c>
      <c r="Z80" s="51">
        <f>SUMIFS(Tarifas!$AW$7:$AW$320,Tarifas!$G$7:$G$320,$A80)*SUMIFS(Mercado!H$9:H$160,Mercado!$A$9:$A$160,$A80)</f>
        <v>0</v>
      </c>
      <c r="AA80" s="51">
        <f>SUMIFS(Tarifas!$AW$7:$AW$320,Tarifas!$G$7:$G$320,$A80)*SUMIFS(Mercado!I$9:I$160,Mercado!$A$9:$A$160,$A80)</f>
        <v>0</v>
      </c>
      <c r="AB80" s="51">
        <f>SUMIFS(Tarifas!$AW$7:$AW$320,Tarifas!$G$7:$G$320,$A80)*SUMIFS(Mercado!J$9:J$160,Mercado!$A$9:$A$160,$A80)</f>
        <v>0</v>
      </c>
      <c r="AC80" s="51">
        <f>SUMIFS(Tarifas!$AW$7:$AW$320,Tarifas!$G$7:$G$320,$A80)*SUMIFS(Mercado!K$9:K$160,Mercado!$A$9:$A$160,$A80)</f>
        <v>0</v>
      </c>
      <c r="AE80" s="55">
        <f t="shared" si="23"/>
        <v>0</v>
      </c>
      <c r="AF80" s="55">
        <f t="shared" si="17"/>
        <v>0</v>
      </c>
      <c r="AG80" s="55">
        <f t="shared" si="18"/>
        <v>0</v>
      </c>
      <c r="AH80" s="55">
        <f t="shared" si="19"/>
        <v>0</v>
      </c>
      <c r="AI80" s="55">
        <f t="shared" si="20"/>
        <v>0</v>
      </c>
      <c r="AJ80" s="55">
        <f t="shared" si="21"/>
        <v>0</v>
      </c>
    </row>
    <row r="81" spans="1:36">
      <c r="A81" s="192" t="str">
        <f>Usuarios!A87</f>
        <v>13 1</v>
      </c>
      <c r="B81" s="50" t="str">
        <f>Usuarios!B87</f>
        <v>GLP Industrial</v>
      </c>
      <c r="C81" s="50">
        <f>Usuarios!C87</f>
        <v>1</v>
      </c>
      <c r="D81" s="51">
        <f>Usuarios!D87</f>
        <v>0</v>
      </c>
      <c r="E81" s="51">
        <f>Usuarios!E87</f>
        <v>999999999</v>
      </c>
      <c r="F81" s="51"/>
      <c r="G81" s="51">
        <f>SUMIFS(Tarifas!$K$7:$K$320,Tarifas!$G$7:$G$320,$A81)*SUMIFS(Mercado!G$9:G$160,Mercado!$A$9:$A$160,$A81)</f>
        <v>0</v>
      </c>
      <c r="H81" s="51">
        <f>SUMIFS(Tarifas!$K$7:$K$320,Tarifas!$G$7:$G$320,$A81)*SUMIFS(Mercado!H$9:H$160,Mercado!$A$9:$A$160,$A81)</f>
        <v>0</v>
      </c>
      <c r="I81" s="51">
        <f>SUMIFS(Tarifas!$K$7:$K$320,Tarifas!$G$7:$G$320,$A81)*SUMIFS(Mercado!I$9:I$160,Mercado!$A$9:$A$160,$A81)</f>
        <v>0</v>
      </c>
      <c r="J81" s="51">
        <f>SUMIFS(Tarifas!$K$7:$K$320,Tarifas!$G$7:$G$320,$A81)*SUMIFS(Mercado!J$9:J$160,Mercado!$A$9:$A$160,$A81)</f>
        <v>0</v>
      </c>
      <c r="K81" s="51">
        <f>SUMIFS(Tarifas!$K$7:$K$320,Tarifas!$G$7:$G$320,$A81)*SUMIFS(Mercado!K$9:K$160,Mercado!$A$9:$A$160,$A81)</f>
        <v>0</v>
      </c>
      <c r="M81" s="55">
        <f t="shared" si="22"/>
        <v>0</v>
      </c>
      <c r="N81" s="55">
        <f t="shared" si="12"/>
        <v>0</v>
      </c>
      <c r="O81" s="55">
        <f t="shared" si="13"/>
        <v>0</v>
      </c>
      <c r="P81" s="55">
        <f t="shared" si="14"/>
        <v>0</v>
      </c>
      <c r="Q81" s="55">
        <f t="shared" si="15"/>
        <v>0</v>
      </c>
      <c r="R81" s="55">
        <f t="shared" si="16"/>
        <v>0</v>
      </c>
      <c r="T81" s="51">
        <f>NPV(Inputs!$C$6,'Vendas Vigente'!N81:Q81)+((R81*Inputs!$C$11)/(1+Inputs!$C$6)^(4.55))</f>
        <v>0</v>
      </c>
      <c r="X81" s="51"/>
      <c r="Y81" s="51">
        <f>SUMIFS(Tarifas!$AW$7:$AW$320,Tarifas!$G$7:$G$320,$A81)*SUMIFS(Mercado!G$9:G$160,Mercado!$A$9:$A$160,$A81)</f>
        <v>0</v>
      </c>
      <c r="Z81" s="51">
        <f>SUMIFS(Tarifas!$AW$7:$AW$320,Tarifas!$G$7:$G$320,$A81)*SUMIFS(Mercado!H$9:H$160,Mercado!$A$9:$A$160,$A81)</f>
        <v>0</v>
      </c>
      <c r="AA81" s="51">
        <f>SUMIFS(Tarifas!$AW$7:$AW$320,Tarifas!$G$7:$G$320,$A81)*SUMIFS(Mercado!I$9:I$160,Mercado!$A$9:$A$160,$A81)</f>
        <v>0</v>
      </c>
      <c r="AB81" s="51">
        <f>SUMIFS(Tarifas!$AW$7:$AW$320,Tarifas!$G$7:$G$320,$A81)*SUMIFS(Mercado!J$9:J$160,Mercado!$A$9:$A$160,$A81)</f>
        <v>0</v>
      </c>
      <c r="AC81" s="51">
        <f>SUMIFS(Tarifas!$AW$7:$AW$320,Tarifas!$G$7:$G$320,$A81)*SUMIFS(Mercado!K$9:K$160,Mercado!$A$9:$A$160,$A81)</f>
        <v>0</v>
      </c>
      <c r="AE81" s="55">
        <f t="shared" si="23"/>
        <v>0</v>
      </c>
      <c r="AF81" s="55">
        <f t="shared" si="17"/>
        <v>0</v>
      </c>
      <c r="AG81" s="55">
        <f t="shared" si="18"/>
        <v>0</v>
      </c>
      <c r="AH81" s="55">
        <f t="shared" si="19"/>
        <v>0</v>
      </c>
      <c r="AI81" s="55">
        <f t="shared" si="20"/>
        <v>0</v>
      </c>
      <c r="AJ81" s="55">
        <f t="shared" si="21"/>
        <v>0</v>
      </c>
    </row>
    <row r="82" spans="1:36">
      <c r="A82" s="192"/>
      <c r="D82" s="51"/>
      <c r="E82" s="51"/>
      <c r="F82" s="51"/>
      <c r="G82" s="51">
        <f>SUMIFS(Tarifas!$K$7:$K$320,Tarifas!$G$7:$G$320,$A82)*SUMIFS(Mercado!G$9:G$160,Mercado!$A$9:$A$160,$A82)</f>
        <v>0</v>
      </c>
      <c r="H82" s="51">
        <f>SUMIFS(Tarifas!$K$7:$K$320,Tarifas!$G$7:$G$320,$A82)*SUMIFS(Mercado!H$9:H$160,Mercado!$A$9:$A$160,$A82)</f>
        <v>0</v>
      </c>
      <c r="I82" s="51">
        <f>SUMIFS(Tarifas!$K$7:$K$320,Tarifas!$G$7:$G$320,$A82)*SUMIFS(Mercado!I$9:I$160,Mercado!$A$9:$A$160,$A82)</f>
        <v>0</v>
      </c>
      <c r="J82" s="51">
        <f>SUMIFS(Tarifas!$K$7:$K$320,Tarifas!$G$7:$G$320,$A82)*SUMIFS(Mercado!J$9:J$160,Mercado!$A$9:$A$160,$A82)</f>
        <v>0</v>
      </c>
      <c r="K82" s="51">
        <f>SUMIFS(Tarifas!$K$7:$K$320,Tarifas!$G$7:$G$320,$A82)*SUMIFS(Mercado!K$9:K$160,Mercado!$A$9:$A$160,$A82)</f>
        <v>0</v>
      </c>
      <c r="M82" s="55">
        <f t="shared" si="22"/>
        <v>0</v>
      </c>
      <c r="N82" s="55">
        <f t="shared" si="12"/>
        <v>0</v>
      </c>
      <c r="O82" s="55">
        <f t="shared" si="13"/>
        <v>0</v>
      </c>
      <c r="P82" s="55">
        <f t="shared" si="14"/>
        <v>0</v>
      </c>
      <c r="Q82" s="55">
        <f t="shared" si="15"/>
        <v>0</v>
      </c>
      <c r="R82" s="55">
        <f t="shared" si="16"/>
        <v>0</v>
      </c>
      <c r="T82" s="51">
        <f>NPV(Inputs!$C$6,'Vendas Vigente'!N82:Q82)+((R82*Inputs!$C$11)/(1+Inputs!$C$6)^(4.55))</f>
        <v>0</v>
      </c>
      <c r="X82" s="51"/>
      <c r="Y82" s="51">
        <f>SUMIFS(Tarifas!$AW$7:$AW$320,Tarifas!$G$7:$G$320,$A82)*SUMIFS(Mercado!G$9:G$160,Mercado!$A$9:$A$160,$A82)</f>
        <v>0</v>
      </c>
      <c r="Z82" s="51">
        <f>SUMIFS(Tarifas!$AW$7:$AW$320,Tarifas!$G$7:$G$320,$A82)*SUMIFS(Mercado!H$9:H$160,Mercado!$A$9:$A$160,$A82)</f>
        <v>0</v>
      </c>
      <c r="AA82" s="51">
        <f>SUMIFS(Tarifas!$AW$7:$AW$320,Tarifas!$G$7:$G$320,$A82)*SUMIFS(Mercado!I$9:I$160,Mercado!$A$9:$A$160,$A82)</f>
        <v>0</v>
      </c>
      <c r="AB82" s="51">
        <f>SUMIFS(Tarifas!$AW$7:$AW$320,Tarifas!$G$7:$G$320,$A82)*SUMIFS(Mercado!J$9:J$160,Mercado!$A$9:$A$160,$A82)</f>
        <v>0</v>
      </c>
      <c r="AC82" s="51">
        <f>SUMIFS(Tarifas!$AW$7:$AW$320,Tarifas!$G$7:$G$320,$A82)*SUMIFS(Mercado!K$9:K$160,Mercado!$A$9:$A$160,$A82)</f>
        <v>0</v>
      </c>
      <c r="AE82" s="55">
        <f t="shared" si="23"/>
        <v>0</v>
      </c>
      <c r="AF82" s="55">
        <f t="shared" si="17"/>
        <v>0</v>
      </c>
      <c r="AG82" s="55">
        <f t="shared" si="18"/>
        <v>0</v>
      </c>
      <c r="AH82" s="55">
        <f t="shared" si="19"/>
        <v>0</v>
      </c>
      <c r="AI82" s="55">
        <f t="shared" si="20"/>
        <v>0</v>
      </c>
      <c r="AJ82" s="55">
        <f t="shared" si="21"/>
        <v>0</v>
      </c>
    </row>
    <row r="83" spans="1:36">
      <c r="A83" s="192" t="s">
        <v>4822</v>
      </c>
      <c r="B83" s="50" t="str">
        <f>Usuarios!B89</f>
        <v>Térmicas - CL, AI, AP</v>
      </c>
      <c r="C83" s="50">
        <f>Usuarios!C89</f>
        <v>1</v>
      </c>
      <c r="D83" s="51">
        <f>Usuarios!D89</f>
        <v>0</v>
      </c>
      <c r="E83" s="51">
        <f>Usuarios!E89</f>
        <v>999999999</v>
      </c>
      <c r="F83" s="51"/>
      <c r="G83" s="51">
        <f>SUMIFS(Tarifas!$K$7:$K$320,Tarifas!$G$7:$G$320,$A83)*SUMIFS(Mercado!G$9:G$160,Mercado!$A$9:$A$160,$A83)</f>
        <v>7534.4881006978976</v>
      </c>
      <c r="H83" s="51">
        <f>SUMIFS(Tarifas!$K$7:$K$320,Tarifas!$G$7:$G$320,$A83)*SUMIFS(Mercado!H$9:H$160,Mercado!$A$9:$A$160,$A83)</f>
        <v>28474.795757176991</v>
      </c>
      <c r="I83" s="51">
        <f>SUMIFS(Tarifas!$K$7:$K$320,Tarifas!$G$7:$G$320,$A83)*SUMIFS(Mercado!I$9:I$160,Mercado!$A$9:$A$160,$A83)</f>
        <v>11637.899845083406</v>
      </c>
      <c r="J83" s="51">
        <f>SUMIFS(Tarifas!$K$7:$K$320,Tarifas!$G$7:$G$320,$A83)*SUMIFS(Mercado!J$9:J$160,Mercado!$A$9:$A$160,$A83)</f>
        <v>50452.331645570011</v>
      </c>
      <c r="K83" s="51">
        <f>SUMIFS(Tarifas!$K$7:$K$320,Tarifas!$G$7:$G$320,$A83)*SUMIFS(Mercado!K$9:K$160,Mercado!$A$9:$A$160,$A83)</f>
        <v>50452.331645570011</v>
      </c>
      <c r="M83" s="55">
        <f t="shared" si="22"/>
        <v>0</v>
      </c>
      <c r="N83" s="55">
        <f t="shared" si="12"/>
        <v>7534.4881006978976</v>
      </c>
      <c r="O83" s="55">
        <f t="shared" si="13"/>
        <v>28474.795757176991</v>
      </c>
      <c r="P83" s="55">
        <f t="shared" si="14"/>
        <v>11637.899845083406</v>
      </c>
      <c r="Q83" s="55">
        <f t="shared" si="15"/>
        <v>50452.331645570011</v>
      </c>
      <c r="R83" s="55">
        <f t="shared" si="16"/>
        <v>50452.331645570011</v>
      </c>
      <c r="T83" s="51">
        <f>NPV(Inputs!$C$6,'Vendas Vigente'!N83:Q83)+((R83*Inputs!$C$11)/(1+Inputs!$C$6)^(4.55))</f>
        <v>94606.665701719088</v>
      </c>
      <c r="X83" s="51"/>
      <c r="Y83" s="51">
        <f>SUMIFS(Tarifas!$AW$7:$AW$320,Tarifas!$G$7:$G$320,$A83)*SUMIFS(Mercado!G$9:G$160,Mercado!$A$9:$A$160,$A83)</f>
        <v>7534.4881006978976</v>
      </c>
      <c r="Z83" s="51">
        <f>SUMIFS(Tarifas!$AW$7:$AW$320,Tarifas!$G$7:$G$320,$A83)*SUMIFS(Mercado!H$9:H$160,Mercado!$A$9:$A$160,$A83)</f>
        <v>28474.795757176991</v>
      </c>
      <c r="AA83" s="51">
        <f>SUMIFS(Tarifas!$AW$7:$AW$320,Tarifas!$G$7:$G$320,$A83)*SUMIFS(Mercado!I$9:I$160,Mercado!$A$9:$A$160,$A83)</f>
        <v>11637.899845083406</v>
      </c>
      <c r="AB83" s="51">
        <f>SUMIFS(Tarifas!$AW$7:$AW$320,Tarifas!$G$7:$G$320,$A83)*SUMIFS(Mercado!J$9:J$160,Mercado!$A$9:$A$160,$A83)</f>
        <v>50452.331645570011</v>
      </c>
      <c r="AC83" s="51">
        <f>SUMIFS(Tarifas!$AW$7:$AW$320,Tarifas!$G$7:$G$320,$A83)*SUMIFS(Mercado!K$9:K$160,Mercado!$A$9:$A$160,$A83)</f>
        <v>50452.331645570011</v>
      </c>
      <c r="AE83" s="55">
        <f t="shared" si="23"/>
        <v>0</v>
      </c>
      <c r="AF83" s="55">
        <f t="shared" si="17"/>
        <v>7534.4881006978976</v>
      </c>
      <c r="AG83" s="55">
        <f t="shared" si="18"/>
        <v>28474.795757176991</v>
      </c>
      <c r="AH83" s="55">
        <f t="shared" si="19"/>
        <v>11637.899845083406</v>
      </c>
      <c r="AI83" s="55">
        <f t="shared" si="20"/>
        <v>50452.331645570011</v>
      </c>
      <c r="AJ83" s="55">
        <f t="shared" si="21"/>
        <v>50452.331645570011</v>
      </c>
    </row>
    <row r="84" spans="1:36">
      <c r="A84" s="192"/>
      <c r="D84" s="51"/>
      <c r="E84" s="51"/>
      <c r="F84" s="51"/>
      <c r="G84" s="51">
        <f>SUMIFS(Tarifas!$K$7:$K$320,Tarifas!$G$7:$G$320,$A84)*SUMIFS(Mercado!G$9:G$160,Mercado!$A$9:$A$160,$A84)</f>
        <v>0</v>
      </c>
      <c r="H84" s="51">
        <f>SUMIFS(Tarifas!$K$7:$K$320,Tarifas!$G$7:$G$320,$A84)*SUMIFS(Mercado!H$9:H$160,Mercado!$A$9:$A$160,$A84)</f>
        <v>0</v>
      </c>
      <c r="I84" s="51">
        <f>SUMIFS(Tarifas!$K$7:$K$320,Tarifas!$G$7:$G$320,$A84)*SUMIFS(Mercado!I$9:I$160,Mercado!$A$9:$A$160,$A84)</f>
        <v>0</v>
      </c>
      <c r="J84" s="51">
        <f>SUMIFS(Tarifas!$K$7:$K$320,Tarifas!$G$7:$G$320,$A84)*SUMIFS(Mercado!J$9:J$160,Mercado!$A$9:$A$160,$A84)</f>
        <v>0</v>
      </c>
      <c r="K84" s="51">
        <f>SUMIFS(Tarifas!$K$7:$K$320,Tarifas!$G$7:$G$320,$A84)*SUMIFS(Mercado!K$9:K$160,Mercado!$A$9:$A$160,$A84)</f>
        <v>0</v>
      </c>
      <c r="M84" s="55">
        <f t="shared" si="22"/>
        <v>0</v>
      </c>
      <c r="N84" s="55">
        <f t="shared" si="12"/>
        <v>0</v>
      </c>
      <c r="O84" s="55">
        <f t="shared" si="13"/>
        <v>0</v>
      </c>
      <c r="P84" s="55">
        <f t="shared" si="14"/>
        <v>0</v>
      </c>
      <c r="Q84" s="55">
        <f t="shared" si="15"/>
        <v>0</v>
      </c>
      <c r="R84" s="55">
        <f t="shared" si="16"/>
        <v>0</v>
      </c>
      <c r="T84" s="51">
        <f>NPV(Inputs!$C$6,'Vendas Vigente'!N84:Q84)+((R84*Inputs!$C$11)/(1+Inputs!$C$6)^(4.55))</f>
        <v>0</v>
      </c>
      <c r="X84" s="51"/>
      <c r="Y84" s="51">
        <f>SUMIFS(Tarifas!$AW$7:$AW$320,Tarifas!$G$7:$G$320,$A84)*SUMIFS(Mercado!G$9:G$160,Mercado!$A$9:$A$160,$A84)</f>
        <v>0</v>
      </c>
      <c r="Z84" s="51">
        <f>SUMIFS(Tarifas!$AW$7:$AW$320,Tarifas!$G$7:$G$320,$A84)*SUMIFS(Mercado!H$9:H$160,Mercado!$A$9:$A$160,$A84)</f>
        <v>0</v>
      </c>
      <c r="AA84" s="51">
        <f>SUMIFS(Tarifas!$AW$7:$AW$320,Tarifas!$G$7:$G$320,$A84)*SUMIFS(Mercado!I$9:I$160,Mercado!$A$9:$A$160,$A84)</f>
        <v>0</v>
      </c>
      <c r="AB84" s="51">
        <f>SUMIFS(Tarifas!$AW$7:$AW$320,Tarifas!$G$7:$G$320,$A84)*SUMIFS(Mercado!J$9:J$160,Mercado!$A$9:$A$160,$A84)</f>
        <v>0</v>
      </c>
      <c r="AC84" s="51">
        <f>SUMIFS(Tarifas!$AW$7:$AW$320,Tarifas!$G$7:$G$320,$A84)*SUMIFS(Mercado!K$9:K$160,Mercado!$A$9:$A$160,$A84)</f>
        <v>0</v>
      </c>
      <c r="AE84" s="55">
        <f t="shared" si="23"/>
        <v>0</v>
      </c>
      <c r="AF84" s="55">
        <f t="shared" si="17"/>
        <v>0</v>
      </c>
      <c r="AG84" s="55">
        <f t="shared" si="18"/>
        <v>0</v>
      </c>
      <c r="AH84" s="55">
        <f t="shared" si="19"/>
        <v>0</v>
      </c>
      <c r="AI84" s="55">
        <f t="shared" si="20"/>
        <v>0</v>
      </c>
      <c r="AJ84" s="55">
        <f t="shared" si="21"/>
        <v>0</v>
      </c>
    </row>
    <row r="85" spans="1:36">
      <c r="A85" s="192" t="str">
        <f>Usuarios!A91</f>
        <v>14 1</v>
      </c>
      <c r="B85" s="50" t="str">
        <f>Usuarios!B91</f>
        <v>Industrial - Consumidor Livre/Auto-importador/Autoprodutor</v>
      </c>
      <c r="C85" s="50">
        <f>Usuarios!C91</f>
        <v>1</v>
      </c>
      <c r="D85" s="51">
        <f>Usuarios!D91</f>
        <v>0</v>
      </c>
      <c r="E85" s="51">
        <f>Usuarios!E91</f>
        <v>200</v>
      </c>
      <c r="F85" s="51"/>
      <c r="G85" s="51">
        <f>SUMIFS(Tarifas!$K$7:$K$320,Tarifas!$G$7:$G$320,$A85)*SUMIFS(Mercado!G$9:G$160,Mercado!$A$9:$A$160,$A85)</f>
        <v>0</v>
      </c>
      <c r="H85" s="51">
        <f>SUMIFS(Tarifas!$K$7:$K$320,Tarifas!$G$7:$G$320,$A85)*SUMIFS(Mercado!H$9:H$160,Mercado!$A$9:$A$160,$A85)</f>
        <v>3.7899373400147582</v>
      </c>
      <c r="I85" s="51">
        <f>SUMIFS(Tarifas!$K$7:$K$320,Tarifas!$G$7:$G$320,$A85)*SUMIFS(Mercado!I$9:I$160,Mercado!$A$9:$A$160,$A85)</f>
        <v>3.7899373400147582</v>
      </c>
      <c r="J85" s="51">
        <f>SUMIFS(Tarifas!$K$7:$K$320,Tarifas!$G$7:$G$320,$A85)*SUMIFS(Mercado!J$9:J$160,Mercado!$A$9:$A$160,$A85)</f>
        <v>3.7899373400147582</v>
      </c>
      <c r="K85" s="51">
        <f>SUMIFS(Tarifas!$K$7:$K$320,Tarifas!$G$7:$G$320,$A85)*SUMIFS(Mercado!K$9:K$160,Mercado!$A$9:$A$160,$A85)</f>
        <v>3.7899373400147582</v>
      </c>
      <c r="M85" s="55">
        <f t="shared" si="22"/>
        <v>0</v>
      </c>
      <c r="N85" s="55">
        <f t="shared" si="12"/>
        <v>0</v>
      </c>
      <c r="O85" s="55">
        <f t="shared" si="13"/>
        <v>3.7899373400147582</v>
      </c>
      <c r="P85" s="55">
        <f t="shared" si="14"/>
        <v>3.7899373400147582</v>
      </c>
      <c r="Q85" s="55">
        <f t="shared" si="15"/>
        <v>3.7899373400147582</v>
      </c>
      <c r="R85" s="55">
        <f t="shared" si="16"/>
        <v>3.7899373400147582</v>
      </c>
      <c r="T85" s="51">
        <f>NPV(Inputs!$C$6,'Vendas Vigente'!N85:Q85)+((R85*Inputs!$C$11)/(1+Inputs!$C$6)^(4.55))</f>
        <v>10.235167566445671</v>
      </c>
      <c r="X85" s="51"/>
      <c r="Y85" s="51">
        <f>SUMIFS(Tarifas!$AW$7:$AW$320,Tarifas!$G$7:$G$320,$A85)*SUMIFS(Mercado!G$9:G$160,Mercado!$A$9:$A$160,$A85)</f>
        <v>0</v>
      </c>
      <c r="Z85" s="51">
        <f>SUMIFS(Tarifas!$AW$7:$AW$320,Tarifas!$G$7:$G$320,$A85)*SUMIFS(Mercado!H$9:H$160,Mercado!$A$9:$A$160,$A85)</f>
        <v>3.7179282073775117</v>
      </c>
      <c r="AA85" s="51">
        <f>SUMIFS(Tarifas!$AW$7:$AW$320,Tarifas!$G$7:$G$320,$A85)*SUMIFS(Mercado!I$9:I$160,Mercado!$A$9:$A$160,$A85)</f>
        <v>3.7179282073775117</v>
      </c>
      <c r="AB85" s="51">
        <f>SUMIFS(Tarifas!$AW$7:$AW$320,Tarifas!$G$7:$G$320,$A85)*SUMIFS(Mercado!J$9:J$160,Mercado!$A$9:$A$160,$A85)</f>
        <v>3.7179282073775117</v>
      </c>
      <c r="AC85" s="51">
        <f>SUMIFS(Tarifas!$AW$7:$AW$320,Tarifas!$G$7:$G$320,$A85)*SUMIFS(Mercado!K$9:K$160,Mercado!$A$9:$A$160,$A85)</f>
        <v>3.7179282073775117</v>
      </c>
      <c r="AE85" s="55">
        <f t="shared" si="23"/>
        <v>0</v>
      </c>
      <c r="AF85" s="55">
        <f t="shared" si="17"/>
        <v>0</v>
      </c>
      <c r="AG85" s="55">
        <f t="shared" si="18"/>
        <v>3.7179282073775117</v>
      </c>
      <c r="AH85" s="55">
        <f t="shared" si="19"/>
        <v>3.7179282073775117</v>
      </c>
      <c r="AI85" s="55">
        <f t="shared" si="20"/>
        <v>3.7179282073775117</v>
      </c>
      <c r="AJ85" s="55">
        <f t="shared" si="21"/>
        <v>3.7179282073775117</v>
      </c>
    </row>
    <row r="86" spans="1:36">
      <c r="A86" s="192" t="str">
        <f>Usuarios!A92</f>
        <v>14 2</v>
      </c>
      <c r="B86" s="50" t="str">
        <f>Usuarios!B92</f>
        <v>Industrial - Consumidor Livre/Auto-importador/Autoprodutor</v>
      </c>
      <c r="C86" s="50">
        <f>Usuarios!C92</f>
        <v>2</v>
      </c>
      <c r="D86" s="51">
        <f>Usuarios!D92</f>
        <v>201</v>
      </c>
      <c r="E86" s="51">
        <f>Usuarios!E92</f>
        <v>2000</v>
      </c>
      <c r="F86" s="51"/>
      <c r="G86" s="51">
        <f>SUMIFS(Tarifas!$K$7:$K$320,Tarifas!$G$7:$G$320,$A86)*SUMIFS(Mercado!G$9:G$160,Mercado!$A$9:$A$160,$A86)</f>
        <v>0</v>
      </c>
      <c r="H86" s="51">
        <f>SUMIFS(Tarifas!$K$7:$K$320,Tarifas!$G$7:$G$320,$A86)*SUMIFS(Mercado!H$9:H$160,Mercado!$A$9:$A$160,$A86)</f>
        <v>31.834072835379221</v>
      </c>
      <c r="I86" s="51">
        <f>SUMIFS(Tarifas!$K$7:$K$320,Tarifas!$G$7:$G$320,$A86)*SUMIFS(Mercado!I$9:I$160,Mercado!$A$9:$A$160,$A86)</f>
        <v>31.834072835379221</v>
      </c>
      <c r="J86" s="51">
        <f>SUMIFS(Tarifas!$K$7:$K$320,Tarifas!$G$7:$G$320,$A86)*SUMIFS(Mercado!J$9:J$160,Mercado!$A$9:$A$160,$A86)</f>
        <v>31.834072835379221</v>
      </c>
      <c r="K86" s="51">
        <f>SUMIFS(Tarifas!$K$7:$K$320,Tarifas!$G$7:$G$320,$A86)*SUMIFS(Mercado!K$9:K$160,Mercado!$A$9:$A$160,$A86)</f>
        <v>31.834072835379221</v>
      </c>
      <c r="M86" s="55">
        <f t="shared" si="22"/>
        <v>0</v>
      </c>
      <c r="N86" s="55">
        <f t="shared" si="12"/>
        <v>0</v>
      </c>
      <c r="O86" s="55">
        <f t="shared" si="13"/>
        <v>31.834072835379221</v>
      </c>
      <c r="P86" s="55">
        <f t="shared" si="14"/>
        <v>31.834072835379221</v>
      </c>
      <c r="Q86" s="55">
        <f t="shared" si="15"/>
        <v>31.834072835379221</v>
      </c>
      <c r="R86" s="55">
        <f t="shared" si="16"/>
        <v>31.834072835379221</v>
      </c>
      <c r="T86" s="51">
        <f>NPV(Inputs!$C$6,'Vendas Vigente'!N86:Q86)+((R86*Inputs!$C$11)/(1+Inputs!$C$6)^(4.55))</f>
        <v>85.971624478433654</v>
      </c>
      <c r="X86" s="51"/>
      <c r="Y86" s="51">
        <f>SUMIFS(Tarifas!$AW$7:$AW$320,Tarifas!$G$7:$G$320,$A86)*SUMIFS(Mercado!G$9:G$160,Mercado!$A$9:$A$160,$A86)</f>
        <v>0</v>
      </c>
      <c r="Z86" s="51">
        <f>SUMIFS(Tarifas!$AW$7:$AW$320,Tarifas!$G$7:$G$320,$A86)*SUMIFS(Mercado!H$9:H$160,Mercado!$A$9:$A$160,$A86)</f>
        <v>31.229056765709402</v>
      </c>
      <c r="AA86" s="51">
        <f>SUMIFS(Tarifas!$AW$7:$AW$320,Tarifas!$G$7:$G$320,$A86)*SUMIFS(Mercado!I$9:I$160,Mercado!$A$9:$A$160,$A86)</f>
        <v>31.229056765709402</v>
      </c>
      <c r="AB86" s="51">
        <f>SUMIFS(Tarifas!$AW$7:$AW$320,Tarifas!$G$7:$G$320,$A86)*SUMIFS(Mercado!J$9:J$160,Mercado!$A$9:$A$160,$A86)</f>
        <v>31.229056765709402</v>
      </c>
      <c r="AC86" s="51">
        <f>SUMIFS(Tarifas!$AW$7:$AW$320,Tarifas!$G$7:$G$320,$A86)*SUMIFS(Mercado!K$9:K$160,Mercado!$A$9:$A$160,$A86)</f>
        <v>31.229056765709402</v>
      </c>
      <c r="AE86" s="55">
        <f t="shared" si="23"/>
        <v>0</v>
      </c>
      <c r="AF86" s="55">
        <f t="shared" si="17"/>
        <v>0</v>
      </c>
      <c r="AG86" s="55">
        <f t="shared" si="18"/>
        <v>31.229056765709402</v>
      </c>
      <c r="AH86" s="55">
        <f t="shared" si="19"/>
        <v>31.229056765709402</v>
      </c>
      <c r="AI86" s="55">
        <f t="shared" si="20"/>
        <v>31.229056765709402</v>
      </c>
      <c r="AJ86" s="55">
        <f t="shared" si="21"/>
        <v>31.229056765709402</v>
      </c>
    </row>
    <row r="87" spans="1:36">
      <c r="A87" s="192" t="str">
        <f>Usuarios!A93</f>
        <v>14 3</v>
      </c>
      <c r="B87" s="50" t="str">
        <f>Usuarios!B93</f>
        <v>Industrial - Consumidor Livre/Auto-importador/Autoprodutor</v>
      </c>
      <c r="C87" s="50">
        <f>Usuarios!C93</f>
        <v>3</v>
      </c>
      <c r="D87" s="51">
        <f>Usuarios!D93</f>
        <v>2001</v>
      </c>
      <c r="E87" s="51">
        <f>Usuarios!E93</f>
        <v>10000</v>
      </c>
      <c r="F87" s="51"/>
      <c r="G87" s="51">
        <f>SUMIFS(Tarifas!$K$7:$K$320,Tarifas!$G$7:$G$320,$A87)*SUMIFS(Mercado!G$9:G$160,Mercado!$A$9:$A$160,$A87)</f>
        <v>0</v>
      </c>
      <c r="H87" s="51">
        <f>SUMIFS(Tarifas!$K$7:$K$320,Tarifas!$G$7:$G$320,$A87)*SUMIFS(Mercado!H$9:H$160,Mercado!$A$9:$A$160,$A87)</f>
        <v>135.41433545680712</v>
      </c>
      <c r="I87" s="51">
        <f>SUMIFS(Tarifas!$K$7:$K$320,Tarifas!$G$7:$G$320,$A87)*SUMIFS(Mercado!I$9:I$160,Mercado!$A$9:$A$160,$A87)</f>
        <v>135.41433545680712</v>
      </c>
      <c r="J87" s="51">
        <f>SUMIFS(Tarifas!$K$7:$K$320,Tarifas!$G$7:$G$320,$A87)*SUMIFS(Mercado!J$9:J$160,Mercado!$A$9:$A$160,$A87)</f>
        <v>135.41433545680712</v>
      </c>
      <c r="K87" s="51">
        <f>SUMIFS(Tarifas!$K$7:$K$320,Tarifas!$G$7:$G$320,$A87)*SUMIFS(Mercado!K$9:K$160,Mercado!$A$9:$A$160,$A87)</f>
        <v>135.41433545680712</v>
      </c>
      <c r="M87" s="55">
        <f t="shared" si="22"/>
        <v>0</v>
      </c>
      <c r="N87" s="55">
        <f t="shared" si="12"/>
        <v>0</v>
      </c>
      <c r="O87" s="55">
        <f t="shared" si="13"/>
        <v>135.41433545680712</v>
      </c>
      <c r="P87" s="55">
        <f t="shared" si="14"/>
        <v>135.41433545680712</v>
      </c>
      <c r="Q87" s="55">
        <f t="shared" si="15"/>
        <v>135.41433545680712</v>
      </c>
      <c r="R87" s="55">
        <f t="shared" si="16"/>
        <v>135.41433545680712</v>
      </c>
      <c r="T87" s="51">
        <f>NPV(Inputs!$C$6,'Vendas Vigente'!N87:Q87)+((R87*Inputs!$C$11)/(1+Inputs!$C$6)^(4.55))</f>
        <v>365.70219767641566</v>
      </c>
      <c r="X87" s="51"/>
      <c r="Y87" s="51">
        <f>SUMIFS(Tarifas!$AW$7:$AW$320,Tarifas!$G$7:$G$320,$A87)*SUMIFS(Mercado!G$9:G$160,Mercado!$A$9:$A$160,$A87)</f>
        <v>0</v>
      </c>
      <c r="Z87" s="51">
        <f>SUMIFS(Tarifas!$AW$7:$AW$320,Tarifas!$G$7:$G$320,$A87)*SUMIFS(Mercado!H$9:H$160,Mercado!$A$9:$A$160,$A87)</f>
        <v>132.84301557909544</v>
      </c>
      <c r="AA87" s="51">
        <f>SUMIFS(Tarifas!$AW$7:$AW$320,Tarifas!$G$7:$G$320,$A87)*SUMIFS(Mercado!I$9:I$160,Mercado!$A$9:$A$160,$A87)</f>
        <v>132.84301557909544</v>
      </c>
      <c r="AB87" s="51">
        <f>SUMIFS(Tarifas!$AW$7:$AW$320,Tarifas!$G$7:$G$320,$A87)*SUMIFS(Mercado!J$9:J$160,Mercado!$A$9:$A$160,$A87)</f>
        <v>132.84301557909544</v>
      </c>
      <c r="AC87" s="51">
        <f>SUMIFS(Tarifas!$AW$7:$AW$320,Tarifas!$G$7:$G$320,$A87)*SUMIFS(Mercado!K$9:K$160,Mercado!$A$9:$A$160,$A87)</f>
        <v>132.84301557909544</v>
      </c>
      <c r="AE87" s="55">
        <f t="shared" si="23"/>
        <v>0</v>
      </c>
      <c r="AF87" s="55">
        <f t="shared" si="17"/>
        <v>0</v>
      </c>
      <c r="AG87" s="55">
        <f t="shared" si="18"/>
        <v>132.84301557909544</v>
      </c>
      <c r="AH87" s="55">
        <f t="shared" si="19"/>
        <v>132.84301557909544</v>
      </c>
      <c r="AI87" s="55">
        <f t="shared" si="20"/>
        <v>132.84301557909544</v>
      </c>
      <c r="AJ87" s="55">
        <f t="shared" si="21"/>
        <v>132.84301557909544</v>
      </c>
    </row>
    <row r="88" spans="1:36">
      <c r="A88" s="192" t="str">
        <f>Usuarios!A94</f>
        <v>14 4</v>
      </c>
      <c r="B88" s="50" t="str">
        <f>Usuarios!B94</f>
        <v>Industrial - Consumidor Livre/Auto-importador/Autoprodutor</v>
      </c>
      <c r="C88" s="50">
        <f>Usuarios!C94</f>
        <v>4</v>
      </c>
      <c r="D88" s="51">
        <f>Usuarios!D94</f>
        <v>10001</v>
      </c>
      <c r="E88" s="51">
        <f>Usuarios!E94</f>
        <v>50000</v>
      </c>
      <c r="F88" s="51"/>
      <c r="G88" s="51">
        <f>SUMIFS(Tarifas!$K$7:$K$320,Tarifas!$G$7:$G$320,$A88)*SUMIFS(Mercado!G$9:G$160,Mercado!$A$9:$A$160,$A88)</f>
        <v>0</v>
      </c>
      <c r="H88" s="51">
        <f>SUMIFS(Tarifas!$K$7:$K$320,Tarifas!$G$7:$G$320,$A88)*SUMIFS(Mercado!H$9:H$160,Mercado!$A$9:$A$160,$A88)</f>
        <v>467.61377477482745</v>
      </c>
      <c r="I88" s="51">
        <f>SUMIFS(Tarifas!$K$7:$K$320,Tarifas!$G$7:$G$320,$A88)*SUMIFS(Mercado!I$9:I$160,Mercado!$A$9:$A$160,$A88)</f>
        <v>467.61377477482745</v>
      </c>
      <c r="J88" s="51">
        <f>SUMIFS(Tarifas!$K$7:$K$320,Tarifas!$G$7:$G$320,$A88)*SUMIFS(Mercado!J$9:J$160,Mercado!$A$9:$A$160,$A88)</f>
        <v>467.61377477482745</v>
      </c>
      <c r="K88" s="51">
        <f>SUMIFS(Tarifas!$K$7:$K$320,Tarifas!$G$7:$G$320,$A88)*SUMIFS(Mercado!K$9:K$160,Mercado!$A$9:$A$160,$A88)</f>
        <v>467.61377477482745</v>
      </c>
      <c r="M88" s="55">
        <f t="shared" si="22"/>
        <v>0</v>
      </c>
      <c r="N88" s="55">
        <f t="shared" si="12"/>
        <v>0</v>
      </c>
      <c r="O88" s="55">
        <f t="shared" si="13"/>
        <v>467.61377477482745</v>
      </c>
      <c r="P88" s="55">
        <f t="shared" si="14"/>
        <v>467.61377477482745</v>
      </c>
      <c r="Q88" s="55">
        <f t="shared" si="15"/>
        <v>467.61377477482745</v>
      </c>
      <c r="R88" s="55">
        <f t="shared" si="16"/>
        <v>467.61377477482745</v>
      </c>
      <c r="T88" s="51">
        <f>NPV(Inputs!$C$6,'Vendas Vigente'!N88:Q88)+((R88*Inputs!$C$11)/(1+Inputs!$C$6)^(4.55))</f>
        <v>1262.8455068810997</v>
      </c>
      <c r="X88" s="51"/>
      <c r="Y88" s="51">
        <f>SUMIFS(Tarifas!$AW$7:$AW$320,Tarifas!$G$7:$G$320,$A88)*SUMIFS(Mercado!G$9:G$160,Mercado!$A$9:$A$160,$A88)</f>
        <v>0</v>
      </c>
      <c r="Z88" s="51">
        <f>SUMIFS(Tarifas!$AW$7:$AW$320,Tarifas!$G$7:$G$320,$A88)*SUMIFS(Mercado!H$9:H$160,Mercado!$A$9:$A$160,$A88)</f>
        <v>458.7124330380027</v>
      </c>
      <c r="AA88" s="51">
        <f>SUMIFS(Tarifas!$AW$7:$AW$320,Tarifas!$G$7:$G$320,$A88)*SUMIFS(Mercado!I$9:I$160,Mercado!$A$9:$A$160,$A88)</f>
        <v>458.7124330380027</v>
      </c>
      <c r="AB88" s="51">
        <f>SUMIFS(Tarifas!$AW$7:$AW$320,Tarifas!$G$7:$G$320,$A88)*SUMIFS(Mercado!J$9:J$160,Mercado!$A$9:$A$160,$A88)</f>
        <v>458.7124330380027</v>
      </c>
      <c r="AC88" s="51">
        <f>SUMIFS(Tarifas!$AW$7:$AW$320,Tarifas!$G$7:$G$320,$A88)*SUMIFS(Mercado!K$9:K$160,Mercado!$A$9:$A$160,$A88)</f>
        <v>458.7124330380027</v>
      </c>
      <c r="AE88" s="55">
        <f t="shared" si="23"/>
        <v>0</v>
      </c>
      <c r="AF88" s="55">
        <f t="shared" si="17"/>
        <v>0</v>
      </c>
      <c r="AG88" s="55">
        <f t="shared" si="18"/>
        <v>458.7124330380027</v>
      </c>
      <c r="AH88" s="55">
        <f t="shared" si="19"/>
        <v>458.7124330380027</v>
      </c>
      <c r="AI88" s="55">
        <f t="shared" si="20"/>
        <v>458.7124330380027</v>
      </c>
      <c r="AJ88" s="55">
        <f t="shared" si="21"/>
        <v>458.7124330380027</v>
      </c>
    </row>
    <row r="89" spans="1:36">
      <c r="A89" s="192" t="str">
        <f>Usuarios!A95</f>
        <v>14 5</v>
      </c>
      <c r="B89" s="50" t="str">
        <f>Usuarios!B95</f>
        <v>Industrial - Consumidor Livre/Auto-importador/Autoprodutor</v>
      </c>
      <c r="C89" s="50">
        <f>Usuarios!C95</f>
        <v>5</v>
      </c>
      <c r="D89" s="51">
        <f>Usuarios!D95</f>
        <v>50001</v>
      </c>
      <c r="E89" s="51">
        <f>Usuarios!E95</f>
        <v>100000</v>
      </c>
      <c r="F89" s="51"/>
      <c r="G89" s="51">
        <f>SUMIFS(Tarifas!$K$7:$K$320,Tarifas!$G$7:$G$320,$A89)*SUMIFS(Mercado!G$9:G$160,Mercado!$A$9:$A$160,$A89)</f>
        <v>0</v>
      </c>
      <c r="H89" s="51">
        <f>SUMIFS(Tarifas!$K$7:$K$320,Tarifas!$G$7:$G$320,$A89)*SUMIFS(Mercado!H$9:H$160,Mercado!$A$9:$A$160,$A89)</f>
        <v>471.48338376719653</v>
      </c>
      <c r="I89" s="51">
        <f>SUMIFS(Tarifas!$K$7:$K$320,Tarifas!$G$7:$G$320,$A89)*SUMIFS(Mercado!I$9:I$160,Mercado!$A$9:$A$160,$A89)</f>
        <v>471.48338376719653</v>
      </c>
      <c r="J89" s="51">
        <f>SUMIFS(Tarifas!$K$7:$K$320,Tarifas!$G$7:$G$320,$A89)*SUMIFS(Mercado!J$9:J$160,Mercado!$A$9:$A$160,$A89)</f>
        <v>471.48338376719653</v>
      </c>
      <c r="K89" s="51">
        <f>SUMIFS(Tarifas!$K$7:$K$320,Tarifas!$G$7:$G$320,$A89)*SUMIFS(Mercado!K$9:K$160,Mercado!$A$9:$A$160,$A89)</f>
        <v>471.48338376719653</v>
      </c>
      <c r="M89" s="55">
        <f t="shared" si="22"/>
        <v>0</v>
      </c>
      <c r="N89" s="55">
        <f t="shared" si="12"/>
        <v>0</v>
      </c>
      <c r="O89" s="55">
        <f t="shared" si="13"/>
        <v>471.48338376719653</v>
      </c>
      <c r="P89" s="55">
        <f t="shared" si="14"/>
        <v>471.48338376719653</v>
      </c>
      <c r="Q89" s="55">
        <f t="shared" si="15"/>
        <v>471.48338376719653</v>
      </c>
      <c r="R89" s="55">
        <f t="shared" si="16"/>
        <v>471.48338376719653</v>
      </c>
      <c r="T89" s="51">
        <f>NPV(Inputs!$C$6,'Vendas Vigente'!N89:Q89)+((R89*Inputs!$C$11)/(1+Inputs!$C$6)^(4.55))</f>
        <v>1273.295837031774</v>
      </c>
      <c r="X89" s="51"/>
      <c r="Y89" s="51">
        <f>SUMIFS(Tarifas!$AW$7:$AW$320,Tarifas!$G$7:$G$320,$A89)*SUMIFS(Mercado!G$9:G$160,Mercado!$A$9:$A$160,$A89)</f>
        <v>0</v>
      </c>
      <c r="Z89" s="51">
        <f>SUMIFS(Tarifas!$AW$7:$AW$320,Tarifas!$G$7:$G$320,$A89)*SUMIFS(Mercado!H$9:H$160,Mercado!$A$9:$A$160,$A89)</f>
        <v>462.50519511952672</v>
      </c>
      <c r="AA89" s="51">
        <f>SUMIFS(Tarifas!$AW$7:$AW$320,Tarifas!$G$7:$G$320,$A89)*SUMIFS(Mercado!I$9:I$160,Mercado!$A$9:$A$160,$A89)</f>
        <v>462.50519511952672</v>
      </c>
      <c r="AB89" s="51">
        <f>SUMIFS(Tarifas!$AW$7:$AW$320,Tarifas!$G$7:$G$320,$A89)*SUMIFS(Mercado!J$9:J$160,Mercado!$A$9:$A$160,$A89)</f>
        <v>462.50519511952672</v>
      </c>
      <c r="AC89" s="51">
        <f>SUMIFS(Tarifas!$AW$7:$AW$320,Tarifas!$G$7:$G$320,$A89)*SUMIFS(Mercado!K$9:K$160,Mercado!$A$9:$A$160,$A89)</f>
        <v>462.50519511952672</v>
      </c>
      <c r="AE89" s="55">
        <f t="shared" si="23"/>
        <v>0</v>
      </c>
      <c r="AF89" s="55">
        <f t="shared" si="17"/>
        <v>0</v>
      </c>
      <c r="AG89" s="55">
        <f t="shared" si="18"/>
        <v>462.50519511952672</v>
      </c>
      <c r="AH89" s="55">
        <f t="shared" si="19"/>
        <v>462.50519511952672</v>
      </c>
      <c r="AI89" s="55">
        <f t="shared" si="20"/>
        <v>462.50519511952672</v>
      </c>
      <c r="AJ89" s="55">
        <f t="shared" si="21"/>
        <v>462.50519511952672</v>
      </c>
    </row>
    <row r="90" spans="1:36">
      <c r="A90" s="192" t="str">
        <f>Usuarios!A96</f>
        <v>14 6</v>
      </c>
      <c r="B90" s="50" t="str">
        <f>Usuarios!B96</f>
        <v>Industrial - Consumidor Livre/Auto-importador/Autoprodutor</v>
      </c>
      <c r="C90" s="50">
        <f>Usuarios!C96</f>
        <v>6</v>
      </c>
      <c r="D90" s="51">
        <f>Usuarios!D96</f>
        <v>100001</v>
      </c>
      <c r="E90" s="51">
        <f>Usuarios!E96</f>
        <v>300000</v>
      </c>
      <c r="F90" s="51"/>
      <c r="G90" s="51">
        <f>SUMIFS(Tarifas!$K$7:$K$320,Tarifas!$G$7:$G$320,$A90)*SUMIFS(Mercado!G$9:G$160,Mercado!$A$9:$A$160,$A90)</f>
        <v>0</v>
      </c>
      <c r="H90" s="51">
        <f>SUMIFS(Tarifas!$K$7:$K$320,Tarifas!$G$7:$G$320,$A90)*SUMIFS(Mercado!H$9:H$160,Mercado!$A$9:$A$160,$A90)</f>
        <v>1400.9283417795173</v>
      </c>
      <c r="I90" s="51">
        <f>SUMIFS(Tarifas!$K$7:$K$320,Tarifas!$G$7:$G$320,$A90)*SUMIFS(Mercado!I$9:I$160,Mercado!$A$9:$A$160,$A90)</f>
        <v>1400.9283417795173</v>
      </c>
      <c r="J90" s="51">
        <f>SUMIFS(Tarifas!$K$7:$K$320,Tarifas!$G$7:$G$320,$A90)*SUMIFS(Mercado!J$9:J$160,Mercado!$A$9:$A$160,$A90)</f>
        <v>1400.9283417795173</v>
      </c>
      <c r="K90" s="51">
        <f>SUMIFS(Tarifas!$K$7:$K$320,Tarifas!$G$7:$G$320,$A90)*SUMIFS(Mercado!K$9:K$160,Mercado!$A$9:$A$160,$A90)</f>
        <v>1400.9283417795173</v>
      </c>
      <c r="M90" s="55">
        <f t="shared" si="22"/>
        <v>0</v>
      </c>
      <c r="N90" s="55">
        <f t="shared" si="12"/>
        <v>0</v>
      </c>
      <c r="O90" s="55">
        <f t="shared" si="13"/>
        <v>1400.9283417795173</v>
      </c>
      <c r="P90" s="55">
        <f t="shared" si="14"/>
        <v>1400.9283417795173</v>
      </c>
      <c r="Q90" s="55">
        <f t="shared" si="15"/>
        <v>1400.9283417795173</v>
      </c>
      <c r="R90" s="55">
        <f t="shared" si="16"/>
        <v>1400.9283417795173</v>
      </c>
      <c r="T90" s="51">
        <f>NPV(Inputs!$C$6,'Vendas Vigente'!N90:Q90)+((R90*Inputs!$C$11)/(1+Inputs!$C$6)^(4.55))</f>
        <v>3783.3702882909383</v>
      </c>
      <c r="X90" s="51"/>
      <c r="Y90" s="51">
        <f>SUMIFS(Tarifas!$AW$7:$AW$320,Tarifas!$G$7:$G$320,$A90)*SUMIFS(Mercado!G$9:G$160,Mercado!$A$9:$A$160,$A90)</f>
        <v>0</v>
      </c>
      <c r="Z90" s="51">
        <f>SUMIFS(Tarifas!$AW$7:$AW$320,Tarifas!$G$7:$G$320,$A90)*SUMIFS(Mercado!H$9:H$160,Mercado!$A$9:$A$160,$A90)</f>
        <v>1374.3810060831015</v>
      </c>
      <c r="AA90" s="51">
        <f>SUMIFS(Tarifas!$AW$7:$AW$320,Tarifas!$G$7:$G$320,$A90)*SUMIFS(Mercado!I$9:I$160,Mercado!$A$9:$A$160,$A90)</f>
        <v>1374.3810060831015</v>
      </c>
      <c r="AB90" s="51">
        <f>SUMIFS(Tarifas!$AW$7:$AW$320,Tarifas!$G$7:$G$320,$A90)*SUMIFS(Mercado!J$9:J$160,Mercado!$A$9:$A$160,$A90)</f>
        <v>1374.3810060831015</v>
      </c>
      <c r="AC90" s="51">
        <f>SUMIFS(Tarifas!$AW$7:$AW$320,Tarifas!$G$7:$G$320,$A90)*SUMIFS(Mercado!K$9:K$160,Mercado!$A$9:$A$160,$A90)</f>
        <v>1374.3810060831015</v>
      </c>
      <c r="AE90" s="55">
        <f t="shared" si="23"/>
        <v>0</v>
      </c>
      <c r="AF90" s="55">
        <f t="shared" si="17"/>
        <v>0</v>
      </c>
      <c r="AG90" s="55">
        <f t="shared" si="18"/>
        <v>1374.3810060831015</v>
      </c>
      <c r="AH90" s="55">
        <f t="shared" si="19"/>
        <v>1374.3810060831015</v>
      </c>
      <c r="AI90" s="55">
        <f t="shared" si="20"/>
        <v>1374.3810060831015</v>
      </c>
      <c r="AJ90" s="55">
        <f t="shared" si="21"/>
        <v>1374.3810060831015</v>
      </c>
    </row>
    <row r="91" spans="1:36">
      <c r="A91" s="192" t="str">
        <f>Usuarios!A97</f>
        <v>14 7</v>
      </c>
      <c r="B91" s="50" t="str">
        <f>Usuarios!B97</f>
        <v>Industrial - Consumidor Livre/Auto-importador/Autoprodutor</v>
      </c>
      <c r="C91" s="50">
        <f>Usuarios!C97</f>
        <v>7</v>
      </c>
      <c r="D91" s="51">
        <f>Usuarios!D97</f>
        <v>300001</v>
      </c>
      <c r="E91" s="51">
        <f>Usuarios!E97</f>
        <v>600000</v>
      </c>
      <c r="F91" s="51"/>
      <c r="G91" s="51">
        <f>SUMIFS(Tarifas!$K$7:$K$320,Tarifas!$G$7:$G$320,$A91)*SUMIFS(Mercado!G$9:G$160,Mercado!$A$9:$A$160,$A91)</f>
        <v>0</v>
      </c>
      <c r="H91" s="51">
        <f>SUMIFS(Tarifas!$K$7:$K$320,Tarifas!$G$7:$G$320,$A91)*SUMIFS(Mercado!H$9:H$160,Mercado!$A$9:$A$160,$A91)</f>
        <v>1241.9682056709357</v>
      </c>
      <c r="I91" s="51">
        <f>SUMIFS(Tarifas!$K$7:$K$320,Tarifas!$G$7:$G$320,$A91)*SUMIFS(Mercado!I$9:I$160,Mercado!$A$9:$A$160,$A91)</f>
        <v>1241.9682056709357</v>
      </c>
      <c r="J91" s="51">
        <f>SUMIFS(Tarifas!$K$7:$K$320,Tarifas!$G$7:$G$320,$A91)*SUMIFS(Mercado!J$9:J$160,Mercado!$A$9:$A$160,$A91)</f>
        <v>1241.9682056709357</v>
      </c>
      <c r="K91" s="51">
        <f>SUMIFS(Tarifas!$K$7:$K$320,Tarifas!$G$7:$G$320,$A91)*SUMIFS(Mercado!K$9:K$160,Mercado!$A$9:$A$160,$A91)</f>
        <v>1241.9682056709357</v>
      </c>
      <c r="M91" s="55">
        <f t="shared" si="22"/>
        <v>0</v>
      </c>
      <c r="N91" s="55">
        <f t="shared" si="12"/>
        <v>0</v>
      </c>
      <c r="O91" s="55">
        <f t="shared" si="13"/>
        <v>1241.9682056709357</v>
      </c>
      <c r="P91" s="55">
        <f t="shared" si="14"/>
        <v>1241.9682056709357</v>
      </c>
      <c r="Q91" s="55">
        <f t="shared" si="15"/>
        <v>1241.9682056709357</v>
      </c>
      <c r="R91" s="55">
        <f t="shared" si="16"/>
        <v>1241.9682056709357</v>
      </c>
      <c r="T91" s="51">
        <f>NPV(Inputs!$C$6,'Vendas Vigente'!N91:Q91)+((R91*Inputs!$C$11)/(1+Inputs!$C$6)^(4.55))</f>
        <v>3354.0799113028042</v>
      </c>
      <c r="X91" s="51"/>
      <c r="Y91" s="51">
        <f>SUMIFS(Tarifas!$AW$7:$AW$320,Tarifas!$G$7:$G$320,$A91)*SUMIFS(Mercado!G$9:G$160,Mercado!$A$9:$A$160,$A91)</f>
        <v>0</v>
      </c>
      <c r="Z91" s="51">
        <f>SUMIFS(Tarifas!$AW$7:$AW$320,Tarifas!$G$7:$G$320,$A91)*SUMIFS(Mercado!H$9:H$160,Mercado!$A$9:$A$160,$A91)</f>
        <v>1218.4416483009902</v>
      </c>
      <c r="AA91" s="51">
        <f>SUMIFS(Tarifas!$AW$7:$AW$320,Tarifas!$G$7:$G$320,$A91)*SUMIFS(Mercado!I$9:I$160,Mercado!$A$9:$A$160,$A91)</f>
        <v>1218.4416483009902</v>
      </c>
      <c r="AB91" s="51">
        <f>SUMIFS(Tarifas!$AW$7:$AW$320,Tarifas!$G$7:$G$320,$A91)*SUMIFS(Mercado!J$9:J$160,Mercado!$A$9:$A$160,$A91)</f>
        <v>1218.4416483009902</v>
      </c>
      <c r="AC91" s="51">
        <f>SUMIFS(Tarifas!$AW$7:$AW$320,Tarifas!$G$7:$G$320,$A91)*SUMIFS(Mercado!K$9:K$160,Mercado!$A$9:$A$160,$A91)</f>
        <v>1218.4416483009902</v>
      </c>
      <c r="AE91" s="55">
        <f t="shared" si="23"/>
        <v>0</v>
      </c>
      <c r="AF91" s="55">
        <f t="shared" si="17"/>
        <v>0</v>
      </c>
      <c r="AG91" s="55">
        <f t="shared" si="18"/>
        <v>1218.4416483009902</v>
      </c>
      <c r="AH91" s="55">
        <f t="shared" si="19"/>
        <v>1218.4416483009902</v>
      </c>
      <c r="AI91" s="55">
        <f t="shared" si="20"/>
        <v>1218.4416483009902</v>
      </c>
      <c r="AJ91" s="55">
        <f t="shared" si="21"/>
        <v>1218.4416483009902</v>
      </c>
    </row>
    <row r="92" spans="1:36">
      <c r="A92" s="192" t="str">
        <f>Usuarios!A98</f>
        <v>14 8</v>
      </c>
      <c r="B92" s="50" t="str">
        <f>Usuarios!B98</f>
        <v>Industrial - Consumidor Livre/Auto-importador/Autoprodutor</v>
      </c>
      <c r="C92" s="50">
        <f>Usuarios!C98</f>
        <v>8</v>
      </c>
      <c r="D92" s="51">
        <f>Usuarios!D98</f>
        <v>600001</v>
      </c>
      <c r="E92" s="51">
        <f>Usuarios!E98</f>
        <v>1500000</v>
      </c>
      <c r="F92" s="51"/>
      <c r="G92" s="51">
        <f>SUMIFS(Tarifas!$K$7:$K$320,Tarifas!$G$7:$G$320,$A92)*SUMIFS(Mercado!G$9:G$160,Mercado!$A$9:$A$160,$A92)</f>
        <v>0</v>
      </c>
      <c r="H92" s="51">
        <f>SUMIFS(Tarifas!$K$7:$K$320,Tarifas!$G$7:$G$320,$A92)*SUMIFS(Mercado!H$9:H$160,Mercado!$A$9:$A$160,$A92)</f>
        <v>3655.0945581511742</v>
      </c>
      <c r="I92" s="51">
        <f>SUMIFS(Tarifas!$K$7:$K$320,Tarifas!$G$7:$G$320,$A92)*SUMIFS(Mercado!I$9:I$160,Mercado!$A$9:$A$160,$A92)</f>
        <v>3655.0945581511742</v>
      </c>
      <c r="J92" s="51">
        <f>SUMIFS(Tarifas!$K$7:$K$320,Tarifas!$G$7:$G$320,$A92)*SUMIFS(Mercado!J$9:J$160,Mercado!$A$9:$A$160,$A92)</f>
        <v>3655.0945581511742</v>
      </c>
      <c r="K92" s="51">
        <f>SUMIFS(Tarifas!$K$7:$K$320,Tarifas!$G$7:$G$320,$A92)*SUMIFS(Mercado!K$9:K$160,Mercado!$A$9:$A$160,$A92)</f>
        <v>3655.0945581511742</v>
      </c>
      <c r="M92" s="55">
        <f t="shared" si="22"/>
        <v>0</v>
      </c>
      <c r="N92" s="55">
        <f t="shared" si="12"/>
        <v>0</v>
      </c>
      <c r="O92" s="55">
        <f t="shared" si="13"/>
        <v>3655.0945581511742</v>
      </c>
      <c r="P92" s="55">
        <f t="shared" si="14"/>
        <v>3655.0945581511742</v>
      </c>
      <c r="Q92" s="55">
        <f t="shared" si="15"/>
        <v>3655.0945581511742</v>
      </c>
      <c r="R92" s="55">
        <f t="shared" si="16"/>
        <v>3655.0945581511742</v>
      </c>
      <c r="T92" s="51">
        <f>NPV(Inputs!$C$6,'Vendas Vigente'!N92:Q92)+((R92*Inputs!$C$11)/(1+Inputs!$C$6)^(4.55))</f>
        <v>9871.0089158717528</v>
      </c>
      <c r="X92" s="51"/>
      <c r="Y92" s="51">
        <f>SUMIFS(Tarifas!$AW$7:$AW$320,Tarifas!$G$7:$G$320,$A92)*SUMIFS(Mercado!G$9:G$160,Mercado!$A$9:$A$160,$A92)</f>
        <v>0</v>
      </c>
      <c r="Z92" s="51">
        <f>SUMIFS(Tarifas!$AW$7:$AW$320,Tarifas!$G$7:$G$320,$A92)*SUMIFS(Mercado!H$9:H$160,Mercado!$A$9:$A$160,$A92)</f>
        <v>3585.565660506466</v>
      </c>
      <c r="AA92" s="51">
        <f>SUMIFS(Tarifas!$AW$7:$AW$320,Tarifas!$G$7:$G$320,$A92)*SUMIFS(Mercado!I$9:I$160,Mercado!$A$9:$A$160,$A92)</f>
        <v>3585.565660506466</v>
      </c>
      <c r="AB92" s="51">
        <f>SUMIFS(Tarifas!$AW$7:$AW$320,Tarifas!$G$7:$G$320,$A92)*SUMIFS(Mercado!J$9:J$160,Mercado!$A$9:$A$160,$A92)</f>
        <v>3585.565660506466</v>
      </c>
      <c r="AC92" s="51">
        <f>SUMIFS(Tarifas!$AW$7:$AW$320,Tarifas!$G$7:$G$320,$A92)*SUMIFS(Mercado!K$9:K$160,Mercado!$A$9:$A$160,$A92)</f>
        <v>3585.565660506466</v>
      </c>
      <c r="AE92" s="55">
        <f t="shared" si="23"/>
        <v>0</v>
      </c>
      <c r="AF92" s="55">
        <f t="shared" si="17"/>
        <v>0</v>
      </c>
      <c r="AG92" s="55">
        <f t="shared" si="18"/>
        <v>3585.565660506466</v>
      </c>
      <c r="AH92" s="55">
        <f t="shared" si="19"/>
        <v>3585.565660506466</v>
      </c>
      <c r="AI92" s="55">
        <f t="shared" si="20"/>
        <v>3585.565660506466</v>
      </c>
      <c r="AJ92" s="55">
        <f t="shared" si="21"/>
        <v>3585.565660506466</v>
      </c>
    </row>
    <row r="93" spans="1:36">
      <c r="A93" s="192" t="str">
        <f>Usuarios!A99</f>
        <v>14 9</v>
      </c>
      <c r="B93" s="50" t="str">
        <f>Usuarios!B99</f>
        <v>Industrial - Consumidor Livre/Auto-importador/Autoprodutor</v>
      </c>
      <c r="C93" s="50">
        <f>Usuarios!C99</f>
        <v>9</v>
      </c>
      <c r="D93" s="51">
        <f>Usuarios!D99</f>
        <v>1500001</v>
      </c>
      <c r="E93" s="51">
        <f>Usuarios!E99</f>
        <v>3000000</v>
      </c>
      <c r="F93" s="51"/>
      <c r="G93" s="51">
        <f>SUMIFS(Tarifas!$K$7:$K$320,Tarifas!$G$7:$G$320,$A93)*SUMIFS(Mercado!G$9:G$160,Mercado!$A$9:$A$160,$A93)</f>
        <v>0</v>
      </c>
      <c r="H93" s="51">
        <f>SUMIFS(Tarifas!$K$7:$K$320,Tarifas!$G$7:$G$320,$A93)*SUMIFS(Mercado!H$9:H$160,Mercado!$A$9:$A$160,$A93)</f>
        <v>5773.1789987079719</v>
      </c>
      <c r="I93" s="51">
        <f>SUMIFS(Tarifas!$K$7:$K$320,Tarifas!$G$7:$G$320,$A93)*SUMIFS(Mercado!I$9:I$160,Mercado!$A$9:$A$160,$A93)</f>
        <v>5773.1789987079719</v>
      </c>
      <c r="J93" s="51">
        <f>SUMIFS(Tarifas!$K$7:$K$320,Tarifas!$G$7:$G$320,$A93)*SUMIFS(Mercado!J$9:J$160,Mercado!$A$9:$A$160,$A93)</f>
        <v>5773.1789987079719</v>
      </c>
      <c r="K93" s="51">
        <f>SUMIFS(Tarifas!$K$7:$K$320,Tarifas!$G$7:$G$320,$A93)*SUMIFS(Mercado!K$9:K$160,Mercado!$A$9:$A$160,$A93)</f>
        <v>5773.1789987079719</v>
      </c>
      <c r="M93" s="55">
        <f t="shared" si="22"/>
        <v>0</v>
      </c>
      <c r="N93" s="55">
        <f t="shared" si="12"/>
        <v>0</v>
      </c>
      <c r="O93" s="55">
        <f t="shared" si="13"/>
        <v>5773.1789987079719</v>
      </c>
      <c r="P93" s="55">
        <f t="shared" si="14"/>
        <v>5773.1789987079719</v>
      </c>
      <c r="Q93" s="55">
        <f t="shared" si="15"/>
        <v>5773.1789987079719</v>
      </c>
      <c r="R93" s="55">
        <f t="shared" si="16"/>
        <v>5773.1789987079719</v>
      </c>
      <c r="T93" s="51">
        <f>NPV(Inputs!$C$6,'Vendas Vigente'!N93:Q93)+((R93*Inputs!$C$11)/(1+Inputs!$C$6)^(4.55))</f>
        <v>15591.14284528805</v>
      </c>
      <c r="X93" s="51"/>
      <c r="Y93" s="51">
        <f>SUMIFS(Tarifas!$AW$7:$AW$320,Tarifas!$G$7:$G$320,$A93)*SUMIFS(Mercado!G$9:G$160,Mercado!$A$9:$A$160,$A93)</f>
        <v>0</v>
      </c>
      <c r="Z93" s="51">
        <f>SUMIFS(Tarifas!$AW$7:$AW$320,Tarifas!$G$7:$G$320,$A93)*SUMIFS(Mercado!H$9:H$160,Mercado!$A$9:$A$160,$A93)</f>
        <v>5664.0777313852168</v>
      </c>
      <c r="AA93" s="51">
        <f>SUMIFS(Tarifas!$AW$7:$AW$320,Tarifas!$G$7:$G$320,$A93)*SUMIFS(Mercado!I$9:I$160,Mercado!$A$9:$A$160,$A93)</f>
        <v>5664.0777313852168</v>
      </c>
      <c r="AB93" s="51">
        <f>SUMIFS(Tarifas!$AW$7:$AW$320,Tarifas!$G$7:$G$320,$A93)*SUMIFS(Mercado!J$9:J$160,Mercado!$A$9:$A$160,$A93)</f>
        <v>5664.0777313852168</v>
      </c>
      <c r="AC93" s="51">
        <f>SUMIFS(Tarifas!$AW$7:$AW$320,Tarifas!$G$7:$G$320,$A93)*SUMIFS(Mercado!K$9:K$160,Mercado!$A$9:$A$160,$A93)</f>
        <v>5664.0777313852168</v>
      </c>
      <c r="AE93" s="55">
        <f t="shared" si="23"/>
        <v>0</v>
      </c>
      <c r="AF93" s="55">
        <f t="shared" si="17"/>
        <v>0</v>
      </c>
      <c r="AG93" s="55">
        <f t="shared" si="18"/>
        <v>5664.0777313852168</v>
      </c>
      <c r="AH93" s="55">
        <f t="shared" si="19"/>
        <v>5664.0777313852168</v>
      </c>
      <c r="AI93" s="55">
        <f t="shared" si="20"/>
        <v>5664.0777313852168</v>
      </c>
      <c r="AJ93" s="55">
        <f t="shared" si="21"/>
        <v>5664.0777313852168</v>
      </c>
    </row>
    <row r="94" spans="1:36">
      <c r="A94" s="192" t="str">
        <f>Usuarios!A100</f>
        <v>14 10</v>
      </c>
      <c r="B94" s="50" t="str">
        <f>Usuarios!B100</f>
        <v>Industrial - Consumidor Livre/Auto-importador/Autoprodutor</v>
      </c>
      <c r="C94" s="50">
        <f>Usuarios!C100</f>
        <v>10</v>
      </c>
      <c r="D94" s="51">
        <f>Usuarios!D100</f>
        <v>3000001</v>
      </c>
      <c r="E94" s="51">
        <f>Usuarios!E100</f>
        <v>999999999</v>
      </c>
      <c r="F94" s="51"/>
      <c r="G94" s="51">
        <f>SUMIFS(Tarifas!$K$7:$K$320,Tarifas!$G$7:$G$320,$A94)*SUMIFS(Mercado!G$9:G$160,Mercado!$A$9:$A$160,$A94)</f>
        <v>0</v>
      </c>
      <c r="H94" s="51">
        <f>SUMIFS(Tarifas!$K$7:$K$320,Tarifas!$G$7:$G$320,$A94)*SUMIFS(Mercado!H$9:H$160,Mercado!$A$9:$A$160,$A94)</f>
        <v>52591.218282681148</v>
      </c>
      <c r="I94" s="51">
        <f>SUMIFS(Tarifas!$K$7:$K$320,Tarifas!$G$7:$G$320,$A94)*SUMIFS(Mercado!I$9:I$160,Mercado!$A$9:$A$160,$A94)</f>
        <v>80049.366330185207</v>
      </c>
      <c r="J94" s="51">
        <f>SUMIFS(Tarifas!$K$7:$K$320,Tarifas!$G$7:$G$320,$A94)*SUMIFS(Mercado!J$9:J$160,Mercado!$A$9:$A$160,$A94)</f>
        <v>78259.570715681955</v>
      </c>
      <c r="K94" s="51">
        <f>SUMIFS(Tarifas!$K$7:$K$320,Tarifas!$G$7:$G$320,$A94)*SUMIFS(Mercado!K$9:K$160,Mercado!$A$9:$A$160,$A94)</f>
        <v>76505.571013468812</v>
      </c>
      <c r="M94" s="55">
        <f t="shared" si="22"/>
        <v>0</v>
      </c>
      <c r="N94" s="55">
        <f t="shared" si="12"/>
        <v>0</v>
      </c>
      <c r="O94" s="55">
        <f t="shared" si="13"/>
        <v>52591.218282681148</v>
      </c>
      <c r="P94" s="55">
        <f t="shared" si="14"/>
        <v>80049.366330185207</v>
      </c>
      <c r="Q94" s="55">
        <f t="shared" si="15"/>
        <v>78259.570715681955</v>
      </c>
      <c r="R94" s="55">
        <f t="shared" si="16"/>
        <v>76505.571013468812</v>
      </c>
      <c r="T94" s="51">
        <f>NPV(Inputs!$C$6,'Vendas Vigente'!N94:Q94)+((R94*Inputs!$C$11)/(1+Inputs!$C$6)^(4.55))</f>
        <v>190443.12821038219</v>
      </c>
      <c r="X94" s="51"/>
      <c r="Y94" s="51">
        <f>SUMIFS(Tarifas!$AW$7:$AW$320,Tarifas!$G$7:$G$320,$A94)*SUMIFS(Mercado!G$9:G$160,Mercado!$A$9:$A$160,$A94)</f>
        <v>0</v>
      </c>
      <c r="Z94" s="51">
        <f>SUMIFS(Tarifas!$AW$7:$AW$320,Tarifas!$G$7:$G$320,$A94)*SUMIFS(Mercado!H$9:H$160,Mercado!$A$9:$A$160,$A94)</f>
        <v>51586.143160947679</v>
      </c>
      <c r="AA94" s="51">
        <f>SUMIFS(Tarifas!$AW$7:$AW$320,Tarifas!$G$7:$G$320,$A94)*SUMIFS(Mercado!I$9:I$160,Mercado!$A$9:$A$160,$A94)</f>
        <v>78519.536270410899</v>
      </c>
      <c r="AB94" s="51">
        <f>SUMIFS(Tarifas!$AW$7:$AW$320,Tarifas!$G$7:$G$320,$A94)*SUMIFS(Mercado!J$9:J$160,Mercado!$A$9:$A$160,$A94)</f>
        <v>76763.945587907045</v>
      </c>
      <c r="AC94" s="51">
        <f>SUMIFS(Tarifas!$AW$7:$AW$320,Tarifas!$G$7:$G$320,$A94)*SUMIFS(Mercado!K$9:K$160,Mercado!$A$9:$A$160,$A94)</f>
        <v>75043.466719053322</v>
      </c>
      <c r="AE94" s="55">
        <f t="shared" si="23"/>
        <v>0</v>
      </c>
      <c r="AF94" s="55">
        <f t="shared" si="17"/>
        <v>0</v>
      </c>
      <c r="AG94" s="55">
        <f t="shared" si="18"/>
        <v>51586.143160947679</v>
      </c>
      <c r="AH94" s="55">
        <f t="shared" si="19"/>
        <v>78519.536270410899</v>
      </c>
      <c r="AI94" s="55">
        <f t="shared" si="20"/>
        <v>76763.945587907045</v>
      </c>
      <c r="AJ94" s="55">
        <f t="shared" si="21"/>
        <v>75043.466719053322</v>
      </c>
    </row>
    <row r="95" spans="1:36">
      <c r="A95" s="192"/>
      <c r="D95" s="51"/>
      <c r="E95" s="51"/>
      <c r="F95" s="51"/>
      <c r="G95" s="51">
        <f>SUMIFS(Tarifas!$K$7:$K$320,Tarifas!$G$7:$G$320,$A95)*SUMIFS(Mercado!G$9:G$160,Mercado!$A$9:$A$160,$A95)</f>
        <v>0</v>
      </c>
      <c r="H95" s="51">
        <f>SUMIFS(Tarifas!$K$7:$K$320,Tarifas!$G$7:$G$320,$A95)*SUMIFS(Mercado!H$9:H$160,Mercado!$A$9:$A$160,$A95)</f>
        <v>0</v>
      </c>
      <c r="I95" s="51">
        <f>SUMIFS(Tarifas!$K$7:$K$320,Tarifas!$G$7:$G$320,$A95)*SUMIFS(Mercado!I$9:I$160,Mercado!$A$9:$A$160,$A95)</f>
        <v>0</v>
      </c>
      <c r="J95" s="51">
        <f>SUMIFS(Tarifas!$K$7:$K$320,Tarifas!$G$7:$G$320,$A95)*SUMIFS(Mercado!J$9:J$160,Mercado!$A$9:$A$160,$A95)</f>
        <v>0</v>
      </c>
      <c r="K95" s="51">
        <f>SUMIFS(Tarifas!$K$7:$K$320,Tarifas!$G$7:$G$320,$A95)*SUMIFS(Mercado!K$9:K$160,Mercado!$A$9:$A$160,$A95)</f>
        <v>0</v>
      </c>
      <c r="M95" s="55">
        <f t="shared" si="22"/>
        <v>0</v>
      </c>
      <c r="N95" s="55">
        <f t="shared" si="12"/>
        <v>0</v>
      </c>
      <c r="O95" s="55">
        <f t="shared" si="13"/>
        <v>0</v>
      </c>
      <c r="P95" s="55">
        <f t="shared" si="14"/>
        <v>0</v>
      </c>
      <c r="Q95" s="55">
        <f t="shared" si="15"/>
        <v>0</v>
      </c>
      <c r="R95" s="55">
        <f t="shared" si="16"/>
        <v>0</v>
      </c>
      <c r="T95" s="51">
        <f>NPV(Inputs!$C$6,'Vendas Vigente'!N95:Q95)+((R95*Inputs!$C$11)/(1+Inputs!$C$6)^(4.55))</f>
        <v>0</v>
      </c>
      <c r="X95" s="51"/>
      <c r="Y95" s="51">
        <f>SUMIFS(Tarifas!$AW$7:$AW$320,Tarifas!$G$7:$G$320,$A95)*SUMIFS(Mercado!G$9:G$160,Mercado!$A$9:$A$160,$A95)</f>
        <v>0</v>
      </c>
      <c r="Z95" s="51">
        <f>SUMIFS(Tarifas!$AW$7:$AW$320,Tarifas!$G$7:$G$320,$A95)*SUMIFS(Mercado!H$9:H$160,Mercado!$A$9:$A$160,$A95)</f>
        <v>0</v>
      </c>
      <c r="AA95" s="51">
        <f>SUMIFS(Tarifas!$AW$7:$AW$320,Tarifas!$G$7:$G$320,$A95)*SUMIFS(Mercado!I$9:I$160,Mercado!$A$9:$A$160,$A95)</f>
        <v>0</v>
      </c>
      <c r="AB95" s="51">
        <f>SUMIFS(Tarifas!$AW$7:$AW$320,Tarifas!$G$7:$G$320,$A95)*SUMIFS(Mercado!J$9:J$160,Mercado!$A$9:$A$160,$A95)</f>
        <v>0</v>
      </c>
      <c r="AC95" s="51">
        <f>SUMIFS(Tarifas!$AW$7:$AW$320,Tarifas!$G$7:$G$320,$A95)*SUMIFS(Mercado!K$9:K$160,Mercado!$A$9:$A$160,$A95)</f>
        <v>0</v>
      </c>
      <c r="AE95" s="55">
        <f t="shared" si="23"/>
        <v>0</v>
      </c>
      <c r="AF95" s="55">
        <f t="shared" si="17"/>
        <v>0</v>
      </c>
      <c r="AG95" s="55">
        <f t="shared" si="18"/>
        <v>0</v>
      </c>
      <c r="AH95" s="55">
        <f t="shared" si="19"/>
        <v>0</v>
      </c>
      <c r="AI95" s="55">
        <f t="shared" si="20"/>
        <v>0</v>
      </c>
      <c r="AJ95" s="55">
        <f t="shared" si="21"/>
        <v>0</v>
      </c>
    </row>
    <row r="96" spans="1:36">
      <c r="A96" s="192" t="str">
        <f>Usuarios!A102</f>
        <v>15 1</v>
      </c>
      <c r="B96" s="50" t="str">
        <f>Usuarios!B102</f>
        <v>Petroquímico - CL, AI, AP</v>
      </c>
      <c r="C96" s="50">
        <f>Usuarios!C102</f>
        <v>1</v>
      </c>
      <c r="D96" s="51">
        <f>Usuarios!D102</f>
        <v>0</v>
      </c>
      <c r="E96" s="51">
        <f>Usuarios!E102</f>
        <v>999999999</v>
      </c>
      <c r="F96" s="51"/>
      <c r="G96" s="51">
        <f>SUMIFS(Tarifas!$K$7:$K$320,Tarifas!$G$7:$G$320,$A96)*SUMIFS(Mercado!G$9:G$160,Mercado!$A$9:$A$160,$A96)</f>
        <v>0</v>
      </c>
      <c r="H96" s="51">
        <f>SUMIFS(Tarifas!$K$7:$K$320,Tarifas!$G$7:$G$320,$A96)*SUMIFS(Mercado!H$9:H$160,Mercado!$A$9:$A$160,$A96)</f>
        <v>0</v>
      </c>
      <c r="I96" s="51">
        <f>SUMIFS(Tarifas!$K$7:$K$320,Tarifas!$G$7:$G$320,$A96)*SUMIFS(Mercado!I$9:I$160,Mercado!$A$9:$A$160,$A96)</f>
        <v>0</v>
      </c>
      <c r="J96" s="51">
        <f>SUMIFS(Tarifas!$K$7:$K$320,Tarifas!$G$7:$G$320,$A96)*SUMIFS(Mercado!J$9:J$160,Mercado!$A$9:$A$160,$A96)</f>
        <v>0</v>
      </c>
      <c r="K96" s="51">
        <f>SUMIFS(Tarifas!$K$7:$K$320,Tarifas!$G$7:$G$320,$A96)*SUMIFS(Mercado!K$9:K$160,Mercado!$A$9:$A$160,$A96)</f>
        <v>0</v>
      </c>
      <c r="M96" s="55">
        <f t="shared" si="22"/>
        <v>0</v>
      </c>
      <c r="N96" s="55">
        <f t="shared" si="12"/>
        <v>0</v>
      </c>
      <c r="O96" s="55">
        <f t="shared" si="13"/>
        <v>0</v>
      </c>
      <c r="P96" s="55">
        <f t="shared" si="14"/>
        <v>0</v>
      </c>
      <c r="Q96" s="55">
        <f t="shared" si="15"/>
        <v>0</v>
      </c>
      <c r="R96" s="55">
        <f t="shared" si="16"/>
        <v>0</v>
      </c>
      <c r="T96" s="51">
        <f>NPV(Inputs!$C$6,'Vendas Vigente'!N96:Q96)+((R96*Inputs!$C$11)/(1+Inputs!$C$6)^(4.55))</f>
        <v>0</v>
      </c>
      <c r="X96" s="51"/>
      <c r="Y96" s="51">
        <f>SUMIFS(Tarifas!$AW$7:$AW$320,Tarifas!$G$7:$G$320,$A96)*SUMIFS(Mercado!G$9:G$160,Mercado!$A$9:$A$160,$A96)</f>
        <v>0</v>
      </c>
      <c r="Z96" s="51">
        <f>SUMIFS(Tarifas!$AW$7:$AW$320,Tarifas!$G$7:$G$320,$A96)*SUMIFS(Mercado!H$9:H$160,Mercado!$A$9:$A$160,$A96)</f>
        <v>0</v>
      </c>
      <c r="AA96" s="51">
        <f>SUMIFS(Tarifas!$AW$7:$AW$320,Tarifas!$G$7:$G$320,$A96)*SUMIFS(Mercado!I$9:I$160,Mercado!$A$9:$A$160,$A96)</f>
        <v>0</v>
      </c>
      <c r="AB96" s="51">
        <f>SUMIFS(Tarifas!$AW$7:$AW$320,Tarifas!$G$7:$G$320,$A96)*SUMIFS(Mercado!J$9:J$160,Mercado!$A$9:$A$160,$A96)</f>
        <v>0</v>
      </c>
      <c r="AC96" s="51">
        <f>SUMIFS(Tarifas!$AW$7:$AW$320,Tarifas!$G$7:$G$320,$A96)*SUMIFS(Mercado!K$9:K$160,Mercado!$A$9:$A$160,$A96)</f>
        <v>0</v>
      </c>
      <c r="AE96" s="55">
        <f t="shared" si="23"/>
        <v>0</v>
      </c>
      <c r="AF96" s="55">
        <f t="shared" si="17"/>
        <v>0</v>
      </c>
      <c r="AG96" s="55">
        <f t="shared" si="18"/>
        <v>0</v>
      </c>
      <c r="AH96" s="55">
        <f t="shared" si="19"/>
        <v>0</v>
      </c>
      <c r="AI96" s="55">
        <f t="shared" si="20"/>
        <v>0</v>
      </c>
      <c r="AJ96" s="55">
        <f t="shared" si="21"/>
        <v>0</v>
      </c>
    </row>
    <row r="97" spans="1:36">
      <c r="A97" s="192"/>
      <c r="D97" s="51"/>
      <c r="E97" s="51"/>
      <c r="F97" s="51"/>
      <c r="G97" s="51">
        <f>SUMIFS(Tarifas!$K$7:$K$320,Tarifas!$G$7:$G$320,$A97)*SUMIFS(Mercado!G$9:G$160,Mercado!$A$9:$A$160,$A97)</f>
        <v>0</v>
      </c>
      <c r="H97" s="51">
        <f>SUMIFS(Tarifas!$K$7:$K$320,Tarifas!$G$7:$G$320,$A97)*SUMIFS(Mercado!H$9:H$160,Mercado!$A$9:$A$160,$A97)</f>
        <v>0</v>
      </c>
      <c r="I97" s="51">
        <f>SUMIFS(Tarifas!$K$7:$K$320,Tarifas!$G$7:$G$320,$A97)*SUMIFS(Mercado!I$9:I$160,Mercado!$A$9:$A$160,$A97)</f>
        <v>0</v>
      </c>
      <c r="J97" s="51">
        <f>SUMIFS(Tarifas!$K$7:$K$320,Tarifas!$G$7:$G$320,$A97)*SUMIFS(Mercado!J$9:J$160,Mercado!$A$9:$A$160,$A97)</f>
        <v>0</v>
      </c>
      <c r="K97" s="51">
        <f>SUMIFS(Tarifas!$K$7:$K$320,Tarifas!$G$7:$G$320,$A97)*SUMIFS(Mercado!K$9:K$160,Mercado!$A$9:$A$160,$A97)</f>
        <v>0</v>
      </c>
      <c r="M97" s="55">
        <f t="shared" si="22"/>
        <v>0</v>
      </c>
      <c r="N97" s="55">
        <f t="shared" si="12"/>
        <v>0</v>
      </c>
      <c r="O97" s="55">
        <f t="shared" si="13"/>
        <v>0</v>
      </c>
      <c r="P97" s="55">
        <f t="shared" si="14"/>
        <v>0</v>
      </c>
      <c r="Q97" s="55">
        <f t="shared" si="15"/>
        <v>0</v>
      </c>
      <c r="R97" s="55">
        <f t="shared" si="16"/>
        <v>0</v>
      </c>
      <c r="T97" s="51">
        <f>NPV(Inputs!$C$6,'Vendas Vigente'!N97:Q97)+((R97*Inputs!$C$11)/(1+Inputs!$C$6)^(4.55))</f>
        <v>0</v>
      </c>
      <c r="X97" s="51"/>
      <c r="Y97" s="51">
        <f>SUMIFS(Tarifas!$AW$7:$AW$320,Tarifas!$G$7:$G$320,$A97)*SUMIFS(Mercado!G$9:G$160,Mercado!$A$9:$A$160,$A97)</f>
        <v>0</v>
      </c>
      <c r="Z97" s="51">
        <f>SUMIFS(Tarifas!$AW$7:$AW$320,Tarifas!$G$7:$G$320,$A97)*SUMIFS(Mercado!H$9:H$160,Mercado!$A$9:$A$160,$A97)</f>
        <v>0</v>
      </c>
      <c r="AA97" s="51">
        <f>SUMIFS(Tarifas!$AW$7:$AW$320,Tarifas!$G$7:$G$320,$A97)*SUMIFS(Mercado!I$9:I$160,Mercado!$A$9:$A$160,$A97)</f>
        <v>0</v>
      </c>
      <c r="AB97" s="51">
        <f>SUMIFS(Tarifas!$AW$7:$AW$320,Tarifas!$G$7:$G$320,$A97)*SUMIFS(Mercado!J$9:J$160,Mercado!$A$9:$A$160,$A97)</f>
        <v>0</v>
      </c>
      <c r="AC97" s="51">
        <f>SUMIFS(Tarifas!$AW$7:$AW$320,Tarifas!$G$7:$G$320,$A97)*SUMIFS(Mercado!K$9:K$160,Mercado!$A$9:$A$160,$A97)</f>
        <v>0</v>
      </c>
      <c r="AE97" s="55">
        <f t="shared" si="23"/>
        <v>0</v>
      </c>
      <c r="AF97" s="55">
        <f t="shared" si="17"/>
        <v>0</v>
      </c>
      <c r="AG97" s="55">
        <f t="shared" si="18"/>
        <v>0</v>
      </c>
      <c r="AH97" s="55">
        <f t="shared" si="19"/>
        <v>0</v>
      </c>
      <c r="AI97" s="55">
        <f t="shared" si="20"/>
        <v>0</v>
      </c>
      <c r="AJ97" s="55">
        <f t="shared" si="21"/>
        <v>0</v>
      </c>
    </row>
    <row r="98" spans="1:36">
      <c r="A98" s="192" t="s">
        <v>4834</v>
      </c>
      <c r="B98" s="50" t="s">
        <v>4835</v>
      </c>
      <c r="C98" s="50">
        <v>1</v>
      </c>
      <c r="D98" s="51">
        <v>0</v>
      </c>
      <c r="E98" s="51">
        <v>200</v>
      </c>
      <c r="F98" s="51"/>
      <c r="G98" s="51">
        <f>SUMIFS(Tarifas!$K$7:$K$320,Tarifas!$G$7:$G$320,$A98)*SUMIFS(Mercado!G$9:G$160,Mercado!$A$9:$A$160,$A98)</f>
        <v>15.279374271162453</v>
      </c>
      <c r="H98" s="51">
        <f>SUMIFS(Tarifas!$K$7:$K$320,Tarifas!$G$7:$G$320,$A98)*SUMIFS(Mercado!H$9:H$160,Mercado!$A$9:$A$160,$A98)</f>
        <v>15.279374271162453</v>
      </c>
      <c r="I98" s="51">
        <f>SUMIFS(Tarifas!$K$7:$K$320,Tarifas!$G$7:$G$320,$A98)*SUMIFS(Mercado!I$9:I$160,Mercado!$A$9:$A$160,$A98)</f>
        <v>15.279374271162453</v>
      </c>
      <c r="J98" s="51">
        <f>SUMIFS(Tarifas!$K$7:$K$320,Tarifas!$G$7:$G$320,$A98)*SUMIFS(Mercado!J$9:J$160,Mercado!$A$9:$A$160,$A98)</f>
        <v>15.279374271162453</v>
      </c>
      <c r="K98" s="51">
        <f>SUMIFS(Tarifas!$K$7:$K$320,Tarifas!$G$7:$G$320,$A98)*SUMIFS(Mercado!K$9:K$160,Mercado!$A$9:$A$160,$A98)</f>
        <v>15.279374271162453</v>
      </c>
      <c r="M98" s="55">
        <f t="shared" si="22"/>
        <v>0</v>
      </c>
      <c r="N98" s="55">
        <f t="shared" si="12"/>
        <v>15.279374271162453</v>
      </c>
      <c r="O98" s="55">
        <f t="shared" si="13"/>
        <v>15.279374271162453</v>
      </c>
      <c r="P98" s="55">
        <f t="shared" si="14"/>
        <v>15.279374271162453</v>
      </c>
      <c r="Q98" s="55">
        <f t="shared" si="15"/>
        <v>15.279374271162453</v>
      </c>
      <c r="R98" s="55">
        <f t="shared" si="16"/>
        <v>15.279374271162453</v>
      </c>
      <c r="T98" s="51">
        <f>NPV(Inputs!$C$6,'Vendas Vigente'!N98:Q98)+((R98*Inputs!$C$11)/(1+Inputs!$C$6)^(4.55))</f>
        <v>55.29180167465482</v>
      </c>
      <c r="X98" s="51"/>
      <c r="Y98" s="51">
        <f>SUMIFS(Tarifas!$AW$7:$AW$320,Tarifas!$G$7:$G$320,$A98)*SUMIFS(Mercado!G$9:G$160,Mercado!$A$9:$A$160,$A98)</f>
        <v>33.815388023394263</v>
      </c>
      <c r="Z98" s="51">
        <f>SUMIFS(Tarifas!$AW$7:$AW$320,Tarifas!$G$7:$G$320,$A98)*SUMIFS(Mercado!H$9:H$160,Mercado!$A$9:$A$160,$A98)</f>
        <v>33.815388023394263</v>
      </c>
      <c r="AA98" s="51">
        <f>SUMIFS(Tarifas!$AW$7:$AW$320,Tarifas!$G$7:$G$320,$A98)*SUMIFS(Mercado!I$9:I$160,Mercado!$A$9:$A$160,$A98)</f>
        <v>33.815388023394263</v>
      </c>
      <c r="AB98" s="51">
        <f>SUMIFS(Tarifas!$AW$7:$AW$320,Tarifas!$G$7:$G$320,$A98)*SUMIFS(Mercado!J$9:J$160,Mercado!$A$9:$A$160,$A98)</f>
        <v>33.815388023394263</v>
      </c>
      <c r="AC98" s="51">
        <f>SUMIFS(Tarifas!$AW$7:$AW$320,Tarifas!$G$7:$G$320,$A98)*SUMIFS(Mercado!K$9:K$160,Mercado!$A$9:$A$160,$A98)</f>
        <v>33.815388023394263</v>
      </c>
      <c r="AE98" s="55">
        <f t="shared" si="23"/>
        <v>0</v>
      </c>
      <c r="AF98" s="55">
        <f t="shared" si="17"/>
        <v>33.815388023394263</v>
      </c>
      <c r="AG98" s="55">
        <f t="shared" si="18"/>
        <v>33.815388023394263</v>
      </c>
      <c r="AH98" s="55">
        <f t="shared" si="19"/>
        <v>33.815388023394263</v>
      </c>
      <c r="AI98" s="55">
        <f t="shared" si="20"/>
        <v>33.815388023394263</v>
      </c>
      <c r="AJ98" s="55">
        <f t="shared" si="21"/>
        <v>33.815388023394263</v>
      </c>
    </row>
    <row r="99" spans="1:36">
      <c r="A99" s="192" t="s">
        <v>4836</v>
      </c>
      <c r="B99" s="50" t="s">
        <v>4835</v>
      </c>
      <c r="C99" s="50">
        <v>2</v>
      </c>
      <c r="D99" s="51">
        <v>201</v>
      </c>
      <c r="E99" s="51">
        <v>2000</v>
      </c>
      <c r="F99" s="51"/>
      <c r="G99" s="51">
        <f>SUMIFS(Tarifas!$K$7:$K$320,Tarifas!$G$7:$G$320,$A99)*SUMIFS(Mercado!G$9:G$160,Mercado!$A$9:$A$160,$A99)</f>
        <v>61.640603591796818</v>
      </c>
      <c r="H99" s="51">
        <f>SUMIFS(Tarifas!$K$7:$K$320,Tarifas!$G$7:$G$320,$A99)*SUMIFS(Mercado!H$9:H$160,Mercado!$A$9:$A$160,$A99)</f>
        <v>61.640603591796818</v>
      </c>
      <c r="I99" s="51">
        <f>SUMIFS(Tarifas!$K$7:$K$320,Tarifas!$G$7:$G$320,$A99)*SUMIFS(Mercado!I$9:I$160,Mercado!$A$9:$A$160,$A99)</f>
        <v>61.640603591796818</v>
      </c>
      <c r="J99" s="51">
        <f>SUMIFS(Tarifas!$K$7:$K$320,Tarifas!$G$7:$G$320,$A99)*SUMIFS(Mercado!J$9:J$160,Mercado!$A$9:$A$160,$A99)</f>
        <v>61.640603591796818</v>
      </c>
      <c r="K99" s="51">
        <f>SUMIFS(Tarifas!$K$7:$K$320,Tarifas!$G$7:$G$320,$A99)*SUMIFS(Mercado!K$9:K$160,Mercado!$A$9:$A$160,$A99)</f>
        <v>61.640603591796818</v>
      </c>
      <c r="M99" s="55">
        <f t="shared" si="22"/>
        <v>0</v>
      </c>
      <c r="N99" s="55">
        <f t="shared" si="12"/>
        <v>61.640603591796818</v>
      </c>
      <c r="O99" s="55">
        <f t="shared" si="13"/>
        <v>61.640603591796818</v>
      </c>
      <c r="P99" s="55">
        <f t="shared" si="14"/>
        <v>61.640603591796818</v>
      </c>
      <c r="Q99" s="55">
        <f t="shared" si="15"/>
        <v>61.640603591796818</v>
      </c>
      <c r="R99" s="55">
        <f t="shared" si="16"/>
        <v>61.640603591796818</v>
      </c>
      <c r="T99" s="51">
        <f>NPV(Inputs!$C$6,'Vendas Vigente'!N99:Q99)+((R99*Inputs!$C$11)/(1+Inputs!$C$6)^(4.55))</f>
        <v>223.06018351393837</v>
      </c>
      <c r="X99" s="51"/>
      <c r="Y99" s="51">
        <f>SUMIFS(Tarifas!$AW$7:$AW$320,Tarifas!$G$7:$G$320,$A99)*SUMIFS(Mercado!G$9:G$160,Mercado!$A$9:$A$160,$A99)</f>
        <v>208.85175064414364</v>
      </c>
      <c r="Z99" s="51">
        <f>SUMIFS(Tarifas!$AW$7:$AW$320,Tarifas!$G$7:$G$320,$A99)*SUMIFS(Mercado!H$9:H$160,Mercado!$A$9:$A$160,$A99)</f>
        <v>208.85175064414364</v>
      </c>
      <c r="AA99" s="51">
        <f>SUMIFS(Tarifas!$AW$7:$AW$320,Tarifas!$G$7:$G$320,$A99)*SUMIFS(Mercado!I$9:I$160,Mercado!$A$9:$A$160,$A99)</f>
        <v>208.85175064414364</v>
      </c>
      <c r="AB99" s="51">
        <f>SUMIFS(Tarifas!$AW$7:$AW$320,Tarifas!$G$7:$G$320,$A99)*SUMIFS(Mercado!J$9:J$160,Mercado!$A$9:$A$160,$A99)</f>
        <v>208.85175064414364</v>
      </c>
      <c r="AC99" s="51">
        <f>SUMIFS(Tarifas!$AW$7:$AW$320,Tarifas!$G$7:$G$320,$A99)*SUMIFS(Mercado!K$9:K$160,Mercado!$A$9:$A$160,$A99)</f>
        <v>208.85175064414364</v>
      </c>
      <c r="AE99" s="55">
        <f t="shared" si="23"/>
        <v>0</v>
      </c>
      <c r="AF99" s="55">
        <f t="shared" si="17"/>
        <v>208.85175064414364</v>
      </c>
      <c r="AG99" s="55">
        <f t="shared" si="18"/>
        <v>208.85175064414364</v>
      </c>
      <c r="AH99" s="55">
        <f t="shared" si="19"/>
        <v>208.85175064414364</v>
      </c>
      <c r="AI99" s="55">
        <f t="shared" si="20"/>
        <v>208.85175064414364</v>
      </c>
      <c r="AJ99" s="55">
        <f t="shared" si="21"/>
        <v>208.85175064414364</v>
      </c>
    </row>
    <row r="100" spans="1:36">
      <c r="A100" s="192" t="s">
        <v>4837</v>
      </c>
      <c r="B100" s="50" t="s">
        <v>4835</v>
      </c>
      <c r="C100" s="50">
        <v>3</v>
      </c>
      <c r="D100" s="51">
        <v>2001</v>
      </c>
      <c r="E100" s="51">
        <v>10000</v>
      </c>
      <c r="F100" s="51"/>
      <c r="G100" s="51">
        <f>SUMIFS(Tarifas!$K$7:$K$320,Tarifas!$G$7:$G$320,$A100)*SUMIFS(Mercado!G$9:G$160,Mercado!$A$9:$A$160,$A100)</f>
        <v>220.77900978242414</v>
      </c>
      <c r="H100" s="51">
        <f>SUMIFS(Tarifas!$K$7:$K$320,Tarifas!$G$7:$G$320,$A100)*SUMIFS(Mercado!H$9:H$160,Mercado!$A$9:$A$160,$A100)</f>
        <v>220.77900978242414</v>
      </c>
      <c r="I100" s="51">
        <f>SUMIFS(Tarifas!$K$7:$K$320,Tarifas!$G$7:$G$320,$A100)*SUMIFS(Mercado!I$9:I$160,Mercado!$A$9:$A$160,$A100)</f>
        <v>220.77900978242414</v>
      </c>
      <c r="J100" s="51">
        <f>SUMIFS(Tarifas!$K$7:$K$320,Tarifas!$G$7:$G$320,$A100)*SUMIFS(Mercado!J$9:J$160,Mercado!$A$9:$A$160,$A100)</f>
        <v>220.77900978242414</v>
      </c>
      <c r="K100" s="51">
        <f>SUMIFS(Tarifas!$K$7:$K$320,Tarifas!$G$7:$G$320,$A100)*SUMIFS(Mercado!K$9:K$160,Mercado!$A$9:$A$160,$A100)</f>
        <v>220.77900978242414</v>
      </c>
      <c r="M100" s="55">
        <f t="shared" si="22"/>
        <v>0</v>
      </c>
      <c r="N100" s="55">
        <f t="shared" si="12"/>
        <v>220.77900978242414</v>
      </c>
      <c r="O100" s="55">
        <f t="shared" si="13"/>
        <v>220.77900978242414</v>
      </c>
      <c r="P100" s="55">
        <f t="shared" si="14"/>
        <v>220.77900978242414</v>
      </c>
      <c r="Q100" s="55">
        <f t="shared" si="15"/>
        <v>220.77900978242414</v>
      </c>
      <c r="R100" s="55">
        <f t="shared" si="16"/>
        <v>220.77900978242414</v>
      </c>
      <c r="T100" s="51">
        <f>NPV(Inputs!$C$6,'Vendas Vigente'!N100:Q100)+((R100*Inputs!$C$11)/(1+Inputs!$C$6)^(4.55))</f>
        <v>798.93777102219929</v>
      </c>
      <c r="X100" s="51"/>
      <c r="Y100" s="51">
        <f>SUMIFS(Tarifas!$AW$7:$AW$320,Tarifas!$G$7:$G$320,$A100)*SUMIFS(Mercado!G$9:G$160,Mercado!$A$9:$A$160,$A100)</f>
        <v>861.30421831297417</v>
      </c>
      <c r="Z100" s="51">
        <f>SUMIFS(Tarifas!$AW$7:$AW$320,Tarifas!$G$7:$G$320,$A100)*SUMIFS(Mercado!H$9:H$160,Mercado!$A$9:$A$160,$A100)</f>
        <v>861.30421831297417</v>
      </c>
      <c r="AA100" s="51">
        <f>SUMIFS(Tarifas!$AW$7:$AW$320,Tarifas!$G$7:$G$320,$A100)*SUMIFS(Mercado!I$9:I$160,Mercado!$A$9:$A$160,$A100)</f>
        <v>861.30421831297417</v>
      </c>
      <c r="AB100" s="51">
        <f>SUMIFS(Tarifas!$AW$7:$AW$320,Tarifas!$G$7:$G$320,$A100)*SUMIFS(Mercado!J$9:J$160,Mercado!$A$9:$A$160,$A100)</f>
        <v>861.30421831297417</v>
      </c>
      <c r="AC100" s="51">
        <f>SUMIFS(Tarifas!$AW$7:$AW$320,Tarifas!$G$7:$G$320,$A100)*SUMIFS(Mercado!K$9:K$160,Mercado!$A$9:$A$160,$A100)</f>
        <v>861.30421831297417</v>
      </c>
      <c r="AE100" s="55">
        <f t="shared" si="23"/>
        <v>0</v>
      </c>
      <c r="AF100" s="55">
        <f t="shared" si="17"/>
        <v>861.30421831297417</v>
      </c>
      <c r="AG100" s="55">
        <f t="shared" si="18"/>
        <v>861.30421831297417</v>
      </c>
      <c r="AH100" s="55">
        <f t="shared" si="19"/>
        <v>861.30421831297417</v>
      </c>
      <c r="AI100" s="55">
        <f t="shared" si="20"/>
        <v>861.30421831297417</v>
      </c>
      <c r="AJ100" s="55">
        <f t="shared" si="21"/>
        <v>861.30421831297417</v>
      </c>
    </row>
    <row r="101" spans="1:36">
      <c r="A101" s="192" t="s">
        <v>4838</v>
      </c>
      <c r="B101" s="50" t="s">
        <v>4835</v>
      </c>
      <c r="C101" s="50">
        <v>4</v>
      </c>
      <c r="D101" s="51">
        <v>10001</v>
      </c>
      <c r="E101" s="51">
        <v>50000</v>
      </c>
      <c r="F101" s="51"/>
      <c r="G101" s="51">
        <f>SUMIFS(Tarifas!$K$7:$K$320,Tarifas!$G$7:$G$320,$A101)*SUMIFS(Mercado!G$9:G$160,Mercado!$A$9:$A$160,$A101)</f>
        <v>737.7808186497823</v>
      </c>
      <c r="H101" s="51">
        <f>SUMIFS(Tarifas!$K$7:$K$320,Tarifas!$G$7:$G$320,$A101)*SUMIFS(Mercado!H$9:H$160,Mercado!$A$9:$A$160,$A101)</f>
        <v>737.7808186497823</v>
      </c>
      <c r="I101" s="51">
        <f>SUMIFS(Tarifas!$K$7:$K$320,Tarifas!$G$7:$G$320,$A101)*SUMIFS(Mercado!I$9:I$160,Mercado!$A$9:$A$160,$A101)</f>
        <v>737.7808186497823</v>
      </c>
      <c r="J101" s="51">
        <f>SUMIFS(Tarifas!$K$7:$K$320,Tarifas!$G$7:$G$320,$A101)*SUMIFS(Mercado!J$9:J$160,Mercado!$A$9:$A$160,$A101)</f>
        <v>737.7808186497823</v>
      </c>
      <c r="K101" s="51">
        <f>SUMIFS(Tarifas!$K$7:$K$320,Tarifas!$G$7:$G$320,$A101)*SUMIFS(Mercado!K$9:K$160,Mercado!$A$9:$A$160,$A101)</f>
        <v>737.7808186497823</v>
      </c>
      <c r="M101" s="55">
        <f t="shared" si="22"/>
        <v>0</v>
      </c>
      <c r="N101" s="55">
        <f t="shared" si="12"/>
        <v>737.7808186497823</v>
      </c>
      <c r="O101" s="55">
        <f t="shared" si="13"/>
        <v>737.7808186497823</v>
      </c>
      <c r="P101" s="55">
        <f t="shared" si="14"/>
        <v>737.7808186497823</v>
      </c>
      <c r="Q101" s="55">
        <f t="shared" si="15"/>
        <v>737.7808186497823</v>
      </c>
      <c r="R101" s="55">
        <f t="shared" si="16"/>
        <v>737.7808186497823</v>
      </c>
      <c r="T101" s="51">
        <f>NPV(Inputs!$C$6,'Vendas Vigente'!N101:Q101)+((R101*Inputs!$C$11)/(1+Inputs!$C$6)^(4.55))</f>
        <v>2669.82338282919</v>
      </c>
      <c r="X101" s="51"/>
      <c r="Y101" s="51">
        <f>SUMIFS(Tarifas!$AW$7:$AW$320,Tarifas!$G$7:$G$320,$A101)*SUMIFS(Mercado!G$9:G$160,Mercado!$A$9:$A$160,$A101)</f>
        <v>3845.7682218664841</v>
      </c>
      <c r="Z101" s="51">
        <f>SUMIFS(Tarifas!$AW$7:$AW$320,Tarifas!$G$7:$G$320,$A101)*SUMIFS(Mercado!H$9:H$160,Mercado!$A$9:$A$160,$A101)</f>
        <v>3845.7682218664841</v>
      </c>
      <c r="AA101" s="51">
        <f>SUMIFS(Tarifas!$AW$7:$AW$320,Tarifas!$G$7:$G$320,$A101)*SUMIFS(Mercado!I$9:I$160,Mercado!$A$9:$A$160,$A101)</f>
        <v>3845.7682218664841</v>
      </c>
      <c r="AB101" s="51">
        <f>SUMIFS(Tarifas!$AW$7:$AW$320,Tarifas!$G$7:$G$320,$A101)*SUMIFS(Mercado!J$9:J$160,Mercado!$A$9:$A$160,$A101)</f>
        <v>3845.7682218664841</v>
      </c>
      <c r="AC101" s="51">
        <f>SUMIFS(Tarifas!$AW$7:$AW$320,Tarifas!$G$7:$G$320,$A101)*SUMIFS(Mercado!K$9:K$160,Mercado!$A$9:$A$160,$A101)</f>
        <v>3845.7682218664841</v>
      </c>
      <c r="AE101" s="55">
        <f t="shared" si="23"/>
        <v>0</v>
      </c>
      <c r="AF101" s="55">
        <f t="shared" si="17"/>
        <v>3845.7682218664841</v>
      </c>
      <c r="AG101" s="55">
        <f t="shared" si="18"/>
        <v>3845.7682218664841</v>
      </c>
      <c r="AH101" s="55">
        <f t="shared" si="19"/>
        <v>3845.7682218664841</v>
      </c>
      <c r="AI101" s="55">
        <f t="shared" si="20"/>
        <v>3845.7682218664841</v>
      </c>
      <c r="AJ101" s="55">
        <f t="shared" si="21"/>
        <v>3845.7682218664841</v>
      </c>
    </row>
    <row r="102" spans="1:36">
      <c r="A102" s="192" t="s">
        <v>4839</v>
      </c>
      <c r="B102" s="50" t="s">
        <v>4835</v>
      </c>
      <c r="C102" s="50">
        <v>5</v>
      </c>
      <c r="D102" s="51">
        <v>50001</v>
      </c>
      <c r="E102" s="51">
        <v>100000</v>
      </c>
      <c r="F102" s="51"/>
      <c r="G102" s="51">
        <f>SUMIFS(Tarifas!$K$7:$K$320,Tarifas!$G$7:$G$320,$A102)*SUMIFS(Mercado!G$9:G$160,Mercado!$A$9:$A$160,$A102)</f>
        <v>744.06441842334391</v>
      </c>
      <c r="H102" s="51">
        <f>SUMIFS(Tarifas!$K$7:$K$320,Tarifas!$G$7:$G$320,$A102)*SUMIFS(Mercado!H$9:H$160,Mercado!$A$9:$A$160,$A102)</f>
        <v>744.06441842334391</v>
      </c>
      <c r="I102" s="51">
        <f>SUMIFS(Tarifas!$K$7:$K$320,Tarifas!$G$7:$G$320,$A102)*SUMIFS(Mercado!I$9:I$160,Mercado!$A$9:$A$160,$A102)</f>
        <v>744.06441842334391</v>
      </c>
      <c r="J102" s="51">
        <f>SUMIFS(Tarifas!$K$7:$K$320,Tarifas!$G$7:$G$320,$A102)*SUMIFS(Mercado!J$9:J$160,Mercado!$A$9:$A$160,$A102)</f>
        <v>744.06441842334391</v>
      </c>
      <c r="K102" s="51">
        <f>SUMIFS(Tarifas!$K$7:$K$320,Tarifas!$G$7:$G$320,$A102)*SUMIFS(Mercado!K$9:K$160,Mercado!$A$9:$A$160,$A102)</f>
        <v>744.06441842334391</v>
      </c>
      <c r="M102" s="55">
        <f t="shared" si="22"/>
        <v>0</v>
      </c>
      <c r="N102" s="55">
        <f t="shared" si="12"/>
        <v>744.06441842334391</v>
      </c>
      <c r="O102" s="55">
        <f t="shared" si="13"/>
        <v>744.06441842334391</v>
      </c>
      <c r="P102" s="55">
        <f t="shared" si="14"/>
        <v>744.06441842334391</v>
      </c>
      <c r="Q102" s="55">
        <f t="shared" si="15"/>
        <v>744.06441842334391</v>
      </c>
      <c r="R102" s="55">
        <f t="shared" si="16"/>
        <v>744.06441842334391</v>
      </c>
      <c r="T102" s="51">
        <f>NPV(Inputs!$C$6,'Vendas Vigente'!N102:Q102)+((R102*Inputs!$C$11)/(1+Inputs!$C$6)^(4.55))</f>
        <v>2692.5619810411863</v>
      </c>
      <c r="X102" s="51"/>
      <c r="Y102" s="51">
        <f>SUMIFS(Tarifas!$AW$7:$AW$320,Tarifas!$G$7:$G$320,$A102)*SUMIFS(Mercado!G$9:G$160,Mercado!$A$9:$A$160,$A102)</f>
        <v>4582.9948168638321</v>
      </c>
      <c r="Z102" s="51">
        <f>SUMIFS(Tarifas!$AW$7:$AW$320,Tarifas!$G$7:$G$320,$A102)*SUMIFS(Mercado!H$9:H$160,Mercado!$A$9:$A$160,$A102)</f>
        <v>4582.9948168638321</v>
      </c>
      <c r="AA102" s="51">
        <f>SUMIFS(Tarifas!$AW$7:$AW$320,Tarifas!$G$7:$G$320,$A102)*SUMIFS(Mercado!I$9:I$160,Mercado!$A$9:$A$160,$A102)</f>
        <v>4582.9948168638321</v>
      </c>
      <c r="AB102" s="51">
        <f>SUMIFS(Tarifas!$AW$7:$AW$320,Tarifas!$G$7:$G$320,$A102)*SUMIFS(Mercado!J$9:J$160,Mercado!$A$9:$A$160,$A102)</f>
        <v>4582.9948168638321</v>
      </c>
      <c r="AC102" s="51">
        <f>SUMIFS(Tarifas!$AW$7:$AW$320,Tarifas!$G$7:$G$320,$A102)*SUMIFS(Mercado!K$9:K$160,Mercado!$A$9:$A$160,$A102)</f>
        <v>4582.9948168638321</v>
      </c>
      <c r="AE102" s="55">
        <f t="shared" si="23"/>
        <v>0</v>
      </c>
      <c r="AF102" s="55">
        <f t="shared" si="17"/>
        <v>4582.9948168638321</v>
      </c>
      <c r="AG102" s="55">
        <f t="shared" si="18"/>
        <v>4582.9948168638321</v>
      </c>
      <c r="AH102" s="55">
        <f t="shared" si="19"/>
        <v>4582.9948168638321</v>
      </c>
      <c r="AI102" s="55">
        <f t="shared" si="20"/>
        <v>4582.9948168638321</v>
      </c>
      <c r="AJ102" s="55">
        <f t="shared" si="21"/>
        <v>4582.9948168638321</v>
      </c>
    </row>
    <row r="103" spans="1:36">
      <c r="A103" s="192" t="s">
        <v>4840</v>
      </c>
      <c r="B103" s="50" t="s">
        <v>4835</v>
      </c>
      <c r="C103" s="50">
        <v>6</v>
      </c>
      <c r="D103" s="51">
        <v>100001</v>
      </c>
      <c r="E103" s="51">
        <v>300000</v>
      </c>
      <c r="F103" s="51"/>
      <c r="G103" s="51">
        <f>SUMIFS(Tarifas!$K$7:$K$320,Tarifas!$G$7:$G$320,$A103)*SUMIFS(Mercado!G$9:G$160,Mercado!$A$9:$A$160,$A103)</f>
        <v>2211.1593586847807</v>
      </c>
      <c r="H103" s="51">
        <f>SUMIFS(Tarifas!$K$7:$K$320,Tarifas!$G$7:$G$320,$A103)*SUMIFS(Mercado!H$9:H$160,Mercado!$A$9:$A$160,$A103)</f>
        <v>2211.1593586847807</v>
      </c>
      <c r="I103" s="51">
        <f>SUMIFS(Tarifas!$K$7:$K$320,Tarifas!$G$7:$G$320,$A103)*SUMIFS(Mercado!I$9:I$160,Mercado!$A$9:$A$160,$A103)</f>
        <v>2211.1593586847807</v>
      </c>
      <c r="J103" s="51">
        <f>SUMIFS(Tarifas!$K$7:$K$320,Tarifas!$G$7:$G$320,$A103)*SUMIFS(Mercado!J$9:J$160,Mercado!$A$9:$A$160,$A103)</f>
        <v>2211.1593586847807</v>
      </c>
      <c r="K103" s="51">
        <f>SUMIFS(Tarifas!$K$7:$K$320,Tarifas!$G$7:$G$320,$A103)*SUMIFS(Mercado!K$9:K$160,Mercado!$A$9:$A$160,$A103)</f>
        <v>2211.1593586847807</v>
      </c>
      <c r="M103" s="55">
        <f t="shared" si="22"/>
        <v>0</v>
      </c>
      <c r="N103" s="55">
        <f t="shared" si="12"/>
        <v>2211.1593586847807</v>
      </c>
      <c r="O103" s="55">
        <f t="shared" si="13"/>
        <v>2211.1593586847807</v>
      </c>
      <c r="P103" s="55">
        <f t="shared" si="14"/>
        <v>2211.1593586847807</v>
      </c>
      <c r="Q103" s="55">
        <f t="shared" si="15"/>
        <v>2211.1593586847807</v>
      </c>
      <c r="R103" s="55">
        <f t="shared" si="16"/>
        <v>2211.1593586847807</v>
      </c>
      <c r="T103" s="51">
        <f>NPV(Inputs!$C$6,'Vendas Vigente'!N103:Q103)+((R103*Inputs!$C$11)/(1+Inputs!$C$6)^(4.55))</f>
        <v>8001.5701272663691</v>
      </c>
      <c r="X103" s="51"/>
      <c r="Y103" s="51">
        <f>SUMIFS(Tarifas!$AW$7:$AW$320,Tarifas!$G$7:$G$320,$A103)*SUMIFS(Mercado!G$9:G$160,Mercado!$A$9:$A$160,$A103)</f>
        <v>17369.106985793369</v>
      </c>
      <c r="Z103" s="51">
        <f>SUMIFS(Tarifas!$AW$7:$AW$320,Tarifas!$G$7:$G$320,$A103)*SUMIFS(Mercado!H$9:H$160,Mercado!$A$9:$A$160,$A103)</f>
        <v>17369.106985793369</v>
      </c>
      <c r="AA103" s="51">
        <f>SUMIFS(Tarifas!$AW$7:$AW$320,Tarifas!$G$7:$G$320,$A103)*SUMIFS(Mercado!I$9:I$160,Mercado!$A$9:$A$160,$A103)</f>
        <v>17369.106985793369</v>
      </c>
      <c r="AB103" s="51">
        <f>SUMIFS(Tarifas!$AW$7:$AW$320,Tarifas!$G$7:$G$320,$A103)*SUMIFS(Mercado!J$9:J$160,Mercado!$A$9:$A$160,$A103)</f>
        <v>17369.106985793369</v>
      </c>
      <c r="AC103" s="51">
        <f>SUMIFS(Tarifas!$AW$7:$AW$320,Tarifas!$G$7:$G$320,$A103)*SUMIFS(Mercado!K$9:K$160,Mercado!$A$9:$A$160,$A103)</f>
        <v>17369.106985793369</v>
      </c>
      <c r="AE103" s="55">
        <f t="shared" si="23"/>
        <v>0</v>
      </c>
      <c r="AF103" s="55">
        <f t="shared" si="17"/>
        <v>17369.106985793369</v>
      </c>
      <c r="AG103" s="55">
        <f t="shared" si="18"/>
        <v>17369.106985793369</v>
      </c>
      <c r="AH103" s="55">
        <f t="shared" si="19"/>
        <v>17369.106985793369</v>
      </c>
      <c r="AI103" s="55">
        <f t="shared" si="20"/>
        <v>17369.106985793369</v>
      </c>
      <c r="AJ103" s="55">
        <f t="shared" si="21"/>
        <v>17369.106985793369</v>
      </c>
    </row>
    <row r="104" spans="1:36">
      <c r="A104" s="192" t="s">
        <v>4841</v>
      </c>
      <c r="B104" s="50" t="s">
        <v>4835</v>
      </c>
      <c r="C104" s="50">
        <v>7</v>
      </c>
      <c r="D104" s="51">
        <v>300001</v>
      </c>
      <c r="E104" s="51">
        <v>600000</v>
      </c>
      <c r="F104" s="51"/>
      <c r="G104" s="51">
        <f>SUMIFS(Tarifas!$K$7:$K$320,Tarifas!$G$7:$G$320,$A104)*SUMIFS(Mercado!G$9:G$160,Mercado!$A$9:$A$160,$A104)</f>
        <v>95.247671522530496</v>
      </c>
      <c r="H104" s="51">
        <f>SUMIFS(Tarifas!$K$7:$K$320,Tarifas!$G$7:$G$320,$A104)*SUMIFS(Mercado!H$9:H$160,Mercado!$A$9:$A$160,$A104)</f>
        <v>96.194677313750788</v>
      </c>
      <c r="I104" s="51">
        <f>SUMIFS(Tarifas!$K$7:$K$320,Tarifas!$G$7:$G$320,$A104)*SUMIFS(Mercado!I$9:I$160,Mercado!$A$9:$A$160,$A104)</f>
        <v>96.194677313750788</v>
      </c>
      <c r="J104" s="51">
        <f>SUMIFS(Tarifas!$K$7:$K$320,Tarifas!$G$7:$G$320,$A104)*SUMIFS(Mercado!J$9:J$160,Mercado!$A$9:$A$160,$A104)</f>
        <v>96.194677313750788</v>
      </c>
      <c r="K104" s="51">
        <f>SUMIFS(Tarifas!$K$7:$K$320,Tarifas!$G$7:$G$320,$A104)*SUMIFS(Mercado!K$9:K$160,Mercado!$A$9:$A$160,$A104)</f>
        <v>96.194677313750788</v>
      </c>
      <c r="M104" s="55">
        <f t="shared" si="22"/>
        <v>0</v>
      </c>
      <c r="N104" s="55">
        <f t="shared" si="12"/>
        <v>95.247671522530496</v>
      </c>
      <c r="O104" s="55">
        <f t="shared" si="13"/>
        <v>96.194677313750788</v>
      </c>
      <c r="P104" s="55">
        <f t="shared" si="14"/>
        <v>96.194677313750788</v>
      </c>
      <c r="Q104" s="55">
        <f t="shared" si="15"/>
        <v>96.194677313750788</v>
      </c>
      <c r="R104" s="55">
        <f t="shared" si="16"/>
        <v>96.194677313750788</v>
      </c>
      <c r="T104" s="51">
        <f>NPV(Inputs!$C$6,'Vendas Vigente'!N104:Q104)+((R104*Inputs!$C$11)/(1+Inputs!$C$6)^(4.55))</f>
        <v>347.23230559916402</v>
      </c>
      <c r="X104" s="51"/>
      <c r="Y104" s="51">
        <f>SUMIFS(Tarifas!$AW$7:$AW$320,Tarifas!$G$7:$G$320,$A104)*SUMIFS(Mercado!G$9:G$160,Mercado!$A$9:$A$160,$A104)</f>
        <v>1183.7958088336543</v>
      </c>
      <c r="Z104" s="51">
        <f>SUMIFS(Tarifas!$AW$7:$AW$320,Tarifas!$G$7:$G$320,$A104)*SUMIFS(Mercado!H$9:H$160,Mercado!$A$9:$A$160,$A104)</f>
        <v>1195.5657709615223</v>
      </c>
      <c r="AA104" s="51">
        <f>SUMIFS(Tarifas!$AW$7:$AW$320,Tarifas!$G$7:$G$320,$A104)*SUMIFS(Mercado!I$9:I$160,Mercado!$A$9:$A$160,$A104)</f>
        <v>1195.5657709615223</v>
      </c>
      <c r="AB104" s="51">
        <f>SUMIFS(Tarifas!$AW$7:$AW$320,Tarifas!$G$7:$G$320,$A104)*SUMIFS(Mercado!J$9:J$160,Mercado!$A$9:$A$160,$A104)</f>
        <v>1195.5657709615223</v>
      </c>
      <c r="AC104" s="51">
        <f>SUMIFS(Tarifas!$AW$7:$AW$320,Tarifas!$G$7:$G$320,$A104)*SUMIFS(Mercado!K$9:K$160,Mercado!$A$9:$A$160,$A104)</f>
        <v>1195.5657709615223</v>
      </c>
      <c r="AE104" s="55">
        <f t="shared" si="23"/>
        <v>0</v>
      </c>
      <c r="AF104" s="55">
        <f t="shared" si="17"/>
        <v>1183.7958088336543</v>
      </c>
      <c r="AG104" s="55">
        <f t="shared" si="18"/>
        <v>1195.5657709615223</v>
      </c>
      <c r="AH104" s="55">
        <f t="shared" si="19"/>
        <v>1195.5657709615223</v>
      </c>
      <c r="AI104" s="55">
        <f t="shared" si="20"/>
        <v>1195.5657709615223</v>
      </c>
      <c r="AJ104" s="55">
        <f t="shared" si="21"/>
        <v>1195.5657709615223</v>
      </c>
    </row>
    <row r="105" spans="1:36">
      <c r="A105" s="192" t="s">
        <v>4842</v>
      </c>
      <c r="B105" s="50" t="s">
        <v>4835</v>
      </c>
      <c r="C105" s="50">
        <v>8</v>
      </c>
      <c r="D105" s="51">
        <v>600001</v>
      </c>
      <c r="E105" s="51">
        <v>1500000</v>
      </c>
      <c r="F105" s="51"/>
      <c r="G105" s="51">
        <f>SUMIFS(Tarifas!$K$7:$K$320,Tarifas!$G$7:$G$320,$A105)*SUMIFS(Mercado!G$9:G$160,Mercado!$A$9:$A$160,$A105)</f>
        <v>869.2397379220422</v>
      </c>
      <c r="H105" s="51">
        <f>SUMIFS(Tarifas!$K$7:$K$320,Tarifas!$G$7:$G$320,$A105)*SUMIFS(Mercado!H$9:H$160,Mercado!$A$9:$A$160,$A105)</f>
        <v>1183.970030551169</v>
      </c>
      <c r="I105" s="51">
        <f>SUMIFS(Tarifas!$K$7:$K$320,Tarifas!$G$7:$G$320,$A105)*SUMIFS(Mercado!I$9:I$160,Mercado!$A$9:$A$160,$A105)</f>
        <v>1183.970030551169</v>
      </c>
      <c r="J105" s="51">
        <f>SUMIFS(Tarifas!$K$7:$K$320,Tarifas!$G$7:$G$320,$A105)*SUMIFS(Mercado!J$9:J$160,Mercado!$A$9:$A$160,$A105)</f>
        <v>1183.970030551169</v>
      </c>
      <c r="K105" s="51">
        <f>SUMIFS(Tarifas!$K$7:$K$320,Tarifas!$G$7:$G$320,$A105)*SUMIFS(Mercado!K$9:K$160,Mercado!$A$9:$A$160,$A105)</f>
        <v>1183.970030551169</v>
      </c>
      <c r="M105" s="55">
        <f t="shared" si="22"/>
        <v>0</v>
      </c>
      <c r="N105" s="55">
        <f t="shared" si="12"/>
        <v>869.2397379220422</v>
      </c>
      <c r="O105" s="55">
        <f t="shared" si="13"/>
        <v>1183.970030551169</v>
      </c>
      <c r="P105" s="55">
        <f t="shared" si="14"/>
        <v>1183.970030551169</v>
      </c>
      <c r="Q105" s="55">
        <f t="shared" si="15"/>
        <v>1183.970030551169</v>
      </c>
      <c r="R105" s="55">
        <f t="shared" si="16"/>
        <v>1183.970030551169</v>
      </c>
      <c r="T105" s="51">
        <f>NPV(Inputs!$C$6,'Vendas Vigente'!N105:Q105)+((R105*Inputs!$C$11)/(1+Inputs!$C$6)^(4.55))</f>
        <v>3995.5024554662505</v>
      </c>
      <c r="X105" s="51"/>
      <c r="Y105" s="51">
        <f>SUMIFS(Tarifas!$AW$7:$AW$320,Tarifas!$G$7:$G$320,$A105)*SUMIFS(Mercado!G$9:G$160,Mercado!$A$9:$A$160,$A105)</f>
        <v>10988.916798115752</v>
      </c>
      <c r="Z105" s="51">
        <f>SUMIFS(Tarifas!$AW$7:$AW$320,Tarifas!$G$7:$G$320,$A105)*SUMIFS(Mercado!H$9:H$160,Mercado!$A$9:$A$160,$A105)</f>
        <v>14967.732823963705</v>
      </c>
      <c r="AA105" s="51">
        <f>SUMIFS(Tarifas!$AW$7:$AW$320,Tarifas!$G$7:$G$320,$A105)*SUMIFS(Mercado!I$9:I$160,Mercado!$A$9:$A$160,$A105)</f>
        <v>14967.732823963705</v>
      </c>
      <c r="AB105" s="51">
        <f>SUMIFS(Tarifas!$AW$7:$AW$320,Tarifas!$G$7:$G$320,$A105)*SUMIFS(Mercado!J$9:J$160,Mercado!$A$9:$A$160,$A105)</f>
        <v>14967.732823963705</v>
      </c>
      <c r="AC105" s="51">
        <f>SUMIFS(Tarifas!$AW$7:$AW$320,Tarifas!$G$7:$G$320,$A105)*SUMIFS(Mercado!K$9:K$160,Mercado!$A$9:$A$160,$A105)</f>
        <v>14967.732823963705</v>
      </c>
      <c r="AE105" s="55">
        <f t="shared" si="23"/>
        <v>0</v>
      </c>
      <c r="AF105" s="55">
        <f t="shared" si="17"/>
        <v>10988.916798115752</v>
      </c>
      <c r="AG105" s="55">
        <f t="shared" si="18"/>
        <v>14967.732823963705</v>
      </c>
      <c r="AH105" s="55">
        <f t="shared" si="19"/>
        <v>14967.732823963705</v>
      </c>
      <c r="AI105" s="55">
        <f t="shared" si="20"/>
        <v>14967.732823963705</v>
      </c>
      <c r="AJ105" s="55">
        <f t="shared" si="21"/>
        <v>14967.732823963705</v>
      </c>
    </row>
    <row r="106" spans="1:36">
      <c r="A106" s="192" t="s">
        <v>4843</v>
      </c>
      <c r="B106" s="50" t="s">
        <v>4835</v>
      </c>
      <c r="C106" s="50">
        <v>9</v>
      </c>
      <c r="D106" s="51">
        <v>1500001</v>
      </c>
      <c r="E106" s="51">
        <v>3000000</v>
      </c>
      <c r="F106" s="51"/>
      <c r="G106" s="51">
        <f>SUMIFS(Tarifas!$K$7:$K$320,Tarifas!$G$7:$G$320,$A106)*SUMIFS(Mercado!G$9:G$160,Mercado!$A$9:$A$160,$A106)</f>
        <v>0</v>
      </c>
      <c r="H106" s="51">
        <f>SUMIFS(Tarifas!$K$7:$K$320,Tarifas!$G$7:$G$320,$A106)*SUMIFS(Mercado!H$9:H$160,Mercado!$A$9:$A$160,$A106)</f>
        <v>0</v>
      </c>
      <c r="I106" s="51">
        <f>SUMIFS(Tarifas!$K$7:$K$320,Tarifas!$G$7:$G$320,$A106)*SUMIFS(Mercado!I$9:I$160,Mercado!$A$9:$A$160,$A106)</f>
        <v>0</v>
      </c>
      <c r="J106" s="51">
        <f>SUMIFS(Tarifas!$K$7:$K$320,Tarifas!$G$7:$G$320,$A106)*SUMIFS(Mercado!J$9:J$160,Mercado!$A$9:$A$160,$A106)</f>
        <v>0</v>
      </c>
      <c r="K106" s="51">
        <f>SUMIFS(Tarifas!$K$7:$K$320,Tarifas!$G$7:$G$320,$A106)*SUMIFS(Mercado!K$9:K$160,Mercado!$A$9:$A$160,$A106)</f>
        <v>0</v>
      </c>
      <c r="M106" s="55">
        <f t="shared" si="22"/>
        <v>0</v>
      </c>
      <c r="N106" s="55">
        <f t="shared" si="12"/>
        <v>0</v>
      </c>
      <c r="O106" s="55">
        <f t="shared" si="13"/>
        <v>0</v>
      </c>
      <c r="P106" s="55">
        <f t="shared" si="14"/>
        <v>0</v>
      </c>
      <c r="Q106" s="55">
        <f t="shared" si="15"/>
        <v>0</v>
      </c>
      <c r="R106" s="55">
        <f t="shared" si="16"/>
        <v>0</v>
      </c>
      <c r="T106" s="51">
        <f>NPV(Inputs!$C$6,'Vendas Vigente'!N106:Q106)+((R106*Inputs!$C$11)/(1+Inputs!$C$6)^(4.55))</f>
        <v>0</v>
      </c>
      <c r="X106" s="51"/>
      <c r="Y106" s="51">
        <f>SUMIFS(Tarifas!$AW$7:$AW$320,Tarifas!$G$7:$G$320,$A106)*SUMIFS(Mercado!G$9:G$160,Mercado!$A$9:$A$160,$A106)</f>
        <v>0</v>
      </c>
      <c r="Z106" s="51">
        <f>SUMIFS(Tarifas!$AW$7:$AW$320,Tarifas!$G$7:$G$320,$A106)*SUMIFS(Mercado!H$9:H$160,Mercado!$A$9:$A$160,$A106)</f>
        <v>0</v>
      </c>
      <c r="AA106" s="51">
        <f>SUMIFS(Tarifas!$AW$7:$AW$320,Tarifas!$G$7:$G$320,$A106)*SUMIFS(Mercado!I$9:I$160,Mercado!$A$9:$A$160,$A106)</f>
        <v>0</v>
      </c>
      <c r="AB106" s="51">
        <f>SUMIFS(Tarifas!$AW$7:$AW$320,Tarifas!$G$7:$G$320,$A106)*SUMIFS(Mercado!J$9:J$160,Mercado!$A$9:$A$160,$A106)</f>
        <v>0</v>
      </c>
      <c r="AC106" s="51">
        <f>SUMIFS(Tarifas!$AW$7:$AW$320,Tarifas!$G$7:$G$320,$A106)*SUMIFS(Mercado!K$9:K$160,Mercado!$A$9:$A$160,$A106)</f>
        <v>0</v>
      </c>
      <c r="AE106" s="55">
        <f t="shared" si="23"/>
        <v>0</v>
      </c>
      <c r="AF106" s="55">
        <f t="shared" si="17"/>
        <v>0</v>
      </c>
      <c r="AG106" s="55">
        <f t="shared" si="18"/>
        <v>0</v>
      </c>
      <c r="AH106" s="55">
        <f t="shared" si="19"/>
        <v>0</v>
      </c>
      <c r="AI106" s="55">
        <f t="shared" si="20"/>
        <v>0</v>
      </c>
      <c r="AJ106" s="55">
        <f t="shared" si="21"/>
        <v>0</v>
      </c>
    </row>
    <row r="107" spans="1:36">
      <c r="A107" s="192" t="s">
        <v>4844</v>
      </c>
      <c r="B107" s="50" t="s">
        <v>4835</v>
      </c>
      <c r="C107" s="50">
        <v>10</v>
      </c>
      <c r="D107" s="51">
        <v>3000001</v>
      </c>
      <c r="E107" s="51">
        <v>999999999</v>
      </c>
      <c r="F107" s="51"/>
      <c r="G107" s="51">
        <f>SUMIFS(Tarifas!$K$7:$K$320,Tarifas!$G$7:$G$320,$A107)*SUMIFS(Mercado!G$9:G$160,Mercado!$A$9:$A$160,$A107)</f>
        <v>0</v>
      </c>
      <c r="H107" s="51">
        <f>SUMIFS(Tarifas!$K$7:$K$320,Tarifas!$G$7:$G$320,$A107)*SUMIFS(Mercado!H$9:H$160,Mercado!$A$9:$A$160,$A107)</f>
        <v>0</v>
      </c>
      <c r="I107" s="51">
        <f>SUMIFS(Tarifas!$K$7:$K$320,Tarifas!$G$7:$G$320,$A107)*SUMIFS(Mercado!I$9:I$160,Mercado!$A$9:$A$160,$A107)</f>
        <v>0</v>
      </c>
      <c r="J107" s="51">
        <f>SUMIFS(Tarifas!$K$7:$K$320,Tarifas!$G$7:$G$320,$A107)*SUMIFS(Mercado!J$9:J$160,Mercado!$A$9:$A$160,$A107)</f>
        <v>0</v>
      </c>
      <c r="K107" s="51">
        <f>SUMIFS(Tarifas!$K$7:$K$320,Tarifas!$G$7:$G$320,$A107)*SUMIFS(Mercado!K$9:K$160,Mercado!$A$9:$A$160,$A107)</f>
        <v>0</v>
      </c>
      <c r="M107" s="55">
        <f t="shared" si="22"/>
        <v>0</v>
      </c>
      <c r="N107" s="55">
        <f t="shared" si="12"/>
        <v>0</v>
      </c>
      <c r="O107" s="55">
        <f t="shared" si="13"/>
        <v>0</v>
      </c>
      <c r="P107" s="55">
        <f t="shared" si="14"/>
        <v>0</v>
      </c>
      <c r="Q107" s="55">
        <f t="shared" si="15"/>
        <v>0</v>
      </c>
      <c r="R107" s="55">
        <f t="shared" si="16"/>
        <v>0</v>
      </c>
      <c r="T107" s="51">
        <f>NPV(Inputs!$C$6,'Vendas Vigente'!N107:Q107)+((R107*Inputs!$C$11)/(1+Inputs!$C$6)^(4.55))</f>
        <v>0</v>
      </c>
      <c r="X107" s="51"/>
      <c r="Y107" s="51">
        <f>SUMIFS(Tarifas!$AW$7:$AW$320,Tarifas!$G$7:$G$320,$A107)*SUMIFS(Mercado!G$9:G$160,Mercado!$A$9:$A$160,$A107)</f>
        <v>0</v>
      </c>
      <c r="Z107" s="51">
        <f>SUMIFS(Tarifas!$AW$7:$AW$320,Tarifas!$G$7:$G$320,$A107)*SUMIFS(Mercado!H$9:H$160,Mercado!$A$9:$A$160,$A107)</f>
        <v>0</v>
      </c>
      <c r="AA107" s="51">
        <f>SUMIFS(Tarifas!$AW$7:$AW$320,Tarifas!$G$7:$G$320,$A107)*SUMIFS(Mercado!I$9:I$160,Mercado!$A$9:$A$160,$A107)</f>
        <v>0</v>
      </c>
      <c r="AB107" s="51">
        <f>SUMIFS(Tarifas!$AW$7:$AW$320,Tarifas!$G$7:$G$320,$A107)*SUMIFS(Mercado!J$9:J$160,Mercado!$A$9:$A$160,$A107)</f>
        <v>0</v>
      </c>
      <c r="AC107" s="51">
        <f>SUMIFS(Tarifas!$AW$7:$AW$320,Tarifas!$G$7:$G$320,$A107)*SUMIFS(Mercado!K$9:K$160,Mercado!$A$9:$A$160,$A107)</f>
        <v>0</v>
      </c>
      <c r="AE107" s="55">
        <f t="shared" si="23"/>
        <v>0</v>
      </c>
      <c r="AF107" s="55">
        <f t="shared" si="17"/>
        <v>0</v>
      </c>
      <c r="AG107" s="55">
        <f t="shared" si="18"/>
        <v>0</v>
      </c>
      <c r="AH107" s="55">
        <f t="shared" si="19"/>
        <v>0</v>
      </c>
      <c r="AI107" s="55">
        <f t="shared" si="20"/>
        <v>0</v>
      </c>
      <c r="AJ107" s="55">
        <f t="shared" si="21"/>
        <v>0</v>
      </c>
    </row>
    <row r="108" spans="1:36">
      <c r="A108" s="192"/>
      <c r="D108" s="51"/>
      <c r="E108" s="51"/>
      <c r="F108" s="51"/>
      <c r="G108" s="51">
        <f>SUMIFS(Tarifas!$K$7:$K$320,Tarifas!$G$7:$G$320,$A108)*SUMIFS(Mercado!G$9:G$160,Mercado!$A$9:$A$160,$A108)</f>
        <v>0</v>
      </c>
      <c r="H108" s="51">
        <f>SUMIFS(Tarifas!$K$7:$K$320,Tarifas!$G$7:$G$320,$A108)*SUMIFS(Mercado!H$9:H$160,Mercado!$A$9:$A$160,$A108)</f>
        <v>0</v>
      </c>
      <c r="I108" s="51">
        <f>SUMIFS(Tarifas!$K$7:$K$320,Tarifas!$G$7:$G$320,$A108)*SUMIFS(Mercado!I$9:I$160,Mercado!$A$9:$A$160,$A108)</f>
        <v>0</v>
      </c>
      <c r="J108" s="51">
        <f>SUMIFS(Tarifas!$K$7:$K$320,Tarifas!$G$7:$G$320,$A108)*SUMIFS(Mercado!J$9:J$160,Mercado!$A$9:$A$160,$A108)</f>
        <v>0</v>
      </c>
      <c r="K108" s="51">
        <f>SUMIFS(Tarifas!$K$7:$K$320,Tarifas!$G$7:$G$320,$A108)*SUMIFS(Mercado!K$9:K$160,Mercado!$A$9:$A$160,$A108)</f>
        <v>0</v>
      </c>
      <c r="M108" s="55">
        <f t="shared" si="22"/>
        <v>0</v>
      </c>
      <c r="N108" s="55">
        <f t="shared" si="12"/>
        <v>0</v>
      </c>
      <c r="O108" s="55">
        <f t="shared" si="13"/>
        <v>0</v>
      </c>
      <c r="P108" s="55">
        <f t="shared" si="14"/>
        <v>0</v>
      </c>
      <c r="Q108" s="55">
        <f t="shared" si="15"/>
        <v>0</v>
      </c>
      <c r="R108" s="55">
        <f t="shared" si="16"/>
        <v>0</v>
      </c>
      <c r="T108" s="51">
        <f>NPV(Inputs!$C$6,'Vendas Vigente'!N108:Q108)+((R108*Inputs!$C$11)/(1+Inputs!$C$6)^(4.55))</f>
        <v>0</v>
      </c>
      <c r="X108" s="51"/>
      <c r="Y108" s="51">
        <f>SUMIFS(Tarifas!$AW$7:$AW$320,Tarifas!$G$7:$G$320,$A108)*SUMIFS(Mercado!G$9:G$160,Mercado!$A$9:$A$160,$A108)</f>
        <v>0</v>
      </c>
      <c r="Z108" s="51">
        <f>SUMIFS(Tarifas!$AW$7:$AW$320,Tarifas!$G$7:$G$320,$A108)*SUMIFS(Mercado!H$9:H$160,Mercado!$A$9:$A$160,$A108)</f>
        <v>0</v>
      </c>
      <c r="AA108" s="51">
        <f>SUMIFS(Tarifas!$AW$7:$AW$320,Tarifas!$G$7:$G$320,$A108)*SUMIFS(Mercado!I$9:I$160,Mercado!$A$9:$A$160,$A108)</f>
        <v>0</v>
      </c>
      <c r="AB108" s="51">
        <f>SUMIFS(Tarifas!$AW$7:$AW$320,Tarifas!$G$7:$G$320,$A108)*SUMIFS(Mercado!J$9:J$160,Mercado!$A$9:$A$160,$A108)</f>
        <v>0</v>
      </c>
      <c r="AC108" s="51">
        <f>SUMIFS(Tarifas!$AW$7:$AW$320,Tarifas!$G$7:$G$320,$A108)*SUMIFS(Mercado!K$9:K$160,Mercado!$A$9:$A$160,$A108)</f>
        <v>0</v>
      </c>
      <c r="AE108" s="55">
        <f t="shared" si="23"/>
        <v>0</v>
      </c>
      <c r="AF108" s="55">
        <f t="shared" si="17"/>
        <v>0</v>
      </c>
      <c r="AG108" s="55">
        <f t="shared" si="18"/>
        <v>0</v>
      </c>
      <c r="AH108" s="55">
        <f t="shared" si="19"/>
        <v>0</v>
      </c>
      <c r="AI108" s="55">
        <f t="shared" si="20"/>
        <v>0</v>
      </c>
      <c r="AJ108" s="55">
        <f t="shared" si="21"/>
        <v>0</v>
      </c>
    </row>
    <row r="109" spans="1:36">
      <c r="A109" s="192" t="s">
        <v>4845</v>
      </c>
      <c r="B109" s="50" t="s">
        <v>108</v>
      </c>
      <c r="C109" s="50">
        <v>1</v>
      </c>
      <c r="D109" s="51">
        <v>0</v>
      </c>
      <c r="E109" s="51">
        <v>200</v>
      </c>
      <c r="F109" s="51"/>
      <c r="G109" s="51">
        <f>SUMIFS(Tarifas!$K$7:$K$320,Tarifas!$G$7:$G$320,$A109)*SUMIFS(Mercado!G$9:G$160,Mercado!$A$9:$A$160,$A109)</f>
        <v>0</v>
      </c>
      <c r="H109" s="51">
        <f>SUMIFS(Tarifas!$K$7:$K$320,Tarifas!$G$7:$G$320,$A109)*SUMIFS(Mercado!H$9:H$160,Mercado!$A$9:$A$160,$A109)</f>
        <v>0</v>
      </c>
      <c r="I109" s="51">
        <f>SUMIFS(Tarifas!$K$7:$K$320,Tarifas!$G$7:$G$320,$A109)*SUMIFS(Mercado!I$9:I$160,Mercado!$A$9:$A$160,$A109)</f>
        <v>0</v>
      </c>
      <c r="J109" s="51">
        <f>SUMIFS(Tarifas!$K$7:$K$320,Tarifas!$G$7:$G$320,$A109)*SUMIFS(Mercado!J$9:J$160,Mercado!$A$9:$A$160,$A109)</f>
        <v>0</v>
      </c>
      <c r="K109" s="51">
        <f>SUMIFS(Tarifas!$K$7:$K$320,Tarifas!$G$7:$G$320,$A109)*SUMIFS(Mercado!K$9:K$160,Mercado!$A$9:$A$160,$A109)</f>
        <v>0</v>
      </c>
      <c r="M109" s="55">
        <f t="shared" si="22"/>
        <v>0</v>
      </c>
      <c r="N109" s="55">
        <f t="shared" si="12"/>
        <v>0</v>
      </c>
      <c r="O109" s="55">
        <f t="shared" si="13"/>
        <v>0</v>
      </c>
      <c r="P109" s="55">
        <f t="shared" si="14"/>
        <v>0</v>
      </c>
      <c r="Q109" s="55">
        <f t="shared" si="15"/>
        <v>0</v>
      </c>
      <c r="R109" s="55">
        <f t="shared" si="16"/>
        <v>0</v>
      </c>
      <c r="T109" s="51">
        <f>NPV(Inputs!$C$6,'Vendas Vigente'!N109:Q109)+((R109*Inputs!$C$11)/(1+Inputs!$C$6)^(4.55))</f>
        <v>0</v>
      </c>
      <c r="X109" s="51"/>
      <c r="Y109" s="51">
        <f>SUMIFS(Tarifas!$AW$7:$AW$320,Tarifas!$G$7:$G$320,$A109)*SUMIFS(Mercado!G$9:G$160,Mercado!$A$9:$A$160,$A109)</f>
        <v>0</v>
      </c>
      <c r="Z109" s="51">
        <f>SUMIFS(Tarifas!$AW$7:$AW$320,Tarifas!$G$7:$G$320,$A109)*SUMIFS(Mercado!H$9:H$160,Mercado!$A$9:$A$160,$A109)</f>
        <v>0</v>
      </c>
      <c r="AA109" s="51">
        <f>SUMIFS(Tarifas!$AW$7:$AW$320,Tarifas!$G$7:$G$320,$A109)*SUMIFS(Mercado!I$9:I$160,Mercado!$A$9:$A$160,$A109)</f>
        <v>0</v>
      </c>
      <c r="AB109" s="51">
        <f>SUMIFS(Tarifas!$AW$7:$AW$320,Tarifas!$G$7:$G$320,$A109)*SUMIFS(Mercado!J$9:J$160,Mercado!$A$9:$A$160,$A109)</f>
        <v>0</v>
      </c>
      <c r="AC109" s="51">
        <f>SUMIFS(Tarifas!$AW$7:$AW$320,Tarifas!$G$7:$G$320,$A109)*SUMIFS(Mercado!K$9:K$160,Mercado!$A$9:$A$160,$A109)</f>
        <v>0</v>
      </c>
      <c r="AE109" s="55">
        <f t="shared" si="23"/>
        <v>0</v>
      </c>
      <c r="AF109" s="55">
        <f t="shared" si="17"/>
        <v>0</v>
      </c>
      <c r="AG109" s="55">
        <f t="shared" si="18"/>
        <v>0</v>
      </c>
      <c r="AH109" s="55">
        <f t="shared" si="19"/>
        <v>0</v>
      </c>
      <c r="AI109" s="55">
        <f t="shared" si="20"/>
        <v>0</v>
      </c>
      <c r="AJ109" s="55">
        <f t="shared" si="21"/>
        <v>0</v>
      </c>
    </row>
    <row r="110" spans="1:36">
      <c r="A110" s="192" t="s">
        <v>4846</v>
      </c>
      <c r="B110" s="50" t="s">
        <v>108</v>
      </c>
      <c r="C110" s="50">
        <v>2</v>
      </c>
      <c r="D110" s="51">
        <v>201</v>
      </c>
      <c r="E110" s="51">
        <v>2000</v>
      </c>
      <c r="F110" s="51"/>
      <c r="G110" s="51">
        <f>SUMIFS(Tarifas!$K$7:$K$320,Tarifas!$G$7:$G$320,$A110)*SUMIFS(Mercado!G$9:G$160,Mercado!$A$9:$A$160,$A110)</f>
        <v>0</v>
      </c>
      <c r="H110" s="51">
        <f>SUMIFS(Tarifas!$K$7:$K$320,Tarifas!$G$7:$G$320,$A110)*SUMIFS(Mercado!H$9:H$160,Mercado!$A$9:$A$160,$A110)</f>
        <v>0</v>
      </c>
      <c r="I110" s="51">
        <f>SUMIFS(Tarifas!$K$7:$K$320,Tarifas!$G$7:$G$320,$A110)*SUMIFS(Mercado!I$9:I$160,Mercado!$A$9:$A$160,$A110)</f>
        <v>0</v>
      </c>
      <c r="J110" s="51">
        <f>SUMIFS(Tarifas!$K$7:$K$320,Tarifas!$G$7:$G$320,$A110)*SUMIFS(Mercado!J$9:J$160,Mercado!$A$9:$A$160,$A110)</f>
        <v>0</v>
      </c>
      <c r="K110" s="51">
        <f>SUMIFS(Tarifas!$K$7:$K$320,Tarifas!$G$7:$G$320,$A110)*SUMIFS(Mercado!K$9:K$160,Mercado!$A$9:$A$160,$A110)</f>
        <v>0</v>
      </c>
      <c r="M110" s="55">
        <f t="shared" si="22"/>
        <v>0</v>
      </c>
      <c r="N110" s="55">
        <f t="shared" si="12"/>
        <v>0</v>
      </c>
      <c r="O110" s="55">
        <f t="shared" si="13"/>
        <v>0</v>
      </c>
      <c r="P110" s="55">
        <f t="shared" si="14"/>
        <v>0</v>
      </c>
      <c r="Q110" s="55">
        <f t="shared" si="15"/>
        <v>0</v>
      </c>
      <c r="R110" s="55">
        <f t="shared" si="16"/>
        <v>0</v>
      </c>
      <c r="T110" s="51">
        <f>NPV(Inputs!$C$6,'Vendas Vigente'!N110:Q110)+((R110*Inputs!$C$11)/(1+Inputs!$C$6)^(4.55))</f>
        <v>0</v>
      </c>
      <c r="X110" s="51"/>
      <c r="Y110" s="51">
        <f>SUMIFS(Tarifas!$AW$7:$AW$320,Tarifas!$G$7:$G$320,$A110)*SUMIFS(Mercado!G$9:G$160,Mercado!$A$9:$A$160,$A110)</f>
        <v>0</v>
      </c>
      <c r="Z110" s="51">
        <f>SUMIFS(Tarifas!$AW$7:$AW$320,Tarifas!$G$7:$G$320,$A110)*SUMIFS(Mercado!H$9:H$160,Mercado!$A$9:$A$160,$A110)</f>
        <v>0</v>
      </c>
      <c r="AA110" s="51">
        <f>SUMIFS(Tarifas!$AW$7:$AW$320,Tarifas!$G$7:$G$320,$A110)*SUMIFS(Mercado!I$9:I$160,Mercado!$A$9:$A$160,$A110)</f>
        <v>0</v>
      </c>
      <c r="AB110" s="51">
        <f>SUMIFS(Tarifas!$AW$7:$AW$320,Tarifas!$G$7:$G$320,$A110)*SUMIFS(Mercado!J$9:J$160,Mercado!$A$9:$A$160,$A110)</f>
        <v>0</v>
      </c>
      <c r="AC110" s="51">
        <f>SUMIFS(Tarifas!$AW$7:$AW$320,Tarifas!$G$7:$G$320,$A110)*SUMIFS(Mercado!K$9:K$160,Mercado!$A$9:$A$160,$A110)</f>
        <v>0</v>
      </c>
      <c r="AE110" s="55">
        <f t="shared" si="23"/>
        <v>0</v>
      </c>
      <c r="AF110" s="55">
        <f t="shared" si="17"/>
        <v>0</v>
      </c>
      <c r="AG110" s="55">
        <f t="shared" si="18"/>
        <v>0</v>
      </c>
      <c r="AH110" s="55">
        <f t="shared" si="19"/>
        <v>0</v>
      </c>
      <c r="AI110" s="55">
        <f t="shared" si="20"/>
        <v>0</v>
      </c>
      <c r="AJ110" s="55">
        <f t="shared" si="21"/>
        <v>0</v>
      </c>
    </row>
    <row r="111" spans="1:36">
      <c r="A111" s="192" t="s">
        <v>4847</v>
      </c>
      <c r="B111" s="50" t="s">
        <v>108</v>
      </c>
      <c r="C111" s="50">
        <v>3</v>
      </c>
      <c r="D111" s="51">
        <v>2001</v>
      </c>
      <c r="E111" s="51">
        <v>10000</v>
      </c>
      <c r="F111" s="51"/>
      <c r="G111" s="51">
        <f>SUMIFS(Tarifas!$K$7:$K$320,Tarifas!$G$7:$G$320,$A111)*SUMIFS(Mercado!G$9:G$160,Mercado!$A$9:$A$160,$A111)</f>
        <v>0</v>
      </c>
      <c r="H111" s="51">
        <f>SUMIFS(Tarifas!$K$7:$K$320,Tarifas!$G$7:$G$320,$A111)*SUMIFS(Mercado!H$9:H$160,Mercado!$A$9:$A$160,$A111)</f>
        <v>0</v>
      </c>
      <c r="I111" s="51">
        <f>SUMIFS(Tarifas!$K$7:$K$320,Tarifas!$G$7:$G$320,$A111)*SUMIFS(Mercado!I$9:I$160,Mercado!$A$9:$A$160,$A111)</f>
        <v>0</v>
      </c>
      <c r="J111" s="51">
        <f>SUMIFS(Tarifas!$K$7:$K$320,Tarifas!$G$7:$G$320,$A111)*SUMIFS(Mercado!J$9:J$160,Mercado!$A$9:$A$160,$A111)</f>
        <v>0</v>
      </c>
      <c r="K111" s="51">
        <f>SUMIFS(Tarifas!$K$7:$K$320,Tarifas!$G$7:$G$320,$A111)*SUMIFS(Mercado!K$9:K$160,Mercado!$A$9:$A$160,$A111)</f>
        <v>0</v>
      </c>
      <c r="M111" s="55">
        <f t="shared" si="22"/>
        <v>0</v>
      </c>
      <c r="N111" s="55">
        <f t="shared" si="12"/>
        <v>0</v>
      </c>
      <c r="O111" s="55">
        <f t="shared" si="13"/>
        <v>0</v>
      </c>
      <c r="P111" s="55">
        <f t="shared" si="14"/>
        <v>0</v>
      </c>
      <c r="Q111" s="55">
        <f t="shared" si="15"/>
        <v>0</v>
      </c>
      <c r="R111" s="55">
        <f t="shared" si="16"/>
        <v>0</v>
      </c>
      <c r="T111" s="51">
        <f>NPV(Inputs!$C$6,'Vendas Vigente'!N111:Q111)+((R111*Inputs!$C$11)/(1+Inputs!$C$6)^(4.55))</f>
        <v>0</v>
      </c>
      <c r="X111" s="51"/>
      <c r="Y111" s="51">
        <f>SUMIFS(Tarifas!$AW$7:$AW$320,Tarifas!$G$7:$G$320,$A111)*SUMIFS(Mercado!G$9:G$160,Mercado!$A$9:$A$160,$A111)</f>
        <v>0</v>
      </c>
      <c r="Z111" s="51">
        <f>SUMIFS(Tarifas!$AW$7:$AW$320,Tarifas!$G$7:$G$320,$A111)*SUMIFS(Mercado!H$9:H$160,Mercado!$A$9:$A$160,$A111)</f>
        <v>0</v>
      </c>
      <c r="AA111" s="51">
        <f>SUMIFS(Tarifas!$AW$7:$AW$320,Tarifas!$G$7:$G$320,$A111)*SUMIFS(Mercado!I$9:I$160,Mercado!$A$9:$A$160,$A111)</f>
        <v>0</v>
      </c>
      <c r="AB111" s="51">
        <f>SUMIFS(Tarifas!$AW$7:$AW$320,Tarifas!$G$7:$G$320,$A111)*SUMIFS(Mercado!J$9:J$160,Mercado!$A$9:$A$160,$A111)</f>
        <v>0</v>
      </c>
      <c r="AC111" s="51">
        <f>SUMIFS(Tarifas!$AW$7:$AW$320,Tarifas!$G$7:$G$320,$A111)*SUMIFS(Mercado!K$9:K$160,Mercado!$A$9:$A$160,$A111)</f>
        <v>0</v>
      </c>
      <c r="AE111" s="55">
        <f t="shared" si="23"/>
        <v>0</v>
      </c>
      <c r="AF111" s="55">
        <f t="shared" si="17"/>
        <v>0</v>
      </c>
      <c r="AG111" s="55">
        <f t="shared" si="18"/>
        <v>0</v>
      </c>
      <c r="AH111" s="55">
        <f t="shared" si="19"/>
        <v>0</v>
      </c>
      <c r="AI111" s="55">
        <f t="shared" si="20"/>
        <v>0</v>
      </c>
      <c r="AJ111" s="55">
        <f t="shared" si="21"/>
        <v>0</v>
      </c>
    </row>
    <row r="112" spans="1:36">
      <c r="A112" s="192" t="s">
        <v>4848</v>
      </c>
      <c r="B112" s="50" t="s">
        <v>108</v>
      </c>
      <c r="C112" s="50">
        <v>4</v>
      </c>
      <c r="D112" s="51">
        <v>10001</v>
      </c>
      <c r="E112" s="51">
        <v>50000</v>
      </c>
      <c r="F112" s="51"/>
      <c r="G112" s="51">
        <f>SUMIFS(Tarifas!$K$7:$K$320,Tarifas!$G$7:$G$320,$A112)*SUMIFS(Mercado!G$9:G$160,Mercado!$A$9:$A$160,$A112)</f>
        <v>0</v>
      </c>
      <c r="H112" s="51">
        <f>SUMIFS(Tarifas!$K$7:$K$320,Tarifas!$G$7:$G$320,$A112)*SUMIFS(Mercado!H$9:H$160,Mercado!$A$9:$A$160,$A112)</f>
        <v>0</v>
      </c>
      <c r="I112" s="51">
        <f>SUMIFS(Tarifas!$K$7:$K$320,Tarifas!$G$7:$G$320,$A112)*SUMIFS(Mercado!I$9:I$160,Mercado!$A$9:$A$160,$A112)</f>
        <v>0</v>
      </c>
      <c r="J112" s="51">
        <f>SUMIFS(Tarifas!$K$7:$K$320,Tarifas!$G$7:$G$320,$A112)*SUMIFS(Mercado!J$9:J$160,Mercado!$A$9:$A$160,$A112)</f>
        <v>0</v>
      </c>
      <c r="K112" s="51">
        <f>SUMIFS(Tarifas!$K$7:$K$320,Tarifas!$G$7:$G$320,$A112)*SUMIFS(Mercado!K$9:K$160,Mercado!$A$9:$A$160,$A112)</f>
        <v>0</v>
      </c>
      <c r="M112" s="55">
        <f t="shared" si="22"/>
        <v>0</v>
      </c>
      <c r="N112" s="55">
        <f t="shared" si="12"/>
        <v>0</v>
      </c>
      <c r="O112" s="55">
        <f t="shared" si="13"/>
        <v>0</v>
      </c>
      <c r="P112" s="55">
        <f t="shared" si="14"/>
        <v>0</v>
      </c>
      <c r="Q112" s="55">
        <f t="shared" si="15"/>
        <v>0</v>
      </c>
      <c r="R112" s="55">
        <f t="shared" si="16"/>
        <v>0</v>
      </c>
      <c r="T112" s="51">
        <f>NPV(Inputs!$C$6,'Vendas Vigente'!N112:Q112)+((R112*Inputs!$C$11)/(1+Inputs!$C$6)^(4.55))</f>
        <v>0</v>
      </c>
      <c r="X112" s="51"/>
      <c r="Y112" s="51">
        <f>SUMIFS(Tarifas!$AW$7:$AW$320,Tarifas!$G$7:$G$320,$A112)*SUMIFS(Mercado!G$9:G$160,Mercado!$A$9:$A$160,$A112)</f>
        <v>0</v>
      </c>
      <c r="Z112" s="51">
        <f>SUMIFS(Tarifas!$AW$7:$AW$320,Tarifas!$G$7:$G$320,$A112)*SUMIFS(Mercado!H$9:H$160,Mercado!$A$9:$A$160,$A112)</f>
        <v>0</v>
      </c>
      <c r="AA112" s="51">
        <f>SUMIFS(Tarifas!$AW$7:$AW$320,Tarifas!$G$7:$G$320,$A112)*SUMIFS(Mercado!I$9:I$160,Mercado!$A$9:$A$160,$A112)</f>
        <v>0</v>
      </c>
      <c r="AB112" s="51">
        <f>SUMIFS(Tarifas!$AW$7:$AW$320,Tarifas!$G$7:$G$320,$A112)*SUMIFS(Mercado!J$9:J$160,Mercado!$A$9:$A$160,$A112)</f>
        <v>0</v>
      </c>
      <c r="AC112" s="51">
        <f>SUMIFS(Tarifas!$AW$7:$AW$320,Tarifas!$G$7:$G$320,$A112)*SUMIFS(Mercado!K$9:K$160,Mercado!$A$9:$A$160,$A112)</f>
        <v>0</v>
      </c>
      <c r="AE112" s="55">
        <f t="shared" si="23"/>
        <v>0</v>
      </c>
      <c r="AF112" s="55">
        <f t="shared" si="17"/>
        <v>0</v>
      </c>
      <c r="AG112" s="55">
        <f t="shared" si="18"/>
        <v>0</v>
      </c>
      <c r="AH112" s="55">
        <f t="shared" si="19"/>
        <v>0</v>
      </c>
      <c r="AI112" s="55">
        <f t="shared" si="20"/>
        <v>0</v>
      </c>
      <c r="AJ112" s="55">
        <f t="shared" si="21"/>
        <v>0</v>
      </c>
    </row>
    <row r="113" spans="1:36">
      <c r="A113" s="192" t="s">
        <v>4849</v>
      </c>
      <c r="B113" s="50" t="s">
        <v>108</v>
      </c>
      <c r="C113" s="50">
        <v>5</v>
      </c>
      <c r="D113" s="51">
        <v>50001</v>
      </c>
      <c r="E113" s="51">
        <v>100000</v>
      </c>
      <c r="F113" s="51"/>
      <c r="G113" s="51">
        <f>SUMIFS(Tarifas!$K$7:$K$320,Tarifas!$G$7:$G$320,$A113)*SUMIFS(Mercado!G$9:G$160,Mercado!$A$9:$A$160,$A113)</f>
        <v>0</v>
      </c>
      <c r="H113" s="51">
        <f>SUMIFS(Tarifas!$K$7:$K$320,Tarifas!$G$7:$G$320,$A113)*SUMIFS(Mercado!H$9:H$160,Mercado!$A$9:$A$160,$A113)</f>
        <v>0</v>
      </c>
      <c r="I113" s="51">
        <f>SUMIFS(Tarifas!$K$7:$K$320,Tarifas!$G$7:$G$320,$A113)*SUMIFS(Mercado!I$9:I$160,Mercado!$A$9:$A$160,$A113)</f>
        <v>0</v>
      </c>
      <c r="J113" s="51">
        <f>SUMIFS(Tarifas!$K$7:$K$320,Tarifas!$G$7:$G$320,$A113)*SUMIFS(Mercado!J$9:J$160,Mercado!$A$9:$A$160,$A113)</f>
        <v>0</v>
      </c>
      <c r="K113" s="51">
        <f>SUMIFS(Tarifas!$K$7:$K$320,Tarifas!$G$7:$G$320,$A113)*SUMIFS(Mercado!K$9:K$160,Mercado!$A$9:$A$160,$A113)</f>
        <v>0</v>
      </c>
      <c r="M113" s="55">
        <f t="shared" si="22"/>
        <v>0</v>
      </c>
      <c r="N113" s="55">
        <f t="shared" si="12"/>
        <v>0</v>
      </c>
      <c r="O113" s="55">
        <f t="shared" si="13"/>
        <v>0</v>
      </c>
      <c r="P113" s="55">
        <f t="shared" si="14"/>
        <v>0</v>
      </c>
      <c r="Q113" s="55">
        <f t="shared" si="15"/>
        <v>0</v>
      </c>
      <c r="R113" s="55">
        <f t="shared" si="16"/>
        <v>0</v>
      </c>
      <c r="T113" s="51">
        <f>NPV(Inputs!$C$6,'Vendas Vigente'!N113:Q113)+((R113*Inputs!$C$11)/(1+Inputs!$C$6)^(4.55))</f>
        <v>0</v>
      </c>
      <c r="X113" s="51"/>
      <c r="Y113" s="51">
        <f>SUMIFS(Tarifas!$AW$7:$AW$320,Tarifas!$G$7:$G$320,$A113)*SUMIFS(Mercado!G$9:G$160,Mercado!$A$9:$A$160,$A113)</f>
        <v>0</v>
      </c>
      <c r="Z113" s="51">
        <f>SUMIFS(Tarifas!$AW$7:$AW$320,Tarifas!$G$7:$G$320,$A113)*SUMIFS(Mercado!H$9:H$160,Mercado!$A$9:$A$160,$A113)</f>
        <v>0</v>
      </c>
      <c r="AA113" s="51">
        <f>SUMIFS(Tarifas!$AW$7:$AW$320,Tarifas!$G$7:$G$320,$A113)*SUMIFS(Mercado!I$9:I$160,Mercado!$A$9:$A$160,$A113)</f>
        <v>0</v>
      </c>
      <c r="AB113" s="51">
        <f>SUMIFS(Tarifas!$AW$7:$AW$320,Tarifas!$G$7:$G$320,$A113)*SUMIFS(Mercado!J$9:J$160,Mercado!$A$9:$A$160,$A113)</f>
        <v>0</v>
      </c>
      <c r="AC113" s="51">
        <f>SUMIFS(Tarifas!$AW$7:$AW$320,Tarifas!$G$7:$G$320,$A113)*SUMIFS(Mercado!K$9:K$160,Mercado!$A$9:$A$160,$A113)</f>
        <v>0</v>
      </c>
      <c r="AE113" s="55">
        <f t="shared" si="23"/>
        <v>0</v>
      </c>
      <c r="AF113" s="55">
        <f t="shared" si="17"/>
        <v>0</v>
      </c>
      <c r="AG113" s="55">
        <f t="shared" si="18"/>
        <v>0</v>
      </c>
      <c r="AH113" s="55">
        <f t="shared" si="19"/>
        <v>0</v>
      </c>
      <c r="AI113" s="55">
        <f t="shared" si="20"/>
        <v>0</v>
      </c>
      <c r="AJ113" s="55">
        <f t="shared" si="21"/>
        <v>0</v>
      </c>
    </row>
    <row r="114" spans="1:36">
      <c r="A114" s="192" t="s">
        <v>4850</v>
      </c>
      <c r="B114" s="50" t="s">
        <v>108</v>
      </c>
      <c r="C114" s="50">
        <v>6</v>
      </c>
      <c r="D114" s="51">
        <v>100001</v>
      </c>
      <c r="E114" s="51">
        <v>999999999</v>
      </c>
      <c r="F114" s="51"/>
      <c r="G114" s="51">
        <f>SUMIFS(Tarifas!$K$7:$K$320,Tarifas!$G$7:$G$320,$A114)*SUMIFS(Mercado!G$9:G$160,Mercado!$A$9:$A$160,$A114)</f>
        <v>0</v>
      </c>
      <c r="H114" s="51">
        <f>SUMIFS(Tarifas!$K$7:$K$320,Tarifas!$G$7:$G$320,$A114)*SUMIFS(Mercado!H$9:H$160,Mercado!$A$9:$A$160,$A114)</f>
        <v>0</v>
      </c>
      <c r="I114" s="51">
        <f>SUMIFS(Tarifas!$K$7:$K$320,Tarifas!$G$7:$G$320,$A114)*SUMIFS(Mercado!I$9:I$160,Mercado!$A$9:$A$160,$A114)</f>
        <v>0</v>
      </c>
      <c r="J114" s="51">
        <f>SUMIFS(Tarifas!$K$7:$K$320,Tarifas!$G$7:$G$320,$A114)*SUMIFS(Mercado!J$9:J$160,Mercado!$A$9:$A$160,$A114)</f>
        <v>0</v>
      </c>
      <c r="K114" s="51">
        <f>SUMIFS(Tarifas!$K$7:$K$320,Tarifas!$G$7:$G$320,$A114)*SUMIFS(Mercado!K$9:K$160,Mercado!$A$9:$A$160,$A114)</f>
        <v>0</v>
      </c>
      <c r="M114" s="55">
        <f t="shared" si="22"/>
        <v>0</v>
      </c>
      <c r="N114" s="55">
        <f t="shared" si="12"/>
        <v>0</v>
      </c>
      <c r="O114" s="55">
        <f t="shared" si="13"/>
        <v>0</v>
      </c>
      <c r="P114" s="55">
        <f t="shared" si="14"/>
        <v>0</v>
      </c>
      <c r="Q114" s="55">
        <f t="shared" si="15"/>
        <v>0</v>
      </c>
      <c r="R114" s="55">
        <f t="shared" si="16"/>
        <v>0</v>
      </c>
      <c r="T114" s="51">
        <f>NPV(Inputs!$C$6,'Vendas Vigente'!N114:Q114)+((R114*Inputs!$C$11)/(1+Inputs!$C$6)^(4.55))</f>
        <v>0</v>
      </c>
      <c r="X114" s="51"/>
      <c r="Y114" s="51">
        <f>SUMIFS(Tarifas!$AW$7:$AW$320,Tarifas!$G$7:$G$320,$A114)*SUMIFS(Mercado!G$9:G$160,Mercado!$A$9:$A$160,$A114)</f>
        <v>0</v>
      </c>
      <c r="Z114" s="51">
        <f>SUMIFS(Tarifas!$AW$7:$AW$320,Tarifas!$G$7:$G$320,$A114)*SUMIFS(Mercado!H$9:H$160,Mercado!$A$9:$A$160,$A114)</f>
        <v>0</v>
      </c>
      <c r="AA114" s="51">
        <f>SUMIFS(Tarifas!$AW$7:$AW$320,Tarifas!$G$7:$G$320,$A114)*SUMIFS(Mercado!I$9:I$160,Mercado!$A$9:$A$160,$A114)</f>
        <v>0</v>
      </c>
      <c r="AB114" s="51">
        <f>SUMIFS(Tarifas!$AW$7:$AW$320,Tarifas!$G$7:$G$320,$A114)*SUMIFS(Mercado!J$9:J$160,Mercado!$A$9:$A$160,$A114)</f>
        <v>0</v>
      </c>
      <c r="AC114" s="51">
        <f>SUMIFS(Tarifas!$AW$7:$AW$320,Tarifas!$G$7:$G$320,$A114)*SUMIFS(Mercado!K$9:K$160,Mercado!$A$9:$A$160,$A114)</f>
        <v>0</v>
      </c>
      <c r="AE114" s="55">
        <f t="shared" si="23"/>
        <v>0</v>
      </c>
      <c r="AF114" s="55">
        <f t="shared" si="17"/>
        <v>0</v>
      </c>
      <c r="AG114" s="55">
        <f t="shared" si="18"/>
        <v>0</v>
      </c>
      <c r="AH114" s="55">
        <f t="shared" si="19"/>
        <v>0</v>
      </c>
      <c r="AI114" s="55">
        <f t="shared" si="20"/>
        <v>0</v>
      </c>
      <c r="AJ114" s="55">
        <f t="shared" si="21"/>
        <v>0</v>
      </c>
    </row>
    <row r="115" spans="1:36">
      <c r="A115" s="192"/>
      <c r="D115" s="51"/>
      <c r="E115" s="51"/>
      <c r="F115" s="51"/>
      <c r="G115" s="51">
        <f>SUMIFS(Tarifas!$K$7:$K$320,Tarifas!$G$7:$G$320,$A115)*SUMIFS(Mercado!G$9:G$160,Mercado!$A$9:$A$160,$A115)</f>
        <v>0</v>
      </c>
      <c r="H115" s="51">
        <f>SUMIFS(Tarifas!$K$7:$K$320,Tarifas!$G$7:$G$320,$A115)*SUMIFS(Mercado!H$9:H$160,Mercado!$A$9:$A$160,$A115)</f>
        <v>0</v>
      </c>
      <c r="I115" s="51">
        <f>SUMIFS(Tarifas!$K$7:$K$320,Tarifas!$G$7:$G$320,$A115)*SUMIFS(Mercado!I$9:I$160,Mercado!$A$9:$A$160,$A115)</f>
        <v>0</v>
      </c>
      <c r="J115" s="51">
        <f>SUMIFS(Tarifas!$K$7:$K$320,Tarifas!$G$7:$G$320,$A115)*SUMIFS(Mercado!J$9:J$160,Mercado!$A$9:$A$160,$A115)</f>
        <v>0</v>
      </c>
      <c r="K115" s="51">
        <f>SUMIFS(Tarifas!$K$7:$K$320,Tarifas!$G$7:$G$320,$A115)*SUMIFS(Mercado!K$9:K$160,Mercado!$A$9:$A$160,$A115)</f>
        <v>0</v>
      </c>
      <c r="M115" s="55">
        <f t="shared" si="22"/>
        <v>0</v>
      </c>
      <c r="N115" s="55">
        <f t="shared" si="12"/>
        <v>0</v>
      </c>
      <c r="O115" s="55">
        <f t="shared" si="13"/>
        <v>0</v>
      </c>
      <c r="P115" s="55">
        <f t="shared" si="14"/>
        <v>0</v>
      </c>
      <c r="Q115" s="55">
        <f t="shared" si="15"/>
        <v>0</v>
      </c>
      <c r="R115" s="55">
        <f t="shared" si="16"/>
        <v>0</v>
      </c>
      <c r="T115" s="51">
        <f>NPV(Inputs!$C$6,'Vendas Vigente'!N115:Q115)+((R115*Inputs!$C$11)/(1+Inputs!$C$6)^(4.55))</f>
        <v>0</v>
      </c>
      <c r="X115" s="51"/>
      <c r="Y115" s="51">
        <f>SUMIFS(Tarifas!$AW$7:$AW$320,Tarifas!$G$7:$G$320,$A115)*SUMIFS(Mercado!G$9:G$160,Mercado!$A$9:$A$160,$A115)</f>
        <v>0</v>
      </c>
      <c r="Z115" s="51">
        <f>SUMIFS(Tarifas!$AW$7:$AW$320,Tarifas!$G$7:$G$320,$A115)*SUMIFS(Mercado!H$9:H$160,Mercado!$A$9:$A$160,$A115)</f>
        <v>0</v>
      </c>
      <c r="AA115" s="51">
        <f>SUMIFS(Tarifas!$AW$7:$AW$320,Tarifas!$G$7:$G$320,$A115)*SUMIFS(Mercado!I$9:I$160,Mercado!$A$9:$A$160,$A115)</f>
        <v>0</v>
      </c>
      <c r="AB115" s="51">
        <f>SUMIFS(Tarifas!$AW$7:$AW$320,Tarifas!$G$7:$G$320,$A115)*SUMIFS(Mercado!J$9:J$160,Mercado!$A$9:$A$160,$A115)</f>
        <v>0</v>
      </c>
      <c r="AC115" s="51">
        <f>SUMIFS(Tarifas!$AW$7:$AW$320,Tarifas!$G$7:$G$320,$A115)*SUMIFS(Mercado!K$9:K$160,Mercado!$A$9:$A$160,$A115)</f>
        <v>0</v>
      </c>
      <c r="AE115" s="55">
        <f t="shared" si="23"/>
        <v>0</v>
      </c>
      <c r="AF115" s="55">
        <f t="shared" si="17"/>
        <v>0</v>
      </c>
      <c r="AG115" s="55">
        <f t="shared" si="18"/>
        <v>0</v>
      </c>
      <c r="AH115" s="55">
        <f t="shared" si="19"/>
        <v>0</v>
      </c>
      <c r="AI115" s="55">
        <f t="shared" si="20"/>
        <v>0</v>
      </c>
      <c r="AJ115" s="55">
        <f t="shared" si="21"/>
        <v>0</v>
      </c>
    </row>
    <row r="116" spans="1:36">
      <c r="A116" s="192" t="s">
        <v>4851</v>
      </c>
      <c r="B116" s="50" t="s">
        <v>109</v>
      </c>
      <c r="C116" s="50">
        <v>1</v>
      </c>
      <c r="D116" s="51">
        <v>0</v>
      </c>
      <c r="E116" s="51">
        <v>200</v>
      </c>
      <c r="F116" s="51"/>
      <c r="G116" s="51">
        <f>SUMIFS(Tarifas!$K$7:$K$320,Tarifas!$G$7:$G$320,$A116)*SUMIFS(Mercado!G$9:G$160,Mercado!$A$9:$A$160,$A116)</f>
        <v>0</v>
      </c>
      <c r="H116" s="51">
        <f>SUMIFS(Tarifas!$K$7:$K$320,Tarifas!$G$7:$G$320,$A116)*SUMIFS(Mercado!H$9:H$160,Mercado!$A$9:$A$160,$A116)</f>
        <v>0</v>
      </c>
      <c r="I116" s="51">
        <f>SUMIFS(Tarifas!$K$7:$K$320,Tarifas!$G$7:$G$320,$A116)*SUMIFS(Mercado!I$9:I$160,Mercado!$A$9:$A$160,$A116)</f>
        <v>0</v>
      </c>
      <c r="J116" s="51">
        <f>SUMIFS(Tarifas!$K$7:$K$320,Tarifas!$G$7:$G$320,$A116)*SUMIFS(Mercado!J$9:J$160,Mercado!$A$9:$A$160,$A116)</f>
        <v>0</v>
      </c>
      <c r="K116" s="51">
        <f>SUMIFS(Tarifas!$K$7:$K$320,Tarifas!$G$7:$G$320,$A116)*SUMIFS(Mercado!K$9:K$160,Mercado!$A$9:$A$160,$A116)</f>
        <v>0</v>
      </c>
      <c r="M116" s="55">
        <f t="shared" si="22"/>
        <v>0</v>
      </c>
      <c r="N116" s="55">
        <f t="shared" si="12"/>
        <v>0</v>
      </c>
      <c r="O116" s="55">
        <f t="shared" si="13"/>
        <v>0</v>
      </c>
      <c r="P116" s="55">
        <f t="shared" si="14"/>
        <v>0</v>
      </c>
      <c r="Q116" s="55">
        <f t="shared" si="15"/>
        <v>0</v>
      </c>
      <c r="R116" s="55">
        <f t="shared" si="16"/>
        <v>0</v>
      </c>
      <c r="T116" s="51">
        <f>NPV(Inputs!$C$6,'Vendas Vigente'!N116:Q116)+((R116*Inputs!$C$11)/(1+Inputs!$C$6)^(4.55))</f>
        <v>0</v>
      </c>
      <c r="X116" s="51"/>
      <c r="Y116" s="51">
        <f>SUMIFS(Tarifas!$AW$7:$AW$320,Tarifas!$G$7:$G$320,$A116)*SUMIFS(Mercado!G$9:G$160,Mercado!$A$9:$A$160,$A116)</f>
        <v>0</v>
      </c>
      <c r="Z116" s="51">
        <f>SUMIFS(Tarifas!$AW$7:$AW$320,Tarifas!$G$7:$G$320,$A116)*SUMIFS(Mercado!H$9:H$160,Mercado!$A$9:$A$160,$A116)</f>
        <v>0</v>
      </c>
      <c r="AA116" s="51">
        <f>SUMIFS(Tarifas!$AW$7:$AW$320,Tarifas!$G$7:$G$320,$A116)*SUMIFS(Mercado!I$9:I$160,Mercado!$A$9:$A$160,$A116)</f>
        <v>0</v>
      </c>
      <c r="AB116" s="51">
        <f>SUMIFS(Tarifas!$AW$7:$AW$320,Tarifas!$G$7:$G$320,$A116)*SUMIFS(Mercado!J$9:J$160,Mercado!$A$9:$A$160,$A116)</f>
        <v>0</v>
      </c>
      <c r="AC116" s="51">
        <f>SUMIFS(Tarifas!$AW$7:$AW$320,Tarifas!$G$7:$G$320,$A116)*SUMIFS(Mercado!K$9:K$160,Mercado!$A$9:$A$160,$A116)</f>
        <v>0</v>
      </c>
      <c r="AE116" s="55">
        <f t="shared" si="23"/>
        <v>0</v>
      </c>
      <c r="AF116" s="55">
        <f t="shared" si="17"/>
        <v>0</v>
      </c>
      <c r="AG116" s="55">
        <f t="shared" si="18"/>
        <v>0</v>
      </c>
      <c r="AH116" s="55">
        <f t="shared" si="19"/>
        <v>0</v>
      </c>
      <c r="AI116" s="55">
        <f t="shared" si="20"/>
        <v>0</v>
      </c>
      <c r="AJ116" s="55">
        <f t="shared" si="21"/>
        <v>0</v>
      </c>
    </row>
    <row r="117" spans="1:36">
      <c r="A117" s="192" t="s">
        <v>4852</v>
      </c>
      <c r="B117" s="50" t="s">
        <v>109</v>
      </c>
      <c r="C117" s="50">
        <v>2</v>
      </c>
      <c r="D117" s="51">
        <v>201</v>
      </c>
      <c r="E117" s="51">
        <v>2000</v>
      </c>
      <c r="F117" s="51"/>
      <c r="G117" s="51">
        <f>SUMIFS(Tarifas!$K$7:$K$320,Tarifas!$G$7:$G$320,$A117)*SUMIFS(Mercado!G$9:G$160,Mercado!$A$9:$A$160,$A117)</f>
        <v>0</v>
      </c>
      <c r="H117" s="51">
        <f>SUMIFS(Tarifas!$K$7:$K$320,Tarifas!$G$7:$G$320,$A117)*SUMIFS(Mercado!H$9:H$160,Mercado!$A$9:$A$160,$A117)</f>
        <v>0</v>
      </c>
      <c r="I117" s="51">
        <f>SUMIFS(Tarifas!$K$7:$K$320,Tarifas!$G$7:$G$320,$A117)*SUMIFS(Mercado!I$9:I$160,Mercado!$A$9:$A$160,$A117)</f>
        <v>0</v>
      </c>
      <c r="J117" s="51">
        <f>SUMIFS(Tarifas!$K$7:$K$320,Tarifas!$G$7:$G$320,$A117)*SUMIFS(Mercado!J$9:J$160,Mercado!$A$9:$A$160,$A117)</f>
        <v>0</v>
      </c>
      <c r="K117" s="51">
        <f>SUMIFS(Tarifas!$K$7:$K$320,Tarifas!$G$7:$G$320,$A117)*SUMIFS(Mercado!K$9:K$160,Mercado!$A$9:$A$160,$A117)</f>
        <v>0</v>
      </c>
      <c r="M117" s="55">
        <f t="shared" si="22"/>
        <v>0</v>
      </c>
      <c r="N117" s="55">
        <f t="shared" si="12"/>
        <v>0</v>
      </c>
      <c r="O117" s="55">
        <f t="shared" si="13"/>
        <v>0</v>
      </c>
      <c r="P117" s="55">
        <f t="shared" si="14"/>
        <v>0</v>
      </c>
      <c r="Q117" s="55">
        <f t="shared" si="15"/>
        <v>0</v>
      </c>
      <c r="R117" s="55">
        <f t="shared" si="16"/>
        <v>0</v>
      </c>
      <c r="T117" s="51">
        <f>NPV(Inputs!$C$6,'Vendas Vigente'!N117:Q117)+((R117*Inputs!$C$11)/(1+Inputs!$C$6)^(4.55))</f>
        <v>0</v>
      </c>
      <c r="X117" s="51"/>
      <c r="Y117" s="51">
        <f>SUMIFS(Tarifas!$AW$7:$AW$320,Tarifas!$G$7:$G$320,$A117)*SUMIFS(Mercado!G$9:G$160,Mercado!$A$9:$A$160,$A117)</f>
        <v>0</v>
      </c>
      <c r="Z117" s="51">
        <f>SUMIFS(Tarifas!$AW$7:$AW$320,Tarifas!$G$7:$G$320,$A117)*SUMIFS(Mercado!H$9:H$160,Mercado!$A$9:$A$160,$A117)</f>
        <v>0</v>
      </c>
      <c r="AA117" s="51">
        <f>SUMIFS(Tarifas!$AW$7:$AW$320,Tarifas!$G$7:$G$320,$A117)*SUMIFS(Mercado!I$9:I$160,Mercado!$A$9:$A$160,$A117)</f>
        <v>0</v>
      </c>
      <c r="AB117" s="51">
        <f>SUMIFS(Tarifas!$AW$7:$AW$320,Tarifas!$G$7:$G$320,$A117)*SUMIFS(Mercado!J$9:J$160,Mercado!$A$9:$A$160,$A117)</f>
        <v>0</v>
      </c>
      <c r="AC117" s="51">
        <f>SUMIFS(Tarifas!$AW$7:$AW$320,Tarifas!$G$7:$G$320,$A117)*SUMIFS(Mercado!K$9:K$160,Mercado!$A$9:$A$160,$A117)</f>
        <v>0</v>
      </c>
      <c r="AE117" s="55">
        <f t="shared" si="23"/>
        <v>0</v>
      </c>
      <c r="AF117" s="55">
        <f t="shared" si="17"/>
        <v>0</v>
      </c>
      <c r="AG117" s="55">
        <f t="shared" si="18"/>
        <v>0</v>
      </c>
      <c r="AH117" s="55">
        <f t="shared" si="19"/>
        <v>0</v>
      </c>
      <c r="AI117" s="55">
        <f t="shared" si="20"/>
        <v>0</v>
      </c>
      <c r="AJ117" s="55">
        <f t="shared" si="21"/>
        <v>0</v>
      </c>
    </row>
    <row r="118" spans="1:36">
      <c r="A118" s="192" t="s">
        <v>4853</v>
      </c>
      <c r="B118" s="50" t="s">
        <v>109</v>
      </c>
      <c r="C118" s="50">
        <v>3</v>
      </c>
      <c r="D118" s="51">
        <v>2001</v>
      </c>
      <c r="E118" s="51">
        <v>10000</v>
      </c>
      <c r="F118" s="51"/>
      <c r="G118" s="51">
        <f>SUMIFS(Tarifas!$K$7:$K$320,Tarifas!$G$7:$G$320,$A118)*SUMIFS(Mercado!G$9:G$160,Mercado!$A$9:$A$160,$A118)</f>
        <v>0</v>
      </c>
      <c r="H118" s="51">
        <f>SUMIFS(Tarifas!$K$7:$K$320,Tarifas!$G$7:$G$320,$A118)*SUMIFS(Mercado!H$9:H$160,Mercado!$A$9:$A$160,$A118)</f>
        <v>0</v>
      </c>
      <c r="I118" s="51">
        <f>SUMIFS(Tarifas!$K$7:$K$320,Tarifas!$G$7:$G$320,$A118)*SUMIFS(Mercado!I$9:I$160,Mercado!$A$9:$A$160,$A118)</f>
        <v>0</v>
      </c>
      <c r="J118" s="51">
        <f>SUMIFS(Tarifas!$K$7:$K$320,Tarifas!$G$7:$G$320,$A118)*SUMIFS(Mercado!J$9:J$160,Mercado!$A$9:$A$160,$A118)</f>
        <v>0</v>
      </c>
      <c r="K118" s="51">
        <f>SUMIFS(Tarifas!$K$7:$K$320,Tarifas!$G$7:$G$320,$A118)*SUMIFS(Mercado!K$9:K$160,Mercado!$A$9:$A$160,$A118)</f>
        <v>0</v>
      </c>
      <c r="M118" s="55">
        <f t="shared" si="22"/>
        <v>0</v>
      </c>
      <c r="N118" s="55">
        <f t="shared" si="12"/>
        <v>0</v>
      </c>
      <c r="O118" s="55">
        <f t="shared" si="13"/>
        <v>0</v>
      </c>
      <c r="P118" s="55">
        <f t="shared" si="14"/>
        <v>0</v>
      </c>
      <c r="Q118" s="55">
        <f t="shared" si="15"/>
        <v>0</v>
      </c>
      <c r="R118" s="55">
        <f t="shared" si="16"/>
        <v>0</v>
      </c>
      <c r="T118" s="51">
        <f>NPV(Inputs!$C$6,'Vendas Vigente'!N118:Q118)+((R118*Inputs!$C$11)/(1+Inputs!$C$6)^(4.55))</f>
        <v>0</v>
      </c>
      <c r="X118" s="51"/>
      <c r="Y118" s="51">
        <f>SUMIFS(Tarifas!$AW$7:$AW$320,Tarifas!$G$7:$G$320,$A118)*SUMIFS(Mercado!G$9:G$160,Mercado!$A$9:$A$160,$A118)</f>
        <v>0</v>
      </c>
      <c r="Z118" s="51">
        <f>SUMIFS(Tarifas!$AW$7:$AW$320,Tarifas!$G$7:$G$320,$A118)*SUMIFS(Mercado!H$9:H$160,Mercado!$A$9:$A$160,$A118)</f>
        <v>0</v>
      </c>
      <c r="AA118" s="51">
        <f>SUMIFS(Tarifas!$AW$7:$AW$320,Tarifas!$G$7:$G$320,$A118)*SUMIFS(Mercado!I$9:I$160,Mercado!$A$9:$A$160,$A118)</f>
        <v>0</v>
      </c>
      <c r="AB118" s="51">
        <f>SUMIFS(Tarifas!$AW$7:$AW$320,Tarifas!$G$7:$G$320,$A118)*SUMIFS(Mercado!J$9:J$160,Mercado!$A$9:$A$160,$A118)</f>
        <v>0</v>
      </c>
      <c r="AC118" s="51">
        <f>SUMIFS(Tarifas!$AW$7:$AW$320,Tarifas!$G$7:$G$320,$A118)*SUMIFS(Mercado!K$9:K$160,Mercado!$A$9:$A$160,$A118)</f>
        <v>0</v>
      </c>
      <c r="AE118" s="55">
        <f t="shared" si="23"/>
        <v>0</v>
      </c>
      <c r="AF118" s="55">
        <f t="shared" si="17"/>
        <v>0</v>
      </c>
      <c r="AG118" s="55">
        <f t="shared" si="18"/>
        <v>0</v>
      </c>
      <c r="AH118" s="55">
        <f t="shared" si="19"/>
        <v>0</v>
      </c>
      <c r="AI118" s="55">
        <f t="shared" si="20"/>
        <v>0</v>
      </c>
      <c r="AJ118" s="55">
        <f t="shared" si="21"/>
        <v>0</v>
      </c>
    </row>
    <row r="119" spans="1:36">
      <c r="A119" s="192" t="s">
        <v>4854</v>
      </c>
      <c r="B119" s="50" t="s">
        <v>109</v>
      </c>
      <c r="C119" s="50">
        <v>4</v>
      </c>
      <c r="D119" s="51">
        <v>10001</v>
      </c>
      <c r="E119" s="51">
        <v>50000</v>
      </c>
      <c r="F119" s="51"/>
      <c r="G119" s="51">
        <f>SUMIFS(Tarifas!$K$7:$K$320,Tarifas!$G$7:$G$320,$A119)*SUMIFS(Mercado!G$9:G$160,Mercado!$A$9:$A$160,$A119)</f>
        <v>0</v>
      </c>
      <c r="H119" s="51">
        <f>SUMIFS(Tarifas!$K$7:$K$320,Tarifas!$G$7:$G$320,$A119)*SUMIFS(Mercado!H$9:H$160,Mercado!$A$9:$A$160,$A119)</f>
        <v>0</v>
      </c>
      <c r="I119" s="51">
        <f>SUMIFS(Tarifas!$K$7:$K$320,Tarifas!$G$7:$G$320,$A119)*SUMIFS(Mercado!I$9:I$160,Mercado!$A$9:$A$160,$A119)</f>
        <v>0</v>
      </c>
      <c r="J119" s="51">
        <f>SUMIFS(Tarifas!$K$7:$K$320,Tarifas!$G$7:$G$320,$A119)*SUMIFS(Mercado!J$9:J$160,Mercado!$A$9:$A$160,$A119)</f>
        <v>0</v>
      </c>
      <c r="K119" s="51">
        <f>SUMIFS(Tarifas!$K$7:$K$320,Tarifas!$G$7:$G$320,$A119)*SUMIFS(Mercado!K$9:K$160,Mercado!$A$9:$A$160,$A119)</f>
        <v>0</v>
      </c>
      <c r="M119" s="55">
        <f t="shared" si="22"/>
        <v>0</v>
      </c>
      <c r="N119" s="55">
        <f t="shared" si="12"/>
        <v>0</v>
      </c>
      <c r="O119" s="55">
        <f t="shared" si="13"/>
        <v>0</v>
      </c>
      <c r="P119" s="55">
        <f t="shared" si="14"/>
        <v>0</v>
      </c>
      <c r="Q119" s="55">
        <f t="shared" si="15"/>
        <v>0</v>
      </c>
      <c r="R119" s="55">
        <f t="shared" si="16"/>
        <v>0</v>
      </c>
      <c r="T119" s="51">
        <f>NPV(Inputs!$C$6,'Vendas Vigente'!N119:Q119)+((R119*Inputs!$C$11)/(1+Inputs!$C$6)^(4.55))</f>
        <v>0</v>
      </c>
      <c r="X119" s="51"/>
      <c r="Y119" s="51">
        <f>SUMIFS(Tarifas!$AW$7:$AW$320,Tarifas!$G$7:$G$320,$A119)*SUMIFS(Mercado!G$9:G$160,Mercado!$A$9:$A$160,$A119)</f>
        <v>0</v>
      </c>
      <c r="Z119" s="51">
        <f>SUMIFS(Tarifas!$AW$7:$AW$320,Tarifas!$G$7:$G$320,$A119)*SUMIFS(Mercado!H$9:H$160,Mercado!$A$9:$A$160,$A119)</f>
        <v>0</v>
      </c>
      <c r="AA119" s="51">
        <f>SUMIFS(Tarifas!$AW$7:$AW$320,Tarifas!$G$7:$G$320,$A119)*SUMIFS(Mercado!I$9:I$160,Mercado!$A$9:$A$160,$A119)</f>
        <v>0</v>
      </c>
      <c r="AB119" s="51">
        <f>SUMIFS(Tarifas!$AW$7:$AW$320,Tarifas!$G$7:$G$320,$A119)*SUMIFS(Mercado!J$9:J$160,Mercado!$A$9:$A$160,$A119)</f>
        <v>0</v>
      </c>
      <c r="AC119" s="51">
        <f>SUMIFS(Tarifas!$AW$7:$AW$320,Tarifas!$G$7:$G$320,$A119)*SUMIFS(Mercado!K$9:K$160,Mercado!$A$9:$A$160,$A119)</f>
        <v>0</v>
      </c>
      <c r="AE119" s="55">
        <f t="shared" si="23"/>
        <v>0</v>
      </c>
      <c r="AF119" s="55">
        <f t="shared" si="17"/>
        <v>0</v>
      </c>
      <c r="AG119" s="55">
        <f t="shared" si="18"/>
        <v>0</v>
      </c>
      <c r="AH119" s="55">
        <f t="shared" si="19"/>
        <v>0</v>
      </c>
      <c r="AI119" s="55">
        <f t="shared" si="20"/>
        <v>0</v>
      </c>
      <c r="AJ119" s="55">
        <f t="shared" si="21"/>
        <v>0</v>
      </c>
    </row>
    <row r="120" spans="1:36">
      <c r="A120" s="192" t="s">
        <v>4855</v>
      </c>
      <c r="B120" s="50" t="s">
        <v>109</v>
      </c>
      <c r="C120" s="50">
        <v>5</v>
      </c>
      <c r="D120" s="51">
        <v>50001</v>
      </c>
      <c r="E120" s="51">
        <v>100000</v>
      </c>
      <c r="F120" s="51"/>
      <c r="G120" s="51">
        <f>SUMIFS(Tarifas!$K$7:$K$320,Tarifas!$G$7:$G$320,$A120)*SUMIFS(Mercado!G$9:G$160,Mercado!$A$9:$A$160,$A120)</f>
        <v>0</v>
      </c>
      <c r="H120" s="51">
        <f>SUMIFS(Tarifas!$K$7:$K$320,Tarifas!$G$7:$G$320,$A120)*SUMIFS(Mercado!H$9:H$160,Mercado!$A$9:$A$160,$A120)</f>
        <v>0</v>
      </c>
      <c r="I120" s="51">
        <f>SUMIFS(Tarifas!$K$7:$K$320,Tarifas!$G$7:$G$320,$A120)*SUMIFS(Mercado!I$9:I$160,Mercado!$A$9:$A$160,$A120)</f>
        <v>0</v>
      </c>
      <c r="J120" s="51">
        <f>SUMIFS(Tarifas!$K$7:$K$320,Tarifas!$G$7:$G$320,$A120)*SUMIFS(Mercado!J$9:J$160,Mercado!$A$9:$A$160,$A120)</f>
        <v>0</v>
      </c>
      <c r="K120" s="51">
        <f>SUMIFS(Tarifas!$K$7:$K$320,Tarifas!$G$7:$G$320,$A120)*SUMIFS(Mercado!K$9:K$160,Mercado!$A$9:$A$160,$A120)</f>
        <v>0</v>
      </c>
      <c r="M120" s="55">
        <f t="shared" si="22"/>
        <v>0</v>
      </c>
      <c r="N120" s="55">
        <f t="shared" si="12"/>
        <v>0</v>
      </c>
      <c r="O120" s="55">
        <f t="shared" si="13"/>
        <v>0</v>
      </c>
      <c r="P120" s="55">
        <f t="shared" si="14"/>
        <v>0</v>
      </c>
      <c r="Q120" s="55">
        <f t="shared" si="15"/>
        <v>0</v>
      </c>
      <c r="R120" s="55">
        <f t="shared" si="16"/>
        <v>0</v>
      </c>
      <c r="T120" s="51">
        <f>NPV(Inputs!$C$6,'Vendas Vigente'!N120:Q120)+((R120*Inputs!$C$11)/(1+Inputs!$C$6)^(4.55))</f>
        <v>0</v>
      </c>
      <c r="X120" s="51"/>
      <c r="Y120" s="51">
        <f>SUMIFS(Tarifas!$AW$7:$AW$320,Tarifas!$G$7:$G$320,$A120)*SUMIFS(Mercado!G$9:G$160,Mercado!$A$9:$A$160,$A120)</f>
        <v>0</v>
      </c>
      <c r="Z120" s="51">
        <f>SUMIFS(Tarifas!$AW$7:$AW$320,Tarifas!$G$7:$G$320,$A120)*SUMIFS(Mercado!H$9:H$160,Mercado!$A$9:$A$160,$A120)</f>
        <v>0</v>
      </c>
      <c r="AA120" s="51">
        <f>SUMIFS(Tarifas!$AW$7:$AW$320,Tarifas!$G$7:$G$320,$A120)*SUMIFS(Mercado!I$9:I$160,Mercado!$A$9:$A$160,$A120)</f>
        <v>0</v>
      </c>
      <c r="AB120" s="51">
        <f>SUMIFS(Tarifas!$AW$7:$AW$320,Tarifas!$G$7:$G$320,$A120)*SUMIFS(Mercado!J$9:J$160,Mercado!$A$9:$A$160,$A120)</f>
        <v>0</v>
      </c>
      <c r="AC120" s="51">
        <f>SUMIFS(Tarifas!$AW$7:$AW$320,Tarifas!$G$7:$G$320,$A120)*SUMIFS(Mercado!K$9:K$160,Mercado!$A$9:$A$160,$A120)</f>
        <v>0</v>
      </c>
      <c r="AE120" s="55">
        <f t="shared" si="23"/>
        <v>0</v>
      </c>
      <c r="AF120" s="55">
        <f t="shared" si="17"/>
        <v>0</v>
      </c>
      <c r="AG120" s="55">
        <f t="shared" si="18"/>
        <v>0</v>
      </c>
      <c r="AH120" s="55">
        <f t="shared" si="19"/>
        <v>0</v>
      </c>
      <c r="AI120" s="55">
        <f t="shared" si="20"/>
        <v>0</v>
      </c>
      <c r="AJ120" s="55">
        <f t="shared" si="21"/>
        <v>0</v>
      </c>
    </row>
    <row r="121" spans="1:36">
      <c r="A121" s="192" t="s">
        <v>4856</v>
      </c>
      <c r="B121" s="50" t="s">
        <v>109</v>
      </c>
      <c r="C121" s="50">
        <v>6</v>
      </c>
      <c r="D121" s="51">
        <v>100001</v>
      </c>
      <c r="E121" s="51">
        <v>300000</v>
      </c>
      <c r="F121" s="51"/>
      <c r="G121" s="51">
        <f>SUMIFS(Tarifas!$K$7:$K$320,Tarifas!$G$7:$G$320,$A121)*SUMIFS(Mercado!G$9:G$160,Mercado!$A$9:$A$160,$A121)</f>
        <v>0</v>
      </c>
      <c r="H121" s="51">
        <f>SUMIFS(Tarifas!$K$7:$K$320,Tarifas!$G$7:$G$320,$A121)*SUMIFS(Mercado!H$9:H$160,Mercado!$A$9:$A$160,$A121)</f>
        <v>0</v>
      </c>
      <c r="I121" s="51">
        <f>SUMIFS(Tarifas!$K$7:$K$320,Tarifas!$G$7:$G$320,$A121)*SUMIFS(Mercado!I$9:I$160,Mercado!$A$9:$A$160,$A121)</f>
        <v>0</v>
      </c>
      <c r="J121" s="51">
        <f>SUMIFS(Tarifas!$K$7:$K$320,Tarifas!$G$7:$G$320,$A121)*SUMIFS(Mercado!J$9:J$160,Mercado!$A$9:$A$160,$A121)</f>
        <v>0</v>
      </c>
      <c r="K121" s="51">
        <f>SUMIFS(Tarifas!$K$7:$K$320,Tarifas!$G$7:$G$320,$A121)*SUMIFS(Mercado!K$9:K$160,Mercado!$A$9:$A$160,$A121)</f>
        <v>0</v>
      </c>
      <c r="M121" s="55">
        <f t="shared" si="22"/>
        <v>0</v>
      </c>
      <c r="N121" s="55">
        <f t="shared" si="12"/>
        <v>0</v>
      </c>
      <c r="O121" s="55">
        <f t="shared" si="13"/>
        <v>0</v>
      </c>
      <c r="P121" s="55">
        <f t="shared" si="14"/>
        <v>0</v>
      </c>
      <c r="Q121" s="55">
        <f t="shared" si="15"/>
        <v>0</v>
      </c>
      <c r="R121" s="55">
        <f t="shared" si="16"/>
        <v>0</v>
      </c>
      <c r="T121" s="51">
        <f>NPV(Inputs!$C$6,'Vendas Vigente'!N121:Q121)+((R121*Inputs!$C$11)/(1+Inputs!$C$6)^(4.55))</f>
        <v>0</v>
      </c>
      <c r="X121" s="51"/>
      <c r="Y121" s="51">
        <f>SUMIFS(Tarifas!$AW$7:$AW$320,Tarifas!$G$7:$G$320,$A121)*SUMIFS(Mercado!G$9:G$160,Mercado!$A$9:$A$160,$A121)</f>
        <v>0</v>
      </c>
      <c r="Z121" s="51">
        <f>SUMIFS(Tarifas!$AW$7:$AW$320,Tarifas!$G$7:$G$320,$A121)*SUMIFS(Mercado!H$9:H$160,Mercado!$A$9:$A$160,$A121)</f>
        <v>0</v>
      </c>
      <c r="AA121" s="51">
        <f>SUMIFS(Tarifas!$AW$7:$AW$320,Tarifas!$G$7:$G$320,$A121)*SUMIFS(Mercado!I$9:I$160,Mercado!$A$9:$A$160,$A121)</f>
        <v>0</v>
      </c>
      <c r="AB121" s="51">
        <f>SUMIFS(Tarifas!$AW$7:$AW$320,Tarifas!$G$7:$G$320,$A121)*SUMIFS(Mercado!J$9:J$160,Mercado!$A$9:$A$160,$A121)</f>
        <v>0</v>
      </c>
      <c r="AC121" s="51">
        <f>SUMIFS(Tarifas!$AW$7:$AW$320,Tarifas!$G$7:$G$320,$A121)*SUMIFS(Mercado!K$9:K$160,Mercado!$A$9:$A$160,$A121)</f>
        <v>0</v>
      </c>
      <c r="AE121" s="55">
        <f t="shared" si="23"/>
        <v>0</v>
      </c>
      <c r="AF121" s="55">
        <f t="shared" si="17"/>
        <v>0</v>
      </c>
      <c r="AG121" s="55">
        <f t="shared" si="18"/>
        <v>0</v>
      </c>
      <c r="AH121" s="55">
        <f t="shared" si="19"/>
        <v>0</v>
      </c>
      <c r="AI121" s="55">
        <f t="shared" si="20"/>
        <v>0</v>
      </c>
      <c r="AJ121" s="55">
        <f t="shared" si="21"/>
        <v>0</v>
      </c>
    </row>
    <row r="122" spans="1:36">
      <c r="A122" s="192" t="s">
        <v>4857</v>
      </c>
      <c r="B122" s="50" t="s">
        <v>109</v>
      </c>
      <c r="C122" s="50">
        <v>7</v>
      </c>
      <c r="D122" s="51">
        <v>300001</v>
      </c>
      <c r="E122" s="51">
        <v>600000</v>
      </c>
      <c r="F122" s="51"/>
      <c r="G122" s="51">
        <f>SUMIFS(Tarifas!$K$7:$K$320,Tarifas!$G$7:$G$320,$A122)*SUMIFS(Mercado!G$9:G$160,Mercado!$A$9:$A$160,$A122)</f>
        <v>0</v>
      </c>
      <c r="H122" s="51">
        <f>SUMIFS(Tarifas!$K$7:$K$320,Tarifas!$G$7:$G$320,$A122)*SUMIFS(Mercado!H$9:H$160,Mercado!$A$9:$A$160,$A122)</f>
        <v>0</v>
      </c>
      <c r="I122" s="51">
        <f>SUMIFS(Tarifas!$K$7:$K$320,Tarifas!$G$7:$G$320,$A122)*SUMIFS(Mercado!I$9:I$160,Mercado!$A$9:$A$160,$A122)</f>
        <v>0</v>
      </c>
      <c r="J122" s="51">
        <f>SUMIFS(Tarifas!$K$7:$K$320,Tarifas!$G$7:$G$320,$A122)*SUMIFS(Mercado!J$9:J$160,Mercado!$A$9:$A$160,$A122)</f>
        <v>0</v>
      </c>
      <c r="K122" s="51">
        <f>SUMIFS(Tarifas!$K$7:$K$320,Tarifas!$G$7:$G$320,$A122)*SUMIFS(Mercado!K$9:K$160,Mercado!$A$9:$A$160,$A122)</f>
        <v>0</v>
      </c>
      <c r="M122" s="55">
        <f t="shared" si="22"/>
        <v>0</v>
      </c>
      <c r="N122" s="55">
        <f t="shared" si="12"/>
        <v>0</v>
      </c>
      <c r="O122" s="55">
        <f t="shared" si="13"/>
        <v>0</v>
      </c>
      <c r="P122" s="55">
        <f t="shared" si="14"/>
        <v>0</v>
      </c>
      <c r="Q122" s="55">
        <f t="shared" si="15"/>
        <v>0</v>
      </c>
      <c r="R122" s="55">
        <f t="shared" si="16"/>
        <v>0</v>
      </c>
      <c r="T122" s="51">
        <f>NPV(Inputs!$C$6,'Vendas Vigente'!N122:Q122)+((R122*Inputs!$C$11)/(1+Inputs!$C$6)^(4.55))</f>
        <v>0</v>
      </c>
      <c r="X122" s="51"/>
      <c r="Y122" s="51">
        <f>SUMIFS(Tarifas!$AW$7:$AW$320,Tarifas!$G$7:$G$320,$A122)*SUMIFS(Mercado!G$9:G$160,Mercado!$A$9:$A$160,$A122)</f>
        <v>0</v>
      </c>
      <c r="Z122" s="51">
        <f>SUMIFS(Tarifas!$AW$7:$AW$320,Tarifas!$G$7:$G$320,$A122)*SUMIFS(Mercado!H$9:H$160,Mercado!$A$9:$A$160,$A122)</f>
        <v>0</v>
      </c>
      <c r="AA122" s="51">
        <f>SUMIFS(Tarifas!$AW$7:$AW$320,Tarifas!$G$7:$G$320,$A122)*SUMIFS(Mercado!I$9:I$160,Mercado!$A$9:$A$160,$A122)</f>
        <v>0</v>
      </c>
      <c r="AB122" s="51">
        <f>SUMIFS(Tarifas!$AW$7:$AW$320,Tarifas!$G$7:$G$320,$A122)*SUMIFS(Mercado!J$9:J$160,Mercado!$A$9:$A$160,$A122)</f>
        <v>0</v>
      </c>
      <c r="AC122" s="51">
        <f>SUMIFS(Tarifas!$AW$7:$AW$320,Tarifas!$G$7:$G$320,$A122)*SUMIFS(Mercado!K$9:K$160,Mercado!$A$9:$A$160,$A122)</f>
        <v>0</v>
      </c>
      <c r="AE122" s="55">
        <f t="shared" si="23"/>
        <v>0</v>
      </c>
      <c r="AF122" s="55">
        <f t="shared" si="17"/>
        <v>0</v>
      </c>
      <c r="AG122" s="55">
        <f t="shared" si="18"/>
        <v>0</v>
      </c>
      <c r="AH122" s="55">
        <f t="shared" si="19"/>
        <v>0</v>
      </c>
      <c r="AI122" s="55">
        <f t="shared" si="20"/>
        <v>0</v>
      </c>
      <c r="AJ122" s="55">
        <f t="shared" si="21"/>
        <v>0</v>
      </c>
    </row>
    <row r="123" spans="1:36">
      <c r="A123" s="192" t="s">
        <v>4858</v>
      </c>
      <c r="B123" s="50" t="s">
        <v>109</v>
      </c>
      <c r="C123" s="50">
        <v>8</v>
      </c>
      <c r="D123" s="51">
        <v>600001</v>
      </c>
      <c r="E123" s="51">
        <v>1500000</v>
      </c>
      <c r="F123" s="51"/>
      <c r="G123" s="51">
        <f>SUMIFS(Tarifas!$K$7:$K$320,Tarifas!$G$7:$G$320,$A123)*SUMIFS(Mercado!G$9:G$160,Mercado!$A$9:$A$160,$A123)</f>
        <v>0</v>
      </c>
      <c r="H123" s="51">
        <f>SUMIFS(Tarifas!$K$7:$K$320,Tarifas!$G$7:$G$320,$A123)*SUMIFS(Mercado!H$9:H$160,Mercado!$A$9:$A$160,$A123)</f>
        <v>0</v>
      </c>
      <c r="I123" s="51">
        <f>SUMIFS(Tarifas!$K$7:$K$320,Tarifas!$G$7:$G$320,$A123)*SUMIFS(Mercado!I$9:I$160,Mercado!$A$9:$A$160,$A123)</f>
        <v>0</v>
      </c>
      <c r="J123" s="51">
        <f>SUMIFS(Tarifas!$K$7:$K$320,Tarifas!$G$7:$G$320,$A123)*SUMIFS(Mercado!J$9:J$160,Mercado!$A$9:$A$160,$A123)</f>
        <v>0</v>
      </c>
      <c r="K123" s="51">
        <f>SUMIFS(Tarifas!$K$7:$K$320,Tarifas!$G$7:$G$320,$A123)*SUMIFS(Mercado!K$9:K$160,Mercado!$A$9:$A$160,$A123)</f>
        <v>0</v>
      </c>
      <c r="M123" s="55">
        <f t="shared" si="22"/>
        <v>0</v>
      </c>
      <c r="N123" s="55">
        <f t="shared" si="12"/>
        <v>0</v>
      </c>
      <c r="O123" s="55">
        <f t="shared" si="13"/>
        <v>0</v>
      </c>
      <c r="P123" s="55">
        <f t="shared" si="14"/>
        <v>0</v>
      </c>
      <c r="Q123" s="55">
        <f t="shared" si="15"/>
        <v>0</v>
      </c>
      <c r="R123" s="55">
        <f t="shared" si="16"/>
        <v>0</v>
      </c>
      <c r="T123" s="51">
        <f>NPV(Inputs!$C$6,'Vendas Vigente'!N123:Q123)+((R123*Inputs!$C$11)/(1+Inputs!$C$6)^(4.55))</f>
        <v>0</v>
      </c>
      <c r="X123" s="51"/>
      <c r="Y123" s="51">
        <f>SUMIFS(Tarifas!$AW$7:$AW$320,Tarifas!$G$7:$G$320,$A123)*SUMIFS(Mercado!G$9:G$160,Mercado!$A$9:$A$160,$A123)</f>
        <v>0</v>
      </c>
      <c r="Z123" s="51">
        <f>SUMIFS(Tarifas!$AW$7:$AW$320,Tarifas!$G$7:$G$320,$A123)*SUMIFS(Mercado!H$9:H$160,Mercado!$A$9:$A$160,$A123)</f>
        <v>0</v>
      </c>
      <c r="AA123" s="51">
        <f>SUMIFS(Tarifas!$AW$7:$AW$320,Tarifas!$G$7:$G$320,$A123)*SUMIFS(Mercado!I$9:I$160,Mercado!$A$9:$A$160,$A123)</f>
        <v>0</v>
      </c>
      <c r="AB123" s="51">
        <f>SUMIFS(Tarifas!$AW$7:$AW$320,Tarifas!$G$7:$G$320,$A123)*SUMIFS(Mercado!J$9:J$160,Mercado!$A$9:$A$160,$A123)</f>
        <v>0</v>
      </c>
      <c r="AC123" s="51">
        <f>SUMIFS(Tarifas!$AW$7:$AW$320,Tarifas!$G$7:$G$320,$A123)*SUMIFS(Mercado!K$9:K$160,Mercado!$A$9:$A$160,$A123)</f>
        <v>0</v>
      </c>
      <c r="AE123" s="55">
        <f t="shared" si="23"/>
        <v>0</v>
      </c>
      <c r="AF123" s="55">
        <f t="shared" si="17"/>
        <v>0</v>
      </c>
      <c r="AG123" s="55">
        <f t="shared" si="18"/>
        <v>0</v>
      </c>
      <c r="AH123" s="55">
        <f t="shared" si="19"/>
        <v>0</v>
      </c>
      <c r="AI123" s="55">
        <f t="shared" si="20"/>
        <v>0</v>
      </c>
      <c r="AJ123" s="55">
        <f t="shared" si="21"/>
        <v>0</v>
      </c>
    </row>
    <row r="124" spans="1:36">
      <c r="A124" s="192" t="s">
        <v>4859</v>
      </c>
      <c r="B124" s="50" t="s">
        <v>109</v>
      </c>
      <c r="C124" s="50">
        <v>9</v>
      </c>
      <c r="D124" s="51">
        <v>1500001</v>
      </c>
      <c r="E124" s="51">
        <v>3000000</v>
      </c>
      <c r="F124" s="51"/>
      <c r="G124" s="51">
        <f>SUMIFS(Tarifas!$K$7:$K$320,Tarifas!$G$7:$G$320,$A124)*SUMIFS(Mercado!G$9:G$160,Mercado!$A$9:$A$160,$A124)</f>
        <v>0</v>
      </c>
      <c r="H124" s="51">
        <f>SUMIFS(Tarifas!$K$7:$K$320,Tarifas!$G$7:$G$320,$A124)*SUMIFS(Mercado!H$9:H$160,Mercado!$A$9:$A$160,$A124)</f>
        <v>0</v>
      </c>
      <c r="I124" s="51">
        <f>SUMIFS(Tarifas!$K$7:$K$320,Tarifas!$G$7:$G$320,$A124)*SUMIFS(Mercado!I$9:I$160,Mercado!$A$9:$A$160,$A124)</f>
        <v>0</v>
      </c>
      <c r="J124" s="51">
        <f>SUMIFS(Tarifas!$K$7:$K$320,Tarifas!$G$7:$G$320,$A124)*SUMIFS(Mercado!J$9:J$160,Mercado!$A$9:$A$160,$A124)</f>
        <v>0</v>
      </c>
      <c r="K124" s="51">
        <f>SUMIFS(Tarifas!$K$7:$K$320,Tarifas!$G$7:$G$320,$A124)*SUMIFS(Mercado!K$9:K$160,Mercado!$A$9:$A$160,$A124)</f>
        <v>0</v>
      </c>
      <c r="M124" s="55">
        <f t="shared" si="22"/>
        <v>0</v>
      </c>
      <c r="N124" s="55">
        <f t="shared" si="12"/>
        <v>0</v>
      </c>
      <c r="O124" s="55">
        <f t="shared" si="13"/>
        <v>0</v>
      </c>
      <c r="P124" s="55">
        <f t="shared" si="14"/>
        <v>0</v>
      </c>
      <c r="Q124" s="55">
        <f t="shared" si="15"/>
        <v>0</v>
      </c>
      <c r="R124" s="55">
        <f t="shared" si="16"/>
        <v>0</v>
      </c>
      <c r="T124" s="51">
        <f>NPV(Inputs!$C$6,'Vendas Vigente'!N124:Q124)+((R124*Inputs!$C$11)/(1+Inputs!$C$6)^(4.55))</f>
        <v>0</v>
      </c>
      <c r="X124" s="51"/>
      <c r="Y124" s="51">
        <f>SUMIFS(Tarifas!$AW$7:$AW$320,Tarifas!$G$7:$G$320,$A124)*SUMIFS(Mercado!G$9:G$160,Mercado!$A$9:$A$160,$A124)</f>
        <v>0</v>
      </c>
      <c r="Z124" s="51">
        <f>SUMIFS(Tarifas!$AW$7:$AW$320,Tarifas!$G$7:$G$320,$A124)*SUMIFS(Mercado!H$9:H$160,Mercado!$A$9:$A$160,$A124)</f>
        <v>0</v>
      </c>
      <c r="AA124" s="51">
        <f>SUMIFS(Tarifas!$AW$7:$AW$320,Tarifas!$G$7:$G$320,$A124)*SUMIFS(Mercado!I$9:I$160,Mercado!$A$9:$A$160,$A124)</f>
        <v>0</v>
      </c>
      <c r="AB124" s="51">
        <f>SUMIFS(Tarifas!$AW$7:$AW$320,Tarifas!$G$7:$G$320,$A124)*SUMIFS(Mercado!J$9:J$160,Mercado!$A$9:$A$160,$A124)</f>
        <v>0</v>
      </c>
      <c r="AC124" s="51">
        <f>SUMIFS(Tarifas!$AW$7:$AW$320,Tarifas!$G$7:$G$320,$A124)*SUMIFS(Mercado!K$9:K$160,Mercado!$A$9:$A$160,$A124)</f>
        <v>0</v>
      </c>
      <c r="AE124" s="55">
        <f t="shared" si="23"/>
        <v>0</v>
      </c>
      <c r="AF124" s="55">
        <f t="shared" si="17"/>
        <v>0</v>
      </c>
      <c r="AG124" s="55">
        <f t="shared" si="18"/>
        <v>0</v>
      </c>
      <c r="AH124" s="55">
        <f t="shared" si="19"/>
        <v>0</v>
      </c>
      <c r="AI124" s="55">
        <f t="shared" si="20"/>
        <v>0</v>
      </c>
      <c r="AJ124" s="55">
        <f t="shared" si="21"/>
        <v>0</v>
      </c>
    </row>
    <row r="125" spans="1:36">
      <c r="A125" s="192" t="s">
        <v>4860</v>
      </c>
      <c r="B125" s="50" t="s">
        <v>109</v>
      </c>
      <c r="C125" s="50">
        <v>10</v>
      </c>
      <c r="D125" s="51">
        <v>3000001</v>
      </c>
      <c r="E125" s="51">
        <v>999999999</v>
      </c>
      <c r="F125" s="51"/>
      <c r="G125" s="51">
        <f>SUMIFS(Tarifas!$K$7:$K$320,Tarifas!$G$7:$G$320,$A125)*SUMIFS(Mercado!G$9:G$160,Mercado!$A$9:$A$160,$A125)</f>
        <v>0</v>
      </c>
      <c r="H125" s="51">
        <f>SUMIFS(Tarifas!$K$7:$K$320,Tarifas!$G$7:$G$320,$A125)*SUMIFS(Mercado!H$9:H$160,Mercado!$A$9:$A$160,$A125)</f>
        <v>0</v>
      </c>
      <c r="I125" s="51">
        <f>SUMIFS(Tarifas!$K$7:$K$320,Tarifas!$G$7:$G$320,$A125)*SUMIFS(Mercado!I$9:I$160,Mercado!$A$9:$A$160,$A125)</f>
        <v>0</v>
      </c>
      <c r="J125" s="51">
        <f>SUMIFS(Tarifas!$K$7:$K$320,Tarifas!$G$7:$G$320,$A125)*SUMIFS(Mercado!J$9:J$160,Mercado!$A$9:$A$160,$A125)</f>
        <v>0</v>
      </c>
      <c r="K125" s="51">
        <f>SUMIFS(Tarifas!$K$7:$K$320,Tarifas!$G$7:$G$320,$A125)*SUMIFS(Mercado!K$9:K$160,Mercado!$A$9:$A$160,$A125)</f>
        <v>0</v>
      </c>
      <c r="M125" s="55">
        <f t="shared" si="22"/>
        <v>0</v>
      </c>
      <c r="N125" s="55">
        <f t="shared" si="12"/>
        <v>0</v>
      </c>
      <c r="O125" s="55">
        <f t="shared" si="13"/>
        <v>0</v>
      </c>
      <c r="P125" s="55">
        <f t="shared" si="14"/>
        <v>0</v>
      </c>
      <c r="Q125" s="55">
        <f t="shared" si="15"/>
        <v>0</v>
      </c>
      <c r="R125" s="55">
        <f t="shared" si="16"/>
        <v>0</v>
      </c>
      <c r="T125" s="51">
        <f>NPV(Inputs!$C$6,'Vendas Vigente'!N125:Q125)+((R125*Inputs!$C$11)/(1+Inputs!$C$6)^(4.55))</f>
        <v>0</v>
      </c>
      <c r="X125" s="51"/>
      <c r="Y125" s="51">
        <f>SUMIFS(Tarifas!$AW$7:$AW$320,Tarifas!$G$7:$G$320,$A125)*SUMIFS(Mercado!G$9:G$160,Mercado!$A$9:$A$160,$A125)</f>
        <v>0</v>
      </c>
      <c r="Z125" s="51">
        <f>SUMIFS(Tarifas!$AW$7:$AW$320,Tarifas!$G$7:$G$320,$A125)*SUMIFS(Mercado!H$9:H$160,Mercado!$A$9:$A$160,$A125)</f>
        <v>0</v>
      </c>
      <c r="AA125" s="51">
        <f>SUMIFS(Tarifas!$AW$7:$AW$320,Tarifas!$G$7:$G$320,$A125)*SUMIFS(Mercado!I$9:I$160,Mercado!$A$9:$A$160,$A125)</f>
        <v>0</v>
      </c>
      <c r="AB125" s="51">
        <f>SUMIFS(Tarifas!$AW$7:$AW$320,Tarifas!$G$7:$G$320,$A125)*SUMIFS(Mercado!J$9:J$160,Mercado!$A$9:$A$160,$A125)</f>
        <v>0</v>
      </c>
      <c r="AC125" s="51">
        <f>SUMIFS(Tarifas!$AW$7:$AW$320,Tarifas!$G$7:$G$320,$A125)*SUMIFS(Mercado!K$9:K$160,Mercado!$A$9:$A$160,$A125)</f>
        <v>0</v>
      </c>
      <c r="AE125" s="55">
        <f t="shared" si="23"/>
        <v>0</v>
      </c>
      <c r="AF125" s="55">
        <f t="shared" si="17"/>
        <v>0</v>
      </c>
      <c r="AG125" s="55">
        <f t="shared" si="18"/>
        <v>0</v>
      </c>
      <c r="AH125" s="55">
        <f t="shared" si="19"/>
        <v>0</v>
      </c>
      <c r="AI125" s="55">
        <f t="shared" si="20"/>
        <v>0</v>
      </c>
      <c r="AJ125" s="55">
        <f t="shared" si="21"/>
        <v>0</v>
      </c>
    </row>
    <row r="126" spans="1:36">
      <c r="A126" s="192"/>
      <c r="D126" s="51"/>
      <c r="E126" s="51"/>
      <c r="F126" s="51"/>
      <c r="G126" s="51">
        <f>SUMIFS(Tarifas!$K$7:$K$320,Tarifas!$G$7:$G$320,$A126)*SUMIFS(Mercado!G$9:G$160,Mercado!$A$9:$A$160,$A126)</f>
        <v>0</v>
      </c>
      <c r="H126" s="51">
        <f>SUMIFS(Tarifas!$K$7:$K$320,Tarifas!$G$7:$G$320,$A126)*SUMIFS(Mercado!H$9:H$160,Mercado!$A$9:$A$160,$A126)</f>
        <v>0</v>
      </c>
      <c r="I126" s="51">
        <f>SUMIFS(Tarifas!$K$7:$K$320,Tarifas!$G$7:$G$320,$A126)*SUMIFS(Mercado!I$9:I$160,Mercado!$A$9:$A$160,$A126)</f>
        <v>0</v>
      </c>
      <c r="J126" s="51">
        <f>SUMIFS(Tarifas!$K$7:$K$320,Tarifas!$G$7:$G$320,$A126)*SUMIFS(Mercado!J$9:J$160,Mercado!$A$9:$A$160,$A126)</f>
        <v>0</v>
      </c>
      <c r="K126" s="51">
        <f>SUMIFS(Tarifas!$K$7:$K$320,Tarifas!$G$7:$G$320,$A126)*SUMIFS(Mercado!K$9:K$160,Mercado!$A$9:$A$160,$A126)</f>
        <v>0</v>
      </c>
      <c r="M126" s="55">
        <f t="shared" si="22"/>
        <v>0</v>
      </c>
      <c r="N126" s="55">
        <f t="shared" si="12"/>
        <v>0</v>
      </c>
      <c r="O126" s="55">
        <f t="shared" si="13"/>
        <v>0</v>
      </c>
      <c r="P126" s="55">
        <f t="shared" si="14"/>
        <v>0</v>
      </c>
      <c r="Q126" s="55">
        <f t="shared" si="15"/>
        <v>0</v>
      </c>
      <c r="R126" s="55">
        <f t="shared" si="16"/>
        <v>0</v>
      </c>
      <c r="T126" s="51">
        <f>NPV(Inputs!$C$6,'Vendas Vigente'!N126:Q126)+((R126*Inputs!$C$11)/(1+Inputs!$C$6)^(4.55))</f>
        <v>0</v>
      </c>
      <c r="X126" s="51"/>
      <c r="Y126" s="51">
        <f>SUMIFS(Tarifas!$AW$7:$AW$320,Tarifas!$G$7:$G$320,$A126)*SUMIFS(Mercado!G$9:G$160,Mercado!$A$9:$A$160,$A126)</f>
        <v>0</v>
      </c>
      <c r="Z126" s="51">
        <f>SUMIFS(Tarifas!$AW$7:$AW$320,Tarifas!$G$7:$G$320,$A126)*SUMIFS(Mercado!H$9:H$160,Mercado!$A$9:$A$160,$A126)</f>
        <v>0</v>
      </c>
      <c r="AA126" s="51">
        <f>SUMIFS(Tarifas!$AW$7:$AW$320,Tarifas!$G$7:$G$320,$A126)*SUMIFS(Mercado!I$9:I$160,Mercado!$A$9:$A$160,$A126)</f>
        <v>0</v>
      </c>
      <c r="AB126" s="51">
        <f>SUMIFS(Tarifas!$AW$7:$AW$320,Tarifas!$G$7:$G$320,$A126)*SUMIFS(Mercado!J$9:J$160,Mercado!$A$9:$A$160,$A126)</f>
        <v>0</v>
      </c>
      <c r="AC126" s="51">
        <f>SUMIFS(Tarifas!$AW$7:$AW$320,Tarifas!$G$7:$G$320,$A126)*SUMIFS(Mercado!K$9:K$160,Mercado!$A$9:$A$160,$A126)</f>
        <v>0</v>
      </c>
      <c r="AE126" s="55">
        <f t="shared" si="23"/>
        <v>0</v>
      </c>
      <c r="AF126" s="55">
        <f t="shared" si="17"/>
        <v>0</v>
      </c>
      <c r="AG126" s="55">
        <f t="shared" si="18"/>
        <v>0</v>
      </c>
      <c r="AH126" s="55">
        <f t="shared" si="19"/>
        <v>0</v>
      </c>
      <c r="AI126" s="55">
        <f t="shared" si="20"/>
        <v>0</v>
      </c>
      <c r="AJ126" s="55">
        <f t="shared" si="21"/>
        <v>0</v>
      </c>
    </row>
    <row r="127" spans="1:36">
      <c r="A127" s="192" t="s">
        <v>4861</v>
      </c>
      <c r="B127" s="50" t="s">
        <v>4862</v>
      </c>
      <c r="C127" s="50">
        <v>1</v>
      </c>
      <c r="D127" s="51">
        <v>0</v>
      </c>
      <c r="E127" s="51">
        <v>200</v>
      </c>
      <c r="F127" s="51"/>
      <c r="G127" s="51">
        <f>SUMIFS(Tarifas!$K$7:$K$320,Tarifas!$G$7:$G$320,$A127)*SUMIFS(Mercado!G$9:G$160,Mercado!$A$9:$A$160,$A127)</f>
        <v>0</v>
      </c>
      <c r="H127" s="51">
        <f>SUMIFS(Tarifas!$K$7:$K$320,Tarifas!$G$7:$G$320,$A127)*SUMIFS(Mercado!H$9:H$160,Mercado!$A$9:$A$160,$A127)</f>
        <v>0</v>
      </c>
      <c r="I127" s="51">
        <f>SUMIFS(Tarifas!$K$7:$K$320,Tarifas!$G$7:$G$320,$A127)*SUMIFS(Mercado!I$9:I$160,Mercado!$A$9:$A$160,$A127)</f>
        <v>0</v>
      </c>
      <c r="J127" s="51">
        <f>SUMIFS(Tarifas!$K$7:$K$320,Tarifas!$G$7:$G$320,$A127)*SUMIFS(Mercado!J$9:J$160,Mercado!$A$9:$A$160,$A127)</f>
        <v>0</v>
      </c>
      <c r="K127" s="51">
        <f>SUMIFS(Tarifas!$K$7:$K$320,Tarifas!$G$7:$G$320,$A127)*SUMIFS(Mercado!K$9:K$160,Mercado!$A$9:$A$160,$A127)</f>
        <v>0</v>
      </c>
      <c r="M127" s="55">
        <f t="shared" si="22"/>
        <v>0</v>
      </c>
      <c r="N127" s="55">
        <f t="shared" si="12"/>
        <v>0</v>
      </c>
      <c r="O127" s="55">
        <f t="shared" si="13"/>
        <v>0</v>
      </c>
      <c r="P127" s="55">
        <f t="shared" si="14"/>
        <v>0</v>
      </c>
      <c r="Q127" s="55">
        <f t="shared" si="15"/>
        <v>0</v>
      </c>
      <c r="R127" s="55">
        <f t="shared" si="16"/>
        <v>0</v>
      </c>
      <c r="T127" s="51">
        <f>NPV(Inputs!$C$6,'Vendas Vigente'!N127:Q127)+((R127*Inputs!$C$11)/(1+Inputs!$C$6)^(4.55))</f>
        <v>0</v>
      </c>
      <c r="X127" s="51"/>
      <c r="Y127" s="51">
        <f>SUMIFS(Tarifas!$AW$7:$AW$320,Tarifas!$G$7:$G$320,$A127)*SUMIFS(Mercado!G$9:G$160,Mercado!$A$9:$A$160,$A127)</f>
        <v>0</v>
      </c>
      <c r="Z127" s="51">
        <f>SUMIFS(Tarifas!$AW$7:$AW$320,Tarifas!$G$7:$G$320,$A127)*SUMIFS(Mercado!H$9:H$160,Mercado!$A$9:$A$160,$A127)</f>
        <v>0</v>
      </c>
      <c r="AA127" s="51">
        <f>SUMIFS(Tarifas!$AW$7:$AW$320,Tarifas!$G$7:$G$320,$A127)*SUMIFS(Mercado!I$9:I$160,Mercado!$A$9:$A$160,$A127)</f>
        <v>0</v>
      </c>
      <c r="AB127" s="51">
        <f>SUMIFS(Tarifas!$AW$7:$AW$320,Tarifas!$G$7:$G$320,$A127)*SUMIFS(Mercado!J$9:J$160,Mercado!$A$9:$A$160,$A127)</f>
        <v>0</v>
      </c>
      <c r="AC127" s="51">
        <f>SUMIFS(Tarifas!$AW$7:$AW$320,Tarifas!$G$7:$G$320,$A127)*SUMIFS(Mercado!K$9:K$160,Mercado!$A$9:$A$160,$A127)</f>
        <v>0</v>
      </c>
      <c r="AE127" s="55">
        <f t="shared" si="23"/>
        <v>0</v>
      </c>
      <c r="AF127" s="55">
        <f t="shared" si="17"/>
        <v>0</v>
      </c>
      <c r="AG127" s="55">
        <f t="shared" si="18"/>
        <v>0</v>
      </c>
      <c r="AH127" s="55">
        <f t="shared" si="19"/>
        <v>0</v>
      </c>
      <c r="AI127" s="55">
        <f t="shared" si="20"/>
        <v>0</v>
      </c>
      <c r="AJ127" s="55">
        <f t="shared" si="21"/>
        <v>0</v>
      </c>
    </row>
    <row r="128" spans="1:36">
      <c r="A128" s="192" t="s">
        <v>4863</v>
      </c>
      <c r="B128" s="50" t="s">
        <v>4862</v>
      </c>
      <c r="C128" s="50">
        <v>2</v>
      </c>
      <c r="D128" s="51">
        <v>201</v>
      </c>
      <c r="E128" s="51">
        <v>2000</v>
      </c>
      <c r="F128" s="51"/>
      <c r="G128" s="51">
        <f>SUMIFS(Tarifas!$K$7:$K$320,Tarifas!$G$7:$G$320,$A128)*SUMIFS(Mercado!G$9:G$160,Mercado!$A$9:$A$160,$A128)</f>
        <v>0</v>
      </c>
      <c r="H128" s="51">
        <f>SUMIFS(Tarifas!$K$7:$K$320,Tarifas!$G$7:$G$320,$A128)*SUMIFS(Mercado!H$9:H$160,Mercado!$A$9:$A$160,$A128)</f>
        <v>0</v>
      </c>
      <c r="I128" s="51">
        <f>SUMIFS(Tarifas!$K$7:$K$320,Tarifas!$G$7:$G$320,$A128)*SUMIFS(Mercado!I$9:I$160,Mercado!$A$9:$A$160,$A128)</f>
        <v>0</v>
      </c>
      <c r="J128" s="51">
        <f>SUMIFS(Tarifas!$K$7:$K$320,Tarifas!$G$7:$G$320,$A128)*SUMIFS(Mercado!J$9:J$160,Mercado!$A$9:$A$160,$A128)</f>
        <v>0</v>
      </c>
      <c r="K128" s="51">
        <f>SUMIFS(Tarifas!$K$7:$K$320,Tarifas!$G$7:$G$320,$A128)*SUMIFS(Mercado!K$9:K$160,Mercado!$A$9:$A$160,$A128)</f>
        <v>0</v>
      </c>
      <c r="M128" s="55">
        <f t="shared" si="22"/>
        <v>0</v>
      </c>
      <c r="N128" s="55">
        <f t="shared" si="12"/>
        <v>0</v>
      </c>
      <c r="O128" s="55">
        <f t="shared" si="13"/>
        <v>0</v>
      </c>
      <c r="P128" s="55">
        <f t="shared" si="14"/>
        <v>0</v>
      </c>
      <c r="Q128" s="55">
        <f t="shared" si="15"/>
        <v>0</v>
      </c>
      <c r="R128" s="55">
        <f t="shared" si="16"/>
        <v>0</v>
      </c>
      <c r="T128" s="51">
        <f>NPV(Inputs!$C$6,'Vendas Vigente'!N128:Q128)+((R128*Inputs!$C$11)/(1+Inputs!$C$6)^(4.55))</f>
        <v>0</v>
      </c>
      <c r="X128" s="51"/>
      <c r="Y128" s="51">
        <f>SUMIFS(Tarifas!$AW$7:$AW$320,Tarifas!$G$7:$G$320,$A128)*SUMIFS(Mercado!G$9:G$160,Mercado!$A$9:$A$160,$A128)</f>
        <v>0</v>
      </c>
      <c r="Z128" s="51">
        <f>SUMIFS(Tarifas!$AW$7:$AW$320,Tarifas!$G$7:$G$320,$A128)*SUMIFS(Mercado!H$9:H$160,Mercado!$A$9:$A$160,$A128)</f>
        <v>0</v>
      </c>
      <c r="AA128" s="51">
        <f>SUMIFS(Tarifas!$AW$7:$AW$320,Tarifas!$G$7:$G$320,$A128)*SUMIFS(Mercado!I$9:I$160,Mercado!$A$9:$A$160,$A128)</f>
        <v>0</v>
      </c>
      <c r="AB128" s="51">
        <f>SUMIFS(Tarifas!$AW$7:$AW$320,Tarifas!$G$7:$G$320,$A128)*SUMIFS(Mercado!J$9:J$160,Mercado!$A$9:$A$160,$A128)</f>
        <v>0</v>
      </c>
      <c r="AC128" s="51">
        <f>SUMIFS(Tarifas!$AW$7:$AW$320,Tarifas!$G$7:$G$320,$A128)*SUMIFS(Mercado!K$9:K$160,Mercado!$A$9:$A$160,$A128)</f>
        <v>0</v>
      </c>
      <c r="AE128" s="55">
        <f t="shared" si="23"/>
        <v>0</v>
      </c>
      <c r="AF128" s="55">
        <f t="shared" si="17"/>
        <v>0</v>
      </c>
      <c r="AG128" s="55">
        <f t="shared" si="18"/>
        <v>0</v>
      </c>
      <c r="AH128" s="55">
        <f t="shared" si="19"/>
        <v>0</v>
      </c>
      <c r="AI128" s="55">
        <f t="shared" si="20"/>
        <v>0</v>
      </c>
      <c r="AJ128" s="55">
        <f t="shared" si="21"/>
        <v>0</v>
      </c>
    </row>
    <row r="129" spans="1:36">
      <c r="A129" s="192" t="s">
        <v>4864</v>
      </c>
      <c r="B129" s="50" t="s">
        <v>4862</v>
      </c>
      <c r="C129" s="50">
        <v>3</v>
      </c>
      <c r="D129" s="51">
        <v>2001</v>
      </c>
      <c r="E129" s="51">
        <v>10000</v>
      </c>
      <c r="F129" s="51"/>
      <c r="G129" s="51">
        <f>SUMIFS(Tarifas!$K$7:$K$320,Tarifas!$G$7:$G$320,$A129)*SUMIFS(Mercado!G$9:G$160,Mercado!$A$9:$A$160,$A129)</f>
        <v>0</v>
      </c>
      <c r="H129" s="51">
        <f>SUMIFS(Tarifas!$K$7:$K$320,Tarifas!$G$7:$G$320,$A129)*SUMIFS(Mercado!H$9:H$160,Mercado!$A$9:$A$160,$A129)</f>
        <v>0</v>
      </c>
      <c r="I129" s="51">
        <f>SUMIFS(Tarifas!$K$7:$K$320,Tarifas!$G$7:$G$320,$A129)*SUMIFS(Mercado!I$9:I$160,Mercado!$A$9:$A$160,$A129)</f>
        <v>0</v>
      </c>
      <c r="J129" s="51">
        <f>SUMIFS(Tarifas!$K$7:$K$320,Tarifas!$G$7:$G$320,$A129)*SUMIFS(Mercado!J$9:J$160,Mercado!$A$9:$A$160,$A129)</f>
        <v>0</v>
      </c>
      <c r="K129" s="51">
        <f>SUMIFS(Tarifas!$K$7:$K$320,Tarifas!$G$7:$G$320,$A129)*SUMIFS(Mercado!K$9:K$160,Mercado!$A$9:$A$160,$A129)</f>
        <v>0</v>
      </c>
      <c r="M129" s="55">
        <f t="shared" si="22"/>
        <v>0</v>
      </c>
      <c r="N129" s="55">
        <f t="shared" si="12"/>
        <v>0</v>
      </c>
      <c r="O129" s="55">
        <f t="shared" si="13"/>
        <v>0</v>
      </c>
      <c r="P129" s="55">
        <f t="shared" si="14"/>
        <v>0</v>
      </c>
      <c r="Q129" s="55">
        <f t="shared" si="15"/>
        <v>0</v>
      </c>
      <c r="R129" s="55">
        <f t="shared" si="16"/>
        <v>0</v>
      </c>
      <c r="T129" s="51">
        <f>NPV(Inputs!$C$6,'Vendas Vigente'!N129:Q129)+((R129*Inputs!$C$11)/(1+Inputs!$C$6)^(4.55))</f>
        <v>0</v>
      </c>
      <c r="X129" s="51"/>
      <c r="Y129" s="51">
        <f>SUMIFS(Tarifas!$AW$7:$AW$320,Tarifas!$G$7:$G$320,$A129)*SUMIFS(Mercado!G$9:G$160,Mercado!$A$9:$A$160,$A129)</f>
        <v>0</v>
      </c>
      <c r="Z129" s="51">
        <f>SUMIFS(Tarifas!$AW$7:$AW$320,Tarifas!$G$7:$G$320,$A129)*SUMIFS(Mercado!H$9:H$160,Mercado!$A$9:$A$160,$A129)</f>
        <v>0</v>
      </c>
      <c r="AA129" s="51">
        <f>SUMIFS(Tarifas!$AW$7:$AW$320,Tarifas!$G$7:$G$320,$A129)*SUMIFS(Mercado!I$9:I$160,Mercado!$A$9:$A$160,$A129)</f>
        <v>0</v>
      </c>
      <c r="AB129" s="51">
        <f>SUMIFS(Tarifas!$AW$7:$AW$320,Tarifas!$G$7:$G$320,$A129)*SUMIFS(Mercado!J$9:J$160,Mercado!$A$9:$A$160,$A129)</f>
        <v>0</v>
      </c>
      <c r="AC129" s="51">
        <f>SUMIFS(Tarifas!$AW$7:$AW$320,Tarifas!$G$7:$G$320,$A129)*SUMIFS(Mercado!K$9:K$160,Mercado!$A$9:$A$160,$A129)</f>
        <v>0</v>
      </c>
      <c r="AE129" s="55">
        <f t="shared" si="23"/>
        <v>0</v>
      </c>
      <c r="AF129" s="55">
        <f t="shared" si="17"/>
        <v>0</v>
      </c>
      <c r="AG129" s="55">
        <f t="shared" si="18"/>
        <v>0</v>
      </c>
      <c r="AH129" s="55">
        <f t="shared" si="19"/>
        <v>0</v>
      </c>
      <c r="AI129" s="55">
        <f t="shared" si="20"/>
        <v>0</v>
      </c>
      <c r="AJ129" s="55">
        <f t="shared" si="21"/>
        <v>0</v>
      </c>
    </row>
    <row r="130" spans="1:36">
      <c r="A130" s="192" t="s">
        <v>4865</v>
      </c>
      <c r="B130" s="50" t="s">
        <v>4862</v>
      </c>
      <c r="C130" s="50">
        <v>4</v>
      </c>
      <c r="D130" s="51">
        <v>10001</v>
      </c>
      <c r="E130" s="51">
        <v>50000</v>
      </c>
      <c r="F130" s="51"/>
      <c r="G130" s="51">
        <f>SUMIFS(Tarifas!$K$7:$K$320,Tarifas!$G$7:$G$320,$A130)*SUMIFS(Mercado!G$9:G$160,Mercado!$A$9:$A$160,$A130)</f>
        <v>0</v>
      </c>
      <c r="H130" s="51">
        <f>SUMIFS(Tarifas!$K$7:$K$320,Tarifas!$G$7:$G$320,$A130)*SUMIFS(Mercado!H$9:H$160,Mercado!$A$9:$A$160,$A130)</f>
        <v>0</v>
      </c>
      <c r="I130" s="51">
        <f>SUMIFS(Tarifas!$K$7:$K$320,Tarifas!$G$7:$G$320,$A130)*SUMIFS(Mercado!I$9:I$160,Mercado!$A$9:$A$160,$A130)</f>
        <v>0</v>
      </c>
      <c r="J130" s="51">
        <f>SUMIFS(Tarifas!$K$7:$K$320,Tarifas!$G$7:$G$320,$A130)*SUMIFS(Mercado!J$9:J$160,Mercado!$A$9:$A$160,$A130)</f>
        <v>0</v>
      </c>
      <c r="K130" s="51">
        <f>SUMIFS(Tarifas!$K$7:$K$320,Tarifas!$G$7:$G$320,$A130)*SUMIFS(Mercado!K$9:K$160,Mercado!$A$9:$A$160,$A130)</f>
        <v>0</v>
      </c>
      <c r="M130" s="55">
        <f t="shared" si="22"/>
        <v>0</v>
      </c>
      <c r="N130" s="55">
        <f t="shared" si="12"/>
        <v>0</v>
      </c>
      <c r="O130" s="55">
        <f t="shared" si="13"/>
        <v>0</v>
      </c>
      <c r="P130" s="55">
        <f t="shared" si="14"/>
        <v>0</v>
      </c>
      <c r="Q130" s="55">
        <f t="shared" si="15"/>
        <v>0</v>
      </c>
      <c r="R130" s="55">
        <f t="shared" si="16"/>
        <v>0</v>
      </c>
      <c r="T130" s="51">
        <f>NPV(Inputs!$C$6,'Vendas Vigente'!N130:Q130)+((R130*Inputs!$C$11)/(1+Inputs!$C$6)^(4.55))</f>
        <v>0</v>
      </c>
      <c r="X130" s="51"/>
      <c r="Y130" s="51">
        <f>SUMIFS(Tarifas!$AW$7:$AW$320,Tarifas!$G$7:$G$320,$A130)*SUMIFS(Mercado!G$9:G$160,Mercado!$A$9:$A$160,$A130)</f>
        <v>0</v>
      </c>
      <c r="Z130" s="51">
        <f>SUMIFS(Tarifas!$AW$7:$AW$320,Tarifas!$G$7:$G$320,$A130)*SUMIFS(Mercado!H$9:H$160,Mercado!$A$9:$A$160,$A130)</f>
        <v>0</v>
      </c>
      <c r="AA130" s="51">
        <f>SUMIFS(Tarifas!$AW$7:$AW$320,Tarifas!$G$7:$G$320,$A130)*SUMIFS(Mercado!I$9:I$160,Mercado!$A$9:$A$160,$A130)</f>
        <v>0</v>
      </c>
      <c r="AB130" s="51">
        <f>SUMIFS(Tarifas!$AW$7:$AW$320,Tarifas!$G$7:$G$320,$A130)*SUMIFS(Mercado!J$9:J$160,Mercado!$A$9:$A$160,$A130)</f>
        <v>0</v>
      </c>
      <c r="AC130" s="51">
        <f>SUMIFS(Tarifas!$AW$7:$AW$320,Tarifas!$G$7:$G$320,$A130)*SUMIFS(Mercado!K$9:K$160,Mercado!$A$9:$A$160,$A130)</f>
        <v>0</v>
      </c>
      <c r="AE130" s="55">
        <f t="shared" si="23"/>
        <v>0</v>
      </c>
      <c r="AF130" s="55">
        <f t="shared" si="17"/>
        <v>0</v>
      </c>
      <c r="AG130" s="55">
        <f t="shared" si="18"/>
        <v>0</v>
      </c>
      <c r="AH130" s="55">
        <f t="shared" si="19"/>
        <v>0</v>
      </c>
      <c r="AI130" s="55">
        <f t="shared" si="20"/>
        <v>0</v>
      </c>
      <c r="AJ130" s="55">
        <f t="shared" si="21"/>
        <v>0</v>
      </c>
    </row>
    <row r="131" spans="1:36">
      <c r="A131" s="192" t="s">
        <v>4866</v>
      </c>
      <c r="B131" s="50" t="s">
        <v>4862</v>
      </c>
      <c r="C131" s="50">
        <v>5</v>
      </c>
      <c r="D131" s="51">
        <v>50001</v>
      </c>
      <c r="E131" s="51">
        <v>100000</v>
      </c>
      <c r="F131" s="51"/>
      <c r="G131" s="51">
        <f>SUMIFS(Tarifas!$K$7:$K$320,Tarifas!$G$7:$G$320,$A131)*SUMIFS(Mercado!G$9:G$160,Mercado!$A$9:$A$160,$A131)</f>
        <v>0</v>
      </c>
      <c r="H131" s="51">
        <f>SUMIFS(Tarifas!$K$7:$K$320,Tarifas!$G$7:$G$320,$A131)*SUMIFS(Mercado!H$9:H$160,Mercado!$A$9:$A$160,$A131)</f>
        <v>0</v>
      </c>
      <c r="I131" s="51">
        <f>SUMIFS(Tarifas!$K$7:$K$320,Tarifas!$G$7:$G$320,$A131)*SUMIFS(Mercado!I$9:I$160,Mercado!$A$9:$A$160,$A131)</f>
        <v>0</v>
      </c>
      <c r="J131" s="51">
        <f>SUMIFS(Tarifas!$K$7:$K$320,Tarifas!$G$7:$G$320,$A131)*SUMIFS(Mercado!J$9:J$160,Mercado!$A$9:$A$160,$A131)</f>
        <v>0</v>
      </c>
      <c r="K131" s="51">
        <f>SUMIFS(Tarifas!$K$7:$K$320,Tarifas!$G$7:$G$320,$A131)*SUMIFS(Mercado!K$9:K$160,Mercado!$A$9:$A$160,$A131)</f>
        <v>0</v>
      </c>
      <c r="M131" s="55">
        <f t="shared" si="22"/>
        <v>0</v>
      </c>
      <c r="N131" s="55">
        <f t="shared" ref="N131:N148" si="24">G131</f>
        <v>0</v>
      </c>
      <c r="O131" s="55">
        <f t="shared" ref="O131:O148" si="25">H131</f>
        <v>0</v>
      </c>
      <c r="P131" s="55">
        <f t="shared" ref="P131:P148" si="26">I131</f>
        <v>0</v>
      </c>
      <c r="Q131" s="55">
        <f t="shared" ref="Q131:Q148" si="27">J131</f>
        <v>0</v>
      </c>
      <c r="R131" s="55">
        <f t="shared" ref="R131:R148" si="28">K131</f>
        <v>0</v>
      </c>
      <c r="T131" s="51">
        <f>NPV(Inputs!$C$6,'Vendas Vigente'!N131:Q131)+((R131*Inputs!$C$11)/(1+Inputs!$C$6)^(4.55))</f>
        <v>0</v>
      </c>
      <c r="X131" s="51"/>
      <c r="Y131" s="51">
        <f>SUMIFS(Tarifas!$AW$7:$AW$320,Tarifas!$G$7:$G$320,$A131)*SUMIFS(Mercado!G$9:G$160,Mercado!$A$9:$A$160,$A131)</f>
        <v>0</v>
      </c>
      <c r="Z131" s="51">
        <f>SUMIFS(Tarifas!$AW$7:$AW$320,Tarifas!$G$7:$G$320,$A131)*SUMIFS(Mercado!H$9:H$160,Mercado!$A$9:$A$160,$A131)</f>
        <v>0</v>
      </c>
      <c r="AA131" s="51">
        <f>SUMIFS(Tarifas!$AW$7:$AW$320,Tarifas!$G$7:$G$320,$A131)*SUMIFS(Mercado!I$9:I$160,Mercado!$A$9:$A$160,$A131)</f>
        <v>0</v>
      </c>
      <c r="AB131" s="51">
        <f>SUMIFS(Tarifas!$AW$7:$AW$320,Tarifas!$G$7:$G$320,$A131)*SUMIFS(Mercado!J$9:J$160,Mercado!$A$9:$A$160,$A131)</f>
        <v>0</v>
      </c>
      <c r="AC131" s="51">
        <f>SUMIFS(Tarifas!$AW$7:$AW$320,Tarifas!$G$7:$G$320,$A131)*SUMIFS(Mercado!K$9:K$160,Mercado!$A$9:$A$160,$A131)</f>
        <v>0</v>
      </c>
      <c r="AE131" s="55">
        <f t="shared" si="23"/>
        <v>0</v>
      </c>
      <c r="AF131" s="55">
        <f t="shared" ref="AF131:AF147" si="29">Y131</f>
        <v>0</v>
      </c>
      <c r="AG131" s="55">
        <f t="shared" ref="AG131:AG147" si="30">Z131</f>
        <v>0</v>
      </c>
      <c r="AH131" s="55">
        <f t="shared" ref="AH131:AH147" si="31">AA131</f>
        <v>0</v>
      </c>
      <c r="AI131" s="55">
        <f t="shared" ref="AI131:AI147" si="32">AB131</f>
        <v>0</v>
      </c>
      <c r="AJ131" s="55">
        <f t="shared" ref="AJ131:AJ147" si="33">AC131</f>
        <v>0</v>
      </c>
    </row>
    <row r="132" spans="1:36">
      <c r="A132" s="192" t="s">
        <v>4867</v>
      </c>
      <c r="B132" s="50" t="s">
        <v>4862</v>
      </c>
      <c r="C132" s="50">
        <v>6</v>
      </c>
      <c r="D132" s="51">
        <v>100001</v>
      </c>
      <c r="E132" s="51">
        <v>300000</v>
      </c>
      <c r="F132" s="51"/>
      <c r="G132" s="51">
        <f>SUMIFS(Tarifas!$K$7:$K$320,Tarifas!$G$7:$G$320,$A132)*SUMIFS(Mercado!G$9:G$160,Mercado!$A$9:$A$160,$A132)</f>
        <v>0</v>
      </c>
      <c r="H132" s="51">
        <f>SUMIFS(Tarifas!$K$7:$K$320,Tarifas!$G$7:$G$320,$A132)*SUMIFS(Mercado!H$9:H$160,Mercado!$A$9:$A$160,$A132)</f>
        <v>0</v>
      </c>
      <c r="I132" s="51">
        <f>SUMIFS(Tarifas!$K$7:$K$320,Tarifas!$G$7:$G$320,$A132)*SUMIFS(Mercado!I$9:I$160,Mercado!$A$9:$A$160,$A132)</f>
        <v>0</v>
      </c>
      <c r="J132" s="51">
        <f>SUMIFS(Tarifas!$K$7:$K$320,Tarifas!$G$7:$G$320,$A132)*SUMIFS(Mercado!J$9:J$160,Mercado!$A$9:$A$160,$A132)</f>
        <v>0</v>
      </c>
      <c r="K132" s="51">
        <f>SUMIFS(Tarifas!$K$7:$K$320,Tarifas!$G$7:$G$320,$A132)*SUMIFS(Mercado!K$9:K$160,Mercado!$A$9:$A$160,$A132)</f>
        <v>0</v>
      </c>
      <c r="M132" s="55">
        <f t="shared" ref="M132:M148" si="34">F132</f>
        <v>0</v>
      </c>
      <c r="N132" s="55">
        <f t="shared" si="24"/>
        <v>0</v>
      </c>
      <c r="O132" s="55">
        <f t="shared" si="25"/>
        <v>0</v>
      </c>
      <c r="P132" s="55">
        <f t="shared" si="26"/>
        <v>0</v>
      </c>
      <c r="Q132" s="55">
        <f t="shared" si="27"/>
        <v>0</v>
      </c>
      <c r="R132" s="55">
        <f t="shared" si="28"/>
        <v>0</v>
      </c>
      <c r="T132" s="51">
        <f>NPV(Inputs!$C$6,'Vendas Vigente'!N132:Q132)+((R132*Inputs!$C$11)/(1+Inputs!$C$6)^(4.55))</f>
        <v>0</v>
      </c>
      <c r="X132" s="51"/>
      <c r="Y132" s="51">
        <f>SUMIFS(Tarifas!$AW$7:$AW$320,Tarifas!$G$7:$G$320,$A132)*SUMIFS(Mercado!G$9:G$160,Mercado!$A$9:$A$160,$A132)</f>
        <v>0</v>
      </c>
      <c r="Z132" s="51">
        <f>SUMIFS(Tarifas!$AW$7:$AW$320,Tarifas!$G$7:$G$320,$A132)*SUMIFS(Mercado!H$9:H$160,Mercado!$A$9:$A$160,$A132)</f>
        <v>0</v>
      </c>
      <c r="AA132" s="51">
        <f>SUMIFS(Tarifas!$AW$7:$AW$320,Tarifas!$G$7:$G$320,$A132)*SUMIFS(Mercado!I$9:I$160,Mercado!$A$9:$A$160,$A132)</f>
        <v>0</v>
      </c>
      <c r="AB132" s="51">
        <f>SUMIFS(Tarifas!$AW$7:$AW$320,Tarifas!$G$7:$G$320,$A132)*SUMIFS(Mercado!J$9:J$160,Mercado!$A$9:$A$160,$A132)</f>
        <v>0</v>
      </c>
      <c r="AC132" s="51">
        <f>SUMIFS(Tarifas!$AW$7:$AW$320,Tarifas!$G$7:$G$320,$A132)*SUMIFS(Mercado!K$9:K$160,Mercado!$A$9:$A$160,$A132)</f>
        <v>0</v>
      </c>
      <c r="AE132" s="55">
        <f t="shared" ref="AE132:AE147" si="35">X132</f>
        <v>0</v>
      </c>
      <c r="AF132" s="55">
        <f t="shared" si="29"/>
        <v>0</v>
      </c>
      <c r="AG132" s="55">
        <f t="shared" si="30"/>
        <v>0</v>
      </c>
      <c r="AH132" s="55">
        <f t="shared" si="31"/>
        <v>0</v>
      </c>
      <c r="AI132" s="55">
        <f t="shared" si="32"/>
        <v>0</v>
      </c>
      <c r="AJ132" s="55">
        <f t="shared" si="33"/>
        <v>0</v>
      </c>
    </row>
    <row r="133" spans="1:36">
      <c r="A133" s="192" t="s">
        <v>4868</v>
      </c>
      <c r="B133" s="50" t="s">
        <v>4862</v>
      </c>
      <c r="C133" s="50">
        <v>7</v>
      </c>
      <c r="D133" s="51">
        <v>300001</v>
      </c>
      <c r="E133" s="51">
        <v>600000</v>
      </c>
      <c r="F133" s="51"/>
      <c r="G133" s="51">
        <f>SUMIFS(Tarifas!$K$7:$K$320,Tarifas!$G$7:$G$320,$A133)*SUMIFS(Mercado!G$9:G$160,Mercado!$A$9:$A$160,$A133)</f>
        <v>0</v>
      </c>
      <c r="H133" s="51">
        <f>SUMIFS(Tarifas!$K$7:$K$320,Tarifas!$G$7:$G$320,$A133)*SUMIFS(Mercado!H$9:H$160,Mercado!$A$9:$A$160,$A133)</f>
        <v>0</v>
      </c>
      <c r="I133" s="51">
        <f>SUMIFS(Tarifas!$K$7:$K$320,Tarifas!$G$7:$G$320,$A133)*SUMIFS(Mercado!I$9:I$160,Mercado!$A$9:$A$160,$A133)</f>
        <v>0</v>
      </c>
      <c r="J133" s="51">
        <f>SUMIFS(Tarifas!$K$7:$K$320,Tarifas!$G$7:$G$320,$A133)*SUMIFS(Mercado!J$9:J$160,Mercado!$A$9:$A$160,$A133)</f>
        <v>0</v>
      </c>
      <c r="K133" s="51">
        <f>SUMIFS(Tarifas!$K$7:$K$320,Tarifas!$G$7:$G$320,$A133)*SUMIFS(Mercado!K$9:K$160,Mercado!$A$9:$A$160,$A133)</f>
        <v>0</v>
      </c>
      <c r="M133" s="55">
        <f t="shared" si="34"/>
        <v>0</v>
      </c>
      <c r="N133" s="55">
        <f t="shared" si="24"/>
        <v>0</v>
      </c>
      <c r="O133" s="55">
        <f t="shared" si="25"/>
        <v>0</v>
      </c>
      <c r="P133" s="55">
        <f t="shared" si="26"/>
        <v>0</v>
      </c>
      <c r="Q133" s="55">
        <f t="shared" si="27"/>
        <v>0</v>
      </c>
      <c r="R133" s="55">
        <f t="shared" si="28"/>
        <v>0</v>
      </c>
      <c r="T133" s="51">
        <f>NPV(Inputs!$C$6,'Vendas Vigente'!N133:Q133)+((R133*Inputs!$C$11)/(1+Inputs!$C$6)^(4.55))</f>
        <v>0</v>
      </c>
      <c r="X133" s="51"/>
      <c r="Y133" s="51">
        <f>SUMIFS(Tarifas!$AW$7:$AW$320,Tarifas!$G$7:$G$320,$A133)*SUMIFS(Mercado!G$9:G$160,Mercado!$A$9:$A$160,$A133)</f>
        <v>0</v>
      </c>
      <c r="Z133" s="51">
        <f>SUMIFS(Tarifas!$AW$7:$AW$320,Tarifas!$G$7:$G$320,$A133)*SUMIFS(Mercado!H$9:H$160,Mercado!$A$9:$A$160,$A133)</f>
        <v>0</v>
      </c>
      <c r="AA133" s="51">
        <f>SUMIFS(Tarifas!$AW$7:$AW$320,Tarifas!$G$7:$G$320,$A133)*SUMIFS(Mercado!I$9:I$160,Mercado!$A$9:$A$160,$A133)</f>
        <v>0</v>
      </c>
      <c r="AB133" s="51">
        <f>SUMIFS(Tarifas!$AW$7:$AW$320,Tarifas!$G$7:$G$320,$A133)*SUMIFS(Mercado!J$9:J$160,Mercado!$A$9:$A$160,$A133)</f>
        <v>0</v>
      </c>
      <c r="AC133" s="51">
        <f>SUMIFS(Tarifas!$AW$7:$AW$320,Tarifas!$G$7:$G$320,$A133)*SUMIFS(Mercado!K$9:K$160,Mercado!$A$9:$A$160,$A133)</f>
        <v>0</v>
      </c>
      <c r="AE133" s="55">
        <f t="shared" si="35"/>
        <v>0</v>
      </c>
      <c r="AF133" s="55">
        <f t="shared" si="29"/>
        <v>0</v>
      </c>
      <c r="AG133" s="55">
        <f t="shared" si="30"/>
        <v>0</v>
      </c>
      <c r="AH133" s="55">
        <f t="shared" si="31"/>
        <v>0</v>
      </c>
      <c r="AI133" s="55">
        <f t="shared" si="32"/>
        <v>0</v>
      </c>
      <c r="AJ133" s="55">
        <f t="shared" si="33"/>
        <v>0</v>
      </c>
    </row>
    <row r="134" spans="1:36">
      <c r="A134" s="192" t="s">
        <v>4869</v>
      </c>
      <c r="B134" s="50" t="s">
        <v>4862</v>
      </c>
      <c r="C134" s="50">
        <v>8</v>
      </c>
      <c r="D134" s="51">
        <v>600001</v>
      </c>
      <c r="E134" s="51">
        <v>1500000</v>
      </c>
      <c r="F134" s="51"/>
      <c r="G134" s="51">
        <f>SUMIFS(Tarifas!$K$7:$K$320,Tarifas!$G$7:$G$320,$A134)*SUMIFS(Mercado!G$9:G$160,Mercado!$A$9:$A$160,$A134)</f>
        <v>0</v>
      </c>
      <c r="H134" s="51">
        <f>SUMIFS(Tarifas!$K$7:$K$320,Tarifas!$G$7:$G$320,$A134)*SUMIFS(Mercado!H$9:H$160,Mercado!$A$9:$A$160,$A134)</f>
        <v>0</v>
      </c>
      <c r="I134" s="51">
        <f>SUMIFS(Tarifas!$K$7:$K$320,Tarifas!$G$7:$G$320,$A134)*SUMIFS(Mercado!I$9:I$160,Mercado!$A$9:$A$160,$A134)</f>
        <v>0</v>
      </c>
      <c r="J134" s="51">
        <f>SUMIFS(Tarifas!$K$7:$K$320,Tarifas!$G$7:$G$320,$A134)*SUMIFS(Mercado!J$9:J$160,Mercado!$A$9:$A$160,$A134)</f>
        <v>0</v>
      </c>
      <c r="K134" s="51">
        <f>SUMIFS(Tarifas!$K$7:$K$320,Tarifas!$G$7:$G$320,$A134)*SUMIFS(Mercado!K$9:K$160,Mercado!$A$9:$A$160,$A134)</f>
        <v>0</v>
      </c>
      <c r="M134" s="55">
        <f t="shared" si="34"/>
        <v>0</v>
      </c>
      <c r="N134" s="55">
        <f t="shared" si="24"/>
        <v>0</v>
      </c>
      <c r="O134" s="55">
        <f t="shared" si="25"/>
        <v>0</v>
      </c>
      <c r="P134" s="55">
        <f t="shared" si="26"/>
        <v>0</v>
      </c>
      <c r="Q134" s="55">
        <f t="shared" si="27"/>
        <v>0</v>
      </c>
      <c r="R134" s="55">
        <f t="shared" si="28"/>
        <v>0</v>
      </c>
      <c r="T134" s="51">
        <f>NPV(Inputs!$C$6,'Vendas Vigente'!N134:Q134)+((R134*Inputs!$C$11)/(1+Inputs!$C$6)^(4.55))</f>
        <v>0</v>
      </c>
      <c r="X134" s="51"/>
      <c r="Y134" s="51">
        <f>SUMIFS(Tarifas!$AW$7:$AW$320,Tarifas!$G$7:$G$320,$A134)*SUMIFS(Mercado!G$9:G$160,Mercado!$A$9:$A$160,$A134)</f>
        <v>0</v>
      </c>
      <c r="Z134" s="51">
        <f>SUMIFS(Tarifas!$AW$7:$AW$320,Tarifas!$G$7:$G$320,$A134)*SUMIFS(Mercado!H$9:H$160,Mercado!$A$9:$A$160,$A134)</f>
        <v>0</v>
      </c>
      <c r="AA134" s="51">
        <f>SUMIFS(Tarifas!$AW$7:$AW$320,Tarifas!$G$7:$G$320,$A134)*SUMIFS(Mercado!I$9:I$160,Mercado!$A$9:$A$160,$A134)</f>
        <v>0</v>
      </c>
      <c r="AB134" s="51">
        <f>SUMIFS(Tarifas!$AW$7:$AW$320,Tarifas!$G$7:$G$320,$A134)*SUMIFS(Mercado!J$9:J$160,Mercado!$A$9:$A$160,$A134)</f>
        <v>0</v>
      </c>
      <c r="AC134" s="51">
        <f>SUMIFS(Tarifas!$AW$7:$AW$320,Tarifas!$G$7:$G$320,$A134)*SUMIFS(Mercado!K$9:K$160,Mercado!$A$9:$A$160,$A134)</f>
        <v>0</v>
      </c>
      <c r="AE134" s="55">
        <f t="shared" si="35"/>
        <v>0</v>
      </c>
      <c r="AF134" s="55">
        <f t="shared" si="29"/>
        <v>0</v>
      </c>
      <c r="AG134" s="55">
        <f t="shared" si="30"/>
        <v>0</v>
      </c>
      <c r="AH134" s="55">
        <f t="shared" si="31"/>
        <v>0</v>
      </c>
      <c r="AI134" s="55">
        <f t="shared" si="32"/>
        <v>0</v>
      </c>
      <c r="AJ134" s="55">
        <f t="shared" si="33"/>
        <v>0</v>
      </c>
    </row>
    <row r="135" spans="1:36">
      <c r="A135" s="192" t="s">
        <v>4870</v>
      </c>
      <c r="B135" s="50" t="s">
        <v>4862</v>
      </c>
      <c r="C135" s="50">
        <v>9</v>
      </c>
      <c r="D135" s="51">
        <v>1500001</v>
      </c>
      <c r="E135" s="51">
        <v>3000000</v>
      </c>
      <c r="F135" s="51"/>
      <c r="G135" s="51">
        <f>SUMIFS(Tarifas!$K$7:$K$320,Tarifas!$G$7:$G$320,$A135)*SUMIFS(Mercado!G$9:G$160,Mercado!$A$9:$A$160,$A135)</f>
        <v>0</v>
      </c>
      <c r="H135" s="51">
        <f>SUMIFS(Tarifas!$K$7:$K$320,Tarifas!$G$7:$G$320,$A135)*SUMIFS(Mercado!H$9:H$160,Mercado!$A$9:$A$160,$A135)</f>
        <v>0</v>
      </c>
      <c r="I135" s="51">
        <f>SUMIFS(Tarifas!$K$7:$K$320,Tarifas!$G$7:$G$320,$A135)*SUMIFS(Mercado!I$9:I$160,Mercado!$A$9:$A$160,$A135)</f>
        <v>0</v>
      </c>
      <c r="J135" s="51">
        <f>SUMIFS(Tarifas!$K$7:$K$320,Tarifas!$G$7:$G$320,$A135)*SUMIFS(Mercado!J$9:J$160,Mercado!$A$9:$A$160,$A135)</f>
        <v>0</v>
      </c>
      <c r="K135" s="51">
        <f>SUMIFS(Tarifas!$K$7:$K$320,Tarifas!$G$7:$G$320,$A135)*SUMIFS(Mercado!K$9:K$160,Mercado!$A$9:$A$160,$A135)</f>
        <v>0</v>
      </c>
      <c r="M135" s="55">
        <f t="shared" si="34"/>
        <v>0</v>
      </c>
      <c r="N135" s="55">
        <f t="shared" si="24"/>
        <v>0</v>
      </c>
      <c r="O135" s="55">
        <f t="shared" si="25"/>
        <v>0</v>
      </c>
      <c r="P135" s="55">
        <f t="shared" si="26"/>
        <v>0</v>
      </c>
      <c r="Q135" s="55">
        <f t="shared" si="27"/>
        <v>0</v>
      </c>
      <c r="R135" s="55">
        <f t="shared" si="28"/>
        <v>0</v>
      </c>
      <c r="T135" s="51">
        <f>NPV(Inputs!$C$6,'Vendas Vigente'!N135:Q135)+((R135*Inputs!$C$11)/(1+Inputs!$C$6)^(4.55))</f>
        <v>0</v>
      </c>
      <c r="X135" s="51"/>
      <c r="Y135" s="51">
        <f>SUMIFS(Tarifas!$AW$7:$AW$320,Tarifas!$G$7:$G$320,$A135)*SUMIFS(Mercado!G$9:G$160,Mercado!$A$9:$A$160,$A135)</f>
        <v>0</v>
      </c>
      <c r="Z135" s="51">
        <f>SUMIFS(Tarifas!$AW$7:$AW$320,Tarifas!$G$7:$G$320,$A135)*SUMIFS(Mercado!H$9:H$160,Mercado!$A$9:$A$160,$A135)</f>
        <v>0</v>
      </c>
      <c r="AA135" s="51">
        <f>SUMIFS(Tarifas!$AW$7:$AW$320,Tarifas!$G$7:$G$320,$A135)*SUMIFS(Mercado!I$9:I$160,Mercado!$A$9:$A$160,$A135)</f>
        <v>0</v>
      </c>
      <c r="AB135" s="51">
        <f>SUMIFS(Tarifas!$AW$7:$AW$320,Tarifas!$G$7:$G$320,$A135)*SUMIFS(Mercado!J$9:J$160,Mercado!$A$9:$A$160,$A135)</f>
        <v>0</v>
      </c>
      <c r="AC135" s="51">
        <f>SUMIFS(Tarifas!$AW$7:$AW$320,Tarifas!$G$7:$G$320,$A135)*SUMIFS(Mercado!K$9:K$160,Mercado!$A$9:$A$160,$A135)</f>
        <v>0</v>
      </c>
      <c r="AE135" s="55">
        <f t="shared" si="35"/>
        <v>0</v>
      </c>
      <c r="AF135" s="55">
        <f t="shared" si="29"/>
        <v>0</v>
      </c>
      <c r="AG135" s="55">
        <f t="shared" si="30"/>
        <v>0</v>
      </c>
      <c r="AH135" s="55">
        <f t="shared" si="31"/>
        <v>0</v>
      </c>
      <c r="AI135" s="55">
        <f t="shared" si="32"/>
        <v>0</v>
      </c>
      <c r="AJ135" s="55">
        <f t="shared" si="33"/>
        <v>0</v>
      </c>
    </row>
    <row r="136" spans="1:36">
      <c r="A136" s="192" t="s">
        <v>4871</v>
      </c>
      <c r="B136" s="50" t="s">
        <v>4862</v>
      </c>
      <c r="C136" s="50">
        <v>10</v>
      </c>
      <c r="D136" s="51">
        <v>3000001</v>
      </c>
      <c r="E136" s="51">
        <v>999999999</v>
      </c>
      <c r="F136" s="51"/>
      <c r="G136" s="51">
        <f>SUMIFS(Tarifas!$K$7:$K$320,Tarifas!$G$7:$G$320,$A136)*SUMIFS(Mercado!G$9:G$160,Mercado!$A$9:$A$160,$A136)</f>
        <v>0</v>
      </c>
      <c r="H136" s="51">
        <f>SUMIFS(Tarifas!$K$7:$K$320,Tarifas!$G$7:$G$320,$A136)*SUMIFS(Mercado!H$9:H$160,Mercado!$A$9:$A$160,$A136)</f>
        <v>0</v>
      </c>
      <c r="I136" s="51">
        <f>SUMIFS(Tarifas!$K$7:$K$320,Tarifas!$G$7:$G$320,$A136)*SUMIFS(Mercado!I$9:I$160,Mercado!$A$9:$A$160,$A136)</f>
        <v>0</v>
      </c>
      <c r="J136" s="51">
        <f>SUMIFS(Tarifas!$K$7:$K$320,Tarifas!$G$7:$G$320,$A136)*SUMIFS(Mercado!J$9:J$160,Mercado!$A$9:$A$160,$A136)</f>
        <v>0</v>
      </c>
      <c r="K136" s="51">
        <f>SUMIFS(Tarifas!$K$7:$K$320,Tarifas!$G$7:$G$320,$A136)*SUMIFS(Mercado!K$9:K$160,Mercado!$A$9:$A$160,$A136)</f>
        <v>0</v>
      </c>
      <c r="M136" s="55">
        <f t="shared" si="34"/>
        <v>0</v>
      </c>
      <c r="N136" s="55">
        <f t="shared" si="24"/>
        <v>0</v>
      </c>
      <c r="O136" s="55">
        <f t="shared" si="25"/>
        <v>0</v>
      </c>
      <c r="P136" s="55">
        <f t="shared" si="26"/>
        <v>0</v>
      </c>
      <c r="Q136" s="55">
        <f t="shared" si="27"/>
        <v>0</v>
      </c>
      <c r="R136" s="55">
        <f t="shared" si="28"/>
        <v>0</v>
      </c>
      <c r="T136" s="51">
        <f>NPV(Inputs!$C$6,'Vendas Vigente'!N136:Q136)+((R136*Inputs!$C$11)/(1+Inputs!$C$6)^(4.55))</f>
        <v>0</v>
      </c>
      <c r="X136" s="51"/>
      <c r="Y136" s="51">
        <f>SUMIFS(Tarifas!$AW$7:$AW$320,Tarifas!$G$7:$G$320,$A136)*SUMIFS(Mercado!G$9:G$160,Mercado!$A$9:$A$160,$A136)</f>
        <v>0</v>
      </c>
      <c r="Z136" s="51">
        <f>SUMIFS(Tarifas!$AW$7:$AW$320,Tarifas!$G$7:$G$320,$A136)*SUMIFS(Mercado!H$9:H$160,Mercado!$A$9:$A$160,$A136)</f>
        <v>0</v>
      </c>
      <c r="AA136" s="51">
        <f>SUMIFS(Tarifas!$AW$7:$AW$320,Tarifas!$G$7:$G$320,$A136)*SUMIFS(Mercado!I$9:I$160,Mercado!$A$9:$A$160,$A136)</f>
        <v>0</v>
      </c>
      <c r="AB136" s="51">
        <f>SUMIFS(Tarifas!$AW$7:$AW$320,Tarifas!$G$7:$G$320,$A136)*SUMIFS(Mercado!J$9:J$160,Mercado!$A$9:$A$160,$A136)</f>
        <v>0</v>
      </c>
      <c r="AC136" s="51">
        <f>SUMIFS(Tarifas!$AW$7:$AW$320,Tarifas!$G$7:$G$320,$A136)*SUMIFS(Mercado!K$9:K$160,Mercado!$A$9:$A$160,$A136)</f>
        <v>0</v>
      </c>
      <c r="AE136" s="55">
        <f t="shared" si="35"/>
        <v>0</v>
      </c>
      <c r="AF136" s="55">
        <f t="shared" si="29"/>
        <v>0</v>
      </c>
      <c r="AG136" s="55">
        <f t="shared" si="30"/>
        <v>0</v>
      </c>
      <c r="AH136" s="55">
        <f t="shared" si="31"/>
        <v>0</v>
      </c>
      <c r="AI136" s="55">
        <f t="shared" si="32"/>
        <v>0</v>
      </c>
      <c r="AJ136" s="55">
        <f t="shared" si="33"/>
        <v>0</v>
      </c>
    </row>
    <row r="137" spans="1:36">
      <c r="A137" s="192"/>
      <c r="D137" s="51"/>
      <c r="E137" s="51"/>
      <c r="F137" s="51"/>
      <c r="G137" s="51">
        <f>SUMIFS(Tarifas!$K$7:$K$320,Tarifas!$G$7:$G$320,$A137)*SUMIFS(Mercado!G$9:G$160,Mercado!$A$9:$A$160,$A137)</f>
        <v>0</v>
      </c>
      <c r="H137" s="51">
        <f>SUMIFS(Tarifas!$K$7:$K$320,Tarifas!$G$7:$G$320,$A137)*SUMIFS(Mercado!H$9:H$160,Mercado!$A$9:$A$160,$A137)</f>
        <v>0</v>
      </c>
      <c r="I137" s="51">
        <f>SUMIFS(Tarifas!$K$7:$K$320,Tarifas!$G$7:$G$320,$A137)*SUMIFS(Mercado!I$9:I$160,Mercado!$A$9:$A$160,$A137)</f>
        <v>0</v>
      </c>
      <c r="J137" s="51">
        <f>SUMIFS(Tarifas!$K$7:$K$320,Tarifas!$G$7:$G$320,$A137)*SUMIFS(Mercado!J$9:J$160,Mercado!$A$9:$A$160,$A137)</f>
        <v>0</v>
      </c>
      <c r="K137" s="51">
        <f>SUMIFS(Tarifas!$K$7:$K$320,Tarifas!$G$7:$G$320,$A137)*SUMIFS(Mercado!K$9:K$160,Mercado!$A$9:$A$160,$A137)</f>
        <v>0</v>
      </c>
      <c r="M137" s="55">
        <f t="shared" si="34"/>
        <v>0</v>
      </c>
      <c r="N137" s="55">
        <f t="shared" si="24"/>
        <v>0</v>
      </c>
      <c r="O137" s="55">
        <f t="shared" si="25"/>
        <v>0</v>
      </c>
      <c r="P137" s="55">
        <f t="shared" si="26"/>
        <v>0</v>
      </c>
      <c r="Q137" s="55">
        <f t="shared" si="27"/>
        <v>0</v>
      </c>
      <c r="R137" s="55">
        <f t="shared" si="28"/>
        <v>0</v>
      </c>
      <c r="T137" s="51">
        <f>NPV(Inputs!$C$6,'Vendas Vigente'!N137:Q137)+((R137*Inputs!$C$11)/(1+Inputs!$C$6)^(4.55))</f>
        <v>0</v>
      </c>
      <c r="X137" s="51"/>
      <c r="Y137" s="51">
        <f>SUMIFS(Tarifas!$AW$7:$AW$320,Tarifas!$G$7:$G$320,$A137)*SUMIFS(Mercado!G$9:G$160,Mercado!$A$9:$A$160,$A137)</f>
        <v>0</v>
      </c>
      <c r="Z137" s="51">
        <f>SUMIFS(Tarifas!$AW$7:$AW$320,Tarifas!$G$7:$G$320,$A137)*SUMIFS(Mercado!H$9:H$160,Mercado!$A$9:$A$160,$A137)</f>
        <v>0</v>
      </c>
      <c r="AA137" s="51">
        <f>SUMIFS(Tarifas!$AW$7:$AW$320,Tarifas!$G$7:$G$320,$A137)*SUMIFS(Mercado!I$9:I$160,Mercado!$A$9:$A$160,$A137)</f>
        <v>0</v>
      </c>
      <c r="AB137" s="51">
        <f>SUMIFS(Tarifas!$AW$7:$AW$320,Tarifas!$G$7:$G$320,$A137)*SUMIFS(Mercado!J$9:J$160,Mercado!$A$9:$A$160,$A137)</f>
        <v>0</v>
      </c>
      <c r="AC137" s="51">
        <f>SUMIFS(Tarifas!$AW$7:$AW$320,Tarifas!$G$7:$G$320,$A137)*SUMIFS(Mercado!K$9:K$160,Mercado!$A$9:$A$160,$A137)</f>
        <v>0</v>
      </c>
      <c r="AE137" s="55">
        <f t="shared" si="35"/>
        <v>0</v>
      </c>
      <c r="AF137" s="55">
        <f t="shared" si="29"/>
        <v>0</v>
      </c>
      <c r="AG137" s="55">
        <f t="shared" si="30"/>
        <v>0</v>
      </c>
      <c r="AH137" s="55">
        <f t="shared" si="31"/>
        <v>0</v>
      </c>
      <c r="AI137" s="55">
        <f t="shared" si="32"/>
        <v>0</v>
      </c>
      <c r="AJ137" s="55">
        <f t="shared" si="33"/>
        <v>0</v>
      </c>
    </row>
    <row r="138" spans="1:36">
      <c r="A138" s="192" t="s">
        <v>4872</v>
      </c>
      <c r="B138" s="50" t="s">
        <v>4873</v>
      </c>
      <c r="C138" s="50">
        <v>1</v>
      </c>
      <c r="D138" s="51">
        <v>0</v>
      </c>
      <c r="E138" s="51">
        <v>200</v>
      </c>
      <c r="F138" s="51"/>
      <c r="G138" s="51">
        <f>SUMIFS(Tarifas!$K$7:$K$320,Tarifas!$G$7:$G$320,$A138)*SUMIFS(Mercado!G$9:G$160,Mercado!$A$9:$A$160,$A138)</f>
        <v>0</v>
      </c>
      <c r="H138" s="51">
        <f>SUMIFS(Tarifas!$K$7:$K$320,Tarifas!$G$7:$G$320,$A138)*SUMIFS(Mercado!H$9:H$160,Mercado!$A$9:$A$160,$A138)</f>
        <v>0</v>
      </c>
      <c r="I138" s="51">
        <f>SUMIFS(Tarifas!$K$7:$K$320,Tarifas!$G$7:$G$320,$A138)*SUMIFS(Mercado!I$9:I$160,Mercado!$A$9:$A$160,$A138)</f>
        <v>0</v>
      </c>
      <c r="J138" s="51">
        <f>SUMIFS(Tarifas!$K$7:$K$320,Tarifas!$G$7:$G$320,$A138)*SUMIFS(Mercado!J$9:J$160,Mercado!$A$9:$A$160,$A138)</f>
        <v>0</v>
      </c>
      <c r="K138" s="51">
        <f>SUMIFS(Tarifas!$K$7:$K$320,Tarifas!$G$7:$G$320,$A138)*SUMIFS(Mercado!K$9:K$160,Mercado!$A$9:$A$160,$A138)</f>
        <v>0</v>
      </c>
      <c r="M138" s="55">
        <f t="shared" si="34"/>
        <v>0</v>
      </c>
      <c r="N138" s="55">
        <f t="shared" si="24"/>
        <v>0</v>
      </c>
      <c r="O138" s="55">
        <f t="shared" si="25"/>
        <v>0</v>
      </c>
      <c r="P138" s="55">
        <f t="shared" si="26"/>
        <v>0</v>
      </c>
      <c r="Q138" s="55">
        <f t="shared" si="27"/>
        <v>0</v>
      </c>
      <c r="R138" s="55">
        <f t="shared" si="28"/>
        <v>0</v>
      </c>
      <c r="T138" s="51">
        <f>NPV(Inputs!$C$6,'Vendas Vigente'!N138:Q138)+((R138*Inputs!$C$11)/(1+Inputs!$C$6)^(4.55))</f>
        <v>0</v>
      </c>
      <c r="X138" s="51"/>
      <c r="Y138" s="51">
        <f>SUMIFS(Tarifas!$AW$7:$AW$320,Tarifas!$G$7:$G$320,$A138)*SUMIFS(Mercado!G$9:G$160,Mercado!$A$9:$A$160,$A138)</f>
        <v>0</v>
      </c>
      <c r="Z138" s="51">
        <f>SUMIFS(Tarifas!$AW$7:$AW$320,Tarifas!$G$7:$G$320,$A138)*SUMIFS(Mercado!H$9:H$160,Mercado!$A$9:$A$160,$A138)</f>
        <v>0</v>
      </c>
      <c r="AA138" s="51">
        <f>SUMIFS(Tarifas!$AW$7:$AW$320,Tarifas!$G$7:$G$320,$A138)*SUMIFS(Mercado!I$9:I$160,Mercado!$A$9:$A$160,$A138)</f>
        <v>0</v>
      </c>
      <c r="AB138" s="51">
        <f>SUMIFS(Tarifas!$AW$7:$AW$320,Tarifas!$G$7:$G$320,$A138)*SUMIFS(Mercado!J$9:J$160,Mercado!$A$9:$A$160,$A138)</f>
        <v>0</v>
      </c>
      <c r="AC138" s="51">
        <f>SUMIFS(Tarifas!$AW$7:$AW$320,Tarifas!$G$7:$G$320,$A138)*SUMIFS(Mercado!K$9:K$160,Mercado!$A$9:$A$160,$A138)</f>
        <v>0</v>
      </c>
      <c r="AE138" s="55">
        <f t="shared" si="35"/>
        <v>0</v>
      </c>
      <c r="AF138" s="55">
        <f t="shared" si="29"/>
        <v>0</v>
      </c>
      <c r="AG138" s="55">
        <f t="shared" si="30"/>
        <v>0</v>
      </c>
      <c r="AH138" s="55">
        <f t="shared" si="31"/>
        <v>0</v>
      </c>
      <c r="AI138" s="55">
        <f t="shared" si="32"/>
        <v>0</v>
      </c>
      <c r="AJ138" s="55">
        <f t="shared" si="33"/>
        <v>0</v>
      </c>
    </row>
    <row r="139" spans="1:36">
      <c r="A139" s="192" t="s">
        <v>4874</v>
      </c>
      <c r="B139" s="50" t="s">
        <v>4873</v>
      </c>
      <c r="C139" s="50">
        <v>2</v>
      </c>
      <c r="D139" s="51">
        <v>201</v>
      </c>
      <c r="E139" s="51">
        <v>2000</v>
      </c>
      <c r="F139" s="51"/>
      <c r="G139" s="51">
        <f>SUMIFS(Tarifas!$K$7:$K$320,Tarifas!$G$7:$G$320,$A139)*SUMIFS(Mercado!G$9:G$160,Mercado!$A$9:$A$160,$A139)</f>
        <v>0</v>
      </c>
      <c r="H139" s="51">
        <f>SUMIFS(Tarifas!$K$7:$K$320,Tarifas!$G$7:$G$320,$A139)*SUMIFS(Mercado!H$9:H$160,Mercado!$A$9:$A$160,$A139)</f>
        <v>0</v>
      </c>
      <c r="I139" s="51">
        <f>SUMIFS(Tarifas!$K$7:$K$320,Tarifas!$G$7:$G$320,$A139)*SUMIFS(Mercado!I$9:I$160,Mercado!$A$9:$A$160,$A139)</f>
        <v>0</v>
      </c>
      <c r="J139" s="51">
        <f>SUMIFS(Tarifas!$K$7:$K$320,Tarifas!$G$7:$G$320,$A139)*SUMIFS(Mercado!J$9:J$160,Mercado!$A$9:$A$160,$A139)</f>
        <v>0</v>
      </c>
      <c r="K139" s="51">
        <f>SUMIFS(Tarifas!$K$7:$K$320,Tarifas!$G$7:$G$320,$A139)*SUMIFS(Mercado!K$9:K$160,Mercado!$A$9:$A$160,$A139)</f>
        <v>0</v>
      </c>
      <c r="M139" s="55">
        <f t="shared" si="34"/>
        <v>0</v>
      </c>
      <c r="N139" s="55">
        <f t="shared" si="24"/>
        <v>0</v>
      </c>
      <c r="O139" s="55">
        <f t="shared" si="25"/>
        <v>0</v>
      </c>
      <c r="P139" s="55">
        <f t="shared" si="26"/>
        <v>0</v>
      </c>
      <c r="Q139" s="55">
        <f t="shared" si="27"/>
        <v>0</v>
      </c>
      <c r="R139" s="55">
        <f t="shared" si="28"/>
        <v>0</v>
      </c>
      <c r="T139" s="51">
        <f>NPV(Inputs!$C$6,'Vendas Vigente'!N139:Q139)+((R139*Inputs!$C$11)/(1+Inputs!$C$6)^(4.55))</f>
        <v>0</v>
      </c>
      <c r="X139" s="51"/>
      <c r="Y139" s="51">
        <f>SUMIFS(Tarifas!$AW$7:$AW$320,Tarifas!$G$7:$G$320,$A139)*SUMIFS(Mercado!G$9:G$160,Mercado!$A$9:$A$160,$A139)</f>
        <v>0</v>
      </c>
      <c r="Z139" s="51">
        <f>SUMIFS(Tarifas!$AW$7:$AW$320,Tarifas!$G$7:$G$320,$A139)*SUMIFS(Mercado!H$9:H$160,Mercado!$A$9:$A$160,$A139)</f>
        <v>0</v>
      </c>
      <c r="AA139" s="51">
        <f>SUMIFS(Tarifas!$AW$7:$AW$320,Tarifas!$G$7:$G$320,$A139)*SUMIFS(Mercado!I$9:I$160,Mercado!$A$9:$A$160,$A139)</f>
        <v>0</v>
      </c>
      <c r="AB139" s="51">
        <f>SUMIFS(Tarifas!$AW$7:$AW$320,Tarifas!$G$7:$G$320,$A139)*SUMIFS(Mercado!J$9:J$160,Mercado!$A$9:$A$160,$A139)</f>
        <v>0</v>
      </c>
      <c r="AC139" s="51">
        <f>SUMIFS(Tarifas!$AW$7:$AW$320,Tarifas!$G$7:$G$320,$A139)*SUMIFS(Mercado!K$9:K$160,Mercado!$A$9:$A$160,$A139)</f>
        <v>0</v>
      </c>
      <c r="AE139" s="55">
        <f t="shared" si="35"/>
        <v>0</v>
      </c>
      <c r="AF139" s="55">
        <f t="shared" si="29"/>
        <v>0</v>
      </c>
      <c r="AG139" s="55">
        <f t="shared" si="30"/>
        <v>0</v>
      </c>
      <c r="AH139" s="55">
        <f t="shared" si="31"/>
        <v>0</v>
      </c>
      <c r="AI139" s="55">
        <f t="shared" si="32"/>
        <v>0</v>
      </c>
      <c r="AJ139" s="55">
        <f t="shared" si="33"/>
        <v>0</v>
      </c>
    </row>
    <row r="140" spans="1:36">
      <c r="A140" s="192" t="s">
        <v>4875</v>
      </c>
      <c r="B140" s="50" t="s">
        <v>4873</v>
      </c>
      <c r="C140" s="50">
        <v>3</v>
      </c>
      <c r="D140" s="51">
        <v>2001</v>
      </c>
      <c r="E140" s="51">
        <v>10000</v>
      </c>
      <c r="F140" s="51"/>
      <c r="G140" s="51">
        <f>SUMIFS(Tarifas!$K$7:$K$320,Tarifas!$G$7:$G$320,$A140)*SUMIFS(Mercado!G$9:G$160,Mercado!$A$9:$A$160,$A140)</f>
        <v>0</v>
      </c>
      <c r="H140" s="51">
        <f>SUMIFS(Tarifas!$K$7:$K$320,Tarifas!$G$7:$G$320,$A140)*SUMIFS(Mercado!H$9:H$160,Mercado!$A$9:$A$160,$A140)</f>
        <v>0</v>
      </c>
      <c r="I140" s="51">
        <f>SUMIFS(Tarifas!$K$7:$K$320,Tarifas!$G$7:$G$320,$A140)*SUMIFS(Mercado!I$9:I$160,Mercado!$A$9:$A$160,$A140)</f>
        <v>0</v>
      </c>
      <c r="J140" s="51">
        <f>SUMIFS(Tarifas!$K$7:$K$320,Tarifas!$G$7:$G$320,$A140)*SUMIFS(Mercado!J$9:J$160,Mercado!$A$9:$A$160,$A140)</f>
        <v>0</v>
      </c>
      <c r="K140" s="51">
        <f>SUMIFS(Tarifas!$K$7:$K$320,Tarifas!$G$7:$G$320,$A140)*SUMIFS(Mercado!K$9:K$160,Mercado!$A$9:$A$160,$A140)</f>
        <v>0</v>
      </c>
      <c r="M140" s="55">
        <f t="shared" si="34"/>
        <v>0</v>
      </c>
      <c r="N140" s="55">
        <f t="shared" si="24"/>
        <v>0</v>
      </c>
      <c r="O140" s="55">
        <f t="shared" si="25"/>
        <v>0</v>
      </c>
      <c r="P140" s="55">
        <f t="shared" si="26"/>
        <v>0</v>
      </c>
      <c r="Q140" s="55">
        <f t="shared" si="27"/>
        <v>0</v>
      </c>
      <c r="R140" s="55">
        <f t="shared" si="28"/>
        <v>0</v>
      </c>
      <c r="T140" s="51">
        <f>NPV(Inputs!$C$6,'Vendas Vigente'!N140:Q140)+((R140*Inputs!$C$11)/(1+Inputs!$C$6)^(4.55))</f>
        <v>0</v>
      </c>
      <c r="X140" s="51"/>
      <c r="Y140" s="51">
        <f>SUMIFS(Tarifas!$AW$7:$AW$320,Tarifas!$G$7:$G$320,$A140)*SUMIFS(Mercado!G$9:G$160,Mercado!$A$9:$A$160,$A140)</f>
        <v>0</v>
      </c>
      <c r="Z140" s="51">
        <f>SUMIFS(Tarifas!$AW$7:$AW$320,Tarifas!$G$7:$G$320,$A140)*SUMIFS(Mercado!H$9:H$160,Mercado!$A$9:$A$160,$A140)</f>
        <v>0</v>
      </c>
      <c r="AA140" s="51">
        <f>SUMIFS(Tarifas!$AW$7:$AW$320,Tarifas!$G$7:$G$320,$A140)*SUMIFS(Mercado!I$9:I$160,Mercado!$A$9:$A$160,$A140)</f>
        <v>0</v>
      </c>
      <c r="AB140" s="51">
        <f>SUMIFS(Tarifas!$AW$7:$AW$320,Tarifas!$G$7:$G$320,$A140)*SUMIFS(Mercado!J$9:J$160,Mercado!$A$9:$A$160,$A140)</f>
        <v>0</v>
      </c>
      <c r="AC140" s="51">
        <f>SUMIFS(Tarifas!$AW$7:$AW$320,Tarifas!$G$7:$G$320,$A140)*SUMIFS(Mercado!K$9:K$160,Mercado!$A$9:$A$160,$A140)</f>
        <v>0</v>
      </c>
      <c r="AE140" s="55">
        <f t="shared" si="35"/>
        <v>0</v>
      </c>
      <c r="AF140" s="55">
        <f t="shared" si="29"/>
        <v>0</v>
      </c>
      <c r="AG140" s="55">
        <f t="shared" si="30"/>
        <v>0</v>
      </c>
      <c r="AH140" s="55">
        <f t="shared" si="31"/>
        <v>0</v>
      </c>
      <c r="AI140" s="55">
        <f t="shared" si="32"/>
        <v>0</v>
      </c>
      <c r="AJ140" s="55">
        <f t="shared" si="33"/>
        <v>0</v>
      </c>
    </row>
    <row r="141" spans="1:36">
      <c r="A141" s="192" t="s">
        <v>4876</v>
      </c>
      <c r="B141" s="50" t="s">
        <v>4873</v>
      </c>
      <c r="C141" s="50">
        <v>4</v>
      </c>
      <c r="D141" s="51">
        <v>10001</v>
      </c>
      <c r="E141" s="51">
        <v>50000</v>
      </c>
      <c r="F141" s="51"/>
      <c r="G141" s="51">
        <f>SUMIFS(Tarifas!$K$7:$K$320,Tarifas!$G$7:$G$320,$A141)*SUMIFS(Mercado!G$9:G$160,Mercado!$A$9:$A$160,$A141)</f>
        <v>0</v>
      </c>
      <c r="H141" s="51">
        <f>SUMIFS(Tarifas!$K$7:$K$320,Tarifas!$G$7:$G$320,$A141)*SUMIFS(Mercado!H$9:H$160,Mercado!$A$9:$A$160,$A141)</f>
        <v>0</v>
      </c>
      <c r="I141" s="51">
        <f>SUMIFS(Tarifas!$K$7:$K$320,Tarifas!$G$7:$G$320,$A141)*SUMIFS(Mercado!I$9:I$160,Mercado!$A$9:$A$160,$A141)</f>
        <v>0</v>
      </c>
      <c r="J141" s="51">
        <f>SUMIFS(Tarifas!$K$7:$K$320,Tarifas!$G$7:$G$320,$A141)*SUMIFS(Mercado!J$9:J$160,Mercado!$A$9:$A$160,$A141)</f>
        <v>0</v>
      </c>
      <c r="K141" s="51">
        <f>SUMIFS(Tarifas!$K$7:$K$320,Tarifas!$G$7:$G$320,$A141)*SUMIFS(Mercado!K$9:K$160,Mercado!$A$9:$A$160,$A141)</f>
        <v>0</v>
      </c>
      <c r="M141" s="55">
        <f t="shared" si="34"/>
        <v>0</v>
      </c>
      <c r="N141" s="55">
        <f t="shared" si="24"/>
        <v>0</v>
      </c>
      <c r="O141" s="55">
        <f t="shared" si="25"/>
        <v>0</v>
      </c>
      <c r="P141" s="55">
        <f t="shared" si="26"/>
        <v>0</v>
      </c>
      <c r="Q141" s="55">
        <f t="shared" si="27"/>
        <v>0</v>
      </c>
      <c r="R141" s="55">
        <f t="shared" si="28"/>
        <v>0</v>
      </c>
      <c r="T141" s="51">
        <f>NPV(Inputs!$C$6,'Vendas Vigente'!N141:Q141)+((R141*Inputs!$C$11)/(1+Inputs!$C$6)^(4.55))</f>
        <v>0</v>
      </c>
      <c r="X141" s="51"/>
      <c r="Y141" s="51">
        <f>SUMIFS(Tarifas!$AW$7:$AW$320,Tarifas!$G$7:$G$320,$A141)*SUMIFS(Mercado!G$9:G$160,Mercado!$A$9:$A$160,$A141)</f>
        <v>0</v>
      </c>
      <c r="Z141" s="51">
        <f>SUMIFS(Tarifas!$AW$7:$AW$320,Tarifas!$G$7:$G$320,$A141)*SUMIFS(Mercado!H$9:H$160,Mercado!$A$9:$A$160,$A141)</f>
        <v>0</v>
      </c>
      <c r="AA141" s="51">
        <f>SUMIFS(Tarifas!$AW$7:$AW$320,Tarifas!$G$7:$G$320,$A141)*SUMIFS(Mercado!I$9:I$160,Mercado!$A$9:$A$160,$A141)</f>
        <v>0</v>
      </c>
      <c r="AB141" s="51">
        <f>SUMIFS(Tarifas!$AW$7:$AW$320,Tarifas!$G$7:$G$320,$A141)*SUMIFS(Mercado!J$9:J$160,Mercado!$A$9:$A$160,$A141)</f>
        <v>0</v>
      </c>
      <c r="AC141" s="51">
        <f>SUMIFS(Tarifas!$AW$7:$AW$320,Tarifas!$G$7:$G$320,$A141)*SUMIFS(Mercado!K$9:K$160,Mercado!$A$9:$A$160,$A141)</f>
        <v>0</v>
      </c>
      <c r="AE141" s="55">
        <f t="shared" si="35"/>
        <v>0</v>
      </c>
      <c r="AF141" s="55">
        <f t="shared" si="29"/>
        <v>0</v>
      </c>
      <c r="AG141" s="55">
        <f t="shared" si="30"/>
        <v>0</v>
      </c>
      <c r="AH141" s="55">
        <f t="shared" si="31"/>
        <v>0</v>
      </c>
      <c r="AI141" s="55">
        <f t="shared" si="32"/>
        <v>0</v>
      </c>
      <c r="AJ141" s="55">
        <f t="shared" si="33"/>
        <v>0</v>
      </c>
    </row>
    <row r="142" spans="1:36">
      <c r="A142" s="192" t="s">
        <v>4877</v>
      </c>
      <c r="B142" s="50" t="s">
        <v>4873</v>
      </c>
      <c r="C142" s="50">
        <v>5</v>
      </c>
      <c r="D142" s="51">
        <v>50001</v>
      </c>
      <c r="E142" s="51">
        <v>100000</v>
      </c>
      <c r="F142" s="51"/>
      <c r="G142" s="51">
        <f>SUMIFS(Tarifas!$K$7:$K$320,Tarifas!$G$7:$G$320,$A142)*SUMIFS(Mercado!G$9:G$160,Mercado!$A$9:$A$160,$A142)</f>
        <v>0</v>
      </c>
      <c r="H142" s="51">
        <f>SUMIFS(Tarifas!$K$7:$K$320,Tarifas!$G$7:$G$320,$A142)*SUMIFS(Mercado!H$9:H$160,Mercado!$A$9:$A$160,$A142)</f>
        <v>0</v>
      </c>
      <c r="I142" s="51">
        <f>SUMIFS(Tarifas!$K$7:$K$320,Tarifas!$G$7:$G$320,$A142)*SUMIFS(Mercado!I$9:I$160,Mercado!$A$9:$A$160,$A142)</f>
        <v>0</v>
      </c>
      <c r="J142" s="51">
        <f>SUMIFS(Tarifas!$K$7:$K$320,Tarifas!$G$7:$G$320,$A142)*SUMIFS(Mercado!J$9:J$160,Mercado!$A$9:$A$160,$A142)</f>
        <v>0</v>
      </c>
      <c r="K142" s="51">
        <f>SUMIFS(Tarifas!$K$7:$K$320,Tarifas!$G$7:$G$320,$A142)*SUMIFS(Mercado!K$9:K$160,Mercado!$A$9:$A$160,$A142)</f>
        <v>0</v>
      </c>
      <c r="M142" s="55">
        <f t="shared" si="34"/>
        <v>0</v>
      </c>
      <c r="N142" s="55">
        <f t="shared" si="24"/>
        <v>0</v>
      </c>
      <c r="O142" s="55">
        <f t="shared" si="25"/>
        <v>0</v>
      </c>
      <c r="P142" s="55">
        <f t="shared" si="26"/>
        <v>0</v>
      </c>
      <c r="Q142" s="55">
        <f t="shared" si="27"/>
        <v>0</v>
      </c>
      <c r="R142" s="55">
        <f t="shared" si="28"/>
        <v>0</v>
      </c>
      <c r="T142" s="51">
        <f>NPV(Inputs!$C$6,'Vendas Vigente'!N142:Q142)+((R142*Inputs!$C$11)/(1+Inputs!$C$6)^(4.55))</f>
        <v>0</v>
      </c>
      <c r="X142" s="51"/>
      <c r="Y142" s="51">
        <f>SUMIFS(Tarifas!$AW$7:$AW$320,Tarifas!$G$7:$G$320,$A142)*SUMIFS(Mercado!G$9:G$160,Mercado!$A$9:$A$160,$A142)</f>
        <v>0</v>
      </c>
      <c r="Z142" s="51">
        <f>SUMIFS(Tarifas!$AW$7:$AW$320,Tarifas!$G$7:$G$320,$A142)*SUMIFS(Mercado!H$9:H$160,Mercado!$A$9:$A$160,$A142)</f>
        <v>0</v>
      </c>
      <c r="AA142" s="51">
        <f>SUMIFS(Tarifas!$AW$7:$AW$320,Tarifas!$G$7:$G$320,$A142)*SUMIFS(Mercado!I$9:I$160,Mercado!$A$9:$A$160,$A142)</f>
        <v>0</v>
      </c>
      <c r="AB142" s="51">
        <f>SUMIFS(Tarifas!$AW$7:$AW$320,Tarifas!$G$7:$G$320,$A142)*SUMIFS(Mercado!J$9:J$160,Mercado!$A$9:$A$160,$A142)</f>
        <v>0</v>
      </c>
      <c r="AC142" s="51">
        <f>SUMIFS(Tarifas!$AW$7:$AW$320,Tarifas!$G$7:$G$320,$A142)*SUMIFS(Mercado!K$9:K$160,Mercado!$A$9:$A$160,$A142)</f>
        <v>0</v>
      </c>
      <c r="AE142" s="55">
        <f t="shared" si="35"/>
        <v>0</v>
      </c>
      <c r="AF142" s="55">
        <f t="shared" si="29"/>
        <v>0</v>
      </c>
      <c r="AG142" s="55">
        <f t="shared" si="30"/>
        <v>0</v>
      </c>
      <c r="AH142" s="55">
        <f t="shared" si="31"/>
        <v>0</v>
      </c>
      <c r="AI142" s="55">
        <f t="shared" si="32"/>
        <v>0</v>
      </c>
      <c r="AJ142" s="55">
        <f t="shared" si="33"/>
        <v>0</v>
      </c>
    </row>
    <row r="143" spans="1:36">
      <c r="A143" s="192" t="s">
        <v>4878</v>
      </c>
      <c r="B143" s="50" t="s">
        <v>4873</v>
      </c>
      <c r="C143" s="50">
        <v>6</v>
      </c>
      <c r="D143" s="51">
        <v>100001</v>
      </c>
      <c r="E143" s="51">
        <v>300000</v>
      </c>
      <c r="F143" s="51"/>
      <c r="G143" s="51">
        <f>SUMIFS(Tarifas!$K$7:$K$320,Tarifas!$G$7:$G$320,$A143)*SUMIFS(Mercado!G$9:G$160,Mercado!$A$9:$A$160,$A143)</f>
        <v>0</v>
      </c>
      <c r="H143" s="51">
        <f>SUMIFS(Tarifas!$K$7:$K$320,Tarifas!$G$7:$G$320,$A143)*SUMIFS(Mercado!H$9:H$160,Mercado!$A$9:$A$160,$A143)</f>
        <v>0</v>
      </c>
      <c r="I143" s="51">
        <f>SUMIFS(Tarifas!$K$7:$K$320,Tarifas!$G$7:$G$320,$A143)*SUMIFS(Mercado!I$9:I$160,Mercado!$A$9:$A$160,$A143)</f>
        <v>0</v>
      </c>
      <c r="J143" s="51">
        <f>SUMIFS(Tarifas!$K$7:$K$320,Tarifas!$G$7:$G$320,$A143)*SUMIFS(Mercado!J$9:J$160,Mercado!$A$9:$A$160,$A143)</f>
        <v>0</v>
      </c>
      <c r="K143" s="51">
        <f>SUMIFS(Tarifas!$K$7:$K$320,Tarifas!$G$7:$G$320,$A143)*SUMIFS(Mercado!K$9:K$160,Mercado!$A$9:$A$160,$A143)</f>
        <v>0</v>
      </c>
      <c r="M143" s="55">
        <f t="shared" si="34"/>
        <v>0</v>
      </c>
      <c r="N143" s="55">
        <f t="shared" si="24"/>
        <v>0</v>
      </c>
      <c r="O143" s="55">
        <f t="shared" si="25"/>
        <v>0</v>
      </c>
      <c r="P143" s="55">
        <f t="shared" si="26"/>
        <v>0</v>
      </c>
      <c r="Q143" s="55">
        <f t="shared" si="27"/>
        <v>0</v>
      </c>
      <c r="R143" s="55">
        <f t="shared" si="28"/>
        <v>0</v>
      </c>
      <c r="T143" s="51">
        <f>NPV(Inputs!$C$6,'Vendas Vigente'!N143:Q143)+((R143*Inputs!$C$11)/(1+Inputs!$C$6)^(4.55))</f>
        <v>0</v>
      </c>
      <c r="X143" s="51"/>
      <c r="Y143" s="51">
        <f>SUMIFS(Tarifas!$AW$7:$AW$320,Tarifas!$G$7:$G$320,$A143)*SUMIFS(Mercado!G$9:G$160,Mercado!$A$9:$A$160,$A143)</f>
        <v>0</v>
      </c>
      <c r="Z143" s="51">
        <f>SUMIFS(Tarifas!$AW$7:$AW$320,Tarifas!$G$7:$G$320,$A143)*SUMIFS(Mercado!H$9:H$160,Mercado!$A$9:$A$160,$A143)</f>
        <v>0</v>
      </c>
      <c r="AA143" s="51">
        <f>SUMIFS(Tarifas!$AW$7:$AW$320,Tarifas!$G$7:$G$320,$A143)*SUMIFS(Mercado!I$9:I$160,Mercado!$A$9:$A$160,$A143)</f>
        <v>0</v>
      </c>
      <c r="AB143" s="51">
        <f>SUMIFS(Tarifas!$AW$7:$AW$320,Tarifas!$G$7:$G$320,$A143)*SUMIFS(Mercado!J$9:J$160,Mercado!$A$9:$A$160,$A143)</f>
        <v>0</v>
      </c>
      <c r="AC143" s="51">
        <f>SUMIFS(Tarifas!$AW$7:$AW$320,Tarifas!$G$7:$G$320,$A143)*SUMIFS(Mercado!K$9:K$160,Mercado!$A$9:$A$160,$A143)</f>
        <v>0</v>
      </c>
      <c r="AE143" s="55">
        <f t="shared" si="35"/>
        <v>0</v>
      </c>
      <c r="AF143" s="55">
        <f t="shared" si="29"/>
        <v>0</v>
      </c>
      <c r="AG143" s="55">
        <f t="shared" si="30"/>
        <v>0</v>
      </c>
      <c r="AH143" s="55">
        <f t="shared" si="31"/>
        <v>0</v>
      </c>
      <c r="AI143" s="55">
        <f t="shared" si="32"/>
        <v>0</v>
      </c>
      <c r="AJ143" s="55">
        <f t="shared" si="33"/>
        <v>0</v>
      </c>
    </row>
    <row r="144" spans="1:36">
      <c r="A144" s="192" t="s">
        <v>4879</v>
      </c>
      <c r="B144" s="50" t="s">
        <v>4873</v>
      </c>
      <c r="C144" s="50">
        <v>7</v>
      </c>
      <c r="D144" s="51">
        <v>300001</v>
      </c>
      <c r="E144" s="51">
        <v>600000</v>
      </c>
      <c r="F144" s="51"/>
      <c r="G144" s="51">
        <f>SUMIFS(Tarifas!$K$7:$K$320,Tarifas!$G$7:$G$320,$A144)*SUMIFS(Mercado!G$9:G$160,Mercado!$A$9:$A$160,$A144)</f>
        <v>0</v>
      </c>
      <c r="H144" s="51">
        <f>SUMIFS(Tarifas!$K$7:$K$320,Tarifas!$G$7:$G$320,$A144)*SUMIFS(Mercado!H$9:H$160,Mercado!$A$9:$A$160,$A144)</f>
        <v>0</v>
      </c>
      <c r="I144" s="51">
        <f>SUMIFS(Tarifas!$K$7:$K$320,Tarifas!$G$7:$G$320,$A144)*SUMIFS(Mercado!I$9:I$160,Mercado!$A$9:$A$160,$A144)</f>
        <v>0</v>
      </c>
      <c r="J144" s="51">
        <f>SUMIFS(Tarifas!$K$7:$K$320,Tarifas!$G$7:$G$320,$A144)*SUMIFS(Mercado!J$9:J$160,Mercado!$A$9:$A$160,$A144)</f>
        <v>0</v>
      </c>
      <c r="K144" s="51">
        <f>SUMIFS(Tarifas!$K$7:$K$320,Tarifas!$G$7:$G$320,$A144)*SUMIFS(Mercado!K$9:K$160,Mercado!$A$9:$A$160,$A144)</f>
        <v>0</v>
      </c>
      <c r="M144" s="55">
        <f t="shared" si="34"/>
        <v>0</v>
      </c>
      <c r="N144" s="55">
        <f t="shared" si="24"/>
        <v>0</v>
      </c>
      <c r="O144" s="55">
        <f t="shared" si="25"/>
        <v>0</v>
      </c>
      <c r="P144" s="55">
        <f t="shared" si="26"/>
        <v>0</v>
      </c>
      <c r="Q144" s="55">
        <f t="shared" si="27"/>
        <v>0</v>
      </c>
      <c r="R144" s="55">
        <f t="shared" si="28"/>
        <v>0</v>
      </c>
      <c r="T144" s="51">
        <f>NPV(Inputs!$C$6,'Vendas Vigente'!N144:Q144)+((R144*Inputs!$C$11)/(1+Inputs!$C$6)^(4.55))</f>
        <v>0</v>
      </c>
      <c r="X144" s="51"/>
      <c r="Y144" s="51">
        <f>SUMIFS(Tarifas!$AW$7:$AW$320,Tarifas!$G$7:$G$320,$A144)*SUMIFS(Mercado!G$9:G$160,Mercado!$A$9:$A$160,$A144)</f>
        <v>0</v>
      </c>
      <c r="Z144" s="51">
        <f>SUMIFS(Tarifas!$AW$7:$AW$320,Tarifas!$G$7:$G$320,$A144)*SUMIFS(Mercado!H$9:H$160,Mercado!$A$9:$A$160,$A144)</f>
        <v>0</v>
      </c>
      <c r="AA144" s="51">
        <f>SUMIFS(Tarifas!$AW$7:$AW$320,Tarifas!$G$7:$G$320,$A144)*SUMIFS(Mercado!I$9:I$160,Mercado!$A$9:$A$160,$A144)</f>
        <v>0</v>
      </c>
      <c r="AB144" s="51">
        <f>SUMIFS(Tarifas!$AW$7:$AW$320,Tarifas!$G$7:$G$320,$A144)*SUMIFS(Mercado!J$9:J$160,Mercado!$A$9:$A$160,$A144)</f>
        <v>0</v>
      </c>
      <c r="AC144" s="51">
        <f>SUMIFS(Tarifas!$AW$7:$AW$320,Tarifas!$G$7:$G$320,$A144)*SUMIFS(Mercado!K$9:K$160,Mercado!$A$9:$A$160,$A144)</f>
        <v>0</v>
      </c>
      <c r="AE144" s="55">
        <f t="shared" si="35"/>
        <v>0</v>
      </c>
      <c r="AF144" s="55">
        <f t="shared" si="29"/>
        <v>0</v>
      </c>
      <c r="AG144" s="55">
        <f t="shared" si="30"/>
        <v>0</v>
      </c>
      <c r="AH144" s="55">
        <f t="shared" si="31"/>
        <v>0</v>
      </c>
      <c r="AI144" s="55">
        <f t="shared" si="32"/>
        <v>0</v>
      </c>
      <c r="AJ144" s="55">
        <f t="shared" si="33"/>
        <v>0</v>
      </c>
    </row>
    <row r="145" spans="1:36">
      <c r="A145" s="192" t="s">
        <v>4880</v>
      </c>
      <c r="B145" s="50" t="s">
        <v>4873</v>
      </c>
      <c r="C145" s="50">
        <v>8</v>
      </c>
      <c r="D145" s="51">
        <v>600001</v>
      </c>
      <c r="E145" s="51">
        <v>1500000</v>
      </c>
      <c r="F145" s="51"/>
      <c r="G145" s="51">
        <f>SUMIFS(Tarifas!$K$7:$K$320,Tarifas!$G$7:$G$320,$A145)*SUMIFS(Mercado!G$9:G$160,Mercado!$A$9:$A$160,$A145)</f>
        <v>0</v>
      </c>
      <c r="H145" s="51">
        <f>SUMIFS(Tarifas!$K$7:$K$320,Tarifas!$G$7:$G$320,$A145)*SUMIFS(Mercado!H$9:H$160,Mercado!$A$9:$A$160,$A145)</f>
        <v>0</v>
      </c>
      <c r="I145" s="51">
        <f>SUMIFS(Tarifas!$K$7:$K$320,Tarifas!$G$7:$G$320,$A145)*SUMIFS(Mercado!I$9:I$160,Mercado!$A$9:$A$160,$A145)</f>
        <v>0</v>
      </c>
      <c r="J145" s="51">
        <f>SUMIFS(Tarifas!$K$7:$K$320,Tarifas!$G$7:$G$320,$A145)*SUMIFS(Mercado!J$9:J$160,Mercado!$A$9:$A$160,$A145)</f>
        <v>0</v>
      </c>
      <c r="K145" s="51">
        <f>SUMIFS(Tarifas!$K$7:$K$320,Tarifas!$G$7:$G$320,$A145)*SUMIFS(Mercado!K$9:K$160,Mercado!$A$9:$A$160,$A145)</f>
        <v>0</v>
      </c>
      <c r="M145" s="55">
        <f t="shared" si="34"/>
        <v>0</v>
      </c>
      <c r="N145" s="55">
        <f t="shared" si="24"/>
        <v>0</v>
      </c>
      <c r="O145" s="55">
        <f t="shared" si="25"/>
        <v>0</v>
      </c>
      <c r="P145" s="55">
        <f t="shared" si="26"/>
        <v>0</v>
      </c>
      <c r="Q145" s="55">
        <f t="shared" si="27"/>
        <v>0</v>
      </c>
      <c r="R145" s="55">
        <f t="shared" si="28"/>
        <v>0</v>
      </c>
      <c r="T145" s="51">
        <f>NPV(Inputs!$C$6,'Vendas Vigente'!N145:Q145)+((R145*Inputs!$C$11)/(1+Inputs!$C$6)^(4.55))</f>
        <v>0</v>
      </c>
      <c r="X145" s="51"/>
      <c r="Y145" s="51">
        <f>SUMIFS(Tarifas!$AW$7:$AW$320,Tarifas!$G$7:$G$320,$A145)*SUMIFS(Mercado!G$9:G$160,Mercado!$A$9:$A$160,$A145)</f>
        <v>0</v>
      </c>
      <c r="Z145" s="51">
        <f>SUMIFS(Tarifas!$AW$7:$AW$320,Tarifas!$G$7:$G$320,$A145)*SUMIFS(Mercado!H$9:H$160,Mercado!$A$9:$A$160,$A145)</f>
        <v>0</v>
      </c>
      <c r="AA145" s="51">
        <f>SUMIFS(Tarifas!$AW$7:$AW$320,Tarifas!$G$7:$G$320,$A145)*SUMIFS(Mercado!I$9:I$160,Mercado!$A$9:$A$160,$A145)</f>
        <v>0</v>
      </c>
      <c r="AB145" s="51">
        <f>SUMIFS(Tarifas!$AW$7:$AW$320,Tarifas!$G$7:$G$320,$A145)*SUMIFS(Mercado!J$9:J$160,Mercado!$A$9:$A$160,$A145)</f>
        <v>0</v>
      </c>
      <c r="AC145" s="51">
        <f>SUMIFS(Tarifas!$AW$7:$AW$320,Tarifas!$G$7:$G$320,$A145)*SUMIFS(Mercado!K$9:K$160,Mercado!$A$9:$A$160,$A145)</f>
        <v>0</v>
      </c>
      <c r="AE145" s="55">
        <f t="shared" si="35"/>
        <v>0</v>
      </c>
      <c r="AF145" s="55">
        <f t="shared" si="29"/>
        <v>0</v>
      </c>
      <c r="AG145" s="55">
        <f t="shared" si="30"/>
        <v>0</v>
      </c>
      <c r="AH145" s="55">
        <f t="shared" si="31"/>
        <v>0</v>
      </c>
      <c r="AI145" s="55">
        <f t="shared" si="32"/>
        <v>0</v>
      </c>
      <c r="AJ145" s="55">
        <f t="shared" si="33"/>
        <v>0</v>
      </c>
    </row>
    <row r="146" spans="1:36">
      <c r="A146" s="192" t="s">
        <v>4881</v>
      </c>
      <c r="B146" s="50" t="s">
        <v>4873</v>
      </c>
      <c r="C146" s="50">
        <v>9</v>
      </c>
      <c r="D146" s="51">
        <v>1500001</v>
      </c>
      <c r="E146" s="51">
        <v>3000000</v>
      </c>
      <c r="F146" s="51"/>
      <c r="G146" s="51">
        <f>SUMIFS(Tarifas!$K$7:$K$320,Tarifas!$G$7:$G$320,$A146)*SUMIFS(Mercado!G$9:G$160,Mercado!$A$9:$A$160,$A146)</f>
        <v>0</v>
      </c>
      <c r="H146" s="51">
        <f>SUMIFS(Tarifas!$K$7:$K$320,Tarifas!$G$7:$G$320,$A146)*SUMIFS(Mercado!H$9:H$160,Mercado!$A$9:$A$160,$A146)</f>
        <v>0</v>
      </c>
      <c r="I146" s="51">
        <f>SUMIFS(Tarifas!$K$7:$K$320,Tarifas!$G$7:$G$320,$A146)*SUMIFS(Mercado!I$9:I$160,Mercado!$A$9:$A$160,$A146)</f>
        <v>0</v>
      </c>
      <c r="J146" s="51">
        <f>SUMIFS(Tarifas!$K$7:$K$320,Tarifas!$G$7:$G$320,$A146)*SUMIFS(Mercado!J$9:J$160,Mercado!$A$9:$A$160,$A146)</f>
        <v>0</v>
      </c>
      <c r="K146" s="51">
        <f>SUMIFS(Tarifas!$K$7:$K$320,Tarifas!$G$7:$G$320,$A146)*SUMIFS(Mercado!K$9:K$160,Mercado!$A$9:$A$160,$A146)</f>
        <v>0</v>
      </c>
      <c r="M146" s="55">
        <f t="shared" si="34"/>
        <v>0</v>
      </c>
      <c r="N146" s="55">
        <f t="shared" si="24"/>
        <v>0</v>
      </c>
      <c r="O146" s="55">
        <f t="shared" si="25"/>
        <v>0</v>
      </c>
      <c r="P146" s="55">
        <f t="shared" si="26"/>
        <v>0</v>
      </c>
      <c r="Q146" s="55">
        <f t="shared" si="27"/>
        <v>0</v>
      </c>
      <c r="R146" s="55">
        <f t="shared" si="28"/>
        <v>0</v>
      </c>
      <c r="T146" s="51">
        <f>NPV(Inputs!$C$6,'Vendas Vigente'!N146:Q146)+((R146*Inputs!$C$11)/(1+Inputs!$C$6)^(4.55))</f>
        <v>0</v>
      </c>
      <c r="X146" s="51"/>
      <c r="Y146" s="51">
        <f>SUMIFS(Tarifas!$AW$7:$AW$320,Tarifas!$G$7:$G$320,$A146)*SUMIFS(Mercado!G$9:G$160,Mercado!$A$9:$A$160,$A146)</f>
        <v>0</v>
      </c>
      <c r="Z146" s="51">
        <f>SUMIFS(Tarifas!$AW$7:$AW$320,Tarifas!$G$7:$G$320,$A146)*SUMIFS(Mercado!H$9:H$160,Mercado!$A$9:$A$160,$A146)</f>
        <v>0</v>
      </c>
      <c r="AA146" s="51">
        <f>SUMIFS(Tarifas!$AW$7:$AW$320,Tarifas!$G$7:$G$320,$A146)*SUMIFS(Mercado!I$9:I$160,Mercado!$A$9:$A$160,$A146)</f>
        <v>0</v>
      </c>
      <c r="AB146" s="51">
        <f>SUMIFS(Tarifas!$AW$7:$AW$320,Tarifas!$G$7:$G$320,$A146)*SUMIFS(Mercado!J$9:J$160,Mercado!$A$9:$A$160,$A146)</f>
        <v>0</v>
      </c>
      <c r="AC146" s="51">
        <f>SUMIFS(Tarifas!$AW$7:$AW$320,Tarifas!$G$7:$G$320,$A146)*SUMIFS(Mercado!K$9:K$160,Mercado!$A$9:$A$160,$A146)</f>
        <v>0</v>
      </c>
      <c r="AE146" s="55">
        <f t="shared" si="35"/>
        <v>0</v>
      </c>
      <c r="AF146" s="55">
        <f t="shared" si="29"/>
        <v>0</v>
      </c>
      <c r="AG146" s="55">
        <f t="shared" si="30"/>
        <v>0</v>
      </c>
      <c r="AH146" s="55">
        <f t="shared" si="31"/>
        <v>0</v>
      </c>
      <c r="AI146" s="55">
        <f t="shared" si="32"/>
        <v>0</v>
      </c>
      <c r="AJ146" s="55">
        <f t="shared" si="33"/>
        <v>0</v>
      </c>
    </row>
    <row r="147" spans="1:36">
      <c r="A147" s="192" t="s">
        <v>4882</v>
      </c>
      <c r="B147" s="50" t="s">
        <v>4873</v>
      </c>
      <c r="C147" s="50">
        <v>10</v>
      </c>
      <c r="D147" s="51">
        <v>3000001</v>
      </c>
      <c r="E147" s="51">
        <v>999999999</v>
      </c>
      <c r="F147" s="51"/>
      <c r="G147" s="51">
        <f>SUMIFS(Tarifas!$K$7:$K$320,Tarifas!$G$7:$G$320,$A147)*SUMIFS(Mercado!G$9:G$160,Mercado!$A$9:$A$160,$A147)</f>
        <v>0</v>
      </c>
      <c r="H147" s="51">
        <f>SUMIFS(Tarifas!$K$7:$K$320,Tarifas!$G$7:$G$320,$A147)*SUMIFS(Mercado!H$9:H$160,Mercado!$A$9:$A$160,$A147)</f>
        <v>0</v>
      </c>
      <c r="I147" s="51">
        <f>SUMIFS(Tarifas!$K$7:$K$320,Tarifas!$G$7:$G$320,$A147)*SUMIFS(Mercado!I$9:I$160,Mercado!$A$9:$A$160,$A147)</f>
        <v>0</v>
      </c>
      <c r="J147" s="51">
        <f>SUMIFS(Tarifas!$K$7:$K$320,Tarifas!$G$7:$G$320,$A147)*SUMIFS(Mercado!J$9:J$160,Mercado!$A$9:$A$160,$A147)</f>
        <v>0</v>
      </c>
      <c r="K147" s="51">
        <f>SUMIFS(Tarifas!$K$7:$K$320,Tarifas!$G$7:$G$320,$A147)*SUMIFS(Mercado!K$9:K$160,Mercado!$A$9:$A$160,$A147)</f>
        <v>0</v>
      </c>
      <c r="M147" s="55">
        <f t="shared" si="34"/>
        <v>0</v>
      </c>
      <c r="N147" s="55">
        <f t="shared" si="24"/>
        <v>0</v>
      </c>
      <c r="O147" s="55">
        <f t="shared" si="25"/>
        <v>0</v>
      </c>
      <c r="P147" s="55">
        <f t="shared" si="26"/>
        <v>0</v>
      </c>
      <c r="Q147" s="55">
        <f t="shared" si="27"/>
        <v>0</v>
      </c>
      <c r="R147" s="55">
        <f t="shared" si="28"/>
        <v>0</v>
      </c>
      <c r="T147" s="51">
        <f>NPV(Inputs!$C$6,'Vendas Vigente'!N147:Q147)+((R147*Inputs!$C$11)/(1+Inputs!$C$6)^(4.55))</f>
        <v>0</v>
      </c>
      <c r="X147" s="51"/>
      <c r="Y147" s="51">
        <f>SUMIFS(Tarifas!$AW$7:$AW$320,Tarifas!$G$7:$G$320,$A147)*SUMIFS(Mercado!G$9:G$160,Mercado!$A$9:$A$160,$A147)</f>
        <v>0</v>
      </c>
      <c r="Z147" s="51">
        <f>SUMIFS(Tarifas!$AW$7:$AW$320,Tarifas!$G$7:$G$320,$A147)*SUMIFS(Mercado!H$9:H$160,Mercado!$A$9:$A$160,$A147)</f>
        <v>0</v>
      </c>
      <c r="AA147" s="51">
        <f>SUMIFS(Tarifas!$AW$7:$AW$320,Tarifas!$G$7:$G$320,$A147)*SUMIFS(Mercado!I$9:I$160,Mercado!$A$9:$A$160,$A147)</f>
        <v>0</v>
      </c>
      <c r="AB147" s="51">
        <f>SUMIFS(Tarifas!$AW$7:$AW$320,Tarifas!$G$7:$G$320,$A147)*SUMIFS(Mercado!J$9:J$160,Mercado!$A$9:$A$160,$A147)</f>
        <v>0</v>
      </c>
      <c r="AC147" s="51">
        <f>SUMIFS(Tarifas!$AW$7:$AW$320,Tarifas!$G$7:$G$320,$A147)*SUMIFS(Mercado!K$9:K$160,Mercado!$A$9:$A$160,$A147)</f>
        <v>0</v>
      </c>
      <c r="AE147" s="55">
        <f t="shared" si="35"/>
        <v>0</v>
      </c>
      <c r="AF147" s="55">
        <f t="shared" si="29"/>
        <v>0</v>
      </c>
      <c r="AG147" s="55">
        <f t="shared" si="30"/>
        <v>0</v>
      </c>
      <c r="AH147" s="55">
        <f t="shared" si="31"/>
        <v>0</v>
      </c>
      <c r="AI147" s="55">
        <f t="shared" si="32"/>
        <v>0</v>
      </c>
      <c r="AJ147" s="55">
        <f t="shared" si="33"/>
        <v>0</v>
      </c>
    </row>
    <row r="148" spans="1:36">
      <c r="A148" s="192"/>
      <c r="D148" s="51"/>
      <c r="E148" s="51"/>
      <c r="F148" s="51"/>
      <c r="G148" s="51"/>
      <c r="H148" s="51"/>
      <c r="I148" s="51"/>
      <c r="J148" s="51"/>
      <c r="K148" s="51"/>
      <c r="M148" s="55">
        <f t="shared" si="34"/>
        <v>0</v>
      </c>
      <c r="N148" s="55">
        <f t="shared" si="24"/>
        <v>0</v>
      </c>
      <c r="O148" s="55">
        <f t="shared" si="25"/>
        <v>0</v>
      </c>
      <c r="P148" s="55">
        <f t="shared" si="26"/>
        <v>0</v>
      </c>
      <c r="Q148" s="55">
        <f t="shared" si="27"/>
        <v>0</v>
      </c>
      <c r="R148" s="55">
        <f t="shared" si="28"/>
        <v>0</v>
      </c>
      <c r="T148" s="51"/>
      <c r="X148" s="51"/>
      <c r="Y148" s="51"/>
      <c r="Z148" s="51"/>
      <c r="AA148" s="51"/>
      <c r="AB148" s="51"/>
      <c r="AC148" s="51"/>
      <c r="AE148" s="55"/>
      <c r="AF148" s="55"/>
      <c r="AG148" s="55"/>
      <c r="AH148" s="55"/>
      <c r="AI148" s="55"/>
      <c r="AJ148" s="55"/>
    </row>
    <row r="149" spans="1:36">
      <c r="A149" s="192"/>
      <c r="D149" s="51"/>
      <c r="E149" s="51"/>
      <c r="F149" s="51"/>
      <c r="G149" s="51"/>
      <c r="H149" s="51"/>
      <c r="I149" s="51"/>
      <c r="J149" s="51"/>
      <c r="K149" s="51"/>
      <c r="M149" s="55"/>
      <c r="N149" s="55"/>
      <c r="O149" s="55"/>
      <c r="P149" s="55"/>
      <c r="Q149" s="55"/>
      <c r="R149" s="55"/>
      <c r="T149" s="51"/>
      <c r="X149" s="51"/>
      <c r="Y149" s="51"/>
      <c r="Z149" s="51"/>
      <c r="AA149" s="51"/>
      <c r="AB149" s="51"/>
      <c r="AC149" s="51"/>
      <c r="AE149" s="55"/>
      <c r="AF149" s="55"/>
      <c r="AG149" s="55"/>
      <c r="AH149" s="55"/>
      <c r="AI149" s="55"/>
      <c r="AJ149" s="55"/>
    </row>
    <row r="150" spans="1:36">
      <c r="F150" s="208">
        <f t="shared" ref="F150:K150" si="36">SUM(F3:F96)</f>
        <v>0</v>
      </c>
      <c r="G150" s="208">
        <f t="shared" si="36"/>
        <v>306332.29019233689</v>
      </c>
      <c r="H150" s="208">
        <f t="shared" si="36"/>
        <v>357633.04912920622</v>
      </c>
      <c r="I150" s="208">
        <f t="shared" si="36"/>
        <v>271068.75546009431</v>
      </c>
      <c r="J150" s="208">
        <f t="shared" si="36"/>
        <v>304010.01569114643</v>
      </c>
      <c r="K150" s="208">
        <f t="shared" si="36"/>
        <v>299203.42871758202</v>
      </c>
      <c r="M150" s="208">
        <f t="shared" ref="M150:R150" si="37">SUM(M3:M96)</f>
        <v>0</v>
      </c>
      <c r="N150" s="208">
        <f t="shared" si="37"/>
        <v>306332.29019233689</v>
      </c>
      <c r="O150" s="208">
        <f t="shared" si="37"/>
        <v>357633.04912920622</v>
      </c>
      <c r="P150" s="208">
        <f t="shared" si="37"/>
        <v>271068.75546009431</v>
      </c>
      <c r="Q150" s="208">
        <f t="shared" si="37"/>
        <v>304010.01569114643</v>
      </c>
      <c r="R150" s="208">
        <f t="shared" si="37"/>
        <v>299203.42871758202</v>
      </c>
      <c r="T150" s="208">
        <f>NPV(Inputs!$C$6,'Vendas Vigente'!N150:Q150)+((R150*Inputs!$C$11)/(1+Inputs!$C$6)^(4.55))</f>
        <v>1120172.3517340727</v>
      </c>
      <c r="X150" s="208">
        <f>SUM(X3:X149)</f>
        <v>0</v>
      </c>
      <c r="Y150" s="208">
        <f>SUM(Y3:Y149)</f>
        <v>2954570.6787777352</v>
      </c>
      <c r="Z150" s="208">
        <f t="shared" ref="Z150:AC150" si="38">SUM(Z3:Z149)</f>
        <v>2203931.8884096369</v>
      </c>
      <c r="AA150" s="208">
        <f t="shared" si="38"/>
        <v>1462410.3169242521</v>
      </c>
      <c r="AB150" s="208">
        <f t="shared" si="38"/>
        <v>1448866.3357932586</v>
      </c>
      <c r="AC150" s="208">
        <f t="shared" si="38"/>
        <v>1417538.3158827901</v>
      </c>
      <c r="AE150" s="208">
        <f t="shared" ref="AE150" si="39">SUM(AE3:AE149)</f>
        <v>0</v>
      </c>
      <c r="AF150" s="208">
        <f t="shared" ref="AF150" si="40">SUM(AF3:AF149)</f>
        <v>2954570.6787777352</v>
      </c>
      <c r="AG150" s="208">
        <f t="shared" ref="AG150" si="41">SUM(AG3:AG149)</f>
        <v>2203931.8884096369</v>
      </c>
      <c r="AH150" s="208">
        <f t="shared" ref="AH150" si="42">SUM(AH3:AH149)</f>
        <v>1462410.3169242521</v>
      </c>
      <c r="AI150" s="208">
        <f t="shared" ref="AI150" si="43">SUM(AI3:AI149)</f>
        <v>1448866.3357932586</v>
      </c>
      <c r="AJ150" s="208">
        <f t="shared" ref="AJ150" si="44">SUM(AJ3:AJ149)</f>
        <v>1417538.3158827901</v>
      </c>
    </row>
    <row r="153" spans="1:36">
      <c r="B153" s="195" t="s">
        <v>4749</v>
      </c>
      <c r="C153" s="196"/>
      <c r="D153" s="196"/>
      <c r="E153" s="196"/>
      <c r="F153" s="242">
        <f t="shared" ref="F153:K153" si="45">+F2</f>
        <v>2022</v>
      </c>
      <c r="G153" s="243">
        <f t="shared" si="45"/>
        <v>2023</v>
      </c>
      <c r="H153" s="243">
        <f t="shared" si="45"/>
        <v>2024</v>
      </c>
      <c r="I153" s="244">
        <f t="shared" si="45"/>
        <v>2025</v>
      </c>
      <c r="J153" s="244">
        <f t="shared" si="45"/>
        <v>2026</v>
      </c>
      <c r="K153" s="244">
        <f t="shared" si="45"/>
        <v>2027</v>
      </c>
      <c r="M153" s="242">
        <f t="shared" ref="M153:R153" si="46">+M2</f>
        <v>2022</v>
      </c>
      <c r="N153" s="243">
        <f t="shared" si="46"/>
        <v>2023</v>
      </c>
      <c r="O153" s="243">
        <f t="shared" si="46"/>
        <v>2024</v>
      </c>
      <c r="P153" s="244">
        <f t="shared" si="46"/>
        <v>2025</v>
      </c>
      <c r="Q153" s="244">
        <f t="shared" si="46"/>
        <v>2026</v>
      </c>
      <c r="R153" s="244">
        <f t="shared" si="46"/>
        <v>2027</v>
      </c>
      <c r="T153" s="245" t="s">
        <v>8</v>
      </c>
      <c r="X153" s="242">
        <f t="shared" ref="X153:AC153" si="47">+X2</f>
        <v>2022</v>
      </c>
      <c r="Y153" s="243">
        <f t="shared" si="47"/>
        <v>2023</v>
      </c>
      <c r="Z153" s="243">
        <f t="shared" si="47"/>
        <v>2024</v>
      </c>
      <c r="AA153" s="244">
        <f t="shared" si="47"/>
        <v>2025</v>
      </c>
      <c r="AB153" s="244">
        <f t="shared" si="47"/>
        <v>2026</v>
      </c>
      <c r="AC153" s="244">
        <f t="shared" si="47"/>
        <v>2027</v>
      </c>
      <c r="AE153" s="242">
        <f t="shared" ref="AE153:AJ153" si="48">+AE2</f>
        <v>2022</v>
      </c>
      <c r="AF153" s="243">
        <f t="shared" si="48"/>
        <v>2023</v>
      </c>
      <c r="AG153" s="243">
        <f t="shared" si="48"/>
        <v>2024</v>
      </c>
      <c r="AH153" s="244">
        <f t="shared" si="48"/>
        <v>2025</v>
      </c>
      <c r="AI153" s="244">
        <f t="shared" si="48"/>
        <v>2026</v>
      </c>
      <c r="AJ153" s="244">
        <f t="shared" si="48"/>
        <v>2027</v>
      </c>
    </row>
    <row r="154" spans="1:36">
      <c r="A154" s="50">
        <v>1</v>
      </c>
      <c r="B154" s="50" t="s">
        <v>47</v>
      </c>
      <c r="F154" s="51">
        <f>SUMIFS(F$3:F$149,$B$3:$B$149,$B154)</f>
        <v>0</v>
      </c>
      <c r="G154" s="51">
        <f t="shared" ref="G154:K154" si="49">SUMIFS(G$3:G$149,$B$3:$B$149,$B154)</f>
        <v>31065.920773672577</v>
      </c>
      <c r="H154" s="51">
        <f t="shared" si="49"/>
        <v>30772.213686330837</v>
      </c>
      <c r="I154" s="51">
        <f t="shared" si="49"/>
        <v>30602.421186693846</v>
      </c>
      <c r="J154" s="51">
        <f t="shared" si="49"/>
        <v>30560.053719179363</v>
      </c>
      <c r="K154" s="51">
        <f t="shared" si="49"/>
        <v>30508.919462192673</v>
      </c>
      <c r="M154" s="51">
        <f>SUMIFS(M$3:M$149,$B$3:$B$149,$B154)</f>
        <v>0</v>
      </c>
      <c r="N154" s="51">
        <f t="shared" ref="N154:R154" si="50">SUMIFS(N$3:N$149,$B$3:$B$149,$B154)</f>
        <v>31065.920773672577</v>
      </c>
      <c r="O154" s="51">
        <f t="shared" si="50"/>
        <v>30772.213686330837</v>
      </c>
      <c r="P154" s="51">
        <f t="shared" si="50"/>
        <v>30602.421186693846</v>
      </c>
      <c r="Q154" s="51">
        <f t="shared" si="50"/>
        <v>30560.053719179363</v>
      </c>
      <c r="R154" s="51">
        <f t="shared" si="50"/>
        <v>30508.919462192673</v>
      </c>
      <c r="T154" s="51">
        <f>NPV(Inputs!$C$6,'Vendas Vigente'!N154:Q154)+((R154*Inputs!$C$11)/(1+Inputs!$C$6)^(4.55))</f>
        <v>111245.29765935609</v>
      </c>
      <c r="X154" s="51">
        <f>SUMIFS(X$3:X$149,$B$3:$B$149,$B154)</f>
        <v>0</v>
      </c>
      <c r="Y154" s="51">
        <f t="shared" ref="Y154:AC154" si="51">SUMIFS(Y$3:Y$149,$B$3:$B$149,$B154)</f>
        <v>56289.278744283794</v>
      </c>
      <c r="Z154" s="51">
        <f t="shared" si="51"/>
        <v>55829.815622119233</v>
      </c>
      <c r="AA154" s="51">
        <f t="shared" si="51"/>
        <v>55589.37742434525</v>
      </c>
      <c r="AB154" s="51">
        <f t="shared" si="51"/>
        <v>55575.991681561318</v>
      </c>
      <c r="AC154" s="51">
        <f t="shared" si="51"/>
        <v>55543.14508429711</v>
      </c>
      <c r="AE154" s="51">
        <f>SUMIFS(AE$3:AE$149,$B$3:$B$149,$B154)</f>
        <v>0</v>
      </c>
      <c r="AF154" s="51">
        <f t="shared" ref="AF154:AJ154" si="52">SUMIFS(AF$3:AF$149,$B$3:$B$149,$B154)</f>
        <v>56289.278744283794</v>
      </c>
      <c r="AG154" s="51">
        <f t="shared" si="52"/>
        <v>55829.815622119233</v>
      </c>
      <c r="AH154" s="51">
        <f t="shared" si="52"/>
        <v>55589.37742434525</v>
      </c>
      <c r="AI154" s="51">
        <f t="shared" si="52"/>
        <v>55575.991681561318</v>
      </c>
      <c r="AJ154" s="51">
        <f t="shared" si="52"/>
        <v>55543.14508429711</v>
      </c>
    </row>
    <row r="155" spans="1:36">
      <c r="A155" s="50">
        <v>1</v>
      </c>
      <c r="B155" s="50" t="s">
        <v>4597</v>
      </c>
      <c r="F155" s="51">
        <f t="shared" ref="F155:K175" si="53">SUMIFS(F$3:F$149,$B$3:$B$149,$B155)</f>
        <v>0</v>
      </c>
      <c r="G155" s="51">
        <f t="shared" si="53"/>
        <v>151.8797533928946</v>
      </c>
      <c r="H155" s="51">
        <f t="shared" si="53"/>
        <v>118.09290996020016</v>
      </c>
      <c r="I155" s="51">
        <f t="shared" si="53"/>
        <v>155.15507394972082</v>
      </c>
      <c r="J155" s="51">
        <f t="shared" si="53"/>
        <v>157.66843099468008</v>
      </c>
      <c r="K155" s="51">
        <f t="shared" si="53"/>
        <v>160.00976992587792</v>
      </c>
      <c r="M155" s="51">
        <f t="shared" ref="M155:R175" si="54">SUMIFS(M$3:M$149,$B$3:$B$149,$B155)</f>
        <v>0</v>
      </c>
      <c r="N155" s="51">
        <f t="shared" si="54"/>
        <v>151.8797533928946</v>
      </c>
      <c r="O155" s="51">
        <f t="shared" si="54"/>
        <v>118.09290996020016</v>
      </c>
      <c r="P155" s="51">
        <f t="shared" si="54"/>
        <v>155.15507394972082</v>
      </c>
      <c r="Q155" s="51">
        <f t="shared" si="54"/>
        <v>157.66843099468008</v>
      </c>
      <c r="R155" s="51">
        <f t="shared" si="54"/>
        <v>160.00976992587792</v>
      </c>
      <c r="T155" s="51">
        <f>NPV(Inputs!$C$6,'Vendas Vigente'!N155:Q155)+((R155*Inputs!$C$11)/(1+Inputs!$C$6)^(4.55))</f>
        <v>530.81364953557124</v>
      </c>
      <c r="X155" s="51">
        <f t="shared" ref="X155:AC175" si="55">SUMIFS(X$3:X$149,$B$3:$B$149,$B155)</f>
        <v>0</v>
      </c>
      <c r="Y155" s="51">
        <f t="shared" si="55"/>
        <v>336.61275805834504</v>
      </c>
      <c r="Z155" s="51">
        <f t="shared" si="55"/>
        <v>266.08372223317321</v>
      </c>
      <c r="AA155" s="51">
        <f t="shared" si="55"/>
        <v>347.33324839719916</v>
      </c>
      <c r="AB155" s="51">
        <f t="shared" si="55"/>
        <v>350.85191743993096</v>
      </c>
      <c r="AC155" s="51">
        <f t="shared" si="55"/>
        <v>354.07904913191021</v>
      </c>
      <c r="AE155" s="51">
        <f t="shared" ref="AE155:AJ175" si="56">SUMIFS(AE$3:AE$149,$B$3:$B$149,$B155)</f>
        <v>0</v>
      </c>
      <c r="AF155" s="51">
        <f t="shared" si="56"/>
        <v>336.61275805834504</v>
      </c>
      <c r="AG155" s="51">
        <f t="shared" si="56"/>
        <v>266.08372223317321</v>
      </c>
      <c r="AH155" s="51">
        <f t="shared" si="56"/>
        <v>347.33324839719916</v>
      </c>
      <c r="AI155" s="51">
        <f t="shared" si="56"/>
        <v>350.85191743993096</v>
      </c>
      <c r="AJ155" s="51">
        <f t="shared" si="56"/>
        <v>354.07904913191021</v>
      </c>
    </row>
    <row r="156" spans="1:36">
      <c r="A156" s="50">
        <v>2</v>
      </c>
      <c r="B156" s="50" t="s">
        <v>17</v>
      </c>
      <c r="F156" s="51">
        <f t="shared" si="53"/>
        <v>0</v>
      </c>
      <c r="G156" s="51">
        <f t="shared" si="53"/>
        <v>10901.948008972391</v>
      </c>
      <c r="H156" s="51">
        <f t="shared" si="53"/>
        <v>10907.896799419072</v>
      </c>
      <c r="I156" s="51">
        <f t="shared" si="53"/>
        <v>10591.734934515911</v>
      </c>
      <c r="J156" s="51">
        <f t="shared" si="53"/>
        <v>10395.576548648343</v>
      </c>
      <c r="K156" s="51">
        <f t="shared" si="53"/>
        <v>10377.23493584883</v>
      </c>
      <c r="M156" s="51">
        <f t="shared" si="54"/>
        <v>0</v>
      </c>
      <c r="N156" s="51">
        <f t="shared" si="54"/>
        <v>10901.948008972391</v>
      </c>
      <c r="O156" s="51">
        <f t="shared" si="54"/>
        <v>10907.896799419072</v>
      </c>
      <c r="P156" s="51">
        <f t="shared" si="54"/>
        <v>10591.734934515911</v>
      </c>
      <c r="Q156" s="51">
        <f t="shared" si="54"/>
        <v>10395.576548648343</v>
      </c>
      <c r="R156" s="51">
        <f t="shared" si="54"/>
        <v>10377.23493584883</v>
      </c>
      <c r="T156" s="51">
        <f>NPV(Inputs!$C$6,'Vendas Vigente'!N156:Q156)+((R156*Inputs!$C$11)/(1+Inputs!$C$6)^(4.55))</f>
        <v>38660.400191168032</v>
      </c>
      <c r="X156" s="51">
        <f t="shared" si="55"/>
        <v>0</v>
      </c>
      <c r="Y156" s="51">
        <f t="shared" si="55"/>
        <v>26066.226034118816</v>
      </c>
      <c r="Z156" s="51">
        <f t="shared" si="55"/>
        <v>26154.112744445116</v>
      </c>
      <c r="AA156" s="51">
        <f t="shared" si="55"/>
        <v>25475.461831288667</v>
      </c>
      <c r="AB156" s="51">
        <f t="shared" si="55"/>
        <v>25003.6575893064</v>
      </c>
      <c r="AC156" s="51">
        <f t="shared" si="55"/>
        <v>24959.541959554786</v>
      </c>
      <c r="AE156" s="51">
        <f t="shared" si="56"/>
        <v>0</v>
      </c>
      <c r="AF156" s="51">
        <f t="shared" si="56"/>
        <v>26066.226034118816</v>
      </c>
      <c r="AG156" s="51">
        <f t="shared" si="56"/>
        <v>26154.112744445116</v>
      </c>
      <c r="AH156" s="51">
        <f t="shared" si="56"/>
        <v>25475.461831288667</v>
      </c>
      <c r="AI156" s="51">
        <f t="shared" si="56"/>
        <v>25003.6575893064</v>
      </c>
      <c r="AJ156" s="51">
        <f t="shared" si="56"/>
        <v>24959.541959554786</v>
      </c>
    </row>
    <row r="157" spans="1:36">
      <c r="A157" s="50">
        <v>2</v>
      </c>
      <c r="B157" s="50" t="s">
        <v>103</v>
      </c>
      <c r="F157" s="51">
        <f t="shared" si="53"/>
        <v>0</v>
      </c>
      <c r="G157" s="51">
        <f t="shared" si="53"/>
        <v>307.32053498600942</v>
      </c>
      <c r="H157" s="51">
        <f t="shared" si="53"/>
        <v>354.49612174102327</v>
      </c>
      <c r="I157" s="51">
        <f t="shared" si="53"/>
        <v>347.20837634144522</v>
      </c>
      <c r="J157" s="51">
        <f t="shared" si="53"/>
        <v>340.77809508120617</v>
      </c>
      <c r="K157" s="51">
        <f t="shared" si="53"/>
        <v>340.17683743654487</v>
      </c>
      <c r="M157" s="51">
        <f t="shared" si="54"/>
        <v>0</v>
      </c>
      <c r="N157" s="51">
        <f t="shared" si="54"/>
        <v>307.32053498600942</v>
      </c>
      <c r="O157" s="51">
        <f t="shared" si="54"/>
        <v>354.49612174102327</v>
      </c>
      <c r="P157" s="51">
        <f t="shared" si="54"/>
        <v>347.20837634144522</v>
      </c>
      <c r="Q157" s="51">
        <f t="shared" si="54"/>
        <v>340.77809508120617</v>
      </c>
      <c r="R157" s="51">
        <f t="shared" si="54"/>
        <v>340.17683743654487</v>
      </c>
      <c r="T157" s="51">
        <f>NPV(Inputs!$C$6,'Vendas Vigente'!N157:Q157)+((R157*Inputs!$C$11)/(1+Inputs!$C$6)^(4.55))</f>
        <v>1218.7785078584436</v>
      </c>
      <c r="X157" s="51">
        <f t="shared" si="55"/>
        <v>0</v>
      </c>
      <c r="Y157" s="51">
        <f t="shared" si="55"/>
        <v>867.91413702836576</v>
      </c>
      <c r="Z157" s="51">
        <f t="shared" si="55"/>
        <v>988.71731614570979</v>
      </c>
      <c r="AA157" s="51">
        <f t="shared" si="55"/>
        <v>944.52472994918276</v>
      </c>
      <c r="AB157" s="51">
        <f t="shared" si="55"/>
        <v>927.03218056191849</v>
      </c>
      <c r="AC157" s="51">
        <f t="shared" si="55"/>
        <v>925.39655552188469</v>
      </c>
      <c r="AE157" s="51">
        <f t="shared" si="56"/>
        <v>0</v>
      </c>
      <c r="AF157" s="51">
        <f t="shared" si="56"/>
        <v>867.91413702836576</v>
      </c>
      <c r="AG157" s="51">
        <f t="shared" si="56"/>
        <v>988.71731614570979</v>
      </c>
      <c r="AH157" s="51">
        <f t="shared" si="56"/>
        <v>944.52472994918276</v>
      </c>
      <c r="AI157" s="51">
        <f t="shared" si="56"/>
        <v>927.03218056191849</v>
      </c>
      <c r="AJ157" s="51">
        <f t="shared" si="56"/>
        <v>925.39655552188469</v>
      </c>
    </row>
    <row r="158" spans="1:36">
      <c r="A158" s="50">
        <v>3</v>
      </c>
      <c r="B158" s="50" t="s">
        <v>105</v>
      </c>
      <c r="F158" s="51">
        <f t="shared" si="53"/>
        <v>0</v>
      </c>
      <c r="G158" s="51">
        <f t="shared" si="53"/>
        <v>4.4818816204536651E-3</v>
      </c>
      <c r="H158" s="51">
        <f t="shared" si="53"/>
        <v>0</v>
      </c>
      <c r="I158" s="51">
        <f t="shared" si="53"/>
        <v>0</v>
      </c>
      <c r="J158" s="51">
        <f t="shared" si="53"/>
        <v>0</v>
      </c>
      <c r="K158" s="51">
        <f t="shared" si="53"/>
        <v>0</v>
      </c>
      <c r="M158" s="51">
        <f t="shared" si="54"/>
        <v>0</v>
      </c>
      <c r="N158" s="51">
        <f t="shared" si="54"/>
        <v>4.4818816204536651E-3</v>
      </c>
      <c r="O158" s="51">
        <f t="shared" si="54"/>
        <v>0</v>
      </c>
      <c r="P158" s="51">
        <f t="shared" si="54"/>
        <v>0</v>
      </c>
      <c r="Q158" s="51">
        <f t="shared" si="54"/>
        <v>0</v>
      </c>
      <c r="R158" s="51">
        <f t="shared" si="54"/>
        <v>0</v>
      </c>
      <c r="T158" s="51">
        <f>NPV(Inputs!$C$6,'Vendas Vigente'!N158:Q158)+((R158*Inputs!$C$11)/(1+Inputs!$C$6)^(4.55))</f>
        <v>4.1148380650511069E-3</v>
      </c>
      <c r="X158" s="51">
        <f t="shared" si="55"/>
        <v>0</v>
      </c>
      <c r="Y158" s="51">
        <f t="shared" si="55"/>
        <v>1.4756908857406631E-2</v>
      </c>
      <c r="Z158" s="51">
        <f t="shared" si="55"/>
        <v>0</v>
      </c>
      <c r="AA158" s="51">
        <f t="shared" si="55"/>
        <v>0</v>
      </c>
      <c r="AB158" s="51">
        <f t="shared" si="55"/>
        <v>0</v>
      </c>
      <c r="AC158" s="51">
        <f t="shared" si="55"/>
        <v>0</v>
      </c>
      <c r="AE158" s="51">
        <f t="shared" si="56"/>
        <v>0</v>
      </c>
      <c r="AF158" s="51">
        <f t="shared" si="56"/>
        <v>1.4756908857406631E-2</v>
      </c>
      <c r="AG158" s="51">
        <f t="shared" si="56"/>
        <v>0</v>
      </c>
      <c r="AH158" s="51">
        <f t="shared" si="56"/>
        <v>0</v>
      </c>
      <c r="AI158" s="51">
        <f t="shared" si="56"/>
        <v>0</v>
      </c>
      <c r="AJ158" s="51">
        <f t="shared" si="56"/>
        <v>0</v>
      </c>
    </row>
    <row r="159" spans="1:36">
      <c r="A159" s="50">
        <v>2</v>
      </c>
      <c r="B159" s="50" t="s">
        <v>104</v>
      </c>
      <c r="F159" s="51">
        <f t="shared" si="53"/>
        <v>0</v>
      </c>
      <c r="G159" s="51">
        <f t="shared" si="53"/>
        <v>199.86841887819804</v>
      </c>
      <c r="H159" s="51">
        <f t="shared" si="53"/>
        <v>215.68404990430241</v>
      </c>
      <c r="I159" s="51">
        <f t="shared" si="53"/>
        <v>166.03948440793289</v>
      </c>
      <c r="J159" s="51">
        <f t="shared" si="53"/>
        <v>162.96444170217131</v>
      </c>
      <c r="K159" s="51">
        <f t="shared" si="53"/>
        <v>162.67691260979223</v>
      </c>
      <c r="M159" s="51">
        <f t="shared" si="54"/>
        <v>0</v>
      </c>
      <c r="N159" s="51">
        <f t="shared" si="54"/>
        <v>199.86841887819804</v>
      </c>
      <c r="O159" s="51">
        <f t="shared" si="54"/>
        <v>215.68404990430241</v>
      </c>
      <c r="P159" s="51">
        <f t="shared" si="54"/>
        <v>166.03948440793289</v>
      </c>
      <c r="Q159" s="51">
        <f t="shared" si="54"/>
        <v>162.96444170217131</v>
      </c>
      <c r="R159" s="51">
        <f t="shared" si="54"/>
        <v>162.67691260979223</v>
      </c>
      <c r="T159" s="51">
        <f>NPV(Inputs!$C$6,'Vendas Vigente'!N159:Q159)+((R159*Inputs!$C$11)/(1+Inputs!$C$6)^(4.55))</f>
        <v>670.31531510558546</v>
      </c>
      <c r="X159" s="51">
        <f t="shared" si="55"/>
        <v>0</v>
      </c>
      <c r="Y159" s="51">
        <f t="shared" si="55"/>
        <v>1030.0871820365378</v>
      </c>
      <c r="Z159" s="51">
        <f t="shared" si="55"/>
        <v>954.22240803714044</v>
      </c>
      <c r="AA159" s="51">
        <f t="shared" si="55"/>
        <v>847.6748664682741</v>
      </c>
      <c r="AB159" s="51">
        <f t="shared" si="55"/>
        <v>831.97597156815152</v>
      </c>
      <c r="AC159" s="51">
        <f t="shared" si="55"/>
        <v>830.50806057181649</v>
      </c>
      <c r="AE159" s="51">
        <f t="shared" si="56"/>
        <v>0</v>
      </c>
      <c r="AF159" s="51">
        <f t="shared" si="56"/>
        <v>1030.0871820365378</v>
      </c>
      <c r="AG159" s="51">
        <f t="shared" si="56"/>
        <v>954.22240803714044</v>
      </c>
      <c r="AH159" s="51">
        <f t="shared" si="56"/>
        <v>847.6748664682741</v>
      </c>
      <c r="AI159" s="51">
        <f t="shared" si="56"/>
        <v>831.97597156815152</v>
      </c>
      <c r="AJ159" s="51">
        <f t="shared" si="56"/>
        <v>830.50806057181649</v>
      </c>
    </row>
    <row r="160" spans="1:36">
      <c r="A160" s="50">
        <v>4</v>
      </c>
      <c r="B160" s="50" t="s">
        <v>19</v>
      </c>
      <c r="F160" s="51">
        <f t="shared" si="53"/>
        <v>0</v>
      </c>
      <c r="G160" s="51">
        <f t="shared" si="53"/>
        <v>56053.516500856545</v>
      </c>
      <c r="H160" s="51">
        <f t="shared" si="53"/>
        <v>48837.575472622339</v>
      </c>
      <c r="I160" s="51">
        <f t="shared" si="53"/>
        <v>42977.066415907655</v>
      </c>
      <c r="J160" s="51">
        <f t="shared" si="53"/>
        <v>39968.671766794119</v>
      </c>
      <c r="K160" s="51">
        <f t="shared" si="53"/>
        <v>38769.611613790294</v>
      </c>
      <c r="M160" s="51">
        <f t="shared" si="54"/>
        <v>0</v>
      </c>
      <c r="N160" s="51">
        <f t="shared" si="54"/>
        <v>56053.516500856545</v>
      </c>
      <c r="O160" s="51">
        <f t="shared" si="54"/>
        <v>48837.575472622339</v>
      </c>
      <c r="P160" s="51">
        <f t="shared" si="54"/>
        <v>42977.066415907655</v>
      </c>
      <c r="Q160" s="51">
        <f t="shared" si="54"/>
        <v>39968.671766794119</v>
      </c>
      <c r="R160" s="51">
        <f t="shared" si="54"/>
        <v>38769.611613790294</v>
      </c>
      <c r="T160" s="51">
        <f>NPV(Inputs!$C$6,'Vendas Vigente'!N160:Q160)+((R160*Inputs!$C$11)/(1+Inputs!$C$6)^(4.55))</f>
        <v>168759.36129498819</v>
      </c>
      <c r="X160" s="51">
        <f t="shared" si="55"/>
        <v>0</v>
      </c>
      <c r="Y160" s="51">
        <f t="shared" si="55"/>
        <v>665898.08537423017</v>
      </c>
      <c r="Z160" s="51">
        <f t="shared" si="55"/>
        <v>580174.98333118379</v>
      </c>
      <c r="AA160" s="51">
        <f t="shared" si="55"/>
        <v>510553.98533144168</v>
      </c>
      <c r="AB160" s="51">
        <f t="shared" si="55"/>
        <v>474815.20635824074</v>
      </c>
      <c r="AC160" s="51">
        <f t="shared" si="55"/>
        <v>460570.75016749359</v>
      </c>
      <c r="AE160" s="51">
        <f t="shared" si="56"/>
        <v>0</v>
      </c>
      <c r="AF160" s="51">
        <f t="shared" si="56"/>
        <v>665898.08537423017</v>
      </c>
      <c r="AG160" s="51">
        <f t="shared" si="56"/>
        <v>580174.98333118379</v>
      </c>
      <c r="AH160" s="51">
        <f t="shared" si="56"/>
        <v>510553.98533144168</v>
      </c>
      <c r="AI160" s="51">
        <f t="shared" si="56"/>
        <v>474815.20635824074</v>
      </c>
      <c r="AJ160" s="51">
        <f t="shared" si="56"/>
        <v>460570.75016749359</v>
      </c>
    </row>
    <row r="161" spans="1:36">
      <c r="A161" s="50">
        <v>4</v>
      </c>
      <c r="B161" s="50" t="s">
        <v>148</v>
      </c>
      <c r="F161" s="51">
        <f t="shared" si="53"/>
        <v>0</v>
      </c>
      <c r="G161" s="51">
        <f t="shared" si="53"/>
        <v>0</v>
      </c>
      <c r="H161" s="51">
        <f t="shared" si="53"/>
        <v>0</v>
      </c>
      <c r="I161" s="51">
        <f t="shared" si="53"/>
        <v>0</v>
      </c>
      <c r="J161" s="51">
        <f t="shared" si="53"/>
        <v>0</v>
      </c>
      <c r="K161" s="51">
        <f t="shared" si="53"/>
        <v>0</v>
      </c>
      <c r="M161" s="51">
        <f t="shared" si="54"/>
        <v>0</v>
      </c>
      <c r="N161" s="51">
        <f t="shared" si="54"/>
        <v>0</v>
      </c>
      <c r="O161" s="51">
        <f t="shared" si="54"/>
        <v>0</v>
      </c>
      <c r="P161" s="51">
        <f t="shared" si="54"/>
        <v>0</v>
      </c>
      <c r="Q161" s="51">
        <f t="shared" si="54"/>
        <v>0</v>
      </c>
      <c r="R161" s="51">
        <f t="shared" si="54"/>
        <v>0</v>
      </c>
      <c r="T161" s="51">
        <f>NPV(Inputs!$C$6,'Vendas Vigente'!N161:Q161)+((R161*Inputs!$C$11)/(1+Inputs!$C$6)^(4.55))</f>
        <v>0</v>
      </c>
      <c r="X161" s="51">
        <f t="shared" si="55"/>
        <v>0</v>
      </c>
      <c r="Y161" s="51">
        <f t="shared" si="55"/>
        <v>0</v>
      </c>
      <c r="Z161" s="51">
        <f t="shared" si="55"/>
        <v>0</v>
      </c>
      <c r="AA161" s="51">
        <f t="shared" si="55"/>
        <v>0</v>
      </c>
      <c r="AB161" s="51">
        <f t="shared" si="55"/>
        <v>0</v>
      </c>
      <c r="AC161" s="51">
        <f t="shared" si="55"/>
        <v>0</v>
      </c>
      <c r="AE161" s="51">
        <f t="shared" si="56"/>
        <v>0</v>
      </c>
      <c r="AF161" s="51">
        <f t="shared" si="56"/>
        <v>0</v>
      </c>
      <c r="AG161" s="51">
        <f t="shared" si="56"/>
        <v>0</v>
      </c>
      <c r="AH161" s="51">
        <f t="shared" si="56"/>
        <v>0</v>
      </c>
      <c r="AI161" s="51">
        <f t="shared" si="56"/>
        <v>0</v>
      </c>
      <c r="AJ161" s="51">
        <f t="shared" si="56"/>
        <v>0</v>
      </c>
    </row>
    <row r="162" spans="1:36">
      <c r="A162" s="50">
        <v>3</v>
      </c>
      <c r="B162" s="50" t="s">
        <v>18</v>
      </c>
      <c r="F162" s="51">
        <f t="shared" si="53"/>
        <v>0</v>
      </c>
      <c r="G162" s="51">
        <f t="shared" si="53"/>
        <v>177121.535056361</v>
      </c>
      <c r="H162" s="51">
        <f t="shared" si="53"/>
        <v>115425.31651243396</v>
      </c>
      <c r="I162" s="51">
        <f t="shared" si="53"/>
        <v>69677.719505655768</v>
      </c>
      <c r="J162" s="51">
        <f t="shared" si="53"/>
        <v>68848.256020141154</v>
      </c>
      <c r="K162" s="51">
        <f t="shared" si="53"/>
        <v>67062.752219385759</v>
      </c>
      <c r="M162" s="51">
        <f t="shared" si="54"/>
        <v>0</v>
      </c>
      <c r="N162" s="51">
        <f t="shared" si="54"/>
        <v>177121.535056361</v>
      </c>
      <c r="O162" s="51">
        <f t="shared" si="54"/>
        <v>115425.31651243396</v>
      </c>
      <c r="P162" s="51">
        <f t="shared" si="54"/>
        <v>69677.719505655768</v>
      </c>
      <c r="Q162" s="51">
        <f t="shared" si="54"/>
        <v>68848.256020141154</v>
      </c>
      <c r="R162" s="51">
        <f t="shared" si="54"/>
        <v>67062.752219385759</v>
      </c>
      <c r="T162" s="51">
        <f>NPV(Inputs!$C$6,'Vendas Vigente'!N162:Q162)+((R162*Inputs!$C$11)/(1+Inputs!$C$6)^(4.55))</f>
        <v>387784.8756635125</v>
      </c>
      <c r="X162" s="51">
        <f t="shared" si="55"/>
        <v>0</v>
      </c>
      <c r="Y162" s="51">
        <f t="shared" si="55"/>
        <v>2037765.5872667821</v>
      </c>
      <c r="Z162" s="51">
        <f t="shared" si="55"/>
        <v>1241552.7222866551</v>
      </c>
      <c r="AA162" s="51">
        <f t="shared" si="55"/>
        <v>605615.84654575749</v>
      </c>
      <c r="AB162" s="51">
        <f t="shared" si="55"/>
        <v>591266.66602999344</v>
      </c>
      <c r="AC162" s="51">
        <f t="shared" si="55"/>
        <v>575980.41981048568</v>
      </c>
      <c r="AE162" s="51">
        <f t="shared" si="56"/>
        <v>0</v>
      </c>
      <c r="AF162" s="51">
        <f t="shared" si="56"/>
        <v>2037765.5872667821</v>
      </c>
      <c r="AG162" s="51">
        <f t="shared" si="56"/>
        <v>1241552.7222866551</v>
      </c>
      <c r="AH162" s="51">
        <f t="shared" si="56"/>
        <v>605615.84654575749</v>
      </c>
      <c r="AI162" s="51">
        <f t="shared" si="56"/>
        <v>591266.66602999344</v>
      </c>
      <c r="AJ162" s="51">
        <f t="shared" si="56"/>
        <v>575980.41981048568</v>
      </c>
    </row>
    <row r="163" spans="1:36">
      <c r="A163" s="50">
        <v>3</v>
      </c>
      <c r="B163" s="50" t="s">
        <v>106</v>
      </c>
      <c r="F163" s="51">
        <f t="shared" si="53"/>
        <v>0</v>
      </c>
      <c r="G163" s="51">
        <f t="shared" si="53"/>
        <v>10908.418700348917</v>
      </c>
      <c r="H163" s="51">
        <f t="shared" si="53"/>
        <v>11682.838698869617</v>
      </c>
      <c r="I163" s="51">
        <f t="shared" si="53"/>
        <v>11682.838698869617</v>
      </c>
      <c r="J163" s="51">
        <f t="shared" si="53"/>
        <v>11682.838698869617</v>
      </c>
      <c r="K163" s="51">
        <f t="shared" si="53"/>
        <v>11682.838698869617</v>
      </c>
      <c r="M163" s="51">
        <f t="shared" si="54"/>
        <v>0</v>
      </c>
      <c r="N163" s="51">
        <f t="shared" si="54"/>
        <v>10908.418700348917</v>
      </c>
      <c r="O163" s="51">
        <f t="shared" si="54"/>
        <v>11682.838698869617</v>
      </c>
      <c r="P163" s="51">
        <f t="shared" si="54"/>
        <v>11682.838698869617</v>
      </c>
      <c r="Q163" s="51">
        <f t="shared" si="54"/>
        <v>11682.838698869617</v>
      </c>
      <c r="R163" s="51">
        <f t="shared" si="54"/>
        <v>11682.838698869617</v>
      </c>
      <c r="T163" s="51">
        <f>NPV(Inputs!$C$6,'Vendas Vigente'!N163:Q163)+((R163*Inputs!$C$11)/(1+Inputs!$C$6)^(4.55))</f>
        <v>41565.941825325972</v>
      </c>
      <c r="X163" s="51">
        <f t="shared" si="55"/>
        <v>0</v>
      </c>
      <c r="Y163" s="51">
        <f t="shared" si="55"/>
        <v>107620.44057284843</v>
      </c>
      <c r="Z163" s="51">
        <f t="shared" si="55"/>
        <v>116882.06317969454</v>
      </c>
      <c r="AA163" s="51">
        <f t="shared" si="55"/>
        <v>116882.06317969454</v>
      </c>
      <c r="AB163" s="51">
        <f t="shared" si="55"/>
        <v>116882.06317969454</v>
      </c>
      <c r="AC163" s="51">
        <f t="shared" si="55"/>
        <v>116882.06317969454</v>
      </c>
      <c r="AE163" s="51">
        <f t="shared" si="56"/>
        <v>0</v>
      </c>
      <c r="AF163" s="51">
        <f t="shared" si="56"/>
        <v>107620.44057284843</v>
      </c>
      <c r="AG163" s="51">
        <f t="shared" si="56"/>
        <v>116882.06317969454</v>
      </c>
      <c r="AH163" s="51">
        <f t="shared" si="56"/>
        <v>116882.06317969454</v>
      </c>
      <c r="AI163" s="51">
        <f t="shared" si="56"/>
        <v>116882.06317969454</v>
      </c>
      <c r="AJ163" s="51">
        <f t="shared" si="56"/>
        <v>116882.06317969454</v>
      </c>
    </row>
    <row r="164" spans="1:36">
      <c r="A164" s="50">
        <v>3</v>
      </c>
      <c r="B164" s="50" t="s">
        <v>110</v>
      </c>
      <c r="F164" s="51">
        <f t="shared" si="53"/>
        <v>0</v>
      </c>
      <c r="G164" s="51">
        <f t="shared" si="53"/>
        <v>0</v>
      </c>
      <c r="H164" s="51">
        <f t="shared" si="53"/>
        <v>0</v>
      </c>
      <c r="I164" s="51">
        <f t="shared" si="53"/>
        <v>0</v>
      </c>
      <c r="J164" s="51">
        <f t="shared" si="53"/>
        <v>0</v>
      </c>
      <c r="K164" s="51">
        <f t="shared" si="53"/>
        <v>0</v>
      </c>
      <c r="M164" s="51">
        <f t="shared" si="54"/>
        <v>0</v>
      </c>
      <c r="N164" s="51">
        <f t="shared" si="54"/>
        <v>0</v>
      </c>
      <c r="O164" s="51">
        <f t="shared" si="54"/>
        <v>0</v>
      </c>
      <c r="P164" s="51">
        <f t="shared" si="54"/>
        <v>0</v>
      </c>
      <c r="Q164" s="51">
        <f t="shared" si="54"/>
        <v>0</v>
      </c>
      <c r="R164" s="51">
        <f t="shared" si="54"/>
        <v>0</v>
      </c>
      <c r="T164" s="51">
        <f>NPV(Inputs!$C$6,'Vendas Vigente'!N164:Q164)+((R164*Inputs!$C$11)/(1+Inputs!$C$6)^(4.55))</f>
        <v>0</v>
      </c>
      <c r="X164" s="51">
        <f t="shared" si="55"/>
        <v>0</v>
      </c>
      <c r="Y164" s="51">
        <f t="shared" si="55"/>
        <v>0</v>
      </c>
      <c r="Z164" s="51">
        <f t="shared" si="55"/>
        <v>0</v>
      </c>
      <c r="AA164" s="51">
        <f t="shared" si="55"/>
        <v>0</v>
      </c>
      <c r="AB164" s="51">
        <f t="shared" si="55"/>
        <v>0</v>
      </c>
      <c r="AC164" s="51">
        <f t="shared" si="55"/>
        <v>0</v>
      </c>
      <c r="AE164" s="51">
        <f t="shared" si="56"/>
        <v>0</v>
      </c>
      <c r="AF164" s="51">
        <f t="shared" si="56"/>
        <v>0</v>
      </c>
      <c r="AG164" s="51">
        <f t="shared" si="56"/>
        <v>0</v>
      </c>
      <c r="AH164" s="51">
        <f t="shared" si="56"/>
        <v>0</v>
      </c>
      <c r="AI164" s="51">
        <f t="shared" si="56"/>
        <v>0</v>
      </c>
      <c r="AJ164" s="51">
        <f t="shared" si="56"/>
        <v>0</v>
      </c>
    </row>
    <row r="165" spans="1:36">
      <c r="A165" s="50">
        <v>5</v>
      </c>
      <c r="B165" s="50" t="s">
        <v>111</v>
      </c>
      <c r="F165" s="51">
        <f t="shared" si="53"/>
        <v>0</v>
      </c>
      <c r="G165" s="51">
        <f t="shared" si="53"/>
        <v>12087.389862288826</v>
      </c>
      <c r="H165" s="51">
        <f t="shared" si="53"/>
        <v>45071.615229582952</v>
      </c>
      <c r="I165" s="51">
        <f t="shared" si="53"/>
        <v>0</v>
      </c>
      <c r="J165" s="51">
        <f t="shared" si="53"/>
        <v>0</v>
      </c>
      <c r="K165" s="51">
        <f t="shared" si="53"/>
        <v>0</v>
      </c>
      <c r="M165" s="51">
        <f t="shared" si="54"/>
        <v>0</v>
      </c>
      <c r="N165" s="51">
        <f t="shared" si="54"/>
        <v>12087.389862288826</v>
      </c>
      <c r="O165" s="51">
        <f t="shared" si="54"/>
        <v>45071.615229582952</v>
      </c>
      <c r="P165" s="51">
        <f t="shared" si="54"/>
        <v>0</v>
      </c>
      <c r="Q165" s="51">
        <f t="shared" si="54"/>
        <v>0</v>
      </c>
      <c r="R165" s="51">
        <f t="shared" si="54"/>
        <v>0</v>
      </c>
      <c r="T165" s="51">
        <f>NPV(Inputs!$C$6,'Vendas Vigente'!N165:Q165)+((R165*Inputs!$C$11)/(1+Inputs!$C$6)^(4.55))</f>
        <v>49089.11730589543</v>
      </c>
      <c r="X165" s="51">
        <f t="shared" si="55"/>
        <v>0</v>
      </c>
      <c r="Y165" s="51">
        <f t="shared" si="55"/>
        <v>12087.389862288826</v>
      </c>
      <c r="Z165" s="51">
        <f t="shared" si="55"/>
        <v>45071.615229582952</v>
      </c>
      <c r="AA165" s="51">
        <f t="shared" si="55"/>
        <v>0</v>
      </c>
      <c r="AB165" s="51">
        <f t="shared" si="55"/>
        <v>0</v>
      </c>
      <c r="AC165" s="51">
        <f t="shared" si="55"/>
        <v>0</v>
      </c>
      <c r="AE165" s="51">
        <f t="shared" si="56"/>
        <v>0</v>
      </c>
      <c r="AF165" s="51">
        <f t="shared" si="56"/>
        <v>12087.389862288826</v>
      </c>
      <c r="AG165" s="51">
        <f t="shared" si="56"/>
        <v>45071.615229582952</v>
      </c>
      <c r="AH165" s="51">
        <f t="shared" si="56"/>
        <v>0</v>
      </c>
      <c r="AI165" s="51">
        <f t="shared" si="56"/>
        <v>0</v>
      </c>
      <c r="AJ165" s="51">
        <f t="shared" si="56"/>
        <v>0</v>
      </c>
    </row>
    <row r="166" spans="1:36">
      <c r="A166" s="50">
        <v>1</v>
      </c>
      <c r="B166" s="50" t="s">
        <v>4632</v>
      </c>
      <c r="F166" s="51">
        <f t="shared" si="53"/>
        <v>0</v>
      </c>
      <c r="G166" s="51">
        <f t="shared" si="53"/>
        <v>0</v>
      </c>
      <c r="H166" s="51">
        <f t="shared" si="53"/>
        <v>0</v>
      </c>
      <c r="I166" s="51">
        <f t="shared" si="53"/>
        <v>0</v>
      </c>
      <c r="J166" s="51">
        <f t="shared" si="53"/>
        <v>0</v>
      </c>
      <c r="K166" s="51">
        <f t="shared" si="53"/>
        <v>0</v>
      </c>
      <c r="M166" s="51">
        <f t="shared" si="54"/>
        <v>0</v>
      </c>
      <c r="N166" s="51">
        <f t="shared" si="54"/>
        <v>0</v>
      </c>
      <c r="O166" s="51">
        <f t="shared" si="54"/>
        <v>0</v>
      </c>
      <c r="P166" s="51">
        <f t="shared" si="54"/>
        <v>0</v>
      </c>
      <c r="Q166" s="51">
        <f t="shared" si="54"/>
        <v>0</v>
      </c>
      <c r="R166" s="51">
        <f t="shared" si="54"/>
        <v>0</v>
      </c>
      <c r="T166" s="51">
        <f>NPV(Inputs!$C$6,'Vendas Vigente'!N166:Q166)+((R166*Inputs!$C$11)/(1+Inputs!$C$6)^(4.55))</f>
        <v>0</v>
      </c>
      <c r="X166" s="51">
        <f t="shared" si="55"/>
        <v>0</v>
      </c>
      <c r="Y166" s="51">
        <f t="shared" si="55"/>
        <v>0</v>
      </c>
      <c r="Z166" s="51">
        <f t="shared" si="55"/>
        <v>0</v>
      </c>
      <c r="AA166" s="51">
        <f t="shared" si="55"/>
        <v>0</v>
      </c>
      <c r="AB166" s="51">
        <f t="shared" si="55"/>
        <v>0</v>
      </c>
      <c r="AC166" s="51">
        <f t="shared" si="55"/>
        <v>0</v>
      </c>
      <c r="AE166" s="51">
        <f t="shared" si="56"/>
        <v>0</v>
      </c>
      <c r="AF166" s="51">
        <f t="shared" si="56"/>
        <v>0</v>
      </c>
      <c r="AG166" s="51">
        <f t="shared" si="56"/>
        <v>0</v>
      </c>
      <c r="AH166" s="51">
        <f t="shared" si="56"/>
        <v>0</v>
      </c>
      <c r="AI166" s="51">
        <f t="shared" si="56"/>
        <v>0</v>
      </c>
      <c r="AJ166" s="51">
        <f t="shared" si="56"/>
        <v>0</v>
      </c>
    </row>
    <row r="167" spans="1:36">
      <c r="A167" s="50">
        <v>3</v>
      </c>
      <c r="B167" s="50" t="s">
        <v>4633</v>
      </c>
      <c r="F167" s="51">
        <f t="shared" si="53"/>
        <v>0</v>
      </c>
      <c r="G167" s="51">
        <f t="shared" si="53"/>
        <v>0</v>
      </c>
      <c r="H167" s="51">
        <f t="shared" si="53"/>
        <v>0</v>
      </c>
      <c r="I167" s="51">
        <f t="shared" si="53"/>
        <v>0</v>
      </c>
      <c r="J167" s="51">
        <f t="shared" si="53"/>
        <v>0</v>
      </c>
      <c r="K167" s="51">
        <f t="shared" si="53"/>
        <v>0</v>
      </c>
      <c r="M167" s="51">
        <f t="shared" si="54"/>
        <v>0</v>
      </c>
      <c r="N167" s="51">
        <f t="shared" si="54"/>
        <v>0</v>
      </c>
      <c r="O167" s="51">
        <f t="shared" si="54"/>
        <v>0</v>
      </c>
      <c r="P167" s="51">
        <f t="shared" si="54"/>
        <v>0</v>
      </c>
      <c r="Q167" s="51">
        <f t="shared" si="54"/>
        <v>0</v>
      </c>
      <c r="R167" s="51">
        <f t="shared" si="54"/>
        <v>0</v>
      </c>
      <c r="T167" s="51">
        <f>NPV(Inputs!$C$6,'Vendas Vigente'!N167:Q167)+((R167*Inputs!$C$11)/(1+Inputs!$C$6)^(4.55))</f>
        <v>0</v>
      </c>
      <c r="X167" s="51">
        <f t="shared" si="55"/>
        <v>0</v>
      </c>
      <c r="Y167" s="51">
        <f t="shared" si="55"/>
        <v>0</v>
      </c>
      <c r="Z167" s="51">
        <f t="shared" si="55"/>
        <v>0</v>
      </c>
      <c r="AA167" s="51">
        <f t="shared" si="55"/>
        <v>0</v>
      </c>
      <c r="AB167" s="51">
        <f t="shared" si="55"/>
        <v>0</v>
      </c>
      <c r="AC167" s="51">
        <f t="shared" si="55"/>
        <v>0</v>
      </c>
      <c r="AE167" s="51">
        <f t="shared" si="56"/>
        <v>0</v>
      </c>
      <c r="AF167" s="51">
        <f t="shared" si="56"/>
        <v>0</v>
      </c>
      <c r="AG167" s="51">
        <f t="shared" si="56"/>
        <v>0</v>
      </c>
      <c r="AH167" s="51">
        <f t="shared" si="56"/>
        <v>0</v>
      </c>
      <c r="AI167" s="51">
        <f t="shared" si="56"/>
        <v>0</v>
      </c>
      <c r="AJ167" s="51">
        <f t="shared" si="56"/>
        <v>0</v>
      </c>
    </row>
    <row r="168" spans="1:36">
      <c r="A168" s="50">
        <v>5</v>
      </c>
      <c r="B168" s="50" t="s">
        <v>4635</v>
      </c>
      <c r="F168" s="51">
        <f t="shared" si="53"/>
        <v>0</v>
      </c>
      <c r="G168" s="51">
        <f t="shared" si="53"/>
        <v>7534.4881006978976</v>
      </c>
      <c r="H168" s="51">
        <f t="shared" si="53"/>
        <v>28474.795757176991</v>
      </c>
      <c r="I168" s="51">
        <f t="shared" si="53"/>
        <v>11637.899845083406</v>
      </c>
      <c r="J168" s="51">
        <f t="shared" si="53"/>
        <v>50452.331645570011</v>
      </c>
      <c r="K168" s="51">
        <f t="shared" si="53"/>
        <v>50452.331645570011</v>
      </c>
      <c r="M168" s="51">
        <f t="shared" si="54"/>
        <v>0</v>
      </c>
      <c r="N168" s="51">
        <f t="shared" si="54"/>
        <v>7534.4881006978976</v>
      </c>
      <c r="O168" s="51">
        <f t="shared" si="54"/>
        <v>28474.795757176991</v>
      </c>
      <c r="P168" s="51">
        <f t="shared" si="54"/>
        <v>11637.899845083406</v>
      </c>
      <c r="Q168" s="51">
        <f t="shared" si="54"/>
        <v>50452.331645570011</v>
      </c>
      <c r="R168" s="51">
        <f t="shared" si="54"/>
        <v>50452.331645570011</v>
      </c>
      <c r="T168" s="51">
        <f>NPV(Inputs!$C$6,'Vendas Vigente'!N168:Q168)+((R168*Inputs!$C$11)/(1+Inputs!$C$6)^(4.55))</f>
        <v>94606.665701719088</v>
      </c>
      <c r="X168" s="51">
        <f t="shared" si="55"/>
        <v>0</v>
      </c>
      <c r="Y168" s="51">
        <f t="shared" si="55"/>
        <v>7534.4881006978976</v>
      </c>
      <c r="Z168" s="51">
        <f t="shared" si="55"/>
        <v>28474.795757176991</v>
      </c>
      <c r="AA168" s="51">
        <f t="shared" si="55"/>
        <v>11637.899845083406</v>
      </c>
      <c r="AB168" s="51">
        <f t="shared" si="55"/>
        <v>50452.331645570011</v>
      </c>
      <c r="AC168" s="51">
        <f t="shared" si="55"/>
        <v>50452.331645570011</v>
      </c>
      <c r="AE168" s="51">
        <f t="shared" si="56"/>
        <v>0</v>
      </c>
      <c r="AF168" s="51">
        <f t="shared" si="56"/>
        <v>7534.4881006978976</v>
      </c>
      <c r="AG168" s="51">
        <f t="shared" si="56"/>
        <v>28474.795757176991</v>
      </c>
      <c r="AH168" s="51">
        <f t="shared" si="56"/>
        <v>11637.899845083406</v>
      </c>
      <c r="AI168" s="51">
        <f t="shared" si="56"/>
        <v>50452.331645570011</v>
      </c>
      <c r="AJ168" s="51">
        <f t="shared" si="56"/>
        <v>50452.331645570011</v>
      </c>
    </row>
    <row r="169" spans="1:36">
      <c r="A169" s="50">
        <v>3</v>
      </c>
      <c r="B169" s="50" t="s">
        <v>152</v>
      </c>
      <c r="F169" s="51">
        <f t="shared" si="53"/>
        <v>0</v>
      </c>
      <c r="G169" s="51">
        <f t="shared" si="53"/>
        <v>0</v>
      </c>
      <c r="H169" s="51">
        <f t="shared" si="53"/>
        <v>65772.523891164979</v>
      </c>
      <c r="I169" s="51">
        <f t="shared" si="53"/>
        <v>93230.671938669024</v>
      </c>
      <c r="J169" s="51">
        <f t="shared" si="53"/>
        <v>91440.876324165787</v>
      </c>
      <c r="K169" s="51">
        <f t="shared" si="53"/>
        <v>89686.87662195263</v>
      </c>
      <c r="M169" s="51">
        <f t="shared" si="54"/>
        <v>0</v>
      </c>
      <c r="N169" s="51">
        <f t="shared" si="54"/>
        <v>0</v>
      </c>
      <c r="O169" s="51">
        <f t="shared" si="54"/>
        <v>65772.523891164979</v>
      </c>
      <c r="P169" s="51">
        <f t="shared" si="54"/>
        <v>93230.671938669024</v>
      </c>
      <c r="Q169" s="51">
        <f t="shared" si="54"/>
        <v>91440.876324165787</v>
      </c>
      <c r="R169" s="51">
        <f t="shared" si="54"/>
        <v>89686.87662195263</v>
      </c>
      <c r="T169" s="51">
        <f>NPV(Inputs!$C$6,'Vendas Vigente'!N169:Q169)+((R169*Inputs!$C$11)/(1+Inputs!$C$6)^(4.55))</f>
        <v>226040.78050476991</v>
      </c>
      <c r="X169" s="51">
        <f t="shared" si="55"/>
        <v>0</v>
      </c>
      <c r="Y169" s="51">
        <f t="shared" si="55"/>
        <v>0</v>
      </c>
      <c r="Z169" s="51">
        <f t="shared" si="55"/>
        <v>64517.616835933164</v>
      </c>
      <c r="AA169" s="51">
        <f t="shared" si="55"/>
        <v>91451.009945396392</v>
      </c>
      <c r="AB169" s="51">
        <f t="shared" si="55"/>
        <v>89695.419262892538</v>
      </c>
      <c r="AC169" s="51">
        <f t="shared" si="55"/>
        <v>87974.9403940388</v>
      </c>
      <c r="AE169" s="51">
        <f t="shared" si="56"/>
        <v>0</v>
      </c>
      <c r="AF169" s="51">
        <f t="shared" si="56"/>
        <v>0</v>
      </c>
      <c r="AG169" s="51">
        <f t="shared" si="56"/>
        <v>64517.616835933164</v>
      </c>
      <c r="AH169" s="51">
        <f t="shared" si="56"/>
        <v>91451.009945396392</v>
      </c>
      <c r="AI169" s="51">
        <f t="shared" si="56"/>
        <v>89695.419262892538</v>
      </c>
      <c r="AJ169" s="51">
        <f t="shared" si="56"/>
        <v>87974.9403940388</v>
      </c>
    </row>
    <row r="170" spans="1:36">
      <c r="A170" s="50">
        <v>3</v>
      </c>
      <c r="B170" s="50" t="s">
        <v>4636</v>
      </c>
      <c r="F170" s="51">
        <f t="shared" si="53"/>
        <v>0</v>
      </c>
      <c r="G170" s="51">
        <f t="shared" si="53"/>
        <v>0</v>
      </c>
      <c r="H170" s="51">
        <f t="shared" si="53"/>
        <v>0</v>
      </c>
      <c r="I170" s="51">
        <f t="shared" si="53"/>
        <v>0</v>
      </c>
      <c r="J170" s="51">
        <f t="shared" si="53"/>
        <v>0</v>
      </c>
      <c r="K170" s="51">
        <f t="shared" si="53"/>
        <v>0</v>
      </c>
      <c r="M170" s="51">
        <f t="shared" si="54"/>
        <v>0</v>
      </c>
      <c r="N170" s="51">
        <f t="shared" si="54"/>
        <v>0</v>
      </c>
      <c r="O170" s="51">
        <f t="shared" si="54"/>
        <v>0</v>
      </c>
      <c r="P170" s="51">
        <f t="shared" si="54"/>
        <v>0</v>
      </c>
      <c r="Q170" s="51">
        <f t="shared" si="54"/>
        <v>0</v>
      </c>
      <c r="R170" s="51">
        <f t="shared" si="54"/>
        <v>0</v>
      </c>
      <c r="T170" s="51">
        <f>NPV(Inputs!$C$6,'Vendas Vigente'!N170:Q170)+((R170*Inputs!$C$11)/(1+Inputs!$C$6)^(4.55))</f>
        <v>0</v>
      </c>
      <c r="X170" s="51">
        <f t="shared" si="55"/>
        <v>0</v>
      </c>
      <c r="Y170" s="51">
        <f t="shared" si="55"/>
        <v>0</v>
      </c>
      <c r="Z170" s="51">
        <f t="shared" si="55"/>
        <v>0</v>
      </c>
      <c r="AA170" s="51">
        <f t="shared" si="55"/>
        <v>0</v>
      </c>
      <c r="AB170" s="51">
        <f t="shared" si="55"/>
        <v>0</v>
      </c>
      <c r="AC170" s="51">
        <f t="shared" si="55"/>
        <v>0</v>
      </c>
      <c r="AE170" s="51">
        <f t="shared" si="56"/>
        <v>0</v>
      </c>
      <c r="AF170" s="51">
        <f t="shared" si="56"/>
        <v>0</v>
      </c>
      <c r="AG170" s="51">
        <f t="shared" si="56"/>
        <v>0</v>
      </c>
      <c r="AH170" s="51">
        <f t="shared" si="56"/>
        <v>0</v>
      </c>
      <c r="AI170" s="51">
        <f t="shared" si="56"/>
        <v>0</v>
      </c>
      <c r="AJ170" s="51">
        <f t="shared" si="56"/>
        <v>0</v>
      </c>
    </row>
    <row r="171" spans="1:36">
      <c r="A171" s="50">
        <v>3</v>
      </c>
      <c r="B171" s="50" t="s">
        <v>4835</v>
      </c>
      <c r="F171" s="51">
        <f t="shared" si="53"/>
        <v>0</v>
      </c>
      <c r="G171" s="51">
        <f t="shared" si="53"/>
        <v>4955.1909928478635</v>
      </c>
      <c r="H171" s="51">
        <f t="shared" si="53"/>
        <v>5270.8682912682098</v>
      </c>
      <c r="I171" s="51">
        <f t="shared" si="53"/>
        <v>5270.8682912682098</v>
      </c>
      <c r="J171" s="51">
        <f t="shared" si="53"/>
        <v>5270.8682912682098</v>
      </c>
      <c r="K171" s="51">
        <f t="shared" si="53"/>
        <v>5270.8682912682098</v>
      </c>
      <c r="M171" s="51">
        <f t="shared" si="54"/>
        <v>0</v>
      </c>
      <c r="N171" s="51">
        <f t="shared" si="54"/>
        <v>4955.1909928478635</v>
      </c>
      <c r="O171" s="51">
        <f t="shared" si="54"/>
        <v>5270.8682912682098</v>
      </c>
      <c r="P171" s="51">
        <f t="shared" si="54"/>
        <v>5270.8682912682098</v>
      </c>
      <c r="Q171" s="51">
        <f t="shared" si="54"/>
        <v>5270.8682912682098</v>
      </c>
      <c r="R171" s="51">
        <f t="shared" si="54"/>
        <v>5270.8682912682098</v>
      </c>
      <c r="T171" s="51">
        <f>NPV(Inputs!$C$6,'Vendas Vigente'!N171:Q171)+((R171*Inputs!$C$11)/(1+Inputs!$C$6)^(4.55))</f>
        <v>18783.980008412953</v>
      </c>
      <c r="X171" s="51">
        <f t="shared" si="55"/>
        <v>0</v>
      </c>
      <c r="Y171" s="51">
        <f t="shared" si="55"/>
        <v>39074.553988453597</v>
      </c>
      <c r="Z171" s="51">
        <f t="shared" si="55"/>
        <v>43065.139976429426</v>
      </c>
      <c r="AA171" s="51">
        <f t="shared" si="55"/>
        <v>43065.139976429426</v>
      </c>
      <c r="AB171" s="51">
        <f t="shared" si="55"/>
        <v>43065.139976429426</v>
      </c>
      <c r="AC171" s="51">
        <f t="shared" si="55"/>
        <v>43065.139976429426</v>
      </c>
      <c r="AE171" s="51">
        <f t="shared" si="56"/>
        <v>0</v>
      </c>
      <c r="AF171" s="51">
        <f t="shared" si="56"/>
        <v>39074.553988453597</v>
      </c>
      <c r="AG171" s="51">
        <f t="shared" si="56"/>
        <v>43065.139976429426</v>
      </c>
      <c r="AH171" s="51">
        <f t="shared" si="56"/>
        <v>43065.139976429426</v>
      </c>
      <c r="AI171" s="51">
        <f t="shared" si="56"/>
        <v>43065.139976429426</v>
      </c>
      <c r="AJ171" s="51">
        <f t="shared" si="56"/>
        <v>43065.139976429426</v>
      </c>
    </row>
    <row r="172" spans="1:36">
      <c r="A172" s="50">
        <v>3</v>
      </c>
      <c r="B172" s="50" t="s">
        <v>108</v>
      </c>
      <c r="F172" s="51">
        <f t="shared" si="53"/>
        <v>0</v>
      </c>
      <c r="G172" s="51">
        <f t="shared" si="53"/>
        <v>0</v>
      </c>
      <c r="H172" s="51">
        <f t="shared" si="53"/>
        <v>0</v>
      </c>
      <c r="I172" s="51">
        <f t="shared" si="53"/>
        <v>0</v>
      </c>
      <c r="J172" s="51">
        <f t="shared" si="53"/>
        <v>0</v>
      </c>
      <c r="K172" s="51">
        <f t="shared" si="53"/>
        <v>0</v>
      </c>
      <c r="M172" s="51">
        <f t="shared" si="54"/>
        <v>0</v>
      </c>
      <c r="N172" s="51">
        <f t="shared" si="54"/>
        <v>0</v>
      </c>
      <c r="O172" s="51">
        <f t="shared" si="54"/>
        <v>0</v>
      </c>
      <c r="P172" s="51">
        <f t="shared" si="54"/>
        <v>0</v>
      </c>
      <c r="Q172" s="51">
        <f t="shared" si="54"/>
        <v>0</v>
      </c>
      <c r="R172" s="51">
        <f t="shared" si="54"/>
        <v>0</v>
      </c>
      <c r="T172" s="51">
        <f>NPV(Inputs!$C$6,'Vendas Vigente'!N172:Q172)+((R172*Inputs!$C$11)/(1+Inputs!$C$6)^(4.55))</f>
        <v>0</v>
      </c>
      <c r="X172" s="51">
        <f t="shared" si="55"/>
        <v>0</v>
      </c>
      <c r="Y172" s="51">
        <f t="shared" si="55"/>
        <v>0</v>
      </c>
      <c r="Z172" s="51">
        <f t="shared" si="55"/>
        <v>0</v>
      </c>
      <c r="AA172" s="51">
        <f t="shared" si="55"/>
        <v>0</v>
      </c>
      <c r="AB172" s="51">
        <f t="shared" si="55"/>
        <v>0</v>
      </c>
      <c r="AC172" s="51">
        <f t="shared" si="55"/>
        <v>0</v>
      </c>
      <c r="AE172" s="51">
        <f t="shared" si="56"/>
        <v>0</v>
      </c>
      <c r="AF172" s="51">
        <f t="shared" si="56"/>
        <v>0</v>
      </c>
      <c r="AG172" s="51">
        <f t="shared" si="56"/>
        <v>0</v>
      </c>
      <c r="AH172" s="51">
        <f t="shared" si="56"/>
        <v>0</v>
      </c>
      <c r="AI172" s="51">
        <f t="shared" si="56"/>
        <v>0</v>
      </c>
      <c r="AJ172" s="51">
        <f t="shared" si="56"/>
        <v>0</v>
      </c>
    </row>
    <row r="173" spans="1:36">
      <c r="A173" s="50">
        <v>3</v>
      </c>
      <c r="B173" s="50" t="s">
        <v>109</v>
      </c>
      <c r="F173" s="51">
        <f t="shared" si="53"/>
        <v>0</v>
      </c>
      <c r="G173" s="51">
        <f t="shared" si="53"/>
        <v>0</v>
      </c>
      <c r="H173" s="51">
        <f t="shared" si="53"/>
        <v>0</v>
      </c>
      <c r="I173" s="51">
        <f t="shared" si="53"/>
        <v>0</v>
      </c>
      <c r="J173" s="51">
        <f t="shared" si="53"/>
        <v>0</v>
      </c>
      <c r="K173" s="51">
        <f t="shared" si="53"/>
        <v>0</v>
      </c>
      <c r="M173" s="51">
        <f t="shared" si="54"/>
        <v>0</v>
      </c>
      <c r="N173" s="51">
        <f t="shared" si="54"/>
        <v>0</v>
      </c>
      <c r="O173" s="51">
        <f t="shared" si="54"/>
        <v>0</v>
      </c>
      <c r="P173" s="51">
        <f t="shared" si="54"/>
        <v>0</v>
      </c>
      <c r="Q173" s="51">
        <f t="shared" si="54"/>
        <v>0</v>
      </c>
      <c r="R173" s="51">
        <f t="shared" si="54"/>
        <v>0</v>
      </c>
      <c r="T173" s="51">
        <f>NPV(Inputs!$C$6,'Vendas Vigente'!N173:Q173)+((R173*Inputs!$C$11)/(1+Inputs!$C$6)^(4.55))</f>
        <v>0</v>
      </c>
      <c r="X173" s="51">
        <f t="shared" si="55"/>
        <v>0</v>
      </c>
      <c r="Y173" s="51">
        <f t="shared" si="55"/>
        <v>0</v>
      </c>
      <c r="Z173" s="51">
        <f t="shared" si="55"/>
        <v>0</v>
      </c>
      <c r="AA173" s="51">
        <f t="shared" si="55"/>
        <v>0</v>
      </c>
      <c r="AB173" s="51">
        <f t="shared" si="55"/>
        <v>0</v>
      </c>
      <c r="AC173" s="51">
        <f t="shared" si="55"/>
        <v>0</v>
      </c>
      <c r="AE173" s="51">
        <f t="shared" si="56"/>
        <v>0</v>
      </c>
      <c r="AF173" s="51">
        <f t="shared" si="56"/>
        <v>0</v>
      </c>
      <c r="AG173" s="51">
        <f t="shared" si="56"/>
        <v>0</v>
      </c>
      <c r="AH173" s="51">
        <f t="shared" si="56"/>
        <v>0</v>
      </c>
      <c r="AI173" s="51">
        <f t="shared" si="56"/>
        <v>0</v>
      </c>
      <c r="AJ173" s="51">
        <f t="shared" si="56"/>
        <v>0</v>
      </c>
    </row>
    <row r="174" spans="1:36">
      <c r="A174" s="50">
        <v>3</v>
      </c>
      <c r="B174" s="50" t="s">
        <v>4862</v>
      </c>
      <c r="F174" s="51">
        <f t="shared" si="53"/>
        <v>0</v>
      </c>
      <c r="G174" s="51">
        <f t="shared" si="53"/>
        <v>0</v>
      </c>
      <c r="H174" s="51">
        <f t="shared" si="53"/>
        <v>0</v>
      </c>
      <c r="I174" s="51">
        <f t="shared" si="53"/>
        <v>0</v>
      </c>
      <c r="J174" s="51">
        <f t="shared" si="53"/>
        <v>0</v>
      </c>
      <c r="K174" s="51">
        <f t="shared" si="53"/>
        <v>0</v>
      </c>
      <c r="M174" s="51">
        <f t="shared" si="54"/>
        <v>0</v>
      </c>
      <c r="N174" s="51">
        <f t="shared" si="54"/>
        <v>0</v>
      </c>
      <c r="O174" s="51">
        <f t="shared" si="54"/>
        <v>0</v>
      </c>
      <c r="P174" s="51">
        <f t="shared" si="54"/>
        <v>0</v>
      </c>
      <c r="Q174" s="51">
        <f t="shared" si="54"/>
        <v>0</v>
      </c>
      <c r="R174" s="51">
        <f t="shared" si="54"/>
        <v>0</v>
      </c>
      <c r="T174" s="51">
        <f>NPV(Inputs!$C$6,'Vendas Vigente'!N174:Q174)+((R174*Inputs!$C$11)/(1+Inputs!$C$6)^(4.55))</f>
        <v>0</v>
      </c>
      <c r="X174" s="51">
        <f t="shared" si="55"/>
        <v>0</v>
      </c>
      <c r="Y174" s="51">
        <f t="shared" si="55"/>
        <v>0</v>
      </c>
      <c r="Z174" s="51">
        <f t="shared" si="55"/>
        <v>0</v>
      </c>
      <c r="AA174" s="51">
        <f t="shared" si="55"/>
        <v>0</v>
      </c>
      <c r="AB174" s="51">
        <f t="shared" si="55"/>
        <v>0</v>
      </c>
      <c r="AC174" s="51">
        <f t="shared" si="55"/>
        <v>0</v>
      </c>
      <c r="AE174" s="51">
        <f t="shared" si="56"/>
        <v>0</v>
      </c>
      <c r="AF174" s="51">
        <f t="shared" si="56"/>
        <v>0</v>
      </c>
      <c r="AG174" s="51">
        <f t="shared" si="56"/>
        <v>0</v>
      </c>
      <c r="AH174" s="51">
        <f t="shared" si="56"/>
        <v>0</v>
      </c>
      <c r="AI174" s="51">
        <f t="shared" si="56"/>
        <v>0</v>
      </c>
      <c r="AJ174" s="51">
        <f t="shared" si="56"/>
        <v>0</v>
      </c>
    </row>
    <row r="175" spans="1:36">
      <c r="A175" s="50">
        <v>3</v>
      </c>
      <c r="B175" s="50" t="s">
        <v>4873</v>
      </c>
      <c r="F175" s="51">
        <f t="shared" si="53"/>
        <v>0</v>
      </c>
      <c r="G175" s="51">
        <f t="shared" si="53"/>
        <v>0</v>
      </c>
      <c r="H175" s="51">
        <f t="shared" si="53"/>
        <v>0</v>
      </c>
      <c r="I175" s="51">
        <f t="shared" si="53"/>
        <v>0</v>
      </c>
      <c r="J175" s="51">
        <f t="shared" si="53"/>
        <v>0</v>
      </c>
      <c r="K175" s="51">
        <f t="shared" si="53"/>
        <v>0</v>
      </c>
      <c r="M175" s="51">
        <f t="shared" si="54"/>
        <v>0</v>
      </c>
      <c r="N175" s="51">
        <f t="shared" si="54"/>
        <v>0</v>
      </c>
      <c r="O175" s="51">
        <f t="shared" si="54"/>
        <v>0</v>
      </c>
      <c r="P175" s="51">
        <f t="shared" si="54"/>
        <v>0</v>
      </c>
      <c r="Q175" s="51">
        <f t="shared" si="54"/>
        <v>0</v>
      </c>
      <c r="R175" s="51">
        <f t="shared" si="54"/>
        <v>0</v>
      </c>
      <c r="T175" s="51">
        <f>NPV(Inputs!$C$6,'Vendas Vigente'!N175:Q175)+((R175*Inputs!$C$11)/(1+Inputs!$C$6)^(4.55))</f>
        <v>0</v>
      </c>
      <c r="X175" s="51">
        <f t="shared" si="55"/>
        <v>0</v>
      </c>
      <c r="Y175" s="51">
        <f t="shared" si="55"/>
        <v>0</v>
      </c>
      <c r="Z175" s="51">
        <f t="shared" si="55"/>
        <v>0</v>
      </c>
      <c r="AA175" s="51">
        <f t="shared" si="55"/>
        <v>0</v>
      </c>
      <c r="AB175" s="51">
        <f t="shared" si="55"/>
        <v>0</v>
      </c>
      <c r="AC175" s="51">
        <f t="shared" si="55"/>
        <v>0</v>
      </c>
      <c r="AE175" s="51">
        <f t="shared" si="56"/>
        <v>0</v>
      </c>
      <c r="AF175" s="51">
        <f t="shared" si="56"/>
        <v>0</v>
      </c>
      <c r="AG175" s="51">
        <f t="shared" si="56"/>
        <v>0</v>
      </c>
      <c r="AH175" s="51">
        <f t="shared" si="56"/>
        <v>0</v>
      </c>
      <c r="AI175" s="51">
        <f t="shared" si="56"/>
        <v>0</v>
      </c>
      <c r="AJ175" s="51">
        <f t="shared" si="56"/>
        <v>0</v>
      </c>
    </row>
    <row r="176" spans="1:36">
      <c r="B176" s="208" t="s">
        <v>8</v>
      </c>
      <c r="C176" s="275"/>
      <c r="D176" s="275"/>
      <c r="E176" s="275"/>
      <c r="F176" s="208">
        <f>SUM(F154:F175)</f>
        <v>0</v>
      </c>
      <c r="G176" s="208">
        <f t="shared" ref="G176:K176" si="57">SUM(G154:G175)</f>
        <v>311287.48118518473</v>
      </c>
      <c r="H176" s="208">
        <f t="shared" si="57"/>
        <v>362903.91742047446</v>
      </c>
      <c r="I176" s="208">
        <f t="shared" si="57"/>
        <v>276339.62375136249</v>
      </c>
      <c r="J176" s="208">
        <f t="shared" si="57"/>
        <v>309280.88398241467</v>
      </c>
      <c r="K176" s="208">
        <f t="shared" si="57"/>
        <v>304474.2970088502</v>
      </c>
      <c r="M176" s="208">
        <f>SUM(M154:M175)</f>
        <v>0</v>
      </c>
      <c r="N176" s="208">
        <f t="shared" ref="N176:R176" si="58">SUM(N154:N175)</f>
        <v>311287.48118518473</v>
      </c>
      <c r="O176" s="208">
        <f t="shared" si="58"/>
        <v>362903.91742047446</v>
      </c>
      <c r="P176" s="208">
        <f t="shared" si="58"/>
        <v>276339.62375136249</v>
      </c>
      <c r="Q176" s="208">
        <f t="shared" si="58"/>
        <v>309280.88398241467</v>
      </c>
      <c r="R176" s="208">
        <f t="shared" si="58"/>
        <v>304474.2970088502</v>
      </c>
      <c r="T176" s="208">
        <f>NPV(Inputs!$C$6,'Vendas Vigente'!N176:Q176)+((R176*Inputs!$C$11)/(1+Inputs!$C$6)^(4.55))</f>
        <v>1138956.3317424858</v>
      </c>
      <c r="X176" s="208">
        <f>SUM(X154:X170)</f>
        <v>0</v>
      </c>
      <c r="Y176" s="208">
        <f>SUM(Y154:Y175)</f>
        <v>2954570.6787777357</v>
      </c>
      <c r="Z176" s="208">
        <f t="shared" ref="Z176:AC176" si="59">SUM(Z154:Z175)</f>
        <v>2203931.888409636</v>
      </c>
      <c r="AA176" s="208">
        <f t="shared" si="59"/>
        <v>1462410.3169242516</v>
      </c>
      <c r="AB176" s="208">
        <f t="shared" si="59"/>
        <v>1448866.3357932586</v>
      </c>
      <c r="AC176" s="208">
        <f t="shared" si="59"/>
        <v>1417538.3158827897</v>
      </c>
      <c r="AE176" s="208">
        <f>SUM(AE154:AE175)</f>
        <v>0</v>
      </c>
      <c r="AF176" s="208">
        <f t="shared" ref="AF176:AJ176" si="60">SUM(AF154:AF175)</f>
        <v>2954570.6787777357</v>
      </c>
      <c r="AG176" s="208">
        <f t="shared" si="60"/>
        <v>2203931.888409636</v>
      </c>
      <c r="AH176" s="208">
        <f t="shared" si="60"/>
        <v>1462410.3169242516</v>
      </c>
      <c r="AI176" s="208">
        <f t="shared" si="60"/>
        <v>1448866.3357932586</v>
      </c>
      <c r="AJ176" s="208">
        <f t="shared" si="60"/>
        <v>1417538.3158827897</v>
      </c>
    </row>
    <row r="177" spans="2:36">
      <c r="B177" s="273" t="s">
        <v>4931</v>
      </c>
      <c r="C177" s="273"/>
      <c r="D177" s="273"/>
      <c r="E177" s="273"/>
      <c r="F177" s="274">
        <f>F176-F168-F165</f>
        <v>0</v>
      </c>
      <c r="G177" s="274">
        <f t="shared" ref="G177:K177" si="61">G176-G168-G165</f>
        <v>291665.60322219797</v>
      </c>
      <c r="H177" s="274">
        <f t="shared" si="61"/>
        <v>289357.50643371453</v>
      </c>
      <c r="I177" s="274">
        <f t="shared" si="61"/>
        <v>264701.72390627908</v>
      </c>
      <c r="J177" s="274">
        <f t="shared" si="61"/>
        <v>258828.55233684467</v>
      </c>
      <c r="K177" s="274">
        <f t="shared" si="61"/>
        <v>254021.96536328021</v>
      </c>
      <c r="M177" s="274">
        <f>M176-M168-M165</f>
        <v>0</v>
      </c>
      <c r="N177" s="274">
        <f t="shared" ref="N177:R177" si="62">N176-N168-N165</f>
        <v>291665.60322219797</v>
      </c>
      <c r="O177" s="274">
        <f t="shared" si="62"/>
        <v>289357.50643371453</v>
      </c>
      <c r="P177" s="274">
        <f t="shared" si="62"/>
        <v>264701.72390627908</v>
      </c>
      <c r="Q177" s="274">
        <f t="shared" si="62"/>
        <v>258828.55233684467</v>
      </c>
      <c r="R177" s="274">
        <f t="shared" si="62"/>
        <v>254021.96536328021</v>
      </c>
      <c r="T177" s="208">
        <f>NPV(Inputs!$C$6,'Vendas Vigente'!N177:Q177)+((R177*Inputs!$C$11)/(1+Inputs!$C$6)^(4.55))</f>
        <v>995260.5487348712</v>
      </c>
      <c r="X177" s="274">
        <f t="shared" ref="X177:AB177" si="63">X176-X168-X165</f>
        <v>0</v>
      </c>
      <c r="Y177" s="274">
        <f t="shared" si="63"/>
        <v>2934948.8008147492</v>
      </c>
      <c r="Z177" s="274">
        <f t="shared" si="63"/>
        <v>2130385.4774228763</v>
      </c>
      <c r="AA177" s="274">
        <f t="shared" si="63"/>
        <v>1450772.4170791681</v>
      </c>
      <c r="AB177" s="274">
        <f t="shared" si="63"/>
        <v>1398414.0041476886</v>
      </c>
      <c r="AC177" s="274">
        <f>AC176-AC168-AC165</f>
        <v>1367085.9842372197</v>
      </c>
      <c r="AE177" s="274">
        <f>AE176-AE168-AE165</f>
        <v>0</v>
      </c>
      <c r="AF177" s="274">
        <f t="shared" ref="AF177:AJ177" si="64">AF176-AF168-AF165</f>
        <v>2934948.8008147492</v>
      </c>
      <c r="AG177" s="274">
        <f t="shared" si="64"/>
        <v>2130385.4774228763</v>
      </c>
      <c r="AH177" s="274">
        <f t="shared" si="64"/>
        <v>1450772.4170791681</v>
      </c>
      <c r="AI177" s="274">
        <f t="shared" si="64"/>
        <v>1398414.0041476886</v>
      </c>
      <c r="AJ177" s="274">
        <f t="shared" si="64"/>
        <v>1367085.9842372197</v>
      </c>
    </row>
    <row r="178" spans="2:36" ht="14.45">
      <c r="X178"/>
      <c r="Y178"/>
      <c r="Z178"/>
      <c r="AA178"/>
      <c r="AB178"/>
      <c r="AC178"/>
      <c r="AE178"/>
      <c r="AF178"/>
      <c r="AG178"/>
      <c r="AH178"/>
      <c r="AI178"/>
      <c r="AJ178"/>
    </row>
    <row r="179" spans="2:36">
      <c r="C179" s="209" t="s">
        <v>4932</v>
      </c>
      <c r="G179" s="55"/>
      <c r="H179" s="55"/>
      <c r="I179" s="55"/>
      <c r="J179" s="55"/>
      <c r="K179" s="55"/>
      <c r="Y179" s="55"/>
      <c r="Z179" s="55"/>
      <c r="AA179" s="55"/>
      <c r="AB179" s="55"/>
      <c r="AC179" s="55"/>
    </row>
    <row r="180" spans="2:36">
      <c r="B180" s="50" t="s">
        <v>4933</v>
      </c>
      <c r="C180" s="51"/>
    </row>
    <row r="181" spans="2:36" ht="14.45">
      <c r="B181" s="50" t="s">
        <v>4934</v>
      </c>
      <c r="C181" s="51">
        <f>NPV(Inputs!$C$6,'Vendas Vigente'!G176:J176)+(K176*Inputs!$C$11)/(1+Inputs!$C$6)^(4.55)</f>
        <v>1138956.3317424858</v>
      </c>
      <c r="K181"/>
      <c r="L181"/>
      <c r="M181"/>
      <c r="N181"/>
      <c r="O181"/>
      <c r="P181"/>
      <c r="Q181"/>
      <c r="R181"/>
    </row>
    <row r="182" spans="2:36" ht="14.45">
      <c r="B182" s="50" t="s">
        <v>4935</v>
      </c>
      <c r="C182" s="51">
        <f>NPV(Inputs!$C$6,'Vendas Vigente'!N176:Q176)+((R176*Inputs!$C$11)/(1+Inputs!$C$6)^(4.55))</f>
        <v>1138956.3317424858</v>
      </c>
      <c r="D182" s="63"/>
      <c r="K182"/>
      <c r="L182"/>
      <c r="M182"/>
      <c r="N182"/>
      <c r="O182"/>
      <c r="P182"/>
      <c r="Q182"/>
      <c r="R182"/>
    </row>
    <row r="183" spans="2:36" ht="14.45">
      <c r="B183" s="50" t="s">
        <v>4936</v>
      </c>
      <c r="C183" s="63">
        <f>Resultados!C26</f>
        <v>0.22920439669999992</v>
      </c>
      <c r="K183"/>
      <c r="L183"/>
      <c r="M183"/>
      <c r="N183"/>
      <c r="O183"/>
      <c r="P183"/>
      <c r="Q183"/>
      <c r="R183"/>
    </row>
    <row r="184" spans="2:36" ht="14.45">
      <c r="C184" s="63"/>
      <c r="K184"/>
      <c r="L184"/>
      <c r="M184"/>
      <c r="N184"/>
      <c r="O184"/>
      <c r="P184"/>
      <c r="Q184"/>
      <c r="R184"/>
    </row>
    <row r="185" spans="2:36" ht="14.45">
      <c r="K185"/>
      <c r="L185"/>
      <c r="M185"/>
      <c r="N185"/>
      <c r="O185"/>
      <c r="P185"/>
      <c r="Q185"/>
      <c r="R185"/>
    </row>
    <row r="186" spans="2:36" ht="14.45">
      <c r="K186"/>
      <c r="L186"/>
      <c r="M186"/>
      <c r="N186"/>
      <c r="O186"/>
      <c r="P186"/>
      <c r="Q186"/>
      <c r="R186"/>
    </row>
    <row r="187" spans="2:36" ht="14.45">
      <c r="C187" s="211"/>
      <c r="D187" s="63"/>
      <c r="K187"/>
      <c r="L187"/>
      <c r="M187"/>
      <c r="N187"/>
      <c r="O187"/>
      <c r="P187"/>
      <c r="Q187"/>
      <c r="R187"/>
    </row>
    <row r="188" spans="2:36" ht="14.45">
      <c r="C188" s="211"/>
      <c r="K188"/>
      <c r="L188"/>
      <c r="M188"/>
      <c r="N188"/>
      <c r="O188"/>
      <c r="P188"/>
      <c r="Q188"/>
      <c r="R188"/>
    </row>
    <row r="189" spans="2:36" ht="14.45">
      <c r="C189" s="210"/>
      <c r="K189"/>
      <c r="L189"/>
      <c r="M189"/>
      <c r="N189"/>
      <c r="O189"/>
      <c r="P189"/>
      <c r="Q189"/>
      <c r="R189"/>
    </row>
    <row r="190" spans="2:36" ht="14.45">
      <c r="K190"/>
      <c r="L190"/>
      <c r="M190"/>
      <c r="N190"/>
      <c r="O190"/>
      <c r="P190"/>
      <c r="Q190"/>
      <c r="R190"/>
    </row>
    <row r="191" spans="2:36" ht="14.45">
      <c r="K191"/>
      <c r="L191"/>
      <c r="M191"/>
      <c r="N191"/>
      <c r="O191"/>
      <c r="P191"/>
      <c r="Q191"/>
      <c r="R191"/>
    </row>
    <row r="192" spans="2:36" ht="14.45">
      <c r="K192"/>
      <c r="L192"/>
      <c r="M192"/>
      <c r="N192"/>
      <c r="O192"/>
      <c r="P192"/>
      <c r="Q192"/>
      <c r="R192"/>
    </row>
    <row r="193" spans="11:18" ht="14.45">
      <c r="K193"/>
      <c r="L193"/>
      <c r="M193"/>
      <c r="N193"/>
      <c r="O193"/>
      <c r="P193"/>
      <c r="Q193"/>
      <c r="R193"/>
    </row>
    <row r="194" spans="11:18" ht="14.45">
      <c r="K194"/>
      <c r="L194"/>
      <c r="M194"/>
      <c r="N194"/>
      <c r="O194"/>
      <c r="P194"/>
      <c r="Q194"/>
      <c r="R194"/>
    </row>
    <row r="195" spans="11:18" ht="14.45">
      <c r="K195"/>
      <c r="L195"/>
      <c r="M195"/>
      <c r="N195"/>
      <c r="O195"/>
      <c r="P195"/>
      <c r="Q195"/>
      <c r="R195"/>
    </row>
    <row r="196" spans="11:18" ht="14.45">
      <c r="K196"/>
      <c r="L196"/>
      <c r="M196"/>
      <c r="N196"/>
      <c r="O196"/>
      <c r="P196"/>
      <c r="Q196"/>
      <c r="R196"/>
    </row>
    <row r="197" spans="11:18" ht="14.45">
      <c r="K197"/>
      <c r="L197"/>
      <c r="M197"/>
      <c r="N197"/>
      <c r="O197"/>
      <c r="P197"/>
      <c r="Q197"/>
      <c r="R197"/>
    </row>
    <row r="198" spans="11:18" ht="14.45">
      <c r="K198"/>
      <c r="L198"/>
      <c r="M198"/>
      <c r="N198"/>
      <c r="O198"/>
      <c r="P198"/>
      <c r="Q198"/>
      <c r="R198"/>
    </row>
    <row r="199" spans="11:18" ht="14.45">
      <c r="K199"/>
      <c r="L199"/>
      <c r="M199"/>
      <c r="N199"/>
      <c r="O199"/>
      <c r="P199"/>
      <c r="Q199"/>
      <c r="R199"/>
    </row>
    <row r="200" spans="11:18" ht="14.45">
      <c r="K200"/>
      <c r="L200"/>
      <c r="M200"/>
      <c r="N200"/>
      <c r="O200"/>
      <c r="P200"/>
      <c r="Q200"/>
      <c r="R200"/>
    </row>
    <row r="201" spans="11:18" ht="14.45">
      <c r="K201"/>
      <c r="L201"/>
      <c r="M201"/>
      <c r="N201"/>
      <c r="O201"/>
      <c r="P201"/>
      <c r="Q201"/>
      <c r="R201"/>
    </row>
    <row r="202" spans="11:18" ht="14.45">
      <c r="K202"/>
      <c r="L202"/>
      <c r="M202"/>
      <c r="N202"/>
      <c r="O202"/>
      <c r="P202"/>
      <c r="Q202"/>
      <c r="R202"/>
    </row>
    <row r="203" spans="11:18" ht="14.45">
      <c r="K203"/>
      <c r="L203"/>
      <c r="M203"/>
      <c r="N203"/>
      <c r="O203"/>
      <c r="P203"/>
      <c r="Q203"/>
      <c r="R203"/>
    </row>
    <row r="204" spans="11:18" ht="14.45">
      <c r="K204"/>
      <c r="L204"/>
      <c r="M204"/>
      <c r="N204"/>
      <c r="O204"/>
      <c r="P204"/>
      <c r="Q204"/>
      <c r="R204"/>
    </row>
    <row r="205" spans="11:18" ht="14.45">
      <c r="K205"/>
      <c r="L205"/>
      <c r="M205"/>
      <c r="N205"/>
      <c r="O205"/>
      <c r="P205"/>
      <c r="Q205"/>
      <c r="R205"/>
    </row>
    <row r="206" spans="11:18" ht="14.45">
      <c r="K206"/>
      <c r="L206"/>
      <c r="M206"/>
      <c r="N206"/>
      <c r="O206"/>
      <c r="P206"/>
      <c r="Q206"/>
      <c r="R206"/>
    </row>
    <row r="207" spans="11:18" ht="14.45">
      <c r="K207"/>
      <c r="L207"/>
      <c r="M207"/>
      <c r="N207"/>
      <c r="O207"/>
      <c r="P207"/>
      <c r="Q207"/>
      <c r="R207"/>
    </row>
    <row r="208" spans="11:18" ht="14.45">
      <c r="K208"/>
      <c r="L208"/>
      <c r="M208"/>
      <c r="N208"/>
      <c r="O208"/>
      <c r="P208"/>
      <c r="Q208"/>
      <c r="R208"/>
    </row>
    <row r="209" spans="11:18" ht="14.45">
      <c r="K209"/>
      <c r="L209"/>
      <c r="M209"/>
      <c r="N209"/>
      <c r="O209"/>
      <c r="P209"/>
      <c r="Q209"/>
      <c r="R209"/>
    </row>
    <row r="210" spans="11:18" ht="14.45">
      <c r="K210"/>
      <c r="L210"/>
      <c r="M210"/>
      <c r="N210"/>
      <c r="O210"/>
      <c r="P210"/>
      <c r="Q210"/>
      <c r="R210"/>
    </row>
    <row r="211" spans="11:18" ht="14.45">
      <c r="K211"/>
      <c r="L211"/>
      <c r="M211"/>
      <c r="N211"/>
      <c r="O211"/>
      <c r="P211"/>
      <c r="Q211"/>
      <c r="R211"/>
    </row>
    <row r="212" spans="11:18" ht="14.45">
      <c r="K212"/>
      <c r="L212"/>
      <c r="M212"/>
      <c r="N212"/>
      <c r="O212"/>
      <c r="P212"/>
      <c r="Q212"/>
      <c r="R212"/>
    </row>
    <row r="213" spans="11:18" ht="14.45">
      <c r="K213"/>
      <c r="L213"/>
      <c r="M213"/>
      <c r="N213"/>
      <c r="O213"/>
      <c r="P213"/>
      <c r="Q213"/>
      <c r="R213"/>
    </row>
    <row r="214" spans="11:18" ht="14.45">
      <c r="K214"/>
      <c r="L214"/>
      <c r="M214"/>
      <c r="N214"/>
      <c r="O214"/>
      <c r="P214"/>
      <c r="Q214"/>
      <c r="R214"/>
    </row>
    <row r="215" spans="11:18" ht="14.45">
      <c r="K215"/>
      <c r="L215"/>
      <c r="M215"/>
      <c r="N215"/>
      <c r="O215"/>
      <c r="P215"/>
      <c r="Q215"/>
      <c r="R215"/>
    </row>
    <row r="216" spans="11:18" ht="14.45">
      <c r="K216"/>
      <c r="L216"/>
      <c r="M216"/>
      <c r="N216"/>
      <c r="O216"/>
      <c r="P216"/>
      <c r="Q216"/>
      <c r="R216"/>
    </row>
    <row r="217" spans="11:18" ht="14.45">
      <c r="K217"/>
      <c r="L217"/>
      <c r="M217"/>
      <c r="N217"/>
      <c r="O217"/>
      <c r="P217"/>
      <c r="Q217"/>
      <c r="R217"/>
    </row>
    <row r="218" spans="11:18" ht="14.45">
      <c r="K218"/>
      <c r="L218"/>
      <c r="M218"/>
      <c r="N218"/>
      <c r="O218"/>
      <c r="P218"/>
      <c r="Q218"/>
      <c r="R218"/>
    </row>
    <row r="219" spans="11:18" ht="14.45">
      <c r="K219"/>
      <c r="L219"/>
      <c r="M219"/>
      <c r="N219"/>
      <c r="O219"/>
      <c r="P219"/>
      <c r="Q219"/>
      <c r="R219"/>
    </row>
    <row r="220" spans="11:18" ht="14.45">
      <c r="K220"/>
      <c r="L220"/>
      <c r="M220"/>
      <c r="N220"/>
      <c r="O220"/>
      <c r="P220"/>
      <c r="Q220"/>
      <c r="R220"/>
    </row>
    <row r="221" spans="11:18" ht="14.45">
      <c r="K221"/>
      <c r="L221"/>
      <c r="M221"/>
      <c r="N221"/>
      <c r="O221"/>
      <c r="P221"/>
      <c r="Q221"/>
      <c r="R221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CF0A5-DAD0-4BB8-A9F3-53A8172D7780}">
  <sheetPr>
    <tabColor theme="4" tint="0.79998168889431442"/>
  </sheetPr>
  <dimension ref="A1:AC195"/>
  <sheetViews>
    <sheetView showGridLines="0" topLeftCell="A155" zoomScale="85" zoomScaleNormal="85" workbookViewId="0">
      <selection activeCell="H191" sqref="H191"/>
    </sheetView>
  </sheetViews>
  <sheetFormatPr defaultColWidth="11.42578125" defaultRowHeight="11.45"/>
  <cols>
    <col min="1" max="1" width="11.42578125" style="50"/>
    <col min="2" max="2" width="31.42578125" style="50" customWidth="1"/>
    <col min="3" max="3" width="16.7109375" style="50" customWidth="1"/>
    <col min="4" max="5" width="15.85546875" style="50" customWidth="1"/>
    <col min="6" max="6" width="6.28515625" style="50" customWidth="1"/>
    <col min="7" max="11" width="15.140625" style="50" bestFit="1" customWidth="1"/>
    <col min="12" max="12" width="15.140625" style="50" customWidth="1"/>
    <col min="13" max="13" width="11.42578125" style="50"/>
    <col min="14" max="19" width="13" style="50" customWidth="1"/>
    <col min="20" max="20" width="11.42578125" style="50"/>
    <col min="21" max="21" width="15.140625" style="50" bestFit="1" customWidth="1"/>
    <col min="22" max="16384" width="11.42578125" style="50"/>
  </cols>
  <sheetData>
    <row r="1" spans="1:28">
      <c r="G1" s="50" t="s">
        <v>4926</v>
      </c>
      <c r="N1" s="50" t="s">
        <v>4927</v>
      </c>
    </row>
    <row r="2" spans="1:28">
      <c r="B2" s="195" t="s">
        <v>4749</v>
      </c>
      <c r="C2" s="196" t="s">
        <v>4750</v>
      </c>
      <c r="D2" s="196" t="s">
        <v>4929</v>
      </c>
      <c r="E2" s="196" t="s">
        <v>4930</v>
      </c>
      <c r="G2" s="242">
        <v>2022</v>
      </c>
      <c r="H2" s="243">
        <v>2023</v>
      </c>
      <c r="I2" s="243">
        <v>2024</v>
      </c>
      <c r="J2" s="244">
        <v>2025</v>
      </c>
      <c r="K2" s="244">
        <v>2026</v>
      </c>
      <c r="L2" s="244">
        <v>2027</v>
      </c>
      <c r="N2" s="242">
        <v>2022</v>
      </c>
      <c r="O2" s="243">
        <v>2023</v>
      </c>
      <c r="P2" s="243">
        <v>2024</v>
      </c>
      <c r="Q2" s="244">
        <v>2025</v>
      </c>
      <c r="R2" s="244">
        <v>2026</v>
      </c>
      <c r="S2" s="244">
        <v>2027</v>
      </c>
      <c r="U2" s="245" t="s">
        <v>8</v>
      </c>
    </row>
    <row r="3" spans="1:28">
      <c r="A3" s="192" t="str">
        <f>Usuarios!A9</f>
        <v>01 1</v>
      </c>
      <c r="B3" s="50" t="str">
        <f>Usuarios!B9</f>
        <v>Residencial</v>
      </c>
      <c r="C3" s="50">
        <f>Usuarios!C9</f>
        <v>1</v>
      </c>
      <c r="D3" s="51">
        <f>Usuarios!D9</f>
        <v>0</v>
      </c>
      <c r="E3" s="51">
        <f>Usuarios!E9</f>
        <v>7</v>
      </c>
      <c r="G3" s="51"/>
      <c r="H3" s="51">
        <f>SUMIFS(Tarifas!$AF$7:$AF$320,Tarifas!$AB$7:$AB$320,$A3)*SUMIFS(Mercado!G$9:G$160,Mercado!$A$9:$A$160,$A3)</f>
        <v>7856.6535265666407</v>
      </c>
      <c r="I3" s="51">
        <f>SUMIFS(Tarifas!$AF$7:$AF$320,Tarifas!$AB$7:$AB$320,$A3)*SUMIFS(Mercado!H$9:H$160,Mercado!$A$9:$A$160,$A3)</f>
        <v>7996.7387605990734</v>
      </c>
      <c r="J3" s="51">
        <f>SUMIFS(Tarifas!$AF$7:$AF$320,Tarifas!$AB$7:$AB$320,$A3)*SUMIFS(Mercado!I$9:I$160,Mercado!$A$9:$A$160,$A3)</f>
        <v>8156.0119051755419</v>
      </c>
      <c r="K3" s="51">
        <f>SUMIFS(Tarifas!$AF$7:$AF$320,Tarifas!$AB$7:$AB$320,$A3)*SUMIFS(Mercado!J$9:J$160,Mercado!$A$9:$A$160,$A3)</f>
        <v>8339.5416429281013</v>
      </c>
      <c r="L3" s="51">
        <f>SUMIFS(Tarifas!$AF$7:$AF$320,Tarifas!$AB$7:$AB$320,$A3)*SUMIFS(Mercado!K$9:K$160,Mercado!$A$9:$A$160,$A3)</f>
        <v>8513.0303077627468</v>
      </c>
      <c r="N3" s="55">
        <f>G3</f>
        <v>0</v>
      </c>
      <c r="O3" s="55">
        <f t="shared" ref="O3:O66" si="0">H3</f>
        <v>7856.6535265666407</v>
      </c>
      <c r="P3" s="55">
        <f t="shared" ref="P3:P66" si="1">I3</f>
        <v>7996.7387605990734</v>
      </c>
      <c r="Q3" s="55">
        <f t="shared" ref="Q3:Q66" si="2">J3</f>
        <v>8156.0119051755419</v>
      </c>
      <c r="R3" s="55">
        <f t="shared" ref="R3:R66" si="3">K3</f>
        <v>8339.5416429281013</v>
      </c>
      <c r="S3" s="55">
        <f t="shared" ref="S3:S66" si="4">L3</f>
        <v>8513.0303077627468</v>
      </c>
      <c r="U3" s="51">
        <f>NPV(Inputs!$C$6,'Vendas ajustada'!O3:R3)+(S3*Inputs!$C$11)/(1+Inputs!$C$6)^(4.55)</f>
        <v>29368.916127729579</v>
      </c>
    </row>
    <row r="4" spans="1:28">
      <c r="A4" s="192" t="str">
        <f>Usuarios!A10</f>
        <v>01 2</v>
      </c>
      <c r="B4" s="50" t="str">
        <f>Usuarios!B10</f>
        <v>Residencial</v>
      </c>
      <c r="C4" s="50">
        <f>Usuarios!C10</f>
        <v>2</v>
      </c>
      <c r="D4" s="51">
        <f>Usuarios!D10</f>
        <v>8</v>
      </c>
      <c r="E4" s="51">
        <f>Usuarios!E10</f>
        <v>23</v>
      </c>
      <c r="G4" s="51"/>
      <c r="H4" s="51">
        <f>SUMIFS(Tarifas!$AF$7:$AF$320,Tarifas!$AB$7:$AB$320,$A4)*SUMIFS(Mercado!G$9:G$160,Mercado!$A$9:$A$160,$A4)</f>
        <v>14248.999852236173</v>
      </c>
      <c r="I4" s="51">
        <f>SUMIFS(Tarifas!$AF$7:$AF$320,Tarifas!$AB$7:$AB$320,$A4)*SUMIFS(Mercado!H$9:H$160,Mercado!$A$9:$A$160,$A4)</f>
        <v>14056.912411133992</v>
      </c>
      <c r="J4" s="51">
        <f>SUMIFS(Tarifas!$AF$7:$AF$320,Tarifas!$AB$7:$AB$320,$A4)*SUMIFS(Mercado!I$9:I$160,Mercado!$A$9:$A$160,$A4)</f>
        <v>13918.445694196895</v>
      </c>
      <c r="K4" s="51">
        <f>SUMIFS(Tarifas!$AF$7:$AF$320,Tarifas!$AB$7:$AB$320,$A4)*SUMIFS(Mercado!J$9:J$160,Mercado!$A$9:$A$160,$A4)</f>
        <v>13835.213942420416</v>
      </c>
      <c r="L4" s="51">
        <f>SUMIFS(Tarifas!$AF$7:$AF$320,Tarifas!$AB$7:$AB$320,$A4)*SUMIFS(Mercado!K$9:K$160,Mercado!$A$9:$A$160,$A4)</f>
        <v>13745.649279182164</v>
      </c>
      <c r="N4" s="55">
        <f t="shared" ref="N4:N67" si="5">G4</f>
        <v>0</v>
      </c>
      <c r="O4" s="55">
        <f t="shared" si="0"/>
        <v>14248.999852236173</v>
      </c>
      <c r="P4" s="55">
        <f t="shared" si="1"/>
        <v>14056.912411133992</v>
      </c>
      <c r="Q4" s="55">
        <f t="shared" si="2"/>
        <v>13918.445694196895</v>
      </c>
      <c r="R4" s="55">
        <f t="shared" si="3"/>
        <v>13835.213942420416</v>
      </c>
      <c r="S4" s="55">
        <f t="shared" si="4"/>
        <v>13745.649279182164</v>
      </c>
      <c r="U4" s="51">
        <f>NPV(Inputs!$C$6,'Vendas ajustada'!O4:R4)+(S4*Inputs!$C$11)/(1+Inputs!$C$6)^(4.55)</f>
        <v>50663.536796456887</v>
      </c>
    </row>
    <row r="5" spans="1:28">
      <c r="A5" s="192" t="str">
        <f>Usuarios!A11</f>
        <v>01 3</v>
      </c>
      <c r="B5" s="50" t="str">
        <f>Usuarios!B11</f>
        <v>Residencial</v>
      </c>
      <c r="C5" s="50">
        <f>Usuarios!C11</f>
        <v>3</v>
      </c>
      <c r="D5" s="51">
        <f>Usuarios!D11</f>
        <v>24</v>
      </c>
      <c r="E5" s="51">
        <f>Usuarios!E11</f>
        <v>83</v>
      </c>
      <c r="G5" s="51"/>
      <c r="H5" s="51">
        <f>SUMIFS(Tarifas!$AF$7:$AF$320,Tarifas!$AB$7:$AB$320,$A5)*SUMIFS(Mercado!G$9:G$160,Mercado!$A$9:$A$160,$A5)</f>
        <v>5352.9795936754008</v>
      </c>
      <c r="I5" s="51">
        <f>SUMIFS(Tarifas!$AF$7:$AF$320,Tarifas!$AB$7:$AB$320,$A5)*SUMIFS(Mercado!H$9:H$160,Mercado!$A$9:$A$160,$A5)</f>
        <v>5224.2401565007804</v>
      </c>
      <c r="J5" s="51">
        <f>SUMIFS(Tarifas!$AF$7:$AF$320,Tarifas!$AB$7:$AB$320,$A5)*SUMIFS(Mercado!I$9:I$160,Mercado!$A$9:$A$160,$A5)</f>
        <v>5117.359434690803</v>
      </c>
      <c r="K5" s="51">
        <f>SUMIFS(Tarifas!$AF$7:$AF$320,Tarifas!$AB$7:$AB$320,$A5)*SUMIFS(Mercado!J$9:J$160,Mercado!$A$9:$A$160,$A5)</f>
        <v>5032.2597580628908</v>
      </c>
      <c r="L5" s="51">
        <f>SUMIFS(Tarifas!$AF$7:$AF$320,Tarifas!$AB$7:$AB$320,$A5)*SUMIFS(Mercado!K$9:K$160,Mercado!$A$9:$A$160,$A5)</f>
        <v>4946.1173784402572</v>
      </c>
      <c r="N5" s="55">
        <f t="shared" si="5"/>
        <v>0</v>
      </c>
      <c r="O5" s="55">
        <f t="shared" si="0"/>
        <v>5352.9795936754008</v>
      </c>
      <c r="P5" s="55">
        <f t="shared" si="1"/>
        <v>5224.2401565007804</v>
      </c>
      <c r="Q5" s="55">
        <f t="shared" si="2"/>
        <v>5117.359434690803</v>
      </c>
      <c r="R5" s="55">
        <f t="shared" si="3"/>
        <v>5032.2597580628908</v>
      </c>
      <c r="S5" s="55">
        <f t="shared" si="4"/>
        <v>4946.1173784402572</v>
      </c>
      <c r="U5" s="51">
        <f>NPV(Inputs!$C$6,'Vendas ajustada'!O5:R5)+(S5*Inputs!$C$11)/(1+Inputs!$C$6)^(4.55)</f>
        <v>18700.325188554718</v>
      </c>
    </row>
    <row r="6" spans="1:28">
      <c r="A6" s="192" t="str">
        <f>Usuarios!A12</f>
        <v>01 4</v>
      </c>
      <c r="B6" s="50" t="str">
        <f>Usuarios!B12</f>
        <v>Residencial</v>
      </c>
      <c r="C6" s="50">
        <f>Usuarios!C12</f>
        <v>4</v>
      </c>
      <c r="D6" s="51">
        <f>Usuarios!D12</f>
        <v>83</v>
      </c>
      <c r="E6" s="51">
        <f>Usuarios!E12</f>
        <v>999999999</v>
      </c>
      <c r="G6" s="51"/>
      <c r="H6" s="51">
        <f>SUMIFS(Tarifas!$AF$7:$AF$320,Tarifas!$AB$7:$AB$320,$A6)*SUMIFS(Mercado!G$9:G$160,Mercado!$A$9:$A$160,$A6)</f>
        <v>443.6204130849888</v>
      </c>
      <c r="I6" s="51">
        <f>SUMIFS(Tarifas!$AF$7:$AF$320,Tarifas!$AB$7:$AB$320,$A6)*SUMIFS(Mercado!H$9:H$160,Mercado!$A$9:$A$160,$A6)</f>
        <v>360.5652868473457</v>
      </c>
      <c r="J6" s="51">
        <f>SUMIFS(Tarifas!$AF$7:$AF$320,Tarifas!$AB$7:$AB$320,$A6)*SUMIFS(Mercado!I$9:I$160,Mercado!$A$9:$A$160,$A6)</f>
        <v>294.13827959653668</v>
      </c>
      <c r="K6" s="51">
        <f>SUMIFS(Tarifas!$AF$7:$AF$320,Tarifas!$AB$7:$AB$320,$A6)*SUMIFS(Mercado!J$9:J$160,Mercado!$A$9:$A$160,$A6)</f>
        <v>240.88708836194343</v>
      </c>
      <c r="L6" s="51">
        <f>SUMIFS(Tarifas!$AF$7:$AF$320,Tarifas!$AB$7:$AB$320,$A6)*SUMIFS(Mercado!K$9:K$160,Mercado!$A$9:$A$160,$A6)</f>
        <v>197.17858060489553</v>
      </c>
      <c r="N6" s="55">
        <f t="shared" si="5"/>
        <v>0</v>
      </c>
      <c r="O6" s="55">
        <f t="shared" si="0"/>
        <v>443.6204130849888</v>
      </c>
      <c r="P6" s="55">
        <f t="shared" si="1"/>
        <v>360.5652868473457</v>
      </c>
      <c r="Q6" s="55">
        <f t="shared" si="2"/>
        <v>294.13827959653668</v>
      </c>
      <c r="R6" s="55">
        <f t="shared" si="3"/>
        <v>240.88708836194343</v>
      </c>
      <c r="S6" s="55">
        <f t="shared" si="4"/>
        <v>197.17858060489553</v>
      </c>
      <c r="U6" s="51">
        <f>NPV(Inputs!$C$6,'Vendas ajustada'!O6:R6)+(S6*Inputs!$C$11)/(1+Inputs!$C$6)^(4.55)</f>
        <v>1183.6063349490278</v>
      </c>
    </row>
    <row r="7" spans="1:28">
      <c r="A7" s="192"/>
      <c r="D7" s="51"/>
      <c r="E7" s="51"/>
      <c r="F7" s="51"/>
      <c r="G7" s="51"/>
      <c r="H7" s="51">
        <f>SUMIFS(Tarifas!$AF$7:$AF$320,Tarifas!$AB$7:$AB$320,$A7)*SUMIFS(Mercado!G$9:G$160,Mercado!$A$9:$A$160,$A7)</f>
        <v>0</v>
      </c>
      <c r="I7" s="51">
        <f>SUMIFS(Tarifas!$AF$7:$AF$320,Tarifas!$AB$7:$AB$320,$A7)*SUMIFS(Mercado!H$9:H$160,Mercado!$A$9:$A$160,$A7)</f>
        <v>0</v>
      </c>
      <c r="J7" s="51">
        <f>SUMIFS(Tarifas!$AF$7:$AF$320,Tarifas!$AB$7:$AB$320,$A7)*SUMIFS(Mercado!I$9:I$160,Mercado!$A$9:$A$160,$A7)</f>
        <v>0</v>
      </c>
      <c r="K7" s="51">
        <f>SUMIFS(Tarifas!$AF$7:$AF$320,Tarifas!$AB$7:$AB$320,$A7)*SUMIFS(Mercado!J$9:J$160,Mercado!$A$9:$A$160,$A7)</f>
        <v>0</v>
      </c>
      <c r="L7" s="51">
        <f>SUMIFS(Tarifas!$AF$7:$AF$320,Tarifas!$AB$7:$AB$320,$A7)*SUMIFS(Mercado!K$9:K$160,Mercado!$A$9:$A$160,$A7)</f>
        <v>0</v>
      </c>
      <c r="M7" s="51"/>
      <c r="N7" s="55">
        <f t="shared" si="5"/>
        <v>0</v>
      </c>
      <c r="O7" s="55">
        <f t="shared" si="0"/>
        <v>0</v>
      </c>
      <c r="P7" s="55">
        <f t="shared" si="1"/>
        <v>0</v>
      </c>
      <c r="Q7" s="55">
        <f t="shared" si="2"/>
        <v>0</v>
      </c>
      <c r="R7" s="55">
        <f t="shared" si="3"/>
        <v>0</v>
      </c>
      <c r="S7" s="55">
        <f t="shared" si="4"/>
        <v>0</v>
      </c>
      <c r="T7" s="51"/>
      <c r="U7" s="51">
        <f>NPV(Inputs!$C$6,'Vendas ajustada'!O7:R7)+(S7*Inputs!$C$11)/(1+Inputs!$C$6)^(4.55)</f>
        <v>0</v>
      </c>
    </row>
    <row r="8" spans="1:28">
      <c r="A8" s="192" t="str">
        <f>Usuarios!A14</f>
        <v>02 1</v>
      </c>
      <c r="B8" s="50" t="str">
        <f>Usuarios!B14</f>
        <v>Residencial Social MCMV</v>
      </c>
      <c r="C8" s="50">
        <f>Usuarios!C14</f>
        <v>1</v>
      </c>
      <c r="D8" s="51">
        <f>Usuarios!D14</f>
        <v>0</v>
      </c>
      <c r="E8" s="51">
        <f>Usuarios!E14</f>
        <v>7</v>
      </c>
      <c r="G8" s="51"/>
      <c r="H8" s="51">
        <f>SUMIFS(Tarifas!$AF$7:$AF$320,Tarifas!$AB$7:$AB$320,$A8)*SUMIFS(Mercado!G$9:G$160,Mercado!$A$9:$A$160,$A8)</f>
        <v>30.306473337067349</v>
      </c>
      <c r="I8" s="51">
        <f>SUMIFS(Tarifas!$AF$7:$AF$320,Tarifas!$AB$7:$AB$320,$A8)*SUMIFS(Mercado!H$9:H$160,Mercado!$A$9:$A$160,$A8)</f>
        <v>27.138144706864903</v>
      </c>
      <c r="J8" s="51">
        <f>SUMIFS(Tarifas!$AF$7:$AF$320,Tarifas!$AB$7:$AB$320,$A8)*SUMIFS(Mercado!I$9:I$160,Mercado!$A$9:$A$160,$A8)</f>
        <v>35.133497384437568</v>
      </c>
      <c r="K8" s="51">
        <f>SUMIFS(Tarifas!$AF$7:$AF$320,Tarifas!$AB$7:$AB$320,$A8)*SUMIFS(Mercado!J$9:J$160,Mercado!$A$9:$A$160,$A8)</f>
        <v>35.215657813927926</v>
      </c>
      <c r="L8" s="51">
        <f>SUMIFS(Tarifas!$AF$7:$AF$320,Tarifas!$AB$7:$AB$320,$A8)*SUMIFS(Mercado!K$9:K$160,Mercado!$A$9:$A$160,$A8)</f>
        <v>35.280478427284883</v>
      </c>
      <c r="N8" s="55">
        <f t="shared" si="5"/>
        <v>0</v>
      </c>
      <c r="O8" s="55">
        <f t="shared" si="0"/>
        <v>30.306473337067349</v>
      </c>
      <c r="P8" s="55">
        <f t="shared" si="1"/>
        <v>27.138144706864903</v>
      </c>
      <c r="Q8" s="55">
        <f t="shared" si="2"/>
        <v>35.133497384437568</v>
      </c>
      <c r="R8" s="55">
        <f t="shared" si="3"/>
        <v>35.215657813927926</v>
      </c>
      <c r="S8" s="55">
        <f t="shared" si="4"/>
        <v>35.280478427284883</v>
      </c>
      <c r="U8" s="51">
        <f>NPV(Inputs!$C$6,'Vendas ajustada'!O8:R8)+(S8*Inputs!$C$11)/(1+Inputs!$C$6)^(4.55)</f>
        <v>116.08045766850705</v>
      </c>
    </row>
    <row r="9" spans="1:28">
      <c r="A9" s="192" t="str">
        <f>Usuarios!A15</f>
        <v>02 2</v>
      </c>
      <c r="B9" s="50" t="str">
        <f>Usuarios!B15</f>
        <v>Residencial Social MCMV</v>
      </c>
      <c r="C9" s="50">
        <f>Usuarios!C15</f>
        <v>2</v>
      </c>
      <c r="D9" s="51">
        <f>Usuarios!D15</f>
        <v>8</v>
      </c>
      <c r="E9" s="51">
        <f>Usuarios!E15</f>
        <v>23</v>
      </c>
      <c r="G9" s="51"/>
      <c r="H9" s="51">
        <f>SUMIFS(Tarifas!$AF$7:$AF$320,Tarifas!$AB$7:$AB$320,$A9)*SUMIFS(Mercado!G$9:G$160,Mercado!$A$9:$A$160,$A9)</f>
        <v>82.192603713923731</v>
      </c>
      <c r="I9" s="51">
        <f>SUMIFS(Tarifas!$AF$7:$AF$320,Tarifas!$AB$7:$AB$320,$A9)*SUMIFS(Mercado!H$9:H$160,Mercado!$A$9:$A$160,$A9)</f>
        <v>65.746057002837517</v>
      </c>
      <c r="J9" s="51">
        <f>SUMIFS(Tarifas!$AF$7:$AF$320,Tarifas!$AB$7:$AB$320,$A9)*SUMIFS(Mercado!I$9:I$160,Mercado!$A$9:$A$160,$A9)</f>
        <v>84.318650672846445</v>
      </c>
      <c r="K9" s="51">
        <f>SUMIFS(Tarifas!$AF$7:$AF$320,Tarifas!$AB$7:$AB$320,$A9)*SUMIFS(Mercado!J$9:J$160,Mercado!$A$9:$A$160,$A9)</f>
        <v>83.724155412736522</v>
      </c>
      <c r="L9" s="51">
        <f>SUMIFS(Tarifas!$AF$7:$AF$320,Tarifas!$AB$7:$AB$320,$A9)*SUMIFS(Mercado!K$9:K$160,Mercado!$A$9:$A$160,$A9)</f>
        <v>83.092560450450648</v>
      </c>
      <c r="N9" s="55">
        <f t="shared" si="5"/>
        <v>0</v>
      </c>
      <c r="O9" s="55">
        <f t="shared" si="0"/>
        <v>82.192603713923731</v>
      </c>
      <c r="P9" s="55">
        <f t="shared" si="1"/>
        <v>65.746057002837517</v>
      </c>
      <c r="Q9" s="55">
        <f t="shared" si="2"/>
        <v>84.318650672846445</v>
      </c>
      <c r="R9" s="55">
        <f t="shared" si="3"/>
        <v>83.724155412736522</v>
      </c>
      <c r="S9" s="55">
        <f t="shared" si="4"/>
        <v>83.092560450450648</v>
      </c>
      <c r="U9" s="51">
        <f>NPV(Inputs!$C$6,'Vendas ajustada'!O9:R9)+(S9*Inputs!$C$11)/(1+Inputs!$C$6)^(4.55)</f>
        <v>286.63853637749145</v>
      </c>
    </row>
    <row r="10" spans="1:28">
      <c r="A10" s="192" t="str">
        <f>Usuarios!A16</f>
        <v>02 3</v>
      </c>
      <c r="B10" s="50" t="str">
        <f>Usuarios!B16</f>
        <v>Residencial Social MCMV</v>
      </c>
      <c r="C10" s="50">
        <f>Usuarios!C16</f>
        <v>3</v>
      </c>
      <c r="D10" s="51">
        <f>Usuarios!D16</f>
        <v>24</v>
      </c>
      <c r="E10" s="51">
        <f>Usuarios!E16</f>
        <v>83</v>
      </c>
      <c r="G10" s="51"/>
      <c r="H10" s="51">
        <f>SUMIFS(Tarifas!$AF$7:$AF$320,Tarifas!$AB$7:$AB$320,$A10)*SUMIFS(Mercado!G$9:G$160,Mercado!$A$9:$A$160,$A10)</f>
        <v>20.348446127831846</v>
      </c>
      <c r="I10" s="51">
        <f>SUMIFS(Tarifas!$AF$7:$AF$320,Tarifas!$AB$7:$AB$320,$A10)*SUMIFS(Mercado!H$9:H$160,Mercado!$A$9:$A$160,$A10)</f>
        <v>13.182453154764591</v>
      </c>
      <c r="J10" s="51">
        <f>SUMIFS(Tarifas!$AF$7:$AF$320,Tarifas!$AB$7:$AB$320,$A10)*SUMIFS(Mercado!I$9:I$160,Mercado!$A$9:$A$160,$A10)</f>
        <v>13.692356092353053</v>
      </c>
      <c r="K10" s="51">
        <f>SUMIFS(Tarifas!$AF$7:$AF$320,Tarifas!$AB$7:$AB$320,$A10)*SUMIFS(Mercado!J$9:J$160,Mercado!$A$9:$A$160,$A10)</f>
        <v>11.011166373743317</v>
      </c>
      <c r="L10" s="51">
        <f>SUMIFS(Tarifas!$AF$7:$AF$320,Tarifas!$AB$7:$AB$320,$A10)*SUMIFS(Mercado!K$9:K$160,Mercado!$A$9:$A$160,$A10)</f>
        <v>8.8505998000122368</v>
      </c>
      <c r="N10" s="55">
        <f t="shared" si="5"/>
        <v>0</v>
      </c>
      <c r="O10" s="55">
        <f t="shared" si="0"/>
        <v>20.348446127831846</v>
      </c>
      <c r="P10" s="55">
        <f t="shared" si="1"/>
        <v>13.182453154764591</v>
      </c>
      <c r="Q10" s="55">
        <f t="shared" si="2"/>
        <v>13.692356092353053</v>
      </c>
      <c r="R10" s="55">
        <f t="shared" si="3"/>
        <v>11.011166373743317</v>
      </c>
      <c r="S10" s="55">
        <f t="shared" si="4"/>
        <v>8.8505998000122368</v>
      </c>
      <c r="U10" s="51">
        <f>NPV(Inputs!$C$6,'Vendas ajustada'!O10:R10)+(S10*Inputs!$C$11)/(1+Inputs!$C$6)^(4.55)</f>
        <v>51.517549355536559</v>
      </c>
    </row>
    <row r="11" spans="1:28">
      <c r="A11" s="192" t="str">
        <f>Usuarios!A17</f>
        <v>02 4</v>
      </c>
      <c r="B11" s="50" t="str">
        <f>Usuarios!B17</f>
        <v>Residencial Social MCMV</v>
      </c>
      <c r="C11" s="50">
        <f>Usuarios!C17</f>
        <v>4</v>
      </c>
      <c r="D11" s="51">
        <f>Usuarios!D17</f>
        <v>83</v>
      </c>
      <c r="E11" s="51">
        <f>Usuarios!E17</f>
        <v>999999999</v>
      </c>
      <c r="G11" s="51"/>
      <c r="H11" s="51">
        <f>SUMIFS(Tarifas!$AF$7:$AF$320,Tarifas!$AB$7:$AB$320,$A11)*SUMIFS(Mercado!G$9:G$160,Mercado!$A$9:$A$160,$A11)</f>
        <v>3.5652164975363263</v>
      </c>
      <c r="I11" s="51">
        <f>SUMIFS(Tarifas!$AF$7:$AF$320,Tarifas!$AB$7:$AB$320,$A11)*SUMIFS(Mercado!H$9:H$160,Mercado!$A$9:$A$160,$A11)</f>
        <v>0</v>
      </c>
      <c r="J11" s="51">
        <f>SUMIFS(Tarifas!$AF$7:$AF$320,Tarifas!$AB$7:$AB$320,$A11)*SUMIFS(Mercado!I$9:I$160,Mercado!$A$9:$A$160,$A11)</f>
        <v>6.2100065033918384</v>
      </c>
      <c r="K11" s="51">
        <f>SUMIFS(Tarifas!$AF$7:$AF$320,Tarifas!$AB$7:$AB$320,$A11)*SUMIFS(Mercado!J$9:J$160,Mercado!$A$9:$A$160,$A11)</f>
        <v>11.660934772528773</v>
      </c>
      <c r="L11" s="51">
        <f>SUMIFS(Tarifas!$AF$7:$AF$320,Tarifas!$AB$7:$AB$320,$A11)*SUMIFS(Mercado!K$9:K$160,Mercado!$A$9:$A$160,$A11)</f>
        <v>16.491179149932947</v>
      </c>
      <c r="N11" s="55">
        <f t="shared" si="5"/>
        <v>0</v>
      </c>
      <c r="O11" s="55">
        <f t="shared" si="0"/>
        <v>3.5652164975363263</v>
      </c>
      <c r="P11" s="55">
        <f t="shared" si="1"/>
        <v>0</v>
      </c>
      <c r="Q11" s="55">
        <f t="shared" si="2"/>
        <v>6.2100065033918384</v>
      </c>
      <c r="R11" s="55">
        <f t="shared" si="3"/>
        <v>11.660934772528773</v>
      </c>
      <c r="S11" s="55">
        <f t="shared" si="4"/>
        <v>16.491179149932947</v>
      </c>
      <c r="U11" s="51">
        <f>NPV(Inputs!$C$6,'Vendas ajustada'!O11:R11)+(S11*Inputs!$C$11)/(1+Inputs!$C$6)^(4.55)</f>
        <v>22.520513238126398</v>
      </c>
    </row>
    <row r="12" spans="1:28">
      <c r="A12" s="192"/>
      <c r="D12" s="51"/>
      <c r="E12" s="51"/>
      <c r="F12" s="51"/>
      <c r="G12" s="51"/>
      <c r="H12" s="51">
        <f>SUMIFS(Tarifas!$AF$7:$AF$320,Tarifas!$AB$7:$AB$320,$A12)*SUMIFS(Mercado!G$9:G$160,Mercado!$A$9:$A$160,$A12)</f>
        <v>0</v>
      </c>
      <c r="I12" s="51">
        <f>SUMIFS(Tarifas!$AF$7:$AF$320,Tarifas!$AB$7:$AB$320,$A12)*SUMIFS(Mercado!H$9:H$160,Mercado!$A$9:$A$160,$A12)</f>
        <v>0</v>
      </c>
      <c r="J12" s="51">
        <f>SUMIFS(Tarifas!$AF$7:$AF$320,Tarifas!$AB$7:$AB$320,$A12)*SUMIFS(Mercado!I$9:I$160,Mercado!$A$9:$A$160,$A12)</f>
        <v>0</v>
      </c>
      <c r="K12" s="51">
        <f>SUMIFS(Tarifas!$AF$7:$AF$320,Tarifas!$AB$7:$AB$320,$A12)*SUMIFS(Mercado!J$9:J$160,Mercado!$A$9:$A$160,$A12)</f>
        <v>0</v>
      </c>
      <c r="L12" s="51">
        <f>SUMIFS(Tarifas!$AF$7:$AF$320,Tarifas!$AB$7:$AB$320,$A12)*SUMIFS(Mercado!K$9:K$160,Mercado!$A$9:$A$160,$A12)</f>
        <v>0</v>
      </c>
      <c r="M12" s="51"/>
      <c r="N12" s="55">
        <f t="shared" si="5"/>
        <v>0</v>
      </c>
      <c r="O12" s="55">
        <f t="shared" si="0"/>
        <v>0</v>
      </c>
      <c r="P12" s="55">
        <f t="shared" si="1"/>
        <v>0</v>
      </c>
      <c r="Q12" s="55">
        <f t="shared" si="2"/>
        <v>0</v>
      </c>
      <c r="R12" s="55">
        <f t="shared" si="3"/>
        <v>0</v>
      </c>
      <c r="S12" s="55">
        <f t="shared" si="4"/>
        <v>0</v>
      </c>
      <c r="T12" s="51"/>
      <c r="U12" s="51">
        <f>NPV(Inputs!$C$6,'Vendas ajustada'!O12:R12)+(S12*Inputs!$C$11)/(1+Inputs!$C$6)^(4.55)</f>
        <v>0</v>
      </c>
    </row>
    <row r="13" spans="1:28">
      <c r="A13" s="192" t="str">
        <f>Usuarios!A19</f>
        <v>03 1</v>
      </c>
      <c r="B13" s="50" t="str">
        <f>Usuarios!B19</f>
        <v>Comercial</v>
      </c>
      <c r="C13" s="50">
        <f>Usuarios!C19</f>
        <v>1</v>
      </c>
      <c r="D13" s="51">
        <f>Usuarios!D19</f>
        <v>0</v>
      </c>
      <c r="E13" s="51">
        <f>Usuarios!E19</f>
        <v>200</v>
      </c>
      <c r="G13" s="51"/>
      <c r="H13" s="51">
        <f>SUMIFS(Tarifas!$AF$7:$AF$320,Tarifas!$AB$7:$AB$320,$A13)*SUMIFS(Mercado!G$9:G$160,Mercado!$A$9:$A$160,$A13)</f>
        <v>2859.1040751705218</v>
      </c>
      <c r="I13" s="51">
        <f>SUMIFS(Tarifas!$AF$7:$AF$320,Tarifas!$AB$7:$AB$320,$A13)*SUMIFS(Mercado!H$9:H$160,Mercado!$A$9:$A$160,$A13)</f>
        <v>2762.2922999165053</v>
      </c>
      <c r="J13" s="51">
        <f>SUMIFS(Tarifas!$AF$7:$AF$320,Tarifas!$AB$7:$AB$320,$A13)*SUMIFS(Mercado!I$9:I$160,Mercado!$A$9:$A$160,$A13)</f>
        <v>2662.029995385501</v>
      </c>
      <c r="K13" s="51">
        <f>SUMIFS(Tarifas!$AF$7:$AF$320,Tarifas!$AB$7:$AB$320,$A13)*SUMIFS(Mercado!J$9:J$160,Mercado!$A$9:$A$160,$A13)</f>
        <v>2612.729336876364</v>
      </c>
      <c r="L13" s="51">
        <f>SUMIFS(Tarifas!$AF$7:$AF$320,Tarifas!$AB$7:$AB$320,$A13)*SUMIFS(Mercado!K$9:K$160,Mercado!$A$9:$A$160,$A13)</f>
        <v>2608.1195233058838</v>
      </c>
      <c r="N13" s="55">
        <f t="shared" si="5"/>
        <v>0</v>
      </c>
      <c r="O13" s="55">
        <f t="shared" si="0"/>
        <v>2859.1040751705218</v>
      </c>
      <c r="P13" s="55">
        <f t="shared" si="1"/>
        <v>2762.2922999165053</v>
      </c>
      <c r="Q13" s="55">
        <f t="shared" si="2"/>
        <v>2662.029995385501</v>
      </c>
      <c r="R13" s="55">
        <f t="shared" si="3"/>
        <v>2612.729336876364</v>
      </c>
      <c r="S13" s="55">
        <f t="shared" si="4"/>
        <v>2608.1195233058838</v>
      </c>
      <c r="U13" s="51">
        <f>NPV(Inputs!$C$6,'Vendas ajustada'!O13:R13)+(S13*Inputs!$C$11)/(1+Inputs!$C$6)^(4.55)</f>
        <v>9843.439342711823</v>
      </c>
      <c r="V13" s="51"/>
      <c r="W13" s="51"/>
      <c r="X13" s="51"/>
      <c r="Y13" s="51"/>
      <c r="Z13" s="51"/>
      <c r="AA13" s="51"/>
      <c r="AB13" s="51"/>
    </row>
    <row r="14" spans="1:28">
      <c r="A14" s="192" t="str">
        <f>Usuarios!A20</f>
        <v>03 2</v>
      </c>
      <c r="B14" s="50" t="str">
        <f>Usuarios!B20</f>
        <v>Comercial</v>
      </c>
      <c r="C14" s="50">
        <f>Usuarios!C20</f>
        <v>2</v>
      </c>
      <c r="D14" s="51">
        <f>Usuarios!D20</f>
        <v>201</v>
      </c>
      <c r="E14" s="51">
        <f>Usuarios!E20</f>
        <v>500</v>
      </c>
      <c r="G14" s="51"/>
      <c r="H14" s="51">
        <f>SUMIFS(Tarifas!$AF$7:$AF$320,Tarifas!$AB$7:$AB$320,$A14)*SUMIFS(Mercado!G$9:G$160,Mercado!$A$9:$A$160,$A14)</f>
        <v>4573.6972829126689</v>
      </c>
      <c r="I14" s="51">
        <f>SUMIFS(Tarifas!$AF$7:$AF$320,Tarifas!$AB$7:$AB$320,$A14)*SUMIFS(Mercado!H$9:H$160,Mercado!$A$9:$A$160,$A14)</f>
        <v>4488.0345710776583</v>
      </c>
      <c r="J14" s="51">
        <f>SUMIFS(Tarifas!$AF$7:$AF$320,Tarifas!$AB$7:$AB$320,$A14)*SUMIFS(Mercado!I$9:I$160,Mercado!$A$9:$A$160,$A14)</f>
        <v>4218.6167766332392</v>
      </c>
      <c r="K14" s="51">
        <f>SUMIFS(Tarifas!$AF$7:$AF$320,Tarifas!$AB$7:$AB$320,$A14)*SUMIFS(Mercado!J$9:J$160,Mercado!$A$9:$A$160,$A14)</f>
        <v>4140.4882110474891</v>
      </c>
      <c r="L14" s="51">
        <f>SUMIFS(Tarifas!$AF$7:$AF$320,Tarifas!$AB$7:$AB$320,$A14)*SUMIFS(Mercado!K$9:K$160,Mercado!$A$9:$A$160,$A14)</f>
        <v>4133.1828700485949</v>
      </c>
      <c r="N14" s="55">
        <f t="shared" si="5"/>
        <v>0</v>
      </c>
      <c r="O14" s="55">
        <f t="shared" si="0"/>
        <v>4573.6972829126689</v>
      </c>
      <c r="P14" s="55">
        <f t="shared" si="1"/>
        <v>4488.0345710776583</v>
      </c>
      <c r="Q14" s="55">
        <f t="shared" si="2"/>
        <v>4218.6167766332392</v>
      </c>
      <c r="R14" s="55">
        <f t="shared" si="3"/>
        <v>4140.4882110474891</v>
      </c>
      <c r="S14" s="55">
        <f t="shared" si="4"/>
        <v>4133.1828700485949</v>
      </c>
      <c r="U14" s="51">
        <f>NPV(Inputs!$C$6,'Vendas ajustada'!O14:R14)+(S14*Inputs!$C$11)/(1+Inputs!$C$6)^(4.55)</f>
        <v>15731.693725818966</v>
      </c>
      <c r="V14" s="51"/>
      <c r="W14" s="51"/>
      <c r="X14" s="51"/>
      <c r="Y14" s="51"/>
      <c r="Z14" s="51"/>
      <c r="AA14" s="51"/>
      <c r="AB14" s="51"/>
    </row>
    <row r="15" spans="1:28">
      <c r="A15" s="192" t="str">
        <f>Usuarios!A21</f>
        <v>03 3</v>
      </c>
      <c r="B15" s="50" t="str">
        <f>Usuarios!B21</f>
        <v>Comercial</v>
      </c>
      <c r="C15" s="50">
        <f>Usuarios!C21</f>
        <v>3</v>
      </c>
      <c r="D15" s="51">
        <f>Usuarios!D21</f>
        <v>501</v>
      </c>
      <c r="E15" s="51">
        <f>Usuarios!E21</f>
        <v>2000</v>
      </c>
      <c r="G15" s="51"/>
      <c r="H15" s="51">
        <f>SUMIFS(Tarifas!$AF$7:$AF$320,Tarifas!$AB$7:$AB$320,$A15)*SUMIFS(Mercado!G$9:G$160,Mercado!$A$9:$A$160,$A15)</f>
        <v>4879.8767791145065</v>
      </c>
      <c r="I15" s="51">
        <f>SUMIFS(Tarifas!$AF$7:$AF$320,Tarifas!$AB$7:$AB$320,$A15)*SUMIFS(Mercado!H$9:H$160,Mercado!$A$9:$A$160,$A15)</f>
        <v>4988.7513394729576</v>
      </c>
      <c r="J15" s="51">
        <f>SUMIFS(Tarifas!$AF$7:$AF$320,Tarifas!$AB$7:$AB$320,$A15)*SUMIFS(Mercado!I$9:I$160,Mercado!$A$9:$A$160,$A15)</f>
        <v>4388.1556542283088</v>
      </c>
      <c r="K15" s="51">
        <f>SUMIFS(Tarifas!$AF$7:$AF$320,Tarifas!$AB$7:$AB$320,$A15)*SUMIFS(Mercado!J$9:J$160,Mercado!$A$9:$A$160,$A15)</f>
        <v>4306.8872373550721</v>
      </c>
      <c r="L15" s="51">
        <f>SUMIFS(Tarifas!$AF$7:$AF$320,Tarifas!$AB$7:$AB$320,$A15)*SUMIFS(Mercado!K$9:K$160,Mercado!$A$9:$A$160,$A15)</f>
        <v>4299.2883073958665</v>
      </c>
      <c r="N15" s="55">
        <f t="shared" si="5"/>
        <v>0</v>
      </c>
      <c r="O15" s="55">
        <f t="shared" si="0"/>
        <v>4879.8767791145065</v>
      </c>
      <c r="P15" s="55">
        <f t="shared" si="1"/>
        <v>4988.7513394729576</v>
      </c>
      <c r="Q15" s="55">
        <f t="shared" si="2"/>
        <v>4388.1556542283088</v>
      </c>
      <c r="R15" s="55">
        <f t="shared" si="3"/>
        <v>4306.8872373550721</v>
      </c>
      <c r="S15" s="55">
        <f t="shared" si="4"/>
        <v>4299.2883073958665</v>
      </c>
      <c r="U15" s="51">
        <f>NPV(Inputs!$C$6,'Vendas ajustada'!O15:R15)+(S15*Inputs!$C$11)/(1+Inputs!$C$6)^(4.55)</f>
        <v>16746.300975777744</v>
      </c>
      <c r="V15" s="51"/>
      <c r="W15" s="51"/>
      <c r="X15" s="51"/>
      <c r="Y15" s="51"/>
      <c r="Z15" s="51"/>
      <c r="AA15" s="51"/>
      <c r="AB15" s="51"/>
    </row>
    <row r="16" spans="1:28">
      <c r="A16" s="192" t="str">
        <f>Usuarios!A22</f>
        <v>03 4</v>
      </c>
      <c r="B16" s="50" t="str">
        <f>Usuarios!B22</f>
        <v>Comercial</v>
      </c>
      <c r="C16" s="50">
        <f>Usuarios!C22</f>
        <v>4</v>
      </c>
      <c r="D16" s="51">
        <f>Usuarios!D22</f>
        <v>2001</v>
      </c>
      <c r="E16" s="51">
        <f>Usuarios!E22</f>
        <v>20000</v>
      </c>
      <c r="G16" s="51"/>
      <c r="H16" s="51">
        <f>SUMIFS(Tarifas!$AF$7:$AF$320,Tarifas!$AB$7:$AB$320,$A16)*SUMIFS(Mercado!G$9:G$160,Mercado!$A$9:$A$160,$A16)</f>
        <v>1599.130110380549</v>
      </c>
      <c r="I16" s="51">
        <f>SUMIFS(Tarifas!$AF$7:$AF$320,Tarifas!$AB$7:$AB$320,$A16)*SUMIFS(Mercado!H$9:H$160,Mercado!$A$9:$A$160,$A16)</f>
        <v>1415.8588571722992</v>
      </c>
      <c r="J16" s="51">
        <f>SUMIFS(Tarifas!$AF$7:$AF$320,Tarifas!$AB$7:$AB$320,$A16)*SUMIFS(Mercado!I$9:I$160,Mercado!$A$9:$A$160,$A16)</f>
        <v>1960.6225453473694</v>
      </c>
      <c r="K16" s="51">
        <f>SUMIFS(Tarifas!$AF$7:$AF$320,Tarifas!$AB$7:$AB$320,$A16)*SUMIFS(Mercado!J$9:J$160,Mercado!$A$9:$A$160,$A16)</f>
        <v>1924.311916713943</v>
      </c>
      <c r="L16" s="51">
        <f>SUMIFS(Tarifas!$AF$7:$AF$320,Tarifas!$AB$7:$AB$320,$A16)*SUMIFS(Mercado!K$9:K$160,Mercado!$A$9:$A$160,$A16)</f>
        <v>1920.9167241609671</v>
      </c>
      <c r="N16" s="55">
        <f t="shared" si="5"/>
        <v>0</v>
      </c>
      <c r="O16" s="55">
        <f t="shared" si="0"/>
        <v>1599.130110380549</v>
      </c>
      <c r="P16" s="55">
        <f t="shared" si="1"/>
        <v>1415.8588571722992</v>
      </c>
      <c r="Q16" s="55">
        <f t="shared" si="2"/>
        <v>1960.6225453473694</v>
      </c>
      <c r="R16" s="55">
        <f t="shared" si="3"/>
        <v>1924.311916713943</v>
      </c>
      <c r="S16" s="55">
        <f t="shared" si="4"/>
        <v>1920.9167241609671</v>
      </c>
      <c r="U16" s="51">
        <f>NPV(Inputs!$C$6,'Vendas ajustada'!O16:R16)+(S16*Inputs!$C$11)/(1+Inputs!$C$6)^(4.55)</f>
        <v>6263.2472438559807</v>
      </c>
      <c r="V16" s="51"/>
      <c r="W16" s="51"/>
      <c r="X16" s="51"/>
      <c r="Y16" s="51"/>
      <c r="Z16" s="51"/>
      <c r="AA16" s="51"/>
      <c r="AB16" s="51"/>
    </row>
    <row r="17" spans="1:29">
      <c r="A17" s="192" t="str">
        <f>Usuarios!A23</f>
        <v>03 5</v>
      </c>
      <c r="B17" s="50" t="str">
        <f>Usuarios!B23</f>
        <v>Comercial</v>
      </c>
      <c r="C17" s="50">
        <f>Usuarios!C23</f>
        <v>5</v>
      </c>
      <c r="D17" s="51">
        <f>Usuarios!D23</f>
        <v>20001</v>
      </c>
      <c r="E17" s="51">
        <f>Usuarios!E23</f>
        <v>50000</v>
      </c>
      <c r="G17" s="51"/>
      <c r="H17" s="51">
        <f>SUMIFS(Tarifas!$AF$7:$AF$320,Tarifas!$AB$7:$AB$320,$A17)*SUMIFS(Mercado!G$9:G$160,Mercado!$A$9:$A$160,$A17)</f>
        <v>260.72416408586332</v>
      </c>
      <c r="I17" s="51">
        <f>SUMIFS(Tarifas!$AF$7:$AF$320,Tarifas!$AB$7:$AB$320,$A17)*SUMIFS(Mercado!H$9:H$160,Mercado!$A$9:$A$160,$A17)</f>
        <v>525.32877160537464</v>
      </c>
      <c r="J17" s="51">
        <f>SUMIFS(Tarifas!$AF$7:$AF$320,Tarifas!$AB$7:$AB$320,$A17)*SUMIFS(Mercado!I$9:I$160,Mercado!$A$9:$A$160,$A17)</f>
        <v>539.83044327626783</v>
      </c>
      <c r="K17" s="51">
        <f>SUMIFS(Tarifas!$AF$7:$AF$320,Tarifas!$AB$7:$AB$320,$A17)*SUMIFS(Mercado!J$9:J$160,Mercado!$A$9:$A$160,$A17)</f>
        <v>529.83281124998211</v>
      </c>
      <c r="L17" s="51">
        <f>SUMIFS(Tarifas!$AF$7:$AF$320,Tarifas!$AB$7:$AB$320,$A17)*SUMIFS(Mercado!K$9:K$160,Mercado!$A$9:$A$160,$A17)</f>
        <v>528.89799169216849</v>
      </c>
      <c r="N17" s="55">
        <f t="shared" si="5"/>
        <v>0</v>
      </c>
      <c r="O17" s="55">
        <f t="shared" si="0"/>
        <v>260.72416408586332</v>
      </c>
      <c r="P17" s="55">
        <f t="shared" si="1"/>
        <v>525.32877160537464</v>
      </c>
      <c r="Q17" s="55">
        <f t="shared" si="2"/>
        <v>539.83044327626783</v>
      </c>
      <c r="R17" s="55">
        <f t="shared" si="3"/>
        <v>529.83281124998211</v>
      </c>
      <c r="S17" s="55">
        <f t="shared" si="4"/>
        <v>528.89799169216849</v>
      </c>
      <c r="U17" s="51">
        <f>NPV(Inputs!$C$6,'Vendas ajustada'!O17:R17)+(S17*Inputs!$C$11)/(1+Inputs!$C$6)^(4.55)</f>
        <v>1673.8389603539385</v>
      </c>
      <c r="V17" s="51"/>
      <c r="W17" s="51"/>
      <c r="X17" s="51"/>
      <c r="Y17" s="51"/>
      <c r="Z17" s="51"/>
      <c r="AA17" s="51"/>
      <c r="AB17" s="51"/>
    </row>
    <row r="18" spans="1:29" ht="14.45">
      <c r="A18" s="192" t="str">
        <f>Usuarios!A24</f>
        <v>03 6</v>
      </c>
      <c r="B18" s="50" t="str">
        <f>Usuarios!B24</f>
        <v>Comercial</v>
      </c>
      <c r="C18" s="50">
        <f>Usuarios!C24</f>
        <v>6</v>
      </c>
      <c r="D18" s="51">
        <f>Usuarios!D24</f>
        <v>50001</v>
      </c>
      <c r="E18" s="51">
        <f>Usuarios!E24</f>
        <v>999999999</v>
      </c>
      <c r="G18" s="51"/>
      <c r="H18" s="51">
        <f>SUMIFS(Tarifas!$AF$7:$AF$320,Tarifas!$AB$7:$AB$320,$A18)*SUMIFS(Mercado!G$9:G$160,Mercado!$A$9:$A$160,$A18)</f>
        <v>0</v>
      </c>
      <c r="I18" s="51">
        <f>SUMIFS(Tarifas!$AF$7:$AF$320,Tarifas!$AB$7:$AB$320,$A18)*SUMIFS(Mercado!H$9:H$160,Mercado!$A$9:$A$160,$A18)</f>
        <v>0</v>
      </c>
      <c r="J18" s="51">
        <f>SUMIFS(Tarifas!$AF$7:$AF$320,Tarifas!$AB$7:$AB$320,$A18)*SUMIFS(Mercado!I$9:I$160,Mercado!$A$9:$A$160,$A18)</f>
        <v>0</v>
      </c>
      <c r="K18" s="51">
        <f>SUMIFS(Tarifas!$AF$7:$AF$320,Tarifas!$AB$7:$AB$320,$A18)*SUMIFS(Mercado!J$9:J$160,Mercado!$A$9:$A$160,$A18)</f>
        <v>0</v>
      </c>
      <c r="L18" s="51">
        <f>SUMIFS(Tarifas!$AF$7:$AF$320,Tarifas!$AB$7:$AB$320,$A18)*SUMIFS(Mercado!K$9:K$160,Mercado!$A$9:$A$160,$A18)</f>
        <v>0</v>
      </c>
      <c r="N18" s="55">
        <f t="shared" si="5"/>
        <v>0</v>
      </c>
      <c r="O18" s="55">
        <f t="shared" si="0"/>
        <v>0</v>
      </c>
      <c r="P18" s="55">
        <f t="shared" si="1"/>
        <v>0</v>
      </c>
      <c r="Q18" s="55">
        <f t="shared" si="2"/>
        <v>0</v>
      </c>
      <c r="R18" s="55">
        <f t="shared" si="3"/>
        <v>0</v>
      </c>
      <c r="S18" s="55">
        <f t="shared" si="4"/>
        <v>0</v>
      </c>
      <c r="U18" s="51">
        <f>NPV(Inputs!$C$6,'Vendas ajustada'!O18:R18)+(S18*Inputs!$C$11)/(1+Inputs!$C$6)^(4.55)</f>
        <v>0</v>
      </c>
      <c r="V18" s="51"/>
      <c r="W18"/>
      <c r="X18"/>
      <c r="Y18"/>
      <c r="Z18"/>
      <c r="AA18"/>
      <c r="AB18"/>
      <c r="AC18"/>
    </row>
    <row r="19" spans="1:29" ht="14.45">
      <c r="A19" s="192"/>
      <c r="D19" s="51"/>
      <c r="E19" s="51"/>
      <c r="F19" s="51"/>
      <c r="G19" s="51"/>
      <c r="H19" s="51">
        <f>SUMIFS(Tarifas!$AF$7:$AF$320,Tarifas!$AB$7:$AB$320,$A19)*SUMIFS(Mercado!G$9:G$160,Mercado!$A$9:$A$160,$A19)</f>
        <v>0</v>
      </c>
      <c r="I19" s="51">
        <f>SUMIFS(Tarifas!$AF$7:$AF$320,Tarifas!$AB$7:$AB$320,$A19)*SUMIFS(Mercado!H$9:H$160,Mercado!$A$9:$A$160,$A19)</f>
        <v>0</v>
      </c>
      <c r="J19" s="51">
        <f>SUMIFS(Tarifas!$AF$7:$AF$320,Tarifas!$AB$7:$AB$320,$A19)*SUMIFS(Mercado!I$9:I$160,Mercado!$A$9:$A$160,$A19)</f>
        <v>0</v>
      </c>
      <c r="K19" s="51">
        <f>SUMIFS(Tarifas!$AF$7:$AF$320,Tarifas!$AB$7:$AB$320,$A19)*SUMIFS(Mercado!J$9:J$160,Mercado!$A$9:$A$160,$A19)</f>
        <v>0</v>
      </c>
      <c r="L19" s="51">
        <f>SUMIFS(Tarifas!$AF$7:$AF$320,Tarifas!$AB$7:$AB$320,$A19)*SUMIFS(Mercado!K$9:K$160,Mercado!$A$9:$A$160,$A19)</f>
        <v>0</v>
      </c>
      <c r="M19" s="51"/>
      <c r="N19" s="55">
        <f t="shared" si="5"/>
        <v>0</v>
      </c>
      <c r="O19" s="55">
        <f t="shared" si="0"/>
        <v>0</v>
      </c>
      <c r="P19" s="55">
        <f t="shared" si="1"/>
        <v>0</v>
      </c>
      <c r="Q19" s="55">
        <f t="shared" si="2"/>
        <v>0</v>
      </c>
      <c r="R19" s="55">
        <f t="shared" si="3"/>
        <v>0</v>
      </c>
      <c r="S19" s="55">
        <f t="shared" si="4"/>
        <v>0</v>
      </c>
      <c r="T19" s="51"/>
      <c r="U19" s="51">
        <f>NPV(Inputs!$C$6,'Vendas ajustada'!O19:R19)+(S19*Inputs!$C$11)/(1+Inputs!$C$6)^(4.55)</f>
        <v>0</v>
      </c>
      <c r="V19" s="51"/>
      <c r="W19"/>
      <c r="X19"/>
      <c r="Y19"/>
      <c r="Z19"/>
      <c r="AA19"/>
      <c r="AB19"/>
      <c r="AC19"/>
    </row>
    <row r="20" spans="1:29" ht="14.45">
      <c r="A20" s="192" t="str">
        <f>Usuarios!A26</f>
        <v>04 1</v>
      </c>
      <c r="B20" s="50" t="str">
        <f>Usuarios!B26</f>
        <v>Climatização</v>
      </c>
      <c r="C20" s="50">
        <f>Usuarios!C26</f>
        <v>1</v>
      </c>
      <c r="D20" s="51">
        <f>Usuarios!D26</f>
        <v>0</v>
      </c>
      <c r="E20" s="51">
        <f>Usuarios!E26</f>
        <v>200</v>
      </c>
      <c r="G20" s="51"/>
      <c r="H20" s="51">
        <f>SUMIFS(Tarifas!$AF$7:$AF$320,Tarifas!$AB$7:$AB$320,$A20)*SUMIFS(Mercado!G$9:G$160,Mercado!$A$9:$A$160,$A20)</f>
        <v>275.83443880141675</v>
      </c>
      <c r="I20" s="51">
        <f>SUMIFS(Tarifas!$AF$7:$AF$320,Tarifas!$AB$7:$AB$320,$A20)*SUMIFS(Mercado!H$9:H$160,Mercado!$A$9:$A$160,$A20)</f>
        <v>329.75523146941146</v>
      </c>
      <c r="J20" s="51">
        <f>SUMIFS(Tarifas!$AF$7:$AF$320,Tarifas!$AB$7:$AB$320,$A20)*SUMIFS(Mercado!I$9:I$160,Mercado!$A$9:$A$160,$A20)</f>
        <v>345.21312589774902</v>
      </c>
      <c r="K20" s="51">
        <f>SUMIFS(Tarifas!$AF$7:$AF$320,Tarifas!$AB$7:$AB$320,$A20)*SUMIFS(Mercado!J$9:J$160,Mercado!$A$9:$A$160,$A20)</f>
        <v>338.81979657303862</v>
      </c>
      <c r="L20" s="51">
        <f>SUMIFS(Tarifas!$AF$7:$AF$320,Tarifas!$AB$7:$AB$320,$A20)*SUMIFS(Mercado!K$9:K$160,Mercado!$A$9:$A$160,$A20)</f>
        <v>338.22199408575267</v>
      </c>
      <c r="N20" s="55">
        <f t="shared" si="5"/>
        <v>0</v>
      </c>
      <c r="O20" s="55">
        <f t="shared" si="0"/>
        <v>275.83443880141675</v>
      </c>
      <c r="P20" s="55">
        <f t="shared" si="1"/>
        <v>329.75523146941146</v>
      </c>
      <c r="Q20" s="55">
        <f t="shared" si="2"/>
        <v>345.21312589774902</v>
      </c>
      <c r="R20" s="55">
        <f t="shared" si="3"/>
        <v>338.81979657303862</v>
      </c>
      <c r="S20" s="55">
        <f t="shared" si="4"/>
        <v>338.22199408575267</v>
      </c>
      <c r="U20" s="51">
        <f>NPV(Inputs!$C$6,'Vendas ajustada'!O20:R20)+(S20*Inputs!$C$11)/(1+Inputs!$C$6)^(4.55)</f>
        <v>1165.3512139319455</v>
      </c>
      <c r="W20"/>
      <c r="X20"/>
      <c r="Y20"/>
      <c r="Z20"/>
      <c r="AA20"/>
      <c r="AB20"/>
      <c r="AC20"/>
    </row>
    <row r="21" spans="1:29" ht="14.45">
      <c r="A21" s="192" t="str">
        <f>Usuarios!A27</f>
        <v>04 2</v>
      </c>
      <c r="B21" s="50" t="str">
        <f>Usuarios!B27</f>
        <v>Climatização</v>
      </c>
      <c r="C21" s="50">
        <f>Usuarios!C27</f>
        <v>2</v>
      </c>
      <c r="D21" s="51">
        <f>Usuarios!D27</f>
        <v>201</v>
      </c>
      <c r="E21" s="51">
        <f>Usuarios!E27</f>
        <v>5000</v>
      </c>
      <c r="G21" s="51"/>
      <c r="H21" s="51">
        <f>SUMIFS(Tarifas!$AF$7:$AF$320,Tarifas!$AB$7:$AB$320,$A21)*SUMIFS(Mercado!G$9:G$160,Mercado!$A$9:$A$160,$A21)</f>
        <v>123.68225668039551</v>
      </c>
      <c r="I21" s="51">
        <f>SUMIFS(Tarifas!$AF$7:$AF$320,Tarifas!$AB$7:$AB$320,$A21)*SUMIFS(Mercado!H$9:H$160,Mercado!$A$9:$A$160,$A21)</f>
        <v>131.08972679391883</v>
      </c>
      <c r="J21" s="51">
        <f>SUMIFS(Tarifas!$AF$7:$AF$320,Tarifas!$AB$7:$AB$320,$A21)*SUMIFS(Mercado!I$9:I$160,Mercado!$A$9:$A$160,$A21)</f>
        <v>106.15776334612974</v>
      </c>
      <c r="K21" s="51">
        <f>SUMIFS(Tarifas!$AF$7:$AF$320,Tarifas!$AB$7:$AB$320,$A21)*SUMIFS(Mercado!J$9:J$160,Mercado!$A$9:$A$160,$A21)</f>
        <v>104.19172703252934</v>
      </c>
      <c r="L21" s="51">
        <f>SUMIFS(Tarifas!$AF$7:$AF$320,Tarifas!$AB$7:$AB$320,$A21)*SUMIFS(Mercado!K$9:K$160,Mercado!$A$9:$A$160,$A21)</f>
        <v>104.00789458175566</v>
      </c>
      <c r="N21" s="55">
        <f t="shared" si="5"/>
        <v>0</v>
      </c>
      <c r="O21" s="55">
        <f t="shared" si="0"/>
        <v>123.68225668039551</v>
      </c>
      <c r="P21" s="55">
        <f t="shared" si="1"/>
        <v>131.08972679391883</v>
      </c>
      <c r="Q21" s="55">
        <f t="shared" si="2"/>
        <v>106.15776334612974</v>
      </c>
      <c r="R21" s="55">
        <f t="shared" si="3"/>
        <v>104.19172703252934</v>
      </c>
      <c r="S21" s="55">
        <f t="shared" si="4"/>
        <v>104.00789458175566</v>
      </c>
      <c r="U21" s="51">
        <f>NPV(Inputs!$C$6,'Vendas ajustada'!O21:R21)+(S21*Inputs!$C$11)/(1+Inputs!$C$6)^(4.55)</f>
        <v>419.06084628403102</v>
      </c>
      <c r="W21"/>
      <c r="X21"/>
      <c r="Y21"/>
      <c r="Z21"/>
      <c r="AA21"/>
      <c r="AB21"/>
      <c r="AC21"/>
    </row>
    <row r="22" spans="1:29" ht="14.45">
      <c r="A22" s="192" t="str">
        <f>Usuarios!A28</f>
        <v>04 3</v>
      </c>
      <c r="B22" s="50" t="str">
        <f>Usuarios!B28</f>
        <v>Climatização</v>
      </c>
      <c r="C22" s="50">
        <f>Usuarios!C28</f>
        <v>3</v>
      </c>
      <c r="D22" s="51">
        <f>Usuarios!D28</f>
        <v>5001</v>
      </c>
      <c r="E22" s="51">
        <f>Usuarios!E28</f>
        <v>20000</v>
      </c>
      <c r="G22" s="51"/>
      <c r="H22" s="51">
        <f>SUMIFS(Tarifas!$AF$7:$AF$320,Tarifas!$AB$7:$AB$320,$A22)*SUMIFS(Mercado!G$9:G$160,Mercado!$A$9:$A$160,$A22)</f>
        <v>0</v>
      </c>
      <c r="I22" s="51">
        <f>SUMIFS(Tarifas!$AF$7:$AF$320,Tarifas!$AB$7:$AB$320,$A22)*SUMIFS(Mercado!H$9:H$160,Mercado!$A$9:$A$160,$A22)</f>
        <v>0</v>
      </c>
      <c r="J22" s="51">
        <f>SUMIFS(Tarifas!$AF$7:$AF$320,Tarifas!$AB$7:$AB$320,$A22)*SUMIFS(Mercado!I$9:I$160,Mercado!$A$9:$A$160,$A22)</f>
        <v>0</v>
      </c>
      <c r="K22" s="51">
        <f>SUMIFS(Tarifas!$AF$7:$AF$320,Tarifas!$AB$7:$AB$320,$A22)*SUMIFS(Mercado!J$9:J$160,Mercado!$A$9:$A$160,$A22)</f>
        <v>0</v>
      </c>
      <c r="L22" s="51">
        <f>SUMIFS(Tarifas!$AF$7:$AF$320,Tarifas!$AB$7:$AB$320,$A22)*SUMIFS(Mercado!K$9:K$160,Mercado!$A$9:$A$160,$A22)</f>
        <v>0</v>
      </c>
      <c r="N22" s="55">
        <f t="shared" si="5"/>
        <v>0</v>
      </c>
      <c r="O22" s="55">
        <f t="shared" si="0"/>
        <v>0</v>
      </c>
      <c r="P22" s="55">
        <f t="shared" si="1"/>
        <v>0</v>
      </c>
      <c r="Q22" s="55">
        <f t="shared" si="2"/>
        <v>0</v>
      </c>
      <c r="R22" s="55">
        <f t="shared" si="3"/>
        <v>0</v>
      </c>
      <c r="S22" s="55">
        <f t="shared" si="4"/>
        <v>0</v>
      </c>
      <c r="U22" s="51">
        <f>NPV(Inputs!$C$6,'Vendas ajustada'!O22:R22)+(S22*Inputs!$C$11)/(1+Inputs!$C$6)^(4.55)</f>
        <v>0</v>
      </c>
      <c r="W22"/>
      <c r="X22"/>
      <c r="Y22"/>
      <c r="Z22"/>
      <c r="AA22"/>
      <c r="AB22"/>
      <c r="AC22"/>
    </row>
    <row r="23" spans="1:29" ht="14.45">
      <c r="A23" s="192" t="str">
        <f>Usuarios!A29</f>
        <v>04 4</v>
      </c>
      <c r="B23" s="50" t="str">
        <f>Usuarios!B29</f>
        <v>Climatização</v>
      </c>
      <c r="C23" s="50">
        <f>Usuarios!C29</f>
        <v>4</v>
      </c>
      <c r="D23" s="51">
        <f>Usuarios!D29</f>
        <v>20001</v>
      </c>
      <c r="E23" s="51">
        <f>Usuarios!E29</f>
        <v>70000</v>
      </c>
      <c r="G23" s="51"/>
      <c r="H23" s="51">
        <f>SUMIFS(Tarifas!$AF$7:$AF$320,Tarifas!$AB$7:$AB$320,$A23)*SUMIFS(Mercado!G$9:G$160,Mercado!$A$9:$A$160,$A23)</f>
        <v>0</v>
      </c>
      <c r="I23" s="51">
        <f>SUMIFS(Tarifas!$AF$7:$AF$320,Tarifas!$AB$7:$AB$320,$A23)*SUMIFS(Mercado!H$9:H$160,Mercado!$A$9:$A$160,$A23)</f>
        <v>0</v>
      </c>
      <c r="J23" s="51">
        <f>SUMIFS(Tarifas!$AF$7:$AF$320,Tarifas!$AB$7:$AB$320,$A23)*SUMIFS(Mercado!I$9:I$160,Mercado!$A$9:$A$160,$A23)</f>
        <v>0</v>
      </c>
      <c r="K23" s="51">
        <f>SUMIFS(Tarifas!$AF$7:$AF$320,Tarifas!$AB$7:$AB$320,$A23)*SUMIFS(Mercado!J$9:J$160,Mercado!$A$9:$A$160,$A23)</f>
        <v>0</v>
      </c>
      <c r="L23" s="51">
        <f>SUMIFS(Tarifas!$AF$7:$AF$320,Tarifas!$AB$7:$AB$320,$A23)*SUMIFS(Mercado!K$9:K$160,Mercado!$A$9:$A$160,$A23)</f>
        <v>0</v>
      </c>
      <c r="N23" s="55">
        <f t="shared" si="5"/>
        <v>0</v>
      </c>
      <c r="O23" s="55">
        <f t="shared" si="0"/>
        <v>0</v>
      </c>
      <c r="P23" s="55">
        <f t="shared" si="1"/>
        <v>0</v>
      </c>
      <c r="Q23" s="55">
        <f t="shared" si="2"/>
        <v>0</v>
      </c>
      <c r="R23" s="55">
        <f t="shared" si="3"/>
        <v>0</v>
      </c>
      <c r="S23" s="55">
        <f t="shared" si="4"/>
        <v>0</v>
      </c>
      <c r="U23" s="51">
        <f>NPV(Inputs!$C$6,'Vendas ajustada'!O23:R23)+(S23*Inputs!$C$11)/(1+Inputs!$C$6)^(4.55)</f>
        <v>0</v>
      </c>
      <c r="W23"/>
      <c r="X23"/>
      <c r="Y23"/>
      <c r="Z23"/>
      <c r="AA23"/>
      <c r="AB23"/>
      <c r="AC23"/>
    </row>
    <row r="24" spans="1:29" ht="14.45">
      <c r="A24" s="192" t="str">
        <f>Usuarios!A30</f>
        <v>04 5</v>
      </c>
      <c r="B24" s="50" t="str">
        <f>Usuarios!B30</f>
        <v>Climatização</v>
      </c>
      <c r="C24" s="50">
        <f>Usuarios!C30</f>
        <v>5</v>
      </c>
      <c r="D24" s="51">
        <f>Usuarios!D30</f>
        <v>70001</v>
      </c>
      <c r="E24" s="51">
        <f>Usuarios!E30</f>
        <v>120000</v>
      </c>
      <c r="G24" s="51"/>
      <c r="H24" s="51">
        <f>SUMIFS(Tarifas!$AF$7:$AF$320,Tarifas!$AB$7:$AB$320,$A24)*SUMIFS(Mercado!G$9:G$160,Mercado!$A$9:$A$160,$A24)</f>
        <v>0</v>
      </c>
      <c r="I24" s="51">
        <f>SUMIFS(Tarifas!$AF$7:$AF$320,Tarifas!$AB$7:$AB$320,$A24)*SUMIFS(Mercado!H$9:H$160,Mercado!$A$9:$A$160,$A24)</f>
        <v>0</v>
      </c>
      <c r="J24" s="51">
        <f>SUMIFS(Tarifas!$AF$7:$AF$320,Tarifas!$AB$7:$AB$320,$A24)*SUMIFS(Mercado!I$9:I$160,Mercado!$A$9:$A$160,$A24)</f>
        <v>0</v>
      </c>
      <c r="K24" s="51">
        <f>SUMIFS(Tarifas!$AF$7:$AF$320,Tarifas!$AB$7:$AB$320,$A24)*SUMIFS(Mercado!J$9:J$160,Mercado!$A$9:$A$160,$A24)</f>
        <v>0</v>
      </c>
      <c r="L24" s="51">
        <f>SUMIFS(Tarifas!$AF$7:$AF$320,Tarifas!$AB$7:$AB$320,$A24)*SUMIFS(Mercado!K$9:K$160,Mercado!$A$9:$A$160,$A24)</f>
        <v>0</v>
      </c>
      <c r="N24" s="55">
        <f t="shared" si="5"/>
        <v>0</v>
      </c>
      <c r="O24" s="55">
        <f t="shared" si="0"/>
        <v>0</v>
      </c>
      <c r="P24" s="55">
        <f t="shared" si="1"/>
        <v>0</v>
      </c>
      <c r="Q24" s="55">
        <f t="shared" si="2"/>
        <v>0</v>
      </c>
      <c r="R24" s="55">
        <f t="shared" si="3"/>
        <v>0</v>
      </c>
      <c r="S24" s="55">
        <f t="shared" si="4"/>
        <v>0</v>
      </c>
      <c r="U24" s="51">
        <f>NPV(Inputs!$C$6,'Vendas ajustada'!O24:R24)+(S24*Inputs!$C$11)/(1+Inputs!$C$6)^(4.55)</f>
        <v>0</v>
      </c>
      <c r="W24"/>
      <c r="X24"/>
      <c r="Y24"/>
      <c r="Z24"/>
      <c r="AA24"/>
      <c r="AB24"/>
      <c r="AC24"/>
    </row>
    <row r="25" spans="1:29" ht="14.45">
      <c r="A25" s="192" t="str">
        <f>Usuarios!A31</f>
        <v>04 6</v>
      </c>
      <c r="B25" s="50" t="str">
        <f>Usuarios!B31</f>
        <v>Climatização</v>
      </c>
      <c r="C25" s="50">
        <f>Usuarios!C31</f>
        <v>6</v>
      </c>
      <c r="D25" s="51">
        <f>Usuarios!D31</f>
        <v>120001</v>
      </c>
      <c r="E25" s="51">
        <f>Usuarios!E31</f>
        <v>300000</v>
      </c>
      <c r="G25" s="51"/>
      <c r="H25" s="51">
        <f>SUMIFS(Tarifas!$AF$7:$AF$320,Tarifas!$AB$7:$AB$320,$A25)*SUMIFS(Mercado!G$9:G$160,Mercado!$A$9:$A$160,$A25)</f>
        <v>0</v>
      </c>
      <c r="I25" s="51">
        <f>SUMIFS(Tarifas!$AF$7:$AF$320,Tarifas!$AB$7:$AB$320,$A25)*SUMIFS(Mercado!H$9:H$160,Mercado!$A$9:$A$160,$A25)</f>
        <v>0</v>
      </c>
      <c r="J25" s="51">
        <f>SUMIFS(Tarifas!$AF$7:$AF$320,Tarifas!$AB$7:$AB$320,$A25)*SUMIFS(Mercado!I$9:I$160,Mercado!$A$9:$A$160,$A25)</f>
        <v>0</v>
      </c>
      <c r="K25" s="51">
        <f>SUMIFS(Tarifas!$AF$7:$AF$320,Tarifas!$AB$7:$AB$320,$A25)*SUMIFS(Mercado!J$9:J$160,Mercado!$A$9:$A$160,$A25)</f>
        <v>0</v>
      </c>
      <c r="L25" s="51">
        <f>SUMIFS(Tarifas!$AF$7:$AF$320,Tarifas!$AB$7:$AB$320,$A25)*SUMIFS(Mercado!K$9:K$160,Mercado!$A$9:$A$160,$A25)</f>
        <v>0</v>
      </c>
      <c r="N25" s="55">
        <f t="shared" si="5"/>
        <v>0</v>
      </c>
      <c r="O25" s="55">
        <f t="shared" si="0"/>
        <v>0</v>
      </c>
      <c r="P25" s="55">
        <f t="shared" si="1"/>
        <v>0</v>
      </c>
      <c r="Q25" s="55">
        <f t="shared" si="2"/>
        <v>0</v>
      </c>
      <c r="R25" s="55">
        <f t="shared" si="3"/>
        <v>0</v>
      </c>
      <c r="S25" s="55">
        <f t="shared" si="4"/>
        <v>0</v>
      </c>
      <c r="U25" s="51">
        <f>NPV(Inputs!$C$6,'Vendas ajustada'!O25:R25)+(S25*Inputs!$C$11)/(1+Inputs!$C$6)^(4.55)</f>
        <v>0</v>
      </c>
      <c r="W25"/>
      <c r="X25"/>
      <c r="Y25"/>
      <c r="Z25"/>
      <c r="AA25"/>
      <c r="AB25"/>
      <c r="AC25"/>
    </row>
    <row r="26" spans="1:29" ht="14.45">
      <c r="A26" s="192" t="str">
        <f>Usuarios!A32</f>
        <v>04 7</v>
      </c>
      <c r="B26" s="50" t="str">
        <f>Usuarios!B32</f>
        <v>Climatização</v>
      </c>
      <c r="C26" s="50">
        <f>Usuarios!C32</f>
        <v>7</v>
      </c>
      <c r="D26" s="51">
        <f>Usuarios!D32</f>
        <v>300001</v>
      </c>
      <c r="E26" s="51">
        <f>Usuarios!E32</f>
        <v>600000</v>
      </c>
      <c r="G26" s="51"/>
      <c r="H26" s="51">
        <f>SUMIFS(Tarifas!$AF$7:$AF$320,Tarifas!$AB$7:$AB$320,$A26)*SUMIFS(Mercado!G$9:G$160,Mercado!$A$9:$A$160,$A26)</f>
        <v>0</v>
      </c>
      <c r="I26" s="51">
        <f>SUMIFS(Tarifas!$AF$7:$AF$320,Tarifas!$AB$7:$AB$320,$A26)*SUMIFS(Mercado!H$9:H$160,Mercado!$A$9:$A$160,$A26)</f>
        <v>0</v>
      </c>
      <c r="J26" s="51">
        <f>SUMIFS(Tarifas!$AF$7:$AF$320,Tarifas!$AB$7:$AB$320,$A26)*SUMIFS(Mercado!I$9:I$160,Mercado!$A$9:$A$160,$A26)</f>
        <v>0</v>
      </c>
      <c r="K26" s="51">
        <f>SUMIFS(Tarifas!$AF$7:$AF$320,Tarifas!$AB$7:$AB$320,$A26)*SUMIFS(Mercado!J$9:J$160,Mercado!$A$9:$A$160,$A26)</f>
        <v>0</v>
      </c>
      <c r="L26" s="51">
        <f>SUMIFS(Tarifas!$AF$7:$AF$320,Tarifas!$AB$7:$AB$320,$A26)*SUMIFS(Mercado!K$9:K$160,Mercado!$A$9:$A$160,$A26)</f>
        <v>0</v>
      </c>
      <c r="N26" s="55">
        <f t="shared" si="5"/>
        <v>0</v>
      </c>
      <c r="O26" s="55">
        <f t="shared" si="0"/>
        <v>0</v>
      </c>
      <c r="P26" s="55">
        <f t="shared" si="1"/>
        <v>0</v>
      </c>
      <c r="Q26" s="55">
        <f t="shared" si="2"/>
        <v>0</v>
      </c>
      <c r="R26" s="55">
        <f t="shared" si="3"/>
        <v>0</v>
      </c>
      <c r="S26" s="55">
        <f t="shared" si="4"/>
        <v>0</v>
      </c>
      <c r="U26" s="51">
        <f>NPV(Inputs!$C$6,'Vendas ajustada'!O26:R26)+(S26*Inputs!$C$11)/(1+Inputs!$C$6)^(4.55)</f>
        <v>0</v>
      </c>
      <c r="W26"/>
      <c r="X26"/>
      <c r="Y26"/>
      <c r="Z26"/>
      <c r="AA26"/>
      <c r="AB26"/>
      <c r="AC26"/>
    </row>
    <row r="27" spans="1:29" ht="14.45">
      <c r="A27" s="192" t="str">
        <f>Usuarios!A33</f>
        <v>04 8</v>
      </c>
      <c r="B27" s="50" t="str">
        <f>Usuarios!B33</f>
        <v>Climatização</v>
      </c>
      <c r="C27" s="50">
        <f>Usuarios!C33</f>
        <v>8</v>
      </c>
      <c r="D27" s="51">
        <f>Usuarios!D33</f>
        <v>600001</v>
      </c>
      <c r="E27" s="51">
        <f>Usuarios!E33</f>
        <v>1500000</v>
      </c>
      <c r="G27" s="51"/>
      <c r="H27" s="51">
        <f>SUMIFS(Tarifas!$AF$7:$AF$320,Tarifas!$AB$7:$AB$320,$A27)*SUMIFS(Mercado!G$9:G$160,Mercado!$A$9:$A$160,$A27)</f>
        <v>0</v>
      </c>
      <c r="I27" s="51">
        <f>SUMIFS(Tarifas!$AF$7:$AF$320,Tarifas!$AB$7:$AB$320,$A27)*SUMIFS(Mercado!H$9:H$160,Mercado!$A$9:$A$160,$A27)</f>
        <v>0</v>
      </c>
      <c r="J27" s="51">
        <f>SUMIFS(Tarifas!$AF$7:$AF$320,Tarifas!$AB$7:$AB$320,$A27)*SUMIFS(Mercado!I$9:I$160,Mercado!$A$9:$A$160,$A27)</f>
        <v>0</v>
      </c>
      <c r="K27" s="51">
        <f>SUMIFS(Tarifas!$AF$7:$AF$320,Tarifas!$AB$7:$AB$320,$A27)*SUMIFS(Mercado!J$9:J$160,Mercado!$A$9:$A$160,$A27)</f>
        <v>0</v>
      </c>
      <c r="L27" s="51">
        <f>SUMIFS(Tarifas!$AF$7:$AF$320,Tarifas!$AB$7:$AB$320,$A27)*SUMIFS(Mercado!K$9:K$160,Mercado!$A$9:$A$160,$A27)</f>
        <v>0</v>
      </c>
      <c r="N27" s="55">
        <f t="shared" si="5"/>
        <v>0</v>
      </c>
      <c r="O27" s="55">
        <f t="shared" si="0"/>
        <v>0</v>
      </c>
      <c r="P27" s="55">
        <f t="shared" si="1"/>
        <v>0</v>
      </c>
      <c r="Q27" s="55">
        <f t="shared" si="2"/>
        <v>0</v>
      </c>
      <c r="R27" s="55">
        <f t="shared" si="3"/>
        <v>0</v>
      </c>
      <c r="S27" s="55">
        <f t="shared" si="4"/>
        <v>0</v>
      </c>
      <c r="U27" s="51">
        <f>NPV(Inputs!$C$6,'Vendas ajustada'!O27:R27)+(S27*Inputs!$C$11)/(1+Inputs!$C$6)^(4.55)</f>
        <v>0</v>
      </c>
      <c r="W27"/>
      <c r="X27"/>
      <c r="Y27"/>
      <c r="Z27"/>
      <c r="AA27"/>
      <c r="AB27"/>
      <c r="AC27"/>
    </row>
    <row r="28" spans="1:29" ht="14.45">
      <c r="A28" s="192" t="str">
        <f>Usuarios!A34</f>
        <v>04 9</v>
      </c>
      <c r="B28" s="50" t="str">
        <f>Usuarios!B34</f>
        <v>Climatização</v>
      </c>
      <c r="C28" s="50">
        <f>Usuarios!C34</f>
        <v>9</v>
      </c>
      <c r="D28" s="51">
        <f>Usuarios!D34</f>
        <v>1500001</v>
      </c>
      <c r="E28" s="51">
        <f>Usuarios!E34</f>
        <v>999999999</v>
      </c>
      <c r="G28" s="51"/>
      <c r="H28" s="51">
        <f>SUMIFS(Tarifas!$AF$7:$AF$320,Tarifas!$AB$7:$AB$320,$A28)*SUMIFS(Mercado!G$9:G$160,Mercado!$A$9:$A$160,$A28)</f>
        <v>0</v>
      </c>
      <c r="I28" s="51">
        <f>SUMIFS(Tarifas!$AF$7:$AF$320,Tarifas!$AB$7:$AB$320,$A28)*SUMIFS(Mercado!H$9:H$160,Mercado!$A$9:$A$160,$A28)</f>
        <v>0</v>
      </c>
      <c r="J28" s="51">
        <f>SUMIFS(Tarifas!$AF$7:$AF$320,Tarifas!$AB$7:$AB$320,$A28)*SUMIFS(Mercado!I$9:I$160,Mercado!$A$9:$A$160,$A28)</f>
        <v>0</v>
      </c>
      <c r="K28" s="51">
        <f>SUMIFS(Tarifas!$AF$7:$AF$320,Tarifas!$AB$7:$AB$320,$A28)*SUMIFS(Mercado!J$9:J$160,Mercado!$A$9:$A$160,$A28)</f>
        <v>0</v>
      </c>
      <c r="L28" s="51">
        <f>SUMIFS(Tarifas!$AF$7:$AF$320,Tarifas!$AB$7:$AB$320,$A28)*SUMIFS(Mercado!K$9:K$160,Mercado!$A$9:$A$160,$A28)</f>
        <v>0</v>
      </c>
      <c r="N28" s="55">
        <f t="shared" si="5"/>
        <v>0</v>
      </c>
      <c r="O28" s="55">
        <f t="shared" si="0"/>
        <v>0</v>
      </c>
      <c r="P28" s="55">
        <f t="shared" si="1"/>
        <v>0</v>
      </c>
      <c r="Q28" s="55">
        <f t="shared" si="2"/>
        <v>0</v>
      </c>
      <c r="R28" s="55">
        <f t="shared" si="3"/>
        <v>0</v>
      </c>
      <c r="S28" s="55">
        <f t="shared" si="4"/>
        <v>0</v>
      </c>
      <c r="U28" s="51">
        <f>NPV(Inputs!$C$6,'Vendas ajustada'!O28:R28)+(S28*Inputs!$C$11)/(1+Inputs!$C$6)^(4.55)</f>
        <v>0</v>
      </c>
      <c r="W28"/>
      <c r="X28"/>
      <c r="Y28"/>
      <c r="Z28"/>
      <c r="AA28"/>
      <c r="AB28"/>
      <c r="AC28"/>
    </row>
    <row r="29" spans="1:29">
      <c r="A29" s="192"/>
      <c r="D29" s="51"/>
      <c r="E29" s="51"/>
      <c r="F29" s="51"/>
      <c r="G29" s="51"/>
      <c r="H29" s="51">
        <f>SUMIFS(Tarifas!$AF$7:$AF$320,Tarifas!$AB$7:$AB$320,$A29)*SUMIFS(Mercado!G$9:G$160,Mercado!$A$9:$A$160,$A29)</f>
        <v>0</v>
      </c>
      <c r="I29" s="51">
        <f>SUMIFS(Tarifas!$AF$7:$AF$320,Tarifas!$AB$7:$AB$320,$A29)*SUMIFS(Mercado!H$9:H$160,Mercado!$A$9:$A$160,$A29)</f>
        <v>0</v>
      </c>
      <c r="J29" s="51">
        <f>SUMIFS(Tarifas!$AF$7:$AF$320,Tarifas!$AB$7:$AB$320,$A29)*SUMIFS(Mercado!I$9:I$160,Mercado!$A$9:$A$160,$A29)</f>
        <v>0</v>
      </c>
      <c r="K29" s="51">
        <f>SUMIFS(Tarifas!$AF$7:$AF$320,Tarifas!$AB$7:$AB$320,$A29)*SUMIFS(Mercado!J$9:J$160,Mercado!$A$9:$A$160,$A29)</f>
        <v>0</v>
      </c>
      <c r="L29" s="51">
        <f>SUMIFS(Tarifas!$AF$7:$AF$320,Tarifas!$AB$7:$AB$320,$A29)*SUMIFS(Mercado!K$9:K$160,Mercado!$A$9:$A$160,$A29)</f>
        <v>0</v>
      </c>
      <c r="M29" s="51"/>
      <c r="N29" s="55">
        <f t="shared" si="5"/>
        <v>0</v>
      </c>
      <c r="O29" s="55">
        <f t="shared" si="0"/>
        <v>0</v>
      </c>
      <c r="P29" s="55">
        <f t="shared" si="1"/>
        <v>0</v>
      </c>
      <c r="Q29" s="55">
        <f t="shared" si="2"/>
        <v>0</v>
      </c>
      <c r="R29" s="55">
        <f t="shared" si="3"/>
        <v>0</v>
      </c>
      <c r="S29" s="55">
        <f t="shared" si="4"/>
        <v>0</v>
      </c>
      <c r="T29" s="51"/>
      <c r="U29" s="51">
        <f>NPV(Inputs!$C$6,'Vendas ajustada'!O29:R29)+(S29*Inputs!$C$11)/(1+Inputs!$C$6)^(4.55)</f>
        <v>0</v>
      </c>
      <c r="V29" s="51"/>
    </row>
    <row r="30" spans="1:29">
      <c r="A30" s="192" t="str">
        <f>Usuarios!A36</f>
        <v>05 1</v>
      </c>
      <c r="B30" s="50" t="str">
        <f>Usuarios!B36</f>
        <v>Cogeração</v>
      </c>
      <c r="C30" s="50">
        <f>Usuarios!C36</f>
        <v>1</v>
      </c>
      <c r="D30" s="51">
        <f>Usuarios!D36</f>
        <v>0</v>
      </c>
      <c r="E30" s="51">
        <f>Usuarios!E36</f>
        <v>200</v>
      </c>
      <c r="G30" s="51"/>
      <c r="H30" s="51">
        <f>SUMIFS(Tarifas!$AF$7:$AF$320,Tarifas!$AB$7:$AB$320,$A30)*SUMIFS(Mercado!G$9:G$160,Mercado!$A$9:$A$160,$A30)</f>
        <v>5.8264461065897647E-3</v>
      </c>
      <c r="I30" s="51">
        <f>SUMIFS(Tarifas!$AF$7:$AF$320,Tarifas!$AB$7:$AB$320,$A30)*SUMIFS(Mercado!H$9:H$160,Mercado!$A$9:$A$160,$A30)</f>
        <v>0</v>
      </c>
      <c r="J30" s="51">
        <f>SUMIFS(Tarifas!$AF$7:$AF$320,Tarifas!$AB$7:$AB$320,$A30)*SUMIFS(Mercado!I$9:I$160,Mercado!$A$9:$A$160,$A30)</f>
        <v>0</v>
      </c>
      <c r="K30" s="51">
        <f>SUMIFS(Tarifas!$AF$7:$AF$320,Tarifas!$AB$7:$AB$320,$A30)*SUMIFS(Mercado!J$9:J$160,Mercado!$A$9:$A$160,$A30)</f>
        <v>0</v>
      </c>
      <c r="L30" s="51">
        <f>SUMIFS(Tarifas!$AF$7:$AF$320,Tarifas!$AB$7:$AB$320,$A30)*SUMIFS(Mercado!K$9:K$160,Mercado!$A$9:$A$160,$A30)</f>
        <v>0</v>
      </c>
      <c r="N30" s="55">
        <f t="shared" si="5"/>
        <v>0</v>
      </c>
      <c r="O30" s="55">
        <f t="shared" si="0"/>
        <v>5.8264461065897647E-3</v>
      </c>
      <c r="P30" s="55">
        <f t="shared" si="1"/>
        <v>0</v>
      </c>
      <c r="Q30" s="55">
        <f t="shared" si="2"/>
        <v>0</v>
      </c>
      <c r="R30" s="55">
        <f t="shared" si="3"/>
        <v>0</v>
      </c>
      <c r="S30" s="55">
        <f t="shared" si="4"/>
        <v>0</v>
      </c>
      <c r="U30" s="51">
        <f>NPV(Inputs!$C$6,'Vendas ajustada'!O30:R30)+(S30*Inputs!$C$11)/(1+Inputs!$C$6)^(4.55)</f>
        <v>5.3492894845664383E-3</v>
      </c>
    </row>
    <row r="31" spans="1:29">
      <c r="A31" s="192" t="str">
        <f>Usuarios!A37</f>
        <v>05 2</v>
      </c>
      <c r="B31" s="50" t="str">
        <f>Usuarios!B37</f>
        <v>Cogeração</v>
      </c>
      <c r="C31" s="50">
        <f>Usuarios!C37</f>
        <v>2</v>
      </c>
      <c r="D31" s="51">
        <f>Usuarios!D37</f>
        <v>201</v>
      </c>
      <c r="E31" s="51">
        <f>Usuarios!E37</f>
        <v>5000</v>
      </c>
      <c r="G31" s="51"/>
      <c r="H31" s="51">
        <f>SUMIFS(Tarifas!$AF$7:$AF$320,Tarifas!$AB$7:$AB$320,$A31)*SUMIFS(Mercado!G$9:G$160,Mercado!$A$9:$A$160,$A31)</f>
        <v>0</v>
      </c>
      <c r="I31" s="51">
        <f>SUMIFS(Tarifas!$AF$7:$AF$320,Tarifas!$AB$7:$AB$320,$A31)*SUMIFS(Mercado!H$9:H$160,Mercado!$A$9:$A$160,$A31)</f>
        <v>0</v>
      </c>
      <c r="J31" s="51">
        <f>SUMIFS(Tarifas!$AF$7:$AF$320,Tarifas!$AB$7:$AB$320,$A31)*SUMIFS(Mercado!I$9:I$160,Mercado!$A$9:$A$160,$A31)</f>
        <v>0</v>
      </c>
      <c r="K31" s="51">
        <f>SUMIFS(Tarifas!$AF$7:$AF$320,Tarifas!$AB$7:$AB$320,$A31)*SUMIFS(Mercado!J$9:J$160,Mercado!$A$9:$A$160,$A31)</f>
        <v>0</v>
      </c>
      <c r="L31" s="51">
        <f>SUMIFS(Tarifas!$AF$7:$AF$320,Tarifas!$AB$7:$AB$320,$A31)*SUMIFS(Mercado!K$9:K$160,Mercado!$A$9:$A$160,$A31)</f>
        <v>0</v>
      </c>
      <c r="N31" s="55">
        <f t="shared" si="5"/>
        <v>0</v>
      </c>
      <c r="O31" s="55">
        <f t="shared" si="0"/>
        <v>0</v>
      </c>
      <c r="P31" s="55">
        <f t="shared" si="1"/>
        <v>0</v>
      </c>
      <c r="Q31" s="55">
        <f t="shared" si="2"/>
        <v>0</v>
      </c>
      <c r="R31" s="55">
        <f t="shared" si="3"/>
        <v>0</v>
      </c>
      <c r="S31" s="55">
        <f t="shared" si="4"/>
        <v>0</v>
      </c>
      <c r="U31" s="51">
        <f>NPV(Inputs!$C$6,'Vendas ajustada'!O31:R31)+(S31*Inputs!$C$11)/(1+Inputs!$C$6)^(4.55)</f>
        <v>0</v>
      </c>
    </row>
    <row r="32" spans="1:29">
      <c r="A32" s="192" t="str">
        <f>Usuarios!A38</f>
        <v>05 3</v>
      </c>
      <c r="B32" s="50" t="str">
        <f>Usuarios!B38</f>
        <v>Cogeração</v>
      </c>
      <c r="C32" s="50">
        <f>Usuarios!C38</f>
        <v>3</v>
      </c>
      <c r="D32" s="51">
        <f>Usuarios!D38</f>
        <v>5001</v>
      </c>
      <c r="E32" s="51">
        <f>Usuarios!E38</f>
        <v>20000</v>
      </c>
      <c r="G32" s="51"/>
      <c r="H32" s="51">
        <f>SUMIFS(Tarifas!$AF$7:$AF$320,Tarifas!$AB$7:$AB$320,$A32)*SUMIFS(Mercado!G$9:G$160,Mercado!$A$9:$A$160,$A32)</f>
        <v>0</v>
      </c>
      <c r="I32" s="51">
        <f>SUMIFS(Tarifas!$AF$7:$AF$320,Tarifas!$AB$7:$AB$320,$A32)*SUMIFS(Mercado!H$9:H$160,Mercado!$A$9:$A$160,$A32)</f>
        <v>0</v>
      </c>
      <c r="J32" s="51">
        <f>SUMIFS(Tarifas!$AF$7:$AF$320,Tarifas!$AB$7:$AB$320,$A32)*SUMIFS(Mercado!I$9:I$160,Mercado!$A$9:$A$160,$A32)</f>
        <v>0</v>
      </c>
      <c r="K32" s="51">
        <f>SUMIFS(Tarifas!$AF$7:$AF$320,Tarifas!$AB$7:$AB$320,$A32)*SUMIFS(Mercado!J$9:J$160,Mercado!$A$9:$A$160,$A32)</f>
        <v>0</v>
      </c>
      <c r="L32" s="51">
        <f>SUMIFS(Tarifas!$AF$7:$AF$320,Tarifas!$AB$7:$AB$320,$A32)*SUMIFS(Mercado!K$9:K$160,Mercado!$A$9:$A$160,$A32)</f>
        <v>0</v>
      </c>
      <c r="N32" s="55">
        <f t="shared" si="5"/>
        <v>0</v>
      </c>
      <c r="O32" s="55">
        <f t="shared" si="0"/>
        <v>0</v>
      </c>
      <c r="P32" s="55">
        <f t="shared" si="1"/>
        <v>0</v>
      </c>
      <c r="Q32" s="55">
        <f t="shared" si="2"/>
        <v>0</v>
      </c>
      <c r="R32" s="55">
        <f t="shared" si="3"/>
        <v>0</v>
      </c>
      <c r="S32" s="55">
        <f t="shared" si="4"/>
        <v>0</v>
      </c>
      <c r="U32" s="51">
        <f>NPV(Inputs!$C$6,'Vendas ajustada'!O32:R32)+(S32*Inputs!$C$11)/(1+Inputs!$C$6)^(4.55)</f>
        <v>0</v>
      </c>
    </row>
    <row r="33" spans="1:22">
      <c r="A33" s="192" t="str">
        <f>Usuarios!A39</f>
        <v>05 4</v>
      </c>
      <c r="B33" s="50" t="str">
        <f>Usuarios!B39</f>
        <v>Cogeração</v>
      </c>
      <c r="C33" s="50">
        <f>Usuarios!C39</f>
        <v>4</v>
      </c>
      <c r="D33" s="51">
        <f>Usuarios!D39</f>
        <v>20001</v>
      </c>
      <c r="E33" s="51">
        <f>Usuarios!E39</f>
        <v>70000</v>
      </c>
      <c r="G33" s="51"/>
      <c r="H33" s="51">
        <f>SUMIFS(Tarifas!$AF$7:$AF$320,Tarifas!$AB$7:$AB$320,$A33)*SUMIFS(Mercado!G$9:G$160,Mercado!$A$9:$A$160,$A33)</f>
        <v>0</v>
      </c>
      <c r="I33" s="51">
        <f>SUMIFS(Tarifas!$AF$7:$AF$320,Tarifas!$AB$7:$AB$320,$A33)*SUMIFS(Mercado!H$9:H$160,Mercado!$A$9:$A$160,$A33)</f>
        <v>0</v>
      </c>
      <c r="J33" s="51">
        <f>SUMIFS(Tarifas!$AF$7:$AF$320,Tarifas!$AB$7:$AB$320,$A33)*SUMIFS(Mercado!I$9:I$160,Mercado!$A$9:$A$160,$A33)</f>
        <v>0</v>
      </c>
      <c r="K33" s="51">
        <f>SUMIFS(Tarifas!$AF$7:$AF$320,Tarifas!$AB$7:$AB$320,$A33)*SUMIFS(Mercado!J$9:J$160,Mercado!$A$9:$A$160,$A33)</f>
        <v>0</v>
      </c>
      <c r="L33" s="51">
        <f>SUMIFS(Tarifas!$AF$7:$AF$320,Tarifas!$AB$7:$AB$320,$A33)*SUMIFS(Mercado!K$9:K$160,Mercado!$A$9:$A$160,$A33)</f>
        <v>0</v>
      </c>
      <c r="N33" s="55">
        <f t="shared" si="5"/>
        <v>0</v>
      </c>
      <c r="O33" s="55">
        <f t="shared" si="0"/>
        <v>0</v>
      </c>
      <c r="P33" s="55">
        <f t="shared" si="1"/>
        <v>0</v>
      </c>
      <c r="Q33" s="55">
        <f t="shared" si="2"/>
        <v>0</v>
      </c>
      <c r="R33" s="55">
        <f t="shared" si="3"/>
        <v>0</v>
      </c>
      <c r="S33" s="55">
        <f t="shared" si="4"/>
        <v>0</v>
      </c>
      <c r="U33" s="51">
        <f>NPV(Inputs!$C$6,'Vendas ajustada'!O33:R33)+(S33*Inputs!$C$11)/(1+Inputs!$C$6)^(4.55)</f>
        <v>0</v>
      </c>
    </row>
    <row r="34" spans="1:22">
      <c r="A34" s="192" t="str">
        <f>Usuarios!A40</f>
        <v>05 5</v>
      </c>
      <c r="B34" s="50" t="str">
        <f>Usuarios!B40</f>
        <v>Cogeração</v>
      </c>
      <c r="C34" s="50">
        <f>Usuarios!C40</f>
        <v>5</v>
      </c>
      <c r="D34" s="51">
        <f>Usuarios!D40</f>
        <v>70001</v>
      </c>
      <c r="E34" s="51">
        <f>Usuarios!E40</f>
        <v>120000</v>
      </c>
      <c r="G34" s="51"/>
      <c r="H34" s="51">
        <f>SUMIFS(Tarifas!$AF$7:$AF$320,Tarifas!$AB$7:$AB$320,$A34)*SUMIFS(Mercado!G$9:G$160,Mercado!$A$9:$A$160,$A34)</f>
        <v>0</v>
      </c>
      <c r="I34" s="51">
        <f>SUMIFS(Tarifas!$AF$7:$AF$320,Tarifas!$AB$7:$AB$320,$A34)*SUMIFS(Mercado!H$9:H$160,Mercado!$A$9:$A$160,$A34)</f>
        <v>0</v>
      </c>
      <c r="J34" s="51">
        <f>SUMIFS(Tarifas!$AF$7:$AF$320,Tarifas!$AB$7:$AB$320,$A34)*SUMIFS(Mercado!I$9:I$160,Mercado!$A$9:$A$160,$A34)</f>
        <v>0</v>
      </c>
      <c r="K34" s="51">
        <f>SUMIFS(Tarifas!$AF$7:$AF$320,Tarifas!$AB$7:$AB$320,$A34)*SUMIFS(Mercado!J$9:J$160,Mercado!$A$9:$A$160,$A34)</f>
        <v>0</v>
      </c>
      <c r="L34" s="51">
        <f>SUMIFS(Tarifas!$AF$7:$AF$320,Tarifas!$AB$7:$AB$320,$A34)*SUMIFS(Mercado!K$9:K$160,Mercado!$A$9:$A$160,$A34)</f>
        <v>0</v>
      </c>
      <c r="N34" s="55">
        <f t="shared" si="5"/>
        <v>0</v>
      </c>
      <c r="O34" s="55">
        <f t="shared" si="0"/>
        <v>0</v>
      </c>
      <c r="P34" s="55">
        <f t="shared" si="1"/>
        <v>0</v>
      </c>
      <c r="Q34" s="55">
        <f t="shared" si="2"/>
        <v>0</v>
      </c>
      <c r="R34" s="55">
        <f t="shared" si="3"/>
        <v>0</v>
      </c>
      <c r="S34" s="55">
        <f t="shared" si="4"/>
        <v>0</v>
      </c>
      <c r="U34" s="51">
        <f>NPV(Inputs!$C$6,'Vendas ajustada'!O34:R34)+(S34*Inputs!$C$11)/(1+Inputs!$C$6)^(4.55)</f>
        <v>0</v>
      </c>
    </row>
    <row r="35" spans="1:22">
      <c r="A35" s="192" t="str">
        <f>Usuarios!A41</f>
        <v>05 6</v>
      </c>
      <c r="B35" s="50" t="str">
        <f>Usuarios!B41</f>
        <v>Cogeração</v>
      </c>
      <c r="C35" s="50">
        <f>Usuarios!C41</f>
        <v>6</v>
      </c>
      <c r="D35" s="51">
        <f>Usuarios!D41</f>
        <v>120001</v>
      </c>
      <c r="E35" s="51">
        <f>Usuarios!E41</f>
        <v>300000</v>
      </c>
      <c r="G35" s="51"/>
      <c r="H35" s="51">
        <f>SUMIFS(Tarifas!$AF$7:$AF$320,Tarifas!$AB$7:$AB$320,$A35)*SUMIFS(Mercado!G$9:G$160,Mercado!$A$9:$A$160,$A35)</f>
        <v>0</v>
      </c>
      <c r="I35" s="51">
        <f>SUMIFS(Tarifas!$AF$7:$AF$320,Tarifas!$AB$7:$AB$320,$A35)*SUMIFS(Mercado!H$9:H$160,Mercado!$A$9:$A$160,$A35)</f>
        <v>0</v>
      </c>
      <c r="J35" s="51">
        <f>SUMIFS(Tarifas!$AF$7:$AF$320,Tarifas!$AB$7:$AB$320,$A35)*SUMIFS(Mercado!I$9:I$160,Mercado!$A$9:$A$160,$A35)</f>
        <v>0</v>
      </c>
      <c r="K35" s="51">
        <f>SUMIFS(Tarifas!$AF$7:$AF$320,Tarifas!$AB$7:$AB$320,$A35)*SUMIFS(Mercado!J$9:J$160,Mercado!$A$9:$A$160,$A35)</f>
        <v>0</v>
      </c>
      <c r="L35" s="51">
        <f>SUMIFS(Tarifas!$AF$7:$AF$320,Tarifas!$AB$7:$AB$320,$A35)*SUMIFS(Mercado!K$9:K$160,Mercado!$A$9:$A$160,$A35)</f>
        <v>0</v>
      </c>
      <c r="N35" s="55">
        <f t="shared" si="5"/>
        <v>0</v>
      </c>
      <c r="O35" s="55">
        <f t="shared" si="0"/>
        <v>0</v>
      </c>
      <c r="P35" s="55">
        <f t="shared" si="1"/>
        <v>0</v>
      </c>
      <c r="Q35" s="55">
        <f t="shared" si="2"/>
        <v>0</v>
      </c>
      <c r="R35" s="55">
        <f t="shared" si="3"/>
        <v>0</v>
      </c>
      <c r="S35" s="55">
        <f t="shared" si="4"/>
        <v>0</v>
      </c>
      <c r="U35" s="51">
        <f>NPV(Inputs!$C$6,'Vendas ajustada'!O35:R35)+(S35*Inputs!$C$11)/(1+Inputs!$C$6)^(4.55)</f>
        <v>0</v>
      </c>
    </row>
    <row r="36" spans="1:22">
      <c r="A36" s="192" t="str">
        <f>Usuarios!A42</f>
        <v>05 7</v>
      </c>
      <c r="B36" s="50" t="str">
        <f>Usuarios!B42</f>
        <v>Cogeração</v>
      </c>
      <c r="C36" s="50">
        <f>Usuarios!C42</f>
        <v>7</v>
      </c>
      <c r="D36" s="51">
        <f>Usuarios!D42</f>
        <v>300001</v>
      </c>
      <c r="E36" s="51">
        <f>Usuarios!E42</f>
        <v>600000</v>
      </c>
      <c r="G36" s="51"/>
      <c r="H36" s="51">
        <f>SUMIFS(Tarifas!$AF$7:$AF$320,Tarifas!$AB$7:$AB$320,$A36)*SUMIFS(Mercado!G$9:G$160,Mercado!$A$9:$A$160,$A36)</f>
        <v>0</v>
      </c>
      <c r="I36" s="51">
        <f>SUMIFS(Tarifas!$AF$7:$AF$320,Tarifas!$AB$7:$AB$320,$A36)*SUMIFS(Mercado!H$9:H$160,Mercado!$A$9:$A$160,$A36)</f>
        <v>0</v>
      </c>
      <c r="J36" s="51">
        <f>SUMIFS(Tarifas!$AF$7:$AF$320,Tarifas!$AB$7:$AB$320,$A36)*SUMIFS(Mercado!I$9:I$160,Mercado!$A$9:$A$160,$A36)</f>
        <v>0</v>
      </c>
      <c r="K36" s="51">
        <f>SUMIFS(Tarifas!$AF$7:$AF$320,Tarifas!$AB$7:$AB$320,$A36)*SUMIFS(Mercado!J$9:J$160,Mercado!$A$9:$A$160,$A36)</f>
        <v>0</v>
      </c>
      <c r="L36" s="51">
        <f>SUMIFS(Tarifas!$AF$7:$AF$320,Tarifas!$AB$7:$AB$320,$A36)*SUMIFS(Mercado!K$9:K$160,Mercado!$A$9:$A$160,$A36)</f>
        <v>0</v>
      </c>
      <c r="N36" s="55">
        <f t="shared" si="5"/>
        <v>0</v>
      </c>
      <c r="O36" s="55">
        <f t="shared" si="0"/>
        <v>0</v>
      </c>
      <c r="P36" s="55">
        <f t="shared" si="1"/>
        <v>0</v>
      </c>
      <c r="Q36" s="55">
        <f t="shared" si="2"/>
        <v>0</v>
      </c>
      <c r="R36" s="55">
        <f t="shared" si="3"/>
        <v>0</v>
      </c>
      <c r="S36" s="55">
        <f t="shared" si="4"/>
        <v>0</v>
      </c>
      <c r="U36" s="51">
        <f>NPV(Inputs!$C$6,'Vendas ajustada'!O36:R36)+(S36*Inputs!$C$11)/(1+Inputs!$C$6)^(4.55)</f>
        <v>0</v>
      </c>
    </row>
    <row r="37" spans="1:22">
      <c r="A37" s="192" t="str">
        <f>Usuarios!A43</f>
        <v>05 8</v>
      </c>
      <c r="B37" s="50" t="str">
        <f>Usuarios!B43</f>
        <v>Cogeração</v>
      </c>
      <c r="C37" s="50">
        <f>Usuarios!C43</f>
        <v>8</v>
      </c>
      <c r="D37" s="51">
        <f>Usuarios!D43</f>
        <v>600001</v>
      </c>
      <c r="E37" s="51">
        <f>Usuarios!E43</f>
        <v>1500000</v>
      </c>
      <c r="G37" s="51"/>
      <c r="H37" s="51">
        <f>SUMIFS(Tarifas!$AF$7:$AF$320,Tarifas!$AB$7:$AB$320,$A37)*SUMIFS(Mercado!G$9:G$160,Mercado!$A$9:$A$160,$A37)</f>
        <v>0</v>
      </c>
      <c r="I37" s="51">
        <f>SUMIFS(Tarifas!$AF$7:$AF$320,Tarifas!$AB$7:$AB$320,$A37)*SUMIFS(Mercado!H$9:H$160,Mercado!$A$9:$A$160,$A37)</f>
        <v>0</v>
      </c>
      <c r="J37" s="51">
        <f>SUMIFS(Tarifas!$AF$7:$AF$320,Tarifas!$AB$7:$AB$320,$A37)*SUMIFS(Mercado!I$9:I$160,Mercado!$A$9:$A$160,$A37)</f>
        <v>0</v>
      </c>
      <c r="K37" s="51">
        <f>SUMIFS(Tarifas!$AF$7:$AF$320,Tarifas!$AB$7:$AB$320,$A37)*SUMIFS(Mercado!J$9:J$160,Mercado!$A$9:$A$160,$A37)</f>
        <v>0</v>
      </c>
      <c r="L37" s="51">
        <f>SUMIFS(Tarifas!$AF$7:$AF$320,Tarifas!$AB$7:$AB$320,$A37)*SUMIFS(Mercado!K$9:K$160,Mercado!$A$9:$A$160,$A37)</f>
        <v>0</v>
      </c>
      <c r="N37" s="55">
        <f t="shared" si="5"/>
        <v>0</v>
      </c>
      <c r="O37" s="55">
        <f t="shared" si="0"/>
        <v>0</v>
      </c>
      <c r="P37" s="55">
        <f t="shared" si="1"/>
        <v>0</v>
      </c>
      <c r="Q37" s="55">
        <f t="shared" si="2"/>
        <v>0</v>
      </c>
      <c r="R37" s="55">
        <f t="shared" si="3"/>
        <v>0</v>
      </c>
      <c r="S37" s="55">
        <f t="shared" si="4"/>
        <v>0</v>
      </c>
      <c r="U37" s="51">
        <f>NPV(Inputs!$C$6,'Vendas ajustada'!O37:R37)+(S37*Inputs!$C$11)/(1+Inputs!$C$6)^(4.55)</f>
        <v>0</v>
      </c>
    </row>
    <row r="38" spans="1:22">
      <c r="A38" s="192" t="str">
        <f>Usuarios!A44</f>
        <v>05 9</v>
      </c>
      <c r="B38" s="50" t="str">
        <f>Usuarios!B44</f>
        <v>Cogeração</v>
      </c>
      <c r="C38" s="50">
        <f>Usuarios!C44</f>
        <v>9</v>
      </c>
      <c r="D38" s="51">
        <f>Usuarios!D44</f>
        <v>1500001</v>
      </c>
      <c r="E38" s="51">
        <f>Usuarios!E44</f>
        <v>999999999</v>
      </c>
      <c r="G38" s="51"/>
      <c r="H38" s="51">
        <f>SUMIFS(Tarifas!$AF$7:$AF$320,Tarifas!$AB$7:$AB$320,$A38)*SUMIFS(Mercado!G$9:G$160,Mercado!$A$9:$A$160,$A38)</f>
        <v>0</v>
      </c>
      <c r="I38" s="51">
        <f>SUMIFS(Tarifas!$AF$7:$AF$320,Tarifas!$AB$7:$AB$320,$A38)*SUMIFS(Mercado!H$9:H$160,Mercado!$A$9:$A$160,$A38)</f>
        <v>0</v>
      </c>
      <c r="J38" s="51">
        <f>SUMIFS(Tarifas!$AF$7:$AF$320,Tarifas!$AB$7:$AB$320,$A38)*SUMIFS(Mercado!I$9:I$160,Mercado!$A$9:$A$160,$A38)</f>
        <v>0</v>
      </c>
      <c r="K38" s="51">
        <f>SUMIFS(Tarifas!$AF$7:$AF$320,Tarifas!$AB$7:$AB$320,$A38)*SUMIFS(Mercado!J$9:J$160,Mercado!$A$9:$A$160,$A38)</f>
        <v>0</v>
      </c>
      <c r="L38" s="51">
        <f>SUMIFS(Tarifas!$AF$7:$AF$320,Tarifas!$AB$7:$AB$320,$A38)*SUMIFS(Mercado!K$9:K$160,Mercado!$A$9:$A$160,$A38)</f>
        <v>0</v>
      </c>
      <c r="N38" s="55">
        <f t="shared" si="5"/>
        <v>0</v>
      </c>
      <c r="O38" s="55">
        <f t="shared" si="0"/>
        <v>0</v>
      </c>
      <c r="P38" s="55">
        <f t="shared" si="1"/>
        <v>0</v>
      </c>
      <c r="Q38" s="55">
        <f t="shared" si="2"/>
        <v>0</v>
      </c>
      <c r="R38" s="55">
        <f t="shared" si="3"/>
        <v>0</v>
      </c>
      <c r="S38" s="55">
        <f t="shared" si="4"/>
        <v>0</v>
      </c>
      <c r="U38" s="51">
        <f>NPV(Inputs!$C$6,'Vendas ajustada'!O38:R38)+(S38*Inputs!$C$11)/(1+Inputs!$C$6)^(4.55)</f>
        <v>0</v>
      </c>
    </row>
    <row r="39" spans="1:22">
      <c r="A39" s="192"/>
      <c r="D39" s="51"/>
      <c r="E39" s="51"/>
      <c r="F39" s="51"/>
      <c r="G39" s="51"/>
      <c r="H39" s="51">
        <f>SUMIFS(Tarifas!$AF$7:$AF$320,Tarifas!$AB$7:$AB$320,$A39)*SUMIFS(Mercado!G$9:G$160,Mercado!$A$9:$A$160,$A39)</f>
        <v>0</v>
      </c>
      <c r="I39" s="51">
        <f>SUMIFS(Tarifas!$AF$7:$AF$320,Tarifas!$AB$7:$AB$320,$A39)*SUMIFS(Mercado!H$9:H$160,Mercado!$A$9:$A$160,$A39)</f>
        <v>0</v>
      </c>
      <c r="J39" s="51">
        <f>SUMIFS(Tarifas!$AF$7:$AF$320,Tarifas!$AB$7:$AB$320,$A39)*SUMIFS(Mercado!I$9:I$160,Mercado!$A$9:$A$160,$A39)</f>
        <v>0</v>
      </c>
      <c r="K39" s="51">
        <f>SUMIFS(Tarifas!$AF$7:$AF$320,Tarifas!$AB$7:$AB$320,$A39)*SUMIFS(Mercado!J$9:J$160,Mercado!$A$9:$A$160,$A39)</f>
        <v>0</v>
      </c>
      <c r="L39" s="51">
        <f>SUMIFS(Tarifas!$AF$7:$AF$320,Tarifas!$AB$7:$AB$320,$A39)*SUMIFS(Mercado!K$9:K$160,Mercado!$A$9:$A$160,$A39)</f>
        <v>0</v>
      </c>
      <c r="M39" s="51"/>
      <c r="N39" s="55">
        <f t="shared" si="5"/>
        <v>0</v>
      </c>
      <c r="O39" s="55">
        <f t="shared" si="0"/>
        <v>0</v>
      </c>
      <c r="P39" s="55">
        <f t="shared" si="1"/>
        <v>0</v>
      </c>
      <c r="Q39" s="55">
        <f t="shared" si="2"/>
        <v>0</v>
      </c>
      <c r="R39" s="55">
        <f t="shared" si="3"/>
        <v>0</v>
      </c>
      <c r="S39" s="55">
        <f t="shared" si="4"/>
        <v>0</v>
      </c>
      <c r="T39" s="51"/>
      <c r="U39" s="51">
        <f>NPV(Inputs!$C$6,'Vendas ajustada'!O39:R39)+(S39*Inputs!$C$11)/(1+Inputs!$C$6)^(4.55)</f>
        <v>0</v>
      </c>
      <c r="V39" s="51"/>
    </row>
    <row r="40" spans="1:22">
      <c r="A40" s="192" t="str">
        <f>Usuarios!A46</f>
        <v>06 1</v>
      </c>
      <c r="B40" s="50" t="str">
        <f>Usuarios!B46</f>
        <v>Geração Distribuída</v>
      </c>
      <c r="C40" s="50">
        <f>Usuarios!C46</f>
        <v>1</v>
      </c>
      <c r="D40" s="51">
        <f>Usuarios!D46</f>
        <v>0</v>
      </c>
      <c r="E40" s="51">
        <f>Usuarios!E46</f>
        <v>200</v>
      </c>
      <c r="G40" s="51"/>
      <c r="H40" s="51">
        <f>SUMIFS(Tarifas!$AF$7:$AF$320,Tarifas!$AB$7:$AB$320,$A40)*SUMIFS(Mercado!G$9:G$160,Mercado!$A$9:$A$160,$A40)</f>
        <v>4.0693394386256649</v>
      </c>
      <c r="I40" s="51">
        <f>SUMIFS(Tarifas!$AF$7:$AF$320,Tarifas!$AB$7:$AB$320,$A40)*SUMIFS(Mercado!H$9:H$160,Mercado!$A$9:$A$160,$A40)</f>
        <v>3.5946435646630981</v>
      </c>
      <c r="J40" s="51">
        <f>SUMIFS(Tarifas!$AF$7:$AF$320,Tarifas!$AB$7:$AB$320,$A40)*SUMIFS(Mercado!I$9:I$160,Mercado!$A$9:$A$160,$A40)</f>
        <v>3.3059752925490371</v>
      </c>
      <c r="K40" s="51">
        <f>SUMIFS(Tarifas!$AF$7:$AF$320,Tarifas!$AB$7:$AB$320,$A40)*SUMIFS(Mercado!J$9:J$160,Mercado!$A$9:$A$160,$A40)</f>
        <v>3.2447488002780505</v>
      </c>
      <c r="L40" s="51">
        <f>SUMIFS(Tarifas!$AF$7:$AF$320,Tarifas!$AB$7:$AB$320,$A40)*SUMIFS(Mercado!K$9:K$160,Mercado!$A$9:$A$160,$A40)</f>
        <v>3.2390238723870497</v>
      </c>
      <c r="N40" s="55">
        <f t="shared" si="5"/>
        <v>0</v>
      </c>
      <c r="O40" s="55">
        <f t="shared" si="0"/>
        <v>4.0693394386256649</v>
      </c>
      <c r="P40" s="55">
        <f t="shared" si="1"/>
        <v>3.5946435646630981</v>
      </c>
      <c r="Q40" s="55">
        <f t="shared" si="2"/>
        <v>3.3059752925490371</v>
      </c>
      <c r="R40" s="55">
        <f t="shared" si="3"/>
        <v>3.2447488002780505</v>
      </c>
      <c r="S40" s="55">
        <f t="shared" si="4"/>
        <v>3.2390238723870497</v>
      </c>
      <c r="U40" s="51">
        <f>NPV(Inputs!$C$6,'Vendas ajustada'!O40:R40)+(S40*Inputs!$C$11)/(1+Inputs!$C$6)^(4.55)</f>
        <v>12.839080763422492</v>
      </c>
    </row>
    <row r="41" spans="1:22">
      <c r="A41" s="192" t="str">
        <f>Usuarios!A47</f>
        <v>06 2</v>
      </c>
      <c r="B41" s="50" t="str">
        <f>Usuarios!B47</f>
        <v>Geração Distribuída</v>
      </c>
      <c r="C41" s="50">
        <f>Usuarios!C47</f>
        <v>2</v>
      </c>
      <c r="D41" s="51">
        <f>Usuarios!D47</f>
        <v>201</v>
      </c>
      <c r="E41" s="51">
        <f>Usuarios!E47</f>
        <v>5000</v>
      </c>
      <c r="G41" s="51"/>
      <c r="H41" s="51">
        <f>SUMIFS(Tarifas!$AF$7:$AF$320,Tarifas!$AB$7:$AB$320,$A41)*SUMIFS(Mercado!G$9:G$160,Mercado!$A$9:$A$160,$A41)</f>
        <v>28.488416282370615</v>
      </c>
      <c r="I41" s="51">
        <f>SUMIFS(Tarifas!$AF$7:$AF$320,Tarifas!$AB$7:$AB$320,$A41)*SUMIFS(Mercado!H$9:H$160,Mercado!$A$9:$A$160,$A41)</f>
        <v>16.113980574193224</v>
      </c>
      <c r="J41" s="51">
        <f>SUMIFS(Tarifas!$AF$7:$AF$320,Tarifas!$AB$7:$AB$320,$A41)*SUMIFS(Mercado!I$9:I$160,Mercado!$A$9:$A$160,$A41)</f>
        <v>48.981480734308704</v>
      </c>
      <c r="K41" s="51">
        <f>SUMIFS(Tarifas!$AF$7:$AF$320,Tarifas!$AB$7:$AB$320,$A41)*SUMIFS(Mercado!J$9:J$160,Mercado!$A$9:$A$160,$A41)</f>
        <v>48.074346232015337</v>
      </c>
      <c r="L41" s="51">
        <f>SUMIFS(Tarifas!$AF$7:$AF$320,Tarifas!$AB$7:$AB$320,$A41)*SUMIFS(Mercado!K$9:K$160,Mercado!$A$9:$A$160,$A41)</f>
        <v>47.98952543924343</v>
      </c>
      <c r="N41" s="55">
        <f t="shared" si="5"/>
        <v>0</v>
      </c>
      <c r="O41" s="55">
        <f t="shared" si="0"/>
        <v>28.488416282370615</v>
      </c>
      <c r="P41" s="55">
        <f t="shared" si="1"/>
        <v>16.113980574193224</v>
      </c>
      <c r="Q41" s="55">
        <f t="shared" si="2"/>
        <v>48.981480734308704</v>
      </c>
      <c r="R41" s="55">
        <f t="shared" si="3"/>
        <v>48.074346232015337</v>
      </c>
      <c r="S41" s="55">
        <f t="shared" si="4"/>
        <v>47.98952543924343</v>
      </c>
      <c r="U41" s="51">
        <f>NPV(Inputs!$C$6,'Vendas ajustada'!O41:R41)+(S41*Inputs!$C$11)/(1+Inputs!$C$6)^(4.55)</f>
        <v>129.71615835713104</v>
      </c>
    </row>
    <row r="42" spans="1:22">
      <c r="A42" s="192" t="str">
        <f>Usuarios!A48</f>
        <v>06 3</v>
      </c>
      <c r="B42" s="50" t="str">
        <f>Usuarios!B48</f>
        <v>Geração Distribuída</v>
      </c>
      <c r="C42" s="50">
        <f>Usuarios!C48</f>
        <v>3</v>
      </c>
      <c r="D42" s="51">
        <f>Usuarios!D48</f>
        <v>5001</v>
      </c>
      <c r="E42" s="51">
        <f>Usuarios!E48</f>
        <v>20000</v>
      </c>
      <c r="G42" s="51"/>
      <c r="H42" s="51">
        <f>SUMIFS(Tarifas!$AF$7:$AF$320,Tarifas!$AB$7:$AB$320,$A42)*SUMIFS(Mercado!G$9:G$160,Mercado!$A$9:$A$160,$A42)</f>
        <v>123.83229019865783</v>
      </c>
      <c r="I42" s="51">
        <f>SUMIFS(Tarifas!$AF$7:$AF$320,Tarifas!$AB$7:$AB$320,$A42)*SUMIFS(Mercado!H$9:H$160,Mercado!$A$9:$A$160,$A42)</f>
        <v>257.1367507094555</v>
      </c>
      <c r="J42" s="51">
        <f>SUMIFS(Tarifas!$AF$7:$AF$320,Tarifas!$AB$7:$AB$320,$A42)*SUMIFS(Mercado!I$9:I$160,Mercado!$A$9:$A$160,$A42)</f>
        <v>73.575193964679698</v>
      </c>
      <c r="K42" s="51">
        <f>SUMIFS(Tarifas!$AF$7:$AF$320,Tarifas!$AB$7:$AB$320,$A42)*SUMIFS(Mercado!J$9:J$160,Mercado!$A$9:$A$160,$A42)</f>
        <v>72.212585159112535</v>
      </c>
      <c r="L42" s="51">
        <f>SUMIFS(Tarifas!$AF$7:$AF$320,Tarifas!$AB$7:$AB$320,$A42)*SUMIFS(Mercado!K$9:K$160,Mercado!$A$9:$A$160,$A42)</f>
        <v>72.085175652767006</v>
      </c>
      <c r="N42" s="55">
        <f t="shared" si="5"/>
        <v>0</v>
      </c>
      <c r="O42" s="55">
        <f t="shared" si="0"/>
        <v>123.83229019865783</v>
      </c>
      <c r="P42" s="55">
        <f t="shared" si="1"/>
        <v>257.1367507094555</v>
      </c>
      <c r="Q42" s="55">
        <f t="shared" si="2"/>
        <v>73.575193964679698</v>
      </c>
      <c r="R42" s="55">
        <f t="shared" si="3"/>
        <v>72.212585159112535</v>
      </c>
      <c r="S42" s="55">
        <f t="shared" si="4"/>
        <v>72.085175652767006</v>
      </c>
      <c r="U42" s="51">
        <f>NPV(Inputs!$C$6,'Vendas ajustada'!O42:R42)+(S42*Inputs!$C$11)/(1+Inputs!$C$6)^(4.55)</f>
        <v>465.59218883863798</v>
      </c>
    </row>
    <row r="43" spans="1:22">
      <c r="A43" s="192" t="str">
        <f>Usuarios!A49</f>
        <v>06 4</v>
      </c>
      <c r="B43" s="50" t="str">
        <f>Usuarios!B49</f>
        <v>Geração Distribuída</v>
      </c>
      <c r="C43" s="50">
        <f>Usuarios!C49</f>
        <v>4</v>
      </c>
      <c r="D43" s="51">
        <f>Usuarios!D49</f>
        <v>20001</v>
      </c>
      <c r="E43" s="51">
        <f>Usuarios!E49</f>
        <v>70000</v>
      </c>
      <c r="G43" s="51"/>
      <c r="H43" s="51">
        <f>SUMIFS(Tarifas!$AF$7:$AF$320,Tarifas!$AB$7:$AB$320,$A43)*SUMIFS(Mercado!G$9:G$160,Mercado!$A$9:$A$160,$A43)</f>
        <v>103.43889862200339</v>
      </c>
      <c r="I43" s="51">
        <f>SUMIFS(Tarifas!$AF$7:$AF$320,Tarifas!$AB$7:$AB$320,$A43)*SUMIFS(Mercado!H$9:H$160,Mercado!$A$9:$A$160,$A43)</f>
        <v>3.5438900272813885</v>
      </c>
      <c r="J43" s="51">
        <f>SUMIFS(Tarifas!$AF$7:$AF$320,Tarifas!$AB$7:$AB$320,$A43)*SUMIFS(Mercado!I$9:I$160,Mercado!$A$9:$A$160,$A43)</f>
        <v>89.988679738775318</v>
      </c>
      <c r="K43" s="51">
        <f>SUMIFS(Tarifas!$AF$7:$AF$320,Tarifas!$AB$7:$AB$320,$A43)*SUMIFS(Mercado!J$9:J$160,Mercado!$A$9:$A$160,$A43)</f>
        <v>88.322094021416788</v>
      </c>
      <c r="L43" s="51">
        <f>SUMIFS(Tarifas!$AF$7:$AF$320,Tarifas!$AB$7:$AB$320,$A43)*SUMIFS(Mercado!K$9:K$160,Mercado!$A$9:$A$160,$A43)</f>
        <v>88.16626142833239</v>
      </c>
      <c r="N43" s="55">
        <f t="shared" si="5"/>
        <v>0</v>
      </c>
      <c r="O43" s="55">
        <f t="shared" si="0"/>
        <v>103.43889862200339</v>
      </c>
      <c r="P43" s="55">
        <f t="shared" si="1"/>
        <v>3.5438900272813885</v>
      </c>
      <c r="Q43" s="55">
        <f t="shared" si="2"/>
        <v>89.988679738775318</v>
      </c>
      <c r="R43" s="55">
        <f t="shared" si="3"/>
        <v>88.322094021416788</v>
      </c>
      <c r="S43" s="55">
        <f t="shared" si="4"/>
        <v>88.16626142833239</v>
      </c>
      <c r="U43" s="51">
        <f>NPV(Inputs!$C$6,'Vendas ajustada'!O43:R43)+(S43*Inputs!$C$11)/(1+Inputs!$C$6)^(4.55)</f>
        <v>263.26248167806955</v>
      </c>
    </row>
    <row r="44" spans="1:22">
      <c r="A44" s="192" t="str">
        <f>Usuarios!A50</f>
        <v>06 5</v>
      </c>
      <c r="B44" s="50" t="str">
        <f>Usuarios!B50</f>
        <v>Geração Distribuída</v>
      </c>
      <c r="C44" s="50">
        <f>Usuarios!C50</f>
        <v>5</v>
      </c>
      <c r="D44" s="51">
        <f>Usuarios!D50</f>
        <v>70001</v>
      </c>
      <c r="E44" s="51">
        <f>Usuarios!E50</f>
        <v>120000</v>
      </c>
      <c r="G44" s="51"/>
      <c r="H44" s="51">
        <f>SUMIFS(Tarifas!$AF$7:$AF$320,Tarifas!$AB$7:$AB$320,$A44)*SUMIFS(Mercado!G$9:G$160,Mercado!$A$9:$A$160,$A44)</f>
        <v>0</v>
      </c>
      <c r="I44" s="51">
        <f>SUMIFS(Tarifas!$AF$7:$AF$320,Tarifas!$AB$7:$AB$320,$A44)*SUMIFS(Mercado!H$9:H$160,Mercado!$A$9:$A$160,$A44)</f>
        <v>0</v>
      </c>
      <c r="J44" s="51">
        <f>SUMIFS(Tarifas!$AF$7:$AF$320,Tarifas!$AB$7:$AB$320,$A44)*SUMIFS(Mercado!I$9:I$160,Mercado!$A$9:$A$160,$A44)</f>
        <v>0</v>
      </c>
      <c r="K44" s="51">
        <f>SUMIFS(Tarifas!$AF$7:$AF$320,Tarifas!$AB$7:$AB$320,$A44)*SUMIFS(Mercado!J$9:J$160,Mercado!$A$9:$A$160,$A44)</f>
        <v>0</v>
      </c>
      <c r="L44" s="51">
        <f>SUMIFS(Tarifas!$AF$7:$AF$320,Tarifas!$AB$7:$AB$320,$A44)*SUMIFS(Mercado!K$9:K$160,Mercado!$A$9:$A$160,$A44)</f>
        <v>0</v>
      </c>
      <c r="N44" s="55">
        <f t="shared" si="5"/>
        <v>0</v>
      </c>
      <c r="O44" s="55">
        <f t="shared" si="0"/>
        <v>0</v>
      </c>
      <c r="P44" s="55">
        <f t="shared" si="1"/>
        <v>0</v>
      </c>
      <c r="Q44" s="55">
        <f t="shared" si="2"/>
        <v>0</v>
      </c>
      <c r="R44" s="55">
        <f t="shared" si="3"/>
        <v>0</v>
      </c>
      <c r="S44" s="55">
        <f t="shared" si="4"/>
        <v>0</v>
      </c>
      <c r="U44" s="51">
        <f>NPV(Inputs!$C$6,'Vendas ajustada'!O44:R44)+(S44*Inputs!$C$11)/(1+Inputs!$C$6)^(4.55)</f>
        <v>0</v>
      </c>
    </row>
    <row r="45" spans="1:22">
      <c r="A45" s="192" t="str">
        <f>Usuarios!A51</f>
        <v>06 6</v>
      </c>
      <c r="B45" s="50" t="str">
        <f>Usuarios!B51</f>
        <v>Geração Distribuída</v>
      </c>
      <c r="C45" s="50">
        <f>Usuarios!C51</f>
        <v>6</v>
      </c>
      <c r="D45" s="51">
        <f>Usuarios!D51</f>
        <v>120001</v>
      </c>
      <c r="E45" s="51">
        <f>Usuarios!E51</f>
        <v>300000</v>
      </c>
      <c r="G45" s="51"/>
      <c r="H45" s="51">
        <f>SUMIFS(Tarifas!$AF$7:$AF$320,Tarifas!$AB$7:$AB$320,$A45)*SUMIFS(Mercado!G$9:G$160,Mercado!$A$9:$A$160,$A45)</f>
        <v>0</v>
      </c>
      <c r="I45" s="51">
        <f>SUMIFS(Tarifas!$AF$7:$AF$320,Tarifas!$AB$7:$AB$320,$A45)*SUMIFS(Mercado!H$9:H$160,Mercado!$A$9:$A$160,$A45)</f>
        <v>0</v>
      </c>
      <c r="J45" s="51">
        <f>SUMIFS(Tarifas!$AF$7:$AF$320,Tarifas!$AB$7:$AB$320,$A45)*SUMIFS(Mercado!I$9:I$160,Mercado!$A$9:$A$160,$A45)</f>
        <v>0</v>
      </c>
      <c r="K45" s="51">
        <f>SUMIFS(Tarifas!$AF$7:$AF$320,Tarifas!$AB$7:$AB$320,$A45)*SUMIFS(Mercado!J$9:J$160,Mercado!$A$9:$A$160,$A45)</f>
        <v>0</v>
      </c>
      <c r="L45" s="51">
        <f>SUMIFS(Tarifas!$AF$7:$AF$320,Tarifas!$AB$7:$AB$320,$A45)*SUMIFS(Mercado!K$9:K$160,Mercado!$A$9:$A$160,$A45)</f>
        <v>0</v>
      </c>
      <c r="N45" s="55">
        <f t="shared" si="5"/>
        <v>0</v>
      </c>
      <c r="O45" s="55">
        <f t="shared" si="0"/>
        <v>0</v>
      </c>
      <c r="P45" s="55">
        <f t="shared" si="1"/>
        <v>0</v>
      </c>
      <c r="Q45" s="55">
        <f t="shared" si="2"/>
        <v>0</v>
      </c>
      <c r="R45" s="55">
        <f t="shared" si="3"/>
        <v>0</v>
      </c>
      <c r="S45" s="55">
        <f t="shared" si="4"/>
        <v>0</v>
      </c>
      <c r="U45" s="51">
        <f>NPV(Inputs!$C$6,'Vendas ajustada'!O45:R45)+(S45*Inputs!$C$11)/(1+Inputs!$C$6)^(4.55)</f>
        <v>0</v>
      </c>
    </row>
    <row r="46" spans="1:22">
      <c r="A46" s="192" t="str">
        <f>Usuarios!A52</f>
        <v>06 7</v>
      </c>
      <c r="B46" s="50" t="str">
        <f>Usuarios!B52</f>
        <v>Geração Distribuída</v>
      </c>
      <c r="C46" s="50">
        <f>Usuarios!C52</f>
        <v>7</v>
      </c>
      <c r="D46" s="51">
        <f>Usuarios!D52</f>
        <v>300001</v>
      </c>
      <c r="E46" s="51">
        <f>Usuarios!E52</f>
        <v>600000</v>
      </c>
      <c r="G46" s="51"/>
      <c r="H46" s="51">
        <f>SUMIFS(Tarifas!$AF$7:$AF$320,Tarifas!$AB$7:$AB$320,$A46)*SUMIFS(Mercado!G$9:G$160,Mercado!$A$9:$A$160,$A46)</f>
        <v>0</v>
      </c>
      <c r="I46" s="51">
        <f>SUMIFS(Tarifas!$AF$7:$AF$320,Tarifas!$AB$7:$AB$320,$A46)*SUMIFS(Mercado!H$9:H$160,Mercado!$A$9:$A$160,$A46)</f>
        <v>0</v>
      </c>
      <c r="J46" s="51">
        <f>SUMIFS(Tarifas!$AF$7:$AF$320,Tarifas!$AB$7:$AB$320,$A46)*SUMIFS(Mercado!I$9:I$160,Mercado!$A$9:$A$160,$A46)</f>
        <v>0</v>
      </c>
      <c r="K46" s="51">
        <f>SUMIFS(Tarifas!$AF$7:$AF$320,Tarifas!$AB$7:$AB$320,$A46)*SUMIFS(Mercado!J$9:J$160,Mercado!$A$9:$A$160,$A46)</f>
        <v>0</v>
      </c>
      <c r="L46" s="51">
        <f>SUMIFS(Tarifas!$AF$7:$AF$320,Tarifas!$AB$7:$AB$320,$A46)*SUMIFS(Mercado!K$9:K$160,Mercado!$A$9:$A$160,$A46)</f>
        <v>0</v>
      </c>
      <c r="N46" s="55">
        <f t="shared" si="5"/>
        <v>0</v>
      </c>
      <c r="O46" s="55">
        <f t="shared" si="0"/>
        <v>0</v>
      </c>
      <c r="P46" s="55">
        <f t="shared" si="1"/>
        <v>0</v>
      </c>
      <c r="Q46" s="55">
        <f t="shared" si="2"/>
        <v>0</v>
      </c>
      <c r="R46" s="55">
        <f t="shared" si="3"/>
        <v>0</v>
      </c>
      <c r="S46" s="55">
        <f t="shared" si="4"/>
        <v>0</v>
      </c>
      <c r="U46" s="51">
        <f>NPV(Inputs!$C$6,'Vendas ajustada'!O46:R46)+(S46*Inputs!$C$11)/(1+Inputs!$C$6)^(4.55)</f>
        <v>0</v>
      </c>
    </row>
    <row r="47" spans="1:22">
      <c r="A47" s="192" t="str">
        <f>Usuarios!A53</f>
        <v>06 8</v>
      </c>
      <c r="B47" s="50" t="str">
        <f>Usuarios!B53</f>
        <v>Geração Distribuída</v>
      </c>
      <c r="C47" s="50">
        <f>Usuarios!C53</f>
        <v>8</v>
      </c>
      <c r="D47" s="51">
        <f>Usuarios!D53</f>
        <v>600001</v>
      </c>
      <c r="E47" s="51">
        <f>Usuarios!E53</f>
        <v>1500000</v>
      </c>
      <c r="G47" s="51"/>
      <c r="H47" s="51">
        <f>SUMIFS(Tarifas!$AF$7:$AF$320,Tarifas!$AB$7:$AB$320,$A47)*SUMIFS(Mercado!G$9:G$160,Mercado!$A$9:$A$160,$A47)</f>
        <v>0</v>
      </c>
      <c r="I47" s="51">
        <f>SUMIFS(Tarifas!$AF$7:$AF$320,Tarifas!$AB$7:$AB$320,$A47)*SUMIFS(Mercado!H$9:H$160,Mercado!$A$9:$A$160,$A47)</f>
        <v>0</v>
      </c>
      <c r="J47" s="51">
        <f>SUMIFS(Tarifas!$AF$7:$AF$320,Tarifas!$AB$7:$AB$320,$A47)*SUMIFS(Mercado!I$9:I$160,Mercado!$A$9:$A$160,$A47)</f>
        <v>0</v>
      </c>
      <c r="K47" s="51">
        <f>SUMIFS(Tarifas!$AF$7:$AF$320,Tarifas!$AB$7:$AB$320,$A47)*SUMIFS(Mercado!J$9:J$160,Mercado!$A$9:$A$160,$A47)</f>
        <v>0</v>
      </c>
      <c r="L47" s="51">
        <f>SUMIFS(Tarifas!$AF$7:$AF$320,Tarifas!$AB$7:$AB$320,$A47)*SUMIFS(Mercado!K$9:K$160,Mercado!$A$9:$A$160,$A47)</f>
        <v>0</v>
      </c>
      <c r="N47" s="55">
        <f t="shared" si="5"/>
        <v>0</v>
      </c>
      <c r="O47" s="55">
        <f t="shared" si="0"/>
        <v>0</v>
      </c>
      <c r="P47" s="55">
        <f t="shared" si="1"/>
        <v>0</v>
      </c>
      <c r="Q47" s="55">
        <f t="shared" si="2"/>
        <v>0</v>
      </c>
      <c r="R47" s="55">
        <f t="shared" si="3"/>
        <v>0</v>
      </c>
      <c r="S47" s="55">
        <f t="shared" si="4"/>
        <v>0</v>
      </c>
      <c r="U47" s="51">
        <f>NPV(Inputs!$C$6,'Vendas ajustada'!O47:R47)+(S47*Inputs!$C$11)/(1+Inputs!$C$6)^(4.55)</f>
        <v>0</v>
      </c>
    </row>
    <row r="48" spans="1:22">
      <c r="A48" s="192" t="str">
        <f>Usuarios!A54</f>
        <v>06 9</v>
      </c>
      <c r="B48" s="50" t="str">
        <f>Usuarios!B54</f>
        <v>Geração Distribuída</v>
      </c>
      <c r="C48" s="50">
        <f>Usuarios!C54</f>
        <v>9</v>
      </c>
      <c r="D48" s="51">
        <f>Usuarios!D54</f>
        <v>1500001</v>
      </c>
      <c r="E48" s="51">
        <f>Usuarios!E54</f>
        <v>999999999</v>
      </c>
      <c r="G48" s="51"/>
      <c r="H48" s="51">
        <f>SUMIFS(Tarifas!$AF$7:$AF$320,Tarifas!$AB$7:$AB$320,$A48)*SUMIFS(Mercado!G$9:G$160,Mercado!$A$9:$A$160,$A48)</f>
        <v>0</v>
      </c>
      <c r="I48" s="51">
        <f>SUMIFS(Tarifas!$AF$7:$AF$320,Tarifas!$AB$7:$AB$320,$A48)*SUMIFS(Mercado!H$9:H$160,Mercado!$A$9:$A$160,$A48)</f>
        <v>0</v>
      </c>
      <c r="J48" s="51">
        <f>SUMIFS(Tarifas!$AF$7:$AF$320,Tarifas!$AB$7:$AB$320,$A48)*SUMIFS(Mercado!I$9:I$160,Mercado!$A$9:$A$160,$A48)</f>
        <v>0</v>
      </c>
      <c r="K48" s="51">
        <f>SUMIFS(Tarifas!$AF$7:$AF$320,Tarifas!$AB$7:$AB$320,$A48)*SUMIFS(Mercado!J$9:J$160,Mercado!$A$9:$A$160,$A48)</f>
        <v>0</v>
      </c>
      <c r="L48" s="51">
        <f>SUMIFS(Tarifas!$AF$7:$AF$320,Tarifas!$AB$7:$AB$320,$A48)*SUMIFS(Mercado!K$9:K$160,Mercado!$A$9:$A$160,$A48)</f>
        <v>0</v>
      </c>
      <c r="N48" s="55">
        <f t="shared" si="5"/>
        <v>0</v>
      </c>
      <c r="O48" s="55">
        <f t="shared" si="0"/>
        <v>0</v>
      </c>
      <c r="P48" s="55">
        <f t="shared" si="1"/>
        <v>0</v>
      </c>
      <c r="Q48" s="55">
        <f t="shared" si="2"/>
        <v>0</v>
      </c>
      <c r="R48" s="55">
        <f t="shared" si="3"/>
        <v>0</v>
      </c>
      <c r="S48" s="55">
        <f t="shared" si="4"/>
        <v>0</v>
      </c>
      <c r="U48" s="51">
        <f>NPV(Inputs!$C$6,'Vendas ajustada'!O48:R48)+(S48*Inputs!$C$11)/(1+Inputs!$C$6)^(4.55)</f>
        <v>0</v>
      </c>
    </row>
    <row r="49" spans="1:22">
      <c r="A49" s="192"/>
      <c r="D49" s="51"/>
      <c r="E49" s="51"/>
      <c r="F49" s="51"/>
      <c r="G49" s="51"/>
      <c r="H49" s="51">
        <f>SUMIFS(Tarifas!$AF$7:$AF$320,Tarifas!$AB$7:$AB$320,$A49)*SUMIFS(Mercado!G$9:G$160,Mercado!$A$9:$A$160,$A49)</f>
        <v>0</v>
      </c>
      <c r="I49" s="51">
        <f>SUMIFS(Tarifas!$AF$7:$AF$320,Tarifas!$AB$7:$AB$320,$A49)*SUMIFS(Mercado!H$9:H$160,Mercado!$A$9:$A$160,$A49)</f>
        <v>0</v>
      </c>
      <c r="J49" s="51">
        <f>SUMIFS(Tarifas!$AF$7:$AF$320,Tarifas!$AB$7:$AB$320,$A49)*SUMIFS(Mercado!I$9:I$160,Mercado!$A$9:$A$160,$A49)</f>
        <v>0</v>
      </c>
      <c r="K49" s="51">
        <f>SUMIFS(Tarifas!$AF$7:$AF$320,Tarifas!$AB$7:$AB$320,$A49)*SUMIFS(Mercado!J$9:J$160,Mercado!$A$9:$A$160,$A49)</f>
        <v>0</v>
      </c>
      <c r="L49" s="51">
        <f>SUMIFS(Tarifas!$AF$7:$AF$320,Tarifas!$AB$7:$AB$320,$A49)*SUMIFS(Mercado!K$9:K$160,Mercado!$A$9:$A$160,$A49)</f>
        <v>0</v>
      </c>
      <c r="M49" s="51"/>
      <c r="N49" s="55">
        <f t="shared" si="5"/>
        <v>0</v>
      </c>
      <c r="O49" s="55">
        <f t="shared" si="0"/>
        <v>0</v>
      </c>
      <c r="P49" s="55">
        <f t="shared" si="1"/>
        <v>0</v>
      </c>
      <c r="Q49" s="55">
        <f t="shared" si="2"/>
        <v>0</v>
      </c>
      <c r="R49" s="55">
        <f t="shared" si="3"/>
        <v>0</v>
      </c>
      <c r="S49" s="55">
        <f t="shared" si="4"/>
        <v>0</v>
      </c>
      <c r="T49" s="51"/>
      <c r="U49" s="51">
        <f>NPV(Inputs!$C$6,'Vendas ajustada'!O49:R49)+(S49*Inputs!$C$11)/(1+Inputs!$C$6)^(4.55)</f>
        <v>0</v>
      </c>
      <c r="V49" s="51"/>
    </row>
    <row r="50" spans="1:22">
      <c r="A50" s="192" t="str">
        <f>Usuarios!A56</f>
        <v>07 1</v>
      </c>
      <c r="B50" s="50" t="str">
        <f>Usuarios!B56</f>
        <v>GNV</v>
      </c>
      <c r="C50" s="50">
        <f>Usuarios!C56</f>
        <v>1</v>
      </c>
      <c r="D50" s="51">
        <f>Usuarios!D56</f>
        <v>0</v>
      </c>
      <c r="E50" s="51">
        <f>Usuarios!E56</f>
        <v>999999999</v>
      </c>
      <c r="G50" s="51"/>
      <c r="H50" s="51">
        <f>SUMIFS(Tarifas!$AF$7:$AF$320,Tarifas!$AB$7:$AB$320,$A50)*SUMIFS(Mercado!G$9:G$160,Mercado!$A$9:$A$160,$A50)</f>
        <v>72869.571451113516</v>
      </c>
      <c r="I50" s="51">
        <f>SUMIFS(Tarifas!$AF$7:$AF$320,Tarifas!$AB$7:$AB$320,$A50)*SUMIFS(Mercado!H$9:H$160,Mercado!$A$9:$A$160,$A50)</f>
        <v>63488.848114409047</v>
      </c>
      <c r="J50" s="51">
        <f>SUMIFS(Tarifas!$AF$7:$AF$320,Tarifas!$AB$7:$AB$320,$A50)*SUMIFS(Mercado!I$9:I$160,Mercado!$A$9:$A$160,$A50)</f>
        <v>55870.186340679953</v>
      </c>
      <c r="K50" s="51">
        <f>SUMIFS(Tarifas!$AF$7:$AF$320,Tarifas!$AB$7:$AB$320,$A50)*SUMIFS(Mercado!J$9:J$160,Mercado!$A$9:$A$160,$A50)</f>
        <v>51959.273296832362</v>
      </c>
      <c r="L50" s="51">
        <f>SUMIFS(Tarifas!$AF$7:$AF$320,Tarifas!$AB$7:$AB$320,$A50)*SUMIFS(Mercado!K$9:K$160,Mercado!$A$9:$A$160,$A50)</f>
        <v>50400.495097927393</v>
      </c>
      <c r="N50" s="55">
        <f t="shared" si="5"/>
        <v>0</v>
      </c>
      <c r="O50" s="55">
        <f t="shared" si="0"/>
        <v>72869.571451113516</v>
      </c>
      <c r="P50" s="55">
        <f t="shared" si="1"/>
        <v>63488.848114409047</v>
      </c>
      <c r="Q50" s="55">
        <f t="shared" si="2"/>
        <v>55870.186340679953</v>
      </c>
      <c r="R50" s="55">
        <f t="shared" si="3"/>
        <v>51959.273296832362</v>
      </c>
      <c r="S50" s="55">
        <f t="shared" si="4"/>
        <v>50400.495097927393</v>
      </c>
      <c r="U50" s="51">
        <f>NPV(Inputs!$C$6,'Vendas ajustada'!O50:R50)+(S50*Inputs!$C$11)/(1+Inputs!$C$6)^(4.55)</f>
        <v>219387.16968348474</v>
      </c>
    </row>
    <row r="51" spans="1:22">
      <c r="A51" s="192" t="str">
        <f>Usuarios!A57</f>
        <v>08 1</v>
      </c>
      <c r="B51" s="50" t="str">
        <f>Usuarios!B57</f>
        <v>GNV Transporte Público</v>
      </c>
      <c r="C51" s="50">
        <f>Usuarios!C57</f>
        <v>1</v>
      </c>
      <c r="D51" s="51">
        <f>Usuarios!D57</f>
        <v>0</v>
      </c>
      <c r="E51" s="51">
        <f>Usuarios!E57</f>
        <v>999999999</v>
      </c>
      <c r="G51" s="51"/>
      <c r="H51" s="51">
        <f>SUMIFS(Tarifas!$AF$7:$AF$320,Tarifas!$AB$7:$AB$320,$A51)*SUMIFS(Mercado!G$9:G$160,Mercado!$A$9:$A$160,$A51)</f>
        <v>0</v>
      </c>
      <c r="I51" s="51">
        <f>SUMIFS(Tarifas!$AF$7:$AF$320,Tarifas!$AB$7:$AB$320,$A51)*SUMIFS(Mercado!H$9:H$160,Mercado!$A$9:$A$160,$A51)</f>
        <v>0</v>
      </c>
      <c r="J51" s="51">
        <f>SUMIFS(Tarifas!$AF$7:$AF$320,Tarifas!$AB$7:$AB$320,$A51)*SUMIFS(Mercado!I$9:I$160,Mercado!$A$9:$A$160,$A51)</f>
        <v>0</v>
      </c>
      <c r="K51" s="51">
        <f>SUMIFS(Tarifas!$AF$7:$AF$320,Tarifas!$AB$7:$AB$320,$A51)*SUMIFS(Mercado!J$9:J$160,Mercado!$A$9:$A$160,$A51)</f>
        <v>0</v>
      </c>
      <c r="L51" s="51">
        <f>SUMIFS(Tarifas!$AF$7:$AF$320,Tarifas!$AB$7:$AB$320,$A51)*SUMIFS(Mercado!K$9:K$160,Mercado!$A$9:$A$160,$A51)</f>
        <v>0</v>
      </c>
      <c r="N51" s="55">
        <f t="shared" si="5"/>
        <v>0</v>
      </c>
      <c r="O51" s="55">
        <f t="shared" si="0"/>
        <v>0</v>
      </c>
      <c r="P51" s="55">
        <f t="shared" si="1"/>
        <v>0</v>
      </c>
      <c r="Q51" s="55">
        <f t="shared" si="2"/>
        <v>0</v>
      </c>
      <c r="R51" s="55">
        <f t="shared" si="3"/>
        <v>0</v>
      </c>
      <c r="S51" s="55">
        <f t="shared" si="4"/>
        <v>0</v>
      </c>
      <c r="U51" s="51">
        <f>NPV(Inputs!$C$6,'Vendas ajustada'!O51:R51)+(S51*Inputs!$C$11)/(1+Inputs!$C$6)^(4.55)</f>
        <v>0</v>
      </c>
    </row>
    <row r="52" spans="1:22">
      <c r="A52" s="192"/>
      <c r="D52" s="51"/>
      <c r="E52" s="51"/>
      <c r="F52" s="51"/>
      <c r="G52" s="51"/>
      <c r="H52" s="51">
        <f>SUMIFS(Tarifas!$AF$7:$AF$320,Tarifas!$AB$7:$AB$320,$A52)*SUMIFS(Mercado!G$9:G$160,Mercado!$A$9:$A$160,$A52)</f>
        <v>0</v>
      </c>
      <c r="I52" s="51">
        <f>SUMIFS(Tarifas!$AF$7:$AF$320,Tarifas!$AB$7:$AB$320,$A52)*SUMIFS(Mercado!H$9:H$160,Mercado!$A$9:$A$160,$A52)</f>
        <v>0</v>
      </c>
      <c r="J52" s="51">
        <f>SUMIFS(Tarifas!$AF$7:$AF$320,Tarifas!$AB$7:$AB$320,$A52)*SUMIFS(Mercado!I$9:I$160,Mercado!$A$9:$A$160,$A52)</f>
        <v>0</v>
      </c>
      <c r="K52" s="51">
        <f>SUMIFS(Tarifas!$AF$7:$AF$320,Tarifas!$AB$7:$AB$320,$A52)*SUMIFS(Mercado!J$9:J$160,Mercado!$A$9:$A$160,$A52)</f>
        <v>0</v>
      </c>
      <c r="L52" s="51">
        <f>SUMIFS(Tarifas!$AF$7:$AF$320,Tarifas!$AB$7:$AB$320,$A52)*SUMIFS(Mercado!K$9:K$160,Mercado!$A$9:$A$160,$A52)</f>
        <v>0</v>
      </c>
      <c r="M52" s="51"/>
      <c r="N52" s="55">
        <f t="shared" si="5"/>
        <v>0</v>
      </c>
      <c r="O52" s="55">
        <f t="shared" si="0"/>
        <v>0</v>
      </c>
      <c r="P52" s="55">
        <f t="shared" si="1"/>
        <v>0</v>
      </c>
      <c r="Q52" s="55">
        <f t="shared" si="2"/>
        <v>0</v>
      </c>
      <c r="R52" s="55">
        <f t="shared" si="3"/>
        <v>0</v>
      </c>
      <c r="S52" s="55">
        <f t="shared" si="4"/>
        <v>0</v>
      </c>
      <c r="T52" s="51"/>
      <c r="U52" s="51">
        <f>NPV(Inputs!$C$6,'Vendas ajustada'!O52:R52)+(S52*Inputs!$C$11)/(1+Inputs!$C$6)^(4.55)</f>
        <v>0</v>
      </c>
      <c r="V52" s="51"/>
    </row>
    <row r="53" spans="1:22">
      <c r="A53" s="192" t="str">
        <f>Usuarios!A59</f>
        <v>10 1</v>
      </c>
      <c r="B53" s="50" t="str">
        <f>Usuarios!B59</f>
        <v>Industrial</v>
      </c>
      <c r="C53" s="50">
        <f>Usuarios!C59</f>
        <v>1</v>
      </c>
      <c r="D53" s="51">
        <f>Usuarios!D59</f>
        <v>0</v>
      </c>
      <c r="E53" s="51">
        <f>Usuarios!E59</f>
        <v>200</v>
      </c>
      <c r="G53" s="51"/>
      <c r="H53" s="51">
        <f>SUMIFS(Tarifas!$AF$7:$AF$320,Tarifas!$AB$7:$AB$320,$A53)*SUMIFS(Mercado!G$9:G$160,Mercado!$A$9:$A$160,$A53)</f>
        <v>51.29948643604893</v>
      </c>
      <c r="I53" s="51">
        <f>SUMIFS(Tarifas!$AF$7:$AF$320,Tarifas!$AB$7:$AB$320,$A53)*SUMIFS(Mercado!H$9:H$160,Mercado!$A$9:$A$160,$A53)</f>
        <v>47.107499909880936</v>
      </c>
      <c r="J53" s="51">
        <f>SUMIFS(Tarifas!$AF$7:$AF$320,Tarifas!$AB$7:$AB$320,$A53)*SUMIFS(Mercado!I$9:I$160,Mercado!$A$9:$A$160,$A53)</f>
        <v>54.023668754161577</v>
      </c>
      <c r="K53" s="51">
        <f>SUMIFS(Tarifas!$AF$7:$AF$320,Tarifas!$AB$7:$AB$320,$A53)*SUMIFS(Mercado!J$9:J$160,Mercado!$A$9:$A$160,$A53)</f>
        <v>52.549041895716812</v>
      </c>
      <c r="L53" s="51">
        <f>SUMIFS(Tarifas!$AF$7:$AF$320,Tarifas!$AB$7:$AB$320,$A53)*SUMIFS(Mercado!K$9:K$160,Mercado!$A$9:$A$160,$A53)</f>
        <v>51.103907574440939</v>
      </c>
      <c r="N53" s="55">
        <f t="shared" si="5"/>
        <v>0</v>
      </c>
      <c r="O53" s="55">
        <f t="shared" si="0"/>
        <v>51.29948643604893</v>
      </c>
      <c r="P53" s="55">
        <f t="shared" si="1"/>
        <v>47.107499909880936</v>
      </c>
      <c r="Q53" s="55">
        <f t="shared" si="2"/>
        <v>54.023668754161577</v>
      </c>
      <c r="R53" s="55">
        <f t="shared" si="3"/>
        <v>52.549041895716812</v>
      </c>
      <c r="S53" s="55">
        <f t="shared" si="4"/>
        <v>51.103907574440939</v>
      </c>
      <c r="U53" s="51">
        <f>NPV(Inputs!$C$6,'Vendas ajustada'!O53:R53)+(S53*Inputs!$C$11)/(1+Inputs!$C$6)^(4.55)</f>
        <v>185.02808020485989</v>
      </c>
    </row>
    <row r="54" spans="1:22">
      <c r="A54" s="192" t="str">
        <f>Usuarios!A60</f>
        <v>10 2</v>
      </c>
      <c r="B54" s="50" t="str">
        <f>Usuarios!B60</f>
        <v>Industrial</v>
      </c>
      <c r="C54" s="50">
        <f>Usuarios!C60</f>
        <v>2</v>
      </c>
      <c r="D54" s="51">
        <f>Usuarios!D60</f>
        <v>201</v>
      </c>
      <c r="E54" s="51">
        <f>Usuarios!E60</f>
        <v>2000</v>
      </c>
      <c r="G54" s="51"/>
      <c r="H54" s="51">
        <f>SUMIFS(Tarifas!$AF$7:$AF$320,Tarifas!$AB$7:$AB$320,$A54)*SUMIFS(Mercado!G$9:G$160,Mercado!$A$9:$A$160,$A54)</f>
        <v>462.51547566562277</v>
      </c>
      <c r="I54" s="51">
        <f>SUMIFS(Tarifas!$AF$7:$AF$320,Tarifas!$AB$7:$AB$320,$A54)*SUMIFS(Mercado!H$9:H$160,Mercado!$A$9:$A$160,$A54)</f>
        <v>449.30315639920576</v>
      </c>
      <c r="J54" s="51">
        <f>SUMIFS(Tarifas!$AF$7:$AF$320,Tarifas!$AB$7:$AB$320,$A54)*SUMIFS(Mercado!I$9:I$160,Mercado!$A$9:$A$160,$A54)</f>
        <v>537.69957047619368</v>
      </c>
      <c r="K54" s="51">
        <f>SUMIFS(Tarifas!$AF$7:$AF$320,Tarifas!$AB$7:$AB$320,$A54)*SUMIFS(Mercado!J$9:J$160,Mercado!$A$9:$A$160,$A54)</f>
        <v>523.63483549179023</v>
      </c>
      <c r="L54" s="51">
        <f>SUMIFS(Tarifas!$AF$7:$AF$320,Tarifas!$AB$7:$AB$320,$A54)*SUMIFS(Mercado!K$9:K$160,Mercado!$A$9:$A$160,$A54)</f>
        <v>509.85139520707503</v>
      </c>
      <c r="N54" s="55">
        <f t="shared" si="5"/>
        <v>0</v>
      </c>
      <c r="O54" s="55">
        <f t="shared" si="0"/>
        <v>462.51547566562277</v>
      </c>
      <c r="P54" s="55">
        <f t="shared" si="1"/>
        <v>449.30315639920576</v>
      </c>
      <c r="Q54" s="55">
        <f t="shared" si="2"/>
        <v>537.69957047619368</v>
      </c>
      <c r="R54" s="55">
        <f t="shared" si="3"/>
        <v>523.63483549179023</v>
      </c>
      <c r="S54" s="55">
        <f t="shared" si="4"/>
        <v>509.85139520707503</v>
      </c>
      <c r="U54" s="51">
        <f>NPV(Inputs!$C$6,'Vendas ajustada'!O54:R54)+(S54*Inputs!$C$11)/(1+Inputs!$C$6)^(4.55)</f>
        <v>1781.8583532619598</v>
      </c>
    </row>
    <row r="55" spans="1:22">
      <c r="A55" s="192" t="str">
        <f>Usuarios!A61</f>
        <v>10 3</v>
      </c>
      <c r="B55" s="50" t="str">
        <f>Usuarios!B61</f>
        <v>Industrial</v>
      </c>
      <c r="C55" s="50">
        <f>Usuarios!C61</f>
        <v>3</v>
      </c>
      <c r="D55" s="51">
        <f>Usuarios!D61</f>
        <v>2001</v>
      </c>
      <c r="E55" s="51">
        <f>Usuarios!E61</f>
        <v>10000</v>
      </c>
      <c r="G55" s="51"/>
      <c r="H55" s="51">
        <f>SUMIFS(Tarifas!$AF$7:$AF$320,Tarifas!$AB$7:$AB$320,$A55)*SUMIFS(Mercado!G$9:G$160,Mercado!$A$9:$A$160,$A55)</f>
        <v>1300.1718553227695</v>
      </c>
      <c r="I55" s="51">
        <f>SUMIFS(Tarifas!$AF$7:$AF$320,Tarifas!$AB$7:$AB$320,$A55)*SUMIFS(Mercado!H$9:H$160,Mercado!$A$9:$A$160,$A55)</f>
        <v>1290.2806844572463</v>
      </c>
      <c r="J55" s="51">
        <f>SUMIFS(Tarifas!$AF$7:$AF$320,Tarifas!$AB$7:$AB$320,$A55)*SUMIFS(Mercado!I$9:I$160,Mercado!$A$9:$A$160,$A55)</f>
        <v>1315.3567392557459</v>
      </c>
      <c r="K55" s="51">
        <f>SUMIFS(Tarifas!$AF$7:$AF$320,Tarifas!$AB$7:$AB$320,$A55)*SUMIFS(Mercado!J$9:J$160,Mercado!$A$9:$A$160,$A55)</f>
        <v>1274.9665135831224</v>
      </c>
      <c r="L55" s="51">
        <f>SUMIFS(Tarifas!$AF$7:$AF$320,Tarifas!$AB$7:$AB$320,$A55)*SUMIFS(Mercado!K$9:K$160,Mercado!$A$9:$A$160,$A55)</f>
        <v>1235.3840924239521</v>
      </c>
      <c r="N55" s="55">
        <f t="shared" si="5"/>
        <v>0</v>
      </c>
      <c r="O55" s="55">
        <f t="shared" si="0"/>
        <v>1300.1718553227695</v>
      </c>
      <c r="P55" s="55">
        <f t="shared" si="1"/>
        <v>1290.2806844572463</v>
      </c>
      <c r="Q55" s="55">
        <f t="shared" si="2"/>
        <v>1315.3567392557459</v>
      </c>
      <c r="R55" s="55">
        <f t="shared" si="3"/>
        <v>1274.9665135831224</v>
      </c>
      <c r="S55" s="55">
        <f t="shared" si="4"/>
        <v>1235.3840924239521</v>
      </c>
      <c r="U55" s="51">
        <f>NPV(Inputs!$C$6,'Vendas ajustada'!O55:R55)+(S55*Inputs!$C$11)/(1+Inputs!$C$6)^(4.55)</f>
        <v>4666.2797169421601</v>
      </c>
    </row>
    <row r="56" spans="1:22">
      <c r="A56" s="192" t="str">
        <f>Usuarios!A62</f>
        <v>10 4</v>
      </c>
      <c r="B56" s="50" t="str">
        <f>Usuarios!B62</f>
        <v>Industrial</v>
      </c>
      <c r="C56" s="50">
        <f>Usuarios!C62</f>
        <v>4</v>
      </c>
      <c r="D56" s="51">
        <f>Usuarios!D62</f>
        <v>10001</v>
      </c>
      <c r="E56" s="51">
        <f>Usuarios!E62</f>
        <v>50000</v>
      </c>
      <c r="G56" s="51"/>
      <c r="H56" s="51">
        <f>SUMIFS(Tarifas!$AF$7:$AF$320,Tarifas!$AB$7:$AB$320,$A56)*SUMIFS(Mercado!G$9:G$160,Mercado!$A$9:$A$160,$A56)</f>
        <v>5062.2508254589875</v>
      </c>
      <c r="I56" s="51">
        <f>SUMIFS(Tarifas!$AF$7:$AF$320,Tarifas!$AB$7:$AB$320,$A56)*SUMIFS(Mercado!H$9:H$160,Mercado!$A$9:$A$160,$A56)</f>
        <v>5065.6651853711355</v>
      </c>
      <c r="J56" s="51">
        <f>SUMIFS(Tarifas!$AF$7:$AF$320,Tarifas!$AB$7:$AB$320,$A56)*SUMIFS(Mercado!I$9:I$160,Mercado!$A$9:$A$160,$A56)</f>
        <v>5497.0460111722668</v>
      </c>
      <c r="K56" s="51">
        <f>SUMIFS(Tarifas!$AF$7:$AF$320,Tarifas!$AB$7:$AB$320,$A56)*SUMIFS(Mercado!J$9:J$160,Mercado!$A$9:$A$160,$A56)</f>
        <v>5650.5376490370936</v>
      </c>
      <c r="L56" s="51">
        <f>SUMIFS(Tarifas!$AF$7:$AF$320,Tarifas!$AB$7:$AB$320,$A56)*SUMIFS(Mercado!K$9:K$160,Mercado!$A$9:$A$160,$A56)</f>
        <v>5495.1363512930666</v>
      </c>
      <c r="N56" s="55">
        <f t="shared" si="5"/>
        <v>0</v>
      </c>
      <c r="O56" s="55">
        <f t="shared" si="0"/>
        <v>5062.2508254589875</v>
      </c>
      <c r="P56" s="55">
        <f t="shared" si="1"/>
        <v>5065.6651853711355</v>
      </c>
      <c r="Q56" s="55">
        <f t="shared" si="2"/>
        <v>5497.0460111722668</v>
      </c>
      <c r="R56" s="55">
        <f t="shared" si="3"/>
        <v>5650.5376490370936</v>
      </c>
      <c r="S56" s="55">
        <f t="shared" si="4"/>
        <v>5495.1363512930666</v>
      </c>
      <c r="U56" s="51">
        <f>NPV(Inputs!$C$6,'Vendas ajustada'!O56:R56)+(S56*Inputs!$C$11)/(1+Inputs!$C$6)^(4.55)</f>
        <v>19237.817587040408</v>
      </c>
    </row>
    <row r="57" spans="1:22">
      <c r="A57" s="192" t="str">
        <f>Usuarios!A63</f>
        <v>10 5</v>
      </c>
      <c r="B57" s="50" t="str">
        <f>Usuarios!B63</f>
        <v>Industrial</v>
      </c>
      <c r="C57" s="50">
        <f>Usuarios!C63</f>
        <v>5</v>
      </c>
      <c r="D57" s="51">
        <f>Usuarios!D63</f>
        <v>50001</v>
      </c>
      <c r="E57" s="51">
        <f>Usuarios!E63</f>
        <v>100000</v>
      </c>
      <c r="G57" s="51"/>
      <c r="H57" s="51">
        <f>SUMIFS(Tarifas!$AF$7:$AF$320,Tarifas!$AB$7:$AB$320,$A57)*SUMIFS(Mercado!G$9:G$160,Mercado!$A$9:$A$160,$A57)</f>
        <v>6314.312770938026</v>
      </c>
      <c r="I57" s="51">
        <f>SUMIFS(Tarifas!$AF$7:$AF$320,Tarifas!$AB$7:$AB$320,$A57)*SUMIFS(Mercado!H$9:H$160,Mercado!$A$9:$A$160,$A57)</f>
        <v>5949.0707811297543</v>
      </c>
      <c r="J57" s="51">
        <f>SUMIFS(Tarifas!$AF$7:$AF$320,Tarifas!$AB$7:$AB$320,$A57)*SUMIFS(Mercado!I$9:I$160,Mercado!$A$9:$A$160,$A57)</f>
        <v>6859.6058051699811</v>
      </c>
      <c r="K57" s="51">
        <f>SUMIFS(Tarifas!$AF$7:$AF$320,Tarifas!$AB$7:$AB$320,$A57)*SUMIFS(Mercado!J$9:J$160,Mercado!$A$9:$A$160,$A57)</f>
        <v>7286.3078160521472</v>
      </c>
      <c r="L57" s="51">
        <f>SUMIFS(Tarifas!$AF$7:$AF$320,Tarifas!$AB$7:$AB$320,$A57)*SUMIFS(Mercado!K$9:K$160,Mercado!$A$9:$A$160,$A57)</f>
        <v>7103.8059557972629</v>
      </c>
      <c r="N57" s="55">
        <f t="shared" si="5"/>
        <v>0</v>
      </c>
      <c r="O57" s="55">
        <f t="shared" si="0"/>
        <v>6314.312770938026</v>
      </c>
      <c r="P57" s="55">
        <f t="shared" si="1"/>
        <v>5949.0707811297543</v>
      </c>
      <c r="Q57" s="55">
        <f t="shared" si="2"/>
        <v>6859.6058051699811</v>
      </c>
      <c r="R57" s="55">
        <f t="shared" si="3"/>
        <v>7286.3078160521472</v>
      </c>
      <c r="S57" s="55">
        <f t="shared" si="4"/>
        <v>7103.8059557972629</v>
      </c>
      <c r="U57" s="51">
        <f>NPV(Inputs!$C$6,'Vendas ajustada'!O57:R57)+(S57*Inputs!$C$11)/(1+Inputs!$C$6)^(4.55)</f>
        <v>23949.198692689733</v>
      </c>
    </row>
    <row r="58" spans="1:22">
      <c r="A58" s="192" t="str">
        <f>Usuarios!A64</f>
        <v>10 6</v>
      </c>
      <c r="B58" s="50" t="str">
        <f>Usuarios!B64</f>
        <v>Industrial</v>
      </c>
      <c r="C58" s="50">
        <f>Usuarios!C64</f>
        <v>6</v>
      </c>
      <c r="D58" s="51">
        <f>Usuarios!D64</f>
        <v>100001</v>
      </c>
      <c r="E58" s="51">
        <f>Usuarios!E64</f>
        <v>300000</v>
      </c>
      <c r="G58" s="51"/>
      <c r="H58" s="51">
        <f>SUMIFS(Tarifas!$AF$7:$AF$320,Tarifas!$AB$7:$AB$320,$A58)*SUMIFS(Mercado!G$9:G$160,Mercado!$A$9:$A$160,$A58)</f>
        <v>16108.585920494555</v>
      </c>
      <c r="I58" s="51">
        <f>SUMIFS(Tarifas!$AF$7:$AF$320,Tarifas!$AB$7:$AB$320,$A58)*SUMIFS(Mercado!H$9:H$160,Mercado!$A$9:$A$160,$A58)</f>
        <v>17037.493230272776</v>
      </c>
      <c r="J58" s="51">
        <f>SUMIFS(Tarifas!$AF$7:$AF$320,Tarifas!$AB$7:$AB$320,$A58)*SUMIFS(Mercado!I$9:I$160,Mercado!$A$9:$A$160,$A58)</f>
        <v>19381.781088483931</v>
      </c>
      <c r="K58" s="51">
        <f>SUMIFS(Tarifas!$AF$7:$AF$320,Tarifas!$AB$7:$AB$320,$A58)*SUMIFS(Mercado!J$9:J$160,Mercado!$A$9:$A$160,$A58)</f>
        <v>20669.655763482559</v>
      </c>
      <c r="L58" s="51">
        <f>SUMIFS(Tarifas!$AF$7:$AF$320,Tarifas!$AB$7:$AB$320,$A58)*SUMIFS(Mercado!K$9:K$160,Mercado!$A$9:$A$160,$A58)</f>
        <v>20146.990237554102</v>
      </c>
      <c r="N58" s="55">
        <f t="shared" si="5"/>
        <v>0</v>
      </c>
      <c r="O58" s="55">
        <f t="shared" si="0"/>
        <v>16108.585920494555</v>
      </c>
      <c r="P58" s="55">
        <f t="shared" si="1"/>
        <v>17037.493230272776</v>
      </c>
      <c r="Q58" s="55">
        <f t="shared" si="2"/>
        <v>19381.781088483931</v>
      </c>
      <c r="R58" s="55">
        <f t="shared" si="3"/>
        <v>20669.655763482559</v>
      </c>
      <c r="S58" s="55">
        <f t="shared" si="4"/>
        <v>20146.990237554102</v>
      </c>
      <c r="U58" s="51">
        <f>NPV(Inputs!$C$6,'Vendas ajustada'!O58:R58)+(S58*Inputs!$C$11)/(1+Inputs!$C$6)^(4.55)</f>
        <v>66356.795625191269</v>
      </c>
    </row>
    <row r="59" spans="1:22">
      <c r="A59" s="192" t="str">
        <f>Usuarios!A65</f>
        <v>10 7</v>
      </c>
      <c r="B59" s="50" t="str">
        <f>Usuarios!B65</f>
        <v>Industrial</v>
      </c>
      <c r="C59" s="50">
        <f>Usuarios!C65</f>
        <v>7</v>
      </c>
      <c r="D59" s="51">
        <f>Usuarios!D65</f>
        <v>300001</v>
      </c>
      <c r="E59" s="51">
        <f>Usuarios!E65</f>
        <v>600000</v>
      </c>
      <c r="G59" s="51"/>
      <c r="H59" s="51">
        <f>SUMIFS(Tarifas!$AF$7:$AF$320,Tarifas!$AB$7:$AB$320,$A59)*SUMIFS(Mercado!G$9:G$160,Mercado!$A$9:$A$160,$A59)</f>
        <v>9690.3622591709118</v>
      </c>
      <c r="I59" s="51">
        <f>SUMIFS(Tarifas!$AF$7:$AF$320,Tarifas!$AB$7:$AB$320,$A59)*SUMIFS(Mercado!H$9:H$160,Mercado!$A$9:$A$160,$A59)</f>
        <v>8844.636695706522</v>
      </c>
      <c r="J59" s="51">
        <f>SUMIFS(Tarifas!$AF$7:$AF$320,Tarifas!$AB$7:$AB$320,$A59)*SUMIFS(Mercado!I$9:I$160,Mercado!$A$9:$A$160,$A59)</f>
        <v>10455.678996262142</v>
      </c>
      <c r="K59" s="51">
        <f>SUMIFS(Tarifas!$AF$7:$AF$320,Tarifas!$AB$7:$AB$320,$A59)*SUMIFS(Mercado!J$9:J$160,Mercado!$A$9:$A$160,$A59)</f>
        <v>8722.8347155329084</v>
      </c>
      <c r="L59" s="51">
        <f>SUMIFS(Tarifas!$AF$7:$AF$320,Tarifas!$AB$7:$AB$320,$A59)*SUMIFS(Mercado!K$9:K$160,Mercado!$A$9:$A$160,$A59)</f>
        <v>8451.5045011799175</v>
      </c>
      <c r="N59" s="55">
        <f t="shared" si="5"/>
        <v>0</v>
      </c>
      <c r="O59" s="55">
        <f t="shared" si="0"/>
        <v>9690.3622591709118</v>
      </c>
      <c r="P59" s="55">
        <f t="shared" si="1"/>
        <v>8844.636695706522</v>
      </c>
      <c r="Q59" s="55">
        <f t="shared" si="2"/>
        <v>10455.678996262142</v>
      </c>
      <c r="R59" s="55">
        <f t="shared" si="3"/>
        <v>8722.8347155329084</v>
      </c>
      <c r="S59" s="55">
        <f t="shared" si="4"/>
        <v>8451.5045011799175</v>
      </c>
      <c r="U59" s="51">
        <f>NPV(Inputs!$C$6,'Vendas ajustada'!O59:R59)+(S59*Inputs!$C$11)/(1+Inputs!$C$6)^(4.55)</f>
        <v>33796.206654030822</v>
      </c>
    </row>
    <row r="60" spans="1:22">
      <c r="A60" s="192" t="str">
        <f>Usuarios!A66</f>
        <v>10 8</v>
      </c>
      <c r="B60" s="50" t="str">
        <f>Usuarios!B66</f>
        <v>Industrial</v>
      </c>
      <c r="C60" s="50">
        <f>Usuarios!C66</f>
        <v>8</v>
      </c>
      <c r="D60" s="51">
        <f>Usuarios!D66</f>
        <v>600001</v>
      </c>
      <c r="E60" s="51">
        <f>Usuarios!E66</f>
        <v>1500000</v>
      </c>
      <c r="G60" s="51"/>
      <c r="H60" s="51">
        <f>SUMIFS(Tarifas!$AF$7:$AF$320,Tarifas!$AB$7:$AB$320,$A60)*SUMIFS(Mercado!G$9:G$160,Mercado!$A$9:$A$160,$A60)</f>
        <v>35274.444046961056</v>
      </c>
      <c r="I60" s="51">
        <f>SUMIFS(Tarifas!$AF$7:$AF$320,Tarifas!$AB$7:$AB$320,$A60)*SUMIFS(Mercado!H$9:H$160,Mercado!$A$9:$A$160,$A60)</f>
        <v>27688.954528434017</v>
      </c>
      <c r="J60" s="51">
        <f>SUMIFS(Tarifas!$AF$7:$AF$320,Tarifas!$AB$7:$AB$320,$A60)*SUMIFS(Mercado!I$9:I$160,Mercado!$A$9:$A$160,$A60)</f>
        <v>32199.139648088931</v>
      </c>
      <c r="K60" s="51">
        <f>SUMIFS(Tarifas!$AF$7:$AF$320,Tarifas!$AB$7:$AB$320,$A60)*SUMIFS(Mercado!J$9:J$160,Mercado!$A$9:$A$160,$A60)</f>
        <v>31332.380085216857</v>
      </c>
      <c r="L60" s="51">
        <f>SUMIFS(Tarifas!$AF$7:$AF$320,Tarifas!$AB$7:$AB$320,$A60)*SUMIFS(Mercado!K$9:K$160,Mercado!$A$9:$A$160,$A60)</f>
        <v>30482.955713602212</v>
      </c>
      <c r="N60" s="55">
        <f t="shared" si="5"/>
        <v>0</v>
      </c>
      <c r="O60" s="55">
        <f t="shared" si="0"/>
        <v>35274.444046961056</v>
      </c>
      <c r="P60" s="55">
        <f t="shared" si="1"/>
        <v>27688.954528434017</v>
      </c>
      <c r="Q60" s="55">
        <f t="shared" si="2"/>
        <v>32199.139648088931</v>
      </c>
      <c r="R60" s="55">
        <f t="shared" si="3"/>
        <v>31332.380085216857</v>
      </c>
      <c r="S60" s="55">
        <f t="shared" si="4"/>
        <v>30482.955713602212</v>
      </c>
      <c r="U60" s="51">
        <f>NPV(Inputs!$C$6,'Vendas ajustada'!O60:R60)+(S60*Inputs!$C$11)/(1+Inputs!$C$6)^(4.55)</f>
        <v>114284.96364031697</v>
      </c>
    </row>
    <row r="61" spans="1:22">
      <c r="A61" s="192" t="str">
        <f>Usuarios!A67</f>
        <v>10 9</v>
      </c>
      <c r="B61" s="50" t="str">
        <f>Usuarios!B67</f>
        <v>Industrial</v>
      </c>
      <c r="C61" s="50">
        <f>Usuarios!C67</f>
        <v>9</v>
      </c>
      <c r="D61" s="51">
        <f>Usuarios!D67</f>
        <v>1500001</v>
      </c>
      <c r="E61" s="51">
        <f>Usuarios!E67</f>
        <v>3000000</v>
      </c>
      <c r="G61" s="51"/>
      <c r="H61" s="51">
        <f>SUMIFS(Tarifas!$AF$7:$AF$320,Tarifas!$AB$7:$AB$320,$A61)*SUMIFS(Mercado!G$9:G$160,Mercado!$A$9:$A$160,$A61)</f>
        <v>3308.6811130434562</v>
      </c>
      <c r="I61" s="51">
        <f>SUMIFS(Tarifas!$AF$7:$AF$320,Tarifas!$AB$7:$AB$320,$A61)*SUMIFS(Mercado!H$9:H$160,Mercado!$A$9:$A$160,$A61)</f>
        <v>9290.9089759805101</v>
      </c>
      <c r="J61" s="51">
        <f>SUMIFS(Tarifas!$AF$7:$AF$320,Tarifas!$AB$7:$AB$320,$A61)*SUMIFS(Mercado!I$9:I$160,Mercado!$A$9:$A$160,$A61)</f>
        <v>14280.70382968915</v>
      </c>
      <c r="K61" s="51">
        <f>SUMIFS(Tarifas!$AF$7:$AF$320,Tarifas!$AB$7:$AB$320,$A61)*SUMIFS(Mercado!J$9:J$160,Mercado!$A$9:$A$160,$A61)</f>
        <v>13989.866405891316</v>
      </c>
      <c r="L61" s="51">
        <f>SUMIFS(Tarifas!$AF$7:$AF$320,Tarifas!$AB$7:$AB$320,$A61)*SUMIFS(Mercado!K$9:K$160,Mercado!$A$9:$A$160,$A61)</f>
        <v>13704.845730569441</v>
      </c>
      <c r="N61" s="55">
        <f t="shared" si="5"/>
        <v>0</v>
      </c>
      <c r="O61" s="55">
        <f t="shared" si="0"/>
        <v>3308.6811130434562</v>
      </c>
      <c r="P61" s="55">
        <f t="shared" si="1"/>
        <v>9290.9089759805101</v>
      </c>
      <c r="Q61" s="55">
        <f t="shared" si="2"/>
        <v>14280.70382968915</v>
      </c>
      <c r="R61" s="55">
        <f t="shared" si="3"/>
        <v>13989.866405891316</v>
      </c>
      <c r="S61" s="55">
        <f t="shared" si="4"/>
        <v>13704.845730569441</v>
      </c>
      <c r="U61" s="51">
        <f>NPV(Inputs!$C$6,'Vendas ajustada'!O61:R61)+(S61*Inputs!$C$11)/(1+Inputs!$C$6)^(4.55)</f>
        <v>36976.826877393491</v>
      </c>
    </row>
    <row r="62" spans="1:22">
      <c r="A62" s="192" t="str">
        <f>Usuarios!A68</f>
        <v>10 10</v>
      </c>
      <c r="B62" s="50" t="str">
        <f>Usuarios!B68</f>
        <v>Industrial</v>
      </c>
      <c r="C62" s="50">
        <f>Usuarios!C68</f>
        <v>10</v>
      </c>
      <c r="D62" s="51">
        <f>Usuarios!D68</f>
        <v>3000001</v>
      </c>
      <c r="E62" s="51">
        <f>Usuarios!E68</f>
        <v>999999999</v>
      </c>
      <c r="G62" s="51"/>
      <c r="H62" s="51">
        <f>SUMIFS(Tarifas!$AF$7:$AF$320,Tarifas!$AB$7:$AB$320,$A62)*SUMIFS(Mercado!G$9:G$160,Mercado!$A$9:$A$160,$A62)</f>
        <v>152685.37181977788</v>
      </c>
      <c r="I62" s="51">
        <f>SUMIFS(Tarifas!$AF$7:$AF$320,Tarifas!$AB$7:$AB$320,$A62)*SUMIFS(Mercado!H$9:H$160,Mercado!$A$9:$A$160,$A62)</f>
        <v>74389.490728503108</v>
      </c>
      <c r="J62" s="51">
        <f>SUMIFS(Tarifas!$AF$7:$AF$320,Tarifas!$AB$7:$AB$320,$A62)*SUMIFS(Mercado!I$9:I$160,Mercado!$A$9:$A$160,$A62)</f>
        <v>0</v>
      </c>
      <c r="K62" s="51">
        <f>SUMIFS(Tarifas!$AF$7:$AF$320,Tarifas!$AB$7:$AB$320,$A62)*SUMIFS(Mercado!J$9:J$160,Mercado!$A$9:$A$160,$A62)</f>
        <v>0</v>
      </c>
      <c r="L62" s="51">
        <f>SUMIFS(Tarifas!$AF$7:$AF$320,Tarifas!$AB$7:$AB$320,$A62)*SUMIFS(Mercado!K$9:K$160,Mercado!$A$9:$A$160,$A62)</f>
        <v>0</v>
      </c>
      <c r="N62" s="55">
        <f t="shared" si="5"/>
        <v>0</v>
      </c>
      <c r="O62" s="55">
        <f t="shared" si="0"/>
        <v>152685.37181977788</v>
      </c>
      <c r="P62" s="55">
        <f t="shared" si="1"/>
        <v>74389.490728503108</v>
      </c>
      <c r="Q62" s="55">
        <f t="shared" si="2"/>
        <v>0</v>
      </c>
      <c r="R62" s="55">
        <f t="shared" si="3"/>
        <v>0</v>
      </c>
      <c r="S62" s="55">
        <f t="shared" si="4"/>
        <v>0</v>
      </c>
      <c r="U62" s="51">
        <f>NPV(Inputs!$C$6,'Vendas ajustada'!O62:R62)+(S62*Inputs!$C$11)/(1+Inputs!$C$6)^(4.55)</f>
        <v>202885.36313549455</v>
      </c>
    </row>
    <row r="63" spans="1:22">
      <c r="A63" s="192"/>
      <c r="D63" s="51"/>
      <c r="E63" s="51"/>
      <c r="F63" s="51"/>
      <c r="G63" s="51"/>
      <c r="H63" s="51">
        <f>SUMIFS(Tarifas!$AF$7:$AF$320,Tarifas!$AB$7:$AB$320,$A63)*SUMIFS(Mercado!G$9:G$160,Mercado!$A$9:$A$160,$A63)</f>
        <v>0</v>
      </c>
      <c r="I63" s="51">
        <f>SUMIFS(Tarifas!$AF$7:$AF$320,Tarifas!$AB$7:$AB$320,$A63)*SUMIFS(Mercado!H$9:H$160,Mercado!$A$9:$A$160,$A63)</f>
        <v>0</v>
      </c>
      <c r="J63" s="51">
        <f>SUMIFS(Tarifas!$AF$7:$AF$320,Tarifas!$AB$7:$AB$320,$A63)*SUMIFS(Mercado!I$9:I$160,Mercado!$A$9:$A$160,$A63)</f>
        <v>0</v>
      </c>
      <c r="K63" s="51">
        <f>SUMIFS(Tarifas!$AF$7:$AF$320,Tarifas!$AB$7:$AB$320,$A63)*SUMIFS(Mercado!J$9:J$160,Mercado!$A$9:$A$160,$A63)</f>
        <v>0</v>
      </c>
      <c r="L63" s="51">
        <f>SUMIFS(Tarifas!$AF$7:$AF$320,Tarifas!$AB$7:$AB$320,$A63)*SUMIFS(Mercado!K$9:K$160,Mercado!$A$9:$A$160,$A63)</f>
        <v>0</v>
      </c>
      <c r="M63" s="51"/>
      <c r="N63" s="55">
        <f t="shared" si="5"/>
        <v>0</v>
      </c>
      <c r="O63" s="55">
        <f t="shared" si="0"/>
        <v>0</v>
      </c>
      <c r="P63" s="55">
        <f t="shared" si="1"/>
        <v>0</v>
      </c>
      <c r="Q63" s="55">
        <f t="shared" si="2"/>
        <v>0</v>
      </c>
      <c r="R63" s="55">
        <f t="shared" si="3"/>
        <v>0</v>
      </c>
      <c r="S63" s="55">
        <f t="shared" si="4"/>
        <v>0</v>
      </c>
      <c r="T63" s="51"/>
      <c r="U63" s="51">
        <f>NPV(Inputs!$C$6,'Vendas ajustada'!O63:R63)+(S63*Inputs!$C$11)/(1+Inputs!$C$6)^(4.55)</f>
        <v>0</v>
      </c>
      <c r="V63" s="51"/>
    </row>
    <row r="64" spans="1:22">
      <c r="A64" s="192" t="str">
        <f>Usuarios!A70</f>
        <v>11 1</v>
      </c>
      <c r="B64" s="50" t="str">
        <f>Usuarios!B70</f>
        <v>Vidreiras</v>
      </c>
      <c r="C64" s="50">
        <f>Usuarios!C70</f>
        <v>1</v>
      </c>
      <c r="D64" s="51">
        <f>Usuarios!D70</f>
        <v>0</v>
      </c>
      <c r="E64" s="51">
        <f>Usuarios!E70</f>
        <v>200</v>
      </c>
      <c r="G64" s="51"/>
      <c r="H64" s="51">
        <f>SUMIFS(Tarifas!$AF$7:$AF$320,Tarifas!$AB$7:$AB$320,$A64)*SUMIFS(Mercado!G$9:G$160,Mercado!$A$9:$A$160,$A64)</f>
        <v>19.863186552511191</v>
      </c>
      <c r="I64" s="51">
        <f>SUMIFS(Tarifas!$AF$7:$AF$320,Tarifas!$AB$7:$AB$320,$A64)*SUMIFS(Mercado!H$9:H$160,Mercado!$A$9:$A$160,$A64)</f>
        <v>19.863186552511191</v>
      </c>
      <c r="J64" s="51">
        <f>SUMIFS(Tarifas!$AF$7:$AF$320,Tarifas!$AB$7:$AB$320,$A64)*SUMIFS(Mercado!I$9:I$160,Mercado!$A$9:$A$160,$A64)</f>
        <v>19.863186552511191</v>
      </c>
      <c r="K64" s="51">
        <f>SUMIFS(Tarifas!$AF$7:$AF$320,Tarifas!$AB$7:$AB$320,$A64)*SUMIFS(Mercado!J$9:J$160,Mercado!$A$9:$A$160,$A64)</f>
        <v>19.863186552511191</v>
      </c>
      <c r="L64" s="51">
        <f>SUMIFS(Tarifas!$AF$7:$AF$320,Tarifas!$AB$7:$AB$320,$A64)*SUMIFS(Mercado!K$9:K$160,Mercado!$A$9:$A$160,$A64)</f>
        <v>19.863186552511191</v>
      </c>
      <c r="N64" s="55">
        <f t="shared" si="5"/>
        <v>0</v>
      </c>
      <c r="O64" s="55">
        <f t="shared" si="0"/>
        <v>19.863186552511191</v>
      </c>
      <c r="P64" s="55">
        <f t="shared" si="1"/>
        <v>19.863186552511191</v>
      </c>
      <c r="Q64" s="55">
        <f t="shared" si="2"/>
        <v>19.863186552511191</v>
      </c>
      <c r="R64" s="55">
        <f t="shared" si="3"/>
        <v>19.863186552511191</v>
      </c>
      <c r="S64" s="55">
        <f t="shared" si="4"/>
        <v>19.863186552511191</v>
      </c>
      <c r="U64" s="51">
        <f>NPV(Inputs!$C$6,'Vendas ajustada'!O64:R64)+(S64*Inputs!$C$11)/(1+Inputs!$C$6)^(4.55)</f>
        <v>71.879342177051271</v>
      </c>
    </row>
    <row r="65" spans="1:22">
      <c r="A65" s="192" t="str">
        <f>Usuarios!A71</f>
        <v>11 2</v>
      </c>
      <c r="B65" s="50" t="str">
        <f>Usuarios!B71</f>
        <v>Vidreiras</v>
      </c>
      <c r="C65" s="50">
        <f>Usuarios!C71</f>
        <v>2</v>
      </c>
      <c r="D65" s="51">
        <f>Usuarios!D71</f>
        <v>201</v>
      </c>
      <c r="E65" s="51">
        <f>Usuarios!E71</f>
        <v>2000</v>
      </c>
      <c r="G65" s="51"/>
      <c r="H65" s="51">
        <f>SUMIFS(Tarifas!$AF$7:$AF$320,Tarifas!$AB$7:$AB$320,$A65)*SUMIFS(Mercado!G$9:G$160,Mercado!$A$9:$A$160,$A65)</f>
        <v>80.132784669335862</v>
      </c>
      <c r="I65" s="51">
        <f>SUMIFS(Tarifas!$AF$7:$AF$320,Tarifas!$AB$7:$AB$320,$A65)*SUMIFS(Mercado!H$9:H$160,Mercado!$A$9:$A$160,$A65)</f>
        <v>80.132784669335862</v>
      </c>
      <c r="J65" s="51">
        <f>SUMIFS(Tarifas!$AF$7:$AF$320,Tarifas!$AB$7:$AB$320,$A65)*SUMIFS(Mercado!I$9:I$160,Mercado!$A$9:$A$160,$A65)</f>
        <v>80.132784669335862</v>
      </c>
      <c r="K65" s="51">
        <f>SUMIFS(Tarifas!$AF$7:$AF$320,Tarifas!$AB$7:$AB$320,$A65)*SUMIFS(Mercado!J$9:J$160,Mercado!$A$9:$A$160,$A65)</f>
        <v>80.132784669335862</v>
      </c>
      <c r="L65" s="51">
        <f>SUMIFS(Tarifas!$AF$7:$AF$320,Tarifas!$AB$7:$AB$320,$A65)*SUMIFS(Mercado!K$9:K$160,Mercado!$A$9:$A$160,$A65)</f>
        <v>80.132784669335862</v>
      </c>
      <c r="N65" s="55">
        <f t="shared" si="5"/>
        <v>0</v>
      </c>
      <c r="O65" s="55">
        <f t="shared" si="0"/>
        <v>80.132784669335862</v>
      </c>
      <c r="P65" s="55">
        <f t="shared" si="1"/>
        <v>80.132784669335862</v>
      </c>
      <c r="Q65" s="55">
        <f t="shared" si="2"/>
        <v>80.132784669335862</v>
      </c>
      <c r="R65" s="55">
        <f t="shared" si="3"/>
        <v>80.132784669335862</v>
      </c>
      <c r="S65" s="55">
        <f t="shared" si="4"/>
        <v>80.132784669335862</v>
      </c>
      <c r="U65" s="51">
        <f>NPV(Inputs!$C$6,'Vendas ajustada'!O65:R65)+(S65*Inputs!$C$11)/(1+Inputs!$C$6)^(4.55)</f>
        <v>289.97823856811988</v>
      </c>
    </row>
    <row r="66" spans="1:22">
      <c r="A66" s="192" t="str">
        <f>Usuarios!A72</f>
        <v>11 3</v>
      </c>
      <c r="B66" s="50" t="str">
        <f>Usuarios!B72</f>
        <v>Vidreiras</v>
      </c>
      <c r="C66" s="50">
        <f>Usuarios!C72</f>
        <v>3</v>
      </c>
      <c r="D66" s="51">
        <f>Usuarios!D72</f>
        <v>2001</v>
      </c>
      <c r="E66" s="51">
        <f>Usuarios!E72</f>
        <v>10000</v>
      </c>
      <c r="G66" s="51"/>
      <c r="H66" s="51">
        <f>SUMIFS(Tarifas!$AF$7:$AF$320,Tarifas!$AB$7:$AB$320,$A66)*SUMIFS(Mercado!G$9:G$160,Mercado!$A$9:$A$160,$A66)</f>
        <v>287.01271271715137</v>
      </c>
      <c r="I66" s="51">
        <f>SUMIFS(Tarifas!$AF$7:$AF$320,Tarifas!$AB$7:$AB$320,$A66)*SUMIFS(Mercado!H$9:H$160,Mercado!$A$9:$A$160,$A66)</f>
        <v>287.01271271715137</v>
      </c>
      <c r="J66" s="51">
        <f>SUMIFS(Tarifas!$AF$7:$AF$320,Tarifas!$AB$7:$AB$320,$A66)*SUMIFS(Mercado!I$9:I$160,Mercado!$A$9:$A$160,$A66)</f>
        <v>287.01271271715137</v>
      </c>
      <c r="K66" s="51">
        <f>SUMIFS(Tarifas!$AF$7:$AF$320,Tarifas!$AB$7:$AB$320,$A66)*SUMIFS(Mercado!J$9:J$160,Mercado!$A$9:$A$160,$A66)</f>
        <v>287.01271271715137</v>
      </c>
      <c r="L66" s="51">
        <f>SUMIFS(Tarifas!$AF$7:$AF$320,Tarifas!$AB$7:$AB$320,$A66)*SUMIFS(Mercado!K$9:K$160,Mercado!$A$9:$A$160,$A66)</f>
        <v>287.01271271715137</v>
      </c>
      <c r="N66" s="55">
        <f t="shared" si="5"/>
        <v>0</v>
      </c>
      <c r="O66" s="55">
        <f t="shared" si="0"/>
        <v>287.01271271715137</v>
      </c>
      <c r="P66" s="55">
        <f t="shared" si="1"/>
        <v>287.01271271715137</v>
      </c>
      <c r="Q66" s="55">
        <f t="shared" si="2"/>
        <v>287.01271271715137</v>
      </c>
      <c r="R66" s="55">
        <f t="shared" si="3"/>
        <v>287.01271271715137</v>
      </c>
      <c r="S66" s="55">
        <f t="shared" si="4"/>
        <v>287.01271271715137</v>
      </c>
      <c r="U66" s="51">
        <f>NPV(Inputs!$C$6,'Vendas ajustada'!O66:R66)+(S66*Inputs!$C$11)/(1+Inputs!$C$6)^(4.55)</f>
        <v>1038.6191023288591</v>
      </c>
    </row>
    <row r="67" spans="1:22">
      <c r="A67" s="192" t="str">
        <f>Usuarios!A73</f>
        <v>11 4</v>
      </c>
      <c r="B67" s="50" t="str">
        <f>Usuarios!B73</f>
        <v>Vidreiras</v>
      </c>
      <c r="C67" s="50">
        <f>Usuarios!C73</f>
        <v>4</v>
      </c>
      <c r="D67" s="51">
        <f>Usuarios!D73</f>
        <v>10001</v>
      </c>
      <c r="E67" s="51">
        <f>Usuarios!E73</f>
        <v>50000</v>
      </c>
      <c r="G67" s="51"/>
      <c r="H67" s="51">
        <f>SUMIFS(Tarifas!$AF$7:$AF$320,Tarifas!$AB$7:$AB$320,$A67)*SUMIFS(Mercado!G$9:G$160,Mercado!$A$9:$A$160,$A67)</f>
        <v>959.11506424471702</v>
      </c>
      <c r="I67" s="51">
        <f>SUMIFS(Tarifas!$AF$7:$AF$320,Tarifas!$AB$7:$AB$320,$A67)*SUMIFS(Mercado!H$9:H$160,Mercado!$A$9:$A$160,$A67)</f>
        <v>959.11506424471702</v>
      </c>
      <c r="J67" s="51">
        <f>SUMIFS(Tarifas!$AF$7:$AF$320,Tarifas!$AB$7:$AB$320,$A67)*SUMIFS(Mercado!I$9:I$160,Mercado!$A$9:$A$160,$A67)</f>
        <v>959.11506424471702</v>
      </c>
      <c r="K67" s="51">
        <f>SUMIFS(Tarifas!$AF$7:$AF$320,Tarifas!$AB$7:$AB$320,$A67)*SUMIFS(Mercado!J$9:J$160,Mercado!$A$9:$A$160,$A67)</f>
        <v>959.11506424471702</v>
      </c>
      <c r="L67" s="51">
        <f>SUMIFS(Tarifas!$AF$7:$AF$320,Tarifas!$AB$7:$AB$320,$A67)*SUMIFS(Mercado!K$9:K$160,Mercado!$A$9:$A$160,$A67)</f>
        <v>959.11506424471702</v>
      </c>
      <c r="N67" s="55">
        <f t="shared" si="5"/>
        <v>0</v>
      </c>
      <c r="O67" s="55">
        <f t="shared" ref="O67:O130" si="6">H67</f>
        <v>959.11506424471702</v>
      </c>
      <c r="P67" s="55">
        <f t="shared" ref="P67:P130" si="7">I67</f>
        <v>959.11506424471702</v>
      </c>
      <c r="Q67" s="55">
        <f t="shared" ref="Q67:Q130" si="8">J67</f>
        <v>959.11506424471702</v>
      </c>
      <c r="R67" s="55">
        <f t="shared" ref="R67:R130" si="9">K67</f>
        <v>959.11506424471702</v>
      </c>
      <c r="S67" s="55">
        <f t="shared" ref="S67:S130" si="10">L67</f>
        <v>959.11506424471702</v>
      </c>
      <c r="U67" s="51">
        <f>NPV(Inputs!$C$6,'Vendas ajustada'!O67:R67)+(S67*Inputs!$C$11)/(1+Inputs!$C$6)^(4.55)</f>
        <v>3470.770397677948</v>
      </c>
    </row>
    <row r="68" spans="1:22">
      <c r="A68" s="192" t="str">
        <f>Usuarios!A74</f>
        <v>11 5</v>
      </c>
      <c r="B68" s="50" t="str">
        <f>Usuarios!B74</f>
        <v>Vidreiras</v>
      </c>
      <c r="C68" s="50">
        <f>Usuarios!C74</f>
        <v>5</v>
      </c>
      <c r="D68" s="51">
        <f>Usuarios!D74</f>
        <v>50001</v>
      </c>
      <c r="E68" s="51">
        <f>Usuarios!E74</f>
        <v>100000</v>
      </c>
      <c r="G68" s="51"/>
      <c r="H68" s="51">
        <f>SUMIFS(Tarifas!$AF$7:$AF$320,Tarifas!$AB$7:$AB$320,$A68)*SUMIFS(Mercado!G$9:G$160,Mercado!$A$9:$A$160,$A68)</f>
        <v>967.283743950347</v>
      </c>
      <c r="I68" s="51">
        <f>SUMIFS(Tarifas!$AF$7:$AF$320,Tarifas!$AB$7:$AB$320,$A68)*SUMIFS(Mercado!H$9:H$160,Mercado!$A$9:$A$160,$A68)</f>
        <v>967.283743950347</v>
      </c>
      <c r="J68" s="51">
        <f>SUMIFS(Tarifas!$AF$7:$AF$320,Tarifas!$AB$7:$AB$320,$A68)*SUMIFS(Mercado!I$9:I$160,Mercado!$A$9:$A$160,$A68)</f>
        <v>967.283743950347</v>
      </c>
      <c r="K68" s="51">
        <f>SUMIFS(Tarifas!$AF$7:$AF$320,Tarifas!$AB$7:$AB$320,$A68)*SUMIFS(Mercado!J$9:J$160,Mercado!$A$9:$A$160,$A68)</f>
        <v>967.283743950347</v>
      </c>
      <c r="L68" s="51">
        <f>SUMIFS(Tarifas!$AF$7:$AF$320,Tarifas!$AB$7:$AB$320,$A68)*SUMIFS(Mercado!K$9:K$160,Mercado!$A$9:$A$160,$A68)</f>
        <v>967.283743950347</v>
      </c>
      <c r="N68" s="55">
        <f t="shared" ref="N68:N131" si="11">G68</f>
        <v>0</v>
      </c>
      <c r="O68" s="55">
        <f t="shared" si="6"/>
        <v>967.283743950347</v>
      </c>
      <c r="P68" s="55">
        <f t="shared" si="7"/>
        <v>967.283743950347</v>
      </c>
      <c r="Q68" s="55">
        <f t="shared" si="8"/>
        <v>967.283743950347</v>
      </c>
      <c r="R68" s="55">
        <f t="shared" si="9"/>
        <v>967.283743950347</v>
      </c>
      <c r="S68" s="55">
        <f t="shared" si="10"/>
        <v>967.283743950347</v>
      </c>
      <c r="U68" s="51">
        <f>NPV(Inputs!$C$6,'Vendas ajustada'!O68:R68)+(S68*Inputs!$C$11)/(1+Inputs!$C$6)^(4.55)</f>
        <v>3500.3305753535419</v>
      </c>
    </row>
    <row r="69" spans="1:22">
      <c r="A69" s="192" t="str">
        <f>Usuarios!A75</f>
        <v>11 6</v>
      </c>
      <c r="B69" s="50" t="str">
        <f>Usuarios!B75</f>
        <v>Vidreiras</v>
      </c>
      <c r="C69" s="50">
        <f>Usuarios!C75</f>
        <v>6</v>
      </c>
      <c r="D69" s="51">
        <f>Usuarios!D75</f>
        <v>100001</v>
      </c>
      <c r="E69" s="51">
        <f>Usuarios!E75</f>
        <v>300000</v>
      </c>
      <c r="G69" s="51"/>
      <c r="H69" s="51">
        <f>SUMIFS(Tarifas!$AF$7:$AF$320,Tarifas!$AB$7:$AB$320,$A69)*SUMIFS(Mercado!G$9:G$160,Mercado!$A$9:$A$160,$A69)</f>
        <v>2874.5071662902151</v>
      </c>
      <c r="I69" s="51">
        <f>SUMIFS(Tarifas!$AF$7:$AF$320,Tarifas!$AB$7:$AB$320,$A69)*SUMIFS(Mercado!H$9:H$160,Mercado!$A$9:$A$160,$A69)</f>
        <v>2874.5071662902151</v>
      </c>
      <c r="J69" s="51">
        <f>SUMIFS(Tarifas!$AF$7:$AF$320,Tarifas!$AB$7:$AB$320,$A69)*SUMIFS(Mercado!I$9:I$160,Mercado!$A$9:$A$160,$A69)</f>
        <v>2874.5071662902151</v>
      </c>
      <c r="K69" s="51">
        <f>SUMIFS(Tarifas!$AF$7:$AF$320,Tarifas!$AB$7:$AB$320,$A69)*SUMIFS(Mercado!J$9:J$160,Mercado!$A$9:$A$160,$A69)</f>
        <v>2874.5071662902151</v>
      </c>
      <c r="L69" s="51">
        <f>SUMIFS(Tarifas!$AF$7:$AF$320,Tarifas!$AB$7:$AB$320,$A69)*SUMIFS(Mercado!K$9:K$160,Mercado!$A$9:$A$160,$A69)</f>
        <v>2874.5071662902151</v>
      </c>
      <c r="N69" s="55">
        <f t="shared" si="11"/>
        <v>0</v>
      </c>
      <c r="O69" s="55">
        <f t="shared" si="6"/>
        <v>2874.5071662902151</v>
      </c>
      <c r="P69" s="55">
        <f t="shared" si="7"/>
        <v>2874.5071662902151</v>
      </c>
      <c r="Q69" s="55">
        <f t="shared" si="8"/>
        <v>2874.5071662902151</v>
      </c>
      <c r="R69" s="55">
        <f t="shared" si="9"/>
        <v>2874.5071662902151</v>
      </c>
      <c r="S69" s="55">
        <f t="shared" si="10"/>
        <v>2874.5071662902151</v>
      </c>
      <c r="U69" s="51">
        <f>NPV(Inputs!$C$6,'Vendas ajustada'!O69:R69)+(S69*Inputs!$C$11)/(1+Inputs!$C$6)^(4.55)</f>
        <v>10402.041165446281</v>
      </c>
    </row>
    <row r="70" spans="1:22">
      <c r="A70" s="192" t="str">
        <f>Usuarios!A76</f>
        <v>11 7</v>
      </c>
      <c r="B70" s="50" t="str">
        <f>Usuarios!B76</f>
        <v>Vidreiras</v>
      </c>
      <c r="C70" s="50">
        <f>Usuarios!C76</f>
        <v>7</v>
      </c>
      <c r="D70" s="51">
        <f>Usuarios!D76</f>
        <v>300001</v>
      </c>
      <c r="E70" s="51">
        <f>Usuarios!E76</f>
        <v>600000</v>
      </c>
      <c r="G70" s="51"/>
      <c r="H70" s="51">
        <f>SUMIFS(Tarifas!$AF$7:$AF$320,Tarifas!$AB$7:$AB$320,$A70)*SUMIFS(Mercado!G$9:G$160,Mercado!$A$9:$A$160,$A70)</f>
        <v>2546.3873041717784</v>
      </c>
      <c r="I70" s="51">
        <f>SUMIFS(Tarifas!$AF$7:$AF$320,Tarifas!$AB$7:$AB$320,$A70)*SUMIFS(Mercado!H$9:H$160,Mercado!$A$9:$A$160,$A70)</f>
        <v>2546.3873041717784</v>
      </c>
      <c r="J70" s="51">
        <f>SUMIFS(Tarifas!$AF$7:$AF$320,Tarifas!$AB$7:$AB$320,$A70)*SUMIFS(Mercado!I$9:I$160,Mercado!$A$9:$A$160,$A70)</f>
        <v>2546.3873041717784</v>
      </c>
      <c r="K70" s="51">
        <f>SUMIFS(Tarifas!$AF$7:$AF$320,Tarifas!$AB$7:$AB$320,$A70)*SUMIFS(Mercado!J$9:J$160,Mercado!$A$9:$A$160,$A70)</f>
        <v>2546.3873041717784</v>
      </c>
      <c r="L70" s="51">
        <f>SUMIFS(Tarifas!$AF$7:$AF$320,Tarifas!$AB$7:$AB$320,$A70)*SUMIFS(Mercado!K$9:K$160,Mercado!$A$9:$A$160,$A70)</f>
        <v>2546.3873041717784</v>
      </c>
      <c r="N70" s="55">
        <f t="shared" si="11"/>
        <v>0</v>
      </c>
      <c r="O70" s="55">
        <f t="shared" si="6"/>
        <v>2546.3873041717784</v>
      </c>
      <c r="P70" s="55">
        <f t="shared" si="7"/>
        <v>2546.3873041717784</v>
      </c>
      <c r="Q70" s="55">
        <f t="shared" si="8"/>
        <v>2546.3873041717784</v>
      </c>
      <c r="R70" s="55">
        <f t="shared" si="9"/>
        <v>2546.3873041717784</v>
      </c>
      <c r="S70" s="55">
        <f t="shared" si="10"/>
        <v>2546.3873041717784</v>
      </c>
      <c r="U70" s="51">
        <f>NPV(Inputs!$C$6,'Vendas ajustada'!O70:R70)+(S70*Inputs!$C$11)/(1+Inputs!$C$6)^(4.55)</f>
        <v>9214.6667337584186</v>
      </c>
    </row>
    <row r="71" spans="1:22">
      <c r="A71" s="192" t="str">
        <f>Usuarios!A77</f>
        <v>11 8</v>
      </c>
      <c r="B71" s="50" t="str">
        <f>Usuarios!B77</f>
        <v>Vidreiras</v>
      </c>
      <c r="C71" s="50">
        <f>Usuarios!C77</f>
        <v>8</v>
      </c>
      <c r="D71" s="51">
        <f>Usuarios!D77</f>
        <v>600001</v>
      </c>
      <c r="E71" s="51">
        <f>Usuarios!E77</f>
        <v>1500000</v>
      </c>
      <c r="G71" s="51"/>
      <c r="H71" s="51">
        <f>SUMIFS(Tarifas!$AF$7:$AF$320,Tarifas!$AB$7:$AB$320,$A71)*SUMIFS(Mercado!G$9:G$160,Mercado!$A$9:$A$160,$A71)</f>
        <v>6446.642347857538</v>
      </c>
      <c r="I71" s="51">
        <f>SUMIFS(Tarifas!$AF$7:$AF$320,Tarifas!$AB$7:$AB$320,$A71)*SUMIFS(Mercado!H$9:H$160,Mercado!$A$9:$A$160,$A71)</f>
        <v>7246.9296157526796</v>
      </c>
      <c r="J71" s="51">
        <f>SUMIFS(Tarifas!$AF$7:$AF$320,Tarifas!$AB$7:$AB$320,$A71)*SUMIFS(Mercado!I$9:I$160,Mercado!$A$9:$A$160,$A71)</f>
        <v>7246.9296157526796</v>
      </c>
      <c r="K71" s="51">
        <f>SUMIFS(Tarifas!$AF$7:$AF$320,Tarifas!$AB$7:$AB$320,$A71)*SUMIFS(Mercado!J$9:J$160,Mercado!$A$9:$A$160,$A71)</f>
        <v>7246.9296157526796</v>
      </c>
      <c r="L71" s="51">
        <f>SUMIFS(Tarifas!$AF$7:$AF$320,Tarifas!$AB$7:$AB$320,$A71)*SUMIFS(Mercado!K$9:K$160,Mercado!$A$9:$A$160,$A71)</f>
        <v>7246.9296157526796</v>
      </c>
      <c r="N71" s="55">
        <f t="shared" si="11"/>
        <v>0</v>
      </c>
      <c r="O71" s="55">
        <f t="shared" si="6"/>
        <v>6446.642347857538</v>
      </c>
      <c r="P71" s="55">
        <f t="shared" si="7"/>
        <v>7246.9296157526796</v>
      </c>
      <c r="Q71" s="55">
        <f t="shared" si="8"/>
        <v>7246.9296157526796</v>
      </c>
      <c r="R71" s="55">
        <f t="shared" si="9"/>
        <v>7246.9296157526796</v>
      </c>
      <c r="S71" s="55">
        <f t="shared" si="10"/>
        <v>7246.9296157526796</v>
      </c>
      <c r="U71" s="51">
        <f>NPV(Inputs!$C$6,'Vendas ajustada'!O71:R71)+(S71*Inputs!$C$11)/(1+Inputs!$C$6)^(4.55)</f>
        <v>25489.872950585846</v>
      </c>
    </row>
    <row r="72" spans="1:22">
      <c r="A72" s="192" t="str">
        <f>Usuarios!A78</f>
        <v>11 9</v>
      </c>
      <c r="B72" s="50" t="str">
        <f>Usuarios!B78</f>
        <v>Vidreiras</v>
      </c>
      <c r="C72" s="50">
        <f>Usuarios!C78</f>
        <v>9</v>
      </c>
      <c r="D72" s="51">
        <f>Usuarios!D78</f>
        <v>1500001</v>
      </c>
      <c r="E72" s="51">
        <f>Usuarios!E78</f>
        <v>3000000</v>
      </c>
      <c r="G72" s="51"/>
      <c r="H72" s="51">
        <f>SUMIFS(Tarifas!$AF$7:$AF$320,Tarifas!$AB$7:$AB$320,$A72)*SUMIFS(Mercado!G$9:G$160,Mercado!$A$9:$A$160,$A72)</f>
        <v>0</v>
      </c>
      <c r="I72" s="51">
        <f>SUMIFS(Tarifas!$AF$7:$AF$320,Tarifas!$AB$7:$AB$320,$A72)*SUMIFS(Mercado!H$9:H$160,Mercado!$A$9:$A$160,$A72)</f>
        <v>206.45873018176806</v>
      </c>
      <c r="J72" s="51">
        <f>SUMIFS(Tarifas!$AF$7:$AF$320,Tarifas!$AB$7:$AB$320,$A72)*SUMIFS(Mercado!I$9:I$160,Mercado!$A$9:$A$160,$A72)</f>
        <v>206.45873018176806</v>
      </c>
      <c r="K72" s="51">
        <f>SUMIFS(Tarifas!$AF$7:$AF$320,Tarifas!$AB$7:$AB$320,$A72)*SUMIFS(Mercado!J$9:J$160,Mercado!$A$9:$A$160,$A72)</f>
        <v>206.45873018176806</v>
      </c>
      <c r="L72" s="51">
        <f>SUMIFS(Tarifas!$AF$7:$AF$320,Tarifas!$AB$7:$AB$320,$A72)*SUMIFS(Mercado!K$9:K$160,Mercado!$A$9:$A$160,$A72)</f>
        <v>206.45873018176806</v>
      </c>
      <c r="N72" s="55">
        <f t="shared" si="11"/>
        <v>0</v>
      </c>
      <c r="O72" s="55">
        <f t="shared" si="6"/>
        <v>0</v>
      </c>
      <c r="P72" s="55">
        <f t="shared" si="7"/>
        <v>206.45873018176806</v>
      </c>
      <c r="Q72" s="55">
        <f t="shared" si="8"/>
        <v>206.45873018176806</v>
      </c>
      <c r="R72" s="55">
        <f t="shared" si="9"/>
        <v>206.45873018176806</v>
      </c>
      <c r="S72" s="55">
        <f t="shared" si="10"/>
        <v>206.45873018176806</v>
      </c>
      <c r="U72" s="51">
        <f>NPV(Inputs!$C$6,'Vendas ajustada'!O72:R72)+(S72*Inputs!$C$11)/(1+Inputs!$C$6)^(4.55)</f>
        <v>557.56586702770176</v>
      </c>
    </row>
    <row r="73" spans="1:22">
      <c r="A73" s="192" t="str">
        <f>Usuarios!A79</f>
        <v>11 10</v>
      </c>
      <c r="B73" s="50" t="str">
        <f>Usuarios!B79</f>
        <v>Vidreiras</v>
      </c>
      <c r="C73" s="50">
        <f>Usuarios!C79</f>
        <v>10</v>
      </c>
      <c r="D73" s="51">
        <f>Usuarios!D79</f>
        <v>3000001</v>
      </c>
      <c r="E73" s="51">
        <f>Usuarios!E79</f>
        <v>999999999</v>
      </c>
      <c r="G73" s="51"/>
      <c r="H73" s="51">
        <f>SUMIFS(Tarifas!$AF$7:$AF$320,Tarifas!$AB$7:$AB$320,$A73)*SUMIFS(Mercado!G$9:G$160,Mercado!$A$9:$A$160,$A73)</f>
        <v>0</v>
      </c>
      <c r="I73" s="51">
        <f>SUMIFS(Tarifas!$AF$7:$AF$320,Tarifas!$AB$7:$AB$320,$A73)*SUMIFS(Mercado!H$9:H$160,Mercado!$A$9:$A$160,$A73)</f>
        <v>0</v>
      </c>
      <c r="J73" s="51">
        <f>SUMIFS(Tarifas!$AF$7:$AF$320,Tarifas!$AB$7:$AB$320,$A73)*SUMIFS(Mercado!I$9:I$160,Mercado!$A$9:$A$160,$A73)</f>
        <v>0</v>
      </c>
      <c r="K73" s="51">
        <f>SUMIFS(Tarifas!$AF$7:$AF$320,Tarifas!$AB$7:$AB$320,$A73)*SUMIFS(Mercado!J$9:J$160,Mercado!$A$9:$A$160,$A73)</f>
        <v>0</v>
      </c>
      <c r="L73" s="51">
        <f>SUMIFS(Tarifas!$AF$7:$AF$320,Tarifas!$AB$7:$AB$320,$A73)*SUMIFS(Mercado!K$9:K$160,Mercado!$A$9:$A$160,$A73)</f>
        <v>0</v>
      </c>
      <c r="N73" s="55">
        <f t="shared" si="11"/>
        <v>0</v>
      </c>
      <c r="O73" s="55">
        <f t="shared" si="6"/>
        <v>0</v>
      </c>
      <c r="P73" s="55">
        <f t="shared" si="7"/>
        <v>0</v>
      </c>
      <c r="Q73" s="55">
        <f t="shared" si="8"/>
        <v>0</v>
      </c>
      <c r="R73" s="55">
        <f t="shared" si="9"/>
        <v>0</v>
      </c>
      <c r="S73" s="55">
        <f t="shared" si="10"/>
        <v>0</v>
      </c>
      <c r="U73" s="51">
        <f>NPV(Inputs!$C$6,'Vendas ajustada'!O73:R73)+(S73*Inputs!$C$11)/(1+Inputs!$C$6)^(4.55)</f>
        <v>0</v>
      </c>
    </row>
    <row r="74" spans="1:22">
      <c r="A74" s="192"/>
      <c r="D74" s="51"/>
      <c r="E74" s="51"/>
      <c r="F74" s="51"/>
      <c r="G74" s="51"/>
      <c r="H74" s="51">
        <f>SUMIFS(Tarifas!$AF$7:$AF$320,Tarifas!$AB$7:$AB$320,$A74)*SUMIFS(Mercado!G$9:G$160,Mercado!$A$9:$A$160,$A74)</f>
        <v>0</v>
      </c>
      <c r="I74" s="51">
        <f>SUMIFS(Tarifas!$AF$7:$AF$320,Tarifas!$AB$7:$AB$320,$A74)*SUMIFS(Mercado!H$9:H$160,Mercado!$A$9:$A$160,$A74)</f>
        <v>0</v>
      </c>
      <c r="J74" s="51">
        <f>SUMIFS(Tarifas!$AF$7:$AF$320,Tarifas!$AB$7:$AB$320,$A74)*SUMIFS(Mercado!I$9:I$160,Mercado!$A$9:$A$160,$A74)</f>
        <v>0</v>
      </c>
      <c r="K74" s="51">
        <f>SUMIFS(Tarifas!$AF$7:$AF$320,Tarifas!$AB$7:$AB$320,$A74)*SUMIFS(Mercado!J$9:J$160,Mercado!$A$9:$A$160,$A74)</f>
        <v>0</v>
      </c>
      <c r="L74" s="51">
        <f>SUMIFS(Tarifas!$AF$7:$AF$320,Tarifas!$AB$7:$AB$320,$A74)*SUMIFS(Mercado!K$9:K$160,Mercado!$A$9:$A$160,$A74)</f>
        <v>0</v>
      </c>
      <c r="M74" s="51"/>
      <c r="N74" s="55">
        <f t="shared" si="11"/>
        <v>0</v>
      </c>
      <c r="O74" s="55">
        <f t="shared" si="6"/>
        <v>0</v>
      </c>
      <c r="P74" s="55">
        <f t="shared" si="7"/>
        <v>0</v>
      </c>
      <c r="Q74" s="55">
        <f t="shared" si="8"/>
        <v>0</v>
      </c>
      <c r="R74" s="55">
        <f t="shared" si="9"/>
        <v>0</v>
      </c>
      <c r="S74" s="55">
        <f t="shared" si="10"/>
        <v>0</v>
      </c>
      <c r="T74" s="51"/>
      <c r="U74" s="51">
        <f>NPV(Inputs!$C$6,'Vendas ajustada'!O74:R74)+(S74*Inputs!$C$11)/(1+Inputs!$C$6)^(4.55)</f>
        <v>0</v>
      </c>
      <c r="V74" s="51"/>
    </row>
    <row r="75" spans="1:22">
      <c r="A75" s="192" t="str">
        <f>Usuarios!A81</f>
        <v>09 1</v>
      </c>
      <c r="B75" s="50" t="str">
        <f>Usuarios!B81</f>
        <v>Petroquímico</v>
      </c>
      <c r="C75" s="50">
        <f>Usuarios!C81</f>
        <v>1</v>
      </c>
      <c r="D75" s="51">
        <f>Usuarios!D81</f>
        <v>0</v>
      </c>
      <c r="E75" s="51">
        <f>Usuarios!E81</f>
        <v>999999999</v>
      </c>
      <c r="G75" s="51"/>
      <c r="H75" s="51">
        <f>SUMIFS(Tarifas!$AF$7:$AF$320,Tarifas!$AB$7:$AB$320,$A75)*SUMIFS(Mercado!G$9:G$160,Mercado!$A$9:$A$160,$A75)</f>
        <v>0</v>
      </c>
      <c r="I75" s="51">
        <f>SUMIFS(Tarifas!$AF$7:$AF$320,Tarifas!$AB$7:$AB$320,$A75)*SUMIFS(Mercado!H$9:H$160,Mercado!$A$9:$A$160,$A75)</f>
        <v>0</v>
      </c>
      <c r="J75" s="51">
        <f>SUMIFS(Tarifas!$AF$7:$AF$320,Tarifas!$AB$7:$AB$320,$A75)*SUMIFS(Mercado!I$9:I$160,Mercado!$A$9:$A$160,$A75)</f>
        <v>0</v>
      </c>
      <c r="K75" s="51">
        <f>SUMIFS(Tarifas!$AF$7:$AF$320,Tarifas!$AB$7:$AB$320,$A75)*SUMIFS(Mercado!J$9:J$160,Mercado!$A$9:$A$160,$A75)</f>
        <v>0</v>
      </c>
      <c r="L75" s="51">
        <f>SUMIFS(Tarifas!$AF$7:$AF$320,Tarifas!$AB$7:$AB$320,$A75)*SUMIFS(Mercado!K$9:K$160,Mercado!$A$9:$A$160,$A75)</f>
        <v>0</v>
      </c>
      <c r="N75" s="55">
        <f t="shared" si="11"/>
        <v>0</v>
      </c>
      <c r="O75" s="55">
        <f t="shared" si="6"/>
        <v>0</v>
      </c>
      <c r="P75" s="55">
        <f t="shared" si="7"/>
        <v>0</v>
      </c>
      <c r="Q75" s="55">
        <f t="shared" si="8"/>
        <v>0</v>
      </c>
      <c r="R75" s="55">
        <f t="shared" si="9"/>
        <v>0</v>
      </c>
      <c r="S75" s="55">
        <f t="shared" si="10"/>
        <v>0</v>
      </c>
      <c r="U75" s="51">
        <f>NPV(Inputs!$C$6,'Vendas ajustada'!O75:R75)+(S75*Inputs!$C$11)/(1+Inputs!$C$6)^(4.55)</f>
        <v>0</v>
      </c>
    </row>
    <row r="76" spans="1:22">
      <c r="A76" s="192"/>
      <c r="D76" s="51"/>
      <c r="E76" s="51"/>
      <c r="F76" s="51"/>
      <c r="G76" s="51"/>
      <c r="H76" s="51">
        <f>SUMIFS(Tarifas!$AF$7:$AF$320,Tarifas!$AB$7:$AB$320,$A76)*SUMIFS(Mercado!G$9:G$160,Mercado!$A$9:$A$160,$A76)</f>
        <v>0</v>
      </c>
      <c r="I76" s="51">
        <f>SUMIFS(Tarifas!$AF$7:$AF$320,Tarifas!$AB$7:$AB$320,$A76)*SUMIFS(Mercado!H$9:H$160,Mercado!$A$9:$A$160,$A76)</f>
        <v>0</v>
      </c>
      <c r="J76" s="51">
        <f>SUMIFS(Tarifas!$AF$7:$AF$320,Tarifas!$AB$7:$AB$320,$A76)*SUMIFS(Mercado!I$9:I$160,Mercado!$A$9:$A$160,$A76)</f>
        <v>0</v>
      </c>
      <c r="K76" s="51">
        <f>SUMIFS(Tarifas!$AF$7:$AF$320,Tarifas!$AB$7:$AB$320,$A76)*SUMIFS(Mercado!J$9:J$160,Mercado!$A$9:$A$160,$A76)</f>
        <v>0</v>
      </c>
      <c r="L76" s="51">
        <f>SUMIFS(Tarifas!$AF$7:$AF$320,Tarifas!$AB$7:$AB$320,$A76)*SUMIFS(Mercado!K$9:K$160,Mercado!$A$9:$A$160,$A76)</f>
        <v>0</v>
      </c>
      <c r="M76" s="51"/>
      <c r="N76" s="55">
        <f t="shared" si="11"/>
        <v>0</v>
      </c>
      <c r="O76" s="55">
        <f t="shared" si="6"/>
        <v>0</v>
      </c>
      <c r="P76" s="55">
        <f t="shared" si="7"/>
        <v>0</v>
      </c>
      <c r="Q76" s="55">
        <f t="shared" si="8"/>
        <v>0</v>
      </c>
      <c r="R76" s="55">
        <f t="shared" si="9"/>
        <v>0</v>
      </c>
      <c r="S76" s="55">
        <f t="shared" si="10"/>
        <v>0</v>
      </c>
      <c r="T76" s="51"/>
      <c r="U76" s="51">
        <f>NPV(Inputs!$C$6,'Vendas ajustada'!O76:R76)+(S76*Inputs!$C$11)/(1+Inputs!$C$6)^(4.55)</f>
        <v>0</v>
      </c>
      <c r="V76" s="51"/>
    </row>
    <row r="77" spans="1:22">
      <c r="A77" s="192">
        <f>Usuarios!A83</f>
        <v>100</v>
      </c>
      <c r="B77" s="50" t="str">
        <f>Usuarios!B83</f>
        <v>Térmicas</v>
      </c>
      <c r="C77" s="50">
        <f>Usuarios!C83</f>
        <v>1</v>
      </c>
      <c r="D77" s="51">
        <f>Usuarios!D83</f>
        <v>0</v>
      </c>
      <c r="E77" s="51">
        <f>Usuarios!E83</f>
        <v>999999999</v>
      </c>
      <c r="G77" s="51"/>
      <c r="H77" s="51">
        <f>SUMIFS(Tarifas!$AF$7:$AF$320,Tarifas!$AB$7:$AB$320,$A77)*SUMIFS(Mercado!G$9:G$160,Mercado!$A$9:$A$160,$A77)</f>
        <v>14580.836862956265</v>
      </c>
      <c r="I77" s="51">
        <f>SUMIFS(Tarifas!$AF$7:$AF$320,Tarifas!$AB$7:$AB$320,$A77)*SUMIFS(Mercado!H$9:H$160,Mercado!$A$9:$A$160,$A77)</f>
        <v>54369.212567786119</v>
      </c>
      <c r="J77" s="51">
        <f>SUMIFS(Tarifas!$AF$7:$AF$320,Tarifas!$AB$7:$AB$320,$A77)*SUMIFS(Mercado!I$9:I$160,Mercado!$A$9:$A$160,$A77)</f>
        <v>0</v>
      </c>
      <c r="K77" s="51">
        <f>SUMIFS(Tarifas!$AF$7:$AF$320,Tarifas!$AB$7:$AB$320,$A77)*SUMIFS(Mercado!J$9:J$160,Mercado!$A$9:$A$160,$A77)</f>
        <v>0</v>
      </c>
      <c r="L77" s="51">
        <f>SUMIFS(Tarifas!$AF$7:$AF$320,Tarifas!$AB$7:$AB$320,$A77)*SUMIFS(Mercado!K$9:K$160,Mercado!$A$9:$A$160,$A77)</f>
        <v>0</v>
      </c>
      <c r="N77" s="55">
        <f t="shared" si="11"/>
        <v>0</v>
      </c>
      <c r="O77" s="55">
        <f t="shared" si="6"/>
        <v>14580.836862956265</v>
      </c>
      <c r="P77" s="55">
        <f t="shared" si="7"/>
        <v>54369.212567786119</v>
      </c>
      <c r="Q77" s="55">
        <f t="shared" si="8"/>
        <v>0</v>
      </c>
      <c r="R77" s="55">
        <f t="shared" si="9"/>
        <v>0</v>
      </c>
      <c r="S77" s="55">
        <f t="shared" si="10"/>
        <v>0</v>
      </c>
      <c r="U77" s="51">
        <f>NPV(Inputs!$C$6,'Vendas ajustada'!O77:R77)+(S77*Inputs!$C$11)/(1+Inputs!$C$6)^(4.55)</f>
        <v>59215.464987761254</v>
      </c>
    </row>
    <row r="78" spans="1:22">
      <c r="A78" s="192"/>
      <c r="D78" s="51"/>
      <c r="E78" s="51"/>
      <c r="G78" s="51"/>
      <c r="H78" s="51">
        <f>SUMIFS(Tarifas!$AF$7:$AF$320,Tarifas!$AB$7:$AB$320,$A78)*SUMIFS(Mercado!G$9:G$160,Mercado!$A$9:$A$160,$A78)</f>
        <v>0</v>
      </c>
      <c r="I78" s="51">
        <f>SUMIFS(Tarifas!$AF$7:$AF$320,Tarifas!$AB$7:$AB$320,$A78)*SUMIFS(Mercado!H$9:H$160,Mercado!$A$9:$A$160,$A78)</f>
        <v>0</v>
      </c>
      <c r="J78" s="51">
        <f>SUMIFS(Tarifas!$AF$7:$AF$320,Tarifas!$AB$7:$AB$320,$A78)*SUMIFS(Mercado!I$9:I$160,Mercado!$A$9:$A$160,$A78)</f>
        <v>0</v>
      </c>
      <c r="K78" s="51">
        <f>SUMIFS(Tarifas!$AF$7:$AF$320,Tarifas!$AB$7:$AB$320,$A78)*SUMIFS(Mercado!J$9:J$160,Mercado!$A$9:$A$160,$A78)</f>
        <v>0</v>
      </c>
      <c r="L78" s="51">
        <f>SUMIFS(Tarifas!$AF$7:$AF$320,Tarifas!$AB$7:$AB$320,$A78)*SUMIFS(Mercado!K$9:K$160,Mercado!$A$9:$A$160,$A78)</f>
        <v>0</v>
      </c>
      <c r="N78" s="55">
        <f t="shared" si="11"/>
        <v>0</v>
      </c>
      <c r="O78" s="55">
        <f t="shared" si="6"/>
        <v>0</v>
      </c>
      <c r="P78" s="55">
        <f t="shared" si="7"/>
        <v>0</v>
      </c>
      <c r="Q78" s="55">
        <f t="shared" si="8"/>
        <v>0</v>
      </c>
      <c r="R78" s="55">
        <f t="shared" si="9"/>
        <v>0</v>
      </c>
      <c r="S78" s="55">
        <f t="shared" si="10"/>
        <v>0</v>
      </c>
      <c r="U78" s="51">
        <f>NPV(Inputs!$C$6,'Vendas ajustada'!O78:R78)+(S78*Inputs!$C$11)/(1+Inputs!$C$6)^(4.55)</f>
        <v>0</v>
      </c>
    </row>
    <row r="79" spans="1:22">
      <c r="A79" s="192" t="str">
        <f>Usuarios!A85</f>
        <v>12 1</v>
      </c>
      <c r="B79" s="50" t="str">
        <f>Usuarios!B85</f>
        <v>GLP Residencial</v>
      </c>
      <c r="C79" s="50">
        <f>Usuarios!C85</f>
        <v>1</v>
      </c>
      <c r="D79" s="51">
        <f>Usuarios!D85</f>
        <v>0</v>
      </c>
      <c r="E79" s="51">
        <f>Usuarios!E85</f>
        <v>999999999</v>
      </c>
      <c r="G79" s="51"/>
      <c r="H79" s="51">
        <f>SUMIFS(Tarifas!$AF$7:$AF$320,Tarifas!$AB$7:$AB$320,$A79)*SUMIFS(Mercado!G$9:G$160,Mercado!$A$9:$A$160,$A79)</f>
        <v>0</v>
      </c>
      <c r="I79" s="51">
        <f>SUMIFS(Tarifas!$AF$7:$AF$320,Tarifas!$AB$7:$AB$320,$A79)*SUMIFS(Mercado!H$9:H$160,Mercado!$A$9:$A$160,$A79)</f>
        <v>0</v>
      </c>
      <c r="J79" s="51">
        <f>SUMIFS(Tarifas!$AF$7:$AF$320,Tarifas!$AB$7:$AB$320,$A79)*SUMIFS(Mercado!I$9:I$160,Mercado!$A$9:$A$160,$A79)</f>
        <v>0</v>
      </c>
      <c r="K79" s="51">
        <f>SUMIFS(Tarifas!$AF$7:$AF$320,Tarifas!$AB$7:$AB$320,$A79)*SUMIFS(Mercado!J$9:J$160,Mercado!$A$9:$A$160,$A79)</f>
        <v>0</v>
      </c>
      <c r="L79" s="51">
        <f>SUMIFS(Tarifas!$AF$7:$AF$320,Tarifas!$AB$7:$AB$320,$A79)*SUMIFS(Mercado!K$9:K$160,Mercado!$A$9:$A$160,$A79)</f>
        <v>0</v>
      </c>
      <c r="N79" s="55">
        <f t="shared" si="11"/>
        <v>0</v>
      </c>
      <c r="O79" s="55">
        <f t="shared" si="6"/>
        <v>0</v>
      </c>
      <c r="P79" s="55">
        <f t="shared" si="7"/>
        <v>0</v>
      </c>
      <c r="Q79" s="55">
        <f t="shared" si="8"/>
        <v>0</v>
      </c>
      <c r="R79" s="55">
        <f t="shared" si="9"/>
        <v>0</v>
      </c>
      <c r="S79" s="55">
        <f t="shared" si="10"/>
        <v>0</v>
      </c>
      <c r="U79" s="51">
        <f>NPV(Inputs!$C$6,'Vendas ajustada'!O79:R79)+(S79*Inputs!$C$11)/(1+Inputs!$C$6)^(4.55)</f>
        <v>0</v>
      </c>
    </row>
    <row r="80" spans="1:22">
      <c r="A80" s="192"/>
      <c r="D80" s="51"/>
      <c r="E80" s="51"/>
      <c r="F80" s="51"/>
      <c r="G80" s="51"/>
      <c r="H80" s="51">
        <f>SUMIFS(Tarifas!$AF$7:$AF$320,Tarifas!$AB$7:$AB$320,$A80)*SUMIFS(Mercado!G$9:G$160,Mercado!$A$9:$A$160,$A80)</f>
        <v>0</v>
      </c>
      <c r="I80" s="51">
        <f>SUMIFS(Tarifas!$AF$7:$AF$320,Tarifas!$AB$7:$AB$320,$A80)*SUMIFS(Mercado!H$9:H$160,Mercado!$A$9:$A$160,$A80)</f>
        <v>0</v>
      </c>
      <c r="J80" s="51">
        <f>SUMIFS(Tarifas!$AF$7:$AF$320,Tarifas!$AB$7:$AB$320,$A80)*SUMIFS(Mercado!I$9:I$160,Mercado!$A$9:$A$160,$A80)</f>
        <v>0</v>
      </c>
      <c r="K80" s="51">
        <f>SUMIFS(Tarifas!$AF$7:$AF$320,Tarifas!$AB$7:$AB$320,$A80)*SUMIFS(Mercado!J$9:J$160,Mercado!$A$9:$A$160,$A80)</f>
        <v>0</v>
      </c>
      <c r="L80" s="51">
        <f>SUMIFS(Tarifas!$AF$7:$AF$320,Tarifas!$AB$7:$AB$320,$A80)*SUMIFS(Mercado!K$9:K$160,Mercado!$A$9:$A$160,$A80)</f>
        <v>0</v>
      </c>
      <c r="M80" s="51"/>
      <c r="N80" s="55">
        <f t="shared" si="11"/>
        <v>0</v>
      </c>
      <c r="O80" s="55">
        <f t="shared" si="6"/>
        <v>0</v>
      </c>
      <c r="P80" s="55">
        <f t="shared" si="7"/>
        <v>0</v>
      </c>
      <c r="Q80" s="55">
        <f t="shared" si="8"/>
        <v>0</v>
      </c>
      <c r="R80" s="55">
        <f t="shared" si="9"/>
        <v>0</v>
      </c>
      <c r="S80" s="55">
        <f t="shared" si="10"/>
        <v>0</v>
      </c>
      <c r="T80" s="51"/>
      <c r="U80" s="51">
        <f>NPV(Inputs!$C$6,'Vendas ajustada'!O80:R80)+(S80*Inputs!$C$11)/(1+Inputs!$C$6)^(4.55)</f>
        <v>0</v>
      </c>
      <c r="V80" s="51"/>
    </row>
    <row r="81" spans="1:22">
      <c r="A81" s="192" t="str">
        <f>Usuarios!A87</f>
        <v>13 1</v>
      </c>
      <c r="B81" s="50" t="str">
        <f>Usuarios!B87</f>
        <v>GLP Industrial</v>
      </c>
      <c r="C81" s="50">
        <f>Usuarios!C87</f>
        <v>1</v>
      </c>
      <c r="D81" s="51">
        <f>Usuarios!D87</f>
        <v>0</v>
      </c>
      <c r="E81" s="51">
        <f>Usuarios!E87</f>
        <v>999999999</v>
      </c>
      <c r="G81" s="51"/>
      <c r="H81" s="51">
        <f>SUMIFS(Tarifas!$AF$7:$AF$320,Tarifas!$AB$7:$AB$320,$A81)*SUMIFS(Mercado!G$9:G$160,Mercado!$A$9:$A$160,$A81)</f>
        <v>0</v>
      </c>
      <c r="I81" s="51">
        <f>SUMIFS(Tarifas!$AF$7:$AF$320,Tarifas!$AB$7:$AB$320,$A81)*SUMIFS(Mercado!H$9:H$160,Mercado!$A$9:$A$160,$A81)</f>
        <v>0</v>
      </c>
      <c r="J81" s="51">
        <f>SUMIFS(Tarifas!$AF$7:$AF$320,Tarifas!$AB$7:$AB$320,$A81)*SUMIFS(Mercado!I$9:I$160,Mercado!$A$9:$A$160,$A81)</f>
        <v>0</v>
      </c>
      <c r="K81" s="51">
        <f>SUMIFS(Tarifas!$AF$7:$AF$320,Tarifas!$AB$7:$AB$320,$A81)*SUMIFS(Mercado!J$9:J$160,Mercado!$A$9:$A$160,$A81)</f>
        <v>0</v>
      </c>
      <c r="L81" s="51">
        <f>SUMIFS(Tarifas!$AF$7:$AF$320,Tarifas!$AB$7:$AB$320,$A81)*SUMIFS(Mercado!K$9:K$160,Mercado!$A$9:$A$160,$A81)</f>
        <v>0</v>
      </c>
      <c r="N81" s="55">
        <f t="shared" si="11"/>
        <v>0</v>
      </c>
      <c r="O81" s="55">
        <f t="shared" si="6"/>
        <v>0</v>
      </c>
      <c r="P81" s="55">
        <f t="shared" si="7"/>
        <v>0</v>
      </c>
      <c r="Q81" s="55">
        <f t="shared" si="8"/>
        <v>0</v>
      </c>
      <c r="R81" s="55">
        <f t="shared" si="9"/>
        <v>0</v>
      </c>
      <c r="S81" s="55">
        <f t="shared" si="10"/>
        <v>0</v>
      </c>
      <c r="U81" s="51">
        <f>NPV(Inputs!$C$6,'Vendas ajustada'!O81:R81)+(S81*Inputs!$C$11)/(1+Inputs!$C$6)^(4.55)</f>
        <v>0</v>
      </c>
    </row>
    <row r="82" spans="1:22">
      <c r="A82" s="192"/>
      <c r="D82" s="51"/>
      <c r="E82" s="51"/>
      <c r="F82" s="51"/>
      <c r="G82" s="51"/>
      <c r="H82" s="51">
        <f>SUMIFS(Tarifas!$AF$7:$AF$320,Tarifas!$AB$7:$AB$320,$A82)*SUMIFS(Mercado!G$9:G$160,Mercado!$A$9:$A$160,$A82)</f>
        <v>0</v>
      </c>
      <c r="I82" s="51">
        <f>SUMIFS(Tarifas!$AF$7:$AF$320,Tarifas!$AB$7:$AB$320,$A82)*SUMIFS(Mercado!H$9:H$160,Mercado!$A$9:$A$160,$A82)</f>
        <v>0</v>
      </c>
      <c r="J82" s="51">
        <f>SUMIFS(Tarifas!$AF$7:$AF$320,Tarifas!$AB$7:$AB$320,$A82)*SUMIFS(Mercado!I$9:I$160,Mercado!$A$9:$A$160,$A82)</f>
        <v>0</v>
      </c>
      <c r="K82" s="51">
        <f>SUMIFS(Tarifas!$AF$7:$AF$320,Tarifas!$AB$7:$AB$320,$A82)*SUMIFS(Mercado!J$9:J$160,Mercado!$A$9:$A$160,$A82)</f>
        <v>0</v>
      </c>
      <c r="L82" s="51">
        <f>SUMIFS(Tarifas!$AF$7:$AF$320,Tarifas!$AB$7:$AB$320,$A82)*SUMIFS(Mercado!K$9:K$160,Mercado!$A$9:$A$160,$A82)</f>
        <v>0</v>
      </c>
      <c r="M82" s="51"/>
      <c r="N82" s="55">
        <f t="shared" si="11"/>
        <v>0</v>
      </c>
      <c r="O82" s="55">
        <f t="shared" si="6"/>
        <v>0</v>
      </c>
      <c r="P82" s="55">
        <f t="shared" si="7"/>
        <v>0</v>
      </c>
      <c r="Q82" s="55">
        <f t="shared" si="8"/>
        <v>0</v>
      </c>
      <c r="R82" s="55">
        <f t="shared" si="9"/>
        <v>0</v>
      </c>
      <c r="S82" s="55">
        <f t="shared" si="10"/>
        <v>0</v>
      </c>
      <c r="T82" s="51"/>
      <c r="U82" s="51">
        <f>NPV(Inputs!$C$6,'Vendas ajustada'!O82:R82)+(S82*Inputs!$C$11)/(1+Inputs!$C$6)^(4.55)</f>
        <v>0</v>
      </c>
      <c r="V82" s="51"/>
    </row>
    <row r="83" spans="1:22">
      <c r="A83" s="192" t="s">
        <v>4822</v>
      </c>
      <c r="B83" s="50" t="str">
        <f>Usuarios!B89</f>
        <v>Térmicas - CL, AI, AP</v>
      </c>
      <c r="C83" s="50">
        <f>Usuarios!C89</f>
        <v>1</v>
      </c>
      <c r="D83" s="51">
        <f>Usuarios!D89</f>
        <v>0</v>
      </c>
      <c r="E83" s="51">
        <f>Usuarios!E89</f>
        <v>999999999</v>
      </c>
      <c r="G83" s="51"/>
      <c r="H83" s="51">
        <f>SUMIFS(Tarifas!$AF$7:$AF$320,Tarifas!$AB$7:$AB$320,$A83)*SUMIFS(Mercado!G$9:G$160,Mercado!$A$9:$A$160,$A83)</f>
        <v>9261.4259002616873</v>
      </c>
      <c r="I83" s="51">
        <f>SUMIFS(Tarifas!$AF$7:$AF$320,Tarifas!$AB$7:$AB$320,$A83)*SUMIFS(Mercado!H$9:H$160,Mercado!$A$9:$A$160,$A83)</f>
        <v>35001.344139856461</v>
      </c>
      <c r="J83" s="51">
        <f>SUMIFS(Tarifas!$AF$7:$AF$320,Tarifas!$AB$7:$AB$320,$A83)*SUMIFS(Mercado!I$9:I$160,Mercado!$A$9:$A$160,$A83)</f>
        <v>14305.357657930772</v>
      </c>
      <c r="K83" s="51">
        <f>SUMIFS(Tarifas!$AF$7:$AF$320,Tarifas!$AB$7:$AB$320,$A83)*SUMIFS(Mercado!J$9:J$160,Mercado!$A$9:$A$160,$A83)</f>
        <v>62016.227882501204</v>
      </c>
      <c r="L83" s="51">
        <f>SUMIFS(Tarifas!$AF$7:$AF$320,Tarifas!$AB$7:$AB$320,$A83)*SUMIFS(Mercado!K$9:K$160,Mercado!$A$9:$A$160,$A83)</f>
        <v>62016.227882501204</v>
      </c>
      <c r="N83" s="55">
        <f t="shared" si="11"/>
        <v>0</v>
      </c>
      <c r="O83" s="55">
        <f t="shared" si="6"/>
        <v>9261.4259002616873</v>
      </c>
      <c r="P83" s="55">
        <f t="shared" si="7"/>
        <v>35001.344139856461</v>
      </c>
      <c r="Q83" s="55">
        <f t="shared" si="8"/>
        <v>14305.357657930772</v>
      </c>
      <c r="R83" s="55">
        <f t="shared" si="9"/>
        <v>62016.227882501204</v>
      </c>
      <c r="S83" s="55">
        <f t="shared" si="10"/>
        <v>62016.227882501204</v>
      </c>
      <c r="U83" s="51">
        <f>NPV(Inputs!$C$6,'Vendas ajustada'!O83:R83)+(S83*Inputs!$C$11)/(1+Inputs!$C$6)^(4.55)</f>
        <v>116290.92943768018</v>
      </c>
    </row>
    <row r="84" spans="1:22">
      <c r="A84" s="192"/>
      <c r="D84" s="51"/>
      <c r="E84" s="51"/>
      <c r="G84" s="51"/>
      <c r="H84" s="51">
        <f>SUMIFS(Tarifas!$AF$7:$AF$320,Tarifas!$AB$7:$AB$320,$A84)*SUMIFS(Mercado!G$9:G$160,Mercado!$A$9:$A$160,$A84)</f>
        <v>0</v>
      </c>
      <c r="I84" s="51">
        <f>SUMIFS(Tarifas!$AF$7:$AF$320,Tarifas!$AB$7:$AB$320,$A84)*SUMIFS(Mercado!H$9:H$160,Mercado!$A$9:$A$160,$A84)</f>
        <v>0</v>
      </c>
      <c r="J84" s="51">
        <f>SUMIFS(Tarifas!$AF$7:$AF$320,Tarifas!$AB$7:$AB$320,$A84)*SUMIFS(Mercado!I$9:I$160,Mercado!$A$9:$A$160,$A84)</f>
        <v>0</v>
      </c>
      <c r="K84" s="51">
        <f>SUMIFS(Tarifas!$AF$7:$AF$320,Tarifas!$AB$7:$AB$320,$A84)*SUMIFS(Mercado!J$9:J$160,Mercado!$A$9:$A$160,$A84)</f>
        <v>0</v>
      </c>
      <c r="L84" s="51">
        <f>SUMIFS(Tarifas!$AF$7:$AF$320,Tarifas!$AB$7:$AB$320,$A84)*SUMIFS(Mercado!K$9:K$160,Mercado!$A$9:$A$160,$A84)</f>
        <v>0</v>
      </c>
      <c r="N84" s="55">
        <f t="shared" si="11"/>
        <v>0</v>
      </c>
      <c r="O84" s="55">
        <f t="shared" si="6"/>
        <v>0</v>
      </c>
      <c r="P84" s="55">
        <f t="shared" si="7"/>
        <v>0</v>
      </c>
      <c r="Q84" s="55">
        <f t="shared" si="8"/>
        <v>0</v>
      </c>
      <c r="R84" s="55">
        <f t="shared" si="9"/>
        <v>0</v>
      </c>
      <c r="S84" s="55">
        <f t="shared" si="10"/>
        <v>0</v>
      </c>
      <c r="U84" s="51">
        <f>NPV(Inputs!$C$6,'Vendas ajustada'!O84:R84)+(S84*Inputs!$C$11)/(1+Inputs!$C$6)^(4.55)</f>
        <v>0</v>
      </c>
    </row>
    <row r="85" spans="1:22">
      <c r="A85" s="192" t="str">
        <f>Usuarios!A91</f>
        <v>14 1</v>
      </c>
      <c r="B85" s="50" t="str">
        <f>Usuarios!B91</f>
        <v>Industrial - Consumidor Livre/Auto-importador/Autoprodutor</v>
      </c>
      <c r="C85" s="50">
        <f>Usuarios!C91</f>
        <v>1</v>
      </c>
      <c r="D85" s="51">
        <f>Usuarios!D91</f>
        <v>0</v>
      </c>
      <c r="E85" s="51">
        <f>Usuarios!E91</f>
        <v>200</v>
      </c>
      <c r="G85" s="51"/>
      <c r="H85" s="51">
        <f>SUMIFS(Tarifas!$AF$7:$AF$320,Tarifas!$AB$7:$AB$320,$A85)*SUMIFS(Mercado!G$9:G$160,Mercado!$A$9:$A$160,$A85)</f>
        <v>0</v>
      </c>
      <c r="I85" s="51">
        <f>SUMIFS(Tarifas!$AF$7:$AF$320,Tarifas!$AB$7:$AB$320,$A85)*SUMIFS(Mercado!H$9:H$160,Mercado!$A$9:$A$160,$A85)</f>
        <v>4.9269185420191857</v>
      </c>
      <c r="J85" s="51">
        <f>SUMIFS(Tarifas!$AF$7:$AF$320,Tarifas!$AB$7:$AB$320,$A85)*SUMIFS(Mercado!I$9:I$160,Mercado!$A$9:$A$160,$A85)</f>
        <v>4.9269185420191857</v>
      </c>
      <c r="K85" s="51">
        <f>SUMIFS(Tarifas!$AF$7:$AF$320,Tarifas!$AB$7:$AB$320,$A85)*SUMIFS(Mercado!J$9:J$160,Mercado!$A$9:$A$160,$A85)</f>
        <v>4.9269185420191857</v>
      </c>
      <c r="L85" s="51">
        <f>SUMIFS(Tarifas!$AF$7:$AF$320,Tarifas!$AB$7:$AB$320,$A85)*SUMIFS(Mercado!K$9:K$160,Mercado!$A$9:$A$160,$A85)</f>
        <v>4.9269185420191857</v>
      </c>
      <c r="N85" s="55">
        <f t="shared" si="11"/>
        <v>0</v>
      </c>
      <c r="O85" s="55">
        <f t="shared" si="6"/>
        <v>0</v>
      </c>
      <c r="P85" s="55">
        <f t="shared" si="7"/>
        <v>4.9269185420191857</v>
      </c>
      <c r="Q85" s="55">
        <f t="shared" si="8"/>
        <v>4.9269185420191857</v>
      </c>
      <c r="R85" s="55">
        <f t="shared" si="9"/>
        <v>4.9269185420191857</v>
      </c>
      <c r="S85" s="55">
        <f t="shared" si="10"/>
        <v>4.9269185420191857</v>
      </c>
      <c r="U85" s="51">
        <f>NPV(Inputs!$C$6,'Vendas ajustada'!O85:R85)+(S85*Inputs!$C$11)/(1+Inputs!$C$6)^(4.55)</f>
        <v>13.305717836379369</v>
      </c>
    </row>
    <row r="86" spans="1:22">
      <c r="A86" s="192" t="str">
        <f>Usuarios!A92</f>
        <v>14 2</v>
      </c>
      <c r="B86" s="50" t="str">
        <f>Usuarios!B92</f>
        <v>Industrial - Consumidor Livre/Auto-importador/Autoprodutor</v>
      </c>
      <c r="C86" s="50">
        <f>Usuarios!C92</f>
        <v>2</v>
      </c>
      <c r="D86" s="51">
        <f>Usuarios!D92</f>
        <v>201</v>
      </c>
      <c r="E86" s="51">
        <f>Usuarios!E92</f>
        <v>2000</v>
      </c>
      <c r="G86" s="51"/>
      <c r="H86" s="51">
        <f>SUMIFS(Tarifas!$AF$7:$AF$320,Tarifas!$AB$7:$AB$320,$A86)*SUMIFS(Mercado!G$9:G$160,Mercado!$A$9:$A$160,$A86)</f>
        <v>0</v>
      </c>
      <c r="I86" s="51">
        <f>SUMIFS(Tarifas!$AF$7:$AF$320,Tarifas!$AB$7:$AB$320,$A86)*SUMIFS(Mercado!H$9:H$160,Mercado!$A$9:$A$160,$A86)</f>
        <v>41.384294685992991</v>
      </c>
      <c r="J86" s="51">
        <f>SUMIFS(Tarifas!$AF$7:$AF$320,Tarifas!$AB$7:$AB$320,$A86)*SUMIFS(Mercado!I$9:I$160,Mercado!$A$9:$A$160,$A86)</f>
        <v>41.384294685992991</v>
      </c>
      <c r="K86" s="51">
        <f>SUMIFS(Tarifas!$AF$7:$AF$320,Tarifas!$AB$7:$AB$320,$A86)*SUMIFS(Mercado!J$9:J$160,Mercado!$A$9:$A$160,$A86)</f>
        <v>41.384294685992991</v>
      </c>
      <c r="L86" s="51">
        <f>SUMIFS(Tarifas!$AF$7:$AF$320,Tarifas!$AB$7:$AB$320,$A86)*SUMIFS(Mercado!K$9:K$160,Mercado!$A$9:$A$160,$A86)</f>
        <v>41.384294685992991</v>
      </c>
      <c r="N86" s="55">
        <f t="shared" si="11"/>
        <v>0</v>
      </c>
      <c r="O86" s="55">
        <f t="shared" si="6"/>
        <v>0</v>
      </c>
      <c r="P86" s="55">
        <f t="shared" si="7"/>
        <v>41.384294685992991</v>
      </c>
      <c r="Q86" s="55">
        <f t="shared" si="8"/>
        <v>41.384294685992991</v>
      </c>
      <c r="R86" s="55">
        <f t="shared" si="9"/>
        <v>41.384294685992991</v>
      </c>
      <c r="S86" s="55">
        <f t="shared" si="10"/>
        <v>41.384294685992991</v>
      </c>
      <c r="U86" s="51">
        <f>NPV(Inputs!$C$6,'Vendas ajustada'!O86:R86)+(S86*Inputs!$C$11)/(1+Inputs!$C$6)^(4.55)</f>
        <v>111.76311182196378</v>
      </c>
    </row>
    <row r="87" spans="1:22">
      <c r="A87" s="192" t="str">
        <f>Usuarios!A93</f>
        <v>14 3</v>
      </c>
      <c r="B87" s="50" t="str">
        <f>Usuarios!B93</f>
        <v>Industrial - Consumidor Livre/Auto-importador/Autoprodutor</v>
      </c>
      <c r="C87" s="50">
        <f>Usuarios!C93</f>
        <v>3</v>
      </c>
      <c r="D87" s="51">
        <f>Usuarios!D93</f>
        <v>2001</v>
      </c>
      <c r="E87" s="51">
        <f>Usuarios!E93</f>
        <v>10000</v>
      </c>
      <c r="G87" s="51"/>
      <c r="H87" s="51">
        <f>SUMIFS(Tarifas!$AF$7:$AF$320,Tarifas!$AB$7:$AB$320,$A87)*SUMIFS(Mercado!G$9:G$160,Mercado!$A$9:$A$160,$A87)</f>
        <v>0</v>
      </c>
      <c r="I87" s="51">
        <f>SUMIFS(Tarifas!$AF$7:$AF$320,Tarifas!$AB$7:$AB$320,$A87)*SUMIFS(Mercado!H$9:H$160,Mercado!$A$9:$A$160,$A87)</f>
        <v>176.03863609384928</v>
      </c>
      <c r="J87" s="51">
        <f>SUMIFS(Tarifas!$AF$7:$AF$320,Tarifas!$AB$7:$AB$320,$A87)*SUMIFS(Mercado!I$9:I$160,Mercado!$A$9:$A$160,$A87)</f>
        <v>176.03863609384928</v>
      </c>
      <c r="K87" s="51">
        <f>SUMIFS(Tarifas!$AF$7:$AF$320,Tarifas!$AB$7:$AB$320,$A87)*SUMIFS(Mercado!J$9:J$160,Mercado!$A$9:$A$160,$A87)</f>
        <v>176.03863609384928</v>
      </c>
      <c r="L87" s="51">
        <f>SUMIFS(Tarifas!$AF$7:$AF$320,Tarifas!$AB$7:$AB$320,$A87)*SUMIFS(Mercado!K$9:K$160,Mercado!$A$9:$A$160,$A87)</f>
        <v>176.03863609384928</v>
      </c>
      <c r="N87" s="55">
        <f t="shared" si="11"/>
        <v>0</v>
      </c>
      <c r="O87" s="55">
        <f t="shared" si="6"/>
        <v>0</v>
      </c>
      <c r="P87" s="55">
        <f t="shared" si="7"/>
        <v>176.03863609384928</v>
      </c>
      <c r="Q87" s="55">
        <f t="shared" si="8"/>
        <v>176.03863609384928</v>
      </c>
      <c r="R87" s="55">
        <f t="shared" si="9"/>
        <v>176.03863609384928</v>
      </c>
      <c r="S87" s="55">
        <f t="shared" si="10"/>
        <v>176.03863609384928</v>
      </c>
      <c r="U87" s="51">
        <f>NPV(Inputs!$C$6,'Vendas ajustada'!O87:R87)+(S87*Inputs!$C$11)/(1+Inputs!$C$6)^(4.55)</f>
        <v>475.41285697934046</v>
      </c>
    </row>
    <row r="88" spans="1:22">
      <c r="A88" s="192" t="str">
        <f>Usuarios!A94</f>
        <v>14 4</v>
      </c>
      <c r="B88" s="50" t="str">
        <f>Usuarios!B94</f>
        <v>Industrial - Consumidor Livre/Auto-importador/Autoprodutor</v>
      </c>
      <c r="C88" s="50">
        <f>Usuarios!C94</f>
        <v>4</v>
      </c>
      <c r="D88" s="51">
        <f>Usuarios!D94</f>
        <v>10001</v>
      </c>
      <c r="E88" s="51">
        <f>Usuarios!E94</f>
        <v>50000</v>
      </c>
      <c r="G88" s="51"/>
      <c r="H88" s="51">
        <f>SUMIFS(Tarifas!$AF$7:$AF$320,Tarifas!$AB$7:$AB$320,$A88)*SUMIFS(Mercado!G$9:G$160,Mercado!$A$9:$A$160,$A88)</f>
        <v>0</v>
      </c>
      <c r="I88" s="51">
        <f>SUMIFS(Tarifas!$AF$7:$AF$320,Tarifas!$AB$7:$AB$320,$A88)*SUMIFS(Mercado!H$9:H$160,Mercado!$A$9:$A$160,$A88)</f>
        <v>607.89790720727569</v>
      </c>
      <c r="J88" s="51">
        <f>SUMIFS(Tarifas!$AF$7:$AF$320,Tarifas!$AB$7:$AB$320,$A88)*SUMIFS(Mercado!I$9:I$160,Mercado!$A$9:$A$160,$A88)</f>
        <v>607.89790720727569</v>
      </c>
      <c r="K88" s="51">
        <f>SUMIFS(Tarifas!$AF$7:$AF$320,Tarifas!$AB$7:$AB$320,$A88)*SUMIFS(Mercado!J$9:J$160,Mercado!$A$9:$A$160,$A88)</f>
        <v>607.89790720727569</v>
      </c>
      <c r="L88" s="51">
        <f>SUMIFS(Tarifas!$AF$7:$AF$320,Tarifas!$AB$7:$AB$320,$A88)*SUMIFS(Mercado!K$9:K$160,Mercado!$A$9:$A$160,$A88)</f>
        <v>607.89790720727569</v>
      </c>
      <c r="N88" s="55">
        <f t="shared" si="11"/>
        <v>0</v>
      </c>
      <c r="O88" s="55">
        <f t="shared" si="6"/>
        <v>0</v>
      </c>
      <c r="P88" s="55">
        <f t="shared" si="7"/>
        <v>607.89790720727569</v>
      </c>
      <c r="Q88" s="55">
        <f t="shared" si="8"/>
        <v>607.89790720727569</v>
      </c>
      <c r="R88" s="55">
        <f t="shared" si="9"/>
        <v>607.89790720727569</v>
      </c>
      <c r="S88" s="55">
        <f t="shared" si="10"/>
        <v>607.89790720727569</v>
      </c>
      <c r="U88" s="51">
        <f>NPV(Inputs!$C$6,'Vendas ajustada'!O88:R88)+(S88*Inputs!$C$11)/(1+Inputs!$C$6)^(4.55)</f>
        <v>1641.6991589454296</v>
      </c>
    </row>
    <row r="89" spans="1:22">
      <c r="A89" s="192" t="str">
        <f>Usuarios!A95</f>
        <v>14 5</v>
      </c>
      <c r="B89" s="50" t="str">
        <f>Usuarios!B95</f>
        <v>Industrial - Consumidor Livre/Auto-importador/Autoprodutor</v>
      </c>
      <c r="C89" s="50">
        <f>Usuarios!C95</f>
        <v>5</v>
      </c>
      <c r="D89" s="51">
        <f>Usuarios!D95</f>
        <v>50001</v>
      </c>
      <c r="E89" s="51">
        <f>Usuarios!E95</f>
        <v>100000</v>
      </c>
      <c r="G89" s="51"/>
      <c r="H89" s="51">
        <f>SUMIFS(Tarifas!$AF$7:$AF$320,Tarifas!$AB$7:$AB$320,$A89)*SUMIFS(Mercado!G$9:G$160,Mercado!$A$9:$A$160,$A89)</f>
        <v>0</v>
      </c>
      <c r="I89" s="51">
        <f>SUMIFS(Tarifas!$AF$7:$AF$320,Tarifas!$AB$7:$AB$320,$A89)*SUMIFS(Mercado!H$9:H$160,Mercado!$A$9:$A$160,$A89)</f>
        <v>612.92839889735546</v>
      </c>
      <c r="J89" s="51">
        <f>SUMIFS(Tarifas!$AF$7:$AF$320,Tarifas!$AB$7:$AB$320,$A89)*SUMIFS(Mercado!I$9:I$160,Mercado!$A$9:$A$160,$A89)</f>
        <v>612.92839889735546</v>
      </c>
      <c r="K89" s="51">
        <f>SUMIFS(Tarifas!$AF$7:$AF$320,Tarifas!$AB$7:$AB$320,$A89)*SUMIFS(Mercado!J$9:J$160,Mercado!$A$9:$A$160,$A89)</f>
        <v>612.92839889735546</v>
      </c>
      <c r="L89" s="51">
        <f>SUMIFS(Tarifas!$AF$7:$AF$320,Tarifas!$AB$7:$AB$320,$A89)*SUMIFS(Mercado!K$9:K$160,Mercado!$A$9:$A$160,$A89)</f>
        <v>612.92839889735546</v>
      </c>
      <c r="N89" s="55">
        <f t="shared" si="11"/>
        <v>0</v>
      </c>
      <c r="O89" s="55">
        <f t="shared" si="6"/>
        <v>0</v>
      </c>
      <c r="P89" s="55">
        <f t="shared" si="7"/>
        <v>612.92839889735546</v>
      </c>
      <c r="Q89" s="55">
        <f t="shared" si="8"/>
        <v>612.92839889735546</v>
      </c>
      <c r="R89" s="55">
        <f t="shared" si="9"/>
        <v>612.92839889735546</v>
      </c>
      <c r="S89" s="55">
        <f t="shared" si="10"/>
        <v>612.92839889735546</v>
      </c>
      <c r="U89" s="51">
        <f>NPV(Inputs!$C$6,'Vendas ajustada'!O89:R89)+(S89*Inputs!$C$11)/(1+Inputs!$C$6)^(4.55)</f>
        <v>1655.2845881413061</v>
      </c>
    </row>
    <row r="90" spans="1:22">
      <c r="A90" s="192" t="str">
        <f>Usuarios!A96</f>
        <v>14 6</v>
      </c>
      <c r="B90" s="50" t="str">
        <f>Usuarios!B96</f>
        <v>Industrial - Consumidor Livre/Auto-importador/Autoprodutor</v>
      </c>
      <c r="C90" s="50">
        <f>Usuarios!C96</f>
        <v>6</v>
      </c>
      <c r="D90" s="51">
        <f>Usuarios!D96</f>
        <v>100001</v>
      </c>
      <c r="E90" s="51">
        <f>Usuarios!E96</f>
        <v>300000</v>
      </c>
      <c r="G90" s="51"/>
      <c r="H90" s="51">
        <f>SUMIFS(Tarifas!$AF$7:$AF$320,Tarifas!$AB$7:$AB$320,$A90)*SUMIFS(Mercado!G$9:G$160,Mercado!$A$9:$A$160,$A90)</f>
        <v>0</v>
      </c>
      <c r="I90" s="51">
        <f>SUMIFS(Tarifas!$AF$7:$AF$320,Tarifas!$AB$7:$AB$320,$A90)*SUMIFS(Mercado!H$9:H$160,Mercado!$A$9:$A$160,$A90)</f>
        <v>1821.2068443133724</v>
      </c>
      <c r="J90" s="51">
        <f>SUMIFS(Tarifas!$AF$7:$AF$320,Tarifas!$AB$7:$AB$320,$A90)*SUMIFS(Mercado!I$9:I$160,Mercado!$A$9:$A$160,$A90)</f>
        <v>1821.2068443133724</v>
      </c>
      <c r="K90" s="51">
        <f>SUMIFS(Tarifas!$AF$7:$AF$320,Tarifas!$AB$7:$AB$320,$A90)*SUMIFS(Mercado!J$9:J$160,Mercado!$A$9:$A$160,$A90)</f>
        <v>1821.2068443133724</v>
      </c>
      <c r="L90" s="51">
        <f>SUMIFS(Tarifas!$AF$7:$AF$320,Tarifas!$AB$7:$AB$320,$A90)*SUMIFS(Mercado!K$9:K$160,Mercado!$A$9:$A$160,$A90)</f>
        <v>1821.2068443133724</v>
      </c>
      <c r="N90" s="55">
        <f t="shared" si="11"/>
        <v>0</v>
      </c>
      <c r="O90" s="55">
        <f t="shared" si="6"/>
        <v>0</v>
      </c>
      <c r="P90" s="55">
        <f t="shared" si="7"/>
        <v>1821.2068443133724</v>
      </c>
      <c r="Q90" s="55">
        <f t="shared" si="8"/>
        <v>1821.2068443133724</v>
      </c>
      <c r="R90" s="55">
        <f t="shared" si="9"/>
        <v>1821.2068443133724</v>
      </c>
      <c r="S90" s="55">
        <f t="shared" si="10"/>
        <v>1821.2068443133724</v>
      </c>
      <c r="U90" s="51">
        <f>NPV(Inputs!$C$6,'Vendas ajustada'!O90:R90)+(S90*Inputs!$C$11)/(1+Inputs!$C$6)^(4.55)</f>
        <v>4918.3813747782197</v>
      </c>
    </row>
    <row r="91" spans="1:22">
      <c r="A91" s="192" t="str">
        <f>Usuarios!A97</f>
        <v>14 7</v>
      </c>
      <c r="B91" s="50" t="str">
        <f>Usuarios!B97</f>
        <v>Industrial - Consumidor Livre/Auto-importador/Autoprodutor</v>
      </c>
      <c r="C91" s="50">
        <f>Usuarios!C97</f>
        <v>7</v>
      </c>
      <c r="D91" s="51">
        <f>Usuarios!D97</f>
        <v>300001</v>
      </c>
      <c r="E91" s="51">
        <f>Usuarios!E97</f>
        <v>600000</v>
      </c>
      <c r="G91" s="51"/>
      <c r="H91" s="51">
        <f>SUMIFS(Tarifas!$AF$7:$AF$320,Tarifas!$AB$7:$AB$320,$A91)*SUMIFS(Mercado!G$9:G$160,Mercado!$A$9:$A$160,$A91)</f>
        <v>0</v>
      </c>
      <c r="I91" s="51">
        <f>SUMIFS(Tarifas!$AF$7:$AF$320,Tarifas!$AB$7:$AB$320,$A91)*SUMIFS(Mercado!H$9:H$160,Mercado!$A$9:$A$160,$A91)</f>
        <v>1614.5586673722166</v>
      </c>
      <c r="J91" s="51">
        <f>SUMIFS(Tarifas!$AF$7:$AF$320,Tarifas!$AB$7:$AB$320,$A91)*SUMIFS(Mercado!I$9:I$160,Mercado!$A$9:$A$160,$A91)</f>
        <v>1614.5586673722166</v>
      </c>
      <c r="K91" s="51">
        <f>SUMIFS(Tarifas!$AF$7:$AF$320,Tarifas!$AB$7:$AB$320,$A91)*SUMIFS(Mercado!J$9:J$160,Mercado!$A$9:$A$160,$A91)</f>
        <v>1614.5586673722166</v>
      </c>
      <c r="L91" s="51">
        <f>SUMIFS(Tarifas!$AF$7:$AF$320,Tarifas!$AB$7:$AB$320,$A91)*SUMIFS(Mercado!K$9:K$160,Mercado!$A$9:$A$160,$A91)</f>
        <v>1614.5586673722166</v>
      </c>
      <c r="N91" s="55">
        <f t="shared" si="11"/>
        <v>0</v>
      </c>
      <c r="O91" s="55">
        <f t="shared" si="6"/>
        <v>0</v>
      </c>
      <c r="P91" s="55">
        <f t="shared" si="7"/>
        <v>1614.5586673722166</v>
      </c>
      <c r="Q91" s="55">
        <f t="shared" si="8"/>
        <v>1614.5586673722166</v>
      </c>
      <c r="R91" s="55">
        <f t="shared" si="9"/>
        <v>1614.5586673722166</v>
      </c>
      <c r="S91" s="55">
        <f t="shared" si="10"/>
        <v>1614.5586673722166</v>
      </c>
      <c r="U91" s="51">
        <f>NPV(Inputs!$C$6,'Vendas ajustada'!O91:R91)+(S91*Inputs!$C$11)/(1+Inputs!$C$6)^(4.55)</f>
        <v>4360.3038846936461</v>
      </c>
    </row>
    <row r="92" spans="1:22">
      <c r="A92" s="192" t="str">
        <f>Usuarios!A98</f>
        <v>14 8</v>
      </c>
      <c r="B92" s="50" t="str">
        <f>Usuarios!B98</f>
        <v>Industrial - Consumidor Livre/Auto-importador/Autoprodutor</v>
      </c>
      <c r="C92" s="50">
        <f>Usuarios!C98</f>
        <v>8</v>
      </c>
      <c r="D92" s="51">
        <f>Usuarios!D98</f>
        <v>600001</v>
      </c>
      <c r="E92" s="51">
        <f>Usuarios!E98</f>
        <v>1500000</v>
      </c>
      <c r="G92" s="51"/>
      <c r="H92" s="51">
        <f>SUMIFS(Tarifas!$AF$7:$AF$320,Tarifas!$AB$7:$AB$320,$A92)*SUMIFS(Mercado!G$9:G$160,Mercado!$A$9:$A$160,$A92)</f>
        <v>0</v>
      </c>
      <c r="I92" s="51">
        <f>SUMIFS(Tarifas!$AF$7:$AF$320,Tarifas!$AB$7:$AB$320,$A92)*SUMIFS(Mercado!H$9:H$160,Mercado!$A$9:$A$160,$A92)</f>
        <v>4751.6229255965263</v>
      </c>
      <c r="J92" s="51">
        <f>SUMIFS(Tarifas!$AF$7:$AF$320,Tarifas!$AB$7:$AB$320,$A92)*SUMIFS(Mercado!I$9:I$160,Mercado!$A$9:$A$160,$A92)</f>
        <v>4751.6229255965263</v>
      </c>
      <c r="K92" s="51">
        <f>SUMIFS(Tarifas!$AF$7:$AF$320,Tarifas!$AB$7:$AB$320,$A92)*SUMIFS(Mercado!J$9:J$160,Mercado!$A$9:$A$160,$A92)</f>
        <v>4751.6229255965263</v>
      </c>
      <c r="L92" s="51">
        <f>SUMIFS(Tarifas!$AF$7:$AF$320,Tarifas!$AB$7:$AB$320,$A92)*SUMIFS(Mercado!K$9:K$160,Mercado!$A$9:$A$160,$A92)</f>
        <v>4751.6229255965263</v>
      </c>
      <c r="N92" s="55">
        <f t="shared" si="11"/>
        <v>0</v>
      </c>
      <c r="O92" s="55">
        <f t="shared" si="6"/>
        <v>0</v>
      </c>
      <c r="P92" s="55">
        <f t="shared" si="7"/>
        <v>4751.6229255965263</v>
      </c>
      <c r="Q92" s="55">
        <f t="shared" si="8"/>
        <v>4751.6229255965263</v>
      </c>
      <c r="R92" s="55">
        <f t="shared" si="9"/>
        <v>4751.6229255965263</v>
      </c>
      <c r="S92" s="55">
        <f t="shared" si="10"/>
        <v>4751.6229255965263</v>
      </c>
      <c r="U92" s="51">
        <f>NPV(Inputs!$C$6,'Vendas ajustada'!O92:R92)+(S92*Inputs!$C$11)/(1+Inputs!$C$6)^(4.55)</f>
        <v>12832.311590633284</v>
      </c>
    </row>
    <row r="93" spans="1:22">
      <c r="A93" s="192" t="str">
        <f>Usuarios!A99</f>
        <v>14 9</v>
      </c>
      <c r="B93" s="50" t="str">
        <f>Usuarios!B99</f>
        <v>Industrial - Consumidor Livre/Auto-importador/Autoprodutor</v>
      </c>
      <c r="C93" s="50">
        <f>Usuarios!C99</f>
        <v>9</v>
      </c>
      <c r="D93" s="51">
        <f>Usuarios!D99</f>
        <v>1500001</v>
      </c>
      <c r="E93" s="51">
        <f>Usuarios!E99</f>
        <v>3000000</v>
      </c>
      <c r="G93" s="51"/>
      <c r="H93" s="51">
        <f>SUMIFS(Tarifas!$AF$7:$AF$320,Tarifas!$AB$7:$AB$320,$A93)*SUMIFS(Mercado!G$9:G$160,Mercado!$A$9:$A$160,$A93)</f>
        <v>0</v>
      </c>
      <c r="I93" s="51">
        <f>SUMIFS(Tarifas!$AF$7:$AF$320,Tarifas!$AB$7:$AB$320,$A93)*SUMIFS(Mercado!H$9:H$160,Mercado!$A$9:$A$160,$A93)</f>
        <v>7505.1326983203644</v>
      </c>
      <c r="J93" s="51">
        <f>SUMIFS(Tarifas!$AF$7:$AF$320,Tarifas!$AB$7:$AB$320,$A93)*SUMIFS(Mercado!I$9:I$160,Mercado!$A$9:$A$160,$A93)</f>
        <v>7505.1326983203644</v>
      </c>
      <c r="K93" s="51">
        <f>SUMIFS(Tarifas!$AF$7:$AF$320,Tarifas!$AB$7:$AB$320,$A93)*SUMIFS(Mercado!J$9:J$160,Mercado!$A$9:$A$160,$A93)</f>
        <v>7505.1326983203644</v>
      </c>
      <c r="L93" s="51">
        <f>SUMIFS(Tarifas!$AF$7:$AF$320,Tarifas!$AB$7:$AB$320,$A93)*SUMIFS(Mercado!K$9:K$160,Mercado!$A$9:$A$160,$A93)</f>
        <v>7505.1326983203644</v>
      </c>
      <c r="N93" s="55">
        <f t="shared" si="11"/>
        <v>0</v>
      </c>
      <c r="O93" s="55">
        <f t="shared" si="6"/>
        <v>0</v>
      </c>
      <c r="P93" s="55">
        <f t="shared" si="7"/>
        <v>7505.1326983203644</v>
      </c>
      <c r="Q93" s="55">
        <f t="shared" si="8"/>
        <v>7505.1326983203644</v>
      </c>
      <c r="R93" s="55">
        <f t="shared" si="9"/>
        <v>7505.1326983203644</v>
      </c>
      <c r="S93" s="55">
        <f t="shared" si="10"/>
        <v>7505.1326983203644</v>
      </c>
      <c r="U93" s="51">
        <f>NPV(Inputs!$C$6,'Vendas ajustada'!O93:R93)+(S93*Inputs!$C$11)/(1+Inputs!$C$6)^(4.55)</f>
        <v>20268.485698874469</v>
      </c>
    </row>
    <row r="94" spans="1:22">
      <c r="A94" s="192" t="str">
        <f>Usuarios!A100</f>
        <v>14 10</v>
      </c>
      <c r="B94" s="50" t="str">
        <f>Usuarios!B100</f>
        <v>Industrial - Consumidor Livre/Auto-importador/Autoprodutor</v>
      </c>
      <c r="C94" s="50">
        <f>Usuarios!C100</f>
        <v>10</v>
      </c>
      <c r="D94" s="51">
        <f>Usuarios!D100</f>
        <v>3000001</v>
      </c>
      <c r="E94" s="51">
        <f>Usuarios!E100</f>
        <v>999999999</v>
      </c>
      <c r="G94" s="51"/>
      <c r="H94" s="51">
        <f>SUMIFS(Tarifas!$AF$7:$AF$320,Tarifas!$AB$7:$AB$320,$A94)*SUMIFS(Mercado!G$9:G$160,Mercado!$A$9:$A$160,$A94)</f>
        <v>0</v>
      </c>
      <c r="I94" s="51">
        <f>SUMIFS(Tarifas!$AF$7:$AF$320,Tarifas!$AB$7:$AB$320,$A94)*SUMIFS(Mercado!H$9:H$160,Mercado!$A$9:$A$160,$A94)</f>
        <v>68368.583767485499</v>
      </c>
      <c r="J94" s="51">
        <f>SUMIFS(Tarifas!$AF$7:$AF$320,Tarifas!$AB$7:$AB$320,$A94)*SUMIFS(Mercado!I$9:I$160,Mercado!$A$9:$A$160,$A94)</f>
        <v>104064.17622924077</v>
      </c>
      <c r="K94" s="51">
        <f>SUMIFS(Tarifas!$AF$7:$AF$320,Tarifas!$AB$7:$AB$320,$A94)*SUMIFS(Mercado!J$9:J$160,Mercado!$A$9:$A$160,$A94)</f>
        <v>101737.44193038656</v>
      </c>
      <c r="L94" s="51">
        <f>SUMIFS(Tarifas!$AF$7:$AF$320,Tarifas!$AB$7:$AB$320,$A94)*SUMIFS(Mercado!K$9:K$160,Mercado!$A$9:$A$160,$A94)</f>
        <v>99457.242317509459</v>
      </c>
      <c r="N94" s="55">
        <f t="shared" si="11"/>
        <v>0</v>
      </c>
      <c r="O94" s="55">
        <f t="shared" si="6"/>
        <v>0</v>
      </c>
      <c r="P94" s="55">
        <f t="shared" si="7"/>
        <v>68368.583767485499</v>
      </c>
      <c r="Q94" s="55">
        <f t="shared" si="8"/>
        <v>104064.17622924077</v>
      </c>
      <c r="R94" s="55">
        <f t="shared" si="9"/>
        <v>101737.44193038656</v>
      </c>
      <c r="S94" s="55">
        <f t="shared" si="10"/>
        <v>99457.242317509459</v>
      </c>
      <c r="U94" s="51">
        <f>NPV(Inputs!$C$6,'Vendas ajustada'!O94:R94)+(S94*Inputs!$C$11)/(1+Inputs!$C$6)^(4.55)</f>
        <v>247576.06667349685</v>
      </c>
    </row>
    <row r="95" spans="1:22">
      <c r="A95" s="192"/>
      <c r="D95" s="51"/>
      <c r="E95" s="51"/>
      <c r="F95" s="51"/>
      <c r="G95" s="51"/>
      <c r="H95" s="51">
        <f>SUMIFS(Tarifas!$AF$7:$AF$320,Tarifas!$AB$7:$AB$320,$A95)*SUMIFS(Mercado!G$9:G$160,Mercado!$A$9:$A$160,$A95)</f>
        <v>0</v>
      </c>
      <c r="I95" s="51">
        <f>SUMIFS(Tarifas!$AF$7:$AF$320,Tarifas!$AB$7:$AB$320,$A95)*SUMIFS(Mercado!H$9:H$160,Mercado!$A$9:$A$160,$A95)</f>
        <v>0</v>
      </c>
      <c r="J95" s="51">
        <f>SUMIFS(Tarifas!$AF$7:$AF$320,Tarifas!$AB$7:$AB$320,$A95)*SUMIFS(Mercado!I$9:I$160,Mercado!$A$9:$A$160,$A95)</f>
        <v>0</v>
      </c>
      <c r="K95" s="51">
        <f>SUMIFS(Tarifas!$AF$7:$AF$320,Tarifas!$AB$7:$AB$320,$A95)*SUMIFS(Mercado!J$9:J$160,Mercado!$A$9:$A$160,$A95)</f>
        <v>0</v>
      </c>
      <c r="L95" s="51">
        <f>SUMIFS(Tarifas!$AF$7:$AF$320,Tarifas!$AB$7:$AB$320,$A95)*SUMIFS(Mercado!K$9:K$160,Mercado!$A$9:$A$160,$A95)</f>
        <v>0</v>
      </c>
      <c r="N95" s="55">
        <f t="shared" si="11"/>
        <v>0</v>
      </c>
      <c r="O95" s="55">
        <f t="shared" si="6"/>
        <v>0</v>
      </c>
      <c r="P95" s="55">
        <f t="shared" si="7"/>
        <v>0</v>
      </c>
      <c r="Q95" s="55">
        <f t="shared" si="8"/>
        <v>0</v>
      </c>
      <c r="R95" s="55">
        <f t="shared" si="9"/>
        <v>0</v>
      </c>
      <c r="S95" s="55">
        <f t="shared" si="10"/>
        <v>0</v>
      </c>
      <c r="U95" s="51">
        <f>NPV(Inputs!$C$6,'Vendas ajustada'!O95:R95)+(S95*Inputs!$C$11)/(1+Inputs!$C$6)^(4.55)</f>
        <v>0</v>
      </c>
    </row>
    <row r="96" spans="1:22">
      <c r="A96" s="192" t="str">
        <f>Usuarios!A102</f>
        <v>15 1</v>
      </c>
      <c r="B96" s="50" t="str">
        <f>Usuarios!B102</f>
        <v>Petroquímico - CL, AI, AP</v>
      </c>
      <c r="C96" s="50">
        <f>Usuarios!C102</f>
        <v>1</v>
      </c>
      <c r="D96" s="51">
        <f>Usuarios!D102</f>
        <v>0</v>
      </c>
      <c r="E96" s="51">
        <f>Usuarios!E102</f>
        <v>999999999</v>
      </c>
      <c r="G96" s="51"/>
      <c r="H96" s="51">
        <f>SUMIFS(Tarifas!$AF$7:$AF$320,Tarifas!$AB$7:$AB$320,$A96)*SUMIFS(Mercado!G$9:G$160,Mercado!$A$9:$A$160,$A96)</f>
        <v>0</v>
      </c>
      <c r="I96" s="51">
        <f>SUMIFS(Tarifas!$AF$7:$AF$320,Tarifas!$AB$7:$AB$320,$A96)*SUMIFS(Mercado!H$9:H$160,Mercado!$A$9:$A$160,$A96)</f>
        <v>0</v>
      </c>
      <c r="J96" s="51">
        <f>SUMIFS(Tarifas!$AF$7:$AF$320,Tarifas!$AB$7:$AB$320,$A96)*SUMIFS(Mercado!I$9:I$160,Mercado!$A$9:$A$160,$A96)</f>
        <v>0</v>
      </c>
      <c r="K96" s="51">
        <f>SUMIFS(Tarifas!$AF$7:$AF$320,Tarifas!$AB$7:$AB$320,$A96)*SUMIFS(Mercado!J$9:J$160,Mercado!$A$9:$A$160,$A96)</f>
        <v>0</v>
      </c>
      <c r="L96" s="51">
        <f>SUMIFS(Tarifas!$AF$7:$AF$320,Tarifas!$AB$7:$AB$320,$A96)*SUMIFS(Mercado!K$9:K$160,Mercado!$A$9:$A$160,$A96)</f>
        <v>0</v>
      </c>
      <c r="N96" s="55">
        <f t="shared" si="11"/>
        <v>0</v>
      </c>
      <c r="O96" s="55">
        <f t="shared" si="6"/>
        <v>0</v>
      </c>
      <c r="P96" s="55">
        <f t="shared" si="7"/>
        <v>0</v>
      </c>
      <c r="Q96" s="55">
        <f t="shared" si="8"/>
        <v>0</v>
      </c>
      <c r="R96" s="55">
        <f t="shared" si="9"/>
        <v>0</v>
      </c>
      <c r="S96" s="55">
        <f t="shared" si="10"/>
        <v>0</v>
      </c>
      <c r="U96" s="51">
        <f>NPV(Inputs!$C$6,'Vendas ajustada'!O96:R96)+(S96*Inputs!$C$11)/(1+Inputs!$C$6)^(4.55)</f>
        <v>0</v>
      </c>
    </row>
    <row r="97" spans="1:21">
      <c r="A97" s="192"/>
      <c r="D97" s="51"/>
      <c r="E97" s="51"/>
      <c r="G97" s="51"/>
      <c r="H97" s="51">
        <f>SUMIFS(Tarifas!$AF$7:$AF$320,Tarifas!$AB$7:$AB$320,$A97)*SUMIFS(Mercado!G$9:G$160,Mercado!$A$9:$A$160,$A97)</f>
        <v>0</v>
      </c>
      <c r="I97" s="51">
        <f>SUMIFS(Tarifas!$AF$7:$AF$320,Tarifas!$AB$7:$AB$320,$A97)*SUMIFS(Mercado!H$9:H$160,Mercado!$A$9:$A$160,$A97)</f>
        <v>0</v>
      </c>
      <c r="J97" s="51">
        <f>SUMIFS(Tarifas!$AF$7:$AF$320,Tarifas!$AB$7:$AB$320,$A97)*SUMIFS(Mercado!I$9:I$160,Mercado!$A$9:$A$160,$A97)</f>
        <v>0</v>
      </c>
      <c r="K97" s="51">
        <f>SUMIFS(Tarifas!$AF$7:$AF$320,Tarifas!$AB$7:$AB$320,$A97)*SUMIFS(Mercado!J$9:J$160,Mercado!$A$9:$A$160,$A97)</f>
        <v>0</v>
      </c>
      <c r="L97" s="51">
        <f>SUMIFS(Tarifas!$AF$7:$AF$320,Tarifas!$AB$7:$AB$320,$A97)*SUMIFS(Mercado!K$9:K$160,Mercado!$A$9:$A$160,$A97)</f>
        <v>0</v>
      </c>
      <c r="N97" s="55">
        <f t="shared" si="11"/>
        <v>0</v>
      </c>
      <c r="O97" s="55">
        <f t="shared" si="6"/>
        <v>0</v>
      </c>
      <c r="P97" s="55">
        <f t="shared" si="7"/>
        <v>0</v>
      </c>
      <c r="Q97" s="55">
        <f t="shared" si="8"/>
        <v>0</v>
      </c>
      <c r="R97" s="55">
        <f t="shared" si="9"/>
        <v>0</v>
      </c>
      <c r="S97" s="55">
        <f t="shared" si="10"/>
        <v>0</v>
      </c>
      <c r="U97" s="51">
        <f>NPV(Inputs!$C$6,'Vendas ajustada'!O97:R97)+(S97*Inputs!$C$11)/(1+Inputs!$C$6)^(4.55)</f>
        <v>0</v>
      </c>
    </row>
    <row r="98" spans="1:21">
      <c r="A98" s="192" t="s">
        <v>4834</v>
      </c>
      <c r="B98" s="50" t="s">
        <v>4835</v>
      </c>
      <c r="C98" s="50">
        <v>1</v>
      </c>
      <c r="D98" s="51">
        <v>0</v>
      </c>
      <c r="E98" s="51">
        <v>200</v>
      </c>
      <c r="G98" s="51"/>
      <c r="H98" s="51">
        <f>SUMIFS(Tarifas!$AF$7:$AF$320,Tarifas!$AB$7:$AB$320,$A98)*SUMIFS(Mercado!G$9:G$160,Mercado!$A$9:$A$160,$A98)</f>
        <v>0</v>
      </c>
      <c r="I98" s="51">
        <f>SUMIFS(Tarifas!$AF$7:$AF$320,Tarifas!$AB$7:$AB$320,$A98)*SUMIFS(Mercado!H$9:H$160,Mercado!$A$9:$A$160,$A98)</f>
        <v>0</v>
      </c>
      <c r="J98" s="51">
        <f>SUMIFS(Tarifas!$AF$7:$AF$320,Tarifas!$AB$7:$AB$320,$A98)*SUMIFS(Mercado!I$9:I$160,Mercado!$A$9:$A$160,$A98)</f>
        <v>0</v>
      </c>
      <c r="K98" s="51">
        <f>SUMIFS(Tarifas!$AF$7:$AF$320,Tarifas!$AB$7:$AB$320,$A98)*SUMIFS(Mercado!J$9:J$160,Mercado!$A$9:$A$160,$A98)</f>
        <v>0</v>
      </c>
      <c r="L98" s="51">
        <f>SUMIFS(Tarifas!$AF$7:$AF$320,Tarifas!$AB$7:$AB$320,$A98)*SUMIFS(Mercado!K$9:K$160,Mercado!$A$9:$A$160,$A98)</f>
        <v>0</v>
      </c>
      <c r="N98" s="55">
        <f t="shared" si="11"/>
        <v>0</v>
      </c>
      <c r="O98" s="55">
        <f t="shared" si="6"/>
        <v>0</v>
      </c>
      <c r="P98" s="55">
        <f t="shared" si="7"/>
        <v>0</v>
      </c>
      <c r="Q98" s="55">
        <f t="shared" si="8"/>
        <v>0</v>
      </c>
      <c r="R98" s="55">
        <f t="shared" si="9"/>
        <v>0</v>
      </c>
      <c r="S98" s="55">
        <f t="shared" si="10"/>
        <v>0</v>
      </c>
      <c r="U98" s="51">
        <f>NPV(Inputs!$C$6,'Vendas ajustada'!O98:R98)+(S98*Inputs!$C$11)/(1+Inputs!$C$6)^(4.55)</f>
        <v>0</v>
      </c>
    </row>
    <row r="99" spans="1:21">
      <c r="A99" s="192" t="s">
        <v>4836</v>
      </c>
      <c r="B99" s="50" t="s">
        <v>4835</v>
      </c>
      <c r="C99" s="50">
        <v>2</v>
      </c>
      <c r="D99" s="51">
        <v>201</v>
      </c>
      <c r="E99" s="51">
        <v>2000</v>
      </c>
      <c r="G99" s="51"/>
      <c r="H99" s="51">
        <f>SUMIFS(Tarifas!$AF$7:$AF$320,Tarifas!$AB$7:$AB$320,$A99)*SUMIFS(Mercado!G$9:G$160,Mercado!$A$9:$A$160,$A99)</f>
        <v>0</v>
      </c>
      <c r="I99" s="51">
        <f>SUMIFS(Tarifas!$AF$7:$AF$320,Tarifas!$AB$7:$AB$320,$A99)*SUMIFS(Mercado!H$9:H$160,Mercado!$A$9:$A$160,$A99)</f>
        <v>0</v>
      </c>
      <c r="J99" s="51">
        <f>SUMIFS(Tarifas!$AF$7:$AF$320,Tarifas!$AB$7:$AB$320,$A99)*SUMIFS(Mercado!I$9:I$160,Mercado!$A$9:$A$160,$A99)</f>
        <v>0</v>
      </c>
      <c r="K99" s="51">
        <f>SUMIFS(Tarifas!$AF$7:$AF$320,Tarifas!$AB$7:$AB$320,$A99)*SUMIFS(Mercado!J$9:J$160,Mercado!$A$9:$A$160,$A99)</f>
        <v>0</v>
      </c>
      <c r="L99" s="51">
        <f>SUMIFS(Tarifas!$AF$7:$AF$320,Tarifas!$AB$7:$AB$320,$A99)*SUMIFS(Mercado!K$9:K$160,Mercado!$A$9:$A$160,$A99)</f>
        <v>0</v>
      </c>
      <c r="N99" s="55">
        <f t="shared" si="11"/>
        <v>0</v>
      </c>
      <c r="O99" s="55">
        <f t="shared" si="6"/>
        <v>0</v>
      </c>
      <c r="P99" s="55">
        <f t="shared" si="7"/>
        <v>0</v>
      </c>
      <c r="Q99" s="55">
        <f t="shared" si="8"/>
        <v>0</v>
      </c>
      <c r="R99" s="55">
        <f t="shared" si="9"/>
        <v>0</v>
      </c>
      <c r="S99" s="55">
        <f t="shared" si="10"/>
        <v>0</v>
      </c>
      <c r="U99" s="51">
        <f>NPV(Inputs!$C$6,'Vendas ajustada'!O99:R99)+(S99*Inputs!$C$11)/(1+Inputs!$C$6)^(4.55)</f>
        <v>0</v>
      </c>
    </row>
    <row r="100" spans="1:21">
      <c r="A100" s="192" t="s">
        <v>4837</v>
      </c>
      <c r="B100" s="50" t="s">
        <v>4835</v>
      </c>
      <c r="C100" s="50">
        <v>3</v>
      </c>
      <c r="D100" s="51">
        <v>2001</v>
      </c>
      <c r="E100" s="51">
        <v>10000</v>
      </c>
      <c r="G100" s="51"/>
      <c r="H100" s="51">
        <f>SUMIFS(Tarifas!$AF$7:$AF$320,Tarifas!$AB$7:$AB$320,$A100)*SUMIFS(Mercado!G$9:G$160,Mercado!$A$9:$A$160,$A100)</f>
        <v>0</v>
      </c>
      <c r="I100" s="51">
        <f>SUMIFS(Tarifas!$AF$7:$AF$320,Tarifas!$AB$7:$AB$320,$A100)*SUMIFS(Mercado!H$9:H$160,Mercado!$A$9:$A$160,$A100)</f>
        <v>0</v>
      </c>
      <c r="J100" s="51">
        <f>SUMIFS(Tarifas!$AF$7:$AF$320,Tarifas!$AB$7:$AB$320,$A100)*SUMIFS(Mercado!I$9:I$160,Mercado!$A$9:$A$160,$A100)</f>
        <v>0</v>
      </c>
      <c r="K100" s="51">
        <f>SUMIFS(Tarifas!$AF$7:$AF$320,Tarifas!$AB$7:$AB$320,$A100)*SUMIFS(Mercado!J$9:J$160,Mercado!$A$9:$A$160,$A100)</f>
        <v>0</v>
      </c>
      <c r="L100" s="51">
        <f>SUMIFS(Tarifas!$AF$7:$AF$320,Tarifas!$AB$7:$AB$320,$A100)*SUMIFS(Mercado!K$9:K$160,Mercado!$A$9:$A$160,$A100)</f>
        <v>0</v>
      </c>
      <c r="N100" s="55">
        <f t="shared" si="11"/>
        <v>0</v>
      </c>
      <c r="O100" s="55">
        <f t="shared" si="6"/>
        <v>0</v>
      </c>
      <c r="P100" s="55">
        <f t="shared" si="7"/>
        <v>0</v>
      </c>
      <c r="Q100" s="55">
        <f t="shared" si="8"/>
        <v>0</v>
      </c>
      <c r="R100" s="55">
        <f t="shared" si="9"/>
        <v>0</v>
      </c>
      <c r="S100" s="55">
        <f t="shared" si="10"/>
        <v>0</v>
      </c>
      <c r="U100" s="51">
        <f>NPV(Inputs!$C$6,'Vendas ajustada'!O100:R100)+(S100*Inputs!$C$11)/(1+Inputs!$C$6)^(4.55)</f>
        <v>0</v>
      </c>
    </row>
    <row r="101" spans="1:21">
      <c r="A101" s="192" t="s">
        <v>4838</v>
      </c>
      <c r="B101" s="50" t="s">
        <v>4835</v>
      </c>
      <c r="C101" s="50">
        <v>4</v>
      </c>
      <c r="D101" s="51">
        <v>10001</v>
      </c>
      <c r="E101" s="51">
        <v>50000</v>
      </c>
      <c r="G101" s="51"/>
      <c r="H101" s="51">
        <f>SUMIFS(Tarifas!$AF$7:$AF$320,Tarifas!$AB$7:$AB$320,$A101)*SUMIFS(Mercado!G$9:G$160,Mercado!$A$9:$A$160,$A101)</f>
        <v>0</v>
      </c>
      <c r="I101" s="51">
        <f>SUMIFS(Tarifas!$AF$7:$AF$320,Tarifas!$AB$7:$AB$320,$A101)*SUMIFS(Mercado!H$9:H$160,Mercado!$A$9:$A$160,$A101)</f>
        <v>0</v>
      </c>
      <c r="J101" s="51">
        <f>SUMIFS(Tarifas!$AF$7:$AF$320,Tarifas!$AB$7:$AB$320,$A101)*SUMIFS(Mercado!I$9:I$160,Mercado!$A$9:$A$160,$A101)</f>
        <v>0</v>
      </c>
      <c r="K101" s="51">
        <f>SUMIFS(Tarifas!$AF$7:$AF$320,Tarifas!$AB$7:$AB$320,$A101)*SUMIFS(Mercado!J$9:J$160,Mercado!$A$9:$A$160,$A101)</f>
        <v>0</v>
      </c>
      <c r="L101" s="51">
        <f>SUMIFS(Tarifas!$AF$7:$AF$320,Tarifas!$AB$7:$AB$320,$A101)*SUMIFS(Mercado!K$9:K$160,Mercado!$A$9:$A$160,$A101)</f>
        <v>0</v>
      </c>
      <c r="N101" s="55">
        <f t="shared" si="11"/>
        <v>0</v>
      </c>
      <c r="O101" s="55">
        <f t="shared" si="6"/>
        <v>0</v>
      </c>
      <c r="P101" s="55">
        <f t="shared" si="7"/>
        <v>0</v>
      </c>
      <c r="Q101" s="55">
        <f t="shared" si="8"/>
        <v>0</v>
      </c>
      <c r="R101" s="55">
        <f t="shared" si="9"/>
        <v>0</v>
      </c>
      <c r="S101" s="55">
        <f t="shared" si="10"/>
        <v>0</v>
      </c>
      <c r="U101" s="51">
        <f>NPV(Inputs!$C$6,'Vendas ajustada'!O101:R101)+(S101*Inputs!$C$11)/(1+Inputs!$C$6)^(4.55)</f>
        <v>0</v>
      </c>
    </row>
    <row r="102" spans="1:21">
      <c r="A102" s="192" t="s">
        <v>4839</v>
      </c>
      <c r="B102" s="50" t="s">
        <v>4835</v>
      </c>
      <c r="C102" s="50">
        <v>5</v>
      </c>
      <c r="D102" s="51">
        <v>50001</v>
      </c>
      <c r="E102" s="51">
        <v>100000</v>
      </c>
      <c r="G102" s="51"/>
      <c r="H102" s="51">
        <f>SUMIFS(Tarifas!$AF$7:$AF$320,Tarifas!$AB$7:$AB$320,$A102)*SUMIFS(Mercado!G$9:G$160,Mercado!$A$9:$A$160,$A102)</f>
        <v>0</v>
      </c>
      <c r="I102" s="51">
        <f>SUMIFS(Tarifas!$AF$7:$AF$320,Tarifas!$AB$7:$AB$320,$A102)*SUMIFS(Mercado!H$9:H$160,Mercado!$A$9:$A$160,$A102)</f>
        <v>0</v>
      </c>
      <c r="J102" s="51">
        <f>SUMIFS(Tarifas!$AF$7:$AF$320,Tarifas!$AB$7:$AB$320,$A102)*SUMIFS(Mercado!I$9:I$160,Mercado!$A$9:$A$160,$A102)</f>
        <v>0</v>
      </c>
      <c r="K102" s="51">
        <f>SUMIFS(Tarifas!$AF$7:$AF$320,Tarifas!$AB$7:$AB$320,$A102)*SUMIFS(Mercado!J$9:J$160,Mercado!$A$9:$A$160,$A102)</f>
        <v>0</v>
      </c>
      <c r="L102" s="51">
        <f>SUMIFS(Tarifas!$AF$7:$AF$320,Tarifas!$AB$7:$AB$320,$A102)*SUMIFS(Mercado!K$9:K$160,Mercado!$A$9:$A$160,$A102)</f>
        <v>0</v>
      </c>
      <c r="N102" s="55">
        <f t="shared" si="11"/>
        <v>0</v>
      </c>
      <c r="O102" s="55">
        <f t="shared" si="6"/>
        <v>0</v>
      </c>
      <c r="P102" s="55">
        <f t="shared" si="7"/>
        <v>0</v>
      </c>
      <c r="Q102" s="55">
        <f t="shared" si="8"/>
        <v>0</v>
      </c>
      <c r="R102" s="55">
        <f t="shared" si="9"/>
        <v>0</v>
      </c>
      <c r="S102" s="55">
        <f t="shared" si="10"/>
        <v>0</v>
      </c>
      <c r="U102" s="51">
        <f>NPV(Inputs!$C$6,'Vendas ajustada'!O102:R102)+(S102*Inputs!$C$11)/(1+Inputs!$C$6)^(4.55)</f>
        <v>0</v>
      </c>
    </row>
    <row r="103" spans="1:21">
      <c r="A103" s="192" t="s">
        <v>4840</v>
      </c>
      <c r="B103" s="50" t="s">
        <v>4835</v>
      </c>
      <c r="C103" s="50">
        <v>6</v>
      </c>
      <c r="D103" s="51">
        <v>100001</v>
      </c>
      <c r="E103" s="51">
        <v>300000</v>
      </c>
      <c r="G103" s="51"/>
      <c r="H103" s="51">
        <f>SUMIFS(Tarifas!$AF$7:$AF$320,Tarifas!$AB$7:$AB$320,$A103)*SUMIFS(Mercado!G$9:G$160,Mercado!$A$9:$A$160,$A103)</f>
        <v>0</v>
      </c>
      <c r="I103" s="51">
        <f>SUMIFS(Tarifas!$AF$7:$AF$320,Tarifas!$AB$7:$AB$320,$A103)*SUMIFS(Mercado!H$9:H$160,Mercado!$A$9:$A$160,$A103)</f>
        <v>0</v>
      </c>
      <c r="J103" s="51">
        <f>SUMIFS(Tarifas!$AF$7:$AF$320,Tarifas!$AB$7:$AB$320,$A103)*SUMIFS(Mercado!I$9:I$160,Mercado!$A$9:$A$160,$A103)</f>
        <v>0</v>
      </c>
      <c r="K103" s="51">
        <f>SUMIFS(Tarifas!$AF$7:$AF$320,Tarifas!$AB$7:$AB$320,$A103)*SUMIFS(Mercado!J$9:J$160,Mercado!$A$9:$A$160,$A103)</f>
        <v>0</v>
      </c>
      <c r="L103" s="51">
        <f>SUMIFS(Tarifas!$AF$7:$AF$320,Tarifas!$AB$7:$AB$320,$A103)*SUMIFS(Mercado!K$9:K$160,Mercado!$A$9:$A$160,$A103)</f>
        <v>0</v>
      </c>
      <c r="N103" s="55">
        <f t="shared" si="11"/>
        <v>0</v>
      </c>
      <c r="O103" s="55">
        <f t="shared" si="6"/>
        <v>0</v>
      </c>
      <c r="P103" s="55">
        <f t="shared" si="7"/>
        <v>0</v>
      </c>
      <c r="Q103" s="55">
        <f t="shared" si="8"/>
        <v>0</v>
      </c>
      <c r="R103" s="55">
        <f t="shared" si="9"/>
        <v>0</v>
      </c>
      <c r="S103" s="55">
        <f t="shared" si="10"/>
        <v>0</v>
      </c>
      <c r="U103" s="51">
        <f>NPV(Inputs!$C$6,'Vendas ajustada'!O103:R103)+(S103*Inputs!$C$11)/(1+Inputs!$C$6)^(4.55)</f>
        <v>0</v>
      </c>
    </row>
    <row r="104" spans="1:21">
      <c r="A104" s="192" t="s">
        <v>4841</v>
      </c>
      <c r="B104" s="50" t="s">
        <v>4835</v>
      </c>
      <c r="C104" s="50">
        <v>7</v>
      </c>
      <c r="D104" s="51">
        <v>300001</v>
      </c>
      <c r="E104" s="51">
        <v>600000</v>
      </c>
      <c r="G104" s="51"/>
      <c r="H104" s="51">
        <f>SUMIFS(Tarifas!$AF$7:$AF$320,Tarifas!$AB$7:$AB$320,$A104)*SUMIFS(Mercado!G$9:G$160,Mercado!$A$9:$A$160,$A104)</f>
        <v>0</v>
      </c>
      <c r="I104" s="51">
        <f>SUMIFS(Tarifas!$AF$7:$AF$320,Tarifas!$AB$7:$AB$320,$A104)*SUMIFS(Mercado!H$9:H$160,Mercado!$A$9:$A$160,$A104)</f>
        <v>0</v>
      </c>
      <c r="J104" s="51">
        <f>SUMIFS(Tarifas!$AF$7:$AF$320,Tarifas!$AB$7:$AB$320,$A104)*SUMIFS(Mercado!I$9:I$160,Mercado!$A$9:$A$160,$A104)</f>
        <v>0</v>
      </c>
      <c r="K104" s="51">
        <f>SUMIFS(Tarifas!$AF$7:$AF$320,Tarifas!$AB$7:$AB$320,$A104)*SUMIFS(Mercado!J$9:J$160,Mercado!$A$9:$A$160,$A104)</f>
        <v>0</v>
      </c>
      <c r="L104" s="51">
        <f>SUMIFS(Tarifas!$AF$7:$AF$320,Tarifas!$AB$7:$AB$320,$A104)*SUMIFS(Mercado!K$9:K$160,Mercado!$A$9:$A$160,$A104)</f>
        <v>0</v>
      </c>
      <c r="N104" s="55">
        <f t="shared" si="11"/>
        <v>0</v>
      </c>
      <c r="O104" s="55">
        <f t="shared" si="6"/>
        <v>0</v>
      </c>
      <c r="P104" s="55">
        <f t="shared" si="7"/>
        <v>0</v>
      </c>
      <c r="Q104" s="55">
        <f t="shared" si="8"/>
        <v>0</v>
      </c>
      <c r="R104" s="55">
        <f t="shared" si="9"/>
        <v>0</v>
      </c>
      <c r="S104" s="55">
        <f t="shared" si="10"/>
        <v>0</v>
      </c>
      <c r="U104" s="51">
        <f>NPV(Inputs!$C$6,'Vendas ajustada'!O104:R104)+(S104*Inputs!$C$11)/(1+Inputs!$C$6)^(4.55)</f>
        <v>0</v>
      </c>
    </row>
    <row r="105" spans="1:21">
      <c r="A105" s="192" t="s">
        <v>4842</v>
      </c>
      <c r="B105" s="50" t="s">
        <v>4835</v>
      </c>
      <c r="C105" s="50">
        <v>8</v>
      </c>
      <c r="D105" s="51">
        <v>600001</v>
      </c>
      <c r="E105" s="51">
        <v>1500000</v>
      </c>
      <c r="G105" s="51"/>
      <c r="H105" s="51">
        <f>SUMIFS(Tarifas!$AF$7:$AF$320,Tarifas!$AB$7:$AB$320,$A105)*SUMIFS(Mercado!G$9:G$160,Mercado!$A$9:$A$160,$A105)</f>
        <v>0</v>
      </c>
      <c r="I105" s="51">
        <f>SUMIFS(Tarifas!$AF$7:$AF$320,Tarifas!$AB$7:$AB$320,$A105)*SUMIFS(Mercado!H$9:H$160,Mercado!$A$9:$A$160,$A105)</f>
        <v>0</v>
      </c>
      <c r="J105" s="51">
        <f>SUMIFS(Tarifas!$AF$7:$AF$320,Tarifas!$AB$7:$AB$320,$A105)*SUMIFS(Mercado!I$9:I$160,Mercado!$A$9:$A$160,$A105)</f>
        <v>0</v>
      </c>
      <c r="K105" s="51">
        <f>SUMIFS(Tarifas!$AF$7:$AF$320,Tarifas!$AB$7:$AB$320,$A105)*SUMIFS(Mercado!J$9:J$160,Mercado!$A$9:$A$160,$A105)</f>
        <v>0</v>
      </c>
      <c r="L105" s="51">
        <f>SUMIFS(Tarifas!$AF$7:$AF$320,Tarifas!$AB$7:$AB$320,$A105)*SUMIFS(Mercado!K$9:K$160,Mercado!$A$9:$A$160,$A105)</f>
        <v>0</v>
      </c>
      <c r="N105" s="55">
        <f t="shared" si="11"/>
        <v>0</v>
      </c>
      <c r="O105" s="55">
        <f t="shared" si="6"/>
        <v>0</v>
      </c>
      <c r="P105" s="55">
        <f t="shared" si="7"/>
        <v>0</v>
      </c>
      <c r="Q105" s="55">
        <f t="shared" si="8"/>
        <v>0</v>
      </c>
      <c r="R105" s="55">
        <f t="shared" si="9"/>
        <v>0</v>
      </c>
      <c r="S105" s="55">
        <f t="shared" si="10"/>
        <v>0</v>
      </c>
      <c r="U105" s="51">
        <f>NPV(Inputs!$C$6,'Vendas ajustada'!O105:R105)+(S105*Inputs!$C$11)/(1+Inputs!$C$6)^(4.55)</f>
        <v>0</v>
      </c>
    </row>
    <row r="106" spans="1:21">
      <c r="A106" s="192" t="s">
        <v>4843</v>
      </c>
      <c r="B106" s="50" t="s">
        <v>4835</v>
      </c>
      <c r="C106" s="50">
        <v>9</v>
      </c>
      <c r="D106" s="51">
        <v>1500001</v>
      </c>
      <c r="E106" s="51">
        <v>3000000</v>
      </c>
      <c r="G106" s="51"/>
      <c r="H106" s="51">
        <f>SUMIFS(Tarifas!$AF$7:$AF$320,Tarifas!$AB$7:$AB$320,$A106)*SUMIFS(Mercado!G$9:G$160,Mercado!$A$9:$A$160,$A106)</f>
        <v>0</v>
      </c>
      <c r="I106" s="51">
        <f>SUMIFS(Tarifas!$AF$7:$AF$320,Tarifas!$AB$7:$AB$320,$A106)*SUMIFS(Mercado!H$9:H$160,Mercado!$A$9:$A$160,$A106)</f>
        <v>0</v>
      </c>
      <c r="J106" s="51">
        <f>SUMIFS(Tarifas!$AF$7:$AF$320,Tarifas!$AB$7:$AB$320,$A106)*SUMIFS(Mercado!I$9:I$160,Mercado!$A$9:$A$160,$A106)</f>
        <v>0</v>
      </c>
      <c r="K106" s="51">
        <f>SUMIFS(Tarifas!$AF$7:$AF$320,Tarifas!$AB$7:$AB$320,$A106)*SUMIFS(Mercado!J$9:J$160,Mercado!$A$9:$A$160,$A106)</f>
        <v>0</v>
      </c>
      <c r="L106" s="51">
        <f>SUMIFS(Tarifas!$AF$7:$AF$320,Tarifas!$AB$7:$AB$320,$A106)*SUMIFS(Mercado!K$9:K$160,Mercado!$A$9:$A$160,$A106)</f>
        <v>0</v>
      </c>
      <c r="N106" s="55">
        <f t="shared" si="11"/>
        <v>0</v>
      </c>
      <c r="O106" s="55">
        <f t="shared" si="6"/>
        <v>0</v>
      </c>
      <c r="P106" s="55">
        <f t="shared" si="7"/>
        <v>0</v>
      </c>
      <c r="Q106" s="55">
        <f t="shared" si="8"/>
        <v>0</v>
      </c>
      <c r="R106" s="55">
        <f t="shared" si="9"/>
        <v>0</v>
      </c>
      <c r="S106" s="55">
        <f t="shared" si="10"/>
        <v>0</v>
      </c>
      <c r="U106" s="51">
        <f>NPV(Inputs!$C$6,'Vendas ajustada'!O106:R106)+(S106*Inputs!$C$11)/(1+Inputs!$C$6)^(4.55)</f>
        <v>0</v>
      </c>
    </row>
    <row r="107" spans="1:21">
      <c r="A107" s="192" t="s">
        <v>4844</v>
      </c>
      <c r="B107" s="50" t="s">
        <v>4835</v>
      </c>
      <c r="C107" s="50">
        <v>10</v>
      </c>
      <c r="D107" s="51">
        <v>3000001</v>
      </c>
      <c r="E107" s="51">
        <v>999999999</v>
      </c>
      <c r="G107" s="51"/>
      <c r="H107" s="51">
        <f>SUMIFS(Tarifas!$AF$7:$AF$320,Tarifas!$AB$7:$AB$320,$A107)*SUMIFS(Mercado!G$9:G$160,Mercado!$A$9:$A$160,$A107)</f>
        <v>0</v>
      </c>
      <c r="I107" s="51">
        <f>SUMIFS(Tarifas!$AF$7:$AF$320,Tarifas!$AB$7:$AB$320,$A107)*SUMIFS(Mercado!H$9:H$160,Mercado!$A$9:$A$160,$A107)</f>
        <v>0</v>
      </c>
      <c r="J107" s="51">
        <f>SUMIFS(Tarifas!$AF$7:$AF$320,Tarifas!$AB$7:$AB$320,$A107)*SUMIFS(Mercado!I$9:I$160,Mercado!$A$9:$A$160,$A107)</f>
        <v>0</v>
      </c>
      <c r="K107" s="51">
        <f>SUMIFS(Tarifas!$AF$7:$AF$320,Tarifas!$AB$7:$AB$320,$A107)*SUMIFS(Mercado!J$9:J$160,Mercado!$A$9:$A$160,$A107)</f>
        <v>0</v>
      </c>
      <c r="L107" s="51">
        <f>SUMIFS(Tarifas!$AF$7:$AF$320,Tarifas!$AB$7:$AB$320,$A107)*SUMIFS(Mercado!K$9:K$160,Mercado!$A$9:$A$160,$A107)</f>
        <v>0</v>
      </c>
      <c r="N107" s="55">
        <f t="shared" si="11"/>
        <v>0</v>
      </c>
      <c r="O107" s="55">
        <f t="shared" si="6"/>
        <v>0</v>
      </c>
      <c r="P107" s="55">
        <f t="shared" si="7"/>
        <v>0</v>
      </c>
      <c r="Q107" s="55">
        <f t="shared" si="8"/>
        <v>0</v>
      </c>
      <c r="R107" s="55">
        <f t="shared" si="9"/>
        <v>0</v>
      </c>
      <c r="S107" s="55">
        <f t="shared" si="10"/>
        <v>0</v>
      </c>
      <c r="U107" s="51">
        <f>NPV(Inputs!$C$6,'Vendas ajustada'!O107:R107)+(S107*Inputs!$C$11)/(1+Inputs!$C$6)^(4.55)</f>
        <v>0</v>
      </c>
    </row>
    <row r="108" spans="1:21">
      <c r="A108" s="192"/>
      <c r="D108" s="51"/>
      <c r="E108" s="51"/>
      <c r="G108" s="51"/>
      <c r="H108" s="51">
        <f>SUMIFS(Tarifas!$AF$7:$AF$320,Tarifas!$AB$7:$AB$320,$A108)*SUMIFS(Mercado!G$9:G$160,Mercado!$A$9:$A$160,$A108)</f>
        <v>0</v>
      </c>
      <c r="I108" s="51">
        <f>SUMIFS(Tarifas!$AF$7:$AF$320,Tarifas!$AB$7:$AB$320,$A108)*SUMIFS(Mercado!H$9:H$160,Mercado!$A$9:$A$160,$A108)</f>
        <v>0</v>
      </c>
      <c r="J108" s="51">
        <f>SUMIFS(Tarifas!$AF$7:$AF$320,Tarifas!$AB$7:$AB$320,$A108)*SUMIFS(Mercado!I$9:I$160,Mercado!$A$9:$A$160,$A108)</f>
        <v>0</v>
      </c>
      <c r="K108" s="51">
        <f>SUMIFS(Tarifas!$AF$7:$AF$320,Tarifas!$AB$7:$AB$320,$A108)*SUMIFS(Mercado!J$9:J$160,Mercado!$A$9:$A$160,$A108)</f>
        <v>0</v>
      </c>
      <c r="L108" s="51">
        <f>SUMIFS(Tarifas!$AF$7:$AF$320,Tarifas!$AB$7:$AB$320,$A108)*SUMIFS(Mercado!K$9:K$160,Mercado!$A$9:$A$160,$A108)</f>
        <v>0</v>
      </c>
      <c r="N108" s="55">
        <f t="shared" si="11"/>
        <v>0</v>
      </c>
      <c r="O108" s="55">
        <f t="shared" si="6"/>
        <v>0</v>
      </c>
      <c r="P108" s="55">
        <f t="shared" si="7"/>
        <v>0</v>
      </c>
      <c r="Q108" s="55">
        <f t="shared" si="8"/>
        <v>0</v>
      </c>
      <c r="R108" s="55">
        <f t="shared" si="9"/>
        <v>0</v>
      </c>
      <c r="S108" s="55">
        <f t="shared" si="10"/>
        <v>0</v>
      </c>
      <c r="U108" s="51">
        <f>NPV(Inputs!$C$6,'Vendas ajustada'!O108:R108)+(S108*Inputs!$C$11)/(1+Inputs!$C$6)^(4.55)</f>
        <v>0</v>
      </c>
    </row>
    <row r="109" spans="1:21">
      <c r="A109" s="192" t="s">
        <v>4845</v>
      </c>
      <c r="B109" s="50" t="s">
        <v>108</v>
      </c>
      <c r="C109" s="50">
        <v>1</v>
      </c>
      <c r="D109" s="51">
        <v>0</v>
      </c>
      <c r="E109" s="51">
        <v>200</v>
      </c>
      <c r="G109" s="51"/>
      <c r="H109" s="51">
        <f>SUMIFS(Tarifas!$AF$7:$AF$320,Tarifas!$AB$7:$AB$320,$A109)*SUMIFS(Mercado!G$9:G$160,Mercado!$A$9:$A$160,$A109)</f>
        <v>0</v>
      </c>
      <c r="I109" s="51">
        <f>SUMIFS(Tarifas!$AF$7:$AF$320,Tarifas!$AB$7:$AB$320,$A109)*SUMIFS(Mercado!H$9:H$160,Mercado!$A$9:$A$160,$A109)</f>
        <v>0</v>
      </c>
      <c r="J109" s="51">
        <f>SUMIFS(Tarifas!$AF$7:$AF$320,Tarifas!$AB$7:$AB$320,$A109)*SUMIFS(Mercado!I$9:I$160,Mercado!$A$9:$A$160,$A109)</f>
        <v>0</v>
      </c>
      <c r="K109" s="51">
        <f>SUMIFS(Tarifas!$AF$7:$AF$320,Tarifas!$AB$7:$AB$320,$A109)*SUMIFS(Mercado!J$9:J$160,Mercado!$A$9:$A$160,$A109)</f>
        <v>0</v>
      </c>
      <c r="L109" s="51">
        <f>SUMIFS(Tarifas!$AF$7:$AF$320,Tarifas!$AB$7:$AB$320,$A109)*SUMIFS(Mercado!K$9:K$160,Mercado!$A$9:$A$160,$A109)</f>
        <v>0</v>
      </c>
      <c r="N109" s="55">
        <f t="shared" si="11"/>
        <v>0</v>
      </c>
      <c r="O109" s="55">
        <f t="shared" si="6"/>
        <v>0</v>
      </c>
      <c r="P109" s="55">
        <f t="shared" si="7"/>
        <v>0</v>
      </c>
      <c r="Q109" s="55">
        <f t="shared" si="8"/>
        <v>0</v>
      </c>
      <c r="R109" s="55">
        <f t="shared" si="9"/>
        <v>0</v>
      </c>
      <c r="S109" s="55">
        <f t="shared" si="10"/>
        <v>0</v>
      </c>
      <c r="U109" s="51">
        <f>NPV(Inputs!$C$6,'Vendas ajustada'!O109:R109)+(S109*Inputs!$C$11)/(1+Inputs!$C$6)^(4.55)</f>
        <v>0</v>
      </c>
    </row>
    <row r="110" spans="1:21">
      <c r="A110" s="192" t="s">
        <v>4846</v>
      </c>
      <c r="B110" s="50" t="s">
        <v>108</v>
      </c>
      <c r="C110" s="50">
        <v>2</v>
      </c>
      <c r="D110" s="51">
        <v>201</v>
      </c>
      <c r="E110" s="51">
        <v>2000</v>
      </c>
      <c r="G110" s="51"/>
      <c r="H110" s="51">
        <f>SUMIFS(Tarifas!$AF$7:$AF$320,Tarifas!$AB$7:$AB$320,$A110)*SUMIFS(Mercado!G$9:G$160,Mercado!$A$9:$A$160,$A110)</f>
        <v>0</v>
      </c>
      <c r="I110" s="51">
        <f>SUMIFS(Tarifas!$AF$7:$AF$320,Tarifas!$AB$7:$AB$320,$A110)*SUMIFS(Mercado!H$9:H$160,Mercado!$A$9:$A$160,$A110)</f>
        <v>0</v>
      </c>
      <c r="J110" s="51">
        <f>SUMIFS(Tarifas!$AF$7:$AF$320,Tarifas!$AB$7:$AB$320,$A110)*SUMIFS(Mercado!I$9:I$160,Mercado!$A$9:$A$160,$A110)</f>
        <v>0</v>
      </c>
      <c r="K110" s="51">
        <f>SUMIFS(Tarifas!$AF$7:$AF$320,Tarifas!$AB$7:$AB$320,$A110)*SUMIFS(Mercado!J$9:J$160,Mercado!$A$9:$A$160,$A110)</f>
        <v>0</v>
      </c>
      <c r="L110" s="51">
        <f>SUMIFS(Tarifas!$AF$7:$AF$320,Tarifas!$AB$7:$AB$320,$A110)*SUMIFS(Mercado!K$9:K$160,Mercado!$A$9:$A$160,$A110)</f>
        <v>0</v>
      </c>
      <c r="N110" s="55">
        <f t="shared" si="11"/>
        <v>0</v>
      </c>
      <c r="O110" s="55">
        <f t="shared" si="6"/>
        <v>0</v>
      </c>
      <c r="P110" s="55">
        <f t="shared" si="7"/>
        <v>0</v>
      </c>
      <c r="Q110" s="55">
        <f t="shared" si="8"/>
        <v>0</v>
      </c>
      <c r="R110" s="55">
        <f t="shared" si="9"/>
        <v>0</v>
      </c>
      <c r="S110" s="55">
        <f t="shared" si="10"/>
        <v>0</v>
      </c>
      <c r="U110" s="51">
        <f>NPV(Inputs!$C$6,'Vendas ajustada'!O110:R110)+(S110*Inputs!$C$11)/(1+Inputs!$C$6)^(4.55)</f>
        <v>0</v>
      </c>
    </row>
    <row r="111" spans="1:21">
      <c r="A111" s="192" t="s">
        <v>4847</v>
      </c>
      <c r="B111" s="50" t="s">
        <v>108</v>
      </c>
      <c r="C111" s="50">
        <v>3</v>
      </c>
      <c r="D111" s="51">
        <v>2001</v>
      </c>
      <c r="E111" s="51">
        <v>10000</v>
      </c>
      <c r="G111" s="51"/>
      <c r="H111" s="51">
        <f>SUMIFS(Tarifas!$AF$7:$AF$320,Tarifas!$AB$7:$AB$320,$A111)*SUMIFS(Mercado!G$9:G$160,Mercado!$A$9:$A$160,$A111)</f>
        <v>0</v>
      </c>
      <c r="I111" s="51">
        <f>SUMIFS(Tarifas!$AF$7:$AF$320,Tarifas!$AB$7:$AB$320,$A111)*SUMIFS(Mercado!H$9:H$160,Mercado!$A$9:$A$160,$A111)</f>
        <v>0</v>
      </c>
      <c r="J111" s="51">
        <f>SUMIFS(Tarifas!$AF$7:$AF$320,Tarifas!$AB$7:$AB$320,$A111)*SUMIFS(Mercado!I$9:I$160,Mercado!$A$9:$A$160,$A111)</f>
        <v>0</v>
      </c>
      <c r="K111" s="51">
        <f>SUMIFS(Tarifas!$AF$7:$AF$320,Tarifas!$AB$7:$AB$320,$A111)*SUMIFS(Mercado!J$9:J$160,Mercado!$A$9:$A$160,$A111)</f>
        <v>0</v>
      </c>
      <c r="L111" s="51">
        <f>SUMIFS(Tarifas!$AF$7:$AF$320,Tarifas!$AB$7:$AB$320,$A111)*SUMIFS(Mercado!K$9:K$160,Mercado!$A$9:$A$160,$A111)</f>
        <v>0</v>
      </c>
      <c r="N111" s="55">
        <f t="shared" si="11"/>
        <v>0</v>
      </c>
      <c r="O111" s="55">
        <f t="shared" si="6"/>
        <v>0</v>
      </c>
      <c r="P111" s="55">
        <f t="shared" si="7"/>
        <v>0</v>
      </c>
      <c r="Q111" s="55">
        <f t="shared" si="8"/>
        <v>0</v>
      </c>
      <c r="R111" s="55">
        <f t="shared" si="9"/>
        <v>0</v>
      </c>
      <c r="S111" s="55">
        <f t="shared" si="10"/>
        <v>0</v>
      </c>
      <c r="U111" s="51">
        <f>NPV(Inputs!$C$6,'Vendas ajustada'!O111:R111)+(S111*Inputs!$C$11)/(1+Inputs!$C$6)^(4.55)</f>
        <v>0</v>
      </c>
    </row>
    <row r="112" spans="1:21">
      <c r="A112" s="192" t="s">
        <v>4848</v>
      </c>
      <c r="B112" s="50" t="s">
        <v>108</v>
      </c>
      <c r="C112" s="50">
        <v>4</v>
      </c>
      <c r="D112" s="51">
        <v>10001</v>
      </c>
      <c r="E112" s="51">
        <v>50000</v>
      </c>
      <c r="G112" s="51"/>
      <c r="H112" s="51">
        <f>SUMIFS(Tarifas!$AF$7:$AF$320,Tarifas!$AB$7:$AB$320,$A112)*SUMIFS(Mercado!G$9:G$160,Mercado!$A$9:$A$160,$A112)</f>
        <v>0</v>
      </c>
      <c r="I112" s="51">
        <f>SUMIFS(Tarifas!$AF$7:$AF$320,Tarifas!$AB$7:$AB$320,$A112)*SUMIFS(Mercado!H$9:H$160,Mercado!$A$9:$A$160,$A112)</f>
        <v>0</v>
      </c>
      <c r="J112" s="51">
        <f>SUMIFS(Tarifas!$AF$7:$AF$320,Tarifas!$AB$7:$AB$320,$A112)*SUMIFS(Mercado!I$9:I$160,Mercado!$A$9:$A$160,$A112)</f>
        <v>0</v>
      </c>
      <c r="K112" s="51">
        <f>SUMIFS(Tarifas!$AF$7:$AF$320,Tarifas!$AB$7:$AB$320,$A112)*SUMIFS(Mercado!J$9:J$160,Mercado!$A$9:$A$160,$A112)</f>
        <v>0</v>
      </c>
      <c r="L112" s="51">
        <f>SUMIFS(Tarifas!$AF$7:$AF$320,Tarifas!$AB$7:$AB$320,$A112)*SUMIFS(Mercado!K$9:K$160,Mercado!$A$9:$A$160,$A112)</f>
        <v>0</v>
      </c>
      <c r="N112" s="55">
        <f t="shared" si="11"/>
        <v>0</v>
      </c>
      <c r="O112" s="55">
        <f t="shared" si="6"/>
        <v>0</v>
      </c>
      <c r="P112" s="55">
        <f t="shared" si="7"/>
        <v>0</v>
      </c>
      <c r="Q112" s="55">
        <f t="shared" si="8"/>
        <v>0</v>
      </c>
      <c r="R112" s="55">
        <f t="shared" si="9"/>
        <v>0</v>
      </c>
      <c r="S112" s="55">
        <f t="shared" si="10"/>
        <v>0</v>
      </c>
      <c r="U112" s="51">
        <f>NPV(Inputs!$C$6,'Vendas ajustada'!O112:R112)+(S112*Inputs!$C$11)/(1+Inputs!$C$6)^(4.55)</f>
        <v>0</v>
      </c>
    </row>
    <row r="113" spans="1:21">
      <c r="A113" s="192" t="s">
        <v>4849</v>
      </c>
      <c r="B113" s="50" t="s">
        <v>108</v>
      </c>
      <c r="C113" s="50">
        <v>5</v>
      </c>
      <c r="D113" s="51">
        <v>50001</v>
      </c>
      <c r="E113" s="51">
        <v>100000</v>
      </c>
      <c r="G113" s="51"/>
      <c r="H113" s="51">
        <f>SUMIFS(Tarifas!$AF$7:$AF$320,Tarifas!$AB$7:$AB$320,$A113)*SUMIFS(Mercado!G$9:G$160,Mercado!$A$9:$A$160,$A113)</f>
        <v>0</v>
      </c>
      <c r="I113" s="51">
        <f>SUMIFS(Tarifas!$AF$7:$AF$320,Tarifas!$AB$7:$AB$320,$A113)*SUMIFS(Mercado!H$9:H$160,Mercado!$A$9:$A$160,$A113)</f>
        <v>0</v>
      </c>
      <c r="J113" s="51">
        <f>SUMIFS(Tarifas!$AF$7:$AF$320,Tarifas!$AB$7:$AB$320,$A113)*SUMIFS(Mercado!I$9:I$160,Mercado!$A$9:$A$160,$A113)</f>
        <v>0</v>
      </c>
      <c r="K113" s="51">
        <f>SUMIFS(Tarifas!$AF$7:$AF$320,Tarifas!$AB$7:$AB$320,$A113)*SUMIFS(Mercado!J$9:J$160,Mercado!$A$9:$A$160,$A113)</f>
        <v>0</v>
      </c>
      <c r="L113" s="51">
        <f>SUMIFS(Tarifas!$AF$7:$AF$320,Tarifas!$AB$7:$AB$320,$A113)*SUMIFS(Mercado!K$9:K$160,Mercado!$A$9:$A$160,$A113)</f>
        <v>0</v>
      </c>
      <c r="N113" s="55">
        <f t="shared" si="11"/>
        <v>0</v>
      </c>
      <c r="O113" s="55">
        <f t="shared" si="6"/>
        <v>0</v>
      </c>
      <c r="P113" s="55">
        <f t="shared" si="7"/>
        <v>0</v>
      </c>
      <c r="Q113" s="55">
        <f t="shared" si="8"/>
        <v>0</v>
      </c>
      <c r="R113" s="55">
        <f t="shared" si="9"/>
        <v>0</v>
      </c>
      <c r="S113" s="55">
        <f t="shared" si="10"/>
        <v>0</v>
      </c>
      <c r="U113" s="51">
        <f>NPV(Inputs!$C$6,'Vendas ajustada'!O113:R113)+(S113*Inputs!$C$11)/(1+Inputs!$C$6)^(4.55)</f>
        <v>0</v>
      </c>
    </row>
    <row r="114" spans="1:21">
      <c r="A114" s="192" t="s">
        <v>4850</v>
      </c>
      <c r="B114" s="50" t="s">
        <v>108</v>
      </c>
      <c r="C114" s="50">
        <v>6</v>
      </c>
      <c r="D114" s="51">
        <v>100001</v>
      </c>
      <c r="E114" s="51">
        <v>999999999</v>
      </c>
      <c r="G114" s="51"/>
      <c r="H114" s="51">
        <f>SUMIFS(Tarifas!$AF$7:$AF$320,Tarifas!$AB$7:$AB$320,$A114)*SUMIFS(Mercado!G$9:G$160,Mercado!$A$9:$A$160,$A114)</f>
        <v>0</v>
      </c>
      <c r="I114" s="51">
        <f>SUMIFS(Tarifas!$AF$7:$AF$320,Tarifas!$AB$7:$AB$320,$A114)*SUMIFS(Mercado!H$9:H$160,Mercado!$A$9:$A$160,$A114)</f>
        <v>0</v>
      </c>
      <c r="J114" s="51">
        <f>SUMIFS(Tarifas!$AF$7:$AF$320,Tarifas!$AB$7:$AB$320,$A114)*SUMIFS(Mercado!I$9:I$160,Mercado!$A$9:$A$160,$A114)</f>
        <v>0</v>
      </c>
      <c r="K114" s="51">
        <f>SUMIFS(Tarifas!$AF$7:$AF$320,Tarifas!$AB$7:$AB$320,$A114)*SUMIFS(Mercado!J$9:J$160,Mercado!$A$9:$A$160,$A114)</f>
        <v>0</v>
      </c>
      <c r="L114" s="51">
        <f>SUMIFS(Tarifas!$AF$7:$AF$320,Tarifas!$AB$7:$AB$320,$A114)*SUMIFS(Mercado!K$9:K$160,Mercado!$A$9:$A$160,$A114)</f>
        <v>0</v>
      </c>
      <c r="N114" s="55">
        <f t="shared" si="11"/>
        <v>0</v>
      </c>
      <c r="O114" s="55">
        <f t="shared" si="6"/>
        <v>0</v>
      </c>
      <c r="P114" s="55">
        <f t="shared" si="7"/>
        <v>0</v>
      </c>
      <c r="Q114" s="55">
        <f t="shared" si="8"/>
        <v>0</v>
      </c>
      <c r="R114" s="55">
        <f t="shared" si="9"/>
        <v>0</v>
      </c>
      <c r="S114" s="55">
        <f t="shared" si="10"/>
        <v>0</v>
      </c>
      <c r="U114" s="51">
        <f>NPV(Inputs!$C$6,'Vendas ajustada'!O114:R114)+(S114*Inputs!$C$11)/(1+Inputs!$C$6)^(4.55)</f>
        <v>0</v>
      </c>
    </row>
    <row r="115" spans="1:21">
      <c r="A115" s="192"/>
      <c r="D115" s="51"/>
      <c r="E115" s="51"/>
      <c r="G115" s="51"/>
      <c r="H115" s="51">
        <f>SUMIFS(Tarifas!$AF$7:$AF$320,Tarifas!$AB$7:$AB$320,$A115)*SUMIFS(Mercado!G$9:G$160,Mercado!$A$9:$A$160,$A115)</f>
        <v>0</v>
      </c>
      <c r="I115" s="51">
        <f>SUMIFS(Tarifas!$AF$7:$AF$320,Tarifas!$AB$7:$AB$320,$A115)*SUMIFS(Mercado!H$9:H$160,Mercado!$A$9:$A$160,$A115)</f>
        <v>0</v>
      </c>
      <c r="J115" s="51">
        <f>SUMIFS(Tarifas!$AF$7:$AF$320,Tarifas!$AB$7:$AB$320,$A115)*SUMIFS(Mercado!I$9:I$160,Mercado!$A$9:$A$160,$A115)</f>
        <v>0</v>
      </c>
      <c r="K115" s="51">
        <f>SUMIFS(Tarifas!$AF$7:$AF$320,Tarifas!$AB$7:$AB$320,$A115)*SUMIFS(Mercado!J$9:J$160,Mercado!$A$9:$A$160,$A115)</f>
        <v>0</v>
      </c>
      <c r="L115" s="51">
        <f>SUMIFS(Tarifas!$AF$7:$AF$320,Tarifas!$AB$7:$AB$320,$A115)*SUMIFS(Mercado!K$9:K$160,Mercado!$A$9:$A$160,$A115)</f>
        <v>0</v>
      </c>
      <c r="N115" s="55">
        <f t="shared" si="11"/>
        <v>0</v>
      </c>
      <c r="O115" s="55">
        <f t="shared" si="6"/>
        <v>0</v>
      </c>
      <c r="P115" s="55">
        <f t="shared" si="7"/>
        <v>0</v>
      </c>
      <c r="Q115" s="55">
        <f t="shared" si="8"/>
        <v>0</v>
      </c>
      <c r="R115" s="55">
        <f t="shared" si="9"/>
        <v>0</v>
      </c>
      <c r="S115" s="55">
        <f t="shared" si="10"/>
        <v>0</v>
      </c>
      <c r="U115" s="51">
        <f>NPV(Inputs!$C$6,'Vendas ajustada'!O115:R115)+(S115*Inputs!$C$11)/(1+Inputs!$C$6)^(4.55)</f>
        <v>0</v>
      </c>
    </row>
    <row r="116" spans="1:21">
      <c r="A116" s="192" t="s">
        <v>4851</v>
      </c>
      <c r="B116" s="50" t="s">
        <v>109</v>
      </c>
      <c r="C116" s="50">
        <v>1</v>
      </c>
      <c r="D116" s="51">
        <v>0</v>
      </c>
      <c r="E116" s="51">
        <v>200</v>
      </c>
      <c r="G116" s="51"/>
      <c r="H116" s="51">
        <f>SUMIFS(Tarifas!$AF$7:$AF$320,Tarifas!$AB$7:$AB$320,$A116)*SUMIFS(Mercado!G$9:G$160,Mercado!$A$9:$A$160,$A116)</f>
        <v>0</v>
      </c>
      <c r="I116" s="51">
        <f>SUMIFS(Tarifas!$AF$7:$AF$320,Tarifas!$AB$7:$AB$320,$A116)*SUMIFS(Mercado!H$9:H$160,Mercado!$A$9:$A$160,$A116)</f>
        <v>0</v>
      </c>
      <c r="J116" s="51">
        <f>SUMIFS(Tarifas!$AF$7:$AF$320,Tarifas!$AB$7:$AB$320,$A116)*SUMIFS(Mercado!I$9:I$160,Mercado!$A$9:$A$160,$A116)</f>
        <v>0</v>
      </c>
      <c r="K116" s="51">
        <f>SUMIFS(Tarifas!$AF$7:$AF$320,Tarifas!$AB$7:$AB$320,$A116)*SUMIFS(Mercado!J$9:J$160,Mercado!$A$9:$A$160,$A116)</f>
        <v>0</v>
      </c>
      <c r="L116" s="51">
        <f>SUMIFS(Tarifas!$AF$7:$AF$320,Tarifas!$AB$7:$AB$320,$A116)*SUMIFS(Mercado!K$9:K$160,Mercado!$A$9:$A$160,$A116)</f>
        <v>0</v>
      </c>
      <c r="N116" s="55">
        <f t="shared" si="11"/>
        <v>0</v>
      </c>
      <c r="O116" s="55">
        <f t="shared" si="6"/>
        <v>0</v>
      </c>
      <c r="P116" s="55">
        <f t="shared" si="7"/>
        <v>0</v>
      </c>
      <c r="Q116" s="55">
        <f t="shared" si="8"/>
        <v>0</v>
      </c>
      <c r="R116" s="55">
        <f t="shared" si="9"/>
        <v>0</v>
      </c>
      <c r="S116" s="55">
        <f t="shared" si="10"/>
        <v>0</v>
      </c>
      <c r="U116" s="51">
        <f>NPV(Inputs!$C$6,'Vendas ajustada'!O116:R116)+(S116*Inputs!$C$11)/(1+Inputs!$C$6)^(4.55)</f>
        <v>0</v>
      </c>
    </row>
    <row r="117" spans="1:21">
      <c r="A117" s="192" t="s">
        <v>4852</v>
      </c>
      <c r="B117" s="50" t="s">
        <v>109</v>
      </c>
      <c r="C117" s="50">
        <v>2</v>
      </c>
      <c r="D117" s="51">
        <v>201</v>
      </c>
      <c r="E117" s="51">
        <v>2000</v>
      </c>
      <c r="G117" s="51"/>
      <c r="H117" s="51">
        <f>SUMIFS(Tarifas!$AF$7:$AF$320,Tarifas!$AB$7:$AB$320,$A117)*SUMIFS(Mercado!G$9:G$160,Mercado!$A$9:$A$160,$A117)</f>
        <v>0</v>
      </c>
      <c r="I117" s="51">
        <f>SUMIFS(Tarifas!$AF$7:$AF$320,Tarifas!$AB$7:$AB$320,$A117)*SUMIFS(Mercado!H$9:H$160,Mercado!$A$9:$A$160,$A117)</f>
        <v>0</v>
      </c>
      <c r="J117" s="51">
        <f>SUMIFS(Tarifas!$AF$7:$AF$320,Tarifas!$AB$7:$AB$320,$A117)*SUMIFS(Mercado!I$9:I$160,Mercado!$A$9:$A$160,$A117)</f>
        <v>0</v>
      </c>
      <c r="K117" s="51">
        <f>SUMIFS(Tarifas!$AF$7:$AF$320,Tarifas!$AB$7:$AB$320,$A117)*SUMIFS(Mercado!J$9:J$160,Mercado!$A$9:$A$160,$A117)</f>
        <v>0</v>
      </c>
      <c r="L117" s="51">
        <f>SUMIFS(Tarifas!$AF$7:$AF$320,Tarifas!$AB$7:$AB$320,$A117)*SUMIFS(Mercado!K$9:K$160,Mercado!$A$9:$A$160,$A117)</f>
        <v>0</v>
      </c>
      <c r="N117" s="55">
        <f t="shared" si="11"/>
        <v>0</v>
      </c>
      <c r="O117" s="55">
        <f t="shared" si="6"/>
        <v>0</v>
      </c>
      <c r="P117" s="55">
        <f t="shared" si="7"/>
        <v>0</v>
      </c>
      <c r="Q117" s="55">
        <f t="shared" si="8"/>
        <v>0</v>
      </c>
      <c r="R117" s="55">
        <f t="shared" si="9"/>
        <v>0</v>
      </c>
      <c r="S117" s="55">
        <f t="shared" si="10"/>
        <v>0</v>
      </c>
      <c r="U117" s="51">
        <f>NPV(Inputs!$C$6,'Vendas ajustada'!O117:R117)+(S117*Inputs!$C$11)/(1+Inputs!$C$6)^(4.55)</f>
        <v>0</v>
      </c>
    </row>
    <row r="118" spans="1:21">
      <c r="A118" s="192" t="s">
        <v>4853</v>
      </c>
      <c r="B118" s="50" t="s">
        <v>109</v>
      </c>
      <c r="C118" s="50">
        <v>3</v>
      </c>
      <c r="D118" s="51">
        <v>2001</v>
      </c>
      <c r="E118" s="51">
        <v>10000</v>
      </c>
      <c r="G118" s="51"/>
      <c r="H118" s="51">
        <f>SUMIFS(Tarifas!$AF$7:$AF$320,Tarifas!$AB$7:$AB$320,$A118)*SUMIFS(Mercado!G$9:G$160,Mercado!$A$9:$A$160,$A118)</f>
        <v>0</v>
      </c>
      <c r="I118" s="51">
        <f>SUMIFS(Tarifas!$AF$7:$AF$320,Tarifas!$AB$7:$AB$320,$A118)*SUMIFS(Mercado!H$9:H$160,Mercado!$A$9:$A$160,$A118)</f>
        <v>0</v>
      </c>
      <c r="J118" s="51">
        <f>SUMIFS(Tarifas!$AF$7:$AF$320,Tarifas!$AB$7:$AB$320,$A118)*SUMIFS(Mercado!I$9:I$160,Mercado!$A$9:$A$160,$A118)</f>
        <v>0</v>
      </c>
      <c r="K118" s="51">
        <f>SUMIFS(Tarifas!$AF$7:$AF$320,Tarifas!$AB$7:$AB$320,$A118)*SUMIFS(Mercado!J$9:J$160,Mercado!$A$9:$A$160,$A118)</f>
        <v>0</v>
      </c>
      <c r="L118" s="51">
        <f>SUMIFS(Tarifas!$AF$7:$AF$320,Tarifas!$AB$7:$AB$320,$A118)*SUMIFS(Mercado!K$9:K$160,Mercado!$A$9:$A$160,$A118)</f>
        <v>0</v>
      </c>
      <c r="N118" s="55">
        <f t="shared" si="11"/>
        <v>0</v>
      </c>
      <c r="O118" s="55">
        <f t="shared" si="6"/>
        <v>0</v>
      </c>
      <c r="P118" s="55">
        <f t="shared" si="7"/>
        <v>0</v>
      </c>
      <c r="Q118" s="55">
        <f t="shared" si="8"/>
        <v>0</v>
      </c>
      <c r="R118" s="55">
        <f t="shared" si="9"/>
        <v>0</v>
      </c>
      <c r="S118" s="55">
        <f t="shared" si="10"/>
        <v>0</v>
      </c>
      <c r="U118" s="51">
        <f>NPV(Inputs!$C$6,'Vendas ajustada'!O118:R118)+(S118*Inputs!$C$11)/(1+Inputs!$C$6)^(4.55)</f>
        <v>0</v>
      </c>
    </row>
    <row r="119" spans="1:21">
      <c r="A119" s="192" t="s">
        <v>4854</v>
      </c>
      <c r="B119" s="50" t="s">
        <v>109</v>
      </c>
      <c r="C119" s="50">
        <v>4</v>
      </c>
      <c r="D119" s="51">
        <v>10001</v>
      </c>
      <c r="E119" s="51">
        <v>50000</v>
      </c>
      <c r="G119" s="51"/>
      <c r="H119" s="51">
        <f>SUMIFS(Tarifas!$AF$7:$AF$320,Tarifas!$AB$7:$AB$320,$A119)*SUMIFS(Mercado!G$9:G$160,Mercado!$A$9:$A$160,$A119)</f>
        <v>0</v>
      </c>
      <c r="I119" s="51">
        <f>SUMIFS(Tarifas!$AF$7:$AF$320,Tarifas!$AB$7:$AB$320,$A119)*SUMIFS(Mercado!H$9:H$160,Mercado!$A$9:$A$160,$A119)</f>
        <v>0</v>
      </c>
      <c r="J119" s="51">
        <f>SUMIFS(Tarifas!$AF$7:$AF$320,Tarifas!$AB$7:$AB$320,$A119)*SUMIFS(Mercado!I$9:I$160,Mercado!$A$9:$A$160,$A119)</f>
        <v>0</v>
      </c>
      <c r="K119" s="51">
        <f>SUMIFS(Tarifas!$AF$7:$AF$320,Tarifas!$AB$7:$AB$320,$A119)*SUMIFS(Mercado!J$9:J$160,Mercado!$A$9:$A$160,$A119)</f>
        <v>0</v>
      </c>
      <c r="L119" s="51">
        <f>SUMIFS(Tarifas!$AF$7:$AF$320,Tarifas!$AB$7:$AB$320,$A119)*SUMIFS(Mercado!K$9:K$160,Mercado!$A$9:$A$160,$A119)</f>
        <v>0</v>
      </c>
      <c r="N119" s="55">
        <f t="shared" si="11"/>
        <v>0</v>
      </c>
      <c r="O119" s="55">
        <f t="shared" si="6"/>
        <v>0</v>
      </c>
      <c r="P119" s="55">
        <f t="shared" si="7"/>
        <v>0</v>
      </c>
      <c r="Q119" s="55">
        <f t="shared" si="8"/>
        <v>0</v>
      </c>
      <c r="R119" s="55">
        <f t="shared" si="9"/>
        <v>0</v>
      </c>
      <c r="S119" s="55">
        <f t="shared" si="10"/>
        <v>0</v>
      </c>
      <c r="U119" s="51">
        <f>NPV(Inputs!$C$6,'Vendas ajustada'!O119:R119)+(S119*Inputs!$C$11)/(1+Inputs!$C$6)^(4.55)</f>
        <v>0</v>
      </c>
    </row>
    <row r="120" spans="1:21">
      <c r="A120" s="192" t="s">
        <v>4855</v>
      </c>
      <c r="B120" s="50" t="s">
        <v>109</v>
      </c>
      <c r="C120" s="50">
        <v>5</v>
      </c>
      <c r="D120" s="51">
        <v>50001</v>
      </c>
      <c r="E120" s="51">
        <v>100000</v>
      </c>
      <c r="G120" s="51"/>
      <c r="H120" s="51">
        <f>SUMIFS(Tarifas!$AF$7:$AF$320,Tarifas!$AB$7:$AB$320,$A120)*SUMIFS(Mercado!G$9:G$160,Mercado!$A$9:$A$160,$A120)</f>
        <v>0</v>
      </c>
      <c r="I120" s="51">
        <f>SUMIFS(Tarifas!$AF$7:$AF$320,Tarifas!$AB$7:$AB$320,$A120)*SUMIFS(Mercado!H$9:H$160,Mercado!$A$9:$A$160,$A120)</f>
        <v>0</v>
      </c>
      <c r="J120" s="51">
        <f>SUMIFS(Tarifas!$AF$7:$AF$320,Tarifas!$AB$7:$AB$320,$A120)*SUMIFS(Mercado!I$9:I$160,Mercado!$A$9:$A$160,$A120)</f>
        <v>0</v>
      </c>
      <c r="K120" s="51">
        <f>SUMIFS(Tarifas!$AF$7:$AF$320,Tarifas!$AB$7:$AB$320,$A120)*SUMIFS(Mercado!J$9:J$160,Mercado!$A$9:$A$160,$A120)</f>
        <v>0</v>
      </c>
      <c r="L120" s="51">
        <f>SUMIFS(Tarifas!$AF$7:$AF$320,Tarifas!$AB$7:$AB$320,$A120)*SUMIFS(Mercado!K$9:K$160,Mercado!$A$9:$A$160,$A120)</f>
        <v>0</v>
      </c>
      <c r="N120" s="55">
        <f t="shared" si="11"/>
        <v>0</v>
      </c>
      <c r="O120" s="55">
        <f t="shared" si="6"/>
        <v>0</v>
      </c>
      <c r="P120" s="55">
        <f t="shared" si="7"/>
        <v>0</v>
      </c>
      <c r="Q120" s="55">
        <f t="shared" si="8"/>
        <v>0</v>
      </c>
      <c r="R120" s="55">
        <f t="shared" si="9"/>
        <v>0</v>
      </c>
      <c r="S120" s="55">
        <f t="shared" si="10"/>
        <v>0</v>
      </c>
      <c r="U120" s="51">
        <f>NPV(Inputs!$C$6,'Vendas ajustada'!O120:R120)+(S120*Inputs!$C$11)/(1+Inputs!$C$6)^(4.55)</f>
        <v>0</v>
      </c>
    </row>
    <row r="121" spans="1:21">
      <c r="A121" s="192" t="s">
        <v>4856</v>
      </c>
      <c r="B121" s="50" t="s">
        <v>109</v>
      </c>
      <c r="C121" s="50">
        <v>6</v>
      </c>
      <c r="D121" s="51">
        <v>100001</v>
      </c>
      <c r="E121" s="51">
        <v>300000</v>
      </c>
      <c r="G121" s="51"/>
      <c r="H121" s="51">
        <f>SUMIFS(Tarifas!$AF$7:$AF$320,Tarifas!$AB$7:$AB$320,$A121)*SUMIFS(Mercado!G$9:G$160,Mercado!$A$9:$A$160,$A121)</f>
        <v>0</v>
      </c>
      <c r="I121" s="51">
        <f>SUMIFS(Tarifas!$AF$7:$AF$320,Tarifas!$AB$7:$AB$320,$A121)*SUMIFS(Mercado!H$9:H$160,Mercado!$A$9:$A$160,$A121)</f>
        <v>0</v>
      </c>
      <c r="J121" s="51">
        <f>SUMIFS(Tarifas!$AF$7:$AF$320,Tarifas!$AB$7:$AB$320,$A121)*SUMIFS(Mercado!I$9:I$160,Mercado!$A$9:$A$160,$A121)</f>
        <v>0</v>
      </c>
      <c r="K121" s="51">
        <f>SUMIFS(Tarifas!$AF$7:$AF$320,Tarifas!$AB$7:$AB$320,$A121)*SUMIFS(Mercado!J$9:J$160,Mercado!$A$9:$A$160,$A121)</f>
        <v>0</v>
      </c>
      <c r="L121" s="51">
        <f>SUMIFS(Tarifas!$AF$7:$AF$320,Tarifas!$AB$7:$AB$320,$A121)*SUMIFS(Mercado!K$9:K$160,Mercado!$A$9:$A$160,$A121)</f>
        <v>0</v>
      </c>
      <c r="N121" s="55">
        <f t="shared" si="11"/>
        <v>0</v>
      </c>
      <c r="O121" s="55">
        <f t="shared" si="6"/>
        <v>0</v>
      </c>
      <c r="P121" s="55">
        <f t="shared" si="7"/>
        <v>0</v>
      </c>
      <c r="Q121" s="55">
        <f t="shared" si="8"/>
        <v>0</v>
      </c>
      <c r="R121" s="55">
        <f t="shared" si="9"/>
        <v>0</v>
      </c>
      <c r="S121" s="55">
        <f t="shared" si="10"/>
        <v>0</v>
      </c>
      <c r="U121" s="51">
        <f>NPV(Inputs!$C$6,'Vendas ajustada'!O121:R121)+(S121*Inputs!$C$11)/(1+Inputs!$C$6)^(4.55)</f>
        <v>0</v>
      </c>
    </row>
    <row r="122" spans="1:21">
      <c r="A122" s="192" t="s">
        <v>4857</v>
      </c>
      <c r="B122" s="50" t="s">
        <v>109</v>
      </c>
      <c r="C122" s="50">
        <v>7</v>
      </c>
      <c r="D122" s="51">
        <v>300001</v>
      </c>
      <c r="E122" s="51">
        <v>600000</v>
      </c>
      <c r="G122" s="51"/>
      <c r="H122" s="51">
        <f>SUMIFS(Tarifas!$AF$7:$AF$320,Tarifas!$AB$7:$AB$320,$A122)*SUMIFS(Mercado!G$9:G$160,Mercado!$A$9:$A$160,$A122)</f>
        <v>0</v>
      </c>
      <c r="I122" s="51">
        <f>SUMIFS(Tarifas!$AF$7:$AF$320,Tarifas!$AB$7:$AB$320,$A122)*SUMIFS(Mercado!H$9:H$160,Mercado!$A$9:$A$160,$A122)</f>
        <v>0</v>
      </c>
      <c r="J122" s="51">
        <f>SUMIFS(Tarifas!$AF$7:$AF$320,Tarifas!$AB$7:$AB$320,$A122)*SUMIFS(Mercado!I$9:I$160,Mercado!$A$9:$A$160,$A122)</f>
        <v>0</v>
      </c>
      <c r="K122" s="51">
        <f>SUMIFS(Tarifas!$AF$7:$AF$320,Tarifas!$AB$7:$AB$320,$A122)*SUMIFS(Mercado!J$9:J$160,Mercado!$A$9:$A$160,$A122)</f>
        <v>0</v>
      </c>
      <c r="L122" s="51">
        <f>SUMIFS(Tarifas!$AF$7:$AF$320,Tarifas!$AB$7:$AB$320,$A122)*SUMIFS(Mercado!K$9:K$160,Mercado!$A$9:$A$160,$A122)</f>
        <v>0</v>
      </c>
      <c r="N122" s="55">
        <f t="shared" si="11"/>
        <v>0</v>
      </c>
      <c r="O122" s="55">
        <f t="shared" si="6"/>
        <v>0</v>
      </c>
      <c r="P122" s="55">
        <f t="shared" si="7"/>
        <v>0</v>
      </c>
      <c r="Q122" s="55">
        <f t="shared" si="8"/>
        <v>0</v>
      </c>
      <c r="R122" s="55">
        <f t="shared" si="9"/>
        <v>0</v>
      </c>
      <c r="S122" s="55">
        <f t="shared" si="10"/>
        <v>0</v>
      </c>
      <c r="U122" s="51">
        <f>NPV(Inputs!$C$6,'Vendas ajustada'!O122:R122)+(S122*Inputs!$C$11)/(1+Inputs!$C$6)^(4.55)</f>
        <v>0</v>
      </c>
    </row>
    <row r="123" spans="1:21">
      <c r="A123" s="192" t="s">
        <v>4858</v>
      </c>
      <c r="B123" s="50" t="s">
        <v>109</v>
      </c>
      <c r="C123" s="50">
        <v>8</v>
      </c>
      <c r="D123" s="51">
        <v>600001</v>
      </c>
      <c r="E123" s="51">
        <v>1500000</v>
      </c>
      <c r="G123" s="51"/>
      <c r="H123" s="51">
        <f>SUMIFS(Tarifas!$AF$7:$AF$320,Tarifas!$AB$7:$AB$320,$A123)*SUMIFS(Mercado!G$9:G$160,Mercado!$A$9:$A$160,$A123)</f>
        <v>0</v>
      </c>
      <c r="I123" s="51">
        <f>SUMIFS(Tarifas!$AF$7:$AF$320,Tarifas!$AB$7:$AB$320,$A123)*SUMIFS(Mercado!H$9:H$160,Mercado!$A$9:$A$160,$A123)</f>
        <v>0</v>
      </c>
      <c r="J123" s="51">
        <f>SUMIFS(Tarifas!$AF$7:$AF$320,Tarifas!$AB$7:$AB$320,$A123)*SUMIFS(Mercado!I$9:I$160,Mercado!$A$9:$A$160,$A123)</f>
        <v>0</v>
      </c>
      <c r="K123" s="51">
        <f>SUMIFS(Tarifas!$AF$7:$AF$320,Tarifas!$AB$7:$AB$320,$A123)*SUMIFS(Mercado!J$9:J$160,Mercado!$A$9:$A$160,$A123)</f>
        <v>0</v>
      </c>
      <c r="L123" s="51">
        <f>SUMIFS(Tarifas!$AF$7:$AF$320,Tarifas!$AB$7:$AB$320,$A123)*SUMIFS(Mercado!K$9:K$160,Mercado!$A$9:$A$160,$A123)</f>
        <v>0</v>
      </c>
      <c r="N123" s="55">
        <f t="shared" si="11"/>
        <v>0</v>
      </c>
      <c r="O123" s="55">
        <f t="shared" si="6"/>
        <v>0</v>
      </c>
      <c r="P123" s="55">
        <f t="shared" si="7"/>
        <v>0</v>
      </c>
      <c r="Q123" s="55">
        <f t="shared" si="8"/>
        <v>0</v>
      </c>
      <c r="R123" s="55">
        <f t="shared" si="9"/>
        <v>0</v>
      </c>
      <c r="S123" s="55">
        <f t="shared" si="10"/>
        <v>0</v>
      </c>
      <c r="U123" s="51">
        <f>NPV(Inputs!$C$6,'Vendas ajustada'!O123:R123)+(S123*Inputs!$C$11)/(1+Inputs!$C$6)^(4.55)</f>
        <v>0</v>
      </c>
    </row>
    <row r="124" spans="1:21">
      <c r="A124" s="192" t="s">
        <v>4859</v>
      </c>
      <c r="B124" s="50" t="s">
        <v>109</v>
      </c>
      <c r="C124" s="50">
        <v>9</v>
      </c>
      <c r="D124" s="51">
        <v>1500001</v>
      </c>
      <c r="E124" s="51">
        <v>3000000</v>
      </c>
      <c r="G124" s="51"/>
      <c r="H124" s="51">
        <f>SUMIFS(Tarifas!$AF$7:$AF$320,Tarifas!$AB$7:$AB$320,$A124)*SUMIFS(Mercado!G$9:G$160,Mercado!$A$9:$A$160,$A124)</f>
        <v>0</v>
      </c>
      <c r="I124" s="51">
        <f>SUMIFS(Tarifas!$AF$7:$AF$320,Tarifas!$AB$7:$AB$320,$A124)*SUMIFS(Mercado!H$9:H$160,Mercado!$A$9:$A$160,$A124)</f>
        <v>0</v>
      </c>
      <c r="J124" s="51">
        <f>SUMIFS(Tarifas!$AF$7:$AF$320,Tarifas!$AB$7:$AB$320,$A124)*SUMIFS(Mercado!I$9:I$160,Mercado!$A$9:$A$160,$A124)</f>
        <v>0</v>
      </c>
      <c r="K124" s="51">
        <f>SUMIFS(Tarifas!$AF$7:$AF$320,Tarifas!$AB$7:$AB$320,$A124)*SUMIFS(Mercado!J$9:J$160,Mercado!$A$9:$A$160,$A124)</f>
        <v>0</v>
      </c>
      <c r="L124" s="51">
        <f>SUMIFS(Tarifas!$AF$7:$AF$320,Tarifas!$AB$7:$AB$320,$A124)*SUMIFS(Mercado!K$9:K$160,Mercado!$A$9:$A$160,$A124)</f>
        <v>0</v>
      </c>
      <c r="N124" s="55">
        <f t="shared" si="11"/>
        <v>0</v>
      </c>
      <c r="O124" s="55">
        <f t="shared" si="6"/>
        <v>0</v>
      </c>
      <c r="P124" s="55">
        <f t="shared" si="7"/>
        <v>0</v>
      </c>
      <c r="Q124" s="55">
        <f t="shared" si="8"/>
        <v>0</v>
      </c>
      <c r="R124" s="55">
        <f t="shared" si="9"/>
        <v>0</v>
      </c>
      <c r="S124" s="55">
        <f t="shared" si="10"/>
        <v>0</v>
      </c>
      <c r="U124" s="51">
        <f>NPV(Inputs!$C$6,'Vendas ajustada'!O124:R124)+(S124*Inputs!$C$11)/(1+Inputs!$C$6)^(4.55)</f>
        <v>0</v>
      </c>
    </row>
    <row r="125" spans="1:21">
      <c r="A125" s="192" t="s">
        <v>4860</v>
      </c>
      <c r="B125" s="50" t="s">
        <v>109</v>
      </c>
      <c r="C125" s="50">
        <v>10</v>
      </c>
      <c r="D125" s="51">
        <v>3000001</v>
      </c>
      <c r="E125" s="51">
        <v>999999999</v>
      </c>
      <c r="G125" s="51"/>
      <c r="H125" s="51">
        <f>SUMIFS(Tarifas!$AF$7:$AF$320,Tarifas!$AB$7:$AB$320,$A125)*SUMIFS(Mercado!G$9:G$160,Mercado!$A$9:$A$160,$A125)</f>
        <v>0</v>
      </c>
      <c r="I125" s="51">
        <f>SUMIFS(Tarifas!$AF$7:$AF$320,Tarifas!$AB$7:$AB$320,$A125)*SUMIFS(Mercado!H$9:H$160,Mercado!$A$9:$A$160,$A125)</f>
        <v>0</v>
      </c>
      <c r="J125" s="51">
        <f>SUMIFS(Tarifas!$AF$7:$AF$320,Tarifas!$AB$7:$AB$320,$A125)*SUMIFS(Mercado!I$9:I$160,Mercado!$A$9:$A$160,$A125)</f>
        <v>0</v>
      </c>
      <c r="K125" s="51">
        <f>SUMIFS(Tarifas!$AF$7:$AF$320,Tarifas!$AB$7:$AB$320,$A125)*SUMIFS(Mercado!J$9:J$160,Mercado!$A$9:$A$160,$A125)</f>
        <v>0</v>
      </c>
      <c r="L125" s="51">
        <f>SUMIFS(Tarifas!$AF$7:$AF$320,Tarifas!$AB$7:$AB$320,$A125)*SUMIFS(Mercado!K$9:K$160,Mercado!$A$9:$A$160,$A125)</f>
        <v>0</v>
      </c>
      <c r="N125" s="55">
        <f t="shared" si="11"/>
        <v>0</v>
      </c>
      <c r="O125" s="55">
        <f t="shared" si="6"/>
        <v>0</v>
      </c>
      <c r="P125" s="55">
        <f t="shared" si="7"/>
        <v>0</v>
      </c>
      <c r="Q125" s="55">
        <f t="shared" si="8"/>
        <v>0</v>
      </c>
      <c r="R125" s="55">
        <f t="shared" si="9"/>
        <v>0</v>
      </c>
      <c r="S125" s="55">
        <f t="shared" si="10"/>
        <v>0</v>
      </c>
      <c r="U125" s="51">
        <f>NPV(Inputs!$C$6,'Vendas ajustada'!O125:R125)+(S125*Inputs!$C$11)/(1+Inputs!$C$6)^(4.55)</f>
        <v>0</v>
      </c>
    </row>
    <row r="126" spans="1:21">
      <c r="A126" s="192"/>
      <c r="D126" s="51"/>
      <c r="E126" s="51"/>
      <c r="G126" s="51"/>
      <c r="H126" s="51">
        <f>SUMIFS(Tarifas!$AF$7:$AF$320,Tarifas!$AB$7:$AB$320,$A126)*SUMIFS(Mercado!G$9:G$160,Mercado!$A$9:$A$160,$A126)</f>
        <v>0</v>
      </c>
      <c r="I126" s="51">
        <f>SUMIFS(Tarifas!$AF$7:$AF$320,Tarifas!$AB$7:$AB$320,$A126)*SUMIFS(Mercado!H$9:H$160,Mercado!$A$9:$A$160,$A126)</f>
        <v>0</v>
      </c>
      <c r="J126" s="51">
        <f>SUMIFS(Tarifas!$AF$7:$AF$320,Tarifas!$AB$7:$AB$320,$A126)*SUMIFS(Mercado!I$9:I$160,Mercado!$A$9:$A$160,$A126)</f>
        <v>0</v>
      </c>
      <c r="K126" s="51">
        <f>SUMIFS(Tarifas!$AF$7:$AF$320,Tarifas!$AB$7:$AB$320,$A126)*SUMIFS(Mercado!J$9:J$160,Mercado!$A$9:$A$160,$A126)</f>
        <v>0</v>
      </c>
      <c r="L126" s="51">
        <f>SUMIFS(Tarifas!$AF$7:$AF$320,Tarifas!$AB$7:$AB$320,$A126)*SUMIFS(Mercado!K$9:K$160,Mercado!$A$9:$A$160,$A126)</f>
        <v>0</v>
      </c>
      <c r="N126" s="55">
        <f t="shared" si="11"/>
        <v>0</v>
      </c>
      <c r="O126" s="55">
        <f t="shared" si="6"/>
        <v>0</v>
      </c>
      <c r="P126" s="55">
        <f t="shared" si="7"/>
        <v>0</v>
      </c>
      <c r="Q126" s="55">
        <f t="shared" si="8"/>
        <v>0</v>
      </c>
      <c r="R126" s="55">
        <f t="shared" si="9"/>
        <v>0</v>
      </c>
      <c r="S126" s="55">
        <f t="shared" si="10"/>
        <v>0</v>
      </c>
      <c r="U126" s="51">
        <f>NPV(Inputs!$C$6,'Vendas ajustada'!O126:R126)+(S126*Inputs!$C$11)/(1+Inputs!$C$6)^(4.55)</f>
        <v>0</v>
      </c>
    </row>
    <row r="127" spans="1:21">
      <c r="A127" s="192" t="s">
        <v>4861</v>
      </c>
      <c r="B127" s="50" t="s">
        <v>4862</v>
      </c>
      <c r="C127" s="50">
        <v>1</v>
      </c>
      <c r="D127" s="51">
        <v>0</v>
      </c>
      <c r="E127" s="51">
        <v>200</v>
      </c>
      <c r="G127" s="51"/>
      <c r="H127" s="51">
        <f>SUMIFS(Tarifas!$AF$7:$AF$320,Tarifas!$AB$7:$AB$320,$A127)*SUMIFS(Mercado!G$9:G$160,Mercado!$A$9:$A$160,$A127)</f>
        <v>0</v>
      </c>
      <c r="I127" s="51">
        <f>SUMIFS(Tarifas!$AF$7:$AF$320,Tarifas!$AB$7:$AB$320,$A127)*SUMIFS(Mercado!H$9:H$160,Mercado!$A$9:$A$160,$A127)</f>
        <v>0</v>
      </c>
      <c r="J127" s="51">
        <f>SUMIFS(Tarifas!$AF$7:$AF$320,Tarifas!$AB$7:$AB$320,$A127)*SUMIFS(Mercado!I$9:I$160,Mercado!$A$9:$A$160,$A127)</f>
        <v>0</v>
      </c>
      <c r="K127" s="51">
        <f>SUMIFS(Tarifas!$AF$7:$AF$320,Tarifas!$AB$7:$AB$320,$A127)*SUMIFS(Mercado!J$9:J$160,Mercado!$A$9:$A$160,$A127)</f>
        <v>0</v>
      </c>
      <c r="L127" s="51">
        <f>SUMIFS(Tarifas!$AF$7:$AF$320,Tarifas!$AB$7:$AB$320,$A127)*SUMIFS(Mercado!K$9:K$160,Mercado!$A$9:$A$160,$A127)</f>
        <v>0</v>
      </c>
      <c r="N127" s="55">
        <f t="shared" si="11"/>
        <v>0</v>
      </c>
      <c r="O127" s="55">
        <f t="shared" si="6"/>
        <v>0</v>
      </c>
      <c r="P127" s="55">
        <f t="shared" si="7"/>
        <v>0</v>
      </c>
      <c r="Q127" s="55">
        <f t="shared" si="8"/>
        <v>0</v>
      </c>
      <c r="R127" s="55">
        <f t="shared" si="9"/>
        <v>0</v>
      </c>
      <c r="S127" s="55">
        <f t="shared" si="10"/>
        <v>0</v>
      </c>
      <c r="U127" s="51">
        <f>NPV(Inputs!$C$6,'Vendas ajustada'!O127:R127)+(S127*Inputs!$C$11)/(1+Inputs!$C$6)^(4.55)</f>
        <v>0</v>
      </c>
    </row>
    <row r="128" spans="1:21">
      <c r="A128" s="192" t="s">
        <v>4863</v>
      </c>
      <c r="B128" s="50" t="s">
        <v>4862</v>
      </c>
      <c r="C128" s="50">
        <v>2</v>
      </c>
      <c r="D128" s="51">
        <v>201</v>
      </c>
      <c r="E128" s="51">
        <v>2000</v>
      </c>
      <c r="G128" s="51"/>
      <c r="H128" s="51">
        <f>SUMIFS(Tarifas!$AF$7:$AF$320,Tarifas!$AB$7:$AB$320,$A128)*SUMIFS(Mercado!G$9:G$160,Mercado!$A$9:$A$160,$A128)</f>
        <v>0</v>
      </c>
      <c r="I128" s="51">
        <f>SUMIFS(Tarifas!$AF$7:$AF$320,Tarifas!$AB$7:$AB$320,$A128)*SUMIFS(Mercado!H$9:H$160,Mercado!$A$9:$A$160,$A128)</f>
        <v>0</v>
      </c>
      <c r="J128" s="51">
        <f>SUMIFS(Tarifas!$AF$7:$AF$320,Tarifas!$AB$7:$AB$320,$A128)*SUMIFS(Mercado!I$9:I$160,Mercado!$A$9:$A$160,$A128)</f>
        <v>0</v>
      </c>
      <c r="K128" s="51">
        <f>SUMIFS(Tarifas!$AF$7:$AF$320,Tarifas!$AB$7:$AB$320,$A128)*SUMIFS(Mercado!J$9:J$160,Mercado!$A$9:$A$160,$A128)</f>
        <v>0</v>
      </c>
      <c r="L128" s="51">
        <f>SUMIFS(Tarifas!$AF$7:$AF$320,Tarifas!$AB$7:$AB$320,$A128)*SUMIFS(Mercado!K$9:K$160,Mercado!$A$9:$A$160,$A128)</f>
        <v>0</v>
      </c>
      <c r="N128" s="55">
        <f t="shared" si="11"/>
        <v>0</v>
      </c>
      <c r="O128" s="55">
        <f t="shared" si="6"/>
        <v>0</v>
      </c>
      <c r="P128" s="55">
        <f t="shared" si="7"/>
        <v>0</v>
      </c>
      <c r="Q128" s="55">
        <f t="shared" si="8"/>
        <v>0</v>
      </c>
      <c r="R128" s="55">
        <f t="shared" si="9"/>
        <v>0</v>
      </c>
      <c r="S128" s="55">
        <f t="shared" si="10"/>
        <v>0</v>
      </c>
      <c r="U128" s="51">
        <f>NPV(Inputs!$C$6,'Vendas ajustada'!O128:R128)+(S128*Inputs!$C$11)/(1+Inputs!$C$6)^(4.55)</f>
        <v>0</v>
      </c>
    </row>
    <row r="129" spans="1:21">
      <c r="A129" s="192" t="s">
        <v>4864</v>
      </c>
      <c r="B129" s="50" t="s">
        <v>4862</v>
      </c>
      <c r="C129" s="50">
        <v>3</v>
      </c>
      <c r="D129" s="51">
        <v>2001</v>
      </c>
      <c r="E129" s="51">
        <v>10000</v>
      </c>
      <c r="G129" s="51"/>
      <c r="H129" s="51">
        <f>SUMIFS(Tarifas!$AF$7:$AF$320,Tarifas!$AB$7:$AB$320,$A129)*SUMIFS(Mercado!G$9:G$160,Mercado!$A$9:$A$160,$A129)</f>
        <v>0</v>
      </c>
      <c r="I129" s="51">
        <f>SUMIFS(Tarifas!$AF$7:$AF$320,Tarifas!$AB$7:$AB$320,$A129)*SUMIFS(Mercado!H$9:H$160,Mercado!$A$9:$A$160,$A129)</f>
        <v>0</v>
      </c>
      <c r="J129" s="51">
        <f>SUMIFS(Tarifas!$AF$7:$AF$320,Tarifas!$AB$7:$AB$320,$A129)*SUMIFS(Mercado!I$9:I$160,Mercado!$A$9:$A$160,$A129)</f>
        <v>0</v>
      </c>
      <c r="K129" s="51">
        <f>SUMIFS(Tarifas!$AF$7:$AF$320,Tarifas!$AB$7:$AB$320,$A129)*SUMIFS(Mercado!J$9:J$160,Mercado!$A$9:$A$160,$A129)</f>
        <v>0</v>
      </c>
      <c r="L129" s="51">
        <f>SUMIFS(Tarifas!$AF$7:$AF$320,Tarifas!$AB$7:$AB$320,$A129)*SUMIFS(Mercado!K$9:K$160,Mercado!$A$9:$A$160,$A129)</f>
        <v>0</v>
      </c>
      <c r="N129" s="55">
        <f t="shared" si="11"/>
        <v>0</v>
      </c>
      <c r="O129" s="55">
        <f t="shared" si="6"/>
        <v>0</v>
      </c>
      <c r="P129" s="55">
        <f t="shared" si="7"/>
        <v>0</v>
      </c>
      <c r="Q129" s="55">
        <f t="shared" si="8"/>
        <v>0</v>
      </c>
      <c r="R129" s="55">
        <f t="shared" si="9"/>
        <v>0</v>
      </c>
      <c r="S129" s="55">
        <f t="shared" si="10"/>
        <v>0</v>
      </c>
      <c r="U129" s="51">
        <f>NPV(Inputs!$C$6,'Vendas ajustada'!O129:R129)+(S129*Inputs!$C$11)/(1+Inputs!$C$6)^(4.55)</f>
        <v>0</v>
      </c>
    </row>
    <row r="130" spans="1:21">
      <c r="A130" s="192" t="s">
        <v>4865</v>
      </c>
      <c r="B130" s="50" t="s">
        <v>4862</v>
      </c>
      <c r="C130" s="50">
        <v>4</v>
      </c>
      <c r="D130" s="51">
        <v>10001</v>
      </c>
      <c r="E130" s="51">
        <v>50000</v>
      </c>
      <c r="G130" s="51"/>
      <c r="H130" s="51">
        <f>SUMIFS(Tarifas!$AF$7:$AF$320,Tarifas!$AB$7:$AB$320,$A130)*SUMIFS(Mercado!G$9:G$160,Mercado!$A$9:$A$160,$A130)</f>
        <v>0</v>
      </c>
      <c r="I130" s="51">
        <f>SUMIFS(Tarifas!$AF$7:$AF$320,Tarifas!$AB$7:$AB$320,$A130)*SUMIFS(Mercado!H$9:H$160,Mercado!$A$9:$A$160,$A130)</f>
        <v>0</v>
      </c>
      <c r="J130" s="51">
        <f>SUMIFS(Tarifas!$AF$7:$AF$320,Tarifas!$AB$7:$AB$320,$A130)*SUMIFS(Mercado!I$9:I$160,Mercado!$A$9:$A$160,$A130)</f>
        <v>0</v>
      </c>
      <c r="K130" s="51">
        <f>SUMIFS(Tarifas!$AF$7:$AF$320,Tarifas!$AB$7:$AB$320,$A130)*SUMIFS(Mercado!J$9:J$160,Mercado!$A$9:$A$160,$A130)</f>
        <v>0</v>
      </c>
      <c r="L130" s="51">
        <f>SUMIFS(Tarifas!$AF$7:$AF$320,Tarifas!$AB$7:$AB$320,$A130)*SUMIFS(Mercado!K$9:K$160,Mercado!$A$9:$A$160,$A130)</f>
        <v>0</v>
      </c>
      <c r="N130" s="55">
        <f t="shared" si="11"/>
        <v>0</v>
      </c>
      <c r="O130" s="55">
        <f t="shared" si="6"/>
        <v>0</v>
      </c>
      <c r="P130" s="55">
        <f t="shared" si="7"/>
        <v>0</v>
      </c>
      <c r="Q130" s="55">
        <f t="shared" si="8"/>
        <v>0</v>
      </c>
      <c r="R130" s="55">
        <f t="shared" si="9"/>
        <v>0</v>
      </c>
      <c r="S130" s="55">
        <f t="shared" si="10"/>
        <v>0</v>
      </c>
      <c r="U130" s="51">
        <f>NPV(Inputs!$C$6,'Vendas ajustada'!O130:R130)+(S130*Inputs!$C$11)/(1+Inputs!$C$6)^(4.55)</f>
        <v>0</v>
      </c>
    </row>
    <row r="131" spans="1:21">
      <c r="A131" s="192" t="s">
        <v>4866</v>
      </c>
      <c r="B131" s="50" t="s">
        <v>4862</v>
      </c>
      <c r="C131" s="50">
        <v>5</v>
      </c>
      <c r="D131" s="51">
        <v>50001</v>
      </c>
      <c r="E131" s="51">
        <v>100000</v>
      </c>
      <c r="G131" s="51"/>
      <c r="H131" s="51">
        <f>SUMIFS(Tarifas!$AF$7:$AF$320,Tarifas!$AB$7:$AB$320,$A131)*SUMIFS(Mercado!G$9:G$160,Mercado!$A$9:$A$160,$A131)</f>
        <v>0</v>
      </c>
      <c r="I131" s="51">
        <f>SUMIFS(Tarifas!$AF$7:$AF$320,Tarifas!$AB$7:$AB$320,$A131)*SUMIFS(Mercado!H$9:H$160,Mercado!$A$9:$A$160,$A131)</f>
        <v>0</v>
      </c>
      <c r="J131" s="51">
        <f>SUMIFS(Tarifas!$AF$7:$AF$320,Tarifas!$AB$7:$AB$320,$A131)*SUMIFS(Mercado!I$9:I$160,Mercado!$A$9:$A$160,$A131)</f>
        <v>0</v>
      </c>
      <c r="K131" s="51">
        <f>SUMIFS(Tarifas!$AF$7:$AF$320,Tarifas!$AB$7:$AB$320,$A131)*SUMIFS(Mercado!J$9:J$160,Mercado!$A$9:$A$160,$A131)</f>
        <v>0</v>
      </c>
      <c r="L131" s="51">
        <f>SUMIFS(Tarifas!$AF$7:$AF$320,Tarifas!$AB$7:$AB$320,$A131)*SUMIFS(Mercado!K$9:K$160,Mercado!$A$9:$A$160,$A131)</f>
        <v>0</v>
      </c>
      <c r="N131" s="55">
        <f t="shared" si="11"/>
        <v>0</v>
      </c>
      <c r="O131" s="55">
        <f t="shared" ref="O131:O147" si="12">H131</f>
        <v>0</v>
      </c>
      <c r="P131" s="55">
        <f t="shared" ref="P131:P147" si="13">I131</f>
        <v>0</v>
      </c>
      <c r="Q131" s="55">
        <f t="shared" ref="Q131:Q147" si="14">J131</f>
        <v>0</v>
      </c>
      <c r="R131" s="55">
        <f t="shared" ref="R131:R147" si="15">K131</f>
        <v>0</v>
      </c>
      <c r="S131" s="55">
        <f t="shared" ref="S131:S147" si="16">L131</f>
        <v>0</v>
      </c>
      <c r="U131" s="51">
        <f>NPV(Inputs!$C$6,'Vendas ajustada'!O131:R131)+(S131*Inputs!$C$11)/(1+Inputs!$C$6)^(4.55)</f>
        <v>0</v>
      </c>
    </row>
    <row r="132" spans="1:21">
      <c r="A132" s="192" t="s">
        <v>4867</v>
      </c>
      <c r="B132" s="50" t="s">
        <v>4862</v>
      </c>
      <c r="C132" s="50">
        <v>6</v>
      </c>
      <c r="D132" s="51">
        <v>100001</v>
      </c>
      <c r="E132" s="51">
        <v>300000</v>
      </c>
      <c r="G132" s="51"/>
      <c r="H132" s="51">
        <f>SUMIFS(Tarifas!$AF$7:$AF$320,Tarifas!$AB$7:$AB$320,$A132)*SUMIFS(Mercado!G$9:G$160,Mercado!$A$9:$A$160,$A132)</f>
        <v>0</v>
      </c>
      <c r="I132" s="51">
        <f>SUMIFS(Tarifas!$AF$7:$AF$320,Tarifas!$AB$7:$AB$320,$A132)*SUMIFS(Mercado!H$9:H$160,Mercado!$A$9:$A$160,$A132)</f>
        <v>0</v>
      </c>
      <c r="J132" s="51">
        <f>SUMIFS(Tarifas!$AF$7:$AF$320,Tarifas!$AB$7:$AB$320,$A132)*SUMIFS(Mercado!I$9:I$160,Mercado!$A$9:$A$160,$A132)</f>
        <v>0</v>
      </c>
      <c r="K132" s="51">
        <f>SUMIFS(Tarifas!$AF$7:$AF$320,Tarifas!$AB$7:$AB$320,$A132)*SUMIFS(Mercado!J$9:J$160,Mercado!$A$9:$A$160,$A132)</f>
        <v>0</v>
      </c>
      <c r="L132" s="51">
        <f>SUMIFS(Tarifas!$AF$7:$AF$320,Tarifas!$AB$7:$AB$320,$A132)*SUMIFS(Mercado!K$9:K$160,Mercado!$A$9:$A$160,$A132)</f>
        <v>0</v>
      </c>
      <c r="N132" s="55">
        <f t="shared" ref="N132:N147" si="17">G132</f>
        <v>0</v>
      </c>
      <c r="O132" s="55">
        <f t="shared" si="12"/>
        <v>0</v>
      </c>
      <c r="P132" s="55">
        <f t="shared" si="13"/>
        <v>0</v>
      </c>
      <c r="Q132" s="55">
        <f t="shared" si="14"/>
        <v>0</v>
      </c>
      <c r="R132" s="55">
        <f t="shared" si="15"/>
        <v>0</v>
      </c>
      <c r="S132" s="55">
        <f t="shared" si="16"/>
        <v>0</v>
      </c>
      <c r="U132" s="51">
        <f>NPV(Inputs!$C$6,'Vendas ajustada'!O132:R132)+(S132*Inputs!$C$11)/(1+Inputs!$C$6)^(4.55)</f>
        <v>0</v>
      </c>
    </row>
    <row r="133" spans="1:21">
      <c r="A133" s="192" t="s">
        <v>4868</v>
      </c>
      <c r="B133" s="50" t="s">
        <v>4862</v>
      </c>
      <c r="C133" s="50">
        <v>7</v>
      </c>
      <c r="D133" s="51">
        <v>300001</v>
      </c>
      <c r="E133" s="51">
        <v>600000</v>
      </c>
      <c r="G133" s="51"/>
      <c r="H133" s="51">
        <f>SUMIFS(Tarifas!$AF$7:$AF$320,Tarifas!$AB$7:$AB$320,$A133)*SUMIFS(Mercado!G$9:G$160,Mercado!$A$9:$A$160,$A133)</f>
        <v>0</v>
      </c>
      <c r="I133" s="51">
        <f>SUMIFS(Tarifas!$AF$7:$AF$320,Tarifas!$AB$7:$AB$320,$A133)*SUMIFS(Mercado!H$9:H$160,Mercado!$A$9:$A$160,$A133)</f>
        <v>0</v>
      </c>
      <c r="J133" s="51">
        <f>SUMIFS(Tarifas!$AF$7:$AF$320,Tarifas!$AB$7:$AB$320,$A133)*SUMIFS(Mercado!I$9:I$160,Mercado!$A$9:$A$160,$A133)</f>
        <v>0</v>
      </c>
      <c r="K133" s="51">
        <f>SUMIFS(Tarifas!$AF$7:$AF$320,Tarifas!$AB$7:$AB$320,$A133)*SUMIFS(Mercado!J$9:J$160,Mercado!$A$9:$A$160,$A133)</f>
        <v>0</v>
      </c>
      <c r="L133" s="51">
        <f>SUMIFS(Tarifas!$AF$7:$AF$320,Tarifas!$AB$7:$AB$320,$A133)*SUMIFS(Mercado!K$9:K$160,Mercado!$A$9:$A$160,$A133)</f>
        <v>0</v>
      </c>
      <c r="N133" s="55">
        <f t="shared" si="17"/>
        <v>0</v>
      </c>
      <c r="O133" s="55">
        <f t="shared" si="12"/>
        <v>0</v>
      </c>
      <c r="P133" s="55">
        <f t="shared" si="13"/>
        <v>0</v>
      </c>
      <c r="Q133" s="55">
        <f t="shared" si="14"/>
        <v>0</v>
      </c>
      <c r="R133" s="55">
        <f t="shared" si="15"/>
        <v>0</v>
      </c>
      <c r="S133" s="55">
        <f t="shared" si="16"/>
        <v>0</v>
      </c>
      <c r="U133" s="51">
        <f>NPV(Inputs!$C$6,'Vendas ajustada'!O133:R133)+(S133*Inputs!$C$11)/(1+Inputs!$C$6)^(4.55)</f>
        <v>0</v>
      </c>
    </row>
    <row r="134" spans="1:21">
      <c r="A134" s="192" t="s">
        <v>4869</v>
      </c>
      <c r="B134" s="50" t="s">
        <v>4862</v>
      </c>
      <c r="C134" s="50">
        <v>8</v>
      </c>
      <c r="D134" s="51">
        <v>600001</v>
      </c>
      <c r="E134" s="51">
        <v>1500000</v>
      </c>
      <c r="G134" s="51"/>
      <c r="H134" s="51">
        <f>SUMIFS(Tarifas!$AF$7:$AF$320,Tarifas!$AB$7:$AB$320,$A134)*SUMIFS(Mercado!G$9:G$160,Mercado!$A$9:$A$160,$A134)</f>
        <v>0</v>
      </c>
      <c r="I134" s="51">
        <f>SUMIFS(Tarifas!$AF$7:$AF$320,Tarifas!$AB$7:$AB$320,$A134)*SUMIFS(Mercado!H$9:H$160,Mercado!$A$9:$A$160,$A134)</f>
        <v>0</v>
      </c>
      <c r="J134" s="51">
        <f>SUMIFS(Tarifas!$AF$7:$AF$320,Tarifas!$AB$7:$AB$320,$A134)*SUMIFS(Mercado!I$9:I$160,Mercado!$A$9:$A$160,$A134)</f>
        <v>0</v>
      </c>
      <c r="K134" s="51">
        <f>SUMIFS(Tarifas!$AF$7:$AF$320,Tarifas!$AB$7:$AB$320,$A134)*SUMIFS(Mercado!J$9:J$160,Mercado!$A$9:$A$160,$A134)</f>
        <v>0</v>
      </c>
      <c r="L134" s="51">
        <f>SUMIFS(Tarifas!$AF$7:$AF$320,Tarifas!$AB$7:$AB$320,$A134)*SUMIFS(Mercado!K$9:K$160,Mercado!$A$9:$A$160,$A134)</f>
        <v>0</v>
      </c>
      <c r="N134" s="55">
        <f t="shared" si="17"/>
        <v>0</v>
      </c>
      <c r="O134" s="55">
        <f t="shared" si="12"/>
        <v>0</v>
      </c>
      <c r="P134" s="55">
        <f t="shared" si="13"/>
        <v>0</v>
      </c>
      <c r="Q134" s="55">
        <f t="shared" si="14"/>
        <v>0</v>
      </c>
      <c r="R134" s="55">
        <f t="shared" si="15"/>
        <v>0</v>
      </c>
      <c r="S134" s="55">
        <f t="shared" si="16"/>
        <v>0</v>
      </c>
      <c r="U134" s="51">
        <f>NPV(Inputs!$C$6,'Vendas ajustada'!O134:R134)+(S134*Inputs!$C$11)/(1+Inputs!$C$6)^(4.55)</f>
        <v>0</v>
      </c>
    </row>
    <row r="135" spans="1:21">
      <c r="A135" s="192" t="s">
        <v>4870</v>
      </c>
      <c r="B135" s="50" t="s">
        <v>4862</v>
      </c>
      <c r="C135" s="50">
        <v>9</v>
      </c>
      <c r="D135" s="51">
        <v>1500001</v>
      </c>
      <c r="E135" s="51">
        <v>3000000</v>
      </c>
      <c r="G135" s="51"/>
      <c r="H135" s="51">
        <f>SUMIFS(Tarifas!$AF$7:$AF$320,Tarifas!$AB$7:$AB$320,$A135)*SUMIFS(Mercado!G$9:G$160,Mercado!$A$9:$A$160,$A135)</f>
        <v>0</v>
      </c>
      <c r="I135" s="51">
        <f>SUMIFS(Tarifas!$AF$7:$AF$320,Tarifas!$AB$7:$AB$320,$A135)*SUMIFS(Mercado!H$9:H$160,Mercado!$A$9:$A$160,$A135)</f>
        <v>0</v>
      </c>
      <c r="J135" s="51">
        <f>SUMIFS(Tarifas!$AF$7:$AF$320,Tarifas!$AB$7:$AB$320,$A135)*SUMIFS(Mercado!I$9:I$160,Mercado!$A$9:$A$160,$A135)</f>
        <v>0</v>
      </c>
      <c r="K135" s="51">
        <f>SUMIFS(Tarifas!$AF$7:$AF$320,Tarifas!$AB$7:$AB$320,$A135)*SUMIFS(Mercado!J$9:J$160,Mercado!$A$9:$A$160,$A135)</f>
        <v>0</v>
      </c>
      <c r="L135" s="51">
        <f>SUMIFS(Tarifas!$AF$7:$AF$320,Tarifas!$AB$7:$AB$320,$A135)*SUMIFS(Mercado!K$9:K$160,Mercado!$A$9:$A$160,$A135)</f>
        <v>0</v>
      </c>
      <c r="N135" s="55">
        <f t="shared" si="17"/>
        <v>0</v>
      </c>
      <c r="O135" s="55">
        <f t="shared" si="12"/>
        <v>0</v>
      </c>
      <c r="P135" s="55">
        <f t="shared" si="13"/>
        <v>0</v>
      </c>
      <c r="Q135" s="55">
        <f t="shared" si="14"/>
        <v>0</v>
      </c>
      <c r="R135" s="55">
        <f t="shared" si="15"/>
        <v>0</v>
      </c>
      <c r="S135" s="55">
        <f t="shared" si="16"/>
        <v>0</v>
      </c>
      <c r="U135" s="51">
        <f>NPV(Inputs!$C$6,'Vendas ajustada'!O135:R135)+(S135*Inputs!$C$11)/(1+Inputs!$C$6)^(4.55)</f>
        <v>0</v>
      </c>
    </row>
    <row r="136" spans="1:21">
      <c r="A136" s="192" t="s">
        <v>4871</v>
      </c>
      <c r="B136" s="50" t="s">
        <v>4862</v>
      </c>
      <c r="C136" s="50">
        <v>10</v>
      </c>
      <c r="D136" s="51">
        <v>3000001</v>
      </c>
      <c r="E136" s="51">
        <v>999999999</v>
      </c>
      <c r="G136" s="51"/>
      <c r="H136" s="51">
        <f>SUMIFS(Tarifas!$AF$7:$AF$320,Tarifas!$AB$7:$AB$320,$A136)*SUMIFS(Mercado!G$9:G$160,Mercado!$A$9:$A$160,$A136)</f>
        <v>0</v>
      </c>
      <c r="I136" s="51">
        <f>SUMIFS(Tarifas!$AF$7:$AF$320,Tarifas!$AB$7:$AB$320,$A136)*SUMIFS(Mercado!H$9:H$160,Mercado!$A$9:$A$160,$A136)</f>
        <v>0</v>
      </c>
      <c r="J136" s="51">
        <f>SUMIFS(Tarifas!$AF$7:$AF$320,Tarifas!$AB$7:$AB$320,$A136)*SUMIFS(Mercado!I$9:I$160,Mercado!$A$9:$A$160,$A136)</f>
        <v>0</v>
      </c>
      <c r="K136" s="51">
        <f>SUMIFS(Tarifas!$AF$7:$AF$320,Tarifas!$AB$7:$AB$320,$A136)*SUMIFS(Mercado!J$9:J$160,Mercado!$A$9:$A$160,$A136)</f>
        <v>0</v>
      </c>
      <c r="L136" s="51">
        <f>SUMIFS(Tarifas!$AF$7:$AF$320,Tarifas!$AB$7:$AB$320,$A136)*SUMIFS(Mercado!K$9:K$160,Mercado!$A$9:$A$160,$A136)</f>
        <v>0</v>
      </c>
      <c r="N136" s="55">
        <f t="shared" si="17"/>
        <v>0</v>
      </c>
      <c r="O136" s="55">
        <f t="shared" si="12"/>
        <v>0</v>
      </c>
      <c r="P136" s="55">
        <f t="shared" si="13"/>
        <v>0</v>
      </c>
      <c r="Q136" s="55">
        <f t="shared" si="14"/>
        <v>0</v>
      </c>
      <c r="R136" s="55">
        <f t="shared" si="15"/>
        <v>0</v>
      </c>
      <c r="S136" s="55">
        <f t="shared" si="16"/>
        <v>0</v>
      </c>
      <c r="U136" s="51">
        <f>NPV(Inputs!$C$6,'Vendas ajustada'!O136:R136)+(S136*Inputs!$C$11)/(1+Inputs!$C$6)^(4.55)</f>
        <v>0</v>
      </c>
    </row>
    <row r="137" spans="1:21">
      <c r="A137" s="192"/>
      <c r="D137" s="51"/>
      <c r="E137" s="51"/>
      <c r="G137" s="51"/>
      <c r="H137" s="51">
        <f>SUMIFS(Tarifas!$AF$7:$AF$320,Tarifas!$AB$7:$AB$320,$A137)*SUMIFS(Mercado!G$9:G$160,Mercado!$A$9:$A$160,$A137)</f>
        <v>0</v>
      </c>
      <c r="I137" s="51">
        <f>SUMIFS(Tarifas!$AF$7:$AF$320,Tarifas!$AB$7:$AB$320,$A137)*SUMIFS(Mercado!H$9:H$160,Mercado!$A$9:$A$160,$A137)</f>
        <v>0</v>
      </c>
      <c r="J137" s="51">
        <f>SUMIFS(Tarifas!$AF$7:$AF$320,Tarifas!$AB$7:$AB$320,$A137)*SUMIFS(Mercado!I$9:I$160,Mercado!$A$9:$A$160,$A137)</f>
        <v>0</v>
      </c>
      <c r="K137" s="51">
        <f>SUMIFS(Tarifas!$AF$7:$AF$320,Tarifas!$AB$7:$AB$320,$A137)*SUMIFS(Mercado!J$9:J$160,Mercado!$A$9:$A$160,$A137)</f>
        <v>0</v>
      </c>
      <c r="L137" s="51">
        <f>SUMIFS(Tarifas!$AF$7:$AF$320,Tarifas!$AB$7:$AB$320,$A137)*SUMIFS(Mercado!K$9:K$160,Mercado!$A$9:$A$160,$A137)</f>
        <v>0</v>
      </c>
      <c r="N137" s="55">
        <f t="shared" si="17"/>
        <v>0</v>
      </c>
      <c r="O137" s="55">
        <f t="shared" si="12"/>
        <v>0</v>
      </c>
      <c r="P137" s="55">
        <f t="shared" si="13"/>
        <v>0</v>
      </c>
      <c r="Q137" s="55">
        <f t="shared" si="14"/>
        <v>0</v>
      </c>
      <c r="R137" s="55">
        <f t="shared" si="15"/>
        <v>0</v>
      </c>
      <c r="S137" s="55">
        <f t="shared" si="16"/>
        <v>0</v>
      </c>
      <c r="U137" s="51">
        <f>NPV(Inputs!$C$6,'Vendas ajustada'!O137:R137)+(S137*Inputs!$C$11)/(1+Inputs!$C$6)^(4.55)</f>
        <v>0</v>
      </c>
    </row>
    <row r="138" spans="1:21">
      <c r="A138" s="192" t="s">
        <v>4872</v>
      </c>
      <c r="B138" s="50" t="s">
        <v>4873</v>
      </c>
      <c r="C138" s="50">
        <v>1</v>
      </c>
      <c r="D138" s="51">
        <v>0</v>
      </c>
      <c r="E138" s="51">
        <v>200</v>
      </c>
      <c r="G138" s="51"/>
      <c r="H138" s="51">
        <f>SUMIFS(Tarifas!$AF$7:$AF$320,Tarifas!$AB$7:$AB$320,$A138)*SUMIFS(Mercado!G$9:G$160,Mercado!$A$9:$A$160,$A138)</f>
        <v>0</v>
      </c>
      <c r="I138" s="51">
        <f>SUMIFS(Tarifas!$AF$7:$AF$320,Tarifas!$AB$7:$AB$320,$A138)*SUMIFS(Mercado!H$9:H$160,Mercado!$A$9:$A$160,$A138)</f>
        <v>0</v>
      </c>
      <c r="J138" s="51">
        <f>SUMIFS(Tarifas!$AF$7:$AF$320,Tarifas!$AB$7:$AB$320,$A138)*SUMIFS(Mercado!I$9:I$160,Mercado!$A$9:$A$160,$A138)</f>
        <v>0</v>
      </c>
      <c r="K138" s="51">
        <f>SUMIFS(Tarifas!$AF$7:$AF$320,Tarifas!$AB$7:$AB$320,$A138)*SUMIFS(Mercado!J$9:J$160,Mercado!$A$9:$A$160,$A138)</f>
        <v>0</v>
      </c>
      <c r="L138" s="51">
        <f>SUMIFS(Tarifas!$AF$7:$AF$320,Tarifas!$AB$7:$AB$320,$A138)*SUMIFS(Mercado!K$9:K$160,Mercado!$A$9:$A$160,$A138)</f>
        <v>0</v>
      </c>
      <c r="N138" s="55">
        <f t="shared" si="17"/>
        <v>0</v>
      </c>
      <c r="O138" s="55">
        <f t="shared" si="12"/>
        <v>0</v>
      </c>
      <c r="P138" s="55">
        <f t="shared" si="13"/>
        <v>0</v>
      </c>
      <c r="Q138" s="55">
        <f t="shared" si="14"/>
        <v>0</v>
      </c>
      <c r="R138" s="55">
        <f t="shared" si="15"/>
        <v>0</v>
      </c>
      <c r="S138" s="55">
        <f t="shared" si="16"/>
        <v>0</v>
      </c>
      <c r="U138" s="51">
        <f>NPV(Inputs!$C$6,'Vendas ajustada'!O138:R138)+(S138*Inputs!$C$11)/(1+Inputs!$C$6)^(4.55)</f>
        <v>0</v>
      </c>
    </row>
    <row r="139" spans="1:21">
      <c r="A139" s="192" t="s">
        <v>4874</v>
      </c>
      <c r="B139" s="50" t="s">
        <v>4873</v>
      </c>
      <c r="C139" s="50">
        <v>2</v>
      </c>
      <c r="D139" s="51">
        <v>201</v>
      </c>
      <c r="E139" s="51">
        <v>2000</v>
      </c>
      <c r="G139" s="51"/>
      <c r="H139" s="51">
        <f>SUMIFS(Tarifas!$AF$7:$AF$320,Tarifas!$AB$7:$AB$320,$A139)*SUMIFS(Mercado!G$9:G$160,Mercado!$A$9:$A$160,$A139)</f>
        <v>0</v>
      </c>
      <c r="I139" s="51">
        <f>SUMIFS(Tarifas!$AF$7:$AF$320,Tarifas!$AB$7:$AB$320,$A139)*SUMIFS(Mercado!H$9:H$160,Mercado!$A$9:$A$160,$A139)</f>
        <v>0</v>
      </c>
      <c r="J139" s="51">
        <f>SUMIFS(Tarifas!$AF$7:$AF$320,Tarifas!$AB$7:$AB$320,$A139)*SUMIFS(Mercado!I$9:I$160,Mercado!$A$9:$A$160,$A139)</f>
        <v>0</v>
      </c>
      <c r="K139" s="51">
        <f>SUMIFS(Tarifas!$AF$7:$AF$320,Tarifas!$AB$7:$AB$320,$A139)*SUMIFS(Mercado!J$9:J$160,Mercado!$A$9:$A$160,$A139)</f>
        <v>0</v>
      </c>
      <c r="L139" s="51">
        <f>SUMIFS(Tarifas!$AF$7:$AF$320,Tarifas!$AB$7:$AB$320,$A139)*SUMIFS(Mercado!K$9:K$160,Mercado!$A$9:$A$160,$A139)</f>
        <v>0</v>
      </c>
      <c r="N139" s="55">
        <f t="shared" si="17"/>
        <v>0</v>
      </c>
      <c r="O139" s="55">
        <f t="shared" si="12"/>
        <v>0</v>
      </c>
      <c r="P139" s="55">
        <f t="shared" si="13"/>
        <v>0</v>
      </c>
      <c r="Q139" s="55">
        <f t="shared" si="14"/>
        <v>0</v>
      </c>
      <c r="R139" s="55">
        <f t="shared" si="15"/>
        <v>0</v>
      </c>
      <c r="S139" s="55">
        <f t="shared" si="16"/>
        <v>0</v>
      </c>
      <c r="U139" s="51">
        <f>NPV(Inputs!$C$6,'Vendas ajustada'!O139:R139)+(S139*Inputs!$C$11)/(1+Inputs!$C$6)^(4.55)</f>
        <v>0</v>
      </c>
    </row>
    <row r="140" spans="1:21">
      <c r="A140" s="192" t="s">
        <v>4875</v>
      </c>
      <c r="B140" s="50" t="s">
        <v>4873</v>
      </c>
      <c r="C140" s="50">
        <v>3</v>
      </c>
      <c r="D140" s="51">
        <v>2001</v>
      </c>
      <c r="E140" s="51">
        <v>10000</v>
      </c>
      <c r="G140" s="51"/>
      <c r="H140" s="51">
        <f>SUMIFS(Tarifas!$AF$7:$AF$320,Tarifas!$AB$7:$AB$320,$A140)*SUMIFS(Mercado!G$9:G$160,Mercado!$A$9:$A$160,$A140)</f>
        <v>0</v>
      </c>
      <c r="I140" s="51">
        <f>SUMIFS(Tarifas!$AF$7:$AF$320,Tarifas!$AB$7:$AB$320,$A140)*SUMIFS(Mercado!H$9:H$160,Mercado!$A$9:$A$160,$A140)</f>
        <v>0</v>
      </c>
      <c r="J140" s="51">
        <f>SUMIFS(Tarifas!$AF$7:$AF$320,Tarifas!$AB$7:$AB$320,$A140)*SUMIFS(Mercado!I$9:I$160,Mercado!$A$9:$A$160,$A140)</f>
        <v>0</v>
      </c>
      <c r="K140" s="51">
        <f>SUMIFS(Tarifas!$AF$7:$AF$320,Tarifas!$AB$7:$AB$320,$A140)*SUMIFS(Mercado!J$9:J$160,Mercado!$A$9:$A$160,$A140)</f>
        <v>0</v>
      </c>
      <c r="L140" s="51">
        <f>SUMIFS(Tarifas!$AF$7:$AF$320,Tarifas!$AB$7:$AB$320,$A140)*SUMIFS(Mercado!K$9:K$160,Mercado!$A$9:$A$160,$A140)</f>
        <v>0</v>
      </c>
      <c r="N140" s="55">
        <f t="shared" si="17"/>
        <v>0</v>
      </c>
      <c r="O140" s="55">
        <f t="shared" si="12"/>
        <v>0</v>
      </c>
      <c r="P140" s="55">
        <f t="shared" si="13"/>
        <v>0</v>
      </c>
      <c r="Q140" s="55">
        <f t="shared" si="14"/>
        <v>0</v>
      </c>
      <c r="R140" s="55">
        <f t="shared" si="15"/>
        <v>0</v>
      </c>
      <c r="S140" s="55">
        <f t="shared" si="16"/>
        <v>0</v>
      </c>
      <c r="U140" s="51">
        <f>NPV(Inputs!$C$6,'Vendas ajustada'!O140:R140)+(S140*Inputs!$C$11)/(1+Inputs!$C$6)^(4.55)</f>
        <v>0</v>
      </c>
    </row>
    <row r="141" spans="1:21">
      <c r="A141" s="192" t="s">
        <v>4876</v>
      </c>
      <c r="B141" s="50" t="s">
        <v>4873</v>
      </c>
      <c r="C141" s="50">
        <v>4</v>
      </c>
      <c r="D141" s="51">
        <v>10001</v>
      </c>
      <c r="E141" s="51">
        <v>50000</v>
      </c>
      <c r="G141" s="51"/>
      <c r="H141" s="51">
        <f>SUMIFS(Tarifas!$AF$7:$AF$320,Tarifas!$AB$7:$AB$320,$A141)*SUMIFS(Mercado!G$9:G$160,Mercado!$A$9:$A$160,$A141)</f>
        <v>0</v>
      </c>
      <c r="I141" s="51">
        <f>SUMIFS(Tarifas!$AF$7:$AF$320,Tarifas!$AB$7:$AB$320,$A141)*SUMIFS(Mercado!H$9:H$160,Mercado!$A$9:$A$160,$A141)</f>
        <v>0</v>
      </c>
      <c r="J141" s="51">
        <f>SUMIFS(Tarifas!$AF$7:$AF$320,Tarifas!$AB$7:$AB$320,$A141)*SUMIFS(Mercado!I$9:I$160,Mercado!$A$9:$A$160,$A141)</f>
        <v>0</v>
      </c>
      <c r="K141" s="51">
        <f>SUMIFS(Tarifas!$AF$7:$AF$320,Tarifas!$AB$7:$AB$320,$A141)*SUMIFS(Mercado!J$9:J$160,Mercado!$A$9:$A$160,$A141)</f>
        <v>0</v>
      </c>
      <c r="L141" s="51">
        <f>SUMIFS(Tarifas!$AF$7:$AF$320,Tarifas!$AB$7:$AB$320,$A141)*SUMIFS(Mercado!K$9:K$160,Mercado!$A$9:$A$160,$A141)</f>
        <v>0</v>
      </c>
      <c r="N141" s="55">
        <f t="shared" si="17"/>
        <v>0</v>
      </c>
      <c r="O141" s="55">
        <f t="shared" si="12"/>
        <v>0</v>
      </c>
      <c r="P141" s="55">
        <f t="shared" si="13"/>
        <v>0</v>
      </c>
      <c r="Q141" s="55">
        <f t="shared" si="14"/>
        <v>0</v>
      </c>
      <c r="R141" s="55">
        <f t="shared" si="15"/>
        <v>0</v>
      </c>
      <c r="S141" s="55">
        <f t="shared" si="16"/>
        <v>0</v>
      </c>
      <c r="U141" s="51">
        <f>NPV(Inputs!$C$6,'Vendas ajustada'!O141:R141)+(S141*Inputs!$C$11)/(1+Inputs!$C$6)^(4.55)</f>
        <v>0</v>
      </c>
    </row>
    <row r="142" spans="1:21">
      <c r="A142" s="192" t="s">
        <v>4877</v>
      </c>
      <c r="B142" s="50" t="s">
        <v>4873</v>
      </c>
      <c r="C142" s="50">
        <v>5</v>
      </c>
      <c r="D142" s="51">
        <v>50001</v>
      </c>
      <c r="E142" s="51">
        <v>100000</v>
      </c>
      <c r="G142" s="51"/>
      <c r="H142" s="51">
        <f>SUMIFS(Tarifas!$AF$7:$AF$320,Tarifas!$AB$7:$AB$320,$A142)*SUMIFS(Mercado!G$9:G$160,Mercado!$A$9:$A$160,$A142)</f>
        <v>0</v>
      </c>
      <c r="I142" s="51">
        <f>SUMIFS(Tarifas!$AF$7:$AF$320,Tarifas!$AB$7:$AB$320,$A142)*SUMIFS(Mercado!H$9:H$160,Mercado!$A$9:$A$160,$A142)</f>
        <v>0</v>
      </c>
      <c r="J142" s="51">
        <f>SUMIFS(Tarifas!$AF$7:$AF$320,Tarifas!$AB$7:$AB$320,$A142)*SUMIFS(Mercado!I$9:I$160,Mercado!$A$9:$A$160,$A142)</f>
        <v>0</v>
      </c>
      <c r="K142" s="51">
        <f>SUMIFS(Tarifas!$AF$7:$AF$320,Tarifas!$AB$7:$AB$320,$A142)*SUMIFS(Mercado!J$9:J$160,Mercado!$A$9:$A$160,$A142)</f>
        <v>0</v>
      </c>
      <c r="L142" s="51">
        <f>SUMIFS(Tarifas!$AF$7:$AF$320,Tarifas!$AB$7:$AB$320,$A142)*SUMIFS(Mercado!K$9:K$160,Mercado!$A$9:$A$160,$A142)</f>
        <v>0</v>
      </c>
      <c r="N142" s="55">
        <f t="shared" si="17"/>
        <v>0</v>
      </c>
      <c r="O142" s="55">
        <f t="shared" si="12"/>
        <v>0</v>
      </c>
      <c r="P142" s="55">
        <f t="shared" si="13"/>
        <v>0</v>
      </c>
      <c r="Q142" s="55">
        <f t="shared" si="14"/>
        <v>0</v>
      </c>
      <c r="R142" s="55">
        <f t="shared" si="15"/>
        <v>0</v>
      </c>
      <c r="S142" s="55">
        <f t="shared" si="16"/>
        <v>0</v>
      </c>
      <c r="U142" s="51">
        <f>NPV(Inputs!$C$6,'Vendas ajustada'!O142:R142)+(S142*Inputs!$C$11)/(1+Inputs!$C$6)^(4.55)</f>
        <v>0</v>
      </c>
    </row>
    <row r="143" spans="1:21">
      <c r="A143" s="192" t="s">
        <v>4878</v>
      </c>
      <c r="B143" s="50" t="s">
        <v>4873</v>
      </c>
      <c r="C143" s="50">
        <v>6</v>
      </c>
      <c r="D143" s="51">
        <v>100001</v>
      </c>
      <c r="E143" s="51">
        <v>300000</v>
      </c>
      <c r="G143" s="51"/>
      <c r="H143" s="51">
        <f>SUMIFS(Tarifas!$AF$7:$AF$320,Tarifas!$AB$7:$AB$320,$A143)*SUMIFS(Mercado!G$9:G$160,Mercado!$A$9:$A$160,$A143)</f>
        <v>0</v>
      </c>
      <c r="I143" s="51">
        <f>SUMIFS(Tarifas!$AF$7:$AF$320,Tarifas!$AB$7:$AB$320,$A143)*SUMIFS(Mercado!H$9:H$160,Mercado!$A$9:$A$160,$A143)</f>
        <v>0</v>
      </c>
      <c r="J143" s="51">
        <f>SUMIFS(Tarifas!$AF$7:$AF$320,Tarifas!$AB$7:$AB$320,$A143)*SUMIFS(Mercado!I$9:I$160,Mercado!$A$9:$A$160,$A143)</f>
        <v>0</v>
      </c>
      <c r="K143" s="51">
        <f>SUMIFS(Tarifas!$AF$7:$AF$320,Tarifas!$AB$7:$AB$320,$A143)*SUMIFS(Mercado!J$9:J$160,Mercado!$A$9:$A$160,$A143)</f>
        <v>0</v>
      </c>
      <c r="L143" s="51">
        <f>SUMIFS(Tarifas!$AF$7:$AF$320,Tarifas!$AB$7:$AB$320,$A143)*SUMIFS(Mercado!K$9:K$160,Mercado!$A$9:$A$160,$A143)</f>
        <v>0</v>
      </c>
      <c r="N143" s="55">
        <f t="shared" si="17"/>
        <v>0</v>
      </c>
      <c r="O143" s="55">
        <f t="shared" si="12"/>
        <v>0</v>
      </c>
      <c r="P143" s="55">
        <f t="shared" si="13"/>
        <v>0</v>
      </c>
      <c r="Q143" s="55">
        <f t="shared" si="14"/>
        <v>0</v>
      </c>
      <c r="R143" s="55">
        <f t="shared" si="15"/>
        <v>0</v>
      </c>
      <c r="S143" s="55">
        <f t="shared" si="16"/>
        <v>0</v>
      </c>
      <c r="U143" s="51">
        <f>NPV(Inputs!$C$6,'Vendas ajustada'!O143:R143)+(S143*Inputs!$C$11)/(1+Inputs!$C$6)^(4.55)</f>
        <v>0</v>
      </c>
    </row>
    <row r="144" spans="1:21">
      <c r="A144" s="192" t="s">
        <v>4879</v>
      </c>
      <c r="B144" s="50" t="s">
        <v>4873</v>
      </c>
      <c r="C144" s="50">
        <v>7</v>
      </c>
      <c r="D144" s="51">
        <v>300001</v>
      </c>
      <c r="E144" s="51">
        <v>600000</v>
      </c>
      <c r="G144" s="51"/>
      <c r="H144" s="51">
        <f>SUMIFS(Tarifas!$AF$7:$AF$320,Tarifas!$AB$7:$AB$320,$A144)*SUMIFS(Mercado!G$9:G$160,Mercado!$A$9:$A$160,$A144)</f>
        <v>0</v>
      </c>
      <c r="I144" s="51">
        <f>SUMIFS(Tarifas!$AF$7:$AF$320,Tarifas!$AB$7:$AB$320,$A144)*SUMIFS(Mercado!H$9:H$160,Mercado!$A$9:$A$160,$A144)</f>
        <v>0</v>
      </c>
      <c r="J144" s="51">
        <f>SUMIFS(Tarifas!$AF$7:$AF$320,Tarifas!$AB$7:$AB$320,$A144)*SUMIFS(Mercado!I$9:I$160,Mercado!$A$9:$A$160,$A144)</f>
        <v>0</v>
      </c>
      <c r="K144" s="51">
        <f>SUMIFS(Tarifas!$AF$7:$AF$320,Tarifas!$AB$7:$AB$320,$A144)*SUMIFS(Mercado!J$9:J$160,Mercado!$A$9:$A$160,$A144)</f>
        <v>0</v>
      </c>
      <c r="L144" s="51">
        <f>SUMIFS(Tarifas!$AF$7:$AF$320,Tarifas!$AB$7:$AB$320,$A144)*SUMIFS(Mercado!K$9:K$160,Mercado!$A$9:$A$160,$A144)</f>
        <v>0</v>
      </c>
      <c r="N144" s="55">
        <f t="shared" si="17"/>
        <v>0</v>
      </c>
      <c r="O144" s="55">
        <f t="shared" si="12"/>
        <v>0</v>
      </c>
      <c r="P144" s="55">
        <f t="shared" si="13"/>
        <v>0</v>
      </c>
      <c r="Q144" s="55">
        <f t="shared" si="14"/>
        <v>0</v>
      </c>
      <c r="R144" s="55">
        <f t="shared" si="15"/>
        <v>0</v>
      </c>
      <c r="S144" s="55">
        <f t="shared" si="16"/>
        <v>0</v>
      </c>
      <c r="U144" s="51">
        <f>NPV(Inputs!$C$6,'Vendas ajustada'!O144:R144)+(S144*Inputs!$C$11)/(1+Inputs!$C$6)^(4.55)</f>
        <v>0</v>
      </c>
    </row>
    <row r="145" spans="1:23">
      <c r="A145" s="192" t="s">
        <v>4880</v>
      </c>
      <c r="B145" s="50" t="s">
        <v>4873</v>
      </c>
      <c r="C145" s="50">
        <v>8</v>
      </c>
      <c r="D145" s="51">
        <v>600001</v>
      </c>
      <c r="E145" s="51">
        <v>1500000</v>
      </c>
      <c r="G145" s="51"/>
      <c r="H145" s="51">
        <f>SUMIFS(Tarifas!$AF$7:$AF$320,Tarifas!$AB$7:$AB$320,$A145)*SUMIFS(Mercado!G$9:G$160,Mercado!$A$9:$A$160,$A145)</f>
        <v>0</v>
      </c>
      <c r="I145" s="51">
        <f>SUMIFS(Tarifas!$AF$7:$AF$320,Tarifas!$AB$7:$AB$320,$A145)*SUMIFS(Mercado!H$9:H$160,Mercado!$A$9:$A$160,$A145)</f>
        <v>0</v>
      </c>
      <c r="J145" s="51">
        <f>SUMIFS(Tarifas!$AF$7:$AF$320,Tarifas!$AB$7:$AB$320,$A145)*SUMIFS(Mercado!I$9:I$160,Mercado!$A$9:$A$160,$A145)</f>
        <v>0</v>
      </c>
      <c r="K145" s="51">
        <f>SUMIFS(Tarifas!$AF$7:$AF$320,Tarifas!$AB$7:$AB$320,$A145)*SUMIFS(Mercado!J$9:J$160,Mercado!$A$9:$A$160,$A145)</f>
        <v>0</v>
      </c>
      <c r="L145" s="51">
        <f>SUMIFS(Tarifas!$AF$7:$AF$320,Tarifas!$AB$7:$AB$320,$A145)*SUMIFS(Mercado!K$9:K$160,Mercado!$A$9:$A$160,$A145)</f>
        <v>0</v>
      </c>
      <c r="N145" s="55">
        <f t="shared" si="17"/>
        <v>0</v>
      </c>
      <c r="O145" s="55">
        <f t="shared" si="12"/>
        <v>0</v>
      </c>
      <c r="P145" s="55">
        <f t="shared" si="13"/>
        <v>0</v>
      </c>
      <c r="Q145" s="55">
        <f t="shared" si="14"/>
        <v>0</v>
      </c>
      <c r="R145" s="55">
        <f t="shared" si="15"/>
        <v>0</v>
      </c>
      <c r="S145" s="55">
        <f t="shared" si="16"/>
        <v>0</v>
      </c>
      <c r="U145" s="51">
        <f>NPV(Inputs!$C$6,'Vendas ajustada'!O145:R145)+(S145*Inputs!$C$11)/(1+Inputs!$C$6)^(4.55)</f>
        <v>0</v>
      </c>
    </row>
    <row r="146" spans="1:23">
      <c r="A146" s="192" t="s">
        <v>4881</v>
      </c>
      <c r="B146" s="50" t="s">
        <v>4873</v>
      </c>
      <c r="C146" s="50">
        <v>9</v>
      </c>
      <c r="D146" s="51">
        <v>1500001</v>
      </c>
      <c r="E146" s="51">
        <v>3000000</v>
      </c>
      <c r="G146" s="51"/>
      <c r="H146" s="51">
        <f>SUMIFS(Tarifas!$AF$7:$AF$320,Tarifas!$AB$7:$AB$320,$A146)*SUMIFS(Mercado!G$9:G$160,Mercado!$A$9:$A$160,$A146)</f>
        <v>0</v>
      </c>
      <c r="I146" s="51">
        <f>SUMIFS(Tarifas!$AF$7:$AF$320,Tarifas!$AB$7:$AB$320,$A146)*SUMIFS(Mercado!H$9:H$160,Mercado!$A$9:$A$160,$A146)</f>
        <v>0</v>
      </c>
      <c r="J146" s="51">
        <f>SUMIFS(Tarifas!$AF$7:$AF$320,Tarifas!$AB$7:$AB$320,$A146)*SUMIFS(Mercado!I$9:I$160,Mercado!$A$9:$A$160,$A146)</f>
        <v>0</v>
      </c>
      <c r="K146" s="51">
        <f>SUMIFS(Tarifas!$AF$7:$AF$320,Tarifas!$AB$7:$AB$320,$A146)*SUMIFS(Mercado!J$9:J$160,Mercado!$A$9:$A$160,$A146)</f>
        <v>0</v>
      </c>
      <c r="L146" s="51">
        <f>SUMIFS(Tarifas!$AF$7:$AF$320,Tarifas!$AB$7:$AB$320,$A146)*SUMIFS(Mercado!K$9:K$160,Mercado!$A$9:$A$160,$A146)</f>
        <v>0</v>
      </c>
      <c r="N146" s="55">
        <f t="shared" si="17"/>
        <v>0</v>
      </c>
      <c r="O146" s="55">
        <f t="shared" si="12"/>
        <v>0</v>
      </c>
      <c r="P146" s="55">
        <f t="shared" si="13"/>
        <v>0</v>
      </c>
      <c r="Q146" s="55">
        <f t="shared" si="14"/>
        <v>0</v>
      </c>
      <c r="R146" s="55">
        <f t="shared" si="15"/>
        <v>0</v>
      </c>
      <c r="S146" s="55">
        <f t="shared" si="16"/>
        <v>0</v>
      </c>
      <c r="U146" s="51">
        <f>NPV(Inputs!$C$6,'Vendas ajustada'!O146:R146)+(S146*Inputs!$C$11)/(1+Inputs!$C$6)^(4.55)</f>
        <v>0</v>
      </c>
    </row>
    <row r="147" spans="1:23">
      <c r="A147" s="192" t="s">
        <v>4882</v>
      </c>
      <c r="B147" s="50" t="s">
        <v>4873</v>
      </c>
      <c r="C147" s="50">
        <v>10</v>
      </c>
      <c r="D147" s="51">
        <v>3000001</v>
      </c>
      <c r="E147" s="51">
        <v>999999999</v>
      </c>
      <c r="G147" s="51"/>
      <c r="H147" s="51">
        <f>SUMIFS(Tarifas!$AF$7:$AF$320,Tarifas!$AB$7:$AB$320,$A147)*SUMIFS(Mercado!G$9:G$160,Mercado!$A$9:$A$160,$A147)</f>
        <v>0</v>
      </c>
      <c r="I147" s="51">
        <f>SUMIFS(Tarifas!$AF$7:$AF$320,Tarifas!$AB$7:$AB$320,$A147)*SUMIFS(Mercado!H$9:H$160,Mercado!$A$9:$A$160,$A147)</f>
        <v>0</v>
      </c>
      <c r="J147" s="51">
        <f>SUMIFS(Tarifas!$AF$7:$AF$320,Tarifas!$AB$7:$AB$320,$A147)*SUMIFS(Mercado!I$9:I$160,Mercado!$A$9:$A$160,$A147)</f>
        <v>0</v>
      </c>
      <c r="K147" s="51">
        <f>SUMIFS(Tarifas!$AF$7:$AF$320,Tarifas!$AB$7:$AB$320,$A147)*SUMIFS(Mercado!J$9:J$160,Mercado!$A$9:$A$160,$A147)</f>
        <v>0</v>
      </c>
      <c r="L147" s="51">
        <f>SUMIFS(Tarifas!$AF$7:$AF$320,Tarifas!$AB$7:$AB$320,$A147)*SUMIFS(Mercado!K$9:K$160,Mercado!$A$9:$A$160,$A147)</f>
        <v>0</v>
      </c>
      <c r="N147" s="55">
        <f t="shared" si="17"/>
        <v>0</v>
      </c>
      <c r="O147" s="55">
        <f t="shared" si="12"/>
        <v>0</v>
      </c>
      <c r="P147" s="55">
        <f t="shared" si="13"/>
        <v>0</v>
      </c>
      <c r="Q147" s="55">
        <f t="shared" si="14"/>
        <v>0</v>
      </c>
      <c r="R147" s="55">
        <f t="shared" si="15"/>
        <v>0</v>
      </c>
      <c r="S147" s="55">
        <f t="shared" si="16"/>
        <v>0</v>
      </c>
      <c r="U147" s="51">
        <f>NPV(Inputs!$C$6,'Vendas ajustada'!O147:R147)+(S147*Inputs!$C$11)/(1+Inputs!$C$6)^(4.55)</f>
        <v>0</v>
      </c>
    </row>
    <row r="148" spans="1:23">
      <c r="A148" s="192"/>
      <c r="D148" s="51"/>
      <c r="E148" s="51"/>
      <c r="G148" s="51"/>
      <c r="H148" s="51"/>
      <c r="I148" s="51"/>
      <c r="J148" s="51"/>
      <c r="K148" s="51"/>
      <c r="L148" s="51"/>
      <c r="N148" s="55"/>
      <c r="O148" s="55"/>
      <c r="P148" s="55"/>
      <c r="Q148" s="55"/>
      <c r="R148" s="55"/>
      <c r="S148" s="55"/>
      <c r="U148" s="51"/>
    </row>
    <row r="149" spans="1:23">
      <c r="A149" s="192"/>
      <c r="D149" s="51"/>
      <c r="E149" s="51"/>
      <c r="G149" s="51"/>
      <c r="H149" s="51"/>
      <c r="I149" s="51"/>
      <c r="J149" s="51"/>
      <c r="K149" s="51"/>
      <c r="L149" s="51"/>
      <c r="N149" s="55"/>
      <c r="O149" s="55"/>
      <c r="P149" s="55"/>
      <c r="Q149" s="55"/>
      <c r="R149" s="55"/>
      <c r="S149" s="55"/>
      <c r="U149" s="51"/>
    </row>
    <row r="150" spans="1:23">
      <c r="A150" s="192"/>
      <c r="D150" s="51"/>
      <c r="E150" s="51"/>
      <c r="G150" s="51"/>
      <c r="H150" s="51"/>
      <c r="I150" s="51"/>
      <c r="J150" s="51"/>
      <c r="K150" s="51"/>
      <c r="L150" s="51"/>
      <c r="N150" s="55"/>
      <c r="O150" s="55"/>
      <c r="P150" s="55"/>
      <c r="Q150" s="55"/>
      <c r="R150" s="55"/>
      <c r="S150" s="55"/>
      <c r="U150" s="51"/>
    </row>
    <row r="151" spans="1:23">
      <c r="A151" s="192"/>
      <c r="D151" s="51"/>
      <c r="E151" s="51"/>
      <c r="G151" s="51"/>
      <c r="H151" s="51"/>
      <c r="I151" s="51"/>
      <c r="J151" s="51"/>
      <c r="K151" s="51"/>
      <c r="L151" s="51"/>
      <c r="N151" s="55"/>
      <c r="O151" s="55"/>
      <c r="P151" s="55"/>
      <c r="Q151" s="55"/>
      <c r="R151" s="55"/>
      <c r="S151" s="55"/>
      <c r="U151" s="51"/>
    </row>
    <row r="152" spans="1:23">
      <c r="A152" s="192"/>
      <c r="D152" s="51"/>
      <c r="E152" s="51"/>
      <c r="G152" s="51"/>
      <c r="H152" s="51"/>
      <c r="I152" s="51"/>
      <c r="J152" s="51"/>
      <c r="K152" s="51"/>
      <c r="L152" s="51"/>
      <c r="N152" s="55"/>
      <c r="O152" s="55"/>
      <c r="P152" s="55"/>
      <c r="Q152" s="55"/>
      <c r="R152" s="55"/>
      <c r="S152" s="55"/>
      <c r="U152" s="51"/>
    </row>
    <row r="153" spans="1:23">
      <c r="A153" s="192"/>
      <c r="D153" s="51"/>
      <c r="E153" s="51"/>
      <c r="G153" s="51"/>
      <c r="H153" s="51"/>
      <c r="I153" s="51"/>
      <c r="J153" s="51"/>
      <c r="K153" s="51"/>
      <c r="L153" s="51"/>
      <c r="N153" s="55"/>
      <c r="O153" s="55"/>
      <c r="P153" s="55"/>
      <c r="Q153" s="55"/>
      <c r="R153" s="55"/>
      <c r="S153" s="55"/>
      <c r="U153" s="51"/>
    </row>
    <row r="154" spans="1:23">
      <c r="G154" s="208">
        <f t="shared" ref="G154:K154" si="18">SUM(G3:G148)</f>
        <v>0</v>
      </c>
      <c r="H154" s="208">
        <f t="shared" si="18"/>
        <v>384021.32410142769</v>
      </c>
      <c r="I154" s="208">
        <f t="shared" si="18"/>
        <v>446270.31098759011</v>
      </c>
      <c r="J154" s="208">
        <f t="shared" si="18"/>
        <v>339205.93064292113</v>
      </c>
      <c r="K154" s="208">
        <f t="shared" si="18"/>
        <v>379297.69269267062</v>
      </c>
      <c r="L154" s="208">
        <f>SUM(L3:L148)</f>
        <v>373068.73643818044</v>
      </c>
      <c r="N154" s="208">
        <f t="shared" ref="N154:U154" si="19">SUM(N3:N148)</f>
        <v>0</v>
      </c>
      <c r="O154" s="208">
        <f t="shared" si="19"/>
        <v>384021.32410142769</v>
      </c>
      <c r="P154" s="208">
        <f t="shared" si="19"/>
        <v>446270.31098759011</v>
      </c>
      <c r="Q154" s="208">
        <f t="shared" si="19"/>
        <v>339205.93064292113</v>
      </c>
      <c r="R154" s="208">
        <f t="shared" si="19"/>
        <v>379297.69269267062</v>
      </c>
      <c r="S154" s="208">
        <f t="shared" si="19"/>
        <v>373068.73643818044</v>
      </c>
      <c r="U154" s="208">
        <f t="shared" si="19"/>
        <v>1400010.1305726082</v>
      </c>
    </row>
    <row r="155" spans="1:23">
      <c r="U155" s="51"/>
    </row>
    <row r="156" spans="1:23">
      <c r="U156" s="51"/>
    </row>
    <row r="157" spans="1:23">
      <c r="B157" s="195" t="s">
        <v>4749</v>
      </c>
      <c r="C157" s="196"/>
      <c r="D157" s="196"/>
      <c r="E157" s="196"/>
      <c r="G157" s="242">
        <f>+G2</f>
        <v>2022</v>
      </c>
      <c r="H157" s="243">
        <f t="shared" ref="H157:L157" si="20">+H2</f>
        <v>2023</v>
      </c>
      <c r="I157" s="243">
        <f t="shared" si="20"/>
        <v>2024</v>
      </c>
      <c r="J157" s="244">
        <f t="shared" si="20"/>
        <v>2025</v>
      </c>
      <c r="K157" s="244">
        <f t="shared" si="20"/>
        <v>2026</v>
      </c>
      <c r="L157" s="244">
        <f t="shared" si="20"/>
        <v>2027</v>
      </c>
      <c r="N157" s="242">
        <f>+N2</f>
        <v>2022</v>
      </c>
      <c r="O157" s="243">
        <f t="shared" ref="O157:S157" si="21">+O2</f>
        <v>2023</v>
      </c>
      <c r="P157" s="243">
        <f t="shared" si="21"/>
        <v>2024</v>
      </c>
      <c r="Q157" s="244">
        <f t="shared" si="21"/>
        <v>2025</v>
      </c>
      <c r="R157" s="244">
        <f t="shared" si="21"/>
        <v>2026</v>
      </c>
      <c r="S157" s="244">
        <f t="shared" si="21"/>
        <v>2027</v>
      </c>
      <c r="U157" s="51"/>
    </row>
    <row r="158" spans="1:23">
      <c r="B158" s="50" t="s">
        <v>47</v>
      </c>
      <c r="G158" s="51">
        <f>SUMIFS(G$3:G$148,$B$3:$B$148,$B158)</f>
        <v>0</v>
      </c>
      <c r="H158" s="51">
        <f t="shared" ref="H158:L158" si="22">SUMIFS(H$3:H$148,$B$3:$B$148,$B158)</f>
        <v>27902.253385563203</v>
      </c>
      <c r="I158" s="51">
        <f t="shared" si="22"/>
        <v>27638.456615081192</v>
      </c>
      <c r="J158" s="51">
        <f t="shared" si="22"/>
        <v>27485.955313659775</v>
      </c>
      <c r="K158" s="51">
        <f t="shared" si="22"/>
        <v>27447.902431773349</v>
      </c>
      <c r="L158" s="51">
        <f t="shared" si="22"/>
        <v>27401.975545990063</v>
      </c>
      <c r="N158" s="51">
        <f>SUMIFS(N$3:N$148,$B$3:$B$148,$B158)</f>
        <v>0</v>
      </c>
      <c r="O158" s="51">
        <f t="shared" ref="O158:S158" si="23">SUMIFS(O$3:O$148,$B$3:$B$148,$B158)</f>
        <v>27902.253385563203</v>
      </c>
      <c r="P158" s="51">
        <f t="shared" si="23"/>
        <v>27638.456615081192</v>
      </c>
      <c r="Q158" s="51">
        <f t="shared" si="23"/>
        <v>27485.955313659775</v>
      </c>
      <c r="R158" s="51">
        <f t="shared" si="23"/>
        <v>27447.902431773349</v>
      </c>
      <c r="S158" s="51">
        <f t="shared" si="23"/>
        <v>27401.975545990063</v>
      </c>
      <c r="U158" s="58">
        <f>NPV(Inputs!$C$6,'Vendas ajustada'!O158:R158)+(S158*Inputs!$C$11)/(1+Inputs!$C$6)^(4.55)</f>
        <v>99916.384447690187</v>
      </c>
      <c r="V158" s="58"/>
      <c r="W158" s="194"/>
    </row>
    <row r="159" spans="1:23">
      <c r="B159" s="50" t="s">
        <v>4597</v>
      </c>
      <c r="G159" s="51">
        <f t="shared" ref="G159:L179" si="24">SUMIFS(G$3:G$148,$B$3:$B$148,$B159)</f>
        <v>0</v>
      </c>
      <c r="H159" s="51">
        <f t="shared" si="24"/>
        <v>136.41273967635925</v>
      </c>
      <c r="I159" s="51">
        <f t="shared" si="24"/>
        <v>106.06665486446701</v>
      </c>
      <c r="J159" s="51">
        <f t="shared" si="24"/>
        <v>139.35451065302891</v>
      </c>
      <c r="K159" s="51">
        <f t="shared" si="24"/>
        <v>141.61191437293655</v>
      </c>
      <c r="L159" s="51">
        <f t="shared" si="24"/>
        <v>143.71481782768069</v>
      </c>
      <c r="N159" s="51">
        <f t="shared" ref="N159:S179" si="25">SUMIFS(N$3:N$148,$B$3:$B$148,$B159)</f>
        <v>0</v>
      </c>
      <c r="O159" s="51">
        <f t="shared" si="25"/>
        <v>136.41273967635925</v>
      </c>
      <c r="P159" s="51">
        <f t="shared" si="25"/>
        <v>106.06665486446701</v>
      </c>
      <c r="Q159" s="51">
        <f t="shared" si="25"/>
        <v>139.35451065302891</v>
      </c>
      <c r="R159" s="51">
        <f t="shared" si="25"/>
        <v>141.61191437293655</v>
      </c>
      <c r="S159" s="51">
        <f t="shared" si="25"/>
        <v>143.71481782768069</v>
      </c>
      <c r="U159" s="58">
        <f>NPV(Inputs!$C$6,'Vendas ajustada'!O159:R159)+(S159*Inputs!$C$11)/(1+Inputs!$C$6)^(4.55)</f>
        <v>476.75705663966147</v>
      </c>
      <c r="V159" s="58"/>
      <c r="W159" s="194"/>
    </row>
    <row r="160" spans="1:23">
      <c r="B160" s="50" t="s">
        <v>17</v>
      </c>
      <c r="G160" s="51">
        <f t="shared" si="24"/>
        <v>0</v>
      </c>
      <c r="H160" s="51">
        <f t="shared" si="24"/>
        <v>14172.53241166411</v>
      </c>
      <c r="I160" s="51">
        <f t="shared" si="24"/>
        <v>14180.265839244796</v>
      </c>
      <c r="J160" s="51">
        <f t="shared" si="24"/>
        <v>13769.255414870686</v>
      </c>
      <c r="K160" s="51">
        <f t="shared" si="24"/>
        <v>13514.24951324285</v>
      </c>
      <c r="L160" s="51">
        <f t="shared" si="24"/>
        <v>13490.40541660348</v>
      </c>
      <c r="N160" s="51">
        <f t="shared" si="25"/>
        <v>0</v>
      </c>
      <c r="O160" s="51">
        <f t="shared" si="25"/>
        <v>14172.53241166411</v>
      </c>
      <c r="P160" s="51">
        <f t="shared" si="25"/>
        <v>14180.265839244796</v>
      </c>
      <c r="Q160" s="51">
        <f t="shared" si="25"/>
        <v>13769.255414870686</v>
      </c>
      <c r="R160" s="51">
        <f t="shared" si="25"/>
        <v>13514.24951324285</v>
      </c>
      <c r="S160" s="51">
        <f t="shared" si="25"/>
        <v>13490.40541660348</v>
      </c>
      <c r="U160" s="58">
        <f>NPV(Inputs!$C$6,'Vendas ajustada'!O160:R160)+(S160*Inputs!$C$11)/(1+Inputs!$C$6)^(4.55)</f>
        <v>50258.520248518456</v>
      </c>
      <c r="V160" s="58"/>
      <c r="W160" s="194"/>
    </row>
    <row r="161" spans="2:23">
      <c r="B161" s="50" t="s">
        <v>103</v>
      </c>
      <c r="G161" s="51">
        <f t="shared" si="24"/>
        <v>0</v>
      </c>
      <c r="H161" s="51">
        <f t="shared" si="24"/>
        <v>399.51669548181223</v>
      </c>
      <c r="I161" s="51">
        <f t="shared" si="24"/>
        <v>460.84495826333028</v>
      </c>
      <c r="J161" s="51">
        <f t="shared" si="24"/>
        <v>451.37088924387876</v>
      </c>
      <c r="K161" s="51">
        <f t="shared" si="24"/>
        <v>443.01152360556796</v>
      </c>
      <c r="L161" s="51">
        <f t="shared" si="24"/>
        <v>442.22988866750836</v>
      </c>
      <c r="N161" s="51">
        <f t="shared" si="25"/>
        <v>0</v>
      </c>
      <c r="O161" s="51">
        <f t="shared" si="25"/>
        <v>399.51669548181223</v>
      </c>
      <c r="P161" s="51">
        <f t="shared" si="25"/>
        <v>460.84495826333028</v>
      </c>
      <c r="Q161" s="51">
        <f t="shared" si="25"/>
        <v>451.37088924387876</v>
      </c>
      <c r="R161" s="51">
        <f t="shared" si="25"/>
        <v>443.01152360556796</v>
      </c>
      <c r="S161" s="51">
        <f t="shared" si="25"/>
        <v>442.22988866750836</v>
      </c>
      <c r="U161" s="58">
        <f>NPV(Inputs!$C$6,'Vendas ajustada'!O161:R161)+(S161*Inputs!$C$11)/(1+Inputs!$C$6)^(4.55)</f>
        <v>1584.4120602159765</v>
      </c>
      <c r="V161" s="58"/>
      <c r="W161" s="194"/>
    </row>
    <row r="162" spans="2:23">
      <c r="B162" s="50" t="s">
        <v>105</v>
      </c>
      <c r="G162" s="51">
        <f t="shared" si="24"/>
        <v>0</v>
      </c>
      <c r="H162" s="51">
        <f t="shared" si="24"/>
        <v>5.8264461065897647E-3</v>
      </c>
      <c r="I162" s="51">
        <f t="shared" si="24"/>
        <v>0</v>
      </c>
      <c r="J162" s="51">
        <f t="shared" si="24"/>
        <v>0</v>
      </c>
      <c r="K162" s="51">
        <f t="shared" si="24"/>
        <v>0</v>
      </c>
      <c r="L162" s="51">
        <f t="shared" si="24"/>
        <v>0</v>
      </c>
      <c r="N162" s="51">
        <f t="shared" si="25"/>
        <v>0</v>
      </c>
      <c r="O162" s="51">
        <f t="shared" si="25"/>
        <v>5.8264461065897647E-3</v>
      </c>
      <c r="P162" s="51">
        <f t="shared" si="25"/>
        <v>0</v>
      </c>
      <c r="Q162" s="51">
        <f t="shared" si="25"/>
        <v>0</v>
      </c>
      <c r="R162" s="51">
        <f t="shared" si="25"/>
        <v>0</v>
      </c>
      <c r="S162" s="51">
        <f t="shared" si="25"/>
        <v>0</v>
      </c>
      <c r="U162" s="58">
        <f>NPV(Inputs!$C$6,'Vendas ajustada'!O162:R162)+(S162*Inputs!$C$11)/(1+Inputs!$C$6)^(4.55)</f>
        <v>5.3492894845664383E-3</v>
      </c>
      <c r="V162" s="58"/>
      <c r="W162" s="194"/>
    </row>
    <row r="163" spans="2:23">
      <c r="B163" s="50" t="s">
        <v>104</v>
      </c>
      <c r="G163" s="51">
        <f t="shared" si="24"/>
        <v>0</v>
      </c>
      <c r="H163" s="51">
        <f t="shared" si="24"/>
        <v>259.82894454165751</v>
      </c>
      <c r="I163" s="51">
        <f t="shared" si="24"/>
        <v>280.38926487559326</v>
      </c>
      <c r="J163" s="51">
        <f t="shared" si="24"/>
        <v>215.85132973031276</v>
      </c>
      <c r="K163" s="51">
        <f t="shared" si="24"/>
        <v>211.85377421282271</v>
      </c>
      <c r="L163" s="51">
        <f t="shared" si="24"/>
        <v>211.47998639272987</v>
      </c>
      <c r="N163" s="51">
        <f t="shared" si="25"/>
        <v>0</v>
      </c>
      <c r="O163" s="51">
        <f t="shared" si="25"/>
        <v>259.82894454165751</v>
      </c>
      <c r="P163" s="51">
        <f t="shared" si="25"/>
        <v>280.38926487559326</v>
      </c>
      <c r="Q163" s="51">
        <f t="shared" si="25"/>
        <v>215.85132973031276</v>
      </c>
      <c r="R163" s="51">
        <f t="shared" si="25"/>
        <v>211.85377421282271</v>
      </c>
      <c r="S163" s="51">
        <f t="shared" si="25"/>
        <v>211.47998639272987</v>
      </c>
      <c r="U163" s="58">
        <f>NPV(Inputs!$C$6,'Vendas ajustada'!O163:R163)+(S163*Inputs!$C$11)/(1+Inputs!$C$6)^(4.55)</f>
        <v>871.40990963726108</v>
      </c>
      <c r="V163" s="58"/>
      <c r="W163" s="194"/>
    </row>
    <row r="164" spans="2:23">
      <c r="B164" s="50" t="s">
        <v>19</v>
      </c>
      <c r="G164" s="51">
        <f t="shared" si="24"/>
        <v>0</v>
      </c>
      <c r="H164" s="51">
        <f t="shared" si="24"/>
        <v>72869.571451113516</v>
      </c>
      <c r="I164" s="51">
        <f t="shared" si="24"/>
        <v>63488.848114409047</v>
      </c>
      <c r="J164" s="51">
        <f t="shared" si="24"/>
        <v>55870.186340679953</v>
      </c>
      <c r="K164" s="51">
        <f t="shared" si="24"/>
        <v>51959.273296832362</v>
      </c>
      <c r="L164" s="51">
        <f t="shared" si="24"/>
        <v>50400.495097927393</v>
      </c>
      <c r="N164" s="51">
        <f t="shared" si="25"/>
        <v>0</v>
      </c>
      <c r="O164" s="51">
        <f t="shared" si="25"/>
        <v>72869.571451113516</v>
      </c>
      <c r="P164" s="51">
        <f t="shared" si="25"/>
        <v>63488.848114409047</v>
      </c>
      <c r="Q164" s="51">
        <f t="shared" si="25"/>
        <v>55870.186340679953</v>
      </c>
      <c r="R164" s="51">
        <f t="shared" si="25"/>
        <v>51959.273296832362</v>
      </c>
      <c r="S164" s="51">
        <f t="shared" si="25"/>
        <v>50400.495097927393</v>
      </c>
      <c r="U164" s="58">
        <f>NPV(Inputs!$C$6,'Vendas ajustada'!O164:R164)+(S164*Inputs!$C$11)/(1+Inputs!$C$6)^(4.55)</f>
        <v>219387.16968348474</v>
      </c>
      <c r="V164" s="58"/>
      <c r="W164" s="194"/>
    </row>
    <row r="165" spans="2:23">
      <c r="B165" s="50" t="s">
        <v>148</v>
      </c>
      <c r="G165" s="51">
        <f t="shared" si="24"/>
        <v>0</v>
      </c>
      <c r="H165" s="51">
        <f t="shared" si="24"/>
        <v>0</v>
      </c>
      <c r="I165" s="51">
        <f t="shared" si="24"/>
        <v>0</v>
      </c>
      <c r="J165" s="51">
        <f t="shared" si="24"/>
        <v>0</v>
      </c>
      <c r="K165" s="51">
        <f t="shared" si="24"/>
        <v>0</v>
      </c>
      <c r="L165" s="51">
        <f t="shared" si="24"/>
        <v>0</v>
      </c>
      <c r="N165" s="51">
        <f t="shared" si="25"/>
        <v>0</v>
      </c>
      <c r="O165" s="51">
        <f t="shared" si="25"/>
        <v>0</v>
      </c>
      <c r="P165" s="51">
        <f t="shared" si="25"/>
        <v>0</v>
      </c>
      <c r="Q165" s="51">
        <f t="shared" si="25"/>
        <v>0</v>
      </c>
      <c r="R165" s="51">
        <f t="shared" si="25"/>
        <v>0</v>
      </c>
      <c r="S165" s="51">
        <f t="shared" si="25"/>
        <v>0</v>
      </c>
      <c r="U165" s="58">
        <f>NPV(Inputs!$C$6,'Vendas ajustada'!O165:R165)+(S165*Inputs!$C$11)/(1+Inputs!$C$6)^(4.55)</f>
        <v>0</v>
      </c>
      <c r="V165" s="58"/>
      <c r="W165" s="194"/>
    </row>
    <row r="166" spans="2:23">
      <c r="B166" s="50" t="s">
        <v>18</v>
      </c>
      <c r="G166" s="51">
        <f t="shared" si="24"/>
        <v>0</v>
      </c>
      <c r="H166" s="51">
        <f t="shared" si="24"/>
        <v>230257.99557326932</v>
      </c>
      <c r="I166" s="51">
        <f t="shared" si="24"/>
        <v>150052.91146616417</v>
      </c>
      <c r="J166" s="51">
        <f t="shared" si="24"/>
        <v>90581.035357352506</v>
      </c>
      <c r="K166" s="51">
        <f t="shared" si="24"/>
        <v>89502.732826183506</v>
      </c>
      <c r="L166" s="51">
        <f t="shared" si="24"/>
        <v>87181.577885201477</v>
      </c>
      <c r="N166" s="51">
        <f t="shared" si="25"/>
        <v>0</v>
      </c>
      <c r="O166" s="51">
        <f t="shared" si="25"/>
        <v>230257.99557326932</v>
      </c>
      <c r="P166" s="51">
        <f t="shared" si="25"/>
        <v>150052.91146616417</v>
      </c>
      <c r="Q166" s="51">
        <f t="shared" si="25"/>
        <v>90581.035357352506</v>
      </c>
      <c r="R166" s="51">
        <f t="shared" si="25"/>
        <v>89502.732826183506</v>
      </c>
      <c r="S166" s="51">
        <f t="shared" si="25"/>
        <v>87181.577885201477</v>
      </c>
      <c r="U166" s="58">
        <f>NPV(Inputs!$C$6,'Vendas ajustada'!O166:R166)+(S166*Inputs!$C$11)/(1+Inputs!$C$6)^(4.55)</f>
        <v>504120.33836256625</v>
      </c>
      <c r="V166" s="58"/>
      <c r="W166" s="194"/>
    </row>
    <row r="167" spans="2:23">
      <c r="B167" s="50" t="s">
        <v>106</v>
      </c>
      <c r="G167" s="51">
        <f t="shared" si="24"/>
        <v>0</v>
      </c>
      <c r="H167" s="51">
        <f t="shared" si="24"/>
        <v>14180.944310453593</v>
      </c>
      <c r="I167" s="51">
        <f t="shared" si="24"/>
        <v>15187.690308530504</v>
      </c>
      <c r="J167" s="51">
        <f t="shared" si="24"/>
        <v>15187.690308530504</v>
      </c>
      <c r="K167" s="51">
        <f t="shared" si="24"/>
        <v>15187.690308530504</v>
      </c>
      <c r="L167" s="51">
        <f t="shared" si="24"/>
        <v>15187.690308530504</v>
      </c>
      <c r="N167" s="51">
        <f t="shared" si="25"/>
        <v>0</v>
      </c>
      <c r="O167" s="51">
        <f t="shared" si="25"/>
        <v>14180.944310453593</v>
      </c>
      <c r="P167" s="51">
        <f t="shared" si="25"/>
        <v>15187.690308530504</v>
      </c>
      <c r="Q167" s="51">
        <f t="shared" si="25"/>
        <v>15187.690308530504</v>
      </c>
      <c r="R167" s="51">
        <f t="shared" si="25"/>
        <v>15187.690308530504</v>
      </c>
      <c r="S167" s="51">
        <f t="shared" si="25"/>
        <v>15187.690308530504</v>
      </c>
      <c r="U167" s="58">
        <f>NPV(Inputs!$C$6,'Vendas ajustada'!O167:R167)+(S167*Inputs!$C$11)/(1+Inputs!$C$6)^(4.55)</f>
        <v>54035.724372923767</v>
      </c>
      <c r="V167" s="58"/>
      <c r="W167" s="194"/>
    </row>
    <row r="168" spans="2:23">
      <c r="B168" s="50" t="s">
        <v>110</v>
      </c>
      <c r="G168" s="51">
        <f t="shared" si="24"/>
        <v>0</v>
      </c>
      <c r="H168" s="51">
        <f t="shared" si="24"/>
        <v>0</v>
      </c>
      <c r="I168" s="51">
        <f t="shared" si="24"/>
        <v>0</v>
      </c>
      <c r="J168" s="51">
        <f t="shared" si="24"/>
        <v>0</v>
      </c>
      <c r="K168" s="51">
        <f t="shared" si="24"/>
        <v>0</v>
      </c>
      <c r="L168" s="51">
        <f t="shared" si="24"/>
        <v>0</v>
      </c>
      <c r="N168" s="51">
        <f t="shared" si="25"/>
        <v>0</v>
      </c>
      <c r="O168" s="51">
        <f t="shared" si="25"/>
        <v>0</v>
      </c>
      <c r="P168" s="51">
        <f t="shared" si="25"/>
        <v>0</v>
      </c>
      <c r="Q168" s="51">
        <f t="shared" si="25"/>
        <v>0</v>
      </c>
      <c r="R168" s="51">
        <f t="shared" si="25"/>
        <v>0</v>
      </c>
      <c r="S168" s="51">
        <f t="shared" si="25"/>
        <v>0</v>
      </c>
      <c r="U168" s="58">
        <f>NPV(Inputs!$C$6,'Vendas ajustada'!O168:R168)+(S168*Inputs!$C$11)/(1+Inputs!$C$6)^(4.55)</f>
        <v>0</v>
      </c>
      <c r="V168" s="58"/>
      <c r="W168" s="194"/>
    </row>
    <row r="169" spans="2:23">
      <c r="B169" s="50" t="s">
        <v>111</v>
      </c>
      <c r="G169" s="51">
        <f t="shared" si="24"/>
        <v>0</v>
      </c>
      <c r="H169" s="51">
        <f t="shared" si="24"/>
        <v>14580.836862956265</v>
      </c>
      <c r="I169" s="51">
        <f t="shared" si="24"/>
        <v>54369.212567786119</v>
      </c>
      <c r="J169" s="51">
        <f t="shared" si="24"/>
        <v>0</v>
      </c>
      <c r="K169" s="51">
        <f t="shared" si="24"/>
        <v>0</v>
      </c>
      <c r="L169" s="51">
        <f t="shared" si="24"/>
        <v>0</v>
      </c>
      <c r="N169" s="51">
        <f t="shared" si="25"/>
        <v>0</v>
      </c>
      <c r="O169" s="51">
        <f t="shared" si="25"/>
        <v>14580.836862956265</v>
      </c>
      <c r="P169" s="51">
        <f t="shared" si="25"/>
        <v>54369.212567786119</v>
      </c>
      <c r="Q169" s="51">
        <f t="shared" si="25"/>
        <v>0</v>
      </c>
      <c r="R169" s="51">
        <f t="shared" si="25"/>
        <v>0</v>
      </c>
      <c r="S169" s="51">
        <f t="shared" si="25"/>
        <v>0</v>
      </c>
      <c r="U169" s="58">
        <f>NPV(Inputs!$C$6,'Vendas ajustada'!O169:R169)+(S169*Inputs!$C$11)/(1+Inputs!$C$6)^(4.55)</f>
        <v>59215.464987761254</v>
      </c>
      <c r="V169" s="58"/>
      <c r="W169" s="194"/>
    </row>
    <row r="170" spans="2:23">
      <c r="B170" s="50" t="s">
        <v>4632</v>
      </c>
      <c r="G170" s="51">
        <f t="shared" si="24"/>
        <v>0</v>
      </c>
      <c r="H170" s="51">
        <f t="shared" si="24"/>
        <v>0</v>
      </c>
      <c r="I170" s="51">
        <f t="shared" si="24"/>
        <v>0</v>
      </c>
      <c r="J170" s="51">
        <f t="shared" si="24"/>
        <v>0</v>
      </c>
      <c r="K170" s="51">
        <f t="shared" si="24"/>
        <v>0</v>
      </c>
      <c r="L170" s="51">
        <f t="shared" si="24"/>
        <v>0</v>
      </c>
      <c r="N170" s="51">
        <f t="shared" si="25"/>
        <v>0</v>
      </c>
      <c r="O170" s="51">
        <f t="shared" si="25"/>
        <v>0</v>
      </c>
      <c r="P170" s="51">
        <f t="shared" si="25"/>
        <v>0</v>
      </c>
      <c r="Q170" s="51">
        <f t="shared" si="25"/>
        <v>0</v>
      </c>
      <c r="R170" s="51">
        <f t="shared" si="25"/>
        <v>0</v>
      </c>
      <c r="S170" s="51">
        <f t="shared" si="25"/>
        <v>0</v>
      </c>
      <c r="U170" s="58">
        <f>NPV(Inputs!$C$6,'Vendas ajustada'!O170:R170)+(S170*Inputs!$C$11)/(1+Inputs!$C$6)^(4.55)</f>
        <v>0</v>
      </c>
      <c r="V170" s="58"/>
      <c r="W170" s="194"/>
    </row>
    <row r="171" spans="2:23">
      <c r="B171" s="50" t="s">
        <v>4633</v>
      </c>
      <c r="G171" s="51">
        <f t="shared" si="24"/>
        <v>0</v>
      </c>
      <c r="H171" s="51">
        <f t="shared" si="24"/>
        <v>0</v>
      </c>
      <c r="I171" s="51">
        <f t="shared" si="24"/>
        <v>0</v>
      </c>
      <c r="J171" s="51">
        <f t="shared" si="24"/>
        <v>0</v>
      </c>
      <c r="K171" s="51">
        <f t="shared" si="24"/>
        <v>0</v>
      </c>
      <c r="L171" s="51">
        <f t="shared" si="24"/>
        <v>0</v>
      </c>
      <c r="N171" s="51">
        <f t="shared" si="25"/>
        <v>0</v>
      </c>
      <c r="O171" s="51">
        <f t="shared" si="25"/>
        <v>0</v>
      </c>
      <c r="P171" s="51">
        <f t="shared" si="25"/>
        <v>0</v>
      </c>
      <c r="Q171" s="51">
        <f t="shared" si="25"/>
        <v>0</v>
      </c>
      <c r="R171" s="51">
        <f t="shared" si="25"/>
        <v>0</v>
      </c>
      <c r="S171" s="51">
        <f t="shared" si="25"/>
        <v>0</v>
      </c>
      <c r="U171" s="58">
        <f>NPV(Inputs!$C$6,'Vendas ajustada'!O171:R171)+(S171*Inputs!$C$11)/(1+Inputs!$C$6)^(4.55)</f>
        <v>0</v>
      </c>
      <c r="V171" s="58"/>
      <c r="W171" s="194"/>
    </row>
    <row r="172" spans="2:23">
      <c r="B172" s="50" t="s">
        <v>4635</v>
      </c>
      <c r="G172" s="51">
        <f t="shared" si="24"/>
        <v>0</v>
      </c>
      <c r="H172" s="51">
        <f t="shared" si="24"/>
        <v>9261.4259002616873</v>
      </c>
      <c r="I172" s="51">
        <f t="shared" si="24"/>
        <v>35001.344139856461</v>
      </c>
      <c r="J172" s="51">
        <f t="shared" si="24"/>
        <v>14305.357657930772</v>
      </c>
      <c r="K172" s="51">
        <f t="shared" si="24"/>
        <v>62016.227882501204</v>
      </c>
      <c r="L172" s="51">
        <f t="shared" si="24"/>
        <v>62016.227882501204</v>
      </c>
      <c r="N172" s="51">
        <f t="shared" si="25"/>
        <v>0</v>
      </c>
      <c r="O172" s="51">
        <f t="shared" si="25"/>
        <v>9261.4259002616873</v>
      </c>
      <c r="P172" s="51">
        <f t="shared" si="25"/>
        <v>35001.344139856461</v>
      </c>
      <c r="Q172" s="51">
        <f t="shared" si="25"/>
        <v>14305.357657930772</v>
      </c>
      <c r="R172" s="51">
        <f t="shared" si="25"/>
        <v>62016.227882501204</v>
      </c>
      <c r="S172" s="51">
        <f t="shared" si="25"/>
        <v>62016.227882501204</v>
      </c>
      <c r="U172" s="58">
        <f>NPV(Inputs!$C$6,'Vendas ajustada'!O172:R172)+(S172*Inputs!$C$11)/(1+Inputs!$C$6)^(4.55)</f>
        <v>116290.92943768018</v>
      </c>
      <c r="V172" s="58"/>
      <c r="W172" s="194"/>
    </row>
    <row r="173" spans="2:23">
      <c r="B173" s="50" t="s">
        <v>152</v>
      </c>
      <c r="G173" s="51">
        <f t="shared" si="24"/>
        <v>0</v>
      </c>
      <c r="H173" s="51">
        <f t="shared" si="24"/>
        <v>0</v>
      </c>
      <c r="I173" s="51">
        <f t="shared" si="24"/>
        <v>85504.281058514476</v>
      </c>
      <c r="J173" s="51">
        <f t="shared" si="24"/>
        <v>121199.87352026974</v>
      </c>
      <c r="K173" s="51">
        <f t="shared" si="24"/>
        <v>118873.13922141553</v>
      </c>
      <c r="L173" s="51">
        <f t="shared" si="24"/>
        <v>116592.93960853844</v>
      </c>
      <c r="N173" s="51">
        <f t="shared" si="25"/>
        <v>0</v>
      </c>
      <c r="O173" s="51">
        <f t="shared" si="25"/>
        <v>0</v>
      </c>
      <c r="P173" s="51">
        <f t="shared" si="25"/>
        <v>85504.281058514476</v>
      </c>
      <c r="Q173" s="51">
        <f t="shared" si="25"/>
        <v>121199.87352026974</v>
      </c>
      <c r="R173" s="51">
        <f t="shared" si="25"/>
        <v>118873.13922141553</v>
      </c>
      <c r="S173" s="51">
        <f t="shared" si="25"/>
        <v>116592.93960853844</v>
      </c>
      <c r="U173" s="58">
        <f>NPV(Inputs!$C$6,'Vendas ajustada'!O173:R173)+(S173*Inputs!$C$11)/(1+Inputs!$C$6)^(4.55)</f>
        <v>293853.01465620089</v>
      </c>
      <c r="V173" s="58"/>
      <c r="W173" s="194"/>
    </row>
    <row r="174" spans="2:23">
      <c r="B174" s="50" t="s">
        <v>4636</v>
      </c>
      <c r="G174" s="51">
        <f t="shared" si="24"/>
        <v>0</v>
      </c>
      <c r="H174" s="51">
        <f t="shared" si="24"/>
        <v>0</v>
      </c>
      <c r="I174" s="51">
        <f t="shared" si="24"/>
        <v>0</v>
      </c>
      <c r="J174" s="51">
        <f t="shared" si="24"/>
        <v>0</v>
      </c>
      <c r="K174" s="51">
        <f t="shared" si="24"/>
        <v>0</v>
      </c>
      <c r="L174" s="51">
        <f t="shared" si="24"/>
        <v>0</v>
      </c>
      <c r="N174" s="51">
        <f t="shared" si="25"/>
        <v>0</v>
      </c>
      <c r="O174" s="51">
        <f t="shared" si="25"/>
        <v>0</v>
      </c>
      <c r="P174" s="51">
        <f t="shared" si="25"/>
        <v>0</v>
      </c>
      <c r="Q174" s="51">
        <f t="shared" si="25"/>
        <v>0</v>
      </c>
      <c r="R174" s="51">
        <f t="shared" si="25"/>
        <v>0</v>
      </c>
      <c r="S174" s="51">
        <f t="shared" si="25"/>
        <v>0</v>
      </c>
      <c r="U174" s="58">
        <f>NPV(Inputs!$C$6,'Vendas ajustada'!O174:R174)+(S174*Inputs!$C$11)/(1+Inputs!$C$6)^(4.55)</f>
        <v>0</v>
      </c>
      <c r="V174" s="58"/>
      <c r="W174" s="194"/>
    </row>
    <row r="175" spans="2:23">
      <c r="B175" s="50" t="s">
        <v>4835</v>
      </c>
      <c r="G175" s="51">
        <f t="shared" si="24"/>
        <v>0</v>
      </c>
      <c r="H175" s="51">
        <f t="shared" si="24"/>
        <v>0</v>
      </c>
      <c r="I175" s="51">
        <f t="shared" si="24"/>
        <v>0</v>
      </c>
      <c r="J175" s="51">
        <f t="shared" si="24"/>
        <v>0</v>
      </c>
      <c r="K175" s="51">
        <f t="shared" si="24"/>
        <v>0</v>
      </c>
      <c r="L175" s="51">
        <f t="shared" si="24"/>
        <v>0</v>
      </c>
      <c r="N175" s="51">
        <f t="shared" si="25"/>
        <v>0</v>
      </c>
      <c r="O175" s="51">
        <f t="shared" si="25"/>
        <v>0</v>
      </c>
      <c r="P175" s="51">
        <f t="shared" si="25"/>
        <v>0</v>
      </c>
      <c r="Q175" s="51">
        <f t="shared" si="25"/>
        <v>0</v>
      </c>
      <c r="R175" s="51">
        <f t="shared" si="25"/>
        <v>0</v>
      </c>
      <c r="S175" s="51">
        <f t="shared" si="25"/>
        <v>0</v>
      </c>
      <c r="U175" s="58">
        <f>NPV(Inputs!$C$6,'Vendas ajustada'!O175:R175)+(S175*Inputs!$C$11)/(1+Inputs!$C$6)^(4.55)</f>
        <v>0</v>
      </c>
      <c r="V175" s="58"/>
      <c r="W175" s="194"/>
    </row>
    <row r="176" spans="2:23">
      <c r="B176" s="50" t="s">
        <v>108</v>
      </c>
      <c r="G176" s="51">
        <f t="shared" si="24"/>
        <v>0</v>
      </c>
      <c r="H176" s="51">
        <f t="shared" si="24"/>
        <v>0</v>
      </c>
      <c r="I176" s="51">
        <f t="shared" si="24"/>
        <v>0</v>
      </c>
      <c r="J176" s="51">
        <f t="shared" si="24"/>
        <v>0</v>
      </c>
      <c r="K176" s="51">
        <f t="shared" si="24"/>
        <v>0</v>
      </c>
      <c r="L176" s="51">
        <f t="shared" si="24"/>
        <v>0</v>
      </c>
      <c r="N176" s="51">
        <f t="shared" si="25"/>
        <v>0</v>
      </c>
      <c r="O176" s="51">
        <f t="shared" si="25"/>
        <v>0</v>
      </c>
      <c r="P176" s="51">
        <f t="shared" si="25"/>
        <v>0</v>
      </c>
      <c r="Q176" s="51">
        <f t="shared" si="25"/>
        <v>0</v>
      </c>
      <c r="R176" s="51">
        <f t="shared" si="25"/>
        <v>0</v>
      </c>
      <c r="S176" s="51">
        <f t="shared" si="25"/>
        <v>0</v>
      </c>
      <c r="U176" s="58">
        <f>NPV(Inputs!$C$6,'Vendas ajustada'!O176:R176)+(S176*Inputs!$C$11)/(1+Inputs!$C$6)^(4.55)</f>
        <v>0</v>
      </c>
      <c r="V176" s="58"/>
      <c r="W176" s="194"/>
    </row>
    <row r="177" spans="2:23">
      <c r="B177" s="50" t="s">
        <v>109</v>
      </c>
      <c r="G177" s="51">
        <f t="shared" si="24"/>
        <v>0</v>
      </c>
      <c r="H177" s="51">
        <f t="shared" si="24"/>
        <v>0</v>
      </c>
      <c r="I177" s="51">
        <f t="shared" si="24"/>
        <v>0</v>
      </c>
      <c r="J177" s="51">
        <f t="shared" si="24"/>
        <v>0</v>
      </c>
      <c r="K177" s="51">
        <f t="shared" si="24"/>
        <v>0</v>
      </c>
      <c r="L177" s="51">
        <f t="shared" si="24"/>
        <v>0</v>
      </c>
      <c r="N177" s="51">
        <f t="shared" si="25"/>
        <v>0</v>
      </c>
      <c r="O177" s="51">
        <f t="shared" si="25"/>
        <v>0</v>
      </c>
      <c r="P177" s="51">
        <f t="shared" si="25"/>
        <v>0</v>
      </c>
      <c r="Q177" s="51">
        <f t="shared" si="25"/>
        <v>0</v>
      </c>
      <c r="R177" s="51">
        <f t="shared" si="25"/>
        <v>0</v>
      </c>
      <c r="S177" s="51">
        <f t="shared" si="25"/>
        <v>0</v>
      </c>
      <c r="U177" s="58">
        <f>NPV(Inputs!$C$6,'Vendas ajustada'!O177:R177)+(S177*Inputs!$C$11)/(1+Inputs!$C$6)^(4.55)</f>
        <v>0</v>
      </c>
      <c r="V177" s="58"/>
      <c r="W177" s="194"/>
    </row>
    <row r="178" spans="2:23">
      <c r="B178" s="50" t="s">
        <v>4862</v>
      </c>
      <c r="G178" s="51">
        <f t="shared" si="24"/>
        <v>0</v>
      </c>
      <c r="H178" s="51">
        <f t="shared" si="24"/>
        <v>0</v>
      </c>
      <c r="I178" s="51">
        <f t="shared" si="24"/>
        <v>0</v>
      </c>
      <c r="J178" s="51">
        <f t="shared" si="24"/>
        <v>0</v>
      </c>
      <c r="K178" s="51">
        <f t="shared" si="24"/>
        <v>0</v>
      </c>
      <c r="L178" s="51">
        <f t="shared" si="24"/>
        <v>0</v>
      </c>
      <c r="N178" s="51">
        <f t="shared" si="25"/>
        <v>0</v>
      </c>
      <c r="O178" s="51">
        <f t="shared" si="25"/>
        <v>0</v>
      </c>
      <c r="P178" s="51">
        <f t="shared" si="25"/>
        <v>0</v>
      </c>
      <c r="Q178" s="51">
        <f t="shared" si="25"/>
        <v>0</v>
      </c>
      <c r="R178" s="51">
        <f t="shared" si="25"/>
        <v>0</v>
      </c>
      <c r="S178" s="51">
        <f t="shared" si="25"/>
        <v>0</v>
      </c>
      <c r="U178" s="58">
        <f>NPV(Inputs!$C$6,'Vendas ajustada'!O178:R178)+(S178*Inputs!$C$11)/(1+Inputs!$C$6)^(4.55)</f>
        <v>0</v>
      </c>
      <c r="V178" s="58"/>
      <c r="W178" s="194"/>
    </row>
    <row r="179" spans="2:23">
      <c r="B179" s="50" t="s">
        <v>4873</v>
      </c>
      <c r="G179" s="51">
        <f t="shared" si="24"/>
        <v>0</v>
      </c>
      <c r="H179" s="51">
        <f t="shared" si="24"/>
        <v>0</v>
      </c>
      <c r="I179" s="51">
        <f t="shared" si="24"/>
        <v>0</v>
      </c>
      <c r="J179" s="51">
        <f t="shared" si="24"/>
        <v>0</v>
      </c>
      <c r="K179" s="51">
        <f t="shared" si="24"/>
        <v>0</v>
      </c>
      <c r="L179" s="51">
        <f t="shared" si="24"/>
        <v>0</v>
      </c>
      <c r="N179" s="51">
        <f t="shared" si="25"/>
        <v>0</v>
      </c>
      <c r="O179" s="51">
        <f t="shared" si="25"/>
        <v>0</v>
      </c>
      <c r="P179" s="51">
        <f t="shared" si="25"/>
        <v>0</v>
      </c>
      <c r="Q179" s="51">
        <f t="shared" si="25"/>
        <v>0</v>
      </c>
      <c r="R179" s="51">
        <f t="shared" si="25"/>
        <v>0</v>
      </c>
      <c r="S179" s="51">
        <f t="shared" si="25"/>
        <v>0</v>
      </c>
      <c r="U179" s="58">
        <f>NPV(Inputs!$C$6,'Vendas ajustada'!O179:R179)+(S179*Inputs!$C$11)/(1+Inputs!$C$6)^(4.55)</f>
        <v>0</v>
      </c>
      <c r="V179" s="58"/>
      <c r="W179" s="194"/>
    </row>
    <row r="180" spans="2:23">
      <c r="B180" s="208" t="s">
        <v>8</v>
      </c>
      <c r="C180" s="275"/>
      <c r="D180" s="275"/>
      <c r="E180" s="275"/>
      <c r="G180" s="208">
        <f>SUM(G158:G179)</f>
        <v>0</v>
      </c>
      <c r="H180" s="208">
        <f t="shared" ref="H180:L180" si="26">SUM(H158:H179)</f>
        <v>384021.32410142763</v>
      </c>
      <c r="I180" s="208">
        <f t="shared" si="26"/>
        <v>446270.31098759017</v>
      </c>
      <c r="J180" s="208">
        <f t="shared" si="26"/>
        <v>339205.93064292119</v>
      </c>
      <c r="K180" s="208">
        <f t="shared" si="26"/>
        <v>379297.69269267062</v>
      </c>
      <c r="L180" s="208">
        <f t="shared" si="26"/>
        <v>373068.73643818044</v>
      </c>
      <c r="N180" s="208">
        <f>SUM(N158:N179)</f>
        <v>0</v>
      </c>
      <c r="O180" s="208">
        <f t="shared" ref="O180:S180" si="27">SUM(O158:O179)</f>
        <v>384021.32410142763</v>
      </c>
      <c r="P180" s="208">
        <f t="shared" si="27"/>
        <v>446270.31098759017</v>
      </c>
      <c r="Q180" s="208">
        <f t="shared" si="27"/>
        <v>339205.93064292119</v>
      </c>
      <c r="R180" s="208">
        <f t="shared" si="27"/>
        <v>379297.69269267062</v>
      </c>
      <c r="S180" s="208">
        <f t="shared" si="27"/>
        <v>373068.73643818044</v>
      </c>
      <c r="U180" s="208">
        <f>NPV(Inputs!$C$6,'Vendas ajustada'!O180:R180)+(S180*Inputs!$C$11)/(1+Inputs!$C$6)^(4.55)</f>
        <v>1400010.1305726082</v>
      </c>
    </row>
    <row r="181" spans="2:23">
      <c r="B181" s="273" t="s">
        <v>4931</v>
      </c>
      <c r="C181" s="273"/>
      <c r="D181" s="273"/>
      <c r="E181" s="273"/>
      <c r="G181" s="274">
        <f>G180-G172-G169</f>
        <v>0</v>
      </c>
      <c r="H181" s="274">
        <f t="shared" ref="H181:L181" si="28">H180-H172-H169</f>
        <v>360179.06133820966</v>
      </c>
      <c r="I181" s="274">
        <f t="shared" si="28"/>
        <v>356899.75427994761</v>
      </c>
      <c r="J181" s="274">
        <f t="shared" si="28"/>
        <v>324900.57298499043</v>
      </c>
      <c r="K181" s="274">
        <f t="shared" si="28"/>
        <v>317281.46481016942</v>
      </c>
      <c r="L181" s="274">
        <f t="shared" si="28"/>
        <v>311052.50855567923</v>
      </c>
      <c r="N181" s="274">
        <f>N180-N172-N169</f>
        <v>0</v>
      </c>
      <c r="O181" s="274">
        <f t="shared" ref="O181:S181" si="29">O180-O172-O169</f>
        <v>360179.06133820966</v>
      </c>
      <c r="P181" s="274">
        <f t="shared" si="29"/>
        <v>356899.75427994761</v>
      </c>
      <c r="Q181" s="274">
        <f t="shared" si="29"/>
        <v>324900.57298499043</v>
      </c>
      <c r="R181" s="274">
        <f t="shared" si="29"/>
        <v>317281.46481016942</v>
      </c>
      <c r="S181" s="274">
        <f t="shared" si="29"/>
        <v>311052.50855567923</v>
      </c>
      <c r="U181" s="274">
        <f>NPV(Inputs!$C$6,'Vendas ajustada'!O181:R181)+(S181*Inputs!$C$11)/(1+Inputs!$C$6)^(4.55)</f>
        <v>1224503.7361471667</v>
      </c>
    </row>
    <row r="183" spans="2:23">
      <c r="C183" s="209" t="s">
        <v>4937</v>
      </c>
      <c r="D183" s="209" t="s">
        <v>4938</v>
      </c>
      <c r="E183" s="281" t="s">
        <v>96</v>
      </c>
      <c r="H183" s="55"/>
      <c r="I183" s="55"/>
      <c r="J183" s="55"/>
      <c r="K183" s="55"/>
      <c r="L183" s="55"/>
    </row>
    <row r="184" spans="2:23">
      <c r="B184" s="50" t="s">
        <v>4939</v>
      </c>
      <c r="C184" s="51"/>
    </row>
    <row r="185" spans="2:23">
      <c r="B185" s="50" t="s">
        <v>4940</v>
      </c>
      <c r="C185" s="51">
        <f>NPV(Inputs!$C$6,H181:K181)+(L181*Inputs!$C$11)/(1+Inputs!$C$6)^(4.55)</f>
        <v>1224503.7361471667</v>
      </c>
    </row>
    <row r="186" spans="2:23">
      <c r="B186" s="50" t="s">
        <v>4941</v>
      </c>
      <c r="C186" s="51">
        <f>NPV(Inputs!$C$6,O181:R181)+((S181*Inputs!$C$11)/(1+Inputs!$C$6)^(4.55))</f>
        <v>1224503.7361471667</v>
      </c>
      <c r="D186" s="51">
        <f>Resultados!H61*1000</f>
        <v>1224503.7361471667</v>
      </c>
      <c r="E186" s="279">
        <f>C186-D186</f>
        <v>0</v>
      </c>
    </row>
    <row r="187" spans="2:23">
      <c r="B187" s="50" t="s">
        <v>4942</v>
      </c>
      <c r="C187" s="51">
        <f>NPV(Inputs!$C$6,'Vendas ajustada'!O172:R172)+('Vendas ajustada'!S172*Inputs!$C$11)/(1+Inputs!$C$6)^(4.55)+NPV(Inputs!$C$6,'Vendas ajustada'!O169:R169)+('Vendas ajustada'!S169*Inputs!$C$11)/(1+Inputs!$C$6)^(4.55)</f>
        <v>175506.39442544145</v>
      </c>
      <c r="D187" s="51">
        <f>Resultados!H62*1000</f>
        <v>175506.39442544142</v>
      </c>
      <c r="E187" s="279">
        <f>C187-D187</f>
        <v>0</v>
      </c>
      <c r="F187" s="194"/>
      <c r="G187" s="194"/>
      <c r="H187" s="194"/>
      <c r="I187" s="194"/>
    </row>
    <row r="188" spans="2:23">
      <c r="B188" s="50" t="s">
        <v>4935</v>
      </c>
      <c r="C188" s="51">
        <f>C186+C187</f>
        <v>1400010.1305726082</v>
      </c>
      <c r="D188" s="51">
        <f>Resultados!H63*1000</f>
        <v>1400010.130572608</v>
      </c>
      <c r="E188" s="279">
        <f>C188-D188</f>
        <v>0</v>
      </c>
    </row>
    <row r="189" spans="2:23">
      <c r="C189" s="210"/>
    </row>
    <row r="190" spans="2:23">
      <c r="B190" s="50" t="s">
        <v>4943</v>
      </c>
      <c r="C190" s="55">
        <f>SUM(U13:U48)+SUM(U50:U75)+SUM(U79:U81)+SUM(U85:U96)</f>
        <v>1124110.5946428368</v>
      </c>
    </row>
    <row r="191" spans="2:23">
      <c r="B191" s="50" t="s">
        <v>4944</v>
      </c>
      <c r="C191" s="51">
        <f>Resultados!H61*1000</f>
        <v>1224503.7361471667</v>
      </c>
    </row>
    <row r="192" spans="2:23">
      <c r="C192" s="51"/>
      <c r="D192" s="63"/>
    </row>
    <row r="193" spans="2:5">
      <c r="B193" s="50" t="s">
        <v>4945</v>
      </c>
      <c r="C193" s="51">
        <f>C191-(C190+C192)</f>
        <v>100393.14150432986</v>
      </c>
      <c r="E193" s="50" t="s">
        <v>4946</v>
      </c>
    </row>
    <row r="194" spans="2:5">
      <c r="B194" s="50" t="s">
        <v>4947</v>
      </c>
      <c r="C194" s="51">
        <f>SUM('Vendas Vigente'!T3:T11)</f>
        <v>111776.11130889165</v>
      </c>
      <c r="E194" s="50" t="s">
        <v>4948</v>
      </c>
    </row>
    <row r="195" spans="2:5">
      <c r="B195" s="50" t="s">
        <v>4949</v>
      </c>
      <c r="C195" s="766">
        <f>C193/C194</f>
        <v>0.89816276777508286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91C8-55D8-4593-9AC0-1DC2457CBB4F}">
  <sheetPr>
    <tabColor theme="4" tint="0.79998168889431442"/>
  </sheetPr>
  <dimension ref="A1:CD64"/>
  <sheetViews>
    <sheetView showGridLines="0" zoomScale="85" zoomScaleNormal="85" workbookViewId="0">
      <selection activeCell="H19" sqref="H19"/>
    </sheetView>
  </sheetViews>
  <sheetFormatPr defaultColWidth="11.42578125" defaultRowHeight="11.45"/>
  <cols>
    <col min="1" max="1" width="11.42578125" style="50"/>
    <col min="2" max="2" width="37" style="50" customWidth="1"/>
    <col min="3" max="3" width="16.85546875" style="50" bestFit="1" customWidth="1"/>
    <col min="4" max="16384" width="11.42578125" style="50"/>
  </cols>
  <sheetData>
    <row r="1" spans="1:12">
      <c r="A1" s="50" t="s">
        <v>279</v>
      </c>
      <c r="B1" s="95">
        <f>+Inputs!C4</f>
        <v>44531</v>
      </c>
    </row>
    <row r="3" spans="1:12" ht="14.45">
      <c r="E3" s="100"/>
    </row>
    <row r="4" spans="1:12">
      <c r="B4" s="57" t="s">
        <v>4950</v>
      </c>
    </row>
    <row r="5" spans="1:12" ht="14.45">
      <c r="E5"/>
    </row>
    <row r="6" spans="1:12" ht="14.45">
      <c r="B6" s="74" t="s">
        <v>4951</v>
      </c>
      <c r="C6" s="75"/>
      <c r="D6" s="75"/>
      <c r="E6" s="75"/>
      <c r="F6" s="75"/>
      <c r="G6" s="75"/>
      <c r="H6"/>
      <c r="I6" s="296" t="str">
        <f>+Inputs!B63</f>
        <v>Input</v>
      </c>
      <c r="J6"/>
      <c r="K6"/>
      <c r="L6"/>
    </row>
    <row r="7" spans="1:12">
      <c r="B7" s="76" t="s">
        <v>4952</v>
      </c>
      <c r="C7" s="157">
        <v>2023</v>
      </c>
      <c r="D7" s="158">
        <v>2024</v>
      </c>
      <c r="E7" s="159">
        <v>2025</v>
      </c>
      <c r="F7" s="159">
        <v>2026</v>
      </c>
      <c r="G7" s="160">
        <v>2027</v>
      </c>
    </row>
    <row r="8" spans="1:12">
      <c r="B8" s="78" t="s">
        <v>16</v>
      </c>
      <c r="C8" s="260"/>
      <c r="D8" s="79"/>
      <c r="E8" s="79">
        <f>+IF($I$6="Input",0,INDEX($C$28:$G$31,MATCH($B8,$B$28:$B$31,0),MATCH(E$7,$C$27:$G$27,0))*VLOOKUP($B8,$B$21:$C$24,2,0))</f>
        <v>0</v>
      </c>
      <c r="F8" s="79">
        <f t="shared" ref="F8:G8" si="0">+IF($I$6="Input",0,INDEX($C$28:$G$31,MATCH($B8,$B$28:$B$31,0),MATCH(F$7,$C$27:$G$27,0))*VLOOKUP($B8,$B$21:$C$24,2,0))</f>
        <v>0</v>
      </c>
      <c r="G8" s="103">
        <f t="shared" si="0"/>
        <v>0</v>
      </c>
    </row>
    <row r="9" spans="1:12">
      <c r="B9" s="80" t="s">
        <v>17</v>
      </c>
      <c r="C9" s="261"/>
      <c r="D9" s="262"/>
      <c r="E9" s="262">
        <f t="shared" ref="E9:G11" si="1">+IF($I$6="Input",0,INDEX($C$28:$G$31,MATCH($B9,$B$28:$B$31,0),MATCH(E$7,$C$27:$G$27,0))*VLOOKUP($B9,$B$21:$C$24,2,0))</f>
        <v>0</v>
      </c>
      <c r="F9" s="262">
        <f t="shared" si="1"/>
        <v>0</v>
      </c>
      <c r="G9" s="263">
        <f t="shared" si="1"/>
        <v>0</v>
      </c>
    </row>
    <row r="10" spans="1:12">
      <c r="B10" s="80" t="s">
        <v>18</v>
      </c>
      <c r="C10" s="261"/>
      <c r="D10" s="262"/>
      <c r="E10" s="297">
        <f t="shared" si="1"/>
        <v>0</v>
      </c>
      <c r="F10" s="262">
        <f t="shared" si="1"/>
        <v>0</v>
      </c>
      <c r="G10" s="263">
        <f t="shared" si="1"/>
        <v>0</v>
      </c>
    </row>
    <row r="11" spans="1:12">
      <c r="B11" s="80" t="s">
        <v>19</v>
      </c>
      <c r="C11" s="261"/>
      <c r="D11" s="262"/>
      <c r="E11" s="262">
        <f t="shared" si="1"/>
        <v>0</v>
      </c>
      <c r="F11" s="262">
        <f t="shared" si="1"/>
        <v>0</v>
      </c>
      <c r="G11" s="263">
        <f t="shared" si="1"/>
        <v>0</v>
      </c>
    </row>
    <row r="12" spans="1:12">
      <c r="B12" s="82" t="s">
        <v>4953</v>
      </c>
      <c r="C12" s="161">
        <f>+Inputs!C63*VLOOKUP(Inadimplência!$B$1,IGPM!$A$3:$B$138,2,0)/VLOOKUP(DATE(C$7,12,1),IGPM!$A$3:$B$138,2,0)</f>
        <v>3355.4877248773746</v>
      </c>
      <c r="D12" s="83">
        <f>+Inputs!D63*VLOOKUP(Inadimplência!$B$1,IGPM!$A$3:$B$138,2,0)/VLOOKUP(DATE(D$7,12,1),IGPM!$A$3:$B$138,2,0)</f>
        <v>12061.723981763611</v>
      </c>
      <c r="E12" s="83">
        <f>+IF($I$6="Input",Inputs!E$63*VLOOKUP(Inadimplência!$B$1,IGPM!$A$3:$B$1000,2,0)/VLOOKUP(DATE(E$7,12,1),IGPM!$A$3:$B$1000,2,0),SUM(E8:E11))</f>
        <v>17985.994824930069</v>
      </c>
      <c r="F12" s="83">
        <f>+IF($I$6="Input",Inputs!F$63*VLOOKUP(Inadimplência!$B$1,IGPM!$A$3:$B$1000,2,0)/VLOOKUP(DATE(F$7,12,1),IGPM!$A$3:$B$1000,2,0),SUM(F8:F11))</f>
        <v>8745.1046114106848</v>
      </c>
      <c r="G12" s="104">
        <f>+IF($I$6="Input",Inputs!G$63*VLOOKUP(Inadimplência!$B$1,IGPM!$A$3:$B$1000,2,0)/VLOOKUP(DATE(G$7,12,1),IGPM!$A$3:$B$1000,2,0),SUM(G8:G11))</f>
        <v>8515.2424136742229</v>
      </c>
    </row>
    <row r="15" spans="1:12">
      <c r="B15" s="57" t="s">
        <v>283</v>
      </c>
      <c r="E15" s="55"/>
    </row>
    <row r="16" spans="1:12">
      <c r="B16" s="57"/>
    </row>
    <row r="17" spans="2:8">
      <c r="B17" s="147" t="s">
        <v>4954</v>
      </c>
    </row>
    <row r="19" spans="2:8" ht="14.45">
      <c r="B19" s="74" t="s">
        <v>4955</v>
      </c>
      <c r="C19" s="75"/>
      <c r="D19"/>
      <c r="E19"/>
      <c r="F19"/>
      <c r="G19"/>
    </row>
    <row r="20" spans="2:8" ht="14.45">
      <c r="B20" s="76" t="s">
        <v>4952</v>
      </c>
      <c r="C20" s="148" t="s">
        <v>4956</v>
      </c>
      <c r="D20"/>
      <c r="E20"/>
      <c r="F20"/>
      <c r="G20"/>
    </row>
    <row r="21" spans="2:8" ht="14.45">
      <c r="B21" s="78" t="s">
        <v>16</v>
      </c>
      <c r="C21" s="149">
        <f>+IF($B$17=$B$38,AVERAGE($D$38:$O$38),AVERAGE($D$39:$O$39))</f>
        <v>2.6492932133865211E-2</v>
      </c>
      <c r="D21"/>
      <c r="E21"/>
      <c r="F21"/>
      <c r="G21"/>
    </row>
    <row r="22" spans="2:8" ht="14.45">
      <c r="B22" s="80" t="s">
        <v>17</v>
      </c>
      <c r="C22" s="150">
        <f>+IF($B$17=$B$38,AVERAGE($D$53:$O$53),AVERAGE($D$54:$O$54))</f>
        <v>2.3642835994974104E-2</v>
      </c>
      <c r="D22"/>
      <c r="E22"/>
      <c r="F22"/>
      <c r="G22"/>
    </row>
    <row r="23" spans="2:8" ht="14.45">
      <c r="B23" s="80" t="s">
        <v>18</v>
      </c>
      <c r="C23" s="150">
        <f>+IF($B$17=$B$38,AVERAGE($D$58:$O$58),AVERAGE($D$59:$O$59))</f>
        <v>8.3256365437393224E-4</v>
      </c>
      <c r="D23"/>
      <c r="E23"/>
      <c r="F23"/>
      <c r="G23"/>
    </row>
    <row r="24" spans="2:8" ht="14.45">
      <c r="B24" s="101" t="s">
        <v>19</v>
      </c>
      <c r="C24" s="151">
        <f>+IF($B$17=$B$38,AVERAGE($D$63:$O$63),AVERAGE($D$64:$O$64))</f>
        <v>4.4627838098887746E-3</v>
      </c>
      <c r="D24"/>
      <c r="E24"/>
      <c r="F24"/>
      <c r="G24"/>
    </row>
    <row r="27" spans="2:8" ht="14.45">
      <c r="B27" s="156" t="s">
        <v>4957</v>
      </c>
      <c r="C27" s="77">
        <v>2023</v>
      </c>
      <c r="D27" s="77">
        <v>2024</v>
      </c>
      <c r="E27" s="85">
        <v>2025</v>
      </c>
      <c r="F27" s="85">
        <v>2026</v>
      </c>
      <c r="G27" s="85">
        <v>2027</v>
      </c>
      <c r="H27"/>
    </row>
    <row r="28" spans="2:8">
      <c r="B28" s="152" t="s">
        <v>16</v>
      </c>
      <c r="C28" s="259">
        <f>+'Vendas Vigente'!AF154+'Vendas Vigente'!AF155+'Vendas Vigente'!AF166</f>
        <v>56625.891502342136</v>
      </c>
      <c r="D28" s="259">
        <f>+'Vendas Vigente'!AG154+'Vendas Vigente'!AG155+'Vendas Vigente'!AG166</f>
        <v>56095.899344352409</v>
      </c>
      <c r="E28" s="259">
        <f>+'Vendas Vigente'!AH154+'Vendas Vigente'!AH155+'Vendas Vigente'!AH166</f>
        <v>55936.710672742447</v>
      </c>
      <c r="F28" s="259">
        <f>+'Vendas Vigente'!AI154+'Vendas Vigente'!AI155+'Vendas Vigente'!AI166</f>
        <v>55926.843599001251</v>
      </c>
      <c r="G28" s="259">
        <f>+'Vendas Vigente'!AJ154+'Vendas Vigente'!AJ155+'Vendas Vigente'!AJ166</f>
        <v>55897.224133429023</v>
      </c>
      <c r="H28" s="65"/>
    </row>
    <row r="29" spans="2:8">
      <c r="B29" s="152" t="s">
        <v>17</v>
      </c>
      <c r="C29" s="259">
        <f>+SUM('Vendas Vigente'!N156:AF159)</f>
        <v>261092.41754494907</v>
      </c>
      <c r="D29" s="259">
        <f>+SUM('Vendas Vigente'!O156:AG159)</f>
        <v>277780.32856885908</v>
      </c>
      <c r="E29" s="259">
        <f>+SUM('Vendas Vigente'!P156:AH159)</f>
        <v>293569.91302550078</v>
      </c>
      <c r="F29" s="259">
        <f>+SUM('Vendas Vigente'!Q156:AI159)</f>
        <v>309227.59597167198</v>
      </c>
      <c r="G29" s="259">
        <f>+SUM('Vendas Vigente'!R156:AJ159)</f>
        <v>325043.72346188873</v>
      </c>
      <c r="H29" s="65"/>
    </row>
    <row r="30" spans="2:8">
      <c r="B30" s="152" t="s">
        <v>18</v>
      </c>
      <c r="C30" s="259">
        <f>+SUM('Vendas Vigente'!AF162:AF164,'Vendas Vigente'!AF167,'Vendas Vigente'!AF170)</f>
        <v>2145386.0278396304</v>
      </c>
      <c r="D30" s="259">
        <f>+SUM('Vendas Vigente'!AG162:AG164,'Vendas Vigente'!AG167,'Vendas Vigente'!AG170)</f>
        <v>1358434.7854663497</v>
      </c>
      <c r="E30" s="259">
        <f>+SUM('Vendas Vigente'!AH162:AH164,'Vendas Vigente'!AH167,'Vendas Vigente'!AH170)</f>
        <v>722497.90972545207</v>
      </c>
      <c r="F30" s="259">
        <f>+SUM('Vendas Vigente'!AI162:AI164,'Vendas Vigente'!AI167,'Vendas Vigente'!AI170)</f>
        <v>708148.72920968803</v>
      </c>
      <c r="G30" s="259">
        <f>+SUM('Vendas Vigente'!AJ162:AJ164,'Vendas Vigente'!AJ167,'Vendas Vigente'!AJ170)</f>
        <v>692862.48299018026</v>
      </c>
    </row>
    <row r="31" spans="2:8">
      <c r="B31" s="152" t="s">
        <v>19</v>
      </c>
      <c r="C31" s="259">
        <f>+'Vendas Vigente'!AF160+'Vendas Vigente'!AF161</f>
        <v>665898.08537423017</v>
      </c>
      <c r="D31" s="259">
        <f>+'Vendas Vigente'!AG160+'Vendas Vigente'!AG161</f>
        <v>580174.98333118379</v>
      </c>
      <c r="E31" s="259">
        <f>+'Vendas Vigente'!AH160+'Vendas Vigente'!AH161</f>
        <v>510553.98533144168</v>
      </c>
      <c r="F31" s="259">
        <f>+'Vendas Vigente'!AI160+'Vendas Vigente'!AI161</f>
        <v>474815.20635824074</v>
      </c>
      <c r="G31" s="259">
        <f>+'Vendas Vigente'!AJ160+'Vendas Vigente'!AJ161</f>
        <v>460570.75016749359</v>
      </c>
    </row>
    <row r="35" spans="2:82" ht="12" thickBot="1">
      <c r="B35" s="61" t="s">
        <v>4958</v>
      </c>
    </row>
    <row r="36" spans="2:82" ht="13.5">
      <c r="B36" s="108" t="s">
        <v>47</v>
      </c>
      <c r="C36" s="109">
        <v>43435</v>
      </c>
      <c r="D36" s="110">
        <v>43466</v>
      </c>
      <c r="E36" s="110">
        <v>43497</v>
      </c>
      <c r="F36" s="110">
        <v>43525</v>
      </c>
      <c r="G36" s="110">
        <v>43556</v>
      </c>
      <c r="H36" s="110">
        <v>43586</v>
      </c>
      <c r="I36" s="110">
        <v>43617</v>
      </c>
      <c r="J36" s="110">
        <v>43647</v>
      </c>
      <c r="K36" s="110">
        <v>43678</v>
      </c>
      <c r="L36" s="110">
        <v>43709</v>
      </c>
      <c r="M36" s="110">
        <v>43739</v>
      </c>
      <c r="N36" s="110">
        <v>43770</v>
      </c>
      <c r="O36" s="111">
        <v>43800</v>
      </c>
      <c r="P36" s="110">
        <v>43831</v>
      </c>
      <c r="Q36" s="110">
        <v>43862</v>
      </c>
      <c r="R36" s="110">
        <v>43891</v>
      </c>
      <c r="S36" s="110">
        <v>43922</v>
      </c>
      <c r="T36" s="110">
        <v>43952</v>
      </c>
      <c r="U36" s="110">
        <v>43983</v>
      </c>
      <c r="V36" s="110">
        <v>44013</v>
      </c>
      <c r="W36" s="110">
        <v>44044</v>
      </c>
      <c r="X36" s="110">
        <v>44075</v>
      </c>
      <c r="Y36" s="110">
        <v>44105</v>
      </c>
      <c r="Z36" s="110">
        <v>44136</v>
      </c>
      <c r="AA36" s="110">
        <v>44166</v>
      </c>
      <c r="AB36" s="110">
        <v>44197</v>
      </c>
      <c r="AC36" s="110">
        <v>44228</v>
      </c>
      <c r="AD36" s="110">
        <v>44256</v>
      </c>
      <c r="AE36" s="110">
        <v>44287</v>
      </c>
      <c r="AF36" s="110">
        <v>44317</v>
      </c>
      <c r="AG36" s="110">
        <v>44348</v>
      </c>
      <c r="AH36" s="110">
        <v>44378</v>
      </c>
      <c r="AI36" s="110">
        <v>44409</v>
      </c>
      <c r="AJ36" s="110">
        <v>44440</v>
      </c>
      <c r="AK36" s="110">
        <v>44470</v>
      </c>
      <c r="AL36" s="110">
        <v>44501</v>
      </c>
      <c r="AM36" s="110">
        <v>44531</v>
      </c>
      <c r="AN36" s="110">
        <v>44562</v>
      </c>
      <c r="AO36" s="110">
        <v>44593</v>
      </c>
      <c r="AP36" s="110">
        <v>44621</v>
      </c>
      <c r="AQ36" s="110">
        <v>44652</v>
      </c>
      <c r="AR36" s="110">
        <v>44682</v>
      </c>
      <c r="AS36" s="110">
        <v>44713</v>
      </c>
      <c r="AT36" s="110">
        <v>44743</v>
      </c>
      <c r="AU36" s="110">
        <v>44774</v>
      </c>
      <c r="AV36" s="110">
        <v>44805</v>
      </c>
      <c r="AW36" s="110">
        <v>44835</v>
      </c>
      <c r="AX36" s="110">
        <v>44866</v>
      </c>
      <c r="AY36" s="110">
        <v>44896</v>
      </c>
      <c r="AZ36" s="110">
        <v>44927</v>
      </c>
      <c r="BA36" s="110">
        <v>44958</v>
      </c>
      <c r="BB36" s="110">
        <v>44986</v>
      </c>
      <c r="BC36" s="110">
        <v>45017</v>
      </c>
      <c r="BD36" s="110">
        <v>45047</v>
      </c>
      <c r="BE36" s="110">
        <v>45078</v>
      </c>
      <c r="BF36" s="110">
        <v>45108</v>
      </c>
      <c r="BG36" s="110">
        <v>45139</v>
      </c>
      <c r="BH36" s="110">
        <v>45170</v>
      </c>
      <c r="BI36" s="110">
        <v>45200</v>
      </c>
      <c r="BJ36" s="110">
        <v>45231</v>
      </c>
      <c r="BK36" s="110">
        <v>45261</v>
      </c>
      <c r="BL36" s="110">
        <v>45292</v>
      </c>
      <c r="BM36" s="110">
        <v>45323</v>
      </c>
      <c r="BN36" s="110">
        <v>45352</v>
      </c>
      <c r="BO36" s="110">
        <v>45383</v>
      </c>
      <c r="BP36" s="110">
        <v>45413</v>
      </c>
      <c r="BQ36" s="110">
        <v>45444</v>
      </c>
      <c r="BR36" s="110">
        <v>45474</v>
      </c>
      <c r="BS36" s="110">
        <v>45505</v>
      </c>
      <c r="BT36" s="110">
        <v>45536</v>
      </c>
      <c r="BU36" s="110">
        <v>45566</v>
      </c>
      <c r="BV36" s="110">
        <v>45597</v>
      </c>
      <c r="BW36" s="110">
        <v>45627</v>
      </c>
      <c r="BX36" s="110">
        <v>45658</v>
      </c>
      <c r="BY36" s="110">
        <v>45689</v>
      </c>
      <c r="BZ36" s="110">
        <v>45717</v>
      </c>
      <c r="CA36" s="110">
        <v>45748</v>
      </c>
      <c r="CB36" s="110">
        <v>45778</v>
      </c>
      <c r="CC36" s="110">
        <v>45809</v>
      </c>
      <c r="CD36" s="110">
        <v>45839</v>
      </c>
    </row>
    <row r="37" spans="2:82" ht="14.45">
      <c r="B37" s="112"/>
      <c r="C37" s="113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</row>
    <row r="38" spans="2:82" ht="13.5">
      <c r="B38" s="115" t="s">
        <v>4954</v>
      </c>
      <c r="C38" s="116">
        <v>1.7610941895932895E-2</v>
      </c>
      <c r="D38" s="116">
        <v>1.8142841622798979E-2</v>
      </c>
      <c r="E38" s="116">
        <v>1.9162094432574064E-2</v>
      </c>
      <c r="F38" s="116">
        <v>2.2226447840197294E-2</v>
      </c>
      <c r="G38" s="116">
        <v>2.6109899429926611E-2</v>
      </c>
      <c r="H38" s="116">
        <v>2.6709304357219292E-2</v>
      </c>
      <c r="I38" s="116">
        <v>2.8514875336615311E-2</v>
      </c>
      <c r="J38" s="116">
        <v>2.915720070132093E-2</v>
      </c>
      <c r="K38" s="116">
        <v>2.9874830635011132E-2</v>
      </c>
      <c r="L38" s="116">
        <v>2.9852893820074836E-2</v>
      </c>
      <c r="M38" s="116">
        <v>2.950050895762435E-2</v>
      </c>
      <c r="N38" s="116">
        <v>2.9212842037619473E-2</v>
      </c>
      <c r="O38" s="117">
        <v>2.9451446435400278E-2</v>
      </c>
      <c r="P38" s="116">
        <v>2.756787980389816E-2</v>
      </c>
      <c r="Q38" s="116">
        <v>2.4814416561247443E-2</v>
      </c>
      <c r="R38" s="116">
        <v>2.5283211043078395E-2</v>
      </c>
      <c r="S38" s="116">
        <v>2.7015341143406316E-2</v>
      </c>
      <c r="T38" s="116">
        <v>2.9991470828501732E-2</v>
      </c>
      <c r="U38" s="116">
        <v>3.3681794803744926E-2</v>
      </c>
      <c r="V38" s="116">
        <v>3.7220321804181077E-2</v>
      </c>
      <c r="W38" s="116">
        <v>4.0522158445472661E-2</v>
      </c>
      <c r="X38" s="116">
        <v>4.3207705457264212E-2</v>
      </c>
      <c r="Y38" s="116">
        <v>4.5144943894760349E-2</v>
      </c>
      <c r="Z38" s="116">
        <v>4.7325448928968089E-2</v>
      </c>
      <c r="AA38" s="116">
        <v>4.9159471066524685E-2</v>
      </c>
      <c r="AB38" s="116">
        <v>4.9851635298344875E-2</v>
      </c>
      <c r="AC38" s="116">
        <v>5.0084738747009104E-2</v>
      </c>
      <c r="AD38" s="116">
        <v>5.0755258738115143E-2</v>
      </c>
      <c r="AE38" s="116">
        <v>5.3120818976992973E-2</v>
      </c>
      <c r="AF38" s="116">
        <v>5.3322687588158904E-2</v>
      </c>
      <c r="AG38" s="116">
        <v>5.3554136637553651E-2</v>
      </c>
      <c r="AH38" s="116">
        <v>5.2298831809529517E-2</v>
      </c>
      <c r="AI38" s="116">
        <v>5.1236066947483005E-2</v>
      </c>
      <c r="AJ38" s="116">
        <v>5.0116171393868765E-2</v>
      </c>
      <c r="AK38" s="116">
        <v>4.9758988339358608E-2</v>
      </c>
      <c r="AL38" s="116">
        <v>5.1000012557370793E-2</v>
      </c>
      <c r="AM38" s="116">
        <v>5.194646051807579E-2</v>
      </c>
      <c r="AN38" s="116">
        <v>5.1062757560106538E-2</v>
      </c>
      <c r="AO38" s="116">
        <v>4.9622732435356767E-2</v>
      </c>
      <c r="AP38" s="116">
        <v>5.0692827456243594E-2</v>
      </c>
      <c r="AQ38" s="116">
        <v>5.2136103475648843E-2</v>
      </c>
      <c r="AR38" s="116">
        <v>5.3386233766349107E-2</v>
      </c>
      <c r="AS38" s="116">
        <v>5.5588088825877451E-2</v>
      </c>
      <c r="AT38" s="116">
        <v>5.6601350403718484E-2</v>
      </c>
      <c r="AU38" s="116">
        <v>5.6904394620632591E-2</v>
      </c>
      <c r="AV38" s="116">
        <v>5.7707429887436913E-2</v>
      </c>
      <c r="AW38" s="116">
        <v>6.1774064734263459E-2</v>
      </c>
      <c r="AX38" s="116">
        <v>6.5050160309754593E-2</v>
      </c>
      <c r="AY38" s="116">
        <v>6.7252697025867919E-2</v>
      </c>
      <c r="AZ38" s="116">
        <v>6.8686919989039891E-2</v>
      </c>
      <c r="BA38" s="116">
        <v>6.7465619759977946E-2</v>
      </c>
      <c r="BB38" s="116">
        <v>6.5704974752517326E-2</v>
      </c>
      <c r="BC38" s="116">
        <v>6.5736658364810283E-2</v>
      </c>
      <c r="BD38" s="116">
        <v>6.6885048880807083E-2</v>
      </c>
      <c r="BE38" s="116">
        <v>6.7647140743007275E-2</v>
      </c>
      <c r="BF38" s="116">
        <v>6.7670592871582433E-2</v>
      </c>
      <c r="BG38" s="116">
        <v>6.6271544236124358E-2</v>
      </c>
      <c r="BH38" s="116">
        <v>6.625055647849068E-2</v>
      </c>
      <c r="BI38" s="116">
        <v>6.6946333991740117E-2</v>
      </c>
      <c r="BJ38" s="116">
        <v>6.838119811355263E-2</v>
      </c>
      <c r="BK38" s="116">
        <v>7.0117761147633323E-2</v>
      </c>
      <c r="BL38" s="116">
        <v>7.0120483786642387E-2</v>
      </c>
      <c r="BM38" s="116">
        <v>6.9593557379173304E-2</v>
      </c>
      <c r="BN38" s="116">
        <v>6.8824285247809924E-2</v>
      </c>
      <c r="BO38" s="116">
        <v>6.9761738976509752E-2</v>
      </c>
      <c r="BP38" s="116">
        <v>7.0488846118494167E-2</v>
      </c>
      <c r="BQ38" s="116">
        <v>7.0949761222313737E-2</v>
      </c>
      <c r="BR38" s="116">
        <v>7.0396377422823841E-2</v>
      </c>
      <c r="BS38" s="116">
        <v>6.9176971784259647E-2</v>
      </c>
      <c r="BT38" s="116">
        <v>6.5940713522867303E-2</v>
      </c>
      <c r="BU38" s="116">
        <v>6.2864415014510899E-2</v>
      </c>
      <c r="BV38" s="116">
        <v>6.0897775187247212E-2</v>
      </c>
      <c r="BW38" s="116">
        <v>6.0001981770490882E-2</v>
      </c>
      <c r="BX38" s="116">
        <v>5.9246398953365545E-2</v>
      </c>
      <c r="BY38" s="116">
        <v>5.8596393005340315E-2</v>
      </c>
      <c r="BZ38" s="116">
        <v>5.8065263904952966E-2</v>
      </c>
      <c r="CA38" s="116">
        <v>5.8909174768114421E-2</v>
      </c>
      <c r="CB38" s="116">
        <v>5.8653482456143033E-2</v>
      </c>
      <c r="CC38" s="116">
        <v>5.727962741558628E-2</v>
      </c>
      <c r="CD38" s="116">
        <v>5.6480782270076503E-2</v>
      </c>
    </row>
    <row r="39" spans="2:82" ht="13.5">
      <c r="B39" s="118" t="s">
        <v>4959</v>
      </c>
      <c r="C39" s="119">
        <v>7.5904239588549518E-3</v>
      </c>
      <c r="D39" s="119">
        <v>7.7026882265906222E-3</v>
      </c>
      <c r="E39" s="119">
        <v>7.8703055109348562E-3</v>
      </c>
      <c r="F39" s="119">
        <v>8.0870000961636539E-3</v>
      </c>
      <c r="G39" s="119">
        <v>8.3619429723518351E-3</v>
      </c>
      <c r="H39" s="119">
        <v>8.689019545753485E-3</v>
      </c>
      <c r="I39" s="119">
        <v>9.0512810557947555E-3</v>
      </c>
      <c r="J39" s="119">
        <v>9.6687113736494308E-3</v>
      </c>
      <c r="K39" s="119">
        <v>1.058163198698131E-2</v>
      </c>
      <c r="L39" s="119">
        <v>1.0866934851918407E-2</v>
      </c>
      <c r="M39" s="119">
        <v>1.1293315759053502E-2</v>
      </c>
      <c r="N39" s="119">
        <v>1.1784023488247463E-2</v>
      </c>
      <c r="O39" s="120">
        <v>1.232493763462046E-2</v>
      </c>
      <c r="P39" s="119">
        <v>1.2510490035076312E-2</v>
      </c>
      <c r="Q39" s="119">
        <v>1.2759976165456962E-2</v>
      </c>
      <c r="R39" s="119">
        <v>1.3001558654375803E-2</v>
      </c>
      <c r="S39" s="119">
        <v>1.336418425363395E-2</v>
      </c>
      <c r="T39" s="119">
        <v>1.3839471057443587E-2</v>
      </c>
      <c r="U39" s="119">
        <v>1.4218632266597564E-2</v>
      </c>
      <c r="V39" s="119">
        <v>1.4698107679249785E-2</v>
      </c>
      <c r="W39" s="119">
        <v>1.5556444832716468E-2</v>
      </c>
      <c r="X39" s="119">
        <v>1.6269405289395432E-2</v>
      </c>
      <c r="Y39" s="119">
        <v>1.6892463895734098E-2</v>
      </c>
      <c r="Z39" s="119">
        <v>1.7518547441612197E-2</v>
      </c>
      <c r="AA39" s="119">
        <v>1.8242472915309876E-2</v>
      </c>
      <c r="AB39" s="119">
        <v>1.882665531709599E-2</v>
      </c>
      <c r="AC39" s="119">
        <v>1.9502692194474602E-2</v>
      </c>
      <c r="AD39" s="119">
        <v>2.0205289982499527E-2</v>
      </c>
      <c r="AE39" s="119">
        <v>2.0862114280475803E-2</v>
      </c>
      <c r="AF39" s="119">
        <v>2.1438594123212043E-2</v>
      </c>
      <c r="AG39" s="119">
        <v>2.2075296789681759E-2</v>
      </c>
      <c r="AH39" s="119">
        <v>2.2750057931573205E-2</v>
      </c>
      <c r="AI39" s="119">
        <v>2.3523270550647082E-2</v>
      </c>
      <c r="AJ39" s="119">
        <v>2.4028219857748338E-2</v>
      </c>
      <c r="AK39" s="119">
        <v>2.4655706233118496E-2</v>
      </c>
      <c r="AL39" s="119">
        <v>2.5117369526373078E-2</v>
      </c>
      <c r="AM39" s="119">
        <v>2.5692902972171024E-2</v>
      </c>
      <c r="AN39" s="119">
        <v>2.609228905666755E-2</v>
      </c>
      <c r="AO39" s="119">
        <v>2.6481394340553674E-2</v>
      </c>
      <c r="AP39" s="119">
        <v>2.7056869340138255E-2</v>
      </c>
      <c r="AQ39" s="119">
        <v>2.7606429741165048E-2</v>
      </c>
      <c r="AR39" s="119">
        <v>2.8053490880481039E-2</v>
      </c>
      <c r="AS39" s="119">
        <v>2.8556852779305791E-2</v>
      </c>
      <c r="AT39" s="119">
        <v>2.9286907770701854E-2</v>
      </c>
      <c r="AU39" s="119">
        <v>3.0164701240903809E-2</v>
      </c>
      <c r="AV39" s="119">
        <v>3.0917557401975673E-2</v>
      </c>
      <c r="AW39" s="119">
        <v>3.1743061347440503E-2</v>
      </c>
      <c r="AX39" s="119">
        <v>3.2370677447863434E-2</v>
      </c>
      <c r="AY39" s="119">
        <v>3.2984634278754324E-2</v>
      </c>
      <c r="AZ39" s="119">
        <v>3.3677531342030158E-2</v>
      </c>
      <c r="BA39" s="119">
        <v>3.4496536384748755E-2</v>
      </c>
      <c r="BB39" s="119">
        <v>3.5282499977661301E-2</v>
      </c>
      <c r="BC39" s="119">
        <v>3.5637405546614924E-2</v>
      </c>
      <c r="BD39" s="119">
        <v>3.5969796640923236E-2</v>
      </c>
      <c r="BE39" s="119">
        <v>3.6223140623360559E-2</v>
      </c>
      <c r="BF39" s="119">
        <v>3.6602647834277566E-2</v>
      </c>
      <c r="BG39" s="119">
        <v>3.7154656015967742E-2</v>
      </c>
      <c r="BH39" s="119">
        <v>3.7639789354249414E-2</v>
      </c>
      <c r="BI39" s="119">
        <v>3.7728221822756237E-2</v>
      </c>
      <c r="BJ39" s="119">
        <v>3.7740351085671711E-2</v>
      </c>
      <c r="BK39" s="119">
        <v>3.7613985952169617E-2</v>
      </c>
      <c r="BL39" s="119">
        <v>3.727231203327442E-2</v>
      </c>
      <c r="BM39" s="119">
        <v>3.6850491270822384E-2</v>
      </c>
      <c r="BN39" s="119">
        <v>3.6950880358746191E-2</v>
      </c>
      <c r="BO39" s="119">
        <v>3.7038847840578641E-2</v>
      </c>
      <c r="BP39" s="119">
        <v>3.7163698999897854E-2</v>
      </c>
      <c r="BQ39" s="119">
        <v>3.7232929136497943E-2</v>
      </c>
      <c r="BR39" s="119">
        <v>3.7423068927589939E-2</v>
      </c>
      <c r="BS39" s="119">
        <v>3.7702371194917546E-2</v>
      </c>
      <c r="BT39" s="119">
        <v>3.7915226191303913E-2</v>
      </c>
      <c r="BU39" s="119">
        <v>3.7920416115756708E-2</v>
      </c>
      <c r="BV39" s="119">
        <v>3.7878118709251951E-2</v>
      </c>
      <c r="BW39" s="119">
        <v>3.7930222395335479E-2</v>
      </c>
      <c r="BX39" s="119">
        <v>3.7738412688965939E-2</v>
      </c>
      <c r="BY39" s="119">
        <v>3.7564960226031473E-2</v>
      </c>
      <c r="BZ39" s="119">
        <v>3.7418605138134019E-2</v>
      </c>
      <c r="CA39" s="119">
        <v>3.738041799248986E-2</v>
      </c>
      <c r="CB39" s="119">
        <v>3.7404744674564769E-2</v>
      </c>
      <c r="CC39" s="119">
        <v>3.737446369572274E-2</v>
      </c>
      <c r="CD39" s="119">
        <v>3.7307580195807932E-2</v>
      </c>
    </row>
    <row r="40" spans="2:82" ht="12" thickBot="1"/>
    <row r="41" spans="2:82" ht="13.5">
      <c r="B41" s="108" t="s">
        <v>17</v>
      </c>
      <c r="C41" s="109">
        <v>43435</v>
      </c>
      <c r="D41" s="110">
        <v>43466</v>
      </c>
      <c r="E41" s="110">
        <v>43497</v>
      </c>
      <c r="F41" s="110">
        <v>43525</v>
      </c>
      <c r="G41" s="110">
        <v>43556</v>
      </c>
      <c r="H41" s="110">
        <v>43586</v>
      </c>
      <c r="I41" s="110">
        <v>43617</v>
      </c>
      <c r="J41" s="110">
        <v>43647</v>
      </c>
      <c r="K41" s="110">
        <v>43678</v>
      </c>
      <c r="L41" s="110">
        <v>43709</v>
      </c>
      <c r="M41" s="110">
        <v>43739</v>
      </c>
      <c r="N41" s="110">
        <v>43770</v>
      </c>
      <c r="O41" s="111">
        <v>43800</v>
      </c>
      <c r="P41" s="110">
        <v>43831</v>
      </c>
      <c r="Q41" s="110">
        <v>43862</v>
      </c>
      <c r="R41" s="110">
        <v>43891</v>
      </c>
      <c r="S41" s="110">
        <v>43922</v>
      </c>
      <c r="T41" s="110">
        <v>43952</v>
      </c>
      <c r="U41" s="110">
        <v>43983</v>
      </c>
      <c r="V41" s="110">
        <v>44013</v>
      </c>
      <c r="W41" s="110">
        <v>44044</v>
      </c>
      <c r="X41" s="110">
        <v>44075</v>
      </c>
      <c r="Y41" s="110">
        <v>44105</v>
      </c>
      <c r="Z41" s="110">
        <v>44136</v>
      </c>
      <c r="AA41" s="110">
        <v>44166</v>
      </c>
      <c r="AB41" s="110">
        <v>44197</v>
      </c>
      <c r="AC41" s="110">
        <v>44228</v>
      </c>
      <c r="AD41" s="110">
        <v>44256</v>
      </c>
      <c r="AE41" s="110">
        <v>44287</v>
      </c>
      <c r="AF41" s="110">
        <v>44317</v>
      </c>
      <c r="AG41" s="110">
        <v>44348</v>
      </c>
      <c r="AH41" s="110">
        <v>44378</v>
      </c>
      <c r="AI41" s="110">
        <v>44409</v>
      </c>
      <c r="AJ41" s="110">
        <v>44440</v>
      </c>
      <c r="AK41" s="110">
        <v>44470</v>
      </c>
      <c r="AL41" s="110">
        <v>44501</v>
      </c>
      <c r="AM41" s="110">
        <v>44531</v>
      </c>
      <c r="AN41" s="110">
        <v>44562</v>
      </c>
      <c r="AO41" s="110">
        <v>44593</v>
      </c>
      <c r="AP41" s="110">
        <v>44621</v>
      </c>
      <c r="AQ41" s="110">
        <v>44652</v>
      </c>
      <c r="AR41" s="110">
        <v>44682</v>
      </c>
      <c r="AS41" s="110">
        <v>44713</v>
      </c>
      <c r="AT41" s="110">
        <v>44743</v>
      </c>
      <c r="AU41" s="110">
        <v>44774</v>
      </c>
      <c r="AV41" s="110">
        <v>44805</v>
      </c>
      <c r="AW41" s="110">
        <v>44835</v>
      </c>
      <c r="AX41" s="110">
        <v>44866</v>
      </c>
      <c r="AY41" s="110">
        <v>44896</v>
      </c>
      <c r="AZ41" s="110">
        <v>44927</v>
      </c>
      <c r="BA41" s="110">
        <v>44958</v>
      </c>
      <c r="BB41" s="110">
        <v>44986</v>
      </c>
      <c r="BC41" s="110">
        <v>45017</v>
      </c>
      <c r="BD41" s="110">
        <v>45047</v>
      </c>
      <c r="BE41" s="110">
        <v>45078</v>
      </c>
      <c r="BF41" s="110">
        <v>45108</v>
      </c>
      <c r="BG41" s="110">
        <v>45139</v>
      </c>
      <c r="BH41" s="110">
        <v>45170</v>
      </c>
      <c r="BI41" s="110">
        <v>45200</v>
      </c>
      <c r="BJ41" s="110">
        <v>45231</v>
      </c>
      <c r="BK41" s="110">
        <v>45261</v>
      </c>
      <c r="BL41" s="110">
        <v>45292</v>
      </c>
      <c r="BM41" s="110">
        <v>45323</v>
      </c>
      <c r="BN41" s="110">
        <v>45352</v>
      </c>
      <c r="BO41" s="110">
        <v>45383</v>
      </c>
      <c r="BP41" s="110">
        <v>45413</v>
      </c>
      <c r="BQ41" s="110">
        <v>45444</v>
      </c>
      <c r="BR41" s="110">
        <v>45474</v>
      </c>
      <c r="BS41" s="110">
        <v>45505</v>
      </c>
      <c r="BT41" s="110">
        <v>45536</v>
      </c>
      <c r="BU41" s="110">
        <v>45566</v>
      </c>
      <c r="BV41" s="110">
        <v>45597</v>
      </c>
      <c r="BW41" s="110">
        <v>45627</v>
      </c>
      <c r="BX41" s="110">
        <v>45658</v>
      </c>
      <c r="BY41" s="110">
        <v>45689</v>
      </c>
      <c r="BZ41" s="110">
        <v>45717</v>
      </c>
      <c r="CA41" s="110">
        <v>45748</v>
      </c>
      <c r="CB41" s="110">
        <v>45778</v>
      </c>
      <c r="CC41" s="110">
        <v>45809</v>
      </c>
      <c r="CD41" s="110">
        <v>45839</v>
      </c>
    </row>
    <row r="42" spans="2:82" ht="14.45">
      <c r="B42" s="112"/>
      <c r="C42" s="113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</row>
    <row r="43" spans="2:82" ht="13.5">
      <c r="B43" s="115" t="s">
        <v>4954</v>
      </c>
      <c r="C43" s="116">
        <v>1.4243926050920555E-2</v>
      </c>
      <c r="D43" s="116">
        <v>1.4072017005582761E-2</v>
      </c>
      <c r="E43" s="116">
        <v>1.4479843131407068E-2</v>
      </c>
      <c r="F43" s="116">
        <v>1.5374149866977712E-2</v>
      </c>
      <c r="G43" s="116">
        <v>1.6031214428107593E-2</v>
      </c>
      <c r="H43" s="116">
        <v>1.6339336049366594E-2</v>
      </c>
      <c r="I43" s="116">
        <v>1.7091706611415639E-2</v>
      </c>
      <c r="J43" s="116">
        <v>1.688117298449884E-2</v>
      </c>
      <c r="K43" s="116">
        <v>1.7773178952699122E-2</v>
      </c>
      <c r="L43" s="116">
        <v>1.8777179766448271E-2</v>
      </c>
      <c r="M43" s="117">
        <v>1.8659063837350699E-2</v>
      </c>
      <c r="N43" s="117">
        <v>1.891546489091131E-2</v>
      </c>
      <c r="O43" s="117">
        <v>1.8612540067429354E-2</v>
      </c>
      <c r="P43" s="117">
        <v>1.8455610804350868E-2</v>
      </c>
      <c r="Q43" s="117">
        <v>1.8689995596357086E-2</v>
      </c>
      <c r="R43" s="117">
        <v>2.0224547084196711E-2</v>
      </c>
      <c r="S43" s="117">
        <v>2.4884589709716333E-2</v>
      </c>
      <c r="T43" s="117">
        <v>3.8066501488559813E-2</v>
      </c>
      <c r="U43" s="117">
        <v>5.9010439094367831E-2</v>
      </c>
      <c r="V43" s="117">
        <v>6.8706621775745116E-2</v>
      </c>
      <c r="W43" s="117">
        <v>7.5777768080300151E-2</v>
      </c>
      <c r="X43" s="117">
        <v>8.1090010087882636E-2</v>
      </c>
      <c r="Y43" s="117">
        <v>8.4930830351128417E-2</v>
      </c>
      <c r="Z43" s="117">
        <v>8.7827826589261748E-2</v>
      </c>
      <c r="AA43" s="117">
        <v>9.4792850817599181E-2</v>
      </c>
      <c r="AB43" s="117">
        <v>0.10227962646037117</v>
      </c>
      <c r="AC43" s="117">
        <v>0.10263827827827193</v>
      </c>
      <c r="AD43" s="117">
        <v>0.103246582716571</v>
      </c>
      <c r="AE43" s="117">
        <v>9.7604054571709439E-2</v>
      </c>
      <c r="AF43" s="117">
        <v>9.1373573517591233E-2</v>
      </c>
      <c r="AG43" s="117">
        <v>9.008724035886366E-2</v>
      </c>
      <c r="AH43" s="117">
        <v>8.6791259916364369E-2</v>
      </c>
      <c r="AI43" s="117">
        <v>8.571216192228967E-2</v>
      </c>
      <c r="AJ43" s="117">
        <v>8.5256990500271287E-2</v>
      </c>
      <c r="AK43" s="117">
        <v>8.6046178718614072E-2</v>
      </c>
      <c r="AL43" s="117">
        <v>8.7390420099177801E-2</v>
      </c>
      <c r="AM43" s="117">
        <v>8.7469263513583265E-2</v>
      </c>
      <c r="AN43" s="117">
        <v>8.5102986138733058E-2</v>
      </c>
      <c r="AO43" s="117">
        <v>8.3378564015115855E-2</v>
      </c>
      <c r="AP43" s="117">
        <v>8.5300719020928978E-2</v>
      </c>
      <c r="AQ43" s="117">
        <v>8.3836567907813617E-2</v>
      </c>
      <c r="AR43" s="117">
        <v>8.4751867028745945E-2</v>
      </c>
      <c r="AS43" s="117">
        <v>8.6260626858777278E-2</v>
      </c>
      <c r="AT43" s="117">
        <v>8.5247987095173755E-2</v>
      </c>
      <c r="AU43" s="117">
        <v>8.1758129660729401E-2</v>
      </c>
      <c r="AV43" s="117">
        <v>8.2186631305806085E-2</v>
      </c>
      <c r="AW43" s="117">
        <v>8.5042515543898398E-2</v>
      </c>
      <c r="AX43" s="117">
        <v>8.5994544609684642E-2</v>
      </c>
      <c r="AY43" s="117">
        <v>8.1645955093446951E-2</v>
      </c>
      <c r="AZ43" s="117">
        <v>7.9014788361104107E-2</v>
      </c>
      <c r="BA43" s="117">
        <v>7.6163582054057072E-2</v>
      </c>
      <c r="BB43" s="117">
        <v>7.2580602621794638E-2</v>
      </c>
      <c r="BC43" s="117">
        <v>6.9433865808435344E-2</v>
      </c>
      <c r="BD43" s="117">
        <v>6.91639212102097E-2</v>
      </c>
      <c r="BE43" s="117">
        <v>6.9365619511750173E-2</v>
      </c>
      <c r="BF43" s="117">
        <v>6.7976935353196558E-2</v>
      </c>
      <c r="BG43" s="117">
        <v>6.4215298442354782E-2</v>
      </c>
      <c r="BH43" s="117">
        <v>6.205065869967185E-2</v>
      </c>
      <c r="BI43" s="117">
        <v>6.1741300438477899E-2</v>
      </c>
      <c r="BJ43" s="117">
        <v>6.3845342015823578E-2</v>
      </c>
      <c r="BK43" s="117">
        <v>6.4196675096227063E-2</v>
      </c>
      <c r="BL43" s="117">
        <v>6.448216923610417E-2</v>
      </c>
      <c r="BM43" s="117">
        <v>6.4768142774959431E-2</v>
      </c>
      <c r="BN43" s="117">
        <v>6.4778252137913883E-2</v>
      </c>
      <c r="BO43" s="117">
        <v>6.5470592182040141E-2</v>
      </c>
      <c r="BP43" s="117">
        <v>6.6046821460257005E-2</v>
      </c>
      <c r="BQ43" s="117">
        <v>6.3153091522575311E-2</v>
      </c>
      <c r="BR43" s="117">
        <v>6.1876553961691817E-2</v>
      </c>
      <c r="BS43" s="117">
        <v>5.9882485403137148E-2</v>
      </c>
      <c r="BT43" s="117">
        <v>5.7410044076160634E-2</v>
      </c>
      <c r="BU43" s="117">
        <v>5.5364970668907179E-2</v>
      </c>
      <c r="BV43" s="117">
        <v>5.5017389359210217E-2</v>
      </c>
      <c r="BW43" s="117">
        <v>5.5361772939188605E-2</v>
      </c>
      <c r="BX43" s="117">
        <v>5.4285941807895019E-2</v>
      </c>
      <c r="BY43" s="117">
        <v>5.3644554243289566E-2</v>
      </c>
      <c r="BZ43" s="117">
        <v>5.4598121670848182E-2</v>
      </c>
      <c r="CA43" s="117">
        <v>5.4724604736805814E-2</v>
      </c>
      <c r="CB43" s="117">
        <v>5.4021987832271336E-2</v>
      </c>
      <c r="CC43" s="117">
        <v>5.6076963068449878E-2</v>
      </c>
      <c r="CD43" s="117">
        <v>5.4432592744826529E-2</v>
      </c>
    </row>
    <row r="44" spans="2:82" ht="13.5">
      <c r="B44" s="118" t="s">
        <v>4959</v>
      </c>
      <c r="C44" s="119">
        <v>7.678170661635484E-3</v>
      </c>
      <c r="D44" s="119">
        <v>7.8800970123781826E-3</v>
      </c>
      <c r="E44" s="119">
        <v>7.8777707157015684E-3</v>
      </c>
      <c r="F44" s="119">
        <v>7.9946490137931623E-3</v>
      </c>
      <c r="G44" s="119">
        <v>8.1261584436631978E-3</v>
      </c>
      <c r="H44" s="119">
        <v>8.3119914126670077E-3</v>
      </c>
      <c r="I44" s="119">
        <v>8.5000857363752239E-3</v>
      </c>
      <c r="J44" s="119">
        <v>8.7982978170418162E-3</v>
      </c>
      <c r="K44" s="119">
        <v>9.0424591974825035E-3</v>
      </c>
      <c r="L44" s="119">
        <v>9.21901738991137E-3</v>
      </c>
      <c r="M44" s="120">
        <v>9.4117372000578053E-3</v>
      </c>
      <c r="N44" s="120">
        <v>9.6304811043544918E-3</v>
      </c>
      <c r="O44" s="120">
        <v>9.8250374638833432E-3</v>
      </c>
      <c r="P44" s="120">
        <v>1.0023190597273532E-2</v>
      </c>
      <c r="Q44" s="120">
        <v>1.0248701784446645E-2</v>
      </c>
      <c r="R44" s="120">
        <v>1.0444704917106485E-2</v>
      </c>
      <c r="S44" s="120">
        <v>1.0635600815702568E-2</v>
      </c>
      <c r="T44" s="120">
        <v>1.1013065430485705E-2</v>
      </c>
      <c r="U44" s="120">
        <v>1.1511528528294717E-2</v>
      </c>
      <c r="V44" s="120">
        <v>1.2454837228160707E-2</v>
      </c>
      <c r="W44" s="120">
        <v>1.3810437963884528E-2</v>
      </c>
      <c r="X44" s="120">
        <v>1.5284130395545445E-2</v>
      </c>
      <c r="Y44" s="120">
        <v>1.6809237196448907E-2</v>
      </c>
      <c r="Z44" s="120">
        <v>1.7540623669353973E-2</v>
      </c>
      <c r="AA44" s="120">
        <v>1.7718616615893076E-2</v>
      </c>
      <c r="AB44" s="120">
        <v>1.7919057752861949E-2</v>
      </c>
      <c r="AC44" s="120">
        <v>1.8110852367487138E-2</v>
      </c>
      <c r="AD44" s="120">
        <v>1.8611749876450236E-2</v>
      </c>
      <c r="AE44" s="120">
        <v>1.9669605857062507E-2</v>
      </c>
      <c r="AF44" s="120">
        <v>2.0526469880890866E-2</v>
      </c>
      <c r="AG44" s="120">
        <v>2.1526130998341809E-2</v>
      </c>
      <c r="AH44" s="120">
        <v>2.2351393896994969E-2</v>
      </c>
      <c r="AI44" s="120">
        <v>2.3203364032418992E-2</v>
      </c>
      <c r="AJ44" s="120">
        <v>2.4379130846002947E-2</v>
      </c>
      <c r="AK44" s="120">
        <v>2.5372078857510146E-2</v>
      </c>
      <c r="AL44" s="120">
        <v>2.6183783747595189E-2</v>
      </c>
      <c r="AM44" s="120">
        <v>2.7099325430497295E-2</v>
      </c>
      <c r="AN44" s="120">
        <v>2.8192046390339415E-2</v>
      </c>
      <c r="AO44" s="120">
        <v>2.96793584613055E-2</v>
      </c>
      <c r="AP44" s="120">
        <v>3.1218764310011145E-2</v>
      </c>
      <c r="AQ44" s="120">
        <v>3.2345908810710047E-2</v>
      </c>
      <c r="AR44" s="120">
        <v>3.3226277586344145E-2</v>
      </c>
      <c r="AS44" s="120">
        <v>3.4094048453981902E-2</v>
      </c>
      <c r="AT44" s="120">
        <v>3.5075461581154141E-2</v>
      </c>
      <c r="AU44" s="120">
        <v>3.6449617506892733E-2</v>
      </c>
      <c r="AV44" s="120">
        <v>3.7834067237875371E-2</v>
      </c>
      <c r="AW44" s="120">
        <v>3.8946407050500176E-2</v>
      </c>
      <c r="AX44" s="120">
        <v>3.9893908135323709E-2</v>
      </c>
      <c r="AY44" s="120">
        <v>4.0600295199513428E-2</v>
      </c>
      <c r="AZ44" s="120">
        <v>4.1367817127585041E-2</v>
      </c>
      <c r="BA44" s="120">
        <v>4.2720943484439618E-2</v>
      </c>
      <c r="BB44" s="120">
        <v>4.346226059682827E-2</v>
      </c>
      <c r="BC44" s="120">
        <v>4.3359836304486983E-2</v>
      </c>
      <c r="BD44" s="120">
        <v>4.365087496683584E-2</v>
      </c>
      <c r="BE44" s="120">
        <v>4.4003256122127417E-2</v>
      </c>
      <c r="BF44" s="120">
        <v>4.4310946342594026E-2</v>
      </c>
      <c r="BG44" s="120">
        <v>4.4685940512241056E-2</v>
      </c>
      <c r="BH44" s="120">
        <v>4.5110145324773379E-2</v>
      </c>
      <c r="BI44" s="120">
        <v>4.529915535411351E-2</v>
      </c>
      <c r="BJ44" s="120">
        <v>4.5459564191912501E-2</v>
      </c>
      <c r="BK44" s="120">
        <v>4.488317235013186E-2</v>
      </c>
      <c r="BL44" s="120">
        <v>4.4923409701178724E-2</v>
      </c>
      <c r="BM44" s="120">
        <v>4.4999064366392311E-2</v>
      </c>
      <c r="BN44" s="120">
        <v>4.4969271068373437E-2</v>
      </c>
      <c r="BO44" s="120">
        <v>4.4743328826032117E-2</v>
      </c>
      <c r="BP44" s="120">
        <v>4.4846870973299709E-2</v>
      </c>
      <c r="BQ44" s="120">
        <v>4.4188186983552716E-2</v>
      </c>
      <c r="BR44" s="120">
        <v>4.4214313671935603E-2</v>
      </c>
      <c r="BS44" s="120">
        <v>4.4444969620128442E-2</v>
      </c>
      <c r="BT44" s="120">
        <v>4.4556204578947829E-2</v>
      </c>
      <c r="BU44" s="120">
        <v>4.4600207194056482E-2</v>
      </c>
      <c r="BV44" s="120">
        <v>4.4511689641686079E-2</v>
      </c>
      <c r="BW44" s="120">
        <v>4.4540736445537341E-2</v>
      </c>
      <c r="BX44" s="120">
        <v>4.4332579909878038E-2</v>
      </c>
      <c r="BY44" s="120">
        <v>4.4002025175678847E-2</v>
      </c>
      <c r="BZ44" s="120">
        <v>4.399390320386172E-2</v>
      </c>
      <c r="CA44" s="120">
        <v>4.3271259115870583E-2</v>
      </c>
      <c r="CB44" s="120">
        <v>4.2463767817943129E-2</v>
      </c>
      <c r="CC44" s="120">
        <v>4.1508352018247721E-2</v>
      </c>
      <c r="CD44" s="120">
        <v>4.0907857848119004E-2</v>
      </c>
    </row>
    <row r="45" spans="2:82" ht="12" thickBot="1"/>
    <row r="46" spans="2:82" ht="13.5">
      <c r="B46" s="108" t="s">
        <v>4960</v>
      </c>
      <c r="C46" s="109">
        <v>43435</v>
      </c>
      <c r="D46" s="110">
        <v>43466</v>
      </c>
      <c r="E46" s="110">
        <v>43497</v>
      </c>
      <c r="F46" s="110">
        <v>43525</v>
      </c>
      <c r="G46" s="110">
        <v>43556</v>
      </c>
      <c r="H46" s="110">
        <v>43586</v>
      </c>
      <c r="I46" s="110">
        <v>43617</v>
      </c>
      <c r="J46" s="110">
        <v>43647</v>
      </c>
      <c r="K46" s="110">
        <v>43678</v>
      </c>
      <c r="L46" s="110">
        <v>43709</v>
      </c>
      <c r="M46" s="110">
        <v>43739</v>
      </c>
      <c r="N46" s="110">
        <v>43770</v>
      </c>
      <c r="O46" s="111">
        <v>43800</v>
      </c>
      <c r="P46" s="110">
        <v>43831</v>
      </c>
      <c r="Q46" s="110">
        <v>43862</v>
      </c>
      <c r="R46" s="110">
        <v>43891</v>
      </c>
      <c r="S46" s="110">
        <v>43922</v>
      </c>
      <c r="T46" s="110">
        <v>43952</v>
      </c>
      <c r="U46" s="110">
        <v>43983</v>
      </c>
      <c r="V46" s="110">
        <v>44013</v>
      </c>
      <c r="W46" s="110">
        <v>44044</v>
      </c>
      <c r="X46" s="110">
        <v>44075</v>
      </c>
      <c r="Y46" s="110">
        <v>44105</v>
      </c>
      <c r="Z46" s="110">
        <v>44136</v>
      </c>
      <c r="AA46" s="110">
        <v>44166</v>
      </c>
      <c r="AB46" s="110">
        <v>44197</v>
      </c>
      <c r="AC46" s="110">
        <v>44228</v>
      </c>
      <c r="AD46" s="110">
        <v>44256</v>
      </c>
      <c r="AE46" s="110">
        <v>44287</v>
      </c>
      <c r="AF46" s="110">
        <v>44317</v>
      </c>
      <c r="AG46" s="110">
        <v>44348</v>
      </c>
      <c r="AH46" s="110">
        <v>44378</v>
      </c>
      <c r="AI46" s="110">
        <v>44409</v>
      </c>
      <c r="AJ46" s="110">
        <v>44440</v>
      </c>
      <c r="AK46" s="110">
        <v>44470</v>
      </c>
      <c r="AL46" s="110">
        <v>44501</v>
      </c>
      <c r="AM46" s="110">
        <v>44531</v>
      </c>
      <c r="AN46" s="110">
        <v>44562</v>
      </c>
      <c r="AO46" s="110">
        <v>44593</v>
      </c>
      <c r="AP46" s="110">
        <v>44621</v>
      </c>
      <c r="AQ46" s="110">
        <v>44652</v>
      </c>
      <c r="AR46" s="110">
        <v>44682</v>
      </c>
      <c r="AS46" s="110">
        <v>44713</v>
      </c>
      <c r="AT46" s="110">
        <v>44743</v>
      </c>
      <c r="AU46" s="110">
        <v>44774</v>
      </c>
      <c r="AV46" s="110">
        <v>44805</v>
      </c>
      <c r="AW46" s="110">
        <v>44835</v>
      </c>
      <c r="AX46" s="110">
        <v>44866</v>
      </c>
      <c r="AY46" s="110">
        <v>44896</v>
      </c>
      <c r="AZ46" s="110">
        <v>44927</v>
      </c>
      <c r="BA46" s="110">
        <v>44958</v>
      </c>
      <c r="BB46" s="110">
        <v>44986</v>
      </c>
      <c r="BC46" s="110">
        <v>45017</v>
      </c>
      <c r="BD46" s="110">
        <v>45047</v>
      </c>
      <c r="BE46" s="110">
        <v>45078</v>
      </c>
      <c r="BF46" s="110">
        <v>45108</v>
      </c>
      <c r="BG46" s="110">
        <v>45139</v>
      </c>
      <c r="BH46" s="110">
        <v>45170</v>
      </c>
      <c r="BI46" s="110">
        <v>45200</v>
      </c>
      <c r="BJ46" s="110">
        <v>45231</v>
      </c>
      <c r="BK46" s="110">
        <v>45261</v>
      </c>
      <c r="BL46" s="110">
        <v>45292</v>
      </c>
      <c r="BM46" s="110">
        <v>45323</v>
      </c>
      <c r="BN46" s="110">
        <v>45352</v>
      </c>
      <c r="BO46" s="110">
        <v>45383</v>
      </c>
      <c r="BP46" s="110">
        <v>45413</v>
      </c>
      <c r="BQ46" s="110">
        <v>45444</v>
      </c>
      <c r="BR46" s="110">
        <v>45474</v>
      </c>
      <c r="BS46" s="110">
        <v>45505</v>
      </c>
      <c r="BT46" s="110">
        <v>45536</v>
      </c>
      <c r="BU46" s="110">
        <v>45566</v>
      </c>
      <c r="BV46" s="110">
        <v>45597</v>
      </c>
      <c r="BW46" s="110">
        <v>45627</v>
      </c>
      <c r="BX46" s="110">
        <v>45658</v>
      </c>
      <c r="BY46" s="110">
        <v>45689</v>
      </c>
      <c r="BZ46" s="110">
        <v>45717</v>
      </c>
      <c r="CA46" s="110">
        <v>45748</v>
      </c>
      <c r="CB46" s="110">
        <v>45778</v>
      </c>
      <c r="CC46" s="110">
        <v>45809</v>
      </c>
      <c r="CD46" s="110">
        <v>45839</v>
      </c>
    </row>
    <row r="47" spans="2:82" ht="14.45">
      <c r="B47" s="112"/>
      <c r="C47" s="113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21"/>
      <c r="O47" s="114"/>
      <c r="P47" s="114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</row>
    <row r="48" spans="2:82" ht="13.5">
      <c r="B48" s="115" t="s">
        <v>4954</v>
      </c>
      <c r="C48" s="116">
        <v>8.669885147292436E-2</v>
      </c>
      <c r="D48" s="116">
        <v>7.2056960840303594E-2</v>
      </c>
      <c r="E48" s="116">
        <v>6.4219253292402911E-2</v>
      </c>
      <c r="F48" s="116">
        <v>7.7634029720739225E-2</v>
      </c>
      <c r="G48" s="116">
        <v>6.9497961393117563E-2</v>
      </c>
      <c r="H48" s="116">
        <v>7.4727480320183837E-2</v>
      </c>
      <c r="I48" s="116">
        <v>7.99937141903483E-2</v>
      </c>
      <c r="J48" s="116">
        <v>7.991631543483238E-2</v>
      </c>
      <c r="K48" s="116">
        <v>6.8564380095948577E-2</v>
      </c>
      <c r="L48" s="116">
        <v>6.9399329294992693E-2</v>
      </c>
      <c r="M48" s="116">
        <v>6.2235101100175536E-2</v>
      </c>
      <c r="N48" s="116">
        <v>6.5437130831034654E-2</v>
      </c>
      <c r="O48" s="116">
        <v>6.1969352938183335E-2</v>
      </c>
      <c r="P48" s="116">
        <v>6.3864704278617263E-2</v>
      </c>
      <c r="Q48" s="116">
        <v>6.0601591764192608E-2</v>
      </c>
      <c r="R48" s="116">
        <v>5.8615591639725288E-2</v>
      </c>
      <c r="S48" s="116">
        <v>6.7848886399195965E-2</v>
      </c>
      <c r="T48" s="116">
        <v>6.8388900659933125E-2</v>
      </c>
      <c r="U48" s="116">
        <v>6.7404164846766604E-2</v>
      </c>
      <c r="V48" s="116">
        <v>7.5605685497313613E-2</v>
      </c>
      <c r="W48" s="116">
        <v>7.0454465295502672E-2</v>
      </c>
      <c r="X48" s="116">
        <v>7.7805525065697434E-2</v>
      </c>
      <c r="Y48" s="116">
        <v>8.509869352881734E-2</v>
      </c>
      <c r="Z48" s="116">
        <v>9.0237803487428214E-2</v>
      </c>
      <c r="AA48" s="116">
        <v>8.8196548427570506E-2</v>
      </c>
      <c r="AB48" s="116">
        <v>0.10364026675698802</v>
      </c>
      <c r="AC48" s="116">
        <v>0.11933095069358605</v>
      </c>
      <c r="AD48" s="116">
        <v>0.10854669900919986</v>
      </c>
      <c r="AE48" s="116">
        <v>0.12294101830951858</v>
      </c>
      <c r="AF48" s="116">
        <v>0.11894290404777881</v>
      </c>
      <c r="AG48" s="116">
        <v>0.115552076953335</v>
      </c>
      <c r="AH48" s="116">
        <v>0.12239848908941588</v>
      </c>
      <c r="AI48" s="116">
        <v>0.11615362360257407</v>
      </c>
      <c r="AJ48" s="116">
        <v>0.12600089307990076</v>
      </c>
      <c r="AK48" s="116">
        <v>0.10443146876115005</v>
      </c>
      <c r="AL48" s="116">
        <v>7.87316541791135E-2</v>
      </c>
      <c r="AM48" s="116">
        <v>7.4433876812908181E-2</v>
      </c>
      <c r="AN48" s="116">
        <v>6.5649135762699068E-2</v>
      </c>
      <c r="AO48" s="116">
        <v>7.9950716975058109E-2</v>
      </c>
      <c r="AP48" s="116">
        <v>8.9073544069005986E-2</v>
      </c>
      <c r="AQ48" s="116">
        <v>0.10428962319903902</v>
      </c>
      <c r="AR48" s="116">
        <v>0.12199149490958498</v>
      </c>
      <c r="AS48" s="116">
        <v>0.13986971376029192</v>
      </c>
      <c r="AT48" s="116">
        <v>0.12854109715412967</v>
      </c>
      <c r="AU48" s="116">
        <v>2.5812484002001038E-2</v>
      </c>
      <c r="AV48" s="116">
        <v>2.6410760101797492E-2</v>
      </c>
      <c r="AW48" s="116">
        <v>0.11788520153672931</v>
      </c>
      <c r="AX48" s="116">
        <v>0.10396717748023386</v>
      </c>
      <c r="AY48" s="116">
        <v>8.6984806286956276E-2</v>
      </c>
      <c r="AZ48" s="116">
        <v>8.9232775322317506E-2</v>
      </c>
      <c r="BA48" s="116">
        <v>7.4423112323017238E-2</v>
      </c>
      <c r="BB48" s="116">
        <v>8.0037861892839679E-2</v>
      </c>
      <c r="BC48" s="116">
        <v>5.461987942086427E-2</v>
      </c>
      <c r="BD48" s="116">
        <v>4.779170752843475E-2</v>
      </c>
      <c r="BE48" s="116">
        <v>4.8919124199435664E-2</v>
      </c>
      <c r="BF48" s="116">
        <v>5.0703070638312774E-2</v>
      </c>
      <c r="BG48" s="116">
        <v>3.1356890217429337E-2</v>
      </c>
      <c r="BH48" s="116">
        <v>3.1104951786807163E-2</v>
      </c>
      <c r="BI48" s="116">
        <v>3.1498410707726777E-2</v>
      </c>
      <c r="BJ48" s="116">
        <v>3.9345035449837903E-2</v>
      </c>
      <c r="BK48" s="116">
        <v>3.0799200131960646E-2</v>
      </c>
      <c r="BL48" s="116">
        <v>3.8075058949429516E-2</v>
      </c>
      <c r="BM48" s="116">
        <v>4.1923853211720236E-2</v>
      </c>
      <c r="BN48" s="116">
        <v>5.023017277132439E-2</v>
      </c>
      <c r="BO48" s="116">
        <v>5.0202337913080639E-2</v>
      </c>
      <c r="BP48" s="116">
        <v>6.2249187188511364E-2</v>
      </c>
      <c r="BQ48" s="116">
        <v>6.6486237519432376E-2</v>
      </c>
      <c r="BR48" s="116">
        <v>7.3828073154718329E-2</v>
      </c>
      <c r="BS48" s="116">
        <v>7.6418937095117961E-2</v>
      </c>
      <c r="BT48" s="116">
        <v>8.0780450958541458E-2</v>
      </c>
      <c r="BU48" s="116">
        <v>8.4542059116321455E-2</v>
      </c>
      <c r="BV48" s="116">
        <v>8.6840494760790907E-2</v>
      </c>
      <c r="BW48" s="116">
        <v>6.7237143978918293E-2</v>
      </c>
      <c r="BX48" s="116">
        <v>0.10399380006525027</v>
      </c>
      <c r="BY48" s="116">
        <v>0.10423570514152723</v>
      </c>
      <c r="BZ48" s="116">
        <v>8.947774836374793E-2</v>
      </c>
      <c r="CA48" s="116">
        <v>8.6029925547292302E-2</v>
      </c>
      <c r="CB48" s="116">
        <v>8.5946448031132022E-2</v>
      </c>
      <c r="CC48" s="116">
        <v>9.3917359178339321E-2</v>
      </c>
      <c r="CD48" s="116">
        <v>8.5969317741571044E-2</v>
      </c>
    </row>
    <row r="49" spans="2:82" ht="13.5">
      <c r="B49" s="118" t="s">
        <v>4959</v>
      </c>
      <c r="C49" s="119">
        <v>5.4764786123225148E-2</v>
      </c>
      <c r="D49" s="119">
        <v>3.0033621778336642E-2</v>
      </c>
      <c r="E49" s="119">
        <v>3.0033991953341707E-2</v>
      </c>
      <c r="F49" s="119">
        <v>3.185531084716714E-2</v>
      </c>
      <c r="G49" s="119">
        <v>3.3234461256759419E-2</v>
      </c>
      <c r="H49" s="119">
        <v>3.4376585604126132E-2</v>
      </c>
      <c r="I49" s="119">
        <v>3.4914049257954487E-2</v>
      </c>
      <c r="J49" s="119">
        <v>3.6162855611432773E-2</v>
      </c>
      <c r="K49" s="119">
        <v>3.4595542650208255E-2</v>
      </c>
      <c r="L49" s="119">
        <v>3.5064888436392591E-2</v>
      </c>
      <c r="M49" s="119">
        <v>3.638119207659693E-2</v>
      </c>
      <c r="N49" s="119">
        <v>3.6356437914959197E-2</v>
      </c>
      <c r="O49" s="119">
        <v>3.6961487804387169E-2</v>
      </c>
      <c r="P49" s="119">
        <v>3.6643764071072123E-2</v>
      </c>
      <c r="Q49" s="119">
        <v>3.6478387950853709E-2</v>
      </c>
      <c r="R49" s="119">
        <v>3.6904334573439036E-2</v>
      </c>
      <c r="S49" s="119">
        <v>3.7071873766266326E-2</v>
      </c>
      <c r="T49" s="119">
        <v>3.7515017761896113E-2</v>
      </c>
      <c r="U49" s="119">
        <v>3.9058133744901094E-2</v>
      </c>
      <c r="V49" s="119">
        <v>3.9163581055200347E-2</v>
      </c>
      <c r="W49" s="119">
        <v>4.1265989878866392E-2</v>
      </c>
      <c r="X49" s="119">
        <v>4.2419697777521768E-2</v>
      </c>
      <c r="Y49" s="119">
        <v>4.1901699075321437E-2</v>
      </c>
      <c r="Z49" s="119">
        <v>4.1996545490036896E-2</v>
      </c>
      <c r="AA49" s="119">
        <v>4.2802453646423703E-2</v>
      </c>
      <c r="AB49" s="119">
        <v>4.3504050602201909E-2</v>
      </c>
      <c r="AC49" s="119">
        <v>4.4589604050345795E-2</v>
      </c>
      <c r="AD49" s="119">
        <v>4.2353711638725478E-2</v>
      </c>
      <c r="AE49" s="119">
        <v>4.3390579126398848E-2</v>
      </c>
      <c r="AF49" s="119">
        <v>4.5849023129887818E-2</v>
      </c>
      <c r="AG49" s="119">
        <v>4.8062872902205754E-2</v>
      </c>
      <c r="AH49" s="119">
        <v>5.0188430699970366E-2</v>
      </c>
      <c r="AI49" s="119">
        <v>5.1040199851650307E-2</v>
      </c>
      <c r="AJ49" s="119">
        <v>5.2310213042872103E-2</v>
      </c>
      <c r="AK49" s="119">
        <v>5.0017602471965045E-2</v>
      </c>
      <c r="AL49" s="119">
        <v>4.7372489649615331E-2</v>
      </c>
      <c r="AM49" s="119">
        <v>4.6758885700682797E-2</v>
      </c>
      <c r="AN49" s="119">
        <v>4.5472426179261248E-2</v>
      </c>
      <c r="AO49" s="119">
        <v>4.4933554621140633E-2</v>
      </c>
      <c r="AP49" s="119">
        <v>4.5210421987059136E-2</v>
      </c>
      <c r="AQ49" s="119">
        <v>4.5223497355018072E-2</v>
      </c>
      <c r="AR49" s="119">
        <v>4.9423030985467423E-2</v>
      </c>
      <c r="AS49" s="119">
        <v>5.29731239426353E-2</v>
      </c>
      <c r="AT49" s="119">
        <v>5.582649761999376E-2</v>
      </c>
      <c r="AU49" s="119">
        <v>4.5042485381531022E-2</v>
      </c>
      <c r="AV49" s="119">
        <v>4.4803755119451324E-2</v>
      </c>
      <c r="AW49" s="119">
        <v>4.4556303857430403E-2</v>
      </c>
      <c r="AX49" s="119">
        <v>4.2887536702319699E-2</v>
      </c>
      <c r="AY49" s="119">
        <v>4.2611346948502424E-2</v>
      </c>
      <c r="AZ49" s="119">
        <v>4.2038497217321225E-2</v>
      </c>
      <c r="BA49" s="119">
        <v>5.5831412327717135E-2</v>
      </c>
      <c r="BB49" s="119">
        <v>5.5384680669865211E-2</v>
      </c>
      <c r="BC49" s="119">
        <v>4.6921440382377742E-2</v>
      </c>
      <c r="BD49" s="119">
        <v>4.7075425780807159E-2</v>
      </c>
      <c r="BE49" s="119">
        <v>4.7291317019190038E-2</v>
      </c>
      <c r="BF49" s="119">
        <v>4.7299208264766239E-2</v>
      </c>
      <c r="BG49" s="119">
        <v>4.7966433554928016E-2</v>
      </c>
      <c r="BH49" s="119">
        <v>4.6859250576421867E-2</v>
      </c>
      <c r="BI49" s="119">
        <v>4.6677359344284325E-2</v>
      </c>
      <c r="BJ49" s="119">
        <v>4.5833044439580993E-2</v>
      </c>
      <c r="BK49" s="119">
        <v>4.493371679055469E-2</v>
      </c>
      <c r="BL49" s="119">
        <v>4.2747550747882161E-2</v>
      </c>
      <c r="BM49" s="119">
        <v>4.2198309324060997E-2</v>
      </c>
      <c r="BN49" s="119">
        <v>4.211333115691665E-2</v>
      </c>
      <c r="BO49" s="119">
        <v>4.1700644823552763E-2</v>
      </c>
      <c r="BP49" s="119">
        <v>4.2674791705120424E-2</v>
      </c>
      <c r="BQ49" s="119">
        <v>4.3585188017788427E-2</v>
      </c>
      <c r="BR49" s="119">
        <v>4.4484867422978441E-2</v>
      </c>
      <c r="BS49" s="119">
        <v>4.4882869275640253E-2</v>
      </c>
      <c r="BT49" s="119">
        <v>4.6909607963225068E-2</v>
      </c>
      <c r="BU49" s="119">
        <v>4.6880958935519419E-2</v>
      </c>
      <c r="BV49" s="119">
        <v>4.6398589739856895E-2</v>
      </c>
      <c r="BW49" s="119">
        <v>4.5372266198428213E-2</v>
      </c>
      <c r="BX49" s="119">
        <v>4.6179632680347735E-2</v>
      </c>
      <c r="BY49" s="119">
        <v>4.5899959846654466E-2</v>
      </c>
      <c r="BZ49" s="119">
        <v>4.3580646728876384E-2</v>
      </c>
      <c r="CA49" s="119">
        <v>4.2557084404174834E-2</v>
      </c>
      <c r="CB49" s="119">
        <v>5.0157133977100095E-2</v>
      </c>
      <c r="CC49" s="119">
        <v>5.0153608351716832E-2</v>
      </c>
      <c r="CD49" s="119">
        <v>4.9907481323697135E-2</v>
      </c>
    </row>
    <row r="50" spans="2:82" ht="12" thickBot="1"/>
    <row r="51" spans="2:82" ht="27">
      <c r="B51" s="108" t="s">
        <v>4961</v>
      </c>
      <c r="C51" s="109">
        <v>43435</v>
      </c>
      <c r="D51" s="110">
        <v>43466</v>
      </c>
      <c r="E51" s="110">
        <v>43497</v>
      </c>
      <c r="F51" s="110">
        <v>43525</v>
      </c>
      <c r="G51" s="110">
        <v>43556</v>
      </c>
      <c r="H51" s="110">
        <v>43586</v>
      </c>
      <c r="I51" s="110">
        <v>43617</v>
      </c>
      <c r="J51" s="110">
        <v>43647</v>
      </c>
      <c r="K51" s="110">
        <v>43678</v>
      </c>
      <c r="L51" s="110">
        <v>43709</v>
      </c>
      <c r="M51" s="110">
        <v>43739</v>
      </c>
      <c r="N51" s="110">
        <v>43770</v>
      </c>
      <c r="O51" s="111">
        <v>43800</v>
      </c>
      <c r="P51" s="110">
        <v>43831</v>
      </c>
      <c r="Q51" s="110">
        <v>43862</v>
      </c>
      <c r="R51" s="110">
        <v>43891</v>
      </c>
      <c r="S51" s="110">
        <v>43922</v>
      </c>
      <c r="T51" s="110">
        <v>43952</v>
      </c>
      <c r="U51" s="110">
        <v>43983</v>
      </c>
      <c r="V51" s="110">
        <v>44013</v>
      </c>
      <c r="W51" s="110">
        <v>44044</v>
      </c>
      <c r="X51" s="110">
        <v>44075</v>
      </c>
      <c r="Y51" s="110">
        <v>44105</v>
      </c>
      <c r="Z51" s="110">
        <v>44136</v>
      </c>
      <c r="AA51" s="110">
        <v>44166</v>
      </c>
      <c r="AB51" s="110">
        <v>44197</v>
      </c>
      <c r="AC51" s="110">
        <v>44228</v>
      </c>
      <c r="AD51" s="110">
        <v>44256</v>
      </c>
      <c r="AE51" s="110">
        <v>44287</v>
      </c>
      <c r="AF51" s="110">
        <v>44317</v>
      </c>
      <c r="AG51" s="110">
        <v>44348</v>
      </c>
      <c r="AH51" s="110">
        <v>44378</v>
      </c>
      <c r="AI51" s="110">
        <v>44409</v>
      </c>
      <c r="AJ51" s="110">
        <v>44440</v>
      </c>
      <c r="AK51" s="110">
        <v>44470</v>
      </c>
      <c r="AL51" s="110">
        <v>44501</v>
      </c>
      <c r="AM51" s="110">
        <v>44531</v>
      </c>
      <c r="AN51" s="110">
        <v>44562</v>
      </c>
      <c r="AO51" s="110">
        <v>44593</v>
      </c>
      <c r="AP51" s="110">
        <v>44621</v>
      </c>
      <c r="AQ51" s="110">
        <v>44652</v>
      </c>
      <c r="AR51" s="110">
        <v>44682</v>
      </c>
      <c r="AS51" s="110">
        <v>44713</v>
      </c>
      <c r="AT51" s="110">
        <v>44743</v>
      </c>
      <c r="AU51" s="110">
        <v>44774</v>
      </c>
      <c r="AV51" s="110">
        <v>44805</v>
      </c>
      <c r="AW51" s="110">
        <v>44835</v>
      </c>
      <c r="AX51" s="110">
        <v>44866</v>
      </c>
      <c r="AY51" s="110">
        <v>44896</v>
      </c>
      <c r="AZ51" s="110">
        <v>44927</v>
      </c>
      <c r="BA51" s="110">
        <v>44958</v>
      </c>
      <c r="BB51" s="110">
        <v>44986</v>
      </c>
      <c r="BC51" s="110">
        <v>45017</v>
      </c>
      <c r="BD51" s="110">
        <v>45047</v>
      </c>
      <c r="BE51" s="110">
        <v>45078</v>
      </c>
      <c r="BF51" s="110">
        <v>45108</v>
      </c>
      <c r="BG51" s="110">
        <v>45139</v>
      </c>
      <c r="BH51" s="110">
        <v>45170</v>
      </c>
      <c r="BI51" s="110">
        <v>45200</v>
      </c>
      <c r="BJ51" s="110">
        <v>45231</v>
      </c>
      <c r="BK51" s="110">
        <v>45261</v>
      </c>
      <c r="BL51" s="110">
        <v>45292</v>
      </c>
      <c r="BM51" s="110">
        <v>45323</v>
      </c>
      <c r="BN51" s="110">
        <v>45352</v>
      </c>
      <c r="BO51" s="110">
        <v>45383</v>
      </c>
      <c r="BP51" s="110">
        <v>45413</v>
      </c>
      <c r="BQ51" s="110">
        <v>45444</v>
      </c>
      <c r="BR51" s="110">
        <v>45474</v>
      </c>
      <c r="BS51" s="110">
        <v>45505</v>
      </c>
      <c r="BT51" s="110">
        <v>45536</v>
      </c>
      <c r="BU51" s="110">
        <v>45566</v>
      </c>
      <c r="BV51" s="110">
        <v>45597</v>
      </c>
      <c r="BW51" s="110">
        <v>45627</v>
      </c>
      <c r="BX51" s="110">
        <v>45658</v>
      </c>
      <c r="BY51" s="110">
        <v>45689</v>
      </c>
      <c r="BZ51" s="110">
        <v>45717</v>
      </c>
      <c r="CA51" s="110">
        <v>45748</v>
      </c>
      <c r="CB51" s="110">
        <v>45778</v>
      </c>
      <c r="CC51" s="110">
        <v>45809</v>
      </c>
      <c r="CD51" s="110">
        <v>45839</v>
      </c>
    </row>
    <row r="52" spans="2:82" ht="14.45">
      <c r="B52" s="112"/>
      <c r="C52" s="113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21"/>
      <c r="O52" s="114"/>
      <c r="P52" s="114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</row>
    <row r="53" spans="2:82" ht="13.5">
      <c r="B53" s="115" t="s">
        <v>4954</v>
      </c>
      <c r="C53" s="116">
        <v>2.3588927240769764E-2</v>
      </c>
      <c r="D53" s="116">
        <v>2.143026572406595E-2</v>
      </c>
      <c r="E53" s="116">
        <v>2.0930229372501826E-2</v>
      </c>
      <c r="F53" s="116">
        <v>2.3408271977682932E-2</v>
      </c>
      <c r="G53" s="116">
        <v>2.2528777004652136E-2</v>
      </c>
      <c r="H53" s="116">
        <v>2.3501397336635765E-2</v>
      </c>
      <c r="I53" s="116">
        <v>2.4693640879923141E-2</v>
      </c>
      <c r="J53" s="116">
        <v>2.4829524670770663E-2</v>
      </c>
      <c r="K53" s="116">
        <v>2.4191566421898843E-2</v>
      </c>
      <c r="L53" s="116">
        <v>2.5282108991938012E-2</v>
      </c>
      <c r="M53" s="116">
        <v>2.4097701895220633E-2</v>
      </c>
      <c r="N53" s="116">
        <v>2.4818008851277842E-2</v>
      </c>
      <c r="O53" s="116">
        <v>2.4002538813121515E-2</v>
      </c>
      <c r="P53" s="116">
        <v>2.4033849502222746E-2</v>
      </c>
      <c r="Q53" s="116">
        <v>2.4054381882486407E-2</v>
      </c>
      <c r="R53" s="116">
        <v>2.5038041005242345E-2</v>
      </c>
      <c r="S53" s="116">
        <v>3.0120104503922079E-2</v>
      </c>
      <c r="T53" s="116">
        <v>4.1683175083095561E-2</v>
      </c>
      <c r="U53" s="116">
        <v>6.0070137775645453E-2</v>
      </c>
      <c r="V53" s="116">
        <v>6.9610151384623217E-2</v>
      </c>
      <c r="W53" s="116">
        <v>7.5053040033484286E-2</v>
      </c>
      <c r="X53" s="116">
        <v>8.063271055097726E-2</v>
      </c>
      <c r="Y53" s="116">
        <v>8.4954417258017445E-2</v>
      </c>
      <c r="Z53" s="116">
        <v>8.8180817794204988E-2</v>
      </c>
      <c r="AA53" s="116">
        <v>9.3816079672823821E-2</v>
      </c>
      <c r="AB53" s="116">
        <v>0.10248636680169294</v>
      </c>
      <c r="AC53" s="116">
        <v>0.10531205370403346</v>
      </c>
      <c r="AD53" s="116">
        <v>0.10406918634957471</v>
      </c>
      <c r="AE53" s="116">
        <v>0.1012231496635085</v>
      </c>
      <c r="AF53" s="116">
        <v>9.5034780296591903E-2</v>
      </c>
      <c r="AG53" s="116">
        <v>9.3448664334137468E-2</v>
      </c>
      <c r="AH53" s="116">
        <v>9.1358762260684109E-2</v>
      </c>
      <c r="AI53" s="116">
        <v>8.9587634669206592E-2</v>
      </c>
      <c r="AJ53" s="116">
        <v>9.0332966748882693E-2</v>
      </c>
      <c r="AK53" s="116">
        <v>8.834698255549267E-2</v>
      </c>
      <c r="AL53" s="116">
        <v>8.6317842483131776E-2</v>
      </c>
      <c r="AM53" s="116">
        <v>8.5852707633400374E-2</v>
      </c>
      <c r="AN53" s="116">
        <v>8.2654721015771163E-2</v>
      </c>
      <c r="AO53" s="116">
        <v>8.2942894452085178E-2</v>
      </c>
      <c r="AP53" s="116">
        <v>8.5770291530456011E-2</v>
      </c>
      <c r="AQ53" s="116">
        <v>8.6389510547612056E-2</v>
      </c>
      <c r="AR53" s="116">
        <v>8.9371365174293782E-2</v>
      </c>
      <c r="AS53" s="116">
        <v>9.2918828005388907E-2</v>
      </c>
      <c r="AT53" s="116">
        <v>9.0721337643361516E-2</v>
      </c>
      <c r="AU53" s="116">
        <v>7.4750271242548724E-2</v>
      </c>
      <c r="AV53" s="116">
        <v>7.493719866115596E-2</v>
      </c>
      <c r="AW53" s="116">
        <v>8.9223115950305659E-2</v>
      </c>
      <c r="AX53" s="116">
        <v>8.8307329686219058E-2</v>
      </c>
      <c r="AY53" s="116">
        <v>8.233782806017774E-2</v>
      </c>
      <c r="AZ53" s="116">
        <v>8.0371924522086857E-2</v>
      </c>
      <c r="BA53" s="116">
        <v>7.5930858825507777E-2</v>
      </c>
      <c r="BB53" s="116">
        <v>7.3558159017183142E-2</v>
      </c>
      <c r="BC53" s="116">
        <v>6.7538534793048416E-2</v>
      </c>
      <c r="BD53" s="116">
        <v>6.6383693287789147E-2</v>
      </c>
      <c r="BE53" s="116">
        <v>6.6695668477087688E-2</v>
      </c>
      <c r="BF53" s="116">
        <v>6.5803791968420872E-2</v>
      </c>
      <c r="BG53" s="116">
        <v>6.0023999715940531E-2</v>
      </c>
      <c r="BH53" s="116">
        <v>5.8087988803455053E-2</v>
      </c>
      <c r="BI53" s="116">
        <v>5.7956271009277659E-2</v>
      </c>
      <c r="BJ53" s="116">
        <v>6.082775760621266E-2</v>
      </c>
      <c r="BK53" s="116">
        <v>6.0075773481028778E-2</v>
      </c>
      <c r="BL53" s="116">
        <v>6.1150180528559125E-2</v>
      </c>
      <c r="BM53" s="116">
        <v>6.1854917841224516E-2</v>
      </c>
      <c r="BN53" s="116">
        <v>6.2949359303376154E-2</v>
      </c>
      <c r="BO53" s="116">
        <v>6.3614567685883264E-2</v>
      </c>
      <c r="BP53" s="116">
        <v>6.557326374845697E-2</v>
      </c>
      <c r="BQ53" s="116">
        <v>6.3572833281631255E-2</v>
      </c>
      <c r="BR53" s="116">
        <v>6.3389285541431431E-2</v>
      </c>
      <c r="BS53" s="116">
        <v>6.2063073693797779E-2</v>
      </c>
      <c r="BT53" s="116">
        <v>6.0449901867707163E-2</v>
      </c>
      <c r="BU53" s="116">
        <v>5.9090013481197509E-2</v>
      </c>
      <c r="BV53" s="116">
        <v>5.9044349606807059E-2</v>
      </c>
      <c r="BW53" s="116">
        <v>5.6959270235444531E-2</v>
      </c>
      <c r="BX53" s="116">
        <v>6.0876133360410235E-2</v>
      </c>
      <c r="BY53" s="116">
        <v>6.0426621925940241E-2</v>
      </c>
      <c r="BZ53" s="116">
        <v>5.9194837950737073E-2</v>
      </c>
      <c r="CA53" s="116">
        <v>5.8755707730581232E-2</v>
      </c>
      <c r="CB53" s="116">
        <v>5.8093444896194502E-2</v>
      </c>
      <c r="CC53" s="116">
        <v>6.0730668659660918E-2</v>
      </c>
      <c r="CD53" s="116">
        <v>5.835228625511181E-2</v>
      </c>
    </row>
    <row r="54" spans="2:82" ht="13.5">
      <c r="B54" s="118" t="s">
        <v>4959</v>
      </c>
      <c r="C54" s="119">
        <v>1.3140591687160565E-2</v>
      </c>
      <c r="D54" s="119">
        <v>1.0458296347006759E-2</v>
      </c>
      <c r="E54" s="119">
        <v>1.0457526367992055E-2</v>
      </c>
      <c r="F54" s="119">
        <v>1.0768423255570432E-2</v>
      </c>
      <c r="G54" s="119">
        <v>1.1062001623474952E-2</v>
      </c>
      <c r="H54" s="119">
        <v>1.1359924437699828E-2</v>
      </c>
      <c r="I54" s="119">
        <v>1.1607132478568882E-2</v>
      </c>
      <c r="J54" s="119">
        <v>1.2022190757499314E-2</v>
      </c>
      <c r="K54" s="119">
        <v>1.2028072428689649E-2</v>
      </c>
      <c r="L54" s="119">
        <v>1.2237023113506589E-2</v>
      </c>
      <c r="M54" s="119">
        <v>1.2549132045853584E-2</v>
      </c>
      <c r="N54" s="119">
        <v>1.277394897925053E-2</v>
      </c>
      <c r="O54" s="119">
        <v>1.3008834218763449E-2</v>
      </c>
      <c r="P54" s="119">
        <v>1.3162092571988616E-2</v>
      </c>
      <c r="Q54" s="119">
        <v>1.3342687968532409E-2</v>
      </c>
      <c r="R54" s="119">
        <v>1.3574543262372092E-2</v>
      </c>
      <c r="S54" s="119">
        <v>1.3768602429375337E-2</v>
      </c>
      <c r="T54" s="119">
        <v>1.4145844704897274E-2</v>
      </c>
      <c r="U54" s="119">
        <v>1.4770951865869426E-2</v>
      </c>
      <c r="V54" s="119">
        <v>1.5605221882562012E-2</v>
      </c>
      <c r="W54" s="119">
        <v>1.7017836820179582E-2</v>
      </c>
      <c r="X54" s="119">
        <v>1.846791249512314E-2</v>
      </c>
      <c r="Y54" s="119">
        <v>1.9783878770402042E-2</v>
      </c>
      <c r="Z54" s="119">
        <v>2.0472199538348276E-2</v>
      </c>
      <c r="AA54" s="119">
        <v>2.0732309397077812E-2</v>
      </c>
      <c r="AB54" s="119">
        <v>2.1021261633818757E-2</v>
      </c>
      <c r="AC54" s="119">
        <v>2.1341772020954296E-2</v>
      </c>
      <c r="AD54" s="119">
        <v>2.1525352080683933E-2</v>
      </c>
      <c r="AE54" s="119">
        <v>2.2594839868639919E-2</v>
      </c>
      <c r="AF54" s="119">
        <v>2.3634640244524718E-2</v>
      </c>
      <c r="AG54" s="119">
        <v>2.4806778200699819E-2</v>
      </c>
      <c r="AH54" s="119">
        <v>2.5769676641524734E-2</v>
      </c>
      <c r="AI54" s="119">
        <v>2.6616143388287664E-2</v>
      </c>
      <c r="AJ54" s="119">
        <v>2.7818803101502657E-2</v>
      </c>
      <c r="AK54" s="119">
        <v>2.84109596533045E-2</v>
      </c>
      <c r="AL54" s="119">
        <v>2.8808878414185158E-2</v>
      </c>
      <c r="AM54" s="119">
        <v>2.9545799197377858E-2</v>
      </c>
      <c r="AN54" s="119">
        <v>3.0354013498755692E-2</v>
      </c>
      <c r="AO54" s="119">
        <v>3.1604450300216663E-2</v>
      </c>
      <c r="AP54" s="119">
        <v>3.2981613018819744E-2</v>
      </c>
      <c r="AQ54" s="119">
        <v>3.397891851794764E-2</v>
      </c>
      <c r="AR54" s="119">
        <v>3.528666274184257E-2</v>
      </c>
      <c r="AS54" s="119">
        <v>3.6503704275861512E-2</v>
      </c>
      <c r="AT54" s="119">
        <v>3.7715410464076976E-2</v>
      </c>
      <c r="AU54" s="119">
        <v>3.7550907595810396E-2</v>
      </c>
      <c r="AV54" s="119">
        <v>3.8729747407952798E-2</v>
      </c>
      <c r="AW54" s="119">
        <v>3.9667631695675276E-2</v>
      </c>
      <c r="AX54" s="119">
        <v>4.0281775791394414E-2</v>
      </c>
      <c r="AY54" s="119">
        <v>4.0859598819818266E-2</v>
      </c>
      <c r="AZ54" s="119">
        <v>4.1454681065991109E-2</v>
      </c>
      <c r="BA54" s="119">
        <v>4.4412145014531501E-2</v>
      </c>
      <c r="BB54" s="119">
        <v>4.5001432829205511E-2</v>
      </c>
      <c r="BC54" s="119">
        <v>4.3818324370567062E-2</v>
      </c>
      <c r="BD54" s="119">
        <v>4.4093312132699521E-2</v>
      </c>
      <c r="BE54" s="119">
        <v>4.4429162425103794E-2</v>
      </c>
      <c r="BF54" s="119">
        <v>4.4696585146647358E-2</v>
      </c>
      <c r="BG54" s="119">
        <v>4.5107108972550519E-2</v>
      </c>
      <c r="BH54" s="119">
        <v>4.5336430313095977E-2</v>
      </c>
      <c r="BI54" s="119">
        <v>4.5477416234298226E-2</v>
      </c>
      <c r="BJ54" s="119">
        <v>4.5507749501612307E-2</v>
      </c>
      <c r="BK54" s="119">
        <v>4.4889668903535032E-2</v>
      </c>
      <c r="BL54" s="119">
        <v>4.4643040692613982E-2</v>
      </c>
      <c r="BM54" s="119">
        <v>4.4637582352068078E-2</v>
      </c>
      <c r="BN54" s="119">
        <v>4.460129659016647E-2</v>
      </c>
      <c r="BO54" s="119">
        <v>4.4349250871270028E-2</v>
      </c>
      <c r="BP54" s="119">
        <v>4.4566958487331089E-2</v>
      </c>
      <c r="BQ54" s="119">
        <v>4.411069015839638E-2</v>
      </c>
      <c r="BR54" s="119">
        <v>4.424912438940086E-2</v>
      </c>
      <c r="BS54" s="119">
        <v>4.4501164868556285E-2</v>
      </c>
      <c r="BT54" s="119">
        <v>4.4858404313018081E-2</v>
      </c>
      <c r="BU54" s="119">
        <v>4.4893696195105297E-2</v>
      </c>
      <c r="BV54" s="119">
        <v>4.4755829347575472E-2</v>
      </c>
      <c r="BW54" s="119">
        <v>4.4648713300427897E-2</v>
      </c>
      <c r="BX54" s="119">
        <v>4.4572141725117732E-2</v>
      </c>
      <c r="BY54" s="119">
        <v>4.4249538929227408E-2</v>
      </c>
      <c r="BZ54" s="119">
        <v>4.3940192803286489E-2</v>
      </c>
      <c r="CA54" s="119">
        <v>4.3178319407439159E-2</v>
      </c>
      <c r="CB54" s="119">
        <v>4.345741521072613E-2</v>
      </c>
      <c r="CC54" s="119">
        <v>4.2619494974607743E-2</v>
      </c>
      <c r="CD54" s="119">
        <v>4.2058343658044228E-2</v>
      </c>
    </row>
    <row r="55" spans="2:82" ht="12" thickBot="1"/>
    <row r="56" spans="2:82" ht="13.5">
      <c r="B56" s="108" t="s">
        <v>18</v>
      </c>
      <c r="C56" s="109">
        <v>43435</v>
      </c>
      <c r="D56" s="110">
        <v>43466</v>
      </c>
      <c r="E56" s="110">
        <v>43497</v>
      </c>
      <c r="F56" s="110">
        <v>43525</v>
      </c>
      <c r="G56" s="110">
        <v>43556</v>
      </c>
      <c r="H56" s="110">
        <v>43586</v>
      </c>
      <c r="I56" s="110">
        <v>43617</v>
      </c>
      <c r="J56" s="110">
        <v>43647</v>
      </c>
      <c r="K56" s="110">
        <v>43678</v>
      </c>
      <c r="L56" s="110">
        <v>43709</v>
      </c>
      <c r="M56" s="110">
        <v>43739</v>
      </c>
      <c r="N56" s="110">
        <v>43770</v>
      </c>
      <c r="O56" s="111">
        <v>43800</v>
      </c>
      <c r="P56" s="110">
        <v>43831</v>
      </c>
      <c r="Q56" s="110">
        <v>43862</v>
      </c>
      <c r="R56" s="110">
        <v>43891</v>
      </c>
      <c r="S56" s="110">
        <v>43922</v>
      </c>
      <c r="T56" s="110">
        <v>43952</v>
      </c>
      <c r="U56" s="110">
        <v>43983</v>
      </c>
      <c r="V56" s="110">
        <v>44013</v>
      </c>
      <c r="W56" s="110">
        <v>44044</v>
      </c>
      <c r="X56" s="110">
        <v>44075</v>
      </c>
      <c r="Y56" s="110">
        <v>44105</v>
      </c>
      <c r="Z56" s="110">
        <v>44136</v>
      </c>
      <c r="AA56" s="110">
        <v>44166</v>
      </c>
      <c r="AB56" s="110">
        <v>44197</v>
      </c>
      <c r="AC56" s="110">
        <v>44228</v>
      </c>
      <c r="AD56" s="110">
        <v>44256</v>
      </c>
      <c r="AE56" s="110">
        <v>44287</v>
      </c>
      <c r="AF56" s="110">
        <v>44317</v>
      </c>
      <c r="AG56" s="110">
        <v>44348</v>
      </c>
      <c r="AH56" s="110">
        <v>44378</v>
      </c>
      <c r="AI56" s="110">
        <v>44409</v>
      </c>
      <c r="AJ56" s="110">
        <v>44440</v>
      </c>
      <c r="AK56" s="110">
        <v>44470</v>
      </c>
      <c r="AL56" s="110">
        <v>44501</v>
      </c>
      <c r="AM56" s="110">
        <v>44531</v>
      </c>
      <c r="AN56" s="110">
        <v>44562</v>
      </c>
      <c r="AO56" s="110">
        <v>44593</v>
      </c>
      <c r="AP56" s="110">
        <v>44621</v>
      </c>
      <c r="AQ56" s="110">
        <v>44652</v>
      </c>
      <c r="AR56" s="110">
        <v>44682</v>
      </c>
      <c r="AS56" s="110">
        <v>44713</v>
      </c>
      <c r="AT56" s="110">
        <v>44743</v>
      </c>
      <c r="AU56" s="110">
        <v>44774</v>
      </c>
      <c r="AV56" s="110">
        <v>44805</v>
      </c>
      <c r="AW56" s="110">
        <v>44835</v>
      </c>
      <c r="AX56" s="110">
        <v>44866</v>
      </c>
      <c r="AY56" s="110">
        <v>44896</v>
      </c>
      <c r="AZ56" s="110">
        <v>44927</v>
      </c>
      <c r="BA56" s="110">
        <v>44958</v>
      </c>
      <c r="BB56" s="110">
        <v>44986</v>
      </c>
      <c r="BC56" s="110">
        <v>45017</v>
      </c>
      <c r="BD56" s="110">
        <v>45047</v>
      </c>
      <c r="BE56" s="110">
        <v>45078</v>
      </c>
      <c r="BF56" s="110">
        <v>45108</v>
      </c>
      <c r="BG56" s="110">
        <v>45139</v>
      </c>
      <c r="BH56" s="110">
        <v>45170</v>
      </c>
      <c r="BI56" s="110">
        <v>45200</v>
      </c>
      <c r="BJ56" s="110">
        <v>45231</v>
      </c>
      <c r="BK56" s="110">
        <v>45261</v>
      </c>
      <c r="BL56" s="110">
        <v>45292</v>
      </c>
      <c r="BM56" s="110">
        <v>45323</v>
      </c>
      <c r="BN56" s="110">
        <v>45352</v>
      </c>
      <c r="BO56" s="110">
        <v>45383</v>
      </c>
      <c r="BP56" s="110">
        <v>45413</v>
      </c>
      <c r="BQ56" s="110">
        <v>45444</v>
      </c>
      <c r="BR56" s="110">
        <v>45474</v>
      </c>
      <c r="BS56" s="110">
        <v>45505</v>
      </c>
      <c r="BT56" s="110">
        <v>45536</v>
      </c>
      <c r="BU56" s="110">
        <v>45566</v>
      </c>
      <c r="BV56" s="110">
        <v>45597</v>
      </c>
      <c r="BW56" s="110">
        <v>45627</v>
      </c>
      <c r="BX56" s="110">
        <v>45658</v>
      </c>
      <c r="BY56" s="110">
        <v>45689</v>
      </c>
      <c r="BZ56" s="110">
        <v>45717</v>
      </c>
      <c r="CA56" s="110">
        <v>45748</v>
      </c>
      <c r="CB56" s="110">
        <v>45778</v>
      </c>
      <c r="CC56" s="110">
        <v>45809</v>
      </c>
      <c r="CD56" s="110">
        <v>45839</v>
      </c>
    </row>
    <row r="57" spans="2:82" ht="14.45">
      <c r="B57" s="112"/>
      <c r="C57" s="113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</row>
    <row r="58" spans="2:82" ht="13.5">
      <c r="B58" s="115" t="s">
        <v>4954</v>
      </c>
      <c r="C58" s="116">
        <v>4.1502785517015826E-4</v>
      </c>
      <c r="D58" s="116">
        <v>5.1303753586202038E-4</v>
      </c>
      <c r="E58" s="116">
        <v>5.346904626767733E-4</v>
      </c>
      <c r="F58" s="116">
        <v>5.3393033596260556E-4</v>
      </c>
      <c r="G58" s="116">
        <v>5.4515231511302641E-4</v>
      </c>
      <c r="H58" s="116">
        <v>5.4539053767885227E-4</v>
      </c>
      <c r="I58" s="116">
        <v>5.4160031895625327E-4</v>
      </c>
      <c r="J58" s="116">
        <v>4.9347457216154474E-4</v>
      </c>
      <c r="K58" s="116">
        <v>4.4526002686075798E-4</v>
      </c>
      <c r="L58" s="116">
        <v>4.0521967366117747E-4</v>
      </c>
      <c r="M58" s="116">
        <v>3.5525700081520488E-4</v>
      </c>
      <c r="N58" s="116">
        <v>2.8827578877645274E-4</v>
      </c>
      <c r="O58" s="117">
        <v>4.7894752839625181E-3</v>
      </c>
      <c r="P58" s="116">
        <v>4.5216044932511771E-3</v>
      </c>
      <c r="Q58" s="116">
        <v>4.7650602198071748E-3</v>
      </c>
      <c r="R58" s="116">
        <v>4.9181325921099535E-3</v>
      </c>
      <c r="S58" s="116">
        <v>5.0708741293321972E-3</v>
      </c>
      <c r="T58" s="116">
        <v>5.8320813761127696E-3</v>
      </c>
      <c r="U58" s="116">
        <v>7.3828569589985274E-3</v>
      </c>
      <c r="V58" s="116">
        <v>8.9106828942433561E-3</v>
      </c>
      <c r="W58" s="116">
        <v>1.0786935083223514E-2</v>
      </c>
      <c r="X58" s="116">
        <v>1.1364578387002191E-2</v>
      </c>
      <c r="Y58" s="116">
        <v>5.0408055747042171E-3</v>
      </c>
      <c r="Z58" s="116">
        <v>5.646986189083116E-3</v>
      </c>
      <c r="AA58" s="116">
        <v>5.1088650650238281E-3</v>
      </c>
      <c r="AB58" s="116">
        <v>4.1063486252278601E-3</v>
      </c>
      <c r="AC58" s="116">
        <v>3.1511585420236801E-3</v>
      </c>
      <c r="AD58" s="116">
        <v>2.975617175294527E-3</v>
      </c>
      <c r="AE58" s="116">
        <v>2.3207551704291065E-3</v>
      </c>
      <c r="AF58" s="116">
        <v>1.2540704543677053E-3</v>
      </c>
      <c r="AG58" s="116">
        <v>1.1585809949572774E-3</v>
      </c>
      <c r="AH58" s="116">
        <v>6.905825617561529E-4</v>
      </c>
      <c r="AI58" s="116">
        <v>4.3077740770662727E-4</v>
      </c>
      <c r="AJ58" s="116">
        <v>3.0293726694738594E-4</v>
      </c>
      <c r="AK58" s="116">
        <v>7.1982177217899495E-4</v>
      </c>
      <c r="AL58" s="116">
        <v>2.946577396943666E-3</v>
      </c>
      <c r="AM58" s="116">
        <v>2.5664734424349317E-3</v>
      </c>
      <c r="AN58" s="116">
        <v>3.2749463566171073E-3</v>
      </c>
      <c r="AO58" s="116">
        <v>2.6694434913873549E-3</v>
      </c>
      <c r="AP58" s="116">
        <v>2.0377626897641267E-3</v>
      </c>
      <c r="AQ58" s="116">
        <v>1.5147150142060071E-3</v>
      </c>
      <c r="AR58" s="116">
        <v>1.0585925919667672E-3</v>
      </c>
      <c r="AS58" s="116">
        <v>7.4868105033864629E-4</v>
      </c>
      <c r="AT58" s="116">
        <v>5.0574262372134649E-4</v>
      </c>
      <c r="AU58" s="116">
        <v>4.1054056300337242E-4</v>
      </c>
      <c r="AV58" s="116">
        <v>3.8854374362806926E-4</v>
      </c>
      <c r="AW58" s="116">
        <v>3.8935643943940326E-4</v>
      </c>
      <c r="AX58" s="116">
        <v>3.8192480261309156E-4</v>
      </c>
      <c r="AY58" s="116">
        <v>3.9759237093197589E-4</v>
      </c>
      <c r="AZ58" s="116">
        <v>3.9070997456299914E-4</v>
      </c>
      <c r="BA58" s="116">
        <v>3.1643796702032003E-4</v>
      </c>
      <c r="BB58" s="116">
        <v>3.8791053598172433E-4</v>
      </c>
      <c r="BC58" s="116">
        <v>2.9008593988227432E-4</v>
      </c>
      <c r="BD58" s="116">
        <v>1.4269268355982575E-4</v>
      </c>
      <c r="BE58" s="116">
        <v>2.1538962896258783E-5</v>
      </c>
      <c r="BF58" s="116">
        <v>1.538991431292414E-5</v>
      </c>
      <c r="BG58" s="116">
        <v>6.9216447563389666E-6</v>
      </c>
      <c r="BH58" s="116">
        <v>1.5829558864467177E-4</v>
      </c>
      <c r="BI58" s="116">
        <v>5.0700800112678754E-6</v>
      </c>
      <c r="BJ58" s="116">
        <v>1.1021174448128364E-5</v>
      </c>
      <c r="BK58" s="116">
        <v>1.184763025987062E-5</v>
      </c>
      <c r="BL58" s="116">
        <v>1.8184189623206362E-3</v>
      </c>
      <c r="BM58" s="116">
        <v>1.8289016986755969E-3</v>
      </c>
      <c r="BN58" s="116">
        <v>6.9584952602297845E-6</v>
      </c>
      <c r="BO58" s="116">
        <v>6.9963230441335843E-6</v>
      </c>
      <c r="BP58" s="116">
        <v>7.0698812849518771E-6</v>
      </c>
      <c r="BQ58" s="116">
        <v>0</v>
      </c>
      <c r="BR58" s="116">
        <v>4.2960597313733972E-5</v>
      </c>
      <c r="BS58" s="116">
        <v>4.796957738614605E-5</v>
      </c>
      <c r="BT58" s="116">
        <v>5.1024370224438418E-5</v>
      </c>
      <c r="BU58" s="116">
        <v>6.3191368265781339E-5</v>
      </c>
      <c r="BV58" s="116">
        <v>6.5239967933951716E-5</v>
      </c>
      <c r="BW58" s="116">
        <v>6.5439470444862355E-5</v>
      </c>
      <c r="BX58" s="116">
        <v>3.3145413778006358E-4</v>
      </c>
      <c r="BY58" s="116">
        <v>2.6289586966320806E-4</v>
      </c>
      <c r="BZ58" s="116">
        <v>1.7879657698597289E-4</v>
      </c>
      <c r="CA58" s="116">
        <v>6.2932044008767659E-5</v>
      </c>
      <c r="CB58" s="116">
        <v>1.114734722705154E-4</v>
      </c>
      <c r="CC58" s="116">
        <v>8.3589075644401389E-5</v>
      </c>
      <c r="CD58" s="116">
        <v>7.7594384657103698E-5</v>
      </c>
    </row>
    <row r="59" spans="2:82" ht="13.5">
      <c r="B59" s="118" t="s">
        <v>4959</v>
      </c>
      <c r="C59" s="119">
        <v>9.6257884836812798E-4</v>
      </c>
      <c r="D59" s="119">
        <v>9.0774417989934731E-4</v>
      </c>
      <c r="E59" s="119">
        <v>9.160666550551669E-4</v>
      </c>
      <c r="F59" s="119">
        <v>9.2477601894636952E-4</v>
      </c>
      <c r="G59" s="119">
        <v>9.3636515958473549E-4</v>
      </c>
      <c r="H59" s="119">
        <v>9.4532813457095047E-4</v>
      </c>
      <c r="I59" s="119">
        <v>9.5774739509149934E-4</v>
      </c>
      <c r="J59" s="119">
        <v>9.2316126225271068E-4</v>
      </c>
      <c r="K59" s="119">
        <v>8.4180083104042351E-4</v>
      </c>
      <c r="L59" s="119">
        <v>8.4071074602837833E-4</v>
      </c>
      <c r="M59" s="119">
        <v>8.5618306619662462E-4</v>
      </c>
      <c r="N59" s="119">
        <v>8.6083895012218075E-4</v>
      </c>
      <c r="O59" s="120">
        <v>8.6683862954074038E-4</v>
      </c>
      <c r="P59" s="119">
        <v>8.7131331019083729E-4</v>
      </c>
      <c r="Q59" s="119">
        <v>8.7002011562855642E-4</v>
      </c>
      <c r="R59" s="119">
        <v>8.792828366289753E-4</v>
      </c>
      <c r="S59" s="119">
        <v>1.8054027537435715E-3</v>
      </c>
      <c r="T59" s="119">
        <v>1.7912817705271076E-3</v>
      </c>
      <c r="U59" s="119">
        <v>1.7986549859749655E-3</v>
      </c>
      <c r="V59" s="119">
        <v>1.7373072403469544E-3</v>
      </c>
      <c r="W59" s="119">
        <v>1.8561106521080642E-3</v>
      </c>
      <c r="X59" s="119">
        <v>1.7941579756732976E-3</v>
      </c>
      <c r="Y59" s="119">
        <v>1.7519996698353146E-3</v>
      </c>
      <c r="Z59" s="119">
        <v>1.7977198616360669E-3</v>
      </c>
      <c r="AA59" s="119">
        <v>1.8802694006645531E-3</v>
      </c>
      <c r="AB59" s="119">
        <v>1.9426281681379867E-3</v>
      </c>
      <c r="AC59" s="119">
        <v>1.9812926711954798E-3</v>
      </c>
      <c r="AD59" s="119">
        <v>2.0182770223616743E-3</v>
      </c>
      <c r="AE59" s="119">
        <v>2.0278940004642186E-3</v>
      </c>
      <c r="AF59" s="119">
        <v>2.0393898173624503E-3</v>
      </c>
      <c r="AG59" s="119">
        <v>2.0453624158637122E-3</v>
      </c>
      <c r="AH59" s="119">
        <v>2.0529589087004483E-3</v>
      </c>
      <c r="AI59" s="119">
        <v>2.0832366445042668E-3</v>
      </c>
      <c r="AJ59" s="119">
        <v>1.9111753502976982E-3</v>
      </c>
      <c r="AK59" s="119">
        <v>1.8724242973670586E-3</v>
      </c>
      <c r="AL59" s="119">
        <v>1.7799050373806683E-3</v>
      </c>
      <c r="AM59" s="119">
        <v>1.7051659040091536E-3</v>
      </c>
      <c r="AN59" s="119">
        <v>1.752379471602325E-3</v>
      </c>
      <c r="AO59" s="119">
        <v>1.6810044040409167E-3</v>
      </c>
      <c r="AP59" s="119">
        <v>1.6764367492178988E-3</v>
      </c>
      <c r="AQ59" s="119">
        <v>1.6655346832871747E-3</v>
      </c>
      <c r="AR59" s="119">
        <v>1.6802035281941461E-3</v>
      </c>
      <c r="AS59" s="119">
        <v>1.6767023496497861E-3</v>
      </c>
      <c r="AT59" s="119">
        <v>1.6805943903572631E-3</v>
      </c>
      <c r="AU59" s="119">
        <v>1.7166329224747731E-3</v>
      </c>
      <c r="AV59" s="119">
        <v>1.5974995432535381E-3</v>
      </c>
      <c r="AW59" s="119">
        <v>1.6243481418967312E-3</v>
      </c>
      <c r="AX59" s="119">
        <v>1.6506175373899781E-3</v>
      </c>
      <c r="AY59" s="119">
        <v>1.6710051604378047E-3</v>
      </c>
      <c r="AZ59" s="119">
        <v>1.6613256913668218E-3</v>
      </c>
      <c r="BA59" s="119">
        <v>1.6568981391642159E-3</v>
      </c>
      <c r="BB59" s="119">
        <v>1.6483464907305013E-3</v>
      </c>
      <c r="BC59" s="119">
        <v>1.6317243667633768E-3</v>
      </c>
      <c r="BD59" s="119">
        <v>1.6118184247578267E-3</v>
      </c>
      <c r="BE59" s="119">
        <v>1.5438364120370007E-3</v>
      </c>
      <c r="BF59" s="119">
        <v>1.5355871104927202E-3</v>
      </c>
      <c r="BG59" s="119">
        <v>1.5427894425972413E-3</v>
      </c>
      <c r="BH59" s="119">
        <v>1.5504217786999567E-3</v>
      </c>
      <c r="BI59" s="119">
        <v>1.5455445039000463E-3</v>
      </c>
      <c r="BJ59" s="119">
        <v>1.5279903297421911E-3</v>
      </c>
      <c r="BK59" s="119">
        <v>1.5268086844053852E-3</v>
      </c>
      <c r="BL59" s="119">
        <v>1.5196956587660694E-3</v>
      </c>
      <c r="BM59" s="119">
        <v>1.5401511657529713E-3</v>
      </c>
      <c r="BN59" s="119">
        <v>1.547373007907005E-3</v>
      </c>
      <c r="BO59" s="119">
        <v>1.5495166178220935E-3</v>
      </c>
      <c r="BP59" s="119">
        <v>1.5539225510553612E-3</v>
      </c>
      <c r="BQ59" s="119">
        <v>1.5588770864913475E-3</v>
      </c>
      <c r="BR59" s="119">
        <v>1.559325127351223E-3</v>
      </c>
      <c r="BS59" s="119">
        <v>1.5663254681995778E-3</v>
      </c>
      <c r="BT59" s="119">
        <v>4.0794913834828428E-4</v>
      </c>
      <c r="BU59" s="119">
        <v>4.1013966210070218E-4</v>
      </c>
      <c r="BV59" s="119">
        <v>4.1810861446659668E-4</v>
      </c>
      <c r="BW59" s="119">
        <v>4.255503974628413E-4</v>
      </c>
      <c r="BX59" s="119">
        <v>4.2483856998270895E-4</v>
      </c>
      <c r="BY59" s="119">
        <v>4.0772547083886958E-4</v>
      </c>
      <c r="BZ59" s="119">
        <v>3.5518679826343334E-4</v>
      </c>
      <c r="CA59" s="119">
        <v>3.0240542055332464E-4</v>
      </c>
      <c r="CB59" s="119">
        <v>2.4986193098770391E-4</v>
      </c>
      <c r="CC59" s="119">
        <v>1.9931942038384464E-4</v>
      </c>
      <c r="CD59" s="119">
        <v>1.6432428223639022E-4</v>
      </c>
    </row>
    <row r="60" spans="2:82" ht="12" thickBot="1"/>
    <row r="61" spans="2:82" ht="13.5">
      <c r="B61" s="108" t="s">
        <v>19</v>
      </c>
      <c r="C61" s="109">
        <v>43435</v>
      </c>
      <c r="D61" s="110">
        <v>43466</v>
      </c>
      <c r="E61" s="110">
        <v>43497</v>
      </c>
      <c r="F61" s="110">
        <v>43525</v>
      </c>
      <c r="G61" s="110">
        <v>43556</v>
      </c>
      <c r="H61" s="110">
        <v>43586</v>
      </c>
      <c r="I61" s="110">
        <v>43617</v>
      </c>
      <c r="J61" s="110">
        <v>43647</v>
      </c>
      <c r="K61" s="110">
        <v>43678</v>
      </c>
      <c r="L61" s="110">
        <v>43709</v>
      </c>
      <c r="M61" s="110">
        <v>43739</v>
      </c>
      <c r="N61" s="110">
        <v>43770</v>
      </c>
      <c r="O61" s="111">
        <v>43800</v>
      </c>
      <c r="P61" s="110">
        <v>43831</v>
      </c>
      <c r="Q61" s="110">
        <v>43862</v>
      </c>
      <c r="R61" s="110">
        <v>43891</v>
      </c>
      <c r="S61" s="110">
        <v>43922</v>
      </c>
      <c r="T61" s="110">
        <v>43952</v>
      </c>
      <c r="U61" s="110">
        <v>43983</v>
      </c>
      <c r="V61" s="110">
        <v>44013</v>
      </c>
      <c r="W61" s="110">
        <v>44044</v>
      </c>
      <c r="X61" s="110">
        <v>44075</v>
      </c>
      <c r="Y61" s="110">
        <v>44105</v>
      </c>
      <c r="Z61" s="110">
        <v>44136</v>
      </c>
      <c r="AA61" s="110">
        <v>44166</v>
      </c>
      <c r="AB61" s="110">
        <v>44197</v>
      </c>
      <c r="AC61" s="110">
        <v>44228</v>
      </c>
      <c r="AD61" s="110">
        <v>44256</v>
      </c>
      <c r="AE61" s="110">
        <v>44287</v>
      </c>
      <c r="AF61" s="110">
        <v>44317</v>
      </c>
      <c r="AG61" s="110">
        <v>44348</v>
      </c>
      <c r="AH61" s="110">
        <v>44378</v>
      </c>
      <c r="AI61" s="110">
        <v>44409</v>
      </c>
      <c r="AJ61" s="110">
        <v>44440</v>
      </c>
      <c r="AK61" s="110">
        <v>44470</v>
      </c>
      <c r="AL61" s="110">
        <v>44501</v>
      </c>
      <c r="AM61" s="110">
        <v>44531</v>
      </c>
      <c r="AN61" s="110">
        <v>44562</v>
      </c>
      <c r="AO61" s="110">
        <v>44593</v>
      </c>
      <c r="AP61" s="110">
        <v>44621</v>
      </c>
      <c r="AQ61" s="110">
        <v>44652</v>
      </c>
      <c r="AR61" s="110">
        <v>44682</v>
      </c>
      <c r="AS61" s="110">
        <v>44713</v>
      </c>
      <c r="AT61" s="110">
        <v>44743</v>
      </c>
      <c r="AU61" s="110">
        <v>44774</v>
      </c>
      <c r="AV61" s="110">
        <v>44805</v>
      </c>
      <c r="AW61" s="110">
        <v>44835</v>
      </c>
      <c r="AX61" s="110">
        <v>44866</v>
      </c>
      <c r="AY61" s="110">
        <v>44896</v>
      </c>
      <c r="AZ61" s="110">
        <v>44927</v>
      </c>
      <c r="BA61" s="110">
        <v>44958</v>
      </c>
      <c r="BB61" s="110">
        <v>44986</v>
      </c>
      <c r="BC61" s="110">
        <v>45017</v>
      </c>
      <c r="BD61" s="110">
        <v>45047</v>
      </c>
      <c r="BE61" s="110">
        <v>45078</v>
      </c>
      <c r="BF61" s="110">
        <v>45108</v>
      </c>
      <c r="BG61" s="110">
        <v>45139</v>
      </c>
      <c r="BH61" s="110">
        <v>45170</v>
      </c>
      <c r="BI61" s="110">
        <v>45200</v>
      </c>
      <c r="BJ61" s="110">
        <v>45231</v>
      </c>
      <c r="BK61" s="110">
        <v>45261</v>
      </c>
      <c r="BL61" s="110">
        <v>45292</v>
      </c>
      <c r="BM61" s="110">
        <v>45323</v>
      </c>
      <c r="BN61" s="110">
        <v>45352</v>
      </c>
      <c r="BO61" s="110">
        <v>45383</v>
      </c>
      <c r="BP61" s="110">
        <v>45413</v>
      </c>
      <c r="BQ61" s="110">
        <v>45444</v>
      </c>
      <c r="BR61" s="110">
        <v>45474</v>
      </c>
      <c r="BS61" s="110">
        <v>45505</v>
      </c>
      <c r="BT61" s="110">
        <v>45536</v>
      </c>
      <c r="BU61" s="110">
        <v>45566</v>
      </c>
      <c r="BV61" s="110">
        <v>45597</v>
      </c>
      <c r="BW61" s="110">
        <v>45627</v>
      </c>
      <c r="BX61" s="110">
        <v>45658</v>
      </c>
      <c r="BY61" s="110">
        <v>45689</v>
      </c>
      <c r="BZ61" s="110">
        <v>45717</v>
      </c>
      <c r="CA61" s="110">
        <v>45748</v>
      </c>
      <c r="CB61" s="110">
        <v>45778</v>
      </c>
      <c r="CC61" s="110">
        <v>45809</v>
      </c>
      <c r="CD61" s="110">
        <v>45839</v>
      </c>
    </row>
    <row r="62" spans="2:82" ht="14.45">
      <c r="B62" s="112"/>
      <c r="C62" s="113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</row>
    <row r="63" spans="2:82" ht="13.5">
      <c r="B63" s="115" t="s">
        <v>4954</v>
      </c>
      <c r="C63" s="116">
        <v>3.2621435718963657E-3</v>
      </c>
      <c r="D63" s="116">
        <v>2.9509273787290437E-3</v>
      </c>
      <c r="E63" s="116">
        <v>1.7825640296785469E-3</v>
      </c>
      <c r="F63" s="116">
        <v>1.1523988085231378E-3</v>
      </c>
      <c r="G63" s="116">
        <v>5.6141975537718372E-4</v>
      </c>
      <c r="H63" s="116">
        <v>5.4464809191199473E-4</v>
      </c>
      <c r="I63" s="116">
        <v>4.9751904972000131E-4</v>
      </c>
      <c r="J63" s="116">
        <v>2.8637117550706065E-4</v>
      </c>
      <c r="K63" s="116">
        <v>2.847361928878511E-4</v>
      </c>
      <c r="L63" s="116">
        <v>3.5788614838799224E-4</v>
      </c>
      <c r="M63" s="117">
        <v>3.5828295969378258E-4</v>
      </c>
      <c r="N63" s="117">
        <v>2.1287717745062222E-4</v>
      </c>
      <c r="O63" s="117">
        <v>4.456377495079808E-2</v>
      </c>
      <c r="P63" s="117">
        <v>4.3532229667612964E-2</v>
      </c>
      <c r="Q63" s="117">
        <v>4.2890396375803996E-2</v>
      </c>
      <c r="R63" s="117">
        <v>4.3322366783323199E-2</v>
      </c>
      <c r="S63" s="117">
        <v>4.4177132389874078E-2</v>
      </c>
      <c r="T63" s="117">
        <v>4.555929365734785E-2</v>
      </c>
      <c r="U63" s="117">
        <v>4.7825947329056692E-2</v>
      </c>
      <c r="V63" s="117">
        <v>5.0620436840867589E-2</v>
      </c>
      <c r="W63" s="117">
        <v>5.3342594516612468E-2</v>
      </c>
      <c r="X63" s="117">
        <v>5.5682411102416944E-2</v>
      </c>
      <c r="Y63" s="117">
        <v>6.7911863574891098E-3</v>
      </c>
      <c r="Z63" s="117">
        <v>6.9321209238020235E-3</v>
      </c>
      <c r="AA63" s="117">
        <v>7.9882463585993005E-3</v>
      </c>
      <c r="AB63" s="117">
        <v>4.9344034024941155E-2</v>
      </c>
      <c r="AC63" s="117">
        <v>4.8101897178985664E-2</v>
      </c>
      <c r="AD63" s="117">
        <v>4.6759113959603839E-2</v>
      </c>
      <c r="AE63" s="117">
        <v>4.4556308149804359E-2</v>
      </c>
      <c r="AF63" s="117">
        <v>4.2357635697055911E-2</v>
      </c>
      <c r="AG63" s="117">
        <v>4.4523501500547936E-2</v>
      </c>
      <c r="AH63" s="117">
        <v>4.2184857845012101E-2</v>
      </c>
      <c r="AI63" s="117">
        <v>5.0476370933411605E-2</v>
      </c>
      <c r="AJ63" s="117">
        <v>4.7604833485923655E-2</v>
      </c>
      <c r="AK63" s="117">
        <v>4.5535810441594306E-2</v>
      </c>
      <c r="AL63" s="117">
        <v>1.4740519458894071E-2</v>
      </c>
      <c r="AM63" s="117">
        <v>1.3986893814327557E-2</v>
      </c>
      <c r="AN63" s="117">
        <v>1.3277438152580343E-2</v>
      </c>
      <c r="AO63" s="117">
        <v>1.2446210689716833E-2</v>
      </c>
      <c r="AP63" s="117">
        <v>1.1765956718039408E-2</v>
      </c>
      <c r="AQ63" s="117">
        <v>9.8664852574516081E-3</v>
      </c>
      <c r="AR63" s="117">
        <v>1.006640420087598E-2</v>
      </c>
      <c r="AS63" s="117">
        <v>4.2383485494256945E-3</v>
      </c>
      <c r="AT63" s="117">
        <v>3.9783370626950915E-3</v>
      </c>
      <c r="AU63" s="117">
        <v>3.7747835234755124E-3</v>
      </c>
      <c r="AV63" s="117">
        <v>1.5289061033265315E-2</v>
      </c>
      <c r="AW63" s="117">
        <v>1.5149112706569932E-2</v>
      </c>
      <c r="AX63" s="117">
        <v>2.2670341354984847E-2</v>
      </c>
      <c r="AY63" s="117">
        <v>2.9739073179243836E-2</v>
      </c>
      <c r="AZ63" s="117">
        <v>2.9450100525039276E-2</v>
      </c>
      <c r="BA63" s="117">
        <v>3.1475930266322914E-2</v>
      </c>
      <c r="BB63" s="117">
        <v>3.3726917331387558E-2</v>
      </c>
      <c r="BC63" s="117">
        <v>3.4941812404070537E-2</v>
      </c>
      <c r="BD63" s="117">
        <v>3.7633006374741498E-2</v>
      </c>
      <c r="BE63" s="117">
        <v>3.1370818356976908E-2</v>
      </c>
      <c r="BF63" s="117">
        <v>3.7115540703413559E-2</v>
      </c>
      <c r="BG63" s="117">
        <v>3.7979904734300518E-2</v>
      </c>
      <c r="BH63" s="117">
        <v>3.9730594898865608E-2</v>
      </c>
      <c r="BI63" s="117">
        <v>3.5684578448190354E-2</v>
      </c>
      <c r="BJ63" s="117">
        <v>4.0641279358652388E-2</v>
      </c>
      <c r="BK63" s="117">
        <v>4.6160987958584629E-2</v>
      </c>
      <c r="BL63" s="117">
        <v>5.2693393652197593E-2</v>
      </c>
      <c r="BM63" s="117">
        <v>4.7585532436408562E-2</v>
      </c>
      <c r="BN63" s="117">
        <v>4.1975449238032925E-2</v>
      </c>
      <c r="BO63" s="117">
        <v>4.6231291035605096E-2</v>
      </c>
      <c r="BP63" s="117">
        <v>5.0136828441864505E-2</v>
      </c>
      <c r="BQ63" s="117">
        <v>5.2843521859261049E-2</v>
      </c>
      <c r="BR63" s="117">
        <v>4.6721551673974064E-2</v>
      </c>
      <c r="BS63" s="117">
        <v>4.3361804385845186E-2</v>
      </c>
      <c r="BT63" s="117">
        <v>3.8685397047958509E-2</v>
      </c>
      <c r="BU63" s="117">
        <v>3.4360054335955473E-2</v>
      </c>
      <c r="BV63" s="117">
        <v>2.8894770430414798E-2</v>
      </c>
      <c r="BW63" s="117">
        <v>2.8897489407761056E-2</v>
      </c>
      <c r="BX63" s="117">
        <v>3.4044395621362557E-2</v>
      </c>
      <c r="BY63" s="117">
        <v>2.5069047498183488E-2</v>
      </c>
      <c r="BZ63" s="117">
        <v>2.6024237520149006E-2</v>
      </c>
      <c r="CA63" s="117">
        <v>2.5811239849676457E-2</v>
      </c>
      <c r="CB63" s="117">
        <v>2.6516788883207056E-2</v>
      </c>
      <c r="CC63" s="117">
        <v>2.5661628498493908E-2</v>
      </c>
      <c r="CD63" s="117">
        <v>2.8889074392100804E-2</v>
      </c>
    </row>
    <row r="64" spans="2:82" ht="13.5">
      <c r="B64" s="118" t="s">
        <v>4959</v>
      </c>
      <c r="C64" s="119">
        <v>6.5787210722874851E-3</v>
      </c>
      <c r="D64" s="119">
        <v>6.4250287890762091E-3</v>
      </c>
      <c r="E64" s="119">
        <v>6.2458157057448246E-3</v>
      </c>
      <c r="F64" s="119">
        <v>6.0824228961190527E-3</v>
      </c>
      <c r="G64" s="119">
        <v>5.8717977842060289E-3</v>
      </c>
      <c r="H64" s="119">
        <v>5.6620186182895979E-3</v>
      </c>
      <c r="I64" s="119">
        <v>5.3763332189800637E-3</v>
      </c>
      <c r="J64" s="119">
        <v>5.1184245325036713E-3</v>
      </c>
      <c r="K64" s="119">
        <v>4.9476391248470331E-3</v>
      </c>
      <c r="L64" s="119">
        <v>4.7724578592835383E-3</v>
      </c>
      <c r="M64" s="120">
        <v>4.6427528897511556E-3</v>
      </c>
      <c r="N64" s="120">
        <v>4.5219672399793871E-3</v>
      </c>
      <c r="O64" s="120">
        <v>4.5084538846584333E-3</v>
      </c>
      <c r="P64" s="120">
        <v>4.5210706733179859E-3</v>
      </c>
      <c r="Q64" s="120">
        <v>4.3742539904383934E-3</v>
      </c>
      <c r="R64" s="120">
        <v>4.1660106296624051E-3</v>
      </c>
      <c r="S64" s="120">
        <v>1.5640249887711056E-2</v>
      </c>
      <c r="T64" s="120">
        <v>1.5378990315341616E-2</v>
      </c>
      <c r="U64" s="120">
        <v>1.5055924188127253E-2</v>
      </c>
      <c r="V64" s="120">
        <v>1.4844395176928845E-2</v>
      </c>
      <c r="W64" s="120">
        <v>1.4955767458158574E-2</v>
      </c>
      <c r="X64" s="120">
        <v>1.5162214452756697E-2</v>
      </c>
      <c r="Y64" s="120">
        <v>1.5090552900748387E-2</v>
      </c>
      <c r="Z64" s="120">
        <v>1.4929224487439238E-2</v>
      </c>
      <c r="AA64" s="120">
        <v>1.4885730557200608E-2</v>
      </c>
      <c r="AB64" s="120">
        <v>1.4580360715219882E-2</v>
      </c>
      <c r="AC64" s="120">
        <v>1.4911626489567812E-2</v>
      </c>
      <c r="AD64" s="120">
        <v>1.4678545705394671E-2</v>
      </c>
      <c r="AE64" s="120">
        <v>1.4550774679874097E-2</v>
      </c>
      <c r="AF64" s="120">
        <v>2.12299391919443E-2</v>
      </c>
      <c r="AG64" s="120">
        <v>2.0873226620019624E-2</v>
      </c>
      <c r="AH64" s="120">
        <v>2.0498405238441743E-2</v>
      </c>
      <c r="AI64" s="120">
        <v>2.0387793399391434E-2</v>
      </c>
      <c r="AJ64" s="120">
        <v>2.0428701049504651E-2</v>
      </c>
      <c r="AK64" s="120">
        <v>2.076683901981807E-2</v>
      </c>
      <c r="AL64" s="120">
        <v>2.0386591125167122E-2</v>
      </c>
      <c r="AM64" s="120">
        <v>2.2105384808993288E-2</v>
      </c>
      <c r="AN64" s="120">
        <v>2.1621368602908642E-2</v>
      </c>
      <c r="AO64" s="120">
        <v>2.1190153343011234E-2</v>
      </c>
      <c r="AP64" s="120">
        <v>2.0728316307533926E-2</v>
      </c>
      <c r="AQ64" s="120">
        <v>2.0135977673504578E-2</v>
      </c>
      <c r="AR64" s="120">
        <v>2.0119144616730943E-2</v>
      </c>
      <c r="AS64" s="120">
        <v>2.0423528526949453E-2</v>
      </c>
      <c r="AT64" s="120">
        <v>2.0000671734795264E-2</v>
      </c>
      <c r="AU64" s="120">
        <v>1.9527454782225232E-2</v>
      </c>
      <c r="AV64" s="120">
        <v>1.8988397553065042E-2</v>
      </c>
      <c r="AW64" s="120">
        <v>1.8977366381779263E-2</v>
      </c>
      <c r="AX64" s="120">
        <v>1.9513137357918556E-2</v>
      </c>
      <c r="AY64" s="120">
        <v>1.8934861833398414E-2</v>
      </c>
      <c r="AZ64" s="120">
        <v>2.1530482999910318E-2</v>
      </c>
      <c r="BA64" s="120">
        <v>2.0912140965950298E-2</v>
      </c>
      <c r="BB64" s="120">
        <v>2.2419685400999676E-2</v>
      </c>
      <c r="BC64" s="120">
        <v>2.3555292092322953E-2</v>
      </c>
      <c r="BD64" s="120">
        <v>2.3599212907407002E-2</v>
      </c>
      <c r="BE64" s="120">
        <v>2.3151633366617654E-2</v>
      </c>
      <c r="BF64" s="120">
        <v>2.322003174125899E-2</v>
      </c>
      <c r="BG64" s="120">
        <v>2.3963368814749645E-2</v>
      </c>
      <c r="BH64" s="120">
        <v>2.4564281958371348E-2</v>
      </c>
      <c r="BI64" s="120">
        <v>2.5257049088367203E-2</v>
      </c>
      <c r="BJ64" s="120">
        <v>2.6214439684599179E-2</v>
      </c>
      <c r="BK64" s="120">
        <v>2.599208291724019E-2</v>
      </c>
      <c r="BL64" s="120">
        <v>2.7091392293743813E-2</v>
      </c>
      <c r="BM64" s="120">
        <v>2.7610372662221272E-2</v>
      </c>
      <c r="BN64" s="120">
        <v>2.8383062624781394E-2</v>
      </c>
      <c r="BO64" s="120">
        <v>2.9070165739248335E-2</v>
      </c>
      <c r="BP64" s="120">
        <v>3.0522323995506907E-2</v>
      </c>
      <c r="BQ64" s="120">
        <v>3.0158947527429061E-2</v>
      </c>
      <c r="BR64" s="120">
        <v>2.9865429019414681E-2</v>
      </c>
      <c r="BS64" s="120">
        <v>3.1503510124252398E-2</v>
      </c>
      <c r="BT64" s="120">
        <v>2.5883790835454334E-2</v>
      </c>
      <c r="BU64" s="120">
        <v>2.6150720769708122E-2</v>
      </c>
      <c r="BV64" s="120">
        <v>2.6010109713675924E-2</v>
      </c>
      <c r="BW64" s="120">
        <v>2.5871506101494773E-2</v>
      </c>
      <c r="BX64" s="120">
        <v>2.562541205339413E-2</v>
      </c>
      <c r="BY64" s="120">
        <v>2.5365687228075973E-2</v>
      </c>
      <c r="BZ64" s="120">
        <v>2.5029606145449405E-2</v>
      </c>
      <c r="CA64" s="120">
        <v>2.4612441081457308E-2</v>
      </c>
      <c r="CB64" s="120">
        <v>2.5075117235529944E-2</v>
      </c>
      <c r="CC64" s="120">
        <v>2.4477422889867817E-2</v>
      </c>
      <c r="CD64" s="120">
        <v>2.5338550088148015E-2</v>
      </c>
    </row>
  </sheetData>
  <dataValidations disablePrompts="1" count="1">
    <dataValidation type="list" allowBlank="1" showInputMessage="1" showErrorMessage="1" sqref="B17" xr:uid="{7F992312-3392-494E-9C13-8CB484044D7A}">
      <formula1>$B$38:$B$39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64D5D-9D91-4823-BFC3-B813988F49EC}">
  <sheetPr>
    <tabColor theme="4" tint="0.79998168889431442"/>
  </sheetPr>
  <dimension ref="A1:G10"/>
  <sheetViews>
    <sheetView showGridLines="0" workbookViewId="0">
      <selection activeCell="L26" sqref="L26"/>
    </sheetView>
  </sheetViews>
  <sheetFormatPr defaultColWidth="11.42578125" defaultRowHeight="14.45"/>
  <cols>
    <col min="2" max="2" width="50.28515625" customWidth="1"/>
    <col min="5" max="5" width="13.5703125" bestFit="1" customWidth="1"/>
  </cols>
  <sheetData>
    <row r="1" spans="1:7">
      <c r="A1" s="50" t="s">
        <v>279</v>
      </c>
      <c r="B1" s="95">
        <f>+Inputs!C4</f>
        <v>44531</v>
      </c>
    </row>
    <row r="5" spans="1:7">
      <c r="B5" s="57" t="s">
        <v>4962</v>
      </c>
    </row>
    <row r="6" spans="1:7">
      <c r="B6" s="50"/>
    </row>
    <row r="7" spans="1:7">
      <c r="B7" s="50"/>
    </row>
    <row r="8" spans="1:7">
      <c r="B8" s="74" t="s">
        <v>4963</v>
      </c>
      <c r="C8" s="77">
        <v>2023</v>
      </c>
      <c r="D8" s="102">
        <f t="shared" ref="D8" si="0">+C8+1</f>
        <v>2024</v>
      </c>
      <c r="E8" s="85">
        <f>+D8+1</f>
        <v>2025</v>
      </c>
      <c r="F8" s="85">
        <f t="shared" ref="F8" si="1">+E8+1</f>
        <v>2026</v>
      </c>
      <c r="G8" s="85">
        <f t="shared" ref="G8" si="2">+F8+1</f>
        <v>2027</v>
      </c>
    </row>
    <row r="9" spans="1:7">
      <c r="B9" s="105" t="s">
        <v>4964</v>
      </c>
      <c r="C9" s="83">
        <f>Inputs!C49*VLOOKUP($B$1,IGPM!$A$3:$B$138,2,0)/VLOOKUP(DATE(C$8,12,1),IGPM!$A$3:$B$138,2,0)</f>
        <v>4447.8878829195628</v>
      </c>
      <c r="D9" s="83">
        <f>Inputs!D49*VLOOKUP($B$1,IGPM!$A$3:$B$138,2,0)/VLOOKUP(DATE(D$8,12,1),IGPM!$A$3:$B$138,2,0)</f>
        <v>-100.6314489824389</v>
      </c>
      <c r="E9" s="83">
        <f>Inputs!E49*VLOOKUP($B$1,IGPM!$A$3:$B$1048576,2,0)/VLOOKUP(DATE(Correlatas!E$8,12,1),IGPM!$A$3:$B$1048576,2,0)</f>
        <v>-2330.5995555320696</v>
      </c>
      <c r="F9" s="83">
        <f>Inputs!F49*VLOOKUP($B$1,IGPM!$A$3:$B$1048576,2,0)/VLOOKUP(DATE(Correlatas!F$8,12,1),IGPM!$A$3:$B$1048576,2,0)</f>
        <v>-2322.0198742598427</v>
      </c>
      <c r="G9" s="83">
        <f>Inputs!G49*VLOOKUP($B$1,IGPM!$A$3:$B$1048576,2,0)/VLOOKUP(DATE(Correlatas!G$8,12,1),IGPM!$A$3:$B$1048576,2,0)</f>
        <v>-2310.4992732725545</v>
      </c>
    </row>
    <row r="10" spans="1:7">
      <c r="B10" s="5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FB09D-6B43-49D0-BD13-9CA99673BCE7}">
  <sheetPr>
    <tabColor theme="4" tint="0.79998168889431442"/>
  </sheetPr>
  <dimension ref="A1:D170"/>
  <sheetViews>
    <sheetView showGridLines="0" topLeftCell="A91" workbookViewId="0">
      <selection activeCell="N118" sqref="N118"/>
    </sheetView>
  </sheetViews>
  <sheetFormatPr defaultColWidth="11.42578125" defaultRowHeight="14.45"/>
  <cols>
    <col min="2" max="2" width="17.140625" bestFit="1" customWidth="1"/>
  </cols>
  <sheetData>
    <row r="1" spans="1:2">
      <c r="A1" s="88" t="s">
        <v>4965</v>
      </c>
      <c r="B1" s="89" t="s">
        <v>4966</v>
      </c>
    </row>
    <row r="2" spans="1:2">
      <c r="A2" s="90"/>
      <c r="B2" s="91" t="s">
        <v>4967</v>
      </c>
    </row>
    <row r="3" spans="1:2">
      <c r="A3" s="92">
        <v>41640</v>
      </c>
      <c r="B3" s="93"/>
    </row>
    <row r="4" spans="1:2">
      <c r="A4" s="92">
        <v>41671</v>
      </c>
      <c r="B4" s="93"/>
    </row>
    <row r="5" spans="1:2">
      <c r="A5" s="92">
        <v>41699</v>
      </c>
      <c r="B5" s="93"/>
    </row>
    <row r="6" spans="1:2">
      <c r="A6" s="92">
        <v>41730</v>
      </c>
      <c r="B6" s="93"/>
    </row>
    <row r="7" spans="1:2">
      <c r="A7" s="92">
        <v>41760</v>
      </c>
      <c r="B7" s="93"/>
    </row>
    <row r="8" spans="1:2">
      <c r="A8" s="92">
        <v>41791</v>
      </c>
      <c r="B8" s="93"/>
    </row>
    <row r="9" spans="1:2">
      <c r="A9" s="92">
        <v>41821</v>
      </c>
      <c r="B9" s="93"/>
    </row>
    <row r="10" spans="1:2">
      <c r="A10" s="92">
        <v>41852</v>
      </c>
      <c r="B10" s="93"/>
    </row>
    <row r="11" spans="1:2">
      <c r="A11" s="92">
        <v>41883</v>
      </c>
      <c r="B11" s="93"/>
    </row>
    <row r="12" spans="1:2">
      <c r="A12" s="92">
        <v>41913</v>
      </c>
      <c r="B12" s="93"/>
    </row>
    <row r="13" spans="1:2">
      <c r="A13" s="92">
        <v>41944</v>
      </c>
      <c r="B13" s="93"/>
    </row>
    <row r="14" spans="1:2">
      <c r="A14" s="92">
        <v>41974</v>
      </c>
      <c r="B14" s="93"/>
    </row>
    <row r="15" spans="1:2">
      <c r="A15" s="92">
        <v>42005</v>
      </c>
      <c r="B15" s="93"/>
    </row>
    <row r="16" spans="1:2">
      <c r="A16" s="92">
        <v>42036</v>
      </c>
      <c r="B16" s="93"/>
    </row>
    <row r="17" spans="1:2">
      <c r="A17" s="92">
        <v>42064</v>
      </c>
      <c r="B17" s="93"/>
    </row>
    <row r="18" spans="1:2">
      <c r="A18" s="92">
        <v>42095</v>
      </c>
      <c r="B18" s="93"/>
    </row>
    <row r="19" spans="1:2">
      <c r="A19" s="92">
        <v>42125</v>
      </c>
      <c r="B19" s="93"/>
    </row>
    <row r="20" spans="1:2">
      <c r="A20" s="92">
        <v>42156</v>
      </c>
      <c r="B20" s="93"/>
    </row>
    <row r="21" spans="1:2">
      <c r="A21" s="92">
        <v>42186</v>
      </c>
      <c r="B21" s="93"/>
    </row>
    <row r="22" spans="1:2">
      <c r="A22" s="92">
        <v>42217</v>
      </c>
      <c r="B22" s="93"/>
    </row>
    <row r="23" spans="1:2">
      <c r="A23" s="92">
        <v>42248</v>
      </c>
      <c r="B23" s="93"/>
    </row>
    <row r="24" spans="1:2">
      <c r="A24" s="92">
        <v>42278</v>
      </c>
      <c r="B24" s="93"/>
    </row>
    <row r="25" spans="1:2">
      <c r="A25" s="92">
        <v>42309</v>
      </c>
      <c r="B25" s="93"/>
    </row>
    <row r="26" spans="1:2">
      <c r="A26" s="92">
        <v>42339</v>
      </c>
      <c r="B26" s="93"/>
    </row>
    <row r="27" spans="1:2">
      <c r="A27" s="92">
        <v>42370</v>
      </c>
      <c r="B27" s="93"/>
    </row>
    <row r="28" spans="1:2">
      <c r="A28" s="92">
        <v>42401</v>
      </c>
      <c r="B28" s="93"/>
    </row>
    <row r="29" spans="1:2">
      <c r="A29" s="92">
        <v>42430</v>
      </c>
      <c r="B29" s="93"/>
    </row>
    <row r="30" spans="1:2">
      <c r="A30" s="92">
        <v>42461</v>
      </c>
      <c r="B30" s="93"/>
    </row>
    <row r="31" spans="1:2">
      <c r="A31" s="92">
        <v>42491</v>
      </c>
      <c r="B31" s="93"/>
    </row>
    <row r="32" spans="1:2">
      <c r="A32" s="92">
        <v>42522</v>
      </c>
      <c r="B32" s="93"/>
    </row>
    <row r="33" spans="1:2">
      <c r="A33" s="92">
        <v>42552</v>
      </c>
      <c r="B33" s="93"/>
    </row>
    <row r="34" spans="1:2">
      <c r="A34" s="92">
        <v>42583</v>
      </c>
      <c r="B34" s="93"/>
    </row>
    <row r="35" spans="1:2">
      <c r="A35" s="92">
        <v>42614</v>
      </c>
      <c r="B35" s="93"/>
    </row>
    <row r="36" spans="1:2">
      <c r="A36" s="92">
        <v>42644</v>
      </c>
      <c r="B36" s="93"/>
    </row>
    <row r="37" spans="1:2">
      <c r="A37" s="92">
        <v>42675</v>
      </c>
      <c r="B37" s="93"/>
    </row>
    <row r="38" spans="1:2">
      <c r="A38" s="92">
        <v>42705</v>
      </c>
      <c r="B38" s="93"/>
    </row>
    <row r="39" spans="1:2">
      <c r="A39" s="92">
        <v>42736</v>
      </c>
      <c r="B39" s="93"/>
    </row>
    <row r="40" spans="1:2">
      <c r="A40" s="92">
        <v>42767</v>
      </c>
      <c r="B40" s="93"/>
    </row>
    <row r="41" spans="1:2">
      <c r="A41" s="92">
        <v>42795</v>
      </c>
      <c r="B41" s="93"/>
    </row>
    <row r="42" spans="1:2">
      <c r="A42" s="92">
        <v>42826</v>
      </c>
      <c r="B42" s="93"/>
    </row>
    <row r="43" spans="1:2">
      <c r="A43" s="92">
        <v>42856</v>
      </c>
      <c r="B43" s="93"/>
    </row>
    <row r="44" spans="1:2">
      <c r="A44" s="92">
        <v>42887</v>
      </c>
      <c r="B44" s="93"/>
    </row>
    <row r="45" spans="1:2">
      <c r="A45" s="92">
        <v>42917</v>
      </c>
      <c r="B45" s="93"/>
    </row>
    <row r="46" spans="1:2">
      <c r="A46" s="92">
        <v>42948</v>
      </c>
      <c r="B46" s="93"/>
    </row>
    <row r="47" spans="1:2">
      <c r="A47" s="92">
        <v>42979</v>
      </c>
      <c r="B47" s="93"/>
    </row>
    <row r="48" spans="1:2">
      <c r="A48" s="92">
        <v>43009</v>
      </c>
      <c r="B48" s="93"/>
    </row>
    <row r="49" spans="1:2">
      <c r="A49" s="92">
        <v>43040</v>
      </c>
      <c r="B49" s="93"/>
    </row>
    <row r="50" spans="1:2">
      <c r="A50" s="92">
        <v>43070</v>
      </c>
      <c r="B50" s="93"/>
    </row>
    <row r="51" spans="1:2">
      <c r="A51" s="92">
        <v>43101</v>
      </c>
      <c r="B51" s="93">
        <v>662.82600000000002</v>
      </c>
    </row>
    <row r="52" spans="1:2">
      <c r="A52" s="92">
        <v>43132</v>
      </c>
      <c r="B52" s="93">
        <v>663.31100000000004</v>
      </c>
    </row>
    <row r="53" spans="1:2">
      <c r="A53" s="92">
        <v>43160</v>
      </c>
      <c r="B53" s="93">
        <v>667.524</v>
      </c>
    </row>
    <row r="54" spans="1:2">
      <c r="A54" s="92">
        <v>43191</v>
      </c>
      <c r="B54" s="93">
        <v>671.327</v>
      </c>
    </row>
    <row r="55" spans="1:2">
      <c r="A55" s="92">
        <v>43221</v>
      </c>
      <c r="B55" s="93">
        <v>680.57899999999995</v>
      </c>
    </row>
    <row r="56" spans="1:2">
      <c r="A56" s="92">
        <v>43252</v>
      </c>
      <c r="B56" s="93">
        <v>693.28700000000003</v>
      </c>
    </row>
    <row r="57" spans="1:2">
      <c r="A57" s="92">
        <v>43282</v>
      </c>
      <c r="B57" s="93">
        <v>696.8</v>
      </c>
    </row>
    <row r="58" spans="1:2">
      <c r="A58" s="92">
        <v>43313</v>
      </c>
      <c r="B58" s="93">
        <v>701.67700000000002</v>
      </c>
    </row>
    <row r="59" spans="1:2">
      <c r="A59" s="92">
        <v>43344</v>
      </c>
      <c r="B59" s="93">
        <v>712.37300000000005</v>
      </c>
    </row>
    <row r="60" spans="1:2">
      <c r="A60" s="92">
        <v>43374</v>
      </c>
      <c r="B60" s="93">
        <v>718.68399999999997</v>
      </c>
    </row>
    <row r="61" spans="1:2">
      <c r="A61" s="92">
        <v>43405</v>
      </c>
      <c r="B61" s="93">
        <v>715.16600000000005</v>
      </c>
    </row>
    <row r="62" spans="1:2">
      <c r="A62" s="92">
        <v>43435</v>
      </c>
      <c r="B62" s="93">
        <v>707.44100000000003</v>
      </c>
    </row>
    <row r="63" spans="1:2">
      <c r="A63" s="92">
        <v>43466</v>
      </c>
      <c r="B63" s="93">
        <v>707.48800000000006</v>
      </c>
    </row>
    <row r="64" spans="1:2">
      <c r="A64" s="92">
        <v>43497</v>
      </c>
      <c r="B64" s="93">
        <v>713.74699999999996</v>
      </c>
    </row>
    <row r="65" spans="1:2">
      <c r="A65" s="92">
        <v>43525</v>
      </c>
      <c r="B65" s="93">
        <v>722.70699999999999</v>
      </c>
    </row>
    <row r="66" spans="1:2">
      <c r="A66" s="92">
        <v>43556</v>
      </c>
      <c r="B66" s="93">
        <v>729.346</v>
      </c>
    </row>
    <row r="67" spans="1:2">
      <c r="A67" s="92">
        <v>43586</v>
      </c>
      <c r="B67" s="93">
        <v>732.59500000000003</v>
      </c>
    </row>
    <row r="68" spans="1:2">
      <c r="A68" s="92">
        <v>43617</v>
      </c>
      <c r="B68" s="93">
        <v>738.42100000000005</v>
      </c>
    </row>
    <row r="69" spans="1:2">
      <c r="A69" s="92">
        <v>43647</v>
      </c>
      <c r="B69" s="93">
        <v>741.346</v>
      </c>
    </row>
    <row r="70" spans="1:2">
      <c r="A70" s="92">
        <v>43678</v>
      </c>
      <c r="B70" s="93">
        <v>736.40200000000004</v>
      </c>
    </row>
    <row r="71" spans="1:2">
      <c r="A71" s="92">
        <v>43709</v>
      </c>
      <c r="B71" s="93">
        <v>736.36199999999997</v>
      </c>
    </row>
    <row r="72" spans="1:2">
      <c r="A72" s="92">
        <v>43739</v>
      </c>
      <c r="B72" s="93">
        <v>741.33299999999997</v>
      </c>
    </row>
    <row r="73" spans="1:2">
      <c r="A73" s="92">
        <v>43770</v>
      </c>
      <c r="B73" s="93">
        <v>743.55799999999999</v>
      </c>
    </row>
    <row r="74" spans="1:2">
      <c r="A74" s="92">
        <v>43800</v>
      </c>
      <c r="B74" s="93">
        <v>759.11199999999997</v>
      </c>
    </row>
    <row r="75" spans="1:2">
      <c r="A75" s="92">
        <v>43831</v>
      </c>
      <c r="B75" s="93">
        <v>762.73299999999995</v>
      </c>
    </row>
    <row r="76" spans="1:2">
      <c r="A76" s="92">
        <v>43862</v>
      </c>
      <c r="B76" s="93">
        <v>762.423</v>
      </c>
    </row>
    <row r="77" spans="1:2">
      <c r="A77" s="92">
        <v>43891</v>
      </c>
      <c r="B77" s="93">
        <v>771.90800000000002</v>
      </c>
    </row>
    <row r="78" spans="1:2">
      <c r="A78" s="92">
        <v>43922</v>
      </c>
      <c r="B78" s="93">
        <v>778.101</v>
      </c>
    </row>
    <row r="79" spans="1:2">
      <c r="A79" s="92">
        <v>43952</v>
      </c>
      <c r="B79" s="93">
        <v>780.28</v>
      </c>
    </row>
    <row r="80" spans="1:2">
      <c r="A80" s="92">
        <v>43983</v>
      </c>
      <c r="B80" s="93">
        <v>792.42899999999997</v>
      </c>
    </row>
    <row r="81" spans="1:2">
      <c r="A81" s="92">
        <v>44013</v>
      </c>
      <c r="B81" s="93">
        <v>810.08299999999997</v>
      </c>
    </row>
    <row r="82" spans="1:2">
      <c r="A82" s="92">
        <v>44044</v>
      </c>
      <c r="B82" s="93">
        <v>832.31299999999999</v>
      </c>
    </row>
    <row r="83" spans="1:2">
      <c r="A83" s="92">
        <v>44075</v>
      </c>
      <c r="B83" s="93">
        <v>868.44200000000001</v>
      </c>
    </row>
    <row r="84" spans="1:2">
      <c r="A84" s="92">
        <v>44105</v>
      </c>
      <c r="B84" s="93">
        <v>896.505</v>
      </c>
    </row>
    <row r="85" spans="1:2">
      <c r="A85" s="92">
        <v>44136</v>
      </c>
      <c r="B85" s="93">
        <v>925.88699999999994</v>
      </c>
    </row>
    <row r="86" spans="1:2">
      <c r="A86" s="92">
        <v>44166</v>
      </c>
      <c r="B86" s="93">
        <v>934.75800000000004</v>
      </c>
    </row>
    <row r="87" spans="1:2">
      <c r="A87" s="92">
        <v>44197</v>
      </c>
      <c r="B87" s="93">
        <v>958.84400000000005</v>
      </c>
    </row>
    <row r="88" spans="1:2">
      <c r="A88" s="92">
        <v>44228</v>
      </c>
      <c r="B88" s="93">
        <v>983.06299999999999</v>
      </c>
    </row>
    <row r="89" spans="1:2">
      <c r="A89" s="92">
        <v>44256</v>
      </c>
      <c r="B89" s="93">
        <v>1011.948</v>
      </c>
    </row>
    <row r="90" spans="1:2">
      <c r="A90" s="92">
        <v>44287</v>
      </c>
      <c r="B90" s="93">
        <v>1027.211</v>
      </c>
    </row>
    <row r="91" spans="1:2">
      <c r="A91" s="92">
        <v>44317</v>
      </c>
      <c r="B91" s="93">
        <v>1069.289</v>
      </c>
    </row>
    <row r="92" spans="1:2">
      <c r="A92" s="92">
        <v>44348</v>
      </c>
      <c r="B92" s="93">
        <v>1075.7329999999999</v>
      </c>
    </row>
    <row r="93" spans="1:2">
      <c r="A93" s="92">
        <v>44378</v>
      </c>
      <c r="B93" s="93">
        <v>1084.095</v>
      </c>
    </row>
    <row r="94" spans="1:2">
      <c r="A94" s="92">
        <v>44409</v>
      </c>
      <c r="B94" s="93">
        <v>1091.29</v>
      </c>
    </row>
    <row r="95" spans="1:2">
      <c r="A95" s="92">
        <v>44440</v>
      </c>
      <c r="B95" s="93">
        <v>1084.3119999999999</v>
      </c>
    </row>
    <row r="96" spans="1:2">
      <c r="A96" s="92">
        <v>44470</v>
      </c>
      <c r="B96" s="93">
        <v>1091.2829999999999</v>
      </c>
    </row>
    <row r="97" spans="1:3">
      <c r="A97" s="92">
        <v>44501</v>
      </c>
      <c r="B97" s="93">
        <v>1091.4829999999999</v>
      </c>
    </row>
    <row r="98" spans="1:3">
      <c r="A98" s="92">
        <v>44531</v>
      </c>
      <c r="B98" s="93">
        <v>1100.9880000000001</v>
      </c>
    </row>
    <row r="99" spans="1:3">
      <c r="A99" s="92">
        <v>44562</v>
      </c>
      <c r="B99" s="93">
        <v>1120.999</v>
      </c>
    </row>
    <row r="100" spans="1:3">
      <c r="A100" s="92">
        <v>44593</v>
      </c>
      <c r="B100" s="93">
        <v>1141.546</v>
      </c>
    </row>
    <row r="101" spans="1:3">
      <c r="A101" s="92">
        <v>44621</v>
      </c>
      <c r="B101" s="93">
        <v>1161.4179999999999</v>
      </c>
    </row>
    <row r="102" spans="1:3">
      <c r="A102" s="92">
        <v>44652</v>
      </c>
      <c r="B102" s="93">
        <v>1177.809</v>
      </c>
    </row>
    <row r="103" spans="1:3">
      <c r="A103" s="92">
        <v>44682</v>
      </c>
      <c r="B103" s="93">
        <v>1183.953</v>
      </c>
    </row>
    <row r="104" spans="1:3">
      <c r="A104" s="92">
        <v>44713</v>
      </c>
      <c r="B104" s="93">
        <v>1190.8820000000001</v>
      </c>
    </row>
    <row r="105" spans="1:3">
      <c r="A105" s="92">
        <v>44743</v>
      </c>
      <c r="B105" s="93">
        <v>1193.337</v>
      </c>
    </row>
    <row r="106" spans="1:3">
      <c r="A106" s="92">
        <v>44774</v>
      </c>
      <c r="B106" s="93">
        <v>1185.0039999999999</v>
      </c>
    </row>
    <row r="107" spans="1:3">
      <c r="A107" s="92">
        <v>44805</v>
      </c>
      <c r="B107" s="93">
        <v>1173.7929999999999</v>
      </c>
    </row>
    <row r="108" spans="1:3">
      <c r="A108" s="92">
        <v>44835</v>
      </c>
      <c r="B108" s="93">
        <v>1162.3910000000001</v>
      </c>
    </row>
    <row r="109" spans="1:3">
      <c r="A109" s="92">
        <v>44866</v>
      </c>
      <c r="B109" s="93">
        <v>1155.829</v>
      </c>
    </row>
    <row r="110" spans="1:3">
      <c r="A110" s="92">
        <v>44896</v>
      </c>
      <c r="B110" s="93">
        <v>1161.0060000000001</v>
      </c>
      <c r="C110">
        <f>B98/B110</f>
        <v>0.94830517671743297</v>
      </c>
    </row>
    <row r="111" spans="1:3">
      <c r="A111" s="92">
        <v>44927</v>
      </c>
      <c r="B111" s="93">
        <v>1163.4649999999999</v>
      </c>
    </row>
    <row r="112" spans="1:3">
      <c r="A112" s="92">
        <v>44958</v>
      </c>
      <c r="B112" s="93">
        <v>1162.761</v>
      </c>
    </row>
    <row r="113" spans="1:2">
      <c r="A113" s="92">
        <v>44986</v>
      </c>
      <c r="B113" s="93">
        <v>1163.3589999999999</v>
      </c>
    </row>
    <row r="114" spans="1:2">
      <c r="A114" s="92">
        <v>45017</v>
      </c>
      <c r="B114" s="93">
        <v>1152.307</v>
      </c>
    </row>
    <row r="115" spans="1:2">
      <c r="A115" s="92">
        <v>45047</v>
      </c>
      <c r="B115" s="93">
        <v>1131.058</v>
      </c>
    </row>
    <row r="116" spans="1:2">
      <c r="A116" s="92">
        <v>45078</v>
      </c>
      <c r="B116" s="93">
        <v>1109.23</v>
      </c>
    </row>
    <row r="117" spans="1:2">
      <c r="A117" s="92">
        <v>45108</v>
      </c>
      <c r="B117" s="93">
        <v>1101.204</v>
      </c>
    </row>
    <row r="118" spans="1:2">
      <c r="A118" s="92">
        <v>45139</v>
      </c>
      <c r="B118" s="93">
        <v>1099.71</v>
      </c>
    </row>
    <row r="119" spans="1:2">
      <c r="A119" s="92">
        <v>45170</v>
      </c>
      <c r="B119" s="93">
        <v>1103.74</v>
      </c>
    </row>
    <row r="120" spans="1:2">
      <c r="A120" s="92">
        <v>45200</v>
      </c>
      <c r="B120" s="93">
        <v>1109.2360000000001</v>
      </c>
    </row>
    <row r="121" spans="1:2">
      <c r="A121" s="92">
        <v>45231</v>
      </c>
      <c r="B121" s="93">
        <v>1115.8150000000001</v>
      </c>
    </row>
    <row r="122" spans="1:2">
      <c r="A122" s="92">
        <v>45261</v>
      </c>
      <c r="B122" s="93">
        <v>1124.0719999999999</v>
      </c>
    </row>
    <row r="123" spans="1:2">
      <c r="A123" s="92">
        <v>45292</v>
      </c>
      <c r="B123" s="94">
        <v>1124.8789999999999</v>
      </c>
    </row>
    <row r="124" spans="1:2">
      <c r="A124" s="92">
        <v>45323</v>
      </c>
      <c r="B124" s="94">
        <v>1119.0609999999999</v>
      </c>
    </row>
    <row r="125" spans="1:2">
      <c r="A125" s="92">
        <v>45352</v>
      </c>
      <c r="B125" s="94">
        <v>1113.837</v>
      </c>
    </row>
    <row r="126" spans="1:2">
      <c r="A126" s="92">
        <v>45383</v>
      </c>
      <c r="B126" s="94">
        <v>1117.28</v>
      </c>
    </row>
    <row r="127" spans="1:2">
      <c r="A127" s="92">
        <v>45413</v>
      </c>
      <c r="B127" s="94">
        <v>1127.2329999999999</v>
      </c>
    </row>
    <row r="128" spans="1:2">
      <c r="A128" s="92">
        <v>45444</v>
      </c>
      <c r="B128" s="94">
        <v>1136.4090000000001</v>
      </c>
    </row>
    <row r="129" spans="1:4">
      <c r="A129" s="92">
        <v>45474</v>
      </c>
      <c r="B129" s="94">
        <v>1143.3130000000001</v>
      </c>
    </row>
    <row r="130" spans="1:4">
      <c r="A130" s="92">
        <v>45505</v>
      </c>
      <c r="B130" s="94">
        <v>1146.6286077</v>
      </c>
    </row>
    <row r="131" spans="1:4">
      <c r="A131" s="92">
        <v>45536</v>
      </c>
      <c r="B131" s="94">
        <v>1153.7377050677399</v>
      </c>
    </row>
    <row r="132" spans="1:4">
      <c r="A132" s="92">
        <v>45566</v>
      </c>
      <c r="B132" s="94">
        <v>1171.2745181847697</v>
      </c>
    </row>
    <row r="133" spans="1:4">
      <c r="A133" s="92">
        <v>45597</v>
      </c>
      <c r="B133" s="94">
        <v>1186.5010869211717</v>
      </c>
    </row>
    <row r="134" spans="1:4">
      <c r="A134" s="92">
        <v>45627</v>
      </c>
      <c r="B134" s="94">
        <v>1197.6541971382308</v>
      </c>
    </row>
    <row r="135" spans="1:4">
      <c r="A135" s="92">
        <v>45658</v>
      </c>
      <c r="B135" s="94">
        <v>1200.8878634705038</v>
      </c>
    </row>
    <row r="136" spans="1:4">
      <c r="A136" s="92">
        <v>45689</v>
      </c>
      <c r="B136" s="94">
        <v>1213.6172748232912</v>
      </c>
    </row>
    <row r="137" spans="1:4">
      <c r="A137" s="92">
        <v>45717</v>
      </c>
      <c r="B137" s="94">
        <v>1209.490976088892</v>
      </c>
    </row>
    <row r="138" spans="1:4">
      <c r="A138" s="92">
        <v>45748</v>
      </c>
      <c r="B138" s="94">
        <v>1212.3937544315054</v>
      </c>
    </row>
    <row r="139" spans="1:4">
      <c r="A139" s="299">
        <v>45778</v>
      </c>
      <c r="B139" s="300">
        <f>+B127*(1+3.5%)</f>
        <v>1166.6861549999999</v>
      </c>
      <c r="D139" s="61" t="s">
        <v>4968</v>
      </c>
    </row>
    <row r="140" spans="1:4">
      <c r="A140" s="299">
        <v>45809</v>
      </c>
      <c r="B140" s="300">
        <f t="shared" ref="B140:B146" si="0">+B128*(1+3.5%)</f>
        <v>1176.183315</v>
      </c>
    </row>
    <row r="141" spans="1:4">
      <c r="A141" s="299">
        <v>45839</v>
      </c>
      <c r="B141" s="300">
        <f t="shared" si="0"/>
        <v>1183.328955</v>
      </c>
    </row>
    <row r="142" spans="1:4">
      <c r="A142" s="299">
        <v>45870</v>
      </c>
      <c r="B142" s="300">
        <f t="shared" si="0"/>
        <v>1186.7606089694998</v>
      </c>
    </row>
    <row r="143" spans="1:4">
      <c r="A143" s="299">
        <v>45901</v>
      </c>
      <c r="B143" s="300">
        <f t="shared" si="0"/>
        <v>1194.1185247451106</v>
      </c>
    </row>
    <row r="144" spans="1:4">
      <c r="A144" s="299">
        <v>45931</v>
      </c>
      <c r="B144" s="300">
        <f t="shared" si="0"/>
        <v>1212.2691263212366</v>
      </c>
    </row>
    <row r="145" spans="1:2">
      <c r="A145" s="299">
        <v>45962</v>
      </c>
      <c r="B145" s="300">
        <f t="shared" si="0"/>
        <v>1228.0286249634125</v>
      </c>
    </row>
    <row r="146" spans="1:2">
      <c r="A146" s="299">
        <v>45992</v>
      </c>
      <c r="B146" s="300">
        <f t="shared" si="0"/>
        <v>1239.5720940380688</v>
      </c>
    </row>
    <row r="147" spans="1:2">
      <c r="A147" s="299">
        <v>46023</v>
      </c>
      <c r="B147" s="300">
        <f>+B135*(1+3.4%)</f>
        <v>1241.718050828501</v>
      </c>
    </row>
    <row r="148" spans="1:2">
      <c r="A148" s="299">
        <v>46054</v>
      </c>
      <c r="B148" s="300">
        <f t="shared" ref="B148:B158" si="1">+B136*(1+3.4%)</f>
        <v>1254.880262167283</v>
      </c>
    </row>
    <row r="149" spans="1:2">
      <c r="A149" s="299">
        <v>46082</v>
      </c>
      <c r="B149" s="300">
        <f t="shared" si="1"/>
        <v>1250.6136692759144</v>
      </c>
    </row>
    <row r="150" spans="1:2">
      <c r="A150" s="299">
        <v>46113</v>
      </c>
      <c r="B150" s="300">
        <f t="shared" si="1"/>
        <v>1253.6151420821766</v>
      </c>
    </row>
    <row r="151" spans="1:2">
      <c r="A151" s="299">
        <v>46143</v>
      </c>
      <c r="B151" s="300">
        <f t="shared" si="1"/>
        <v>1206.3534842699999</v>
      </c>
    </row>
    <row r="152" spans="1:2">
      <c r="A152" s="299">
        <v>46174</v>
      </c>
      <c r="B152" s="300">
        <f t="shared" si="1"/>
        <v>1216.1735477100001</v>
      </c>
    </row>
    <row r="153" spans="1:2">
      <c r="A153" s="299">
        <v>46204</v>
      </c>
      <c r="B153" s="300">
        <f t="shared" si="1"/>
        <v>1223.5621394699999</v>
      </c>
    </row>
    <row r="154" spans="1:2">
      <c r="A154" s="299">
        <v>46235</v>
      </c>
      <c r="B154" s="300">
        <f t="shared" si="1"/>
        <v>1227.1104696744628</v>
      </c>
    </row>
    <row r="155" spans="1:2">
      <c r="A155" s="299">
        <v>46266</v>
      </c>
      <c r="B155" s="300">
        <f t="shared" si="1"/>
        <v>1234.7185545864443</v>
      </c>
    </row>
    <row r="156" spans="1:2">
      <c r="A156" s="299">
        <v>46296</v>
      </c>
      <c r="B156" s="300">
        <f t="shared" si="1"/>
        <v>1253.4862766161586</v>
      </c>
    </row>
    <row r="157" spans="1:2">
      <c r="A157" s="299">
        <v>46327</v>
      </c>
      <c r="B157" s="300">
        <f t="shared" si="1"/>
        <v>1269.7815982121685</v>
      </c>
    </row>
    <row r="158" spans="1:2">
      <c r="A158" s="299">
        <v>46357</v>
      </c>
      <c r="B158" s="300">
        <f t="shared" si="1"/>
        <v>1281.7175452353631</v>
      </c>
    </row>
    <row r="159" spans="1:2">
      <c r="A159" s="299">
        <v>46388</v>
      </c>
      <c r="B159" s="300">
        <f>+B147*(1+3.6%)</f>
        <v>1286.4199006583272</v>
      </c>
    </row>
    <row r="160" spans="1:2">
      <c r="A160" s="299">
        <v>46419</v>
      </c>
      <c r="B160" s="300">
        <f t="shared" ref="B160:B170" si="2">+B148*(1+3.6%)</f>
        <v>1300.0559516053052</v>
      </c>
    </row>
    <row r="161" spans="1:2">
      <c r="A161" s="299">
        <v>46447</v>
      </c>
      <c r="B161" s="300">
        <f t="shared" si="2"/>
        <v>1295.6357613698474</v>
      </c>
    </row>
    <row r="162" spans="1:2">
      <c r="A162" s="299">
        <v>46478</v>
      </c>
      <c r="B162" s="300">
        <f t="shared" si="2"/>
        <v>1298.745287197135</v>
      </c>
    </row>
    <row r="163" spans="1:2">
      <c r="A163" s="299">
        <v>46508</v>
      </c>
      <c r="B163" s="300">
        <f t="shared" si="2"/>
        <v>1249.7822097037199</v>
      </c>
    </row>
    <row r="164" spans="1:2">
      <c r="A164" s="299">
        <v>46539</v>
      </c>
      <c r="B164" s="300">
        <f t="shared" si="2"/>
        <v>1259.9557954275601</v>
      </c>
    </row>
    <row r="165" spans="1:2">
      <c r="A165" s="299">
        <v>46569</v>
      </c>
      <c r="B165" s="300">
        <f t="shared" si="2"/>
        <v>1267.6103764909199</v>
      </c>
    </row>
    <row r="166" spans="1:2">
      <c r="A166" s="299">
        <v>46600</v>
      </c>
      <c r="B166" s="300">
        <f t="shared" si="2"/>
        <v>1271.2864465827436</v>
      </c>
    </row>
    <row r="167" spans="1:2">
      <c r="A167" s="299">
        <v>46631</v>
      </c>
      <c r="B167" s="300">
        <f t="shared" si="2"/>
        <v>1279.1684225515562</v>
      </c>
    </row>
    <row r="168" spans="1:2">
      <c r="A168" s="299">
        <v>46661</v>
      </c>
      <c r="B168" s="300">
        <f t="shared" si="2"/>
        <v>1298.6117825743404</v>
      </c>
    </row>
    <row r="169" spans="1:2">
      <c r="A169" s="299">
        <v>46692</v>
      </c>
      <c r="B169" s="300">
        <f t="shared" si="2"/>
        <v>1315.4937357478066</v>
      </c>
    </row>
    <row r="170" spans="1:2">
      <c r="A170" s="299">
        <v>46722</v>
      </c>
      <c r="B170" s="300">
        <f t="shared" si="2"/>
        <v>1327.8593768638361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DC97D-8C4B-4829-8E9C-AF357CCD4115}">
  <sheetPr>
    <tabColor rgb="FF00B0F0"/>
  </sheetPr>
  <dimension ref="A1:R68"/>
  <sheetViews>
    <sheetView showGridLines="0" tabSelected="1" topLeftCell="A38" zoomScale="85" zoomScaleNormal="85" workbookViewId="0">
      <selection activeCell="J29" sqref="J29"/>
    </sheetView>
  </sheetViews>
  <sheetFormatPr defaultColWidth="9.140625" defaultRowHeight="14.45"/>
  <cols>
    <col min="1" max="1" width="3.42578125" customWidth="1"/>
    <col min="2" max="2" width="66.85546875" style="8" customWidth="1"/>
    <col min="3" max="3" width="19.42578125" style="8" bestFit="1" customWidth="1"/>
    <col min="4" max="4" width="10.7109375" style="8" customWidth="1"/>
    <col min="5" max="5" width="10.7109375" style="8" bestFit="1" customWidth="1"/>
    <col min="6" max="6" width="13.42578125" style="8" customWidth="1"/>
    <col min="7" max="7" width="15.140625" style="8" customWidth="1"/>
    <col min="8" max="8" width="13.140625" style="8" bestFit="1" customWidth="1"/>
    <col min="9" max="9" width="14.42578125" bestFit="1" customWidth="1"/>
    <col min="10" max="10" width="22.140625" customWidth="1"/>
    <col min="11" max="11" width="26" customWidth="1"/>
    <col min="12" max="15" width="11.85546875" customWidth="1"/>
    <col min="16" max="16" width="13.42578125" customWidth="1"/>
    <col min="17" max="17" width="13.7109375" customWidth="1"/>
    <col min="18" max="26" width="9.140625" customWidth="1"/>
  </cols>
  <sheetData>
    <row r="1" spans="2:8" ht="15" thickBot="1">
      <c r="C1" s="591"/>
      <c r="D1" s="591"/>
      <c r="E1" s="591"/>
      <c r="F1" s="591"/>
      <c r="G1" s="591"/>
    </row>
    <row r="2" spans="2:8" s="15" customFormat="1" ht="24.6" customHeight="1" thickBot="1">
      <c r="B2" s="770" t="s">
        <v>64</v>
      </c>
      <c r="C2" s="771"/>
      <c r="D2" s="771"/>
      <c r="E2" s="771"/>
      <c r="F2" s="771"/>
      <c r="G2" s="771"/>
      <c r="H2" s="772"/>
    </row>
    <row r="3" spans="2:8" ht="6.75" customHeight="1"/>
    <row r="4" spans="2:8" ht="29.45" customHeight="1">
      <c r="D4" s="24"/>
      <c r="E4" s="24"/>
      <c r="F4" s="24"/>
      <c r="G4" s="25"/>
    </row>
    <row r="5" spans="2:8" ht="30" customHeight="1">
      <c r="B5"/>
      <c r="C5" s="17"/>
      <c r="D5"/>
      <c r="E5" s="773" t="s">
        <v>65</v>
      </c>
      <c r="F5" s="774"/>
      <c r="G5" s="774"/>
      <c r="H5" s="18">
        <v>1</v>
      </c>
    </row>
    <row r="6" spans="2:8" ht="21.6" customHeight="1">
      <c r="B6" s="2" t="s">
        <v>66</v>
      </c>
      <c r="C6" s="775" t="s">
        <v>67</v>
      </c>
      <c r="D6" s="775"/>
      <c r="E6" s="775"/>
      <c r="F6" s="775"/>
      <c r="G6" s="775"/>
      <c r="H6" s="14">
        <f>+Inputs!C6</f>
        <v>8.9200000000000002E-2</v>
      </c>
    </row>
    <row r="7" spans="2:8" ht="21.6" customHeight="1">
      <c r="B7" s="3" t="s">
        <v>68</v>
      </c>
      <c r="C7" s="776" t="s">
        <v>69</v>
      </c>
      <c r="D7" s="776"/>
      <c r="E7" s="776"/>
      <c r="F7" s="776"/>
      <c r="G7" s="777"/>
      <c r="H7" s="4" t="s">
        <v>70</v>
      </c>
    </row>
    <row r="8" spans="2:8" ht="21.6" customHeight="1">
      <c r="B8" s="5" t="s">
        <v>71</v>
      </c>
      <c r="C8" s="6">
        <v>2023</v>
      </c>
      <c r="D8" s="6">
        <v>2024</v>
      </c>
      <c r="E8" s="6">
        <v>2025</v>
      </c>
      <c r="F8" s="6">
        <v>2026</v>
      </c>
      <c r="G8" s="6">
        <v>2027</v>
      </c>
      <c r="H8" s="7" t="s">
        <v>72</v>
      </c>
    </row>
    <row r="9" spans="2:8" ht="21.6" customHeight="1">
      <c r="B9" s="22"/>
      <c r="C9" s="23"/>
      <c r="D9" s="23"/>
      <c r="E9" s="23"/>
      <c r="F9" s="23"/>
      <c r="G9" s="23"/>
      <c r="H9" s="280"/>
    </row>
    <row r="10" spans="2:8" ht="21.6" customHeight="1">
      <c r="B10" s="12" t="s">
        <v>73</v>
      </c>
      <c r="C10" s="532">
        <f>+'Vendas Vigente'!N176*0.66/1000</f>
        <v>205.44973758222196</v>
      </c>
      <c r="D10" s="532">
        <f>+'Vendas Vigente'!O176*0.66/1000</f>
        <v>239.51658549751315</v>
      </c>
      <c r="E10" s="532">
        <f>+'Vendas Vigente'!P176*0.66/1000</f>
        <v>182.38415167589926</v>
      </c>
      <c r="F10" s="532">
        <f>+'Vendas Vigente'!Q176*0.66/1000</f>
        <v>204.12538342839369</v>
      </c>
      <c r="G10" s="532">
        <f>+('Vendas Vigente'!R176*0.66/1000)*Inputs!$C$11</f>
        <v>110.66180887998374</v>
      </c>
      <c r="H10" s="674">
        <f t="shared" ref="H10:H17" si="0">(NPV(H$6,C10:F10))+($G10/(1+$H$6)^4.55)</f>
        <v>751.71117895004079</v>
      </c>
    </row>
    <row r="11" spans="2:8" ht="21.6" customHeight="1">
      <c r="B11" s="276" t="s">
        <v>74</v>
      </c>
      <c r="C11" s="423">
        <f>'Vendas Vigente'!N177*0.66/1000</f>
        <v>192.49929812665067</v>
      </c>
      <c r="D11" s="423">
        <f>'Vendas Vigente'!O177*0.66/1000</f>
        <v>190.9759542462516</v>
      </c>
      <c r="E11" s="423">
        <f>'Vendas Vigente'!P177*0.66/1000</f>
        <v>174.7031377781442</v>
      </c>
      <c r="F11" s="423">
        <f>'Vendas Vigente'!Q177*0.66/1000</f>
        <v>170.8268445423175</v>
      </c>
      <c r="G11" s="423">
        <f>'Vendas Vigente'!R177*0.66/1000*Inputs!$C$11</f>
        <v>92.324805274226719</v>
      </c>
      <c r="H11" s="675">
        <f t="shared" si="0"/>
        <v>656.87196216501502</v>
      </c>
    </row>
    <row r="12" spans="2:8" ht="21.6" customHeight="1">
      <c r="B12" s="276" t="s">
        <v>75</v>
      </c>
      <c r="C12" s="423">
        <f>('Vendas Vigente'!N168+'Vendas Vigente'!N165)*0.66/1000</f>
        <v>12.950439455571239</v>
      </c>
      <c r="D12" s="423">
        <f>('Vendas Vigente'!O168+'Vendas Vigente'!O165)*0.66/1000</f>
        <v>48.540631251261573</v>
      </c>
      <c r="E12" s="423">
        <f>('Vendas Vigente'!P168+'Vendas Vigente'!P165)*0.66/1000</f>
        <v>7.6810138977550491</v>
      </c>
      <c r="F12" s="423">
        <f>('Vendas Vigente'!Q168+'Vendas Vigente'!Q165)*0.66/1000</f>
        <v>33.298538886076209</v>
      </c>
      <c r="G12" s="423">
        <f>('Vendas Vigente'!R168+'Vendas Vigente'!R165)*0.66/1000*Inputs!$C$11</f>
        <v>18.337003605757033</v>
      </c>
      <c r="H12" s="675">
        <f t="shared" si="0"/>
        <v>94.839216785025584</v>
      </c>
    </row>
    <row r="13" spans="2:8" ht="21.6" customHeight="1">
      <c r="B13" s="12" t="s">
        <v>76</v>
      </c>
      <c r="C13" s="532">
        <f>+(INDEX(OPEX!$C$10:$L$10,1,MATCH(C$8,OPEX!$C$7:$L$7,0))/1000)*0.66</f>
        <v>50.635733696927389</v>
      </c>
      <c r="D13" s="532">
        <f>+(INDEX(OPEX!$C$10:$L$10,1,MATCH(D$8,OPEX!$C$7:$L$7,0))/1000)*0.66</f>
        <v>70.670612248953191</v>
      </c>
      <c r="E13" s="532">
        <f>+((INDEX(OPEX!$C$10:$L$10,1,MATCH(E$8,OPEX!$C$7:$L$7,0))/1000)*0.66)</f>
        <v>114.02991107463875</v>
      </c>
      <c r="F13" s="532">
        <f>+((INDEX(OPEX!$C$10:$L$10,1,MATCH(F$8,OPEX!$C$7:$L$7,0))/1000)*0.66)</f>
        <v>122.51042708330054</v>
      </c>
      <c r="G13" s="532">
        <f>+((INDEX(OPEX!$C$10:$L$10,1,MATCH(G$8,OPEX!$C$7:$L$7,0))/1000)*0.66)*Inputs!$C$11</f>
        <v>68.897766518195311</v>
      </c>
      <c r="H13" s="674">
        <f t="shared" si="0"/>
        <v>328.05450347889825</v>
      </c>
    </row>
    <row r="14" spans="2:8" ht="21.6" customHeight="1">
      <c r="B14" s="12" t="s">
        <v>77</v>
      </c>
      <c r="C14" s="532">
        <f>+(INDEX(Correlatas!$C$9:$G$9,1,MATCH(C$8,Correlatas!$C$8:$G$8,0))/1000)*0.66</f>
        <v>2.9356060027269115</v>
      </c>
      <c r="D14" s="532">
        <f>+(INDEX(Correlatas!$C$9:$G$9,1,MATCH(D$8,Correlatas!$C$8:$G$8,0))/1000)*0.66</f>
        <v>-6.6416756328409668E-2</v>
      </c>
      <c r="E14" s="532">
        <f>+(INDEX(Correlatas!$C$9:$G$9,1,MATCH(E$8,Correlatas!$C$8:$G$8,0))/1000)*0.66</f>
        <v>-1.538195706651166</v>
      </c>
      <c r="F14" s="532">
        <f>+(INDEX(Correlatas!$C$9:$G$9,1,MATCH(F$8,Correlatas!$C$8:$G$8,0))/1000)*0.66</f>
        <v>-1.5325331170114964</v>
      </c>
      <c r="G14" s="532">
        <f>+((INDEX(Correlatas!$C$9:$G$9,1,MATCH(G$8,Correlatas!$C$8:$G$8,0))/1000)*0.66)*Inputs!$C$11</f>
        <v>-0.83975570847215641</v>
      </c>
      <c r="H14" s="674">
        <f t="shared" si="0"/>
        <v>-0.20931924325671841</v>
      </c>
    </row>
    <row r="15" spans="2:8" ht="21.6" customHeight="1">
      <c r="B15" s="12" t="s">
        <v>78</v>
      </c>
      <c r="C15" s="532">
        <f>+BRR!J15*0.34/1000000</f>
        <v>21.154363977640454</v>
      </c>
      <c r="D15" s="532">
        <f>+BRR!K15*0.34/1000000</f>
        <v>21.332060878440505</v>
      </c>
      <c r="E15" s="532">
        <f>+BRR!L15*0.34/1000000</f>
        <v>23.100375030138032</v>
      </c>
      <c r="F15" s="532">
        <f>+BRR!M15*0.34/1000000</f>
        <v>27.051664872859636</v>
      </c>
      <c r="G15" s="532">
        <f>+BRR!N15*0.34/1000000*Inputs!$C$11</f>
        <v>16.442706144413705</v>
      </c>
      <c r="H15" s="674">
        <f t="shared" si="0"/>
        <v>85.646962126813463</v>
      </c>
    </row>
    <row r="16" spans="2:8" ht="21.6" customHeight="1">
      <c r="B16" s="12" t="s">
        <v>79</v>
      </c>
      <c r="C16" s="532">
        <f>+'Juros CP'!C6*0.34/1000</f>
        <v>9.5781835959338117</v>
      </c>
      <c r="D16" s="532">
        <f>+'Juros CP'!D6*0.34/1000</f>
        <v>9.0955599203899329</v>
      </c>
      <c r="E16" s="532">
        <f>+'Juros CP'!E6*0.34/1000</f>
        <v>10.504614343642382</v>
      </c>
      <c r="F16" s="532">
        <f>+'Juros CP'!F6*0.34/1000</f>
        <v>12.787846651491146</v>
      </c>
      <c r="G16" s="532">
        <f>+('Juros CP'!G6*0.34/1000)*Inputs!$C$11</f>
        <v>6.8020489396034023</v>
      </c>
      <c r="H16" s="674">
        <f t="shared" si="0"/>
        <v>38.286885109305125</v>
      </c>
    </row>
    <row r="17" spans="2:9" ht="21.6" customHeight="1">
      <c r="B17" s="12" t="s">
        <v>80</v>
      </c>
      <c r="C17" s="532">
        <f>+Investimentos!D6/1000</f>
        <v>21.799620642225452</v>
      </c>
      <c r="D17" s="532">
        <f>+Investimentos!E6/1000</f>
        <v>9.3598690657989572</v>
      </c>
      <c r="E17" s="532">
        <f>+Investimentos!F6/1000</f>
        <v>280.6576179639016</v>
      </c>
      <c r="F17" s="532">
        <f>+Investimentos!G6/1000</f>
        <v>417.19014010525001</v>
      </c>
      <c r="G17" s="532">
        <f>+Investimentos!H6/1000*Inputs!$C$11</f>
        <v>43.500673404752433</v>
      </c>
      <c r="H17" s="674">
        <f t="shared" si="0"/>
        <v>571.00700372538392</v>
      </c>
    </row>
    <row r="18" spans="2:9" ht="21.6" customHeight="1">
      <c r="B18" s="12" t="s">
        <v>81</v>
      </c>
      <c r="C18" s="532"/>
      <c r="D18" s="532"/>
      <c r="E18" s="532">
        <v>0</v>
      </c>
      <c r="F18" s="532"/>
      <c r="G18" s="532"/>
      <c r="H18" s="674">
        <v>0</v>
      </c>
    </row>
    <row r="19" spans="2:9" ht="21.6" customHeight="1">
      <c r="B19" s="12" t="s">
        <v>82</v>
      </c>
      <c r="C19" s="532">
        <f>'IGPM Represado'!E21/10^6</f>
        <v>109.79990655391714</v>
      </c>
      <c r="D19" s="532"/>
      <c r="E19" s="532"/>
      <c r="F19" s="532"/>
      <c r="G19" s="532"/>
      <c r="H19" s="674">
        <v>0</v>
      </c>
    </row>
    <row r="20" spans="2:9" ht="21.6" customHeight="1">
      <c r="B20" s="12" t="s">
        <v>83</v>
      </c>
      <c r="C20" s="532"/>
      <c r="D20" s="532"/>
      <c r="E20" s="532">
        <v>0</v>
      </c>
      <c r="F20" s="532"/>
      <c r="G20" s="532"/>
      <c r="H20" s="674"/>
    </row>
    <row r="21" spans="2:9" ht="21.6" customHeight="1">
      <c r="B21" s="12" t="s">
        <v>84</v>
      </c>
      <c r="C21" s="532">
        <f>+BRR!I20/1000000+Inputs!C13/1000*(VLOOKUP(Inputs!C4,IGPM!$A$3:$B$1048576,2,0)/IGPM!B98)</f>
        <v>1105.2570138161418</v>
      </c>
      <c r="D21" s="532"/>
      <c r="E21" s="532"/>
      <c r="F21" s="532"/>
      <c r="G21" s="532"/>
      <c r="H21" s="674"/>
    </row>
    <row r="22" spans="2:9" ht="21.6" customHeight="1">
      <c r="B22" s="12" t="s">
        <v>85</v>
      </c>
      <c r="C22" s="533">
        <v>0</v>
      </c>
      <c r="D22" s="533">
        <v>0</v>
      </c>
      <c r="E22" s="533">
        <v>0</v>
      </c>
      <c r="F22" s="533">
        <v>0</v>
      </c>
      <c r="G22" s="534">
        <f>+AVERAGE(BRR!M20:N20)/1000000+Inputs!C13/1000*(VLOOKUP(Inputs!C4,IGPM!$A$3:$B$1048576,2,0)/IGPM!B98)</f>
        <v>1557.3852960802164</v>
      </c>
      <c r="H22" s="674">
        <f>+($G22/(1+$H$6)^4.55)</f>
        <v>1055.7384561649492</v>
      </c>
    </row>
    <row r="23" spans="2:9" ht="21" customHeight="1">
      <c r="B23" s="13" t="s">
        <v>86</v>
      </c>
      <c r="C23" s="424">
        <f>-'Subinvest 18-22'!H21</f>
        <v>10.648757218549859</v>
      </c>
      <c r="D23" s="425">
        <v>0</v>
      </c>
      <c r="E23" s="425">
        <v>0</v>
      </c>
      <c r="F23" s="425">
        <v>0</v>
      </c>
      <c r="G23" s="425">
        <v>0</v>
      </c>
      <c r="H23" s="441"/>
    </row>
    <row r="24" spans="2:9" ht="21.6" customHeight="1">
      <c r="B24" s="778" t="s">
        <v>87</v>
      </c>
      <c r="C24" s="779"/>
      <c r="D24" s="779"/>
      <c r="E24" s="779"/>
      <c r="F24" s="779"/>
      <c r="G24" s="779"/>
      <c r="H24" s="780"/>
    </row>
    <row r="25" spans="2:9" ht="21.6" customHeight="1">
      <c r="B25" s="9" t="s">
        <v>88</v>
      </c>
      <c r="C25" s="10">
        <f>ROUND(((C21+H13-H14-H15-H16+H17+C18+C19+C20-H22-C23)/H10),10)</f>
        <v>1.2292043966999999</v>
      </c>
      <c r="D25" s="440"/>
      <c r="E25"/>
      <c r="F25"/>
      <c r="G25"/>
      <c r="I25" s="1"/>
    </row>
    <row r="26" spans="2:9" ht="21.6" customHeight="1">
      <c r="B26"/>
      <c r="C26" s="11">
        <f>+C25-1</f>
        <v>0.22920439669999992</v>
      </c>
      <c r="D26" s="19"/>
      <c r="E26" s="20"/>
      <c r="F26" s="20"/>
      <c r="G26" s="20"/>
      <c r="I26" s="1"/>
    </row>
    <row r="27" spans="2:9">
      <c r="C27" s="20"/>
      <c r="D27" s="20"/>
      <c r="E27" s="20"/>
      <c r="F27" s="20"/>
      <c r="G27" s="20"/>
      <c r="I27" s="21"/>
    </row>
    <row r="28" spans="2:9">
      <c r="B28"/>
      <c r="C28"/>
      <c r="D28"/>
      <c r="E28"/>
      <c r="F28"/>
      <c r="G28"/>
      <c r="H28"/>
    </row>
    <row r="29" spans="2:9" ht="27">
      <c r="B29" s="728" t="s">
        <v>71</v>
      </c>
      <c r="C29" s="729">
        <v>2023</v>
      </c>
      <c r="D29" s="729">
        <v>2024</v>
      </c>
      <c r="E29" s="729">
        <v>2025</v>
      </c>
      <c r="F29" s="729">
        <v>2026</v>
      </c>
      <c r="G29" s="729">
        <v>2027</v>
      </c>
      <c r="H29" s="730" t="s">
        <v>89</v>
      </c>
    </row>
    <row r="30" spans="2:9">
      <c r="B30" s="731" t="s">
        <v>90</v>
      </c>
      <c r="C30" s="732">
        <f>C11*$C$25/0.66</f>
        <v>358.51664184688343</v>
      </c>
      <c r="D30" s="733">
        <f t="shared" ref="D30:G31" si="1">D11*$C$25/0.66</f>
        <v>355.67951912647044</v>
      </c>
      <c r="E30" s="733">
        <f t="shared" si="1"/>
        <v>325.37252283966774</v>
      </c>
      <c r="F30" s="733">
        <f t="shared" si="1"/>
        <v>318.1531945239455</v>
      </c>
      <c r="G30" s="733">
        <f t="shared" si="1"/>
        <v>171.94857055689516</v>
      </c>
      <c r="H30" s="734">
        <f>(NPV(H$6,C30:F30))+($G30/(1+$H$6)^4.55)</f>
        <v>1223.378642366958</v>
      </c>
    </row>
    <row r="31" spans="2:9">
      <c r="B31" s="737" t="s">
        <v>91</v>
      </c>
      <c r="C31" s="738">
        <f>C12*$C$25/0.66</f>
        <v>24.119298663614121</v>
      </c>
      <c r="D31" s="739">
        <f t="shared" si="1"/>
        <v>90.403571746430515</v>
      </c>
      <c r="E31" s="739">
        <f t="shared" si="1"/>
        <v>14.305357657930772</v>
      </c>
      <c r="F31" s="739">
        <f t="shared" si="1"/>
        <v>62.016227882501198</v>
      </c>
      <c r="G31" s="739">
        <f t="shared" si="1"/>
        <v>34.151402203788329</v>
      </c>
      <c r="H31" s="740">
        <f t="shared" ref="H31:H32" si="2">(NPV(H$6,C31:F31))+($G31/(1+$H$6)^4.55)</f>
        <v>176.6314882602089</v>
      </c>
    </row>
    <row r="32" spans="2:9">
      <c r="B32" s="741" t="s">
        <v>92</v>
      </c>
      <c r="C32" s="742">
        <f>C30+C31</f>
        <v>382.63594051049756</v>
      </c>
      <c r="D32" s="743">
        <f t="shared" ref="D32:G32" si="3">D30+D31</f>
        <v>446.08309087290093</v>
      </c>
      <c r="E32" s="743">
        <f t="shared" si="3"/>
        <v>339.67788049759849</v>
      </c>
      <c r="F32" s="743">
        <f t="shared" si="3"/>
        <v>380.1694224064467</v>
      </c>
      <c r="G32" s="743">
        <f t="shared" si="3"/>
        <v>206.0999727606835</v>
      </c>
      <c r="H32" s="744">
        <f t="shared" si="2"/>
        <v>1400.010130627167</v>
      </c>
    </row>
    <row r="33" spans="1:18">
      <c r="B33"/>
      <c r="C33"/>
      <c r="D33"/>
      <c r="E33"/>
      <c r="F33"/>
      <c r="G33"/>
      <c r="H33"/>
    </row>
    <row r="34" spans="1:18" ht="15" thickBot="1">
      <c r="A34" s="746"/>
      <c r="B34" s="747" t="s">
        <v>93</v>
      </c>
      <c r="C34" s="747"/>
      <c r="D34" s="747"/>
      <c r="E34" s="747"/>
      <c r="F34" s="747"/>
      <c r="G34" s="747"/>
      <c r="H34" s="747"/>
    </row>
    <row r="35" spans="1:18" ht="22.5" customHeight="1" thickBot="1">
      <c r="B35" s="770" t="s">
        <v>64</v>
      </c>
      <c r="C35" s="771"/>
      <c r="D35" s="771"/>
      <c r="E35" s="771"/>
      <c r="F35" s="771"/>
      <c r="G35" s="771"/>
      <c r="H35" s="772"/>
    </row>
    <row r="37" spans="1:18">
      <c r="B37"/>
      <c r="C37" s="17"/>
      <c r="D37"/>
      <c r="E37" s="773" t="s">
        <v>65</v>
      </c>
      <c r="F37" s="774"/>
      <c r="G37" s="774"/>
      <c r="H37" s="18">
        <v>1</v>
      </c>
    </row>
    <row r="38" spans="1:18">
      <c r="B38" s="2" t="s">
        <v>66</v>
      </c>
      <c r="C38" s="775" t="s">
        <v>67</v>
      </c>
      <c r="D38" s="775"/>
      <c r="E38" s="775"/>
      <c r="F38" s="775"/>
      <c r="G38" s="775"/>
      <c r="H38" s="14">
        <f>[39]Inputs!C6</f>
        <v>8.9200000000000002E-2</v>
      </c>
    </row>
    <row r="39" spans="1:18">
      <c r="B39" s="3" t="s">
        <v>68</v>
      </c>
      <c r="C39" s="776" t="s">
        <v>69</v>
      </c>
      <c r="D39" s="776"/>
      <c r="E39" s="776"/>
      <c r="F39" s="776"/>
      <c r="G39" s="777"/>
      <c r="H39" s="4" t="s">
        <v>70</v>
      </c>
    </row>
    <row r="40" spans="1:18">
      <c r="B40" s="5" t="s">
        <v>71</v>
      </c>
      <c r="C40" s="6">
        <v>2023</v>
      </c>
      <c r="D40" s="6">
        <v>2024</v>
      </c>
      <c r="E40" s="6">
        <v>2025</v>
      </c>
      <c r="F40" s="6">
        <v>2026</v>
      </c>
      <c r="G40" s="6">
        <v>2027</v>
      </c>
      <c r="H40" s="7" t="s">
        <v>72</v>
      </c>
    </row>
    <row r="41" spans="1:18">
      <c r="B41" s="22"/>
      <c r="C41" s="23"/>
      <c r="D41" s="23"/>
      <c r="E41" s="23"/>
      <c r="F41" s="23"/>
      <c r="G41" s="23"/>
      <c r="H41" s="748"/>
    </row>
    <row r="42" spans="1:18" ht="15.95">
      <c r="B42" s="12" t="s">
        <v>74</v>
      </c>
      <c r="C42" s="749">
        <f>C11</f>
        <v>192.49929812665067</v>
      </c>
      <c r="D42" s="749">
        <f t="shared" ref="D42:G42" si="4">D11</f>
        <v>190.9759542462516</v>
      </c>
      <c r="E42" s="749">
        <f t="shared" si="4"/>
        <v>174.7031377781442</v>
      </c>
      <c r="F42" s="749">
        <f t="shared" si="4"/>
        <v>170.8268445423175</v>
      </c>
      <c r="G42" s="749">
        <f t="shared" si="4"/>
        <v>92.324805274226719</v>
      </c>
      <c r="H42" s="750">
        <f t="shared" ref="H42:H48" si="5">(NPV(H$6,C42:F42))+($G42/(1+$H$6)^4.55)</f>
        <v>656.87196216501502</v>
      </c>
    </row>
    <row r="43" spans="1:18" ht="15.95">
      <c r="B43" s="12" t="s">
        <v>75</v>
      </c>
      <c r="C43" s="751">
        <f>('Vendas ajustada'!O169+'Vendas ajustada'!O172)*0.66/1000</f>
        <v>15.735893423723848</v>
      </c>
      <c r="D43" s="751">
        <f>('Vendas ajustada'!P169+'Vendas ajustada'!P172)*0.66/1000</f>
        <v>58.984567427044105</v>
      </c>
      <c r="E43" s="751">
        <f>('Vendas ajustada'!Q169+'Vendas ajustada'!Q172)*0.66/1000</f>
        <v>9.4415360542343088</v>
      </c>
      <c r="F43" s="751">
        <f>('Vendas ajustada'!R169+'Vendas ajustada'!R172)*0.66/1000</f>
        <v>40.930710402450792</v>
      </c>
      <c r="G43" s="751">
        <f>('Vendas ajustada'!S169+'Vendas ajustada'!S172)*0.66/1000*Inputs!$C$11</f>
        <v>22.539925454500299</v>
      </c>
      <c r="H43" s="750">
        <f t="shared" si="5"/>
        <v>115.83422032079135</v>
      </c>
      <c r="J43" s="767" t="s">
        <v>94</v>
      </c>
      <c r="K43" s="768">
        <v>1</v>
      </c>
      <c r="M43" s="1"/>
      <c r="N43" s="1"/>
      <c r="O43" s="1"/>
      <c r="P43" s="1"/>
      <c r="Q43" s="1"/>
      <c r="R43" s="1"/>
    </row>
    <row r="44" spans="1:18" ht="15.95">
      <c r="B44" s="12" t="s">
        <v>76</v>
      </c>
      <c r="C44" s="749">
        <f>C13</f>
        <v>50.635733696927389</v>
      </c>
      <c r="D44" s="749">
        <f t="shared" ref="D44:G44" si="6">D13</f>
        <v>70.670612248953191</v>
      </c>
      <c r="E44" s="749">
        <f t="shared" si="6"/>
        <v>114.02991107463875</v>
      </c>
      <c r="F44" s="749">
        <f t="shared" si="6"/>
        <v>122.51042708330054</v>
      </c>
      <c r="G44" s="749">
        <f t="shared" si="6"/>
        <v>68.897766518195311</v>
      </c>
      <c r="H44" s="750">
        <f t="shared" si="5"/>
        <v>328.05450347889825</v>
      </c>
      <c r="M44" s="1"/>
      <c r="N44" s="1"/>
      <c r="O44" s="1"/>
      <c r="P44" s="1"/>
      <c r="Q44" s="1"/>
      <c r="R44" s="1"/>
    </row>
    <row r="45" spans="1:18" ht="15.95">
      <c r="B45" s="12" t="s">
        <v>77</v>
      </c>
      <c r="C45" s="749">
        <f t="shared" ref="C45:G54" si="7">C14</f>
        <v>2.9356060027269115</v>
      </c>
      <c r="D45" s="749">
        <f t="shared" si="7"/>
        <v>-6.6416756328409668E-2</v>
      </c>
      <c r="E45" s="749">
        <f t="shared" si="7"/>
        <v>-1.538195706651166</v>
      </c>
      <c r="F45" s="749">
        <f t="shared" si="7"/>
        <v>-1.5325331170114964</v>
      </c>
      <c r="G45" s="749">
        <f t="shared" si="7"/>
        <v>-0.83975570847215641</v>
      </c>
      <c r="H45" s="750">
        <f t="shared" si="5"/>
        <v>-0.20931924325671841</v>
      </c>
      <c r="M45" s="1"/>
      <c r="N45" s="1"/>
      <c r="O45" s="1"/>
      <c r="P45" s="1"/>
      <c r="Q45" s="1"/>
      <c r="R45" s="1"/>
    </row>
    <row r="46" spans="1:18" ht="15.95">
      <c r="B46" s="12" t="s">
        <v>78</v>
      </c>
      <c r="C46" s="749">
        <f t="shared" si="7"/>
        <v>21.154363977640454</v>
      </c>
      <c r="D46" s="749">
        <f t="shared" si="7"/>
        <v>21.332060878440505</v>
      </c>
      <c r="E46" s="749">
        <f t="shared" si="7"/>
        <v>23.100375030138032</v>
      </c>
      <c r="F46" s="749">
        <f t="shared" si="7"/>
        <v>27.051664872859636</v>
      </c>
      <c r="G46" s="749">
        <f t="shared" si="7"/>
        <v>16.442706144413705</v>
      </c>
      <c r="H46" s="750">
        <f t="shared" si="5"/>
        <v>85.646962126813463</v>
      </c>
      <c r="M46" s="1"/>
      <c r="N46" s="1"/>
      <c r="O46" s="1"/>
      <c r="P46" s="1"/>
      <c r="Q46" s="1"/>
      <c r="R46" s="1"/>
    </row>
    <row r="47" spans="1:18" ht="15.95">
      <c r="B47" s="12" t="s">
        <v>79</v>
      </c>
      <c r="C47" s="749">
        <f t="shared" si="7"/>
        <v>9.5781835959338117</v>
      </c>
      <c r="D47" s="749">
        <f t="shared" si="7"/>
        <v>9.0955599203899329</v>
      </c>
      <c r="E47" s="749">
        <f t="shared" si="7"/>
        <v>10.504614343642382</v>
      </c>
      <c r="F47" s="749">
        <f t="shared" si="7"/>
        <v>12.787846651491146</v>
      </c>
      <c r="G47" s="749">
        <f t="shared" si="7"/>
        <v>6.8020489396034023</v>
      </c>
      <c r="H47" s="750">
        <f t="shared" si="5"/>
        <v>38.286885109305125</v>
      </c>
      <c r="M47" s="1"/>
      <c r="N47" s="1"/>
      <c r="O47" s="1"/>
      <c r="P47" s="1"/>
      <c r="Q47" s="1"/>
      <c r="R47" s="1"/>
    </row>
    <row r="48" spans="1:18" ht="15.95">
      <c r="B48" s="12" t="s">
        <v>80</v>
      </c>
      <c r="C48" s="749">
        <f t="shared" si="7"/>
        <v>21.799620642225452</v>
      </c>
      <c r="D48" s="749">
        <f t="shared" si="7"/>
        <v>9.3598690657989572</v>
      </c>
      <c r="E48" s="749">
        <f t="shared" si="7"/>
        <v>280.6576179639016</v>
      </c>
      <c r="F48" s="749">
        <f t="shared" si="7"/>
        <v>417.19014010525001</v>
      </c>
      <c r="G48" s="749">
        <f t="shared" si="7"/>
        <v>43.500673404752433</v>
      </c>
      <c r="H48" s="750">
        <f t="shared" si="5"/>
        <v>571.00700372538392</v>
      </c>
      <c r="M48" s="1"/>
      <c r="N48" s="1"/>
      <c r="O48" s="1"/>
      <c r="P48" s="1"/>
      <c r="Q48" s="1"/>
      <c r="R48" s="1"/>
    </row>
    <row r="49" spans="2:18" ht="15.95">
      <c r="B49" s="12" t="s">
        <v>81</v>
      </c>
      <c r="C49" s="749">
        <f t="shared" si="7"/>
        <v>0</v>
      </c>
      <c r="D49" s="749">
        <f t="shared" si="7"/>
        <v>0</v>
      </c>
      <c r="E49" s="749">
        <f t="shared" si="7"/>
        <v>0</v>
      </c>
      <c r="F49" s="749">
        <f t="shared" si="7"/>
        <v>0</v>
      </c>
      <c r="G49" s="749">
        <f t="shared" si="7"/>
        <v>0</v>
      </c>
      <c r="H49" s="750">
        <v>0</v>
      </c>
      <c r="M49" s="1"/>
      <c r="N49" s="1"/>
      <c r="O49" s="1"/>
      <c r="P49" s="1"/>
      <c r="Q49" s="1"/>
      <c r="R49" s="1"/>
    </row>
    <row r="50" spans="2:18" ht="15.95">
      <c r="B50" s="12" t="s">
        <v>82</v>
      </c>
      <c r="C50" s="749">
        <f t="shared" si="7"/>
        <v>109.79990655391714</v>
      </c>
      <c r="D50" s="749">
        <f t="shared" si="7"/>
        <v>0</v>
      </c>
      <c r="E50" s="749">
        <f t="shared" si="7"/>
        <v>0</v>
      </c>
      <c r="F50" s="749">
        <f t="shared" si="7"/>
        <v>0</v>
      </c>
      <c r="G50" s="749">
        <f t="shared" si="7"/>
        <v>0</v>
      </c>
      <c r="H50" s="750">
        <v>0</v>
      </c>
      <c r="M50" s="1"/>
      <c r="N50" s="1"/>
      <c r="O50" s="1"/>
      <c r="P50" s="1"/>
      <c r="Q50" s="1"/>
      <c r="R50" s="1"/>
    </row>
    <row r="51" spans="2:18" ht="15.95">
      <c r="B51" s="12" t="s">
        <v>83</v>
      </c>
      <c r="C51" s="749">
        <f t="shared" si="7"/>
        <v>0</v>
      </c>
      <c r="D51" s="749">
        <f t="shared" si="7"/>
        <v>0</v>
      </c>
      <c r="E51" s="749">
        <f t="shared" si="7"/>
        <v>0</v>
      </c>
      <c r="F51" s="749">
        <f t="shared" si="7"/>
        <v>0</v>
      </c>
      <c r="G51" s="749">
        <f t="shared" si="7"/>
        <v>0</v>
      </c>
      <c r="H51" s="750"/>
      <c r="M51" s="1"/>
      <c r="N51" s="1"/>
      <c r="O51" s="1"/>
      <c r="P51" s="1"/>
      <c r="Q51" s="1"/>
      <c r="R51" s="1"/>
    </row>
    <row r="52" spans="2:18" ht="15.95">
      <c r="B52" s="12" t="s">
        <v>84</v>
      </c>
      <c r="C52" s="749">
        <f t="shared" si="7"/>
        <v>1105.2570138161418</v>
      </c>
      <c r="D52" s="749">
        <f t="shared" si="7"/>
        <v>0</v>
      </c>
      <c r="E52" s="749">
        <f t="shared" si="7"/>
        <v>0</v>
      </c>
      <c r="F52" s="749">
        <f t="shared" si="7"/>
        <v>0</v>
      </c>
      <c r="G52" s="749">
        <f t="shared" si="7"/>
        <v>0</v>
      </c>
      <c r="H52" s="750"/>
      <c r="M52" s="1"/>
      <c r="N52" s="1"/>
      <c r="O52" s="1"/>
      <c r="P52" s="1"/>
      <c r="Q52" s="1"/>
      <c r="R52" s="1"/>
    </row>
    <row r="53" spans="2:18" ht="15.95">
      <c r="B53" s="12" t="s">
        <v>85</v>
      </c>
      <c r="C53" s="749">
        <f t="shared" si="7"/>
        <v>0</v>
      </c>
      <c r="D53" s="749">
        <f t="shared" si="7"/>
        <v>0</v>
      </c>
      <c r="E53" s="749">
        <f t="shared" si="7"/>
        <v>0</v>
      </c>
      <c r="F53" s="749">
        <f t="shared" si="7"/>
        <v>0</v>
      </c>
      <c r="G53" s="749">
        <f t="shared" si="7"/>
        <v>1557.3852960802164</v>
      </c>
      <c r="H53" s="750">
        <f>+($G53/(1+$H$6)^4.55)</f>
        <v>1055.7384561649492</v>
      </c>
      <c r="M53" s="1"/>
      <c r="N53" s="1"/>
      <c r="O53" s="1"/>
      <c r="P53" s="1"/>
      <c r="Q53" s="1"/>
      <c r="R53" s="1"/>
    </row>
    <row r="54" spans="2:18" ht="15.95">
      <c r="B54" s="13" t="s">
        <v>86</v>
      </c>
      <c r="C54" s="749">
        <f t="shared" si="7"/>
        <v>10.648757218549859</v>
      </c>
      <c r="D54" s="749">
        <f t="shared" si="7"/>
        <v>0</v>
      </c>
      <c r="E54" s="749">
        <f t="shared" si="7"/>
        <v>0</v>
      </c>
      <c r="F54" s="749">
        <f t="shared" si="7"/>
        <v>0</v>
      </c>
      <c r="G54" s="749">
        <f t="shared" si="7"/>
        <v>0</v>
      </c>
      <c r="H54" s="750">
        <f>(NPV(H$6,C54:G54))</f>
        <v>9.7766775785437563</v>
      </c>
      <c r="M54" s="1"/>
      <c r="N54" s="1"/>
      <c r="O54" s="1"/>
      <c r="P54" s="1"/>
      <c r="Q54" s="1"/>
      <c r="R54" s="1"/>
    </row>
    <row r="55" spans="2:18">
      <c r="B55" s="778" t="s">
        <v>87</v>
      </c>
      <c r="C55" s="779"/>
      <c r="D55" s="779"/>
      <c r="E55" s="779"/>
      <c r="F55" s="779"/>
      <c r="G55" s="779"/>
      <c r="H55" s="780"/>
    </row>
    <row r="56" spans="2:18">
      <c r="B56" s="9" t="s">
        <v>88</v>
      </c>
      <c r="C56" s="10">
        <f>ROUND(((C52-H43+H44-H45-H46-H47+H48+C49+C50+C51-H53-C54)/H42),10)</f>
        <v>1.2303348482000001</v>
      </c>
      <c r="D56"/>
      <c r="E56"/>
      <c r="F56"/>
      <c r="G56"/>
      <c r="H56" s="1"/>
    </row>
    <row r="57" spans="2:18">
      <c r="B57"/>
      <c r="C57" s="11">
        <f>+C56-1</f>
        <v>0.23033484820000005</v>
      </c>
      <c r="D57" s="19"/>
      <c r="E57" s="20"/>
      <c r="F57" s="20"/>
      <c r="G57" s="20"/>
      <c r="H57" s="1"/>
    </row>
    <row r="58" spans="2:18" ht="33" customHeight="1">
      <c r="C58" s="752"/>
    </row>
    <row r="60" spans="2:18" ht="27">
      <c r="B60" s="728" t="s">
        <v>71</v>
      </c>
      <c r="C60" s="729">
        <v>2023</v>
      </c>
      <c r="D60" s="729">
        <v>2024</v>
      </c>
      <c r="E60" s="729">
        <v>2025</v>
      </c>
      <c r="F60" s="729">
        <v>2026</v>
      </c>
      <c r="G60" s="729">
        <v>2027</v>
      </c>
      <c r="H60" s="730" t="s">
        <v>89</v>
      </c>
      <c r="J60" s="730" t="s">
        <v>95</v>
      </c>
      <c r="K60" s="730" t="s">
        <v>96</v>
      </c>
    </row>
    <row r="61" spans="2:18" ht="15.95">
      <c r="B61" s="731" t="s">
        <v>90</v>
      </c>
      <c r="C61" s="733">
        <f>C42*$C$56/0.66</f>
        <v>358.84635566554442</v>
      </c>
      <c r="D61" s="733">
        <f t="shared" ref="D61:G61" si="8">D42*$C$56/0.66</f>
        <v>356.00662375365471</v>
      </c>
      <c r="E61" s="733">
        <f t="shared" si="8"/>
        <v>325.67175530051014</v>
      </c>
      <c r="F61" s="733">
        <f t="shared" si="8"/>
        <v>318.44578764917753</v>
      </c>
      <c r="G61" s="733">
        <f t="shared" si="8"/>
        <v>172.10670497297014</v>
      </c>
      <c r="H61" s="753">
        <f>(NPV(H$6,C61:F61))+($G61/(1+$H$6)^4.55)</f>
        <v>1224.5037361471666</v>
      </c>
      <c r="J61" s="735">
        <f>'Vendas ajustada'!C186/1000</f>
        <v>1224.5037361471666</v>
      </c>
      <c r="K61" s="736">
        <f>H61-J61</f>
        <v>0</v>
      </c>
    </row>
    <row r="62" spans="2:18" ht="15.95">
      <c r="B62" s="737" t="s">
        <v>91</v>
      </c>
      <c r="C62" s="754">
        <f>C43/0.66</f>
        <v>23.842262763217949</v>
      </c>
      <c r="D62" s="754">
        <f t="shared" ref="D62:G62" si="9">D43/0.66</f>
        <v>89.370556707642578</v>
      </c>
      <c r="E62" s="754">
        <f t="shared" si="9"/>
        <v>14.30535765793077</v>
      </c>
      <c r="F62" s="754">
        <f t="shared" si="9"/>
        <v>62.016227882501198</v>
      </c>
      <c r="G62" s="754">
        <f t="shared" si="9"/>
        <v>34.151402203788329</v>
      </c>
      <c r="H62" s="750">
        <f>(NPV(H$6,C62:F62))+($G62/(1+$H$6)^4.55)</f>
        <v>175.50639442544141</v>
      </c>
      <c r="J62" s="735">
        <f>'Vendas ajustada'!C187/1000</f>
        <v>175.50639442544144</v>
      </c>
      <c r="K62" s="736">
        <f t="shared" ref="K62:K63" si="10">H62-J62</f>
        <v>0</v>
      </c>
    </row>
    <row r="63" spans="2:18" ht="15.95">
      <c r="B63" s="741" t="s">
        <v>92</v>
      </c>
      <c r="C63" s="755">
        <f>C61+C62</f>
        <v>382.68861842876237</v>
      </c>
      <c r="D63" s="755">
        <f t="shared" ref="D63:G63" si="11">D61+D62</f>
        <v>445.37718046129726</v>
      </c>
      <c r="E63" s="755">
        <f t="shared" si="11"/>
        <v>339.9771129584409</v>
      </c>
      <c r="F63" s="755">
        <f t="shared" si="11"/>
        <v>380.46201553167873</v>
      </c>
      <c r="G63" s="755">
        <f t="shared" si="11"/>
        <v>206.25810717675847</v>
      </c>
      <c r="H63" s="756">
        <f>(NPV(H$6,C63:F63))+($G63/(1+$H$6)^4.55)</f>
        <v>1400.010130572608</v>
      </c>
      <c r="J63" s="735">
        <f>'Vendas ajustada'!C188/1000</f>
        <v>1400.0101305726082</v>
      </c>
      <c r="K63" s="736">
        <f t="shared" si="10"/>
        <v>0</v>
      </c>
    </row>
    <row r="64" spans="2:18">
      <c r="H64" s="757"/>
      <c r="J64" s="735"/>
    </row>
    <row r="65" spans="1:8">
      <c r="A65" s="8"/>
    </row>
    <row r="66" spans="1:8">
      <c r="A66" s="8"/>
    </row>
    <row r="67" spans="1:8">
      <c r="B67"/>
      <c r="C67"/>
      <c r="D67"/>
      <c r="E67"/>
      <c r="F67"/>
      <c r="G67"/>
      <c r="H67"/>
    </row>
    <row r="68" spans="1:8">
      <c r="B68"/>
      <c r="C68"/>
      <c r="D68"/>
      <c r="E68"/>
      <c r="F68"/>
      <c r="G68"/>
      <c r="H68"/>
    </row>
  </sheetData>
  <mergeCells count="10">
    <mergeCell ref="B24:H24"/>
    <mergeCell ref="C7:G7"/>
    <mergeCell ref="B2:H2"/>
    <mergeCell ref="C6:G6"/>
    <mergeCell ref="E5:G5"/>
    <mergeCell ref="B35:H35"/>
    <mergeCell ref="E37:G37"/>
    <mergeCell ref="C38:G38"/>
    <mergeCell ref="C39:G39"/>
    <mergeCell ref="B55:H55"/>
  </mergeCells>
  <phoneticPr fontId="17" type="noConversion"/>
  <conditionalFormatting sqref="C10:G21 C23">
    <cfRule type="cellIs" dxfId="8" priority="72" operator="equal">
      <formula>0</formula>
    </cfRule>
  </conditionalFormatting>
  <conditionalFormatting sqref="C42:H54">
    <cfRule type="cellIs" dxfId="7" priority="2" operator="equal">
      <formula>0</formula>
    </cfRule>
  </conditionalFormatting>
  <conditionalFormatting sqref="G22">
    <cfRule type="cellIs" dxfId="6" priority="70" operator="equal">
      <formula>0</formula>
    </cfRule>
  </conditionalFormatting>
  <conditionalFormatting sqref="H10:H23">
    <cfRule type="cellIs" dxfId="5" priority="65" operator="equal">
      <formula>0</formula>
    </cfRule>
  </conditionalFormatting>
  <conditionalFormatting sqref="H61:H63">
    <cfRule type="cellIs" dxfId="4" priority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A2366-E85D-4AA2-BF45-90AD19E51987}">
  <sheetPr codeName="Planilha17"/>
  <dimension ref="B2:V339"/>
  <sheetViews>
    <sheetView showGridLines="0" topLeftCell="A310" zoomScale="115" zoomScaleNormal="115" workbookViewId="0">
      <selection activeCell="H310" sqref="H310:I310"/>
    </sheetView>
  </sheetViews>
  <sheetFormatPr defaultColWidth="9.140625" defaultRowHeight="14.1"/>
  <cols>
    <col min="1" max="1" width="9.140625" style="364"/>
    <col min="2" max="2" width="63.85546875" style="364" customWidth="1"/>
    <col min="3" max="3" width="9.5703125" style="364" customWidth="1"/>
    <col min="4" max="4" width="9.42578125" style="364" customWidth="1"/>
    <col min="5" max="7" width="9.5703125" style="364" customWidth="1"/>
    <col min="8" max="8" width="13.7109375" style="364" customWidth="1"/>
    <col min="9" max="9" width="14" style="364" customWidth="1"/>
    <col min="10" max="10" width="28.42578125" style="364" customWidth="1"/>
    <col min="11" max="11" width="15.42578125" style="364" customWidth="1"/>
    <col min="12" max="12" width="9.5703125" style="364" bestFit="1" customWidth="1"/>
    <col min="13" max="16384" width="9.140625" style="364"/>
  </cols>
  <sheetData>
    <row r="2" spans="2:12" ht="14.45" thickBot="1">
      <c r="B2" s="322" t="s">
        <v>97</v>
      </c>
    </row>
    <row r="3" spans="2:12" ht="14.45" thickBot="1">
      <c r="B3" s="314" t="s">
        <v>98</v>
      </c>
      <c r="C3" s="781" t="s">
        <v>99</v>
      </c>
      <c r="D3" s="782"/>
      <c r="E3" s="782"/>
      <c r="F3" s="782"/>
      <c r="G3" s="801"/>
    </row>
    <row r="4" spans="2:12" ht="14.45" thickBot="1">
      <c r="B4" s="316" t="s">
        <v>14</v>
      </c>
      <c r="C4" s="597">
        <v>2023</v>
      </c>
      <c r="D4" s="598">
        <v>2024</v>
      </c>
      <c r="E4" s="598">
        <v>2025</v>
      </c>
      <c r="F4" s="427">
        <v>2026</v>
      </c>
      <c r="G4" s="428" t="s">
        <v>100</v>
      </c>
    </row>
    <row r="5" spans="2:12">
      <c r="B5" s="527" t="s">
        <v>101</v>
      </c>
      <c r="C5" s="627">
        <f>(Demanda!J263+Demanda!J264)/1000000</f>
        <v>6.625</v>
      </c>
      <c r="D5" s="628">
        <f>(Demanda!K263+Demanda!K264)/1000000</f>
        <v>6.5799724400000015</v>
      </c>
      <c r="E5" s="628">
        <f>(Demanda!L263+Demanda!L264)/1000000</f>
        <v>6.5829725917207229</v>
      </c>
      <c r="F5" s="628">
        <f>(Demanda!M263+Demanda!M264)/1000000</f>
        <v>6.598367012877854</v>
      </c>
      <c r="G5" s="629">
        <f>(Demanda!N263+Demanda!N264)/1000000*Inputs!C11</f>
        <v>3.6403096057494628</v>
      </c>
    </row>
    <row r="6" spans="2:12">
      <c r="B6" s="318" t="s">
        <v>102</v>
      </c>
      <c r="C6" s="630">
        <f>Demanda!J265/1000000</f>
        <v>4.71746</v>
      </c>
      <c r="D6" s="631">
        <f>Demanda!K265/1000000</f>
        <v>4.7481808100000009</v>
      </c>
      <c r="E6" s="631">
        <f>Demanda!L265/1000000</f>
        <v>4.6409016857241419</v>
      </c>
      <c r="F6" s="631">
        <f>Demanda!M265/1000000</f>
        <v>4.5549524253555598</v>
      </c>
      <c r="G6" s="632">
        <f>Demanda!N265/1000000*Inputs!C11</f>
        <v>2.5039180254451758</v>
      </c>
      <c r="I6" s="686"/>
      <c r="J6" s="686"/>
      <c r="K6" s="686"/>
      <c r="L6" s="686"/>
    </row>
    <row r="7" spans="2:12">
      <c r="B7" s="318" t="s">
        <v>103</v>
      </c>
      <c r="C7" s="630">
        <f>Demanda!J266/1000000</f>
        <v>0.158335</v>
      </c>
      <c r="D7" s="631">
        <f>Demanda!K266/1000000</f>
        <v>0.17855099999999999</v>
      </c>
      <c r="E7" s="631">
        <f>Demanda!L266/1000000</f>
        <v>0.16702649240901113</v>
      </c>
      <c r="F7" s="631">
        <f>Demanda!M266/1000000</f>
        <v>0.16393317036586744</v>
      </c>
      <c r="G7" s="632">
        <f>Demanda!N266/1000000*Inputs!C11</f>
        <v>9.0116247529287555E-2</v>
      </c>
    </row>
    <row r="8" spans="2:12">
      <c r="B8" s="318" t="s">
        <v>104</v>
      </c>
      <c r="C8" s="630">
        <f>Demanda!J268/1000000</f>
        <v>0.25620199999999999</v>
      </c>
      <c r="D8" s="631">
        <f>Demanda!K268/1000000</f>
        <v>0.224687</v>
      </c>
      <c r="E8" s="631">
        <f>Demanda!L268/1000000</f>
        <v>0.21018466152473794</v>
      </c>
      <c r="F8" s="631">
        <f>Demanda!M268/1000000</f>
        <v>0.20629205241077148</v>
      </c>
      <c r="G8" s="632">
        <f>Demanda!N268/1000000*Inputs!C11</f>
        <v>0.11340148925860417</v>
      </c>
    </row>
    <row r="9" spans="2:12">
      <c r="B9" s="318" t="s">
        <v>105</v>
      </c>
      <c r="C9" s="630">
        <f>Demanda!J267/1000000</f>
        <v>3.0000000000000001E-6</v>
      </c>
      <c r="D9" s="631">
        <f>Demanda!K267/1000000</f>
        <v>0</v>
      </c>
      <c r="E9" s="631">
        <f>Demanda!L267/1000000</f>
        <v>0</v>
      </c>
      <c r="F9" s="631">
        <f>Demanda!M267/1000000</f>
        <v>0</v>
      </c>
      <c r="G9" s="632">
        <f>Demanda!N267/1000000*Inputs!C11</f>
        <v>0</v>
      </c>
    </row>
    <row r="10" spans="2:12">
      <c r="B10" s="318" t="s">
        <v>19</v>
      </c>
      <c r="C10" s="630">
        <f>Demanda!J269/1000000</f>
        <v>195.916</v>
      </c>
      <c r="D10" s="631">
        <f>Demanda!K269/1000000</f>
        <v>170.69513268</v>
      </c>
      <c r="E10" s="631">
        <f>Demanda!L269/1000000</f>
        <v>150.2117167584</v>
      </c>
      <c r="F10" s="631">
        <f>Demanda!M269/1000000</f>
        <v>139.696896585312</v>
      </c>
      <c r="G10" s="632">
        <f>Demanda!N269/1000000*Inputs!C11</f>
        <v>74.621106649967885</v>
      </c>
    </row>
    <row r="11" spans="2:12">
      <c r="B11" s="318" t="s">
        <v>18</v>
      </c>
      <c r="C11" s="630">
        <f>Demanda!J271/1000000</f>
        <v>589.98338899999999</v>
      </c>
      <c r="D11" s="631">
        <f>Demanda!K271/1000000</f>
        <v>356.38757644000003</v>
      </c>
      <c r="E11" s="631">
        <f>Demanda!L271/1000000</f>
        <v>168.37021393830312</v>
      </c>
      <c r="F11" s="631">
        <f>Demanda!M271/1000000</f>
        <v>164.04485933953706</v>
      </c>
      <c r="G11" s="632">
        <f>Demanda!N271/1000000*Inputs!C11</f>
        <v>88.002762680498634</v>
      </c>
    </row>
    <row r="12" spans="2:12">
      <c r="B12" s="318" t="s">
        <v>106</v>
      </c>
      <c r="C12" s="630">
        <f>Demanda!J272/1000000</f>
        <v>32.976315999999997</v>
      </c>
      <c r="D12" s="631">
        <f>Demanda!K272/1000000</f>
        <v>35.908755999999997</v>
      </c>
      <c r="E12" s="631">
        <f>Demanda!L272/1000000</f>
        <v>35.908755999999997</v>
      </c>
      <c r="F12" s="631">
        <f>Demanda!M272/1000000</f>
        <v>35.908755999999997</v>
      </c>
      <c r="G12" s="632">
        <f>Demanda!N272/1000000*Inputs!C11</f>
        <v>19.774410838356161</v>
      </c>
    </row>
    <row r="13" spans="2:12">
      <c r="B13" s="318" t="s">
        <v>107</v>
      </c>
      <c r="C13" s="630">
        <f>Demanda!J273/1000000</f>
        <v>10.806295</v>
      </c>
      <c r="D13" s="631">
        <f>Demanda!K273/1000000</f>
        <v>11.988759999999999</v>
      </c>
      <c r="E13" s="631">
        <f>Demanda!L273/1000000</f>
        <v>11.988759999999999</v>
      </c>
      <c r="F13" s="631">
        <f>Demanda!M273/1000000</f>
        <v>11.988759999999999</v>
      </c>
      <c r="G13" s="632">
        <f>Demanda!N273/1000000*Inputs!C11</f>
        <v>6.602029479452054</v>
      </c>
    </row>
    <row r="14" spans="2:12">
      <c r="B14" s="318" t="s">
        <v>108</v>
      </c>
      <c r="C14" s="630">
        <f>Demanda!J275/1000000</f>
        <v>0</v>
      </c>
      <c r="D14" s="631">
        <f>Demanda!K275/1000000</f>
        <v>0</v>
      </c>
      <c r="E14" s="631">
        <f>Demanda!L275/1000000</f>
        <v>0</v>
      </c>
      <c r="F14" s="631">
        <f>Demanda!M275/1000000</f>
        <v>0</v>
      </c>
      <c r="G14" s="632">
        <f>Demanda!N275/1000000*Inputs!C11</f>
        <v>0</v>
      </c>
    </row>
    <row r="15" spans="2:12">
      <c r="B15" s="318" t="s">
        <v>109</v>
      </c>
      <c r="C15" s="630">
        <f>Demanda!J276/1000000</f>
        <v>0</v>
      </c>
      <c r="D15" s="631">
        <f>Demanda!K276/1000000</f>
        <v>0</v>
      </c>
      <c r="E15" s="631">
        <f>Demanda!L276/1000000</f>
        <v>0</v>
      </c>
      <c r="F15" s="631">
        <f>Demanda!M276/1000000</f>
        <v>0</v>
      </c>
      <c r="G15" s="632">
        <f>Demanda!N276/1000000*Inputs!C11</f>
        <v>0</v>
      </c>
    </row>
    <row r="16" spans="2:12">
      <c r="B16" s="318" t="s">
        <v>110</v>
      </c>
      <c r="C16" s="630">
        <f>Demanda!J276/1000000</f>
        <v>0</v>
      </c>
      <c r="D16" s="631">
        <f>Demanda!K276/1000000</f>
        <v>0</v>
      </c>
      <c r="E16" s="631">
        <f>Demanda!L276/1000000</f>
        <v>0</v>
      </c>
      <c r="F16" s="631">
        <f>Demanda!M276/1000000</f>
        <v>0</v>
      </c>
      <c r="G16" s="632">
        <f>Demanda!N276/1000000*Inputs!C11</f>
        <v>0</v>
      </c>
    </row>
    <row r="17" spans="2:8">
      <c r="B17" s="318" t="s">
        <v>111</v>
      </c>
      <c r="C17" s="630">
        <f>Demanda!J277/1000000</f>
        <v>94.716909000000001</v>
      </c>
      <c r="D17" s="631">
        <f>Demanda!K277/1000000</f>
        <v>353.18163199999998</v>
      </c>
      <c r="E17" s="631">
        <f>Demanda!L277/1000000</f>
        <v>0</v>
      </c>
      <c r="F17" s="631">
        <f>Demanda!M277/1000000</f>
        <v>0</v>
      </c>
      <c r="G17" s="632">
        <f>Demanda!N277/1000000*Inputs!C11</f>
        <v>0</v>
      </c>
    </row>
    <row r="18" spans="2:8">
      <c r="B18" s="318" t="s">
        <v>112</v>
      </c>
      <c r="C18" s="630">
        <f>Demanda!J280/1000000</f>
        <v>60.162090999999997</v>
      </c>
      <c r="D18" s="631">
        <f>Demanda!K280/1000000</f>
        <v>227.36823400000011</v>
      </c>
      <c r="E18" s="631">
        <f>Demanda!L280/1000000</f>
        <v>92.927400000000006</v>
      </c>
      <c r="F18" s="631">
        <f>Demanda!M280/1000000</f>
        <v>402.85653478460074</v>
      </c>
      <c r="G18" s="632">
        <f>Demanda!N280/1000000*Inputs!C11</f>
        <v>221.84702326494451</v>
      </c>
    </row>
    <row r="19" spans="2:8">
      <c r="B19" s="318" t="s">
        <v>113</v>
      </c>
      <c r="C19" s="630">
        <f>Demanda!J281/1000000</f>
        <v>0</v>
      </c>
      <c r="D19" s="631">
        <f>Demanda!K281/1000000</f>
        <v>236.550927</v>
      </c>
      <c r="E19" s="631">
        <f>Demanda!L281/1000000</f>
        <v>341.25960697449705</v>
      </c>
      <c r="F19" s="631">
        <f>Demanda!M281/1000000</f>
        <v>334.43441483500703</v>
      </c>
      <c r="G19" s="632">
        <f>Demanda!N281/1000000*Inputs!C11</f>
        <v>180.48463297041005</v>
      </c>
    </row>
    <row r="20" spans="2:8" ht="14.45" thickBot="1">
      <c r="B20" s="320" t="s">
        <v>114</v>
      </c>
      <c r="C20" s="536">
        <f>SUM(C5:C18)</f>
        <v>996.31799999999998</v>
      </c>
      <c r="D20" s="537">
        <f>SUM(D5:D19)</f>
        <v>1403.8124093700001</v>
      </c>
      <c r="E20" s="537">
        <f t="shared" ref="E20:G20" si="0">SUM(E5:E19)</f>
        <v>812.26753910257878</v>
      </c>
      <c r="F20" s="537">
        <f t="shared" si="0"/>
        <v>1100.4537662054668</v>
      </c>
      <c r="G20" s="538">
        <f t="shared" si="0"/>
        <v>597.67971125161182</v>
      </c>
    </row>
    <row r="21" spans="2:8">
      <c r="B21" s="539" t="s">
        <v>115</v>
      </c>
      <c r="C21" s="722"/>
      <c r="D21" s="722"/>
      <c r="E21" s="722"/>
      <c r="F21" s="722"/>
      <c r="G21" s="722"/>
    </row>
    <row r="22" spans="2:8">
      <c r="B22" s="797" t="s">
        <v>116</v>
      </c>
      <c r="C22" s="797"/>
      <c r="D22" s="797"/>
      <c r="E22" s="797"/>
      <c r="F22" s="797"/>
      <c r="G22" s="797"/>
      <c r="H22" s="797"/>
    </row>
    <row r="23" spans="2:8">
      <c r="B23" s="797" t="s">
        <v>117</v>
      </c>
      <c r="C23" s="797"/>
      <c r="D23" s="797"/>
      <c r="E23" s="797"/>
      <c r="F23" s="797"/>
      <c r="G23" s="797"/>
      <c r="H23" s="797"/>
    </row>
    <row r="24" spans="2:8">
      <c r="B24" s="321"/>
      <c r="C24" s="524"/>
      <c r="D24" s="524"/>
      <c r="E24" s="524"/>
      <c r="F24" s="524"/>
      <c r="G24" s="524"/>
      <c r="H24" s="321"/>
    </row>
    <row r="26" spans="2:8" ht="14.45" thickBot="1">
      <c r="B26" s="322" t="s">
        <v>118</v>
      </c>
    </row>
    <row r="27" spans="2:8" ht="14.45" thickBot="1">
      <c r="B27" s="314" t="s">
        <v>98</v>
      </c>
      <c r="C27" s="781" t="s">
        <v>119</v>
      </c>
      <c r="D27" s="782"/>
      <c r="E27" s="782"/>
      <c r="F27" s="782"/>
      <c r="G27" s="783"/>
    </row>
    <row r="28" spans="2:8" ht="14.45" thickBot="1">
      <c r="B28" s="324" t="s">
        <v>120</v>
      </c>
      <c r="C28" s="599">
        <v>2023</v>
      </c>
      <c r="D28" s="600">
        <v>2024</v>
      </c>
      <c r="E28" s="600">
        <v>2025</v>
      </c>
      <c r="F28" s="317">
        <v>2026</v>
      </c>
      <c r="G28" s="428" t="s">
        <v>100</v>
      </c>
    </row>
    <row r="29" spans="2:8">
      <c r="B29" s="726" t="s">
        <v>121</v>
      </c>
      <c r="C29" s="671">
        <f>Resultados!C10/0.66</f>
        <v>311.28748118518479</v>
      </c>
      <c r="D29" s="672">
        <f>Resultados!D10/0.66</f>
        <v>362.90391742047444</v>
      </c>
      <c r="E29" s="672">
        <f>Resultados!E10/0.66</f>
        <v>276.33962375136252</v>
      </c>
      <c r="F29" s="672">
        <f>Resultados!F10/0.66</f>
        <v>309.28088398241465</v>
      </c>
      <c r="G29" s="673">
        <f>Resultados!G10/0.66</f>
        <v>167.66940739391475</v>
      </c>
    </row>
    <row r="30" spans="2:8">
      <c r="B30" s="539" t="s">
        <v>115</v>
      </c>
      <c r="C30" s="722"/>
      <c r="D30" s="722"/>
      <c r="E30" s="722"/>
      <c r="F30" s="722"/>
      <c r="G30" s="722"/>
    </row>
    <row r="31" spans="2:8">
      <c r="B31" s="539"/>
    </row>
    <row r="32" spans="2:8" ht="14.45" thickBot="1">
      <c r="B32" s="322" t="s">
        <v>122</v>
      </c>
    </row>
    <row r="33" spans="2:7" ht="14.45" thickBot="1">
      <c r="B33" s="314" t="s">
        <v>98</v>
      </c>
      <c r="C33" s="781" t="s">
        <v>119</v>
      </c>
      <c r="D33" s="782"/>
      <c r="E33" s="782"/>
      <c r="F33" s="782"/>
      <c r="G33" s="783"/>
    </row>
    <row r="34" spans="2:7" ht="14.45" thickBot="1">
      <c r="B34" s="316" t="s">
        <v>120</v>
      </c>
      <c r="C34" s="599">
        <v>2023</v>
      </c>
      <c r="D34" s="600">
        <v>2024</v>
      </c>
      <c r="E34" s="600">
        <v>2025</v>
      </c>
      <c r="F34" s="317">
        <v>2026</v>
      </c>
      <c r="G34" s="428" t="s">
        <v>100</v>
      </c>
    </row>
    <row r="35" spans="2:7">
      <c r="B35" s="325" t="s">
        <v>123</v>
      </c>
      <c r="C35" s="671">
        <f>Resultados!C13/0.66</f>
        <v>76.720808631708167</v>
      </c>
      <c r="D35" s="672">
        <f>Resultados!D13/0.66</f>
        <v>107.07668522568665</v>
      </c>
      <c r="E35" s="672">
        <f>Resultados!E13/0.66</f>
        <v>172.77259253733143</v>
      </c>
      <c r="F35" s="672">
        <f>Resultados!F13/0.66</f>
        <v>185.62185921712202</v>
      </c>
      <c r="G35" s="673">
        <f>Resultados!G13/0.66</f>
        <v>104.39055533059896</v>
      </c>
    </row>
    <row r="36" spans="2:7" ht="14.1" customHeight="1">
      <c r="B36" s="800" t="s">
        <v>115</v>
      </c>
      <c r="C36" s="800"/>
      <c r="D36" s="800"/>
      <c r="E36" s="800"/>
      <c r="F36" s="800"/>
      <c r="G36" s="800"/>
    </row>
    <row r="37" spans="2:7">
      <c r="C37" s="722"/>
      <c r="D37" s="722"/>
      <c r="E37" s="722"/>
      <c r="F37" s="722"/>
      <c r="G37" s="722"/>
    </row>
    <row r="38" spans="2:7" ht="14.45" thickBot="1">
      <c r="B38" s="322" t="s">
        <v>124</v>
      </c>
    </row>
    <row r="39" spans="2:7" ht="14.45" thickBot="1">
      <c r="B39" s="314" t="s">
        <v>98</v>
      </c>
      <c r="C39" s="781" t="s">
        <v>119</v>
      </c>
      <c r="D39" s="782"/>
      <c r="E39" s="782"/>
      <c r="F39" s="782"/>
      <c r="G39" s="783"/>
    </row>
    <row r="40" spans="2:7" ht="14.45" thickBot="1">
      <c r="B40" s="324" t="s">
        <v>120</v>
      </c>
      <c r="C40" s="599">
        <v>2023</v>
      </c>
      <c r="D40" s="600">
        <v>2024</v>
      </c>
      <c r="E40" s="600">
        <v>2025</v>
      </c>
      <c r="F40" s="317">
        <v>2026</v>
      </c>
      <c r="G40" s="428" t="s">
        <v>100</v>
      </c>
    </row>
    <row r="41" spans="2:7">
      <c r="B41" s="325" t="s">
        <v>125</v>
      </c>
      <c r="C41" s="671">
        <f>Resultados!C14/0.66</f>
        <v>4.4478878829195629</v>
      </c>
      <c r="D41" s="672">
        <f>Resultados!D14/0.66</f>
        <v>-0.10063144898243889</v>
      </c>
      <c r="E41" s="672">
        <f>Resultados!E14/0.66</f>
        <v>-2.3305995555320695</v>
      </c>
      <c r="F41" s="672">
        <f>Resultados!F14/0.66</f>
        <v>-2.3220198742598428</v>
      </c>
      <c r="G41" s="673">
        <f>Resultados!G14/0.66</f>
        <v>-1.2723571340487219</v>
      </c>
    </row>
    <row r="42" spans="2:7" ht="14.1" customHeight="1">
      <c r="B42" s="800" t="s">
        <v>115</v>
      </c>
      <c r="C42" s="800"/>
      <c r="D42" s="800"/>
      <c r="E42" s="800"/>
      <c r="F42" s="800"/>
      <c r="G42" s="800"/>
    </row>
    <row r="43" spans="2:7">
      <c r="B43" s="321"/>
    </row>
    <row r="44" spans="2:7" ht="14.45" thickBot="1">
      <c r="B44" s="322" t="s">
        <v>126</v>
      </c>
    </row>
    <row r="45" spans="2:7" ht="14.45" thickBot="1">
      <c r="B45" s="314" t="s">
        <v>98</v>
      </c>
      <c r="C45" s="781" t="s">
        <v>119</v>
      </c>
      <c r="D45" s="782"/>
      <c r="E45" s="782"/>
      <c r="F45" s="782"/>
      <c r="G45" s="783"/>
    </row>
    <row r="46" spans="2:7" ht="14.45" thickBot="1">
      <c r="B46" s="316" t="s">
        <v>120</v>
      </c>
      <c r="C46" s="599">
        <v>2023</v>
      </c>
      <c r="D46" s="600">
        <v>2024</v>
      </c>
      <c r="E46" s="600">
        <v>2025</v>
      </c>
      <c r="F46" s="317">
        <v>2026</v>
      </c>
      <c r="G46" s="428" t="s">
        <v>100</v>
      </c>
    </row>
    <row r="47" spans="2:7" ht="14.45" thickBot="1">
      <c r="B47" s="319" t="s">
        <v>127</v>
      </c>
      <c r="C47" s="671">
        <f>Resultados!C17</f>
        <v>21.799620642225452</v>
      </c>
      <c r="D47" s="672">
        <f>Resultados!D17</f>
        <v>9.3598690657989572</v>
      </c>
      <c r="E47" s="672">
        <f>Resultados!E17</f>
        <v>280.6576179639016</v>
      </c>
      <c r="F47" s="672">
        <f>Resultados!F17</f>
        <v>417.19014010525001</v>
      </c>
      <c r="G47" s="673">
        <f>Resultados!G17</f>
        <v>43.500673404752433</v>
      </c>
    </row>
    <row r="48" spans="2:7">
      <c r="B48" s="539" t="s">
        <v>115</v>
      </c>
      <c r="C48" s="722"/>
      <c r="D48" s="722"/>
      <c r="E48" s="722"/>
      <c r="F48" s="722"/>
      <c r="G48" s="722"/>
    </row>
    <row r="49" spans="2:10">
      <c r="B49" s="539"/>
    </row>
    <row r="50" spans="2:10" ht="14.45" thickBot="1">
      <c r="B50" s="322" t="s">
        <v>128</v>
      </c>
    </row>
    <row r="51" spans="2:10" ht="14.45" thickBot="1">
      <c r="B51" s="326" t="s">
        <v>98</v>
      </c>
      <c r="C51" s="781" t="s">
        <v>119</v>
      </c>
      <c r="D51" s="782"/>
      <c r="E51" s="782"/>
      <c r="F51" s="782"/>
      <c r="G51" s="783"/>
    </row>
    <row r="52" spans="2:10" ht="14.45" thickBot="1">
      <c r="B52" s="327" t="s">
        <v>120</v>
      </c>
      <c r="C52" s="599">
        <v>2023</v>
      </c>
      <c r="D52" s="600">
        <v>2024</v>
      </c>
      <c r="E52" s="600">
        <v>2025</v>
      </c>
      <c r="F52" s="317">
        <v>2026</v>
      </c>
      <c r="G52" s="428" t="s">
        <v>100</v>
      </c>
    </row>
    <row r="53" spans="2:10">
      <c r="B53" s="329" t="s">
        <v>129</v>
      </c>
      <c r="C53" s="662">
        <f>Resultados!C21</f>
        <v>1105.2570138161418</v>
      </c>
      <c r="D53" s="663"/>
      <c r="E53" s="663"/>
      <c r="F53" s="663"/>
      <c r="G53" s="664"/>
      <c r="H53" s="525"/>
    </row>
    <row r="54" spans="2:10">
      <c r="B54" s="329" t="s">
        <v>127</v>
      </c>
      <c r="C54" s="665">
        <f>Resultados!C17</f>
        <v>21.799620642225452</v>
      </c>
      <c r="D54" s="666">
        <f>Resultados!D17</f>
        <v>9.3598690657989572</v>
      </c>
      <c r="E54" s="666">
        <f>Resultados!E17</f>
        <v>280.6576179639016</v>
      </c>
      <c r="F54" s="666">
        <f>Resultados!F17</f>
        <v>417.19014010525001</v>
      </c>
      <c r="G54" s="667">
        <f>Resultados!G17</f>
        <v>43.500673404752433</v>
      </c>
    </row>
    <row r="55" spans="2:10">
      <c r="B55" s="329" t="s">
        <v>130</v>
      </c>
      <c r="C55" s="665">
        <f>Resultados!C15/0.34</f>
        <v>62.218717581295451</v>
      </c>
      <c r="D55" s="666">
        <f>Resultados!D15/0.34</f>
        <v>62.741355524825011</v>
      </c>
      <c r="E55" s="666">
        <f>Resultados!E15/0.34</f>
        <v>67.942279500405974</v>
      </c>
      <c r="F55" s="666">
        <f>Resultados!F15/0.34</f>
        <v>79.563720214293042</v>
      </c>
      <c r="G55" s="667">
        <f>Resultados!G15/0.34</f>
        <v>48.360900424746191</v>
      </c>
    </row>
    <row r="56" spans="2:10" ht="14.45" thickBot="1">
      <c r="B56" s="325" t="s">
        <v>131</v>
      </c>
      <c r="C56" s="668"/>
      <c r="D56" s="669"/>
      <c r="E56" s="669"/>
      <c r="F56" s="669"/>
      <c r="G56" s="670">
        <f>Resultados!G22</f>
        <v>1557.3852960802164</v>
      </c>
    </row>
    <row r="57" spans="2:10">
      <c r="B57" s="539" t="s">
        <v>115</v>
      </c>
      <c r="C57" s="722"/>
      <c r="D57" s="722"/>
      <c r="E57" s="722"/>
      <c r="F57" s="722"/>
      <c r="G57" s="722"/>
    </row>
    <row r="58" spans="2:10">
      <c r="B58" s="321"/>
      <c r="C58" s="524"/>
      <c r="D58" s="524"/>
      <c r="E58" s="524"/>
      <c r="F58" s="524"/>
      <c r="G58" s="524"/>
      <c r="I58" s="526"/>
    </row>
    <row r="59" spans="2:10">
      <c r="B59" s="321"/>
      <c r="C59" s="524"/>
      <c r="D59" s="524"/>
      <c r="E59" s="524"/>
      <c r="F59" s="524"/>
      <c r="G59" s="524"/>
      <c r="I59" s="526"/>
    </row>
    <row r="60" spans="2:10" ht="14.45" thickBot="1">
      <c r="B60" s="322" t="s">
        <v>132</v>
      </c>
    </row>
    <row r="61" spans="2:10" ht="14.45" thickBot="1">
      <c r="B61" s="314" t="s">
        <v>98</v>
      </c>
      <c r="C61" s="781" t="s">
        <v>119</v>
      </c>
      <c r="D61" s="782"/>
      <c r="E61" s="782"/>
      <c r="F61" s="782"/>
      <c r="G61" s="783"/>
    </row>
    <row r="62" spans="2:10" ht="14.45" thickBot="1">
      <c r="B62" s="324" t="s">
        <v>120</v>
      </c>
      <c r="C62" s="597">
        <v>2023</v>
      </c>
      <c r="D62" s="598">
        <v>2024</v>
      </c>
      <c r="E62" s="598">
        <v>2025</v>
      </c>
      <c r="F62" s="427">
        <v>2026</v>
      </c>
      <c r="G62" s="428" t="s">
        <v>100</v>
      </c>
    </row>
    <row r="63" spans="2:10">
      <c r="B63" s="430" t="s">
        <v>130</v>
      </c>
      <c r="C63" s="656">
        <f>Resultados!C15/0.34</f>
        <v>62.218717581295451</v>
      </c>
      <c r="D63" s="657">
        <f>Resultados!D15/0.34</f>
        <v>62.741355524825011</v>
      </c>
      <c r="E63" s="657">
        <f>Resultados!E15/0.34</f>
        <v>67.942279500405974</v>
      </c>
      <c r="F63" s="657">
        <f>Resultados!F15/0.34</f>
        <v>79.563720214293042</v>
      </c>
      <c r="G63" s="658">
        <f>Resultados!G15/0.34</f>
        <v>48.360900424746191</v>
      </c>
      <c r="J63" s="409"/>
    </row>
    <row r="64" spans="2:10" ht="14.45" thickBot="1">
      <c r="B64" s="431" t="s">
        <v>133</v>
      </c>
      <c r="C64" s="659">
        <f>Resultados!C16/0.34</f>
        <v>28.171128223334737</v>
      </c>
      <c r="D64" s="660">
        <f>Resultados!D16/0.34</f>
        <v>26.751646824676271</v>
      </c>
      <c r="E64" s="660">
        <f>Resultados!E16/0.34</f>
        <v>30.89592454012465</v>
      </c>
      <c r="F64" s="660">
        <f>Resultados!F16/0.34</f>
        <v>37.611313680856306</v>
      </c>
      <c r="G64" s="661">
        <f>Resultados!G16/0.34</f>
        <v>20.00602629295118</v>
      </c>
      <c r="J64" s="409"/>
    </row>
    <row r="65" spans="2:10">
      <c r="B65" s="539" t="s">
        <v>115</v>
      </c>
      <c r="C65" s="722"/>
      <c r="D65" s="722"/>
      <c r="E65" s="722"/>
      <c r="F65" s="722"/>
      <c r="G65" s="722"/>
      <c r="J65" s="409"/>
    </row>
    <row r="67" spans="2:10" ht="14.45" thickBot="1">
      <c r="B67" s="322" t="s">
        <v>134</v>
      </c>
    </row>
    <row r="68" spans="2:10" ht="14.45" thickBot="1">
      <c r="B68" s="314" t="s">
        <v>135</v>
      </c>
      <c r="C68" s="781" t="s">
        <v>119</v>
      </c>
      <c r="D68" s="782"/>
      <c r="E68" s="782"/>
      <c r="F68" s="782"/>
      <c r="G68" s="783"/>
    </row>
    <row r="69" spans="2:10" ht="14.45" thickBot="1">
      <c r="B69" s="324" t="s">
        <v>71</v>
      </c>
      <c r="C69" s="599">
        <v>2023</v>
      </c>
      <c r="D69" s="600">
        <v>2024</v>
      </c>
      <c r="E69" s="600">
        <v>2025</v>
      </c>
      <c r="F69" s="317">
        <v>2026</v>
      </c>
      <c r="G69" s="328">
        <v>2027</v>
      </c>
    </row>
    <row r="70" spans="2:10" ht="14.45" thickBot="1">
      <c r="B70" s="325" t="s">
        <v>136</v>
      </c>
      <c r="C70" s="655">
        <f>Resultados!C19</f>
        <v>109.79990655391714</v>
      </c>
      <c r="D70" s="542"/>
      <c r="E70" s="542"/>
      <c r="F70" s="542"/>
      <c r="G70" s="543"/>
    </row>
    <row r="71" spans="2:10">
      <c r="C71" s="722"/>
      <c r="D71" s="722"/>
      <c r="E71" s="722"/>
      <c r="F71" s="722"/>
      <c r="G71" s="722"/>
    </row>
    <row r="72" spans="2:10" ht="14.45" thickBot="1">
      <c r="B72" s="322" t="s">
        <v>137</v>
      </c>
    </row>
    <row r="73" spans="2:10" ht="14.45" thickBot="1">
      <c r="B73" s="314" t="s">
        <v>135</v>
      </c>
      <c r="C73" s="781" t="s">
        <v>119</v>
      </c>
      <c r="D73" s="782"/>
      <c r="E73" s="782"/>
      <c r="F73" s="782"/>
      <c r="G73" s="783"/>
    </row>
    <row r="74" spans="2:10" ht="14.45" thickBot="1">
      <c r="B74" s="324" t="s">
        <v>71</v>
      </c>
      <c r="C74" s="599">
        <v>2023</v>
      </c>
      <c r="D74" s="600">
        <v>2024</v>
      </c>
      <c r="E74" s="600">
        <v>2025</v>
      </c>
      <c r="F74" s="317">
        <v>2026</v>
      </c>
      <c r="G74" s="328">
        <v>2027</v>
      </c>
    </row>
    <row r="75" spans="2:10" ht="14.45" thickBot="1">
      <c r="B75" s="325" t="s">
        <v>138</v>
      </c>
      <c r="C75" s="654">
        <f>Resultados!C23</f>
        <v>10.648757218549859</v>
      </c>
      <c r="D75" s="542"/>
      <c r="E75" s="542"/>
      <c r="F75" s="542"/>
      <c r="G75" s="543"/>
    </row>
    <row r="76" spans="2:10">
      <c r="B76" s="541"/>
      <c r="C76" s="722"/>
      <c r="D76" s="722"/>
      <c r="E76" s="722"/>
      <c r="F76" s="722"/>
      <c r="G76" s="722"/>
    </row>
    <row r="77" spans="2:10" ht="14.45" thickBot="1">
      <c r="B77" s="322" t="s">
        <v>139</v>
      </c>
    </row>
    <row r="78" spans="2:10" ht="14.45" thickBot="1">
      <c r="B78" s="330" t="s">
        <v>140</v>
      </c>
      <c r="C78" s="798" t="s">
        <v>141</v>
      </c>
      <c r="D78" s="798"/>
      <c r="E78" s="798"/>
      <c r="F78" s="798"/>
      <c r="G78" s="798"/>
      <c r="H78" s="331">
        <f>+Resultados!H6</f>
        <v>8.9200000000000002E-2</v>
      </c>
    </row>
    <row r="79" spans="2:10" ht="14.45" thickBot="1">
      <c r="B79" s="314" t="s">
        <v>98</v>
      </c>
      <c r="C79" s="781" t="s">
        <v>119</v>
      </c>
      <c r="D79" s="782"/>
      <c r="E79" s="782"/>
      <c r="F79" s="782"/>
      <c r="G79" s="799"/>
      <c r="H79" s="332" t="s">
        <v>70</v>
      </c>
    </row>
    <row r="80" spans="2:10" ht="14.45" thickBot="1">
      <c r="B80" s="316" t="s">
        <v>142</v>
      </c>
      <c r="C80" s="599">
        <v>2023</v>
      </c>
      <c r="D80" s="600">
        <v>2024</v>
      </c>
      <c r="E80" s="600">
        <v>2025</v>
      </c>
      <c r="F80" s="317">
        <v>2026</v>
      </c>
      <c r="G80" s="328" t="s">
        <v>100</v>
      </c>
      <c r="H80" s="333" t="s">
        <v>72</v>
      </c>
    </row>
    <row r="81" spans="2:8">
      <c r="B81" s="318" t="s">
        <v>73</v>
      </c>
      <c r="C81" s="723">
        <f>Resultados!C10</f>
        <v>205.44973758222196</v>
      </c>
      <c r="D81" s="723">
        <f>Resultados!D10</f>
        <v>239.51658549751315</v>
      </c>
      <c r="E81" s="723">
        <f>Resultados!E10</f>
        <v>182.38415167589926</v>
      </c>
      <c r="F81" s="723">
        <f>Resultados!F10</f>
        <v>204.12538342839369</v>
      </c>
      <c r="G81" s="723">
        <f>Resultados!G10</f>
        <v>110.66180887998374</v>
      </c>
      <c r="H81" s="724">
        <f>Resultados!H10</f>
        <v>751.71117895004079</v>
      </c>
    </row>
    <row r="82" spans="2:8">
      <c r="B82" s="318" t="s">
        <v>76</v>
      </c>
      <c r="C82" s="723">
        <f>Resultados!C13</f>
        <v>50.635733696927389</v>
      </c>
      <c r="D82" s="723">
        <f>Resultados!D13</f>
        <v>70.670612248953191</v>
      </c>
      <c r="E82" s="723">
        <f>Resultados!E13</f>
        <v>114.02991107463875</v>
      </c>
      <c r="F82" s="723">
        <f>Resultados!F13</f>
        <v>122.51042708330054</v>
      </c>
      <c r="G82" s="723">
        <f>Resultados!G13</f>
        <v>68.897766518195311</v>
      </c>
      <c r="H82" s="724">
        <f>Resultados!H13</f>
        <v>328.05450347889825</v>
      </c>
    </row>
    <row r="83" spans="2:8">
      <c r="B83" s="318" t="s">
        <v>77</v>
      </c>
      <c r="C83" s="723">
        <f>Resultados!C14</f>
        <v>2.9356060027269115</v>
      </c>
      <c r="D83" s="723">
        <f>Resultados!D14</f>
        <v>-6.6416756328409668E-2</v>
      </c>
      <c r="E83" s="723">
        <f>Resultados!E14</f>
        <v>-1.538195706651166</v>
      </c>
      <c r="F83" s="723">
        <f>Resultados!F14</f>
        <v>-1.5325331170114964</v>
      </c>
      <c r="G83" s="723">
        <f>Resultados!G14</f>
        <v>-0.83975570847215641</v>
      </c>
      <c r="H83" s="724">
        <f>Resultados!H14</f>
        <v>-0.20931924325671841</v>
      </c>
    </row>
    <row r="84" spans="2:8">
      <c r="B84" s="318" t="s">
        <v>78</v>
      </c>
      <c r="C84" s="723">
        <f>Resultados!C15</f>
        <v>21.154363977640454</v>
      </c>
      <c r="D84" s="723">
        <f>Resultados!D15</f>
        <v>21.332060878440505</v>
      </c>
      <c r="E84" s="723">
        <f>Resultados!E15</f>
        <v>23.100375030138032</v>
      </c>
      <c r="F84" s="723">
        <f>Resultados!F15</f>
        <v>27.051664872859636</v>
      </c>
      <c r="G84" s="723">
        <f>Resultados!G15</f>
        <v>16.442706144413705</v>
      </c>
      <c r="H84" s="724">
        <f>Resultados!H15</f>
        <v>85.646962126813463</v>
      </c>
    </row>
    <row r="85" spans="2:8">
      <c r="B85" s="318" t="s">
        <v>79</v>
      </c>
      <c r="C85" s="723">
        <f>Resultados!C16</f>
        <v>9.5781835959338117</v>
      </c>
      <c r="D85" s="723">
        <f>Resultados!D16</f>
        <v>9.0955599203899329</v>
      </c>
      <c r="E85" s="723">
        <f>Resultados!E16</f>
        <v>10.504614343642382</v>
      </c>
      <c r="F85" s="723">
        <f>Resultados!F16</f>
        <v>12.787846651491146</v>
      </c>
      <c r="G85" s="723">
        <f>Resultados!G16</f>
        <v>6.8020489396034023</v>
      </c>
      <c r="H85" s="724">
        <f>Resultados!H16</f>
        <v>38.286885109305125</v>
      </c>
    </row>
    <row r="86" spans="2:8">
      <c r="B86" s="318" t="s">
        <v>80</v>
      </c>
      <c r="C86" s="723">
        <f>Resultados!C17</f>
        <v>21.799620642225452</v>
      </c>
      <c r="D86" s="723">
        <f>Resultados!D17</f>
        <v>9.3598690657989572</v>
      </c>
      <c r="E86" s="723">
        <f>Resultados!E17</f>
        <v>280.6576179639016</v>
      </c>
      <c r="F86" s="723">
        <f>Resultados!F17</f>
        <v>417.19014010525001</v>
      </c>
      <c r="G86" s="723">
        <f>Resultados!G17</f>
        <v>43.500673404752433</v>
      </c>
      <c r="H86" s="724">
        <f>Resultados!H17</f>
        <v>571.00700372538392</v>
      </c>
    </row>
    <row r="87" spans="2:8">
      <c r="B87" s="318" t="s">
        <v>136</v>
      </c>
      <c r="C87" s="723">
        <f>Resultados!C18</f>
        <v>0</v>
      </c>
      <c r="D87" s="723">
        <f>Resultados!D18</f>
        <v>0</v>
      </c>
      <c r="E87" s="723">
        <f>Resultados!E18</f>
        <v>0</v>
      </c>
      <c r="F87" s="723">
        <f>Resultados!F18</f>
        <v>0</v>
      </c>
      <c r="G87" s="723">
        <f>Resultados!G18</f>
        <v>0</v>
      </c>
      <c r="H87" s="724"/>
    </row>
    <row r="88" spans="2:8">
      <c r="B88" s="318" t="s">
        <v>82</v>
      </c>
      <c r="C88" s="723">
        <f>Resultados!C19</f>
        <v>109.79990655391714</v>
      </c>
      <c r="D88" s="723">
        <f>Resultados!D19</f>
        <v>0</v>
      </c>
      <c r="E88" s="723">
        <f>Resultados!E19</f>
        <v>0</v>
      </c>
      <c r="F88" s="723">
        <f>Resultados!F19</f>
        <v>0</v>
      </c>
      <c r="G88" s="723">
        <f>Resultados!G19</f>
        <v>0</v>
      </c>
      <c r="H88" s="724"/>
    </row>
    <row r="89" spans="2:8">
      <c r="B89" s="318" t="s">
        <v>84</v>
      </c>
      <c r="C89" s="723">
        <f>Resultados!C21</f>
        <v>1105.2570138161418</v>
      </c>
      <c r="D89" s="723"/>
      <c r="E89" s="723"/>
      <c r="F89" s="723"/>
      <c r="G89" s="723"/>
      <c r="H89" s="724"/>
    </row>
    <row r="90" spans="2:8">
      <c r="B90" s="318" t="s">
        <v>85</v>
      </c>
      <c r="C90" s="372"/>
      <c r="D90" s="723"/>
      <c r="E90" s="723"/>
      <c r="F90" s="723"/>
      <c r="G90" s="723">
        <f>Resultados!G22</f>
        <v>1557.3852960802164</v>
      </c>
      <c r="H90" s="724">
        <f>Resultados!H22</f>
        <v>1055.7384561649492</v>
      </c>
    </row>
    <row r="91" spans="2:8" ht="14.45" thickBot="1">
      <c r="B91" s="318" t="s">
        <v>143</v>
      </c>
      <c r="C91" s="723">
        <f>Resultados!C23</f>
        <v>10.648757218549859</v>
      </c>
      <c r="D91" s="723"/>
      <c r="E91" s="723"/>
      <c r="F91" s="723"/>
      <c r="G91" s="372"/>
      <c r="H91" s="724"/>
    </row>
    <row r="92" spans="2:8" ht="15" customHeight="1" thickBot="1">
      <c r="B92" s="793" t="s">
        <v>144</v>
      </c>
      <c r="C92" s="794"/>
      <c r="D92" s="794"/>
      <c r="E92" s="794"/>
      <c r="F92" s="794"/>
      <c r="G92" s="794"/>
      <c r="H92" s="795"/>
    </row>
    <row r="93" spans="2:8" ht="14.45" thickBot="1">
      <c r="B93" s="793" t="s">
        <v>145</v>
      </c>
      <c r="C93" s="794"/>
      <c r="D93" s="794"/>
      <c r="E93" s="794"/>
      <c r="F93" s="794"/>
      <c r="G93" s="794"/>
      <c r="H93" s="795"/>
    </row>
    <row r="94" spans="2:8" ht="14.45" thickBot="1">
      <c r="B94" s="336" t="s">
        <v>88</v>
      </c>
      <c r="C94" s="685">
        <f>Resultados!C25</f>
        <v>1.2292043966999999</v>
      </c>
      <c r="D94" s="365"/>
      <c r="E94" s="366"/>
      <c r="F94" s="363"/>
      <c r="G94" s="363"/>
      <c r="H94" s="362"/>
    </row>
    <row r="95" spans="2:8">
      <c r="B95" s="796" t="s">
        <v>115</v>
      </c>
      <c r="C95" s="796"/>
      <c r="D95" s="796"/>
      <c r="E95" s="796"/>
      <c r="F95" s="796"/>
      <c r="G95" s="796"/>
      <c r="H95" s="796"/>
    </row>
    <row r="97" spans="2:14" ht="14.45">
      <c r="B97" t="s">
        <v>146</v>
      </c>
    </row>
    <row r="100" spans="2:14">
      <c r="F100" s="26" t="s">
        <v>147</v>
      </c>
      <c r="G100" s="27">
        <v>2018</v>
      </c>
      <c r="H100" s="27">
        <v>2019</v>
      </c>
      <c r="I100" s="27">
        <v>2020</v>
      </c>
      <c r="J100" s="27">
        <v>2021</v>
      </c>
      <c r="K100" s="27">
        <v>2022</v>
      </c>
      <c r="L100" s="27">
        <v>2023</v>
      </c>
      <c r="M100" s="27">
        <v>2024</v>
      </c>
      <c r="N100" s="27">
        <v>2025</v>
      </c>
    </row>
    <row r="101" spans="2:14">
      <c r="F101" s="50" t="s">
        <v>147</v>
      </c>
      <c r="G101" s="432">
        <f>Demanda!E269/1000000</f>
        <v>232.691551</v>
      </c>
      <c r="H101" s="432">
        <f>Demanda!F269/1000000</f>
        <v>231.070201</v>
      </c>
      <c r="I101" s="432">
        <f>Demanda!G269/1000000</f>
        <v>202.778222</v>
      </c>
      <c r="J101" s="432">
        <f>Demanda!H269/1000000</f>
        <v>225.303833</v>
      </c>
      <c r="K101" s="432">
        <f>Demanda!I269/1000000</f>
        <v>229.20486199999999</v>
      </c>
      <c r="L101" s="432">
        <f>Demanda!J269/1000000</f>
        <v>195.916</v>
      </c>
      <c r="M101" s="432">
        <f>Demanda!K269/1000000</f>
        <v>170.69513268</v>
      </c>
      <c r="N101" s="432">
        <f>Demanda!L269/1000000</f>
        <v>150.2117167584</v>
      </c>
    </row>
    <row r="102" spans="2:14">
      <c r="F102" s="50" t="s">
        <v>148</v>
      </c>
      <c r="G102" s="432"/>
      <c r="H102" s="432"/>
      <c r="I102" s="432"/>
      <c r="J102" s="432"/>
      <c r="K102" s="432"/>
    </row>
    <row r="103" spans="2:14">
      <c r="B103" s="372"/>
    </row>
    <row r="105" spans="2:14">
      <c r="G105" s="540"/>
    </row>
    <row r="114" spans="2:18" ht="14.45">
      <c r="J114"/>
      <c r="K114"/>
      <c r="L114"/>
      <c r="M114"/>
      <c r="N114"/>
      <c r="O114"/>
      <c r="P114"/>
      <c r="Q114"/>
      <c r="R114"/>
    </row>
    <row r="115" spans="2:18" ht="14.45">
      <c r="J115"/>
      <c r="K115"/>
      <c r="L115"/>
      <c r="M115"/>
      <c r="N115"/>
      <c r="O115"/>
      <c r="P115"/>
      <c r="Q115"/>
      <c r="R115"/>
    </row>
    <row r="116" spans="2:18" ht="14.45">
      <c r="B116" s="321" t="s">
        <v>149</v>
      </c>
      <c r="C116" s="321"/>
      <c r="D116" s="321"/>
      <c r="E116" s="321"/>
      <c r="F116" s="321"/>
      <c r="G116" s="321"/>
      <c r="H116" s="321"/>
      <c r="I116" s="321"/>
      <c r="J116"/>
      <c r="K116"/>
      <c r="L116"/>
      <c r="M116"/>
      <c r="N116"/>
      <c r="O116"/>
      <c r="P116"/>
      <c r="Q116"/>
      <c r="R116"/>
    </row>
    <row r="117" spans="2:18" ht="14.45">
      <c r="J117"/>
      <c r="K117"/>
      <c r="L117"/>
      <c r="M117"/>
      <c r="N117"/>
      <c r="O117"/>
      <c r="P117"/>
      <c r="Q117"/>
      <c r="R117"/>
    </row>
    <row r="118" spans="2:18" ht="15" thickBot="1">
      <c r="B118" s="322" t="s">
        <v>150</v>
      </c>
      <c r="J118"/>
      <c r="K118"/>
      <c r="L118"/>
      <c r="M118"/>
      <c r="N118"/>
      <c r="O118"/>
      <c r="P118"/>
      <c r="Q118"/>
      <c r="R118"/>
    </row>
    <row r="119" spans="2:18" ht="15" thickBot="1">
      <c r="B119" s="314" t="s">
        <v>98</v>
      </c>
      <c r="C119" s="781" t="s">
        <v>151</v>
      </c>
      <c r="D119" s="782"/>
      <c r="E119" s="782"/>
      <c r="F119" s="782"/>
      <c r="G119" s="783"/>
      <c r="J119"/>
      <c r="K119"/>
      <c r="L119"/>
      <c r="M119"/>
      <c r="N119"/>
      <c r="O119"/>
      <c r="P119"/>
      <c r="Q119"/>
      <c r="R119"/>
    </row>
    <row r="120" spans="2:18" ht="15" thickBot="1">
      <c r="B120" s="528" t="s">
        <v>14</v>
      </c>
      <c r="C120" s="603">
        <v>2023</v>
      </c>
      <c r="D120" s="604">
        <v>2024</v>
      </c>
      <c r="E120" s="604">
        <v>2025</v>
      </c>
      <c r="F120" s="433">
        <v>2026</v>
      </c>
      <c r="G120" s="328" t="s">
        <v>100</v>
      </c>
      <c r="J120"/>
      <c r="K120"/>
      <c r="L120"/>
      <c r="M120"/>
      <c r="N120"/>
      <c r="O120"/>
      <c r="P120"/>
      <c r="Q120"/>
      <c r="R120"/>
    </row>
    <row r="121" spans="2:18" ht="14.45">
      <c r="B121" s="529" t="s">
        <v>101</v>
      </c>
      <c r="C121" s="645">
        <v>87593</v>
      </c>
      <c r="D121" s="646">
        <v>89357</v>
      </c>
      <c r="E121" s="646">
        <v>91758</v>
      </c>
      <c r="F121" s="646">
        <v>93826</v>
      </c>
      <c r="G121" s="647">
        <v>94963</v>
      </c>
      <c r="J121"/>
      <c r="K121"/>
      <c r="L121"/>
      <c r="M121"/>
      <c r="N121"/>
      <c r="O121"/>
      <c r="P121"/>
      <c r="Q121"/>
      <c r="R121"/>
    </row>
    <row r="122" spans="2:18" ht="14.45">
      <c r="B122" s="426" t="s">
        <v>102</v>
      </c>
      <c r="C122" s="648">
        <v>2006</v>
      </c>
      <c r="D122" s="649">
        <v>1883</v>
      </c>
      <c r="E122" s="649">
        <v>1556.855421357292</v>
      </c>
      <c r="F122" s="649">
        <v>1576.4833226107071</v>
      </c>
      <c r="G122" s="650">
        <v>1597.4833226107071</v>
      </c>
      <c r="J122"/>
      <c r="K122"/>
      <c r="L122"/>
      <c r="M122"/>
      <c r="N122"/>
      <c r="O122"/>
      <c r="P122"/>
      <c r="Q122"/>
      <c r="R122"/>
    </row>
    <row r="123" spans="2:18" ht="14.45">
      <c r="B123" s="426" t="s">
        <v>103</v>
      </c>
      <c r="C123" s="648">
        <v>5</v>
      </c>
      <c r="D123" s="649">
        <v>4</v>
      </c>
      <c r="E123" s="649">
        <v>3.469813147790807</v>
      </c>
      <c r="F123" s="649">
        <v>3.5135584750051114</v>
      </c>
      <c r="G123" s="650">
        <v>3.5135584750051114</v>
      </c>
      <c r="J123"/>
      <c r="K123"/>
      <c r="L123"/>
      <c r="M123"/>
      <c r="N123"/>
      <c r="O123"/>
      <c r="P123"/>
      <c r="Q123"/>
      <c r="R123"/>
    </row>
    <row r="124" spans="2:18" ht="14.45">
      <c r="B124" s="426" t="s">
        <v>104</v>
      </c>
      <c r="C124" s="648">
        <v>7</v>
      </c>
      <c r="D124" s="649">
        <v>6</v>
      </c>
      <c r="E124" s="649">
        <v>5.6116417787084965</v>
      </c>
      <c r="F124" s="649">
        <v>5.6823899992503897</v>
      </c>
      <c r="G124" s="650">
        <v>5.6823899992503897</v>
      </c>
      <c r="J124"/>
      <c r="K124"/>
      <c r="L124"/>
      <c r="M124"/>
      <c r="N124"/>
      <c r="O124"/>
      <c r="P124"/>
      <c r="Q124"/>
      <c r="R124"/>
    </row>
    <row r="125" spans="2:18" ht="14.45">
      <c r="B125" s="426" t="s">
        <v>105</v>
      </c>
      <c r="C125" s="648">
        <v>1</v>
      </c>
      <c r="D125" s="649">
        <v>0</v>
      </c>
      <c r="E125" s="649">
        <v>1.0631237162086802</v>
      </c>
      <c r="F125" s="649">
        <v>1.0765269436604081</v>
      </c>
      <c r="G125" s="650">
        <v>1.0765269436604081</v>
      </c>
      <c r="J125"/>
      <c r="K125"/>
      <c r="L125"/>
      <c r="M125"/>
      <c r="N125"/>
      <c r="O125"/>
      <c r="P125"/>
      <c r="Q125"/>
      <c r="R125"/>
    </row>
    <row r="126" spans="2:18" ht="14.45">
      <c r="B126" s="426" t="s">
        <v>19</v>
      </c>
      <c r="C126" s="648">
        <v>141</v>
      </c>
      <c r="D126" s="649">
        <v>149</v>
      </c>
      <c r="E126" s="649">
        <v>159</v>
      </c>
      <c r="F126" s="649">
        <v>166</v>
      </c>
      <c r="G126" s="650">
        <v>170</v>
      </c>
      <c r="J126"/>
      <c r="K126"/>
      <c r="L126"/>
      <c r="M126"/>
      <c r="N126"/>
      <c r="O126"/>
      <c r="P126"/>
      <c r="Q126"/>
      <c r="R126"/>
    </row>
    <row r="127" spans="2:18" ht="14.45">
      <c r="B127" s="426" t="s">
        <v>18</v>
      </c>
      <c r="C127" s="648">
        <v>103</v>
      </c>
      <c r="D127" s="649">
        <v>103</v>
      </c>
      <c r="E127" s="649">
        <v>81</v>
      </c>
      <c r="F127" s="649">
        <v>85</v>
      </c>
      <c r="G127" s="650">
        <v>87</v>
      </c>
      <c r="J127"/>
      <c r="K127"/>
      <c r="L127"/>
      <c r="M127"/>
      <c r="N127"/>
      <c r="O127"/>
      <c r="P127"/>
      <c r="Q127"/>
      <c r="R127"/>
    </row>
    <row r="128" spans="2:18" ht="14.45">
      <c r="B128" s="426" t="s">
        <v>106</v>
      </c>
      <c r="C128" s="648">
        <v>2</v>
      </c>
      <c r="D128" s="649">
        <v>2</v>
      </c>
      <c r="E128" s="649">
        <v>2</v>
      </c>
      <c r="F128" s="649">
        <v>2</v>
      </c>
      <c r="G128" s="650">
        <v>2</v>
      </c>
      <c r="J128"/>
      <c r="K128"/>
      <c r="L128"/>
      <c r="M128"/>
      <c r="N128"/>
      <c r="O128"/>
      <c r="P128"/>
      <c r="Q128"/>
      <c r="R128"/>
    </row>
    <row r="129" spans="2:18" ht="14.45">
      <c r="B129" s="426" t="s">
        <v>107</v>
      </c>
      <c r="C129" s="648">
        <v>2</v>
      </c>
      <c r="D129" s="649">
        <v>2</v>
      </c>
      <c r="E129" s="649">
        <v>2</v>
      </c>
      <c r="F129" s="649">
        <v>2</v>
      </c>
      <c r="G129" s="650">
        <v>2</v>
      </c>
      <c r="J129"/>
      <c r="K129"/>
      <c r="L129"/>
      <c r="M129"/>
      <c r="N129"/>
      <c r="O129"/>
      <c r="P129"/>
      <c r="Q129"/>
      <c r="R129"/>
    </row>
    <row r="130" spans="2:18" ht="14.45">
      <c r="B130" s="426" t="s">
        <v>108</v>
      </c>
      <c r="C130" s="648">
        <v>0</v>
      </c>
      <c r="D130" s="649">
        <v>0</v>
      </c>
      <c r="E130" s="649">
        <v>0</v>
      </c>
      <c r="F130" s="649">
        <v>0</v>
      </c>
      <c r="G130" s="650">
        <v>0</v>
      </c>
      <c r="J130"/>
      <c r="K130"/>
      <c r="L130"/>
      <c r="M130"/>
      <c r="N130"/>
      <c r="O130"/>
      <c r="P130"/>
      <c r="Q130"/>
      <c r="R130"/>
    </row>
    <row r="131" spans="2:18" ht="14.45">
      <c r="B131" s="426" t="s">
        <v>109</v>
      </c>
      <c r="C131" s="648">
        <v>0</v>
      </c>
      <c r="D131" s="649">
        <v>0</v>
      </c>
      <c r="E131" s="649">
        <v>0</v>
      </c>
      <c r="F131" s="649">
        <v>0</v>
      </c>
      <c r="G131" s="650">
        <v>0</v>
      </c>
      <c r="J131"/>
      <c r="K131"/>
      <c r="L131"/>
      <c r="M131"/>
      <c r="N131"/>
      <c r="O131"/>
      <c r="P131"/>
      <c r="Q131"/>
      <c r="R131"/>
    </row>
    <row r="132" spans="2:18" ht="14.45">
      <c r="B132" s="426" t="s">
        <v>110</v>
      </c>
      <c r="C132" s="648">
        <v>0</v>
      </c>
      <c r="D132" s="649">
        <v>0</v>
      </c>
      <c r="E132" s="649">
        <v>0</v>
      </c>
      <c r="F132" s="649">
        <v>0</v>
      </c>
      <c r="G132" s="650">
        <v>0</v>
      </c>
      <c r="J132"/>
      <c r="K132"/>
      <c r="L132"/>
      <c r="M132"/>
      <c r="N132"/>
      <c r="O132"/>
      <c r="P132"/>
      <c r="Q132"/>
      <c r="R132"/>
    </row>
    <row r="133" spans="2:18" ht="14.45">
      <c r="B133" s="426" t="s">
        <v>111</v>
      </c>
      <c r="C133" s="648">
        <v>1</v>
      </c>
      <c r="D133" s="649">
        <v>1</v>
      </c>
      <c r="E133" s="649">
        <v>0</v>
      </c>
      <c r="F133" s="649">
        <v>0</v>
      </c>
      <c r="G133" s="650">
        <v>0</v>
      </c>
      <c r="J133"/>
      <c r="K133"/>
      <c r="L133"/>
      <c r="M133"/>
      <c r="N133"/>
      <c r="O133"/>
      <c r="P133"/>
      <c r="Q133"/>
      <c r="R133"/>
    </row>
    <row r="134" spans="2:18" ht="14.45">
      <c r="B134" s="426" t="s">
        <v>112</v>
      </c>
      <c r="C134" s="648">
        <v>1</v>
      </c>
      <c r="D134" s="649">
        <v>1</v>
      </c>
      <c r="E134" s="649">
        <v>3</v>
      </c>
      <c r="F134" s="649">
        <v>3</v>
      </c>
      <c r="G134" s="650">
        <v>3</v>
      </c>
      <c r="J134"/>
      <c r="K134"/>
      <c r="L134"/>
      <c r="M134"/>
      <c r="N134"/>
      <c r="O134"/>
      <c r="P134"/>
      <c r="Q134"/>
      <c r="R134"/>
    </row>
    <row r="135" spans="2:18" ht="15" thickBot="1">
      <c r="B135" s="429" t="s">
        <v>152</v>
      </c>
      <c r="C135" s="651">
        <v>0</v>
      </c>
      <c r="D135" s="652">
        <v>1</v>
      </c>
      <c r="E135" s="652">
        <v>1</v>
      </c>
      <c r="F135" s="652">
        <v>1</v>
      </c>
      <c r="G135" s="653">
        <v>1</v>
      </c>
      <c r="J135"/>
      <c r="K135"/>
      <c r="L135"/>
      <c r="M135"/>
      <c r="N135"/>
      <c r="O135"/>
      <c r="P135"/>
      <c r="Q135"/>
      <c r="R135"/>
    </row>
    <row r="136" spans="2:18" ht="15" thickBot="1">
      <c r="B136" s="545" t="s">
        <v>153</v>
      </c>
      <c r="C136" s="369">
        <f>SUM(C121:C135)</f>
        <v>89862</v>
      </c>
      <c r="D136" s="369">
        <f t="shared" ref="D136:G136" si="1">SUM(D121:D135)</f>
        <v>91509</v>
      </c>
      <c r="E136" s="369">
        <f t="shared" si="1"/>
        <v>93573</v>
      </c>
      <c r="F136" s="369">
        <f t="shared" si="1"/>
        <v>95671.755798028622</v>
      </c>
      <c r="G136" s="370">
        <f t="shared" si="1"/>
        <v>96835.755798028622</v>
      </c>
      <c r="J136"/>
      <c r="K136"/>
      <c r="L136"/>
      <c r="M136"/>
      <c r="N136"/>
      <c r="O136"/>
      <c r="P136"/>
      <c r="Q136"/>
      <c r="R136"/>
    </row>
    <row r="137" spans="2:18" ht="14.45">
      <c r="B137" s="539" t="s">
        <v>154</v>
      </c>
      <c r="C137"/>
      <c r="D137"/>
      <c r="E137" s="544"/>
      <c r="F137" s="544"/>
      <c r="G137" s="544"/>
      <c r="J137"/>
      <c r="K137"/>
      <c r="L137"/>
      <c r="M137"/>
      <c r="N137"/>
      <c r="O137"/>
      <c r="P137"/>
      <c r="Q137"/>
      <c r="R137"/>
    </row>
    <row r="138" spans="2:18" ht="14.45">
      <c r="B138" s="797" t="s">
        <v>155</v>
      </c>
      <c r="C138" s="797"/>
      <c r="D138" s="797"/>
      <c r="E138" s="321"/>
      <c r="F138" s="321"/>
      <c r="G138" s="321"/>
      <c r="J138"/>
      <c r="K138"/>
      <c r="L138"/>
      <c r="M138"/>
      <c r="N138"/>
      <c r="O138"/>
      <c r="P138"/>
      <c r="Q138"/>
      <c r="R138"/>
    </row>
    <row r="139" spans="2:18" ht="14.45">
      <c r="B139" s="337" t="s">
        <v>149</v>
      </c>
      <c r="J139"/>
      <c r="K139"/>
      <c r="L139"/>
      <c r="M139"/>
      <c r="N139"/>
      <c r="O139"/>
      <c r="P139"/>
      <c r="Q139"/>
      <c r="R139"/>
    </row>
    <row r="140" spans="2:18" ht="15" thickBot="1">
      <c r="B140" s="322" t="s">
        <v>156</v>
      </c>
      <c r="J140"/>
      <c r="K140"/>
      <c r="L140"/>
      <c r="M140"/>
      <c r="N140"/>
      <c r="O140"/>
      <c r="P140"/>
      <c r="Q140"/>
      <c r="R140"/>
    </row>
    <row r="141" spans="2:18" ht="15" thickBot="1">
      <c r="B141" s="314" t="s">
        <v>98</v>
      </c>
      <c r="C141" s="781" t="s">
        <v>157</v>
      </c>
      <c r="D141" s="782"/>
      <c r="E141" s="782"/>
      <c r="F141" s="782"/>
      <c r="G141" s="783"/>
      <c r="J141"/>
      <c r="K141"/>
      <c r="L141"/>
      <c r="M141"/>
      <c r="N141"/>
      <c r="O141"/>
      <c r="P141"/>
      <c r="Q141"/>
      <c r="R141"/>
    </row>
    <row r="142" spans="2:18" ht="15" thickBot="1">
      <c r="B142" s="324" t="s">
        <v>14</v>
      </c>
      <c r="C142" s="601">
        <v>2023</v>
      </c>
      <c r="D142" s="602">
        <v>2024</v>
      </c>
      <c r="E142" s="602">
        <v>2025</v>
      </c>
      <c r="F142" s="323">
        <v>2026</v>
      </c>
      <c r="G142" s="328" t="s">
        <v>100</v>
      </c>
      <c r="J142"/>
      <c r="K142"/>
      <c r="L142"/>
      <c r="M142"/>
      <c r="N142"/>
      <c r="O142"/>
      <c r="P142"/>
      <c r="Q142"/>
      <c r="R142"/>
    </row>
    <row r="143" spans="2:18" ht="14.45">
      <c r="B143" s="426" t="s">
        <v>101</v>
      </c>
      <c r="C143" s="633">
        <v>656.59930365212495</v>
      </c>
      <c r="D143" s="634">
        <v>1764</v>
      </c>
      <c r="E143" s="634">
        <v>2401</v>
      </c>
      <c r="F143" s="634">
        <v>2068</v>
      </c>
      <c r="G143" s="635">
        <v>1137</v>
      </c>
      <c r="I143" s="525"/>
      <c r="J143"/>
      <c r="K143"/>
      <c r="L143"/>
      <c r="M143"/>
      <c r="N143"/>
      <c r="O143"/>
      <c r="P143"/>
      <c r="Q143"/>
      <c r="R143"/>
    </row>
    <row r="144" spans="2:18" ht="14.45">
      <c r="B144" s="426" t="s">
        <v>102</v>
      </c>
      <c r="C144" s="636">
        <v>417.40377990962293</v>
      </c>
      <c r="D144" s="637">
        <v>-123</v>
      </c>
      <c r="E144" s="637">
        <v>-326.14457864270798</v>
      </c>
      <c r="F144" s="637">
        <v>19.627901253415075</v>
      </c>
      <c r="G144" s="638">
        <v>21</v>
      </c>
      <c r="I144" s="525"/>
      <c r="J144"/>
      <c r="K144"/>
      <c r="L144"/>
      <c r="M144"/>
      <c r="N144"/>
      <c r="O144"/>
      <c r="P144"/>
      <c r="Q144"/>
      <c r="R144"/>
    </row>
    <row r="145" spans="2:18" ht="14.45">
      <c r="B145" s="426" t="s">
        <v>103</v>
      </c>
      <c r="C145" s="636">
        <v>1.7126824209200686</v>
      </c>
      <c r="D145" s="637">
        <v>-1</v>
      </c>
      <c r="E145" s="637">
        <v>-0.53018685220919304</v>
      </c>
      <c r="F145" s="637">
        <v>4.3745327214304464E-2</v>
      </c>
      <c r="G145" s="638">
        <v>0</v>
      </c>
      <c r="I145" s="525"/>
      <c r="J145"/>
      <c r="K145"/>
      <c r="L145"/>
      <c r="M145"/>
      <c r="N145"/>
      <c r="O145"/>
      <c r="P145"/>
      <c r="Q145"/>
      <c r="R145"/>
    </row>
    <row r="146" spans="2:18" ht="14.45">
      <c r="B146" s="426" t="s">
        <v>104</v>
      </c>
      <c r="C146" s="636">
        <v>4.5345118156900508</v>
      </c>
      <c r="D146" s="637">
        <v>-1</v>
      </c>
      <c r="E146" s="637">
        <v>-0.38835822129150355</v>
      </c>
      <c r="F146" s="637">
        <v>7.0748220541893225E-2</v>
      </c>
      <c r="G146" s="638">
        <v>0</v>
      </c>
      <c r="I146" s="525"/>
      <c r="J146"/>
      <c r="K146"/>
      <c r="L146"/>
      <c r="M146"/>
      <c r="N146"/>
      <c r="O146"/>
      <c r="P146"/>
      <c r="Q146"/>
      <c r="R146"/>
    </row>
    <row r="147" spans="2:18" ht="14.45">
      <c r="B147" s="426" t="s">
        <v>105</v>
      </c>
      <c r="C147" s="636">
        <v>-5.5746351581598628</v>
      </c>
      <c r="D147" s="637">
        <v>-1</v>
      </c>
      <c r="E147" s="637">
        <v>1.0631237162086802</v>
      </c>
      <c r="F147" s="637">
        <v>1.340322745172795E-2</v>
      </c>
      <c r="G147" s="638">
        <v>0</v>
      </c>
      <c r="I147" s="525"/>
      <c r="J147"/>
      <c r="K147"/>
      <c r="L147"/>
      <c r="M147"/>
      <c r="N147"/>
      <c r="O147"/>
      <c r="P147"/>
      <c r="Q147"/>
      <c r="R147"/>
    </row>
    <row r="148" spans="2:18" ht="14.45">
      <c r="B148" s="426" t="s">
        <v>19</v>
      </c>
      <c r="C148" s="636">
        <v>30.874861100822272</v>
      </c>
      <c r="D148" s="637">
        <v>8</v>
      </c>
      <c r="E148" s="637">
        <v>10</v>
      </c>
      <c r="F148" s="637">
        <v>7</v>
      </c>
      <c r="G148" s="638">
        <v>4</v>
      </c>
      <c r="I148" s="525"/>
      <c r="J148"/>
      <c r="K148"/>
      <c r="L148"/>
      <c r="M148"/>
      <c r="N148"/>
      <c r="O148"/>
      <c r="P148"/>
      <c r="Q148"/>
      <c r="R148"/>
    </row>
    <row r="149" spans="2:18" ht="14.45">
      <c r="B149" s="426" t="s">
        <v>18</v>
      </c>
      <c r="C149" s="639">
        <v>103</v>
      </c>
      <c r="D149" s="640">
        <v>0</v>
      </c>
      <c r="E149" s="640">
        <v>-22</v>
      </c>
      <c r="F149" s="640">
        <v>4</v>
      </c>
      <c r="G149" s="641">
        <v>2</v>
      </c>
      <c r="I149" s="525"/>
      <c r="J149"/>
      <c r="K149"/>
      <c r="L149"/>
      <c r="M149"/>
      <c r="N149"/>
      <c r="O149"/>
      <c r="P149"/>
      <c r="Q149"/>
      <c r="R149"/>
    </row>
    <row r="150" spans="2:18" ht="14.45">
      <c r="B150" s="426" t="s">
        <v>106</v>
      </c>
      <c r="C150" s="639">
        <v>-95.797697977627976</v>
      </c>
      <c r="D150" s="640">
        <v>0</v>
      </c>
      <c r="E150" s="640">
        <v>0</v>
      </c>
      <c r="F150" s="640">
        <v>0</v>
      </c>
      <c r="G150" s="641">
        <v>0</v>
      </c>
      <c r="I150" s="525"/>
      <c r="J150"/>
      <c r="K150"/>
      <c r="L150"/>
      <c r="M150"/>
      <c r="N150"/>
      <c r="O150"/>
      <c r="P150"/>
      <c r="Q150"/>
      <c r="R150"/>
    </row>
    <row r="151" spans="2:18" ht="14.45">
      <c r="B151" s="426" t="s">
        <v>107</v>
      </c>
      <c r="C151" s="639">
        <v>0.35634121046003431</v>
      </c>
      <c r="D151" s="640">
        <v>0</v>
      </c>
      <c r="E151" s="640">
        <v>0</v>
      </c>
      <c r="F151" s="640">
        <v>0</v>
      </c>
      <c r="G151" s="641">
        <v>0</v>
      </c>
      <c r="I151" s="525"/>
      <c r="J151"/>
      <c r="K151"/>
      <c r="L151"/>
      <c r="M151"/>
      <c r="N151"/>
      <c r="O151"/>
      <c r="P151"/>
      <c r="Q151"/>
      <c r="R151"/>
    </row>
    <row r="152" spans="2:18" ht="14.45">
      <c r="B152" s="426" t="s">
        <v>108</v>
      </c>
      <c r="C152" s="639">
        <v>-1.6436587895399657</v>
      </c>
      <c r="D152" s="640">
        <v>0</v>
      </c>
      <c r="E152" s="640">
        <v>0</v>
      </c>
      <c r="F152" s="640">
        <v>0</v>
      </c>
      <c r="G152" s="641">
        <v>0</v>
      </c>
      <c r="I152" s="525"/>
      <c r="J152"/>
      <c r="K152"/>
      <c r="L152"/>
      <c r="M152"/>
      <c r="N152"/>
      <c r="O152"/>
      <c r="P152"/>
      <c r="Q152"/>
      <c r="R152"/>
    </row>
    <row r="153" spans="2:18" ht="14.45">
      <c r="B153" s="426" t="s">
        <v>109</v>
      </c>
      <c r="C153" s="639">
        <v>-0.82182939476998285</v>
      </c>
      <c r="D153" s="640">
        <v>0</v>
      </c>
      <c r="E153" s="640">
        <v>0</v>
      </c>
      <c r="F153" s="640">
        <v>0</v>
      </c>
      <c r="G153" s="641">
        <v>0</v>
      </c>
      <c r="I153" s="525"/>
      <c r="J153"/>
      <c r="K153"/>
      <c r="L153"/>
      <c r="M153"/>
      <c r="N153"/>
      <c r="O153"/>
      <c r="P153"/>
      <c r="Q153"/>
      <c r="R153"/>
    </row>
    <row r="154" spans="2:18" ht="14.45">
      <c r="B154" s="426" t="s">
        <v>110</v>
      </c>
      <c r="C154" s="639">
        <v>0</v>
      </c>
      <c r="D154" s="640">
        <v>0</v>
      </c>
      <c r="E154" s="640">
        <v>0</v>
      </c>
      <c r="F154" s="640">
        <v>0</v>
      </c>
      <c r="G154" s="641">
        <v>0</v>
      </c>
      <c r="I154" s="525"/>
      <c r="J154"/>
      <c r="K154"/>
      <c r="L154"/>
      <c r="M154"/>
      <c r="N154"/>
      <c r="O154"/>
      <c r="P154"/>
      <c r="Q154"/>
      <c r="R154"/>
    </row>
    <row r="155" spans="2:18" ht="14.45">
      <c r="B155" s="426" t="s">
        <v>111</v>
      </c>
      <c r="C155" s="639">
        <v>1</v>
      </c>
      <c r="D155" s="640">
        <v>0</v>
      </c>
      <c r="E155" s="640">
        <v>-1</v>
      </c>
      <c r="F155" s="640">
        <v>0</v>
      </c>
      <c r="G155" s="641">
        <v>0</v>
      </c>
      <c r="I155" s="525"/>
      <c r="J155"/>
      <c r="K155"/>
      <c r="L155"/>
      <c r="M155"/>
      <c r="N155"/>
      <c r="O155"/>
      <c r="P155"/>
      <c r="Q155"/>
      <c r="R155"/>
    </row>
    <row r="156" spans="2:18" ht="14.45">
      <c r="B156" s="426" t="s">
        <v>112</v>
      </c>
      <c r="C156" s="639">
        <v>0.17817060523001715</v>
      </c>
      <c r="D156" s="640">
        <v>0</v>
      </c>
      <c r="E156" s="640">
        <v>2</v>
      </c>
      <c r="F156" s="640">
        <v>0</v>
      </c>
      <c r="G156" s="641">
        <v>0</v>
      </c>
      <c r="I156" s="525"/>
      <c r="J156"/>
      <c r="K156"/>
      <c r="L156"/>
      <c r="M156"/>
      <c r="N156"/>
      <c r="O156"/>
      <c r="P156"/>
      <c r="Q156"/>
      <c r="R156"/>
    </row>
    <row r="157" spans="2:18" ht="15" thickBot="1">
      <c r="B157" s="429"/>
      <c r="C157" s="642">
        <v>0</v>
      </c>
      <c r="D157" s="643">
        <v>1</v>
      </c>
      <c r="E157" s="643">
        <v>0</v>
      </c>
      <c r="F157" s="643">
        <v>0</v>
      </c>
      <c r="G157" s="644">
        <v>0</v>
      </c>
      <c r="J157"/>
      <c r="K157"/>
      <c r="L157"/>
      <c r="M157"/>
      <c r="N157"/>
      <c r="O157"/>
      <c r="P157"/>
      <c r="Q157"/>
      <c r="R157"/>
    </row>
    <row r="158" spans="2:18" ht="15" thickBot="1">
      <c r="B158" s="320" t="s">
        <v>153</v>
      </c>
      <c r="C158" s="367">
        <f>SUM(C143:C156)</f>
        <v>1111.8218293947723</v>
      </c>
      <c r="D158" s="368">
        <f>SUM(D143:D156)</f>
        <v>1646</v>
      </c>
      <c r="E158" s="368">
        <f>SUM(E143:E156)</f>
        <v>2064</v>
      </c>
      <c r="F158" s="368">
        <f>SUM(F143:F156)</f>
        <v>2098.7557980286233</v>
      </c>
      <c r="G158" s="371">
        <f>SUM(G143:G156)</f>
        <v>1164</v>
      </c>
      <c r="J158"/>
      <c r="K158"/>
      <c r="L158"/>
      <c r="M158"/>
      <c r="N158"/>
      <c r="O158"/>
      <c r="P158"/>
      <c r="Q158"/>
      <c r="R158"/>
    </row>
    <row r="159" spans="2:18" ht="14.45">
      <c r="B159" s="539" t="s">
        <v>154</v>
      </c>
      <c r="J159"/>
      <c r="K159"/>
      <c r="L159"/>
      <c r="M159"/>
      <c r="N159"/>
      <c r="O159"/>
      <c r="P159"/>
      <c r="Q159"/>
      <c r="R159"/>
    </row>
    <row r="160" spans="2:18" ht="14.45">
      <c r="B160" s="797" t="s">
        <v>155</v>
      </c>
      <c r="C160" s="797"/>
      <c r="D160" s="797"/>
      <c r="E160" s="321"/>
      <c r="F160" s="321"/>
      <c r="G160" s="321"/>
      <c r="J160"/>
      <c r="K160"/>
      <c r="L160"/>
      <c r="M160"/>
      <c r="N160"/>
      <c r="O160"/>
      <c r="P160"/>
      <c r="Q160"/>
      <c r="R160"/>
    </row>
    <row r="161" spans="2:18" ht="14.45">
      <c r="B161" s="337" t="s">
        <v>149</v>
      </c>
      <c r="J161"/>
      <c r="K161"/>
      <c r="L161"/>
      <c r="M161"/>
      <c r="N161"/>
      <c r="O161"/>
      <c r="P161"/>
      <c r="Q161"/>
      <c r="R161"/>
    </row>
    <row r="163" spans="2:18" ht="14.45" customHeight="1" thickBot="1">
      <c r="B163" s="322" t="s">
        <v>158</v>
      </c>
      <c r="C163" s="322"/>
      <c r="D163" s="322"/>
      <c r="E163" s="322"/>
      <c r="F163" s="322"/>
      <c r="G163" s="322"/>
    </row>
    <row r="164" spans="2:18" ht="14.45" thickBot="1">
      <c r="B164" s="314" t="s">
        <v>98</v>
      </c>
      <c r="C164" s="781" t="s">
        <v>99</v>
      </c>
      <c r="D164" s="782"/>
      <c r="E164" s="782"/>
      <c r="F164" s="782"/>
      <c r="G164" s="783"/>
    </row>
    <row r="165" spans="2:18" ht="14.45" thickBot="1">
      <c r="B165" s="324" t="s">
        <v>14</v>
      </c>
      <c r="C165" s="601">
        <v>2023</v>
      </c>
      <c r="D165" s="602">
        <v>2024</v>
      </c>
      <c r="E165" s="602">
        <v>2025</v>
      </c>
      <c r="F165" s="323">
        <v>2026</v>
      </c>
      <c r="G165" s="328" t="s">
        <v>100</v>
      </c>
    </row>
    <row r="166" spans="2:18">
      <c r="B166" s="527" t="s">
        <v>101</v>
      </c>
      <c r="C166" s="627">
        <f t="shared" ref="C166:G174" si="2">+C5</f>
        <v>6.625</v>
      </c>
      <c r="D166" s="628">
        <f t="shared" si="2"/>
        <v>6.5799724400000015</v>
      </c>
      <c r="E166" s="628">
        <f t="shared" si="2"/>
        <v>6.5829725917207229</v>
      </c>
      <c r="F166" s="628">
        <f t="shared" si="2"/>
        <v>6.598367012877854</v>
      </c>
      <c r="G166" s="629">
        <f t="shared" si="2"/>
        <v>3.6403096057494628</v>
      </c>
    </row>
    <row r="167" spans="2:18">
      <c r="B167" s="318" t="s">
        <v>102</v>
      </c>
      <c r="C167" s="630">
        <f t="shared" si="2"/>
        <v>4.71746</v>
      </c>
      <c r="D167" s="631">
        <f t="shared" si="2"/>
        <v>4.7481808100000009</v>
      </c>
      <c r="E167" s="631">
        <f t="shared" si="2"/>
        <v>4.6409016857241419</v>
      </c>
      <c r="F167" s="631">
        <f t="shared" si="2"/>
        <v>4.5549524253555598</v>
      </c>
      <c r="G167" s="632">
        <f t="shared" si="2"/>
        <v>2.5039180254451758</v>
      </c>
    </row>
    <row r="168" spans="2:18">
      <c r="B168" s="318" t="s">
        <v>103</v>
      </c>
      <c r="C168" s="630">
        <f t="shared" si="2"/>
        <v>0.158335</v>
      </c>
      <c r="D168" s="631">
        <f t="shared" si="2"/>
        <v>0.17855099999999999</v>
      </c>
      <c r="E168" s="631">
        <f t="shared" si="2"/>
        <v>0.16702649240901113</v>
      </c>
      <c r="F168" s="631">
        <f t="shared" si="2"/>
        <v>0.16393317036586744</v>
      </c>
      <c r="G168" s="632">
        <f t="shared" si="2"/>
        <v>9.0116247529287555E-2</v>
      </c>
    </row>
    <row r="169" spans="2:18">
      <c r="B169" s="318" t="s">
        <v>104</v>
      </c>
      <c r="C169" s="630">
        <f t="shared" si="2"/>
        <v>0.25620199999999999</v>
      </c>
      <c r="D169" s="631">
        <f t="shared" si="2"/>
        <v>0.224687</v>
      </c>
      <c r="E169" s="631">
        <f t="shared" si="2"/>
        <v>0.21018466152473794</v>
      </c>
      <c r="F169" s="631">
        <f t="shared" si="2"/>
        <v>0.20629205241077148</v>
      </c>
      <c r="G169" s="632">
        <f t="shared" si="2"/>
        <v>0.11340148925860417</v>
      </c>
    </row>
    <row r="170" spans="2:18">
      <c r="B170" s="318" t="s">
        <v>105</v>
      </c>
      <c r="C170" s="630">
        <f t="shared" si="2"/>
        <v>3.0000000000000001E-6</v>
      </c>
      <c r="D170" s="631">
        <f t="shared" si="2"/>
        <v>0</v>
      </c>
      <c r="E170" s="631">
        <f t="shared" si="2"/>
        <v>0</v>
      </c>
      <c r="F170" s="631">
        <f t="shared" si="2"/>
        <v>0</v>
      </c>
      <c r="G170" s="632">
        <f t="shared" si="2"/>
        <v>0</v>
      </c>
      <c r="I170" s="725"/>
    </row>
    <row r="171" spans="2:18">
      <c r="B171" s="318" t="s">
        <v>19</v>
      </c>
      <c r="C171" s="630">
        <f t="shared" si="2"/>
        <v>195.916</v>
      </c>
      <c r="D171" s="631">
        <f t="shared" si="2"/>
        <v>170.69513268</v>
      </c>
      <c r="E171" s="631">
        <f t="shared" si="2"/>
        <v>150.2117167584</v>
      </c>
      <c r="F171" s="631">
        <f t="shared" si="2"/>
        <v>139.696896585312</v>
      </c>
      <c r="G171" s="632">
        <f t="shared" si="2"/>
        <v>74.621106649967885</v>
      </c>
    </row>
    <row r="172" spans="2:18">
      <c r="B172" s="318" t="s">
        <v>18</v>
      </c>
      <c r="C172" s="630">
        <f t="shared" si="2"/>
        <v>589.98338899999999</v>
      </c>
      <c r="D172" s="631">
        <f t="shared" si="2"/>
        <v>356.38757644000003</v>
      </c>
      <c r="E172" s="631">
        <f t="shared" si="2"/>
        <v>168.37021393830312</v>
      </c>
      <c r="F172" s="631">
        <f t="shared" si="2"/>
        <v>164.04485933953706</v>
      </c>
      <c r="G172" s="632">
        <f t="shared" si="2"/>
        <v>88.002762680498634</v>
      </c>
    </row>
    <row r="173" spans="2:18">
      <c r="B173" s="318" t="s">
        <v>106</v>
      </c>
      <c r="C173" s="630">
        <f t="shared" si="2"/>
        <v>32.976315999999997</v>
      </c>
      <c r="D173" s="631">
        <f t="shared" si="2"/>
        <v>35.908755999999997</v>
      </c>
      <c r="E173" s="631">
        <f t="shared" si="2"/>
        <v>35.908755999999997</v>
      </c>
      <c r="F173" s="631">
        <f t="shared" si="2"/>
        <v>35.908755999999997</v>
      </c>
      <c r="G173" s="632">
        <f t="shared" si="2"/>
        <v>19.774410838356161</v>
      </c>
    </row>
    <row r="174" spans="2:18">
      <c r="B174" s="318" t="s">
        <v>107</v>
      </c>
      <c r="C174" s="630">
        <f t="shared" si="2"/>
        <v>10.806295</v>
      </c>
      <c r="D174" s="631">
        <f t="shared" si="2"/>
        <v>11.988759999999999</v>
      </c>
      <c r="E174" s="631">
        <f t="shared" si="2"/>
        <v>11.988759999999999</v>
      </c>
      <c r="F174" s="631">
        <f t="shared" si="2"/>
        <v>11.988759999999999</v>
      </c>
      <c r="G174" s="632">
        <f t="shared" si="2"/>
        <v>6.602029479452054</v>
      </c>
    </row>
    <row r="175" spans="2:18">
      <c r="B175" s="318" t="s">
        <v>112</v>
      </c>
      <c r="C175" s="630">
        <f t="shared" ref="C175:G176" si="3">+C18</f>
        <v>60.162090999999997</v>
      </c>
      <c r="D175" s="631">
        <f t="shared" si="3"/>
        <v>227.36823400000011</v>
      </c>
      <c r="E175" s="631">
        <f t="shared" si="3"/>
        <v>92.927400000000006</v>
      </c>
      <c r="F175" s="631">
        <f t="shared" si="3"/>
        <v>402.85653478460074</v>
      </c>
      <c r="G175" s="632">
        <f t="shared" si="3"/>
        <v>221.84702326494451</v>
      </c>
    </row>
    <row r="176" spans="2:18" ht="14.45" thickBot="1">
      <c r="B176" s="318" t="s">
        <v>113</v>
      </c>
      <c r="C176" s="630">
        <f t="shared" si="3"/>
        <v>0</v>
      </c>
      <c r="D176" s="631">
        <f t="shared" si="3"/>
        <v>236.550927</v>
      </c>
      <c r="E176" s="631">
        <f t="shared" si="3"/>
        <v>341.25960697449705</v>
      </c>
      <c r="F176" s="631">
        <f t="shared" si="3"/>
        <v>334.43441483500703</v>
      </c>
      <c r="G176" s="632">
        <f t="shared" si="3"/>
        <v>180.48463297041005</v>
      </c>
    </row>
    <row r="177" spans="2:7" ht="14.45" thickBot="1">
      <c r="B177" s="545" t="s">
        <v>114</v>
      </c>
      <c r="C177" s="546">
        <f>SUM(C166:C176)</f>
        <v>901.601091</v>
      </c>
      <c r="D177" s="369">
        <f>SUM(D166:D176)</f>
        <v>1050.63077737</v>
      </c>
      <c r="E177" s="369">
        <f>SUM(E166:E176)</f>
        <v>812.26753910257878</v>
      </c>
      <c r="F177" s="369">
        <f>SUM(F166:F176)</f>
        <v>1100.4537662054668</v>
      </c>
      <c r="G177" s="370">
        <f>SUM(G166:G176)</f>
        <v>597.67971125161182</v>
      </c>
    </row>
    <row r="178" spans="2:7">
      <c r="B178" s="800" t="s">
        <v>159</v>
      </c>
      <c r="C178" s="800"/>
      <c r="D178" s="800"/>
      <c r="E178" s="800"/>
      <c r="F178" s="800"/>
      <c r="G178" s="800"/>
    </row>
    <row r="179" spans="2:7">
      <c r="B179" s="809" t="s">
        <v>155</v>
      </c>
      <c r="C179" s="809"/>
      <c r="D179" s="809"/>
      <c r="E179" s="809"/>
      <c r="F179" s="809"/>
      <c r="G179" s="809"/>
    </row>
    <row r="180" spans="2:7">
      <c r="B180" s="809" t="s">
        <v>149</v>
      </c>
      <c r="C180" s="809"/>
      <c r="D180" s="809"/>
      <c r="E180" s="809"/>
      <c r="F180" s="809"/>
      <c r="G180" s="809"/>
    </row>
    <row r="182" spans="2:7" ht="14.45" customHeight="1" thickBot="1">
      <c r="B182" s="322" t="s">
        <v>160</v>
      </c>
    </row>
    <row r="183" spans="2:7" ht="14.45" thickBot="1">
      <c r="B183" s="314" t="s">
        <v>98</v>
      </c>
      <c r="C183" s="781" t="s">
        <v>119</v>
      </c>
      <c r="D183" s="782"/>
      <c r="E183" s="782"/>
      <c r="F183" s="782"/>
      <c r="G183" s="801"/>
    </row>
    <row r="184" spans="2:7" ht="14.45" thickBot="1">
      <c r="B184" s="338" t="s">
        <v>161</v>
      </c>
      <c r="C184" s="601">
        <v>2023</v>
      </c>
      <c r="D184" s="602">
        <v>2024</v>
      </c>
      <c r="E184" s="602">
        <v>2025</v>
      </c>
      <c r="F184" s="323">
        <v>2026</v>
      </c>
      <c r="G184" s="328" t="s">
        <v>100</v>
      </c>
    </row>
    <row r="185" spans="2:7" ht="14.45" thickBot="1">
      <c r="B185" s="434" t="s">
        <v>162</v>
      </c>
      <c r="C185" s="624">
        <f>OPEX!H50</f>
        <v>9311.4747128576491</v>
      </c>
      <c r="D185" s="625">
        <f>OPEX!I50</f>
        <v>7716.368265809836</v>
      </c>
      <c r="E185" s="625">
        <f>OPEX!J50</f>
        <v>9341.4381147318963</v>
      </c>
      <c r="F185" s="625">
        <f>OPEX!K50</f>
        <v>9341.4381147318963</v>
      </c>
      <c r="G185" s="626">
        <f>OPEX!L50*Inputs!C11</f>
        <v>5144.189208386606</v>
      </c>
    </row>
    <row r="186" spans="2:7">
      <c r="B186" s="539" t="s">
        <v>159</v>
      </c>
      <c r="C186" s="722"/>
      <c r="D186" s="722"/>
      <c r="E186" s="722"/>
      <c r="F186" s="722"/>
      <c r="G186" s="722"/>
    </row>
    <row r="188" spans="2:7" ht="14.45" thickBot="1">
      <c r="B188" s="322" t="s">
        <v>163</v>
      </c>
    </row>
    <row r="189" spans="2:7" ht="14.45" thickBot="1">
      <c r="B189" s="804" t="s">
        <v>164</v>
      </c>
      <c r="C189" s="805"/>
      <c r="D189" s="805"/>
      <c r="E189" s="805"/>
      <c r="F189" s="805"/>
      <c r="G189" s="806"/>
    </row>
    <row r="190" spans="2:7" ht="14.45" thickBot="1">
      <c r="B190" s="316" t="s">
        <v>165</v>
      </c>
      <c r="C190" s="601">
        <v>2023</v>
      </c>
      <c r="D190" s="602">
        <v>2024</v>
      </c>
      <c r="E190" s="602">
        <v>2025</v>
      </c>
      <c r="F190" s="323">
        <v>2026</v>
      </c>
      <c r="G190" s="328" t="s">
        <v>100</v>
      </c>
    </row>
    <row r="191" spans="2:7">
      <c r="B191" s="318" t="s">
        <v>111</v>
      </c>
      <c r="C191" s="592">
        <f>+C18/C20*C193</f>
        <v>2.2888183585634408E-2</v>
      </c>
      <c r="D191" s="592">
        <f>+D18/D20*D193</f>
        <v>4.7350661107114375E-2</v>
      </c>
      <c r="E191" s="592">
        <f>+E18/E20*E193</f>
        <v>3.3763818810440542E-2</v>
      </c>
      <c r="F191" s="592">
        <f>+F18/F20*F193</f>
        <v>0.10804022604856076</v>
      </c>
      <c r="G191" s="623">
        <f>+G18/G20*G193</f>
        <v>6.0324698166876113E-2</v>
      </c>
    </row>
    <row r="192" spans="2:7" ht="14.45" thickBot="1">
      <c r="B192" s="319" t="s">
        <v>166</v>
      </c>
      <c r="C192" s="565">
        <f>+C193-C191</f>
        <v>0.35615298527387385</v>
      </c>
      <c r="D192" s="565">
        <f t="shared" ref="D192:G192" si="4">+D193-D191</f>
        <v>0.24500084501418729</v>
      </c>
      <c r="E192" s="565">
        <f t="shared" si="4"/>
        <v>0.26136177402721439</v>
      </c>
      <c r="F192" s="565">
        <f t="shared" si="4"/>
        <v>0.18708536678909418</v>
      </c>
      <c r="G192" s="620">
        <f t="shared" si="4"/>
        <v>0.1021965187108462</v>
      </c>
    </row>
    <row r="193" spans="2:12" ht="14.45" thickBot="1">
      <c r="B193" s="341" t="s">
        <v>167</v>
      </c>
      <c r="C193" s="547">
        <f>+OPEX!H57/1000</f>
        <v>0.37904116885950828</v>
      </c>
      <c r="D193" s="547">
        <f>+OPEX!I57/1000</f>
        <v>0.29235150612130167</v>
      </c>
      <c r="E193" s="547">
        <f>+OPEX!J57/1000</f>
        <v>0.29512559283765494</v>
      </c>
      <c r="F193" s="547">
        <f>+OPEX!K57/1000</f>
        <v>0.29512559283765494</v>
      </c>
      <c r="G193" s="548">
        <f>+OPEX!L57/1000*Inputs!C11</f>
        <v>0.16252121687772231</v>
      </c>
    </row>
    <row r="194" spans="2:12">
      <c r="B194" s="539" t="s">
        <v>159</v>
      </c>
      <c r="C194" s="722"/>
      <c r="D194" s="722"/>
      <c r="E194" s="722"/>
      <c r="F194" s="722"/>
      <c r="G194" s="722"/>
    </row>
    <row r="196" spans="2:12" ht="14.45" customHeight="1" thickBot="1">
      <c r="B196" s="322" t="s">
        <v>168</v>
      </c>
      <c r="C196" s="322"/>
      <c r="D196" s="322"/>
      <c r="E196" s="322"/>
      <c r="F196" s="322"/>
      <c r="G196" s="322"/>
    </row>
    <row r="197" spans="2:12" ht="14.45" thickBot="1">
      <c r="B197" s="342" t="s">
        <v>98</v>
      </c>
      <c r="C197" s="781" t="s">
        <v>169</v>
      </c>
      <c r="D197" s="782"/>
      <c r="E197" s="782"/>
      <c r="F197" s="782"/>
      <c r="G197" s="783"/>
    </row>
    <row r="198" spans="2:12" ht="14.45" thickBot="1">
      <c r="B198" s="334" t="s">
        <v>170</v>
      </c>
      <c r="C198" s="603">
        <v>2023</v>
      </c>
      <c r="D198" s="604">
        <v>2024</v>
      </c>
      <c r="E198" s="604">
        <v>2025</v>
      </c>
      <c r="F198" s="433">
        <v>2026</v>
      </c>
      <c r="G198" s="328" t="s">
        <v>100</v>
      </c>
    </row>
    <row r="199" spans="2:12" ht="14.45" thickBot="1">
      <c r="B199" s="335" t="s">
        <v>40</v>
      </c>
      <c r="C199" s="614">
        <f>+C205-C200-C201</f>
        <v>63.72860274854402</v>
      </c>
      <c r="D199" s="615">
        <f t="shared" ref="D199:G199" si="5">+D205-D200-D201</f>
        <v>76.78312964986084</v>
      </c>
      <c r="E199" s="615">
        <f t="shared" si="5"/>
        <v>91.535654837671132</v>
      </c>
      <c r="F199" s="615">
        <f t="shared" si="5"/>
        <v>90.391087905476439</v>
      </c>
      <c r="G199" s="616">
        <f t="shared" si="5"/>
        <v>51.373138919564795</v>
      </c>
    </row>
    <row r="200" spans="2:12" ht="14.45" thickBot="1">
      <c r="B200" s="335" t="s">
        <v>171</v>
      </c>
      <c r="C200" s="617">
        <f>+OPEX!H55/1000</f>
        <v>4.910923725116791</v>
      </c>
      <c r="D200" s="572">
        <f>+OPEX!I55/1000</f>
        <v>4.7451956033158273</v>
      </c>
      <c r="E200" s="572">
        <f>+OPEX!J55/1000</f>
        <v>4.9408172818925662</v>
      </c>
      <c r="F200" s="572">
        <f>+OPEX!K55/1000</f>
        <v>5.2665411073972477</v>
      </c>
      <c r="G200" s="618">
        <f>+OPEX!L55/1000*Inputs!C11</f>
        <v>2.8834082759413238</v>
      </c>
      <c r="I200" s="686"/>
      <c r="J200" s="686"/>
      <c r="K200" s="686"/>
      <c r="L200" s="686"/>
    </row>
    <row r="201" spans="2:12" ht="14.45" thickBot="1">
      <c r="B201" s="335" t="s">
        <v>172</v>
      </c>
      <c r="C201" s="619">
        <f>+SUM(C202:C204)</f>
        <v>8.0812821580473564</v>
      </c>
      <c r="D201" s="565">
        <f t="shared" ref="D201:G201" si="6">+SUM(D202:D204)</f>
        <v>25.548359972509974</v>
      </c>
      <c r="E201" s="565">
        <f t="shared" si="6"/>
        <v>76.296120417767725</v>
      </c>
      <c r="F201" s="565">
        <f t="shared" si="6"/>
        <v>89.964230204248338</v>
      </c>
      <c r="G201" s="620">
        <f t="shared" si="6"/>
        <v>50.134008135092841</v>
      </c>
    </row>
    <row r="202" spans="2:12">
      <c r="B202" s="373" t="s">
        <v>173</v>
      </c>
      <c r="C202" s="621">
        <f>+OPEX!H56/1000</f>
        <v>3.3554877248773747</v>
      </c>
      <c r="D202" s="622">
        <f>+OPEX!I56/1000</f>
        <v>12.061723981763611</v>
      </c>
      <c r="E202" s="622">
        <f>+OPEX!J56/1000</f>
        <v>17.985994824930067</v>
      </c>
      <c r="F202" s="622">
        <f>+OPEX!K56/1000</f>
        <v>8.7451046114106852</v>
      </c>
      <c r="G202" s="623">
        <f>+OPEX!L56/1000*Inputs!C11</f>
        <v>4.6892156853384073</v>
      </c>
    </row>
    <row r="203" spans="2:12">
      <c r="B203" s="374" t="s">
        <v>174</v>
      </c>
      <c r="C203" s="621">
        <f>+OPEX!H51/1000</f>
        <v>4.3467532643104727</v>
      </c>
      <c r="D203" s="592">
        <f>+OPEX!I51/1000</f>
        <v>13.194284484625062</v>
      </c>
      <c r="E203" s="592">
        <f>+OPEX!J51/1000</f>
        <v>58.015000000000001</v>
      </c>
      <c r="F203" s="592">
        <f>+OPEX!K51/1000</f>
        <v>80.924000000000007</v>
      </c>
      <c r="G203" s="623">
        <f>+OPEX!L51/1000*Inputs!C11</f>
        <v>45.28227123287671</v>
      </c>
    </row>
    <row r="204" spans="2:12" ht="14.45" thickBot="1">
      <c r="B204" s="375" t="s">
        <v>175</v>
      </c>
      <c r="C204" s="621">
        <f>+OPEX!H57/1000</f>
        <v>0.37904116885950828</v>
      </c>
      <c r="D204" s="592">
        <f>+OPEX!I57/1000</f>
        <v>0.29235150612130167</v>
      </c>
      <c r="E204" s="592">
        <f>+OPEX!J57/1000</f>
        <v>0.29512559283765494</v>
      </c>
      <c r="F204" s="592">
        <f>+OPEX!K57/1000</f>
        <v>0.29512559283765494</v>
      </c>
      <c r="G204" s="623">
        <f>+OPEX!L57/1000*Inputs!C11</f>
        <v>0.16252121687772231</v>
      </c>
    </row>
    <row r="205" spans="2:12" ht="14.45" thickBot="1">
      <c r="B205" s="341" t="s">
        <v>8</v>
      </c>
      <c r="C205" s="549">
        <f>+OPEX!H58/1000</f>
        <v>76.720808631708167</v>
      </c>
      <c r="D205" s="550">
        <f>+OPEX!I58/1000</f>
        <v>107.07668522568663</v>
      </c>
      <c r="E205" s="550">
        <f>+OPEX!J58/1000</f>
        <v>172.77259253733143</v>
      </c>
      <c r="F205" s="550">
        <f>+OPEX!K58/1000</f>
        <v>185.62185921712202</v>
      </c>
      <c r="G205" s="551">
        <f>+OPEX!L58/1000*Inputs!C11</f>
        <v>104.39055533059896</v>
      </c>
    </row>
    <row r="206" spans="2:12">
      <c r="B206" s="539" t="s">
        <v>115</v>
      </c>
      <c r="C206" s="722"/>
      <c r="D206" s="722"/>
      <c r="E206" s="722"/>
      <c r="F206" s="722"/>
      <c r="G206" s="722"/>
    </row>
    <row r="207" spans="2:12">
      <c r="B207" s="539"/>
      <c r="C207" s="525"/>
      <c r="D207" s="525"/>
      <c r="E207" s="525"/>
      <c r="F207" s="525"/>
      <c r="G207" s="525"/>
    </row>
    <row r="208" spans="2:12" ht="14.45" customHeight="1" thickBot="1">
      <c r="B208" s="322" t="s">
        <v>176</v>
      </c>
      <c r="C208" s="322"/>
      <c r="D208" s="322"/>
      <c r="E208" s="322"/>
      <c r="F208" s="322"/>
      <c r="G208" s="322"/>
      <c r="H208" s="322"/>
      <c r="I208" s="322"/>
    </row>
    <row r="209" spans="2:22" ht="14.45" thickBot="1">
      <c r="B209" s="804" t="s">
        <v>177</v>
      </c>
      <c r="C209" s="805"/>
      <c r="D209" s="805"/>
      <c r="E209" s="805"/>
      <c r="F209" s="805"/>
      <c r="G209" s="805"/>
      <c r="H209" s="805"/>
      <c r="I209" s="344"/>
    </row>
    <row r="210" spans="2:22" ht="14.45" thickBot="1">
      <c r="B210" s="345" t="s">
        <v>178</v>
      </c>
      <c r="C210" s="346">
        <v>2022</v>
      </c>
      <c r="D210" s="315">
        <v>2023</v>
      </c>
      <c r="E210" s="315">
        <v>2024</v>
      </c>
      <c r="F210" s="315">
        <v>2025</v>
      </c>
      <c r="G210" s="315">
        <v>2026</v>
      </c>
      <c r="H210" s="346" t="s">
        <v>179</v>
      </c>
      <c r="I210" s="346" t="s">
        <v>180</v>
      </c>
      <c r="K210" s="364" t="s">
        <v>181</v>
      </c>
    </row>
    <row r="211" spans="2:22" ht="14.45">
      <c r="B211" s="347" t="s">
        <v>182</v>
      </c>
      <c r="C211" s="555">
        <f t="shared" ref="C211:I211" si="7">+C212+C217+SUM(C221:C223)</f>
        <v>26.694798391118777</v>
      </c>
      <c r="D211" s="556">
        <f t="shared" si="7"/>
        <v>21.727918345357523</v>
      </c>
      <c r="E211" s="556">
        <f t="shared" si="7"/>
        <v>9.3290830204170057</v>
      </c>
      <c r="F211" s="556">
        <f t="shared" si="7"/>
        <v>279.73449199892423</v>
      </c>
      <c r="G211" s="556">
        <f t="shared" si="7"/>
        <v>415.81793772764263</v>
      </c>
      <c r="H211" s="555">
        <f t="shared" si="7"/>
        <v>43.357593015895532</v>
      </c>
      <c r="I211" s="555">
        <f t="shared" si="7"/>
        <v>769.96702410823696</v>
      </c>
      <c r="K211" s="554">
        <f>+VLOOKUP(B211,'Subinvest 18-22'!$B$58:$P$79,15,0)</f>
        <v>0.99671103832354258</v>
      </c>
      <c r="L211"/>
      <c r="M211"/>
      <c r="N211"/>
      <c r="O211"/>
      <c r="P211"/>
      <c r="Q211"/>
      <c r="R211"/>
      <c r="S211"/>
      <c r="T211"/>
      <c r="U211"/>
      <c r="V211"/>
    </row>
    <row r="212" spans="2:22" ht="14.45">
      <c r="B212" s="348" t="s">
        <v>183</v>
      </c>
      <c r="C212" s="557">
        <f t="shared" ref="C212:H212" si="8">+SUM(C213:C216)</f>
        <v>13.954200157250467</v>
      </c>
      <c r="D212" s="558">
        <f t="shared" si="8"/>
        <v>8.6181527772580431</v>
      </c>
      <c r="E212" s="558">
        <f t="shared" si="8"/>
        <v>3.7002837300728424</v>
      </c>
      <c r="F212" s="558">
        <f t="shared" si="8"/>
        <v>110.95377618769895</v>
      </c>
      <c r="G212" s="558">
        <f t="shared" si="8"/>
        <v>164.92985926683946</v>
      </c>
      <c r="H212" s="557">
        <f t="shared" si="8"/>
        <v>17.197338222922873</v>
      </c>
      <c r="I212" s="557">
        <f t="shared" ref="I212:I231" si="9">+SUM(D212:H212)</f>
        <v>305.3994101847922</v>
      </c>
      <c r="K212" s="554">
        <f>+VLOOKUP(B212,'Subinvest 18-22'!$B$58:$P$79,15,0)</f>
        <v>0.3953349885623626</v>
      </c>
      <c r="L212"/>
      <c r="M212"/>
      <c r="N212"/>
      <c r="O212"/>
      <c r="P212"/>
      <c r="Q212"/>
      <c r="R212"/>
      <c r="S212"/>
      <c r="T212"/>
      <c r="U212"/>
      <c r="V212"/>
    </row>
    <row r="213" spans="2:22" ht="14.45">
      <c r="B213" s="349" t="s">
        <v>184</v>
      </c>
      <c r="C213" s="559">
        <f>+'Subinvest 18-22'!$G$24*'Subinvest 18-22'!N60</f>
        <v>0.12556639541977524</v>
      </c>
      <c r="D213" s="560">
        <f>+D$232*$K213</f>
        <v>0.58285750807360348</v>
      </c>
      <c r="E213" s="560">
        <f t="shared" ref="E213:H216" si="10">+E$232*$K213</f>
        <v>0.25025527045271811</v>
      </c>
      <c r="F213" s="560">
        <f t="shared" si="10"/>
        <v>7.5039562620394937</v>
      </c>
      <c r="G213" s="560">
        <f t="shared" si="10"/>
        <v>11.154432888782594</v>
      </c>
      <c r="H213" s="559">
        <f t="shared" si="10"/>
        <v>1.163079601995739</v>
      </c>
      <c r="I213" s="559">
        <f t="shared" si="9"/>
        <v>20.654581531344149</v>
      </c>
      <c r="K213" s="554">
        <f>+VLOOKUP(B213,'Subinvest 18-22'!$B$58:$P$79,15,0)</f>
        <v>2.673704821012433E-2</v>
      </c>
      <c r="L213"/>
      <c r="M213"/>
      <c r="N213"/>
      <c r="O213"/>
      <c r="P213"/>
      <c r="Q213"/>
      <c r="R213"/>
      <c r="S213"/>
      <c r="T213"/>
      <c r="U213"/>
      <c r="V213"/>
    </row>
    <row r="214" spans="2:22" ht="14.45">
      <c r="B214" s="349" t="s">
        <v>185</v>
      </c>
      <c r="C214" s="559">
        <f>+'Subinvest 18-22'!$G$24*'Subinvest 18-22'!N61</f>
        <v>9.860538119247817</v>
      </c>
      <c r="D214" s="560">
        <f t="shared" ref="D214:D216" si="11">+D$232*$K214</f>
        <v>5.9375727538154646</v>
      </c>
      <c r="E214" s="560">
        <f t="shared" si="10"/>
        <v>2.5493518651751472</v>
      </c>
      <c r="F214" s="560">
        <f t="shared" si="10"/>
        <v>76.442845172515433</v>
      </c>
      <c r="G214" s="560">
        <f t="shared" si="10"/>
        <v>113.6302713567088</v>
      </c>
      <c r="H214" s="559">
        <f t="shared" si="10"/>
        <v>11.848298528662617</v>
      </c>
      <c r="I214" s="559">
        <f t="shared" si="9"/>
        <v>210.40833967687746</v>
      </c>
      <c r="K214" s="554">
        <f>+VLOOKUP(B214,'Subinvest 18-22'!$B$58:$P$79,15,0)</f>
        <v>0.27237046237008816</v>
      </c>
      <c r="L214"/>
      <c r="M214"/>
      <c r="N214"/>
      <c r="O214"/>
      <c r="P214"/>
      <c r="Q214"/>
      <c r="R214"/>
      <c r="S214"/>
      <c r="T214"/>
      <c r="U214"/>
      <c r="V214"/>
    </row>
    <row r="215" spans="2:22" ht="14.45">
      <c r="B215" s="349" t="s">
        <v>186</v>
      </c>
      <c r="C215" s="559">
        <f>+'Subinvest 18-22'!$G$24*'Subinvest 18-22'!N62</f>
        <v>1.772030602337993</v>
      </c>
      <c r="D215" s="560">
        <f t="shared" si="11"/>
        <v>1.3385157872848363</v>
      </c>
      <c r="E215" s="560">
        <f t="shared" si="10"/>
        <v>0.57470415275134346</v>
      </c>
      <c r="F215" s="560">
        <f t="shared" si="10"/>
        <v>17.232623385141999</v>
      </c>
      <c r="G215" s="560">
        <f t="shared" si="10"/>
        <v>25.615839743046237</v>
      </c>
      <c r="H215" s="559">
        <f t="shared" si="10"/>
        <v>2.6709794204858515</v>
      </c>
      <c r="I215" s="559">
        <f t="shared" si="9"/>
        <v>47.432662488710264</v>
      </c>
      <c r="K215" s="554">
        <f>+VLOOKUP(B215,'Subinvest 18-22'!$B$58:$P$79,15,0)</f>
        <v>6.1400875237808336E-2</v>
      </c>
      <c r="L215"/>
      <c r="M215"/>
      <c r="N215"/>
      <c r="O215"/>
      <c r="P215"/>
      <c r="Q215"/>
      <c r="R215"/>
      <c r="S215"/>
      <c r="T215"/>
      <c r="U215"/>
      <c r="V215"/>
    </row>
    <row r="216" spans="2:22" ht="14.45">
      <c r="B216" s="349" t="s">
        <v>187</v>
      </c>
      <c r="C216" s="559">
        <f>+'Subinvest 18-22'!$G$24*'Subinvest 18-22'!N63</f>
        <v>2.1960650402448807</v>
      </c>
      <c r="D216" s="560">
        <f t="shared" si="11"/>
        <v>0.75920672808413803</v>
      </c>
      <c r="E216" s="560">
        <f t="shared" si="10"/>
        <v>0.32597244169363343</v>
      </c>
      <c r="F216" s="560">
        <f t="shared" si="10"/>
        <v>9.7743513680020353</v>
      </c>
      <c r="G216" s="560">
        <f t="shared" si="10"/>
        <v>14.529315278301821</v>
      </c>
      <c r="H216" s="559">
        <f t="shared" si="10"/>
        <v>1.5149806717786654</v>
      </c>
      <c r="I216" s="559">
        <f t="shared" si="9"/>
        <v>26.903826487860293</v>
      </c>
      <c r="K216" s="554">
        <f>+VLOOKUP(B216,'Subinvest 18-22'!$B$58:$P$79,15,0)</f>
        <v>3.4826602744341753E-2</v>
      </c>
      <c r="L216"/>
      <c r="M216"/>
      <c r="N216"/>
      <c r="O216"/>
      <c r="P216"/>
      <c r="Q216"/>
      <c r="R216"/>
      <c r="S216"/>
      <c r="T216"/>
      <c r="U216"/>
      <c r="V216"/>
    </row>
    <row r="217" spans="2:22" ht="14.45">
      <c r="B217" s="348" t="s">
        <v>188</v>
      </c>
      <c r="C217" s="557">
        <f t="shared" ref="C217:H217" si="12">+SUM(C218:C220)</f>
        <v>0.90559161156568502</v>
      </c>
      <c r="D217" s="558">
        <f t="shared" si="12"/>
        <v>1.0252625903417325</v>
      </c>
      <c r="E217" s="558">
        <f t="shared" si="12"/>
        <v>0.44020599079016054</v>
      </c>
      <c r="F217" s="558">
        <f t="shared" si="12"/>
        <v>13.199668063739063</v>
      </c>
      <c r="G217" s="558">
        <f t="shared" si="12"/>
        <v>19.620958122584717</v>
      </c>
      <c r="H217" s="557">
        <f t="shared" si="12"/>
        <v>2.0458894137899626</v>
      </c>
      <c r="I217" s="557">
        <f t="shared" si="9"/>
        <v>36.331984181245637</v>
      </c>
      <c r="K217" s="554">
        <f>+VLOOKUP(B217,'Subinvest 18-22'!$B$58:$P$79,15,0)</f>
        <v>4.7031212476964776E-2</v>
      </c>
      <c r="L217"/>
      <c r="M217"/>
      <c r="N217"/>
      <c r="O217"/>
      <c r="P217"/>
      <c r="Q217"/>
      <c r="R217"/>
      <c r="S217"/>
      <c r="T217"/>
      <c r="U217"/>
      <c r="V217"/>
    </row>
    <row r="218" spans="2:22" ht="14.45">
      <c r="B218" s="349" t="s">
        <v>189</v>
      </c>
      <c r="C218" s="559">
        <f>+'Subinvest 18-22'!$G$24*'Subinvest 18-22'!N65</f>
        <v>0.90559161156568502</v>
      </c>
      <c r="D218" s="560">
        <f t="shared" ref="D218:H222" si="13">+D$232*$K218</f>
        <v>1.0252625903417325</v>
      </c>
      <c r="E218" s="560">
        <f t="shared" si="13"/>
        <v>0.44020599079016054</v>
      </c>
      <c r="F218" s="560">
        <f t="shared" si="13"/>
        <v>13.199668063739063</v>
      </c>
      <c r="G218" s="560">
        <f t="shared" si="13"/>
        <v>19.620958122584717</v>
      </c>
      <c r="H218" s="559">
        <f t="shared" si="13"/>
        <v>2.0458894137899626</v>
      </c>
      <c r="I218" s="559">
        <f t="shared" si="9"/>
        <v>36.331984181245637</v>
      </c>
      <c r="K218" s="554">
        <f>+VLOOKUP(B218,'Subinvest 18-22'!$B$58:$P$79,15,0)</f>
        <v>4.7031212476964776E-2</v>
      </c>
      <c r="L218"/>
      <c r="M218"/>
      <c r="N218"/>
      <c r="O218"/>
      <c r="P218"/>
      <c r="Q218"/>
      <c r="R218"/>
      <c r="S218"/>
      <c r="T218"/>
      <c r="U218"/>
      <c r="V218"/>
    </row>
    <row r="219" spans="2:22" ht="14.45">
      <c r="B219" s="349" t="s">
        <v>190</v>
      </c>
      <c r="C219" s="559">
        <f>+'Subinvest 18-22'!$G$24*'Subinvest 18-22'!N66</f>
        <v>0</v>
      </c>
      <c r="D219" s="560">
        <f t="shared" si="13"/>
        <v>0</v>
      </c>
      <c r="E219" s="560">
        <f t="shared" si="13"/>
        <v>0</v>
      </c>
      <c r="F219" s="560">
        <f t="shared" si="13"/>
        <v>0</v>
      </c>
      <c r="G219" s="560">
        <f t="shared" si="13"/>
        <v>0</v>
      </c>
      <c r="H219" s="559">
        <f t="shared" si="13"/>
        <v>0</v>
      </c>
      <c r="I219" s="559">
        <f t="shared" si="9"/>
        <v>0</v>
      </c>
      <c r="K219" s="554">
        <f>+VLOOKUP(B219,'Subinvest 18-22'!$B$58:$P$79,15,0)</f>
        <v>0</v>
      </c>
      <c r="L219"/>
      <c r="M219"/>
      <c r="N219"/>
      <c r="O219"/>
      <c r="P219"/>
      <c r="Q219"/>
      <c r="R219"/>
      <c r="S219"/>
      <c r="T219"/>
      <c r="U219"/>
      <c r="V219"/>
    </row>
    <row r="220" spans="2:22" ht="14.45">
      <c r="B220" s="349" t="s">
        <v>191</v>
      </c>
      <c r="C220" s="559">
        <f>+'Subinvest 18-22'!$G$24*'Subinvest 18-22'!N67</f>
        <v>0</v>
      </c>
      <c r="D220" s="560">
        <f t="shared" si="13"/>
        <v>0</v>
      </c>
      <c r="E220" s="560">
        <f t="shared" si="13"/>
        <v>0</v>
      </c>
      <c r="F220" s="560">
        <f t="shared" si="13"/>
        <v>0</v>
      </c>
      <c r="G220" s="560">
        <f t="shared" si="13"/>
        <v>0</v>
      </c>
      <c r="H220" s="559">
        <f t="shared" si="13"/>
        <v>0</v>
      </c>
      <c r="I220" s="559">
        <f t="shared" si="9"/>
        <v>0</v>
      </c>
      <c r="K220" s="554">
        <f>+VLOOKUP(B220,'Subinvest 18-22'!$B$58:$P$79,15,0)</f>
        <v>0</v>
      </c>
      <c r="L220"/>
      <c r="M220"/>
      <c r="N220"/>
      <c r="O220"/>
      <c r="P220"/>
      <c r="Q220"/>
      <c r="R220"/>
      <c r="S220"/>
      <c r="T220"/>
      <c r="U220"/>
      <c r="V220"/>
    </row>
    <row r="221" spans="2:22" ht="14.45">
      <c r="B221" s="350" t="s">
        <v>192</v>
      </c>
      <c r="C221" s="557">
        <f>+'Subinvest 18-22'!$G$24*'Subinvest 18-22'!N68</f>
        <v>2.0849293404815068</v>
      </c>
      <c r="D221" s="558">
        <f t="shared" si="13"/>
        <v>3.2690167200430893</v>
      </c>
      <c r="E221" s="558">
        <f t="shared" si="13"/>
        <v>1.4035826116278358</v>
      </c>
      <c r="F221" s="558">
        <f t="shared" si="13"/>
        <v>42.086716130937127</v>
      </c>
      <c r="G221" s="558">
        <f t="shared" si="13"/>
        <v>62.560792493770435</v>
      </c>
      <c r="H221" s="557">
        <f t="shared" si="13"/>
        <v>6.5232524467798374</v>
      </c>
      <c r="I221" s="557">
        <f t="shared" si="9"/>
        <v>115.84336040315831</v>
      </c>
      <c r="K221" s="554">
        <f>+VLOOKUP(B221,'Subinvest 18-22'!$B$58:$P$79,15,0)</f>
        <v>0.14995750493524945</v>
      </c>
      <c r="L221"/>
      <c r="M221"/>
      <c r="N221"/>
      <c r="O221"/>
      <c r="P221"/>
      <c r="Q221"/>
      <c r="R221"/>
      <c r="S221"/>
      <c r="T221"/>
      <c r="U221"/>
      <c r="V221"/>
    </row>
    <row r="222" spans="2:22">
      <c r="B222" s="350" t="s">
        <v>193</v>
      </c>
      <c r="C222" s="557">
        <f>+'Subinvest 18-22'!$G$24*'Subinvest 18-22'!N69</f>
        <v>5.1571815507515062</v>
      </c>
      <c r="D222" s="558">
        <f t="shared" si="13"/>
        <v>2.6481937822294634</v>
      </c>
      <c r="E222" s="558">
        <f t="shared" si="13"/>
        <v>1.137026532219521</v>
      </c>
      <c r="F222" s="558">
        <f t="shared" si="13"/>
        <v>34.093976726718942</v>
      </c>
      <c r="G222" s="558">
        <f t="shared" si="13"/>
        <v>50.67979636738194</v>
      </c>
      <c r="H222" s="557">
        <f t="shared" si="13"/>
        <v>5.2844136475532615</v>
      </c>
      <c r="I222" s="557">
        <f t="shared" si="9"/>
        <v>93.843407056103132</v>
      </c>
      <c r="K222" s="554">
        <f>+VLOOKUP(B222,'Subinvest 18-22'!$B$58:$P$79,15,0)</f>
        <v>0.12147889294458465</v>
      </c>
    </row>
    <row r="223" spans="2:22">
      <c r="B223" s="350" t="s">
        <v>194</v>
      </c>
      <c r="C223" s="557">
        <f t="shared" ref="C223:H223" si="14">+SUM(C224:C230)</f>
        <v>4.5928957310696115</v>
      </c>
      <c r="D223" s="558">
        <f t="shared" si="14"/>
        <v>6.1672924754851923</v>
      </c>
      <c r="E223" s="558">
        <f t="shared" si="14"/>
        <v>2.647984155706645</v>
      </c>
      <c r="F223" s="558">
        <f t="shared" si="14"/>
        <v>79.40035488983014</v>
      </c>
      <c r="G223" s="558">
        <f t="shared" si="14"/>
        <v>118.02653147706606</v>
      </c>
      <c r="H223" s="557">
        <f t="shared" si="14"/>
        <v>12.306699284849596</v>
      </c>
      <c r="I223" s="557">
        <f t="shared" si="9"/>
        <v>218.54886228293762</v>
      </c>
      <c r="K223" s="554">
        <f>+VLOOKUP(B223,'Subinvest 18-22'!$B$58:$P$79,15,0)</f>
        <v>0.28290824765726719</v>
      </c>
    </row>
    <row r="224" spans="2:22">
      <c r="B224" s="349" t="s">
        <v>195</v>
      </c>
      <c r="C224" s="559">
        <f>+'Subinvest 18-22'!$G$24*'Subinvest 18-22'!N71</f>
        <v>2.984708041491233</v>
      </c>
      <c r="D224" s="560">
        <f t="shared" ref="D224:H231" si="15">+D$232*$K224</f>
        <v>3.8285379194608504</v>
      </c>
      <c r="E224" s="560">
        <f t="shared" si="15"/>
        <v>1.643818221780839</v>
      </c>
      <c r="F224" s="560">
        <f t="shared" si="15"/>
        <v>49.290230797826446</v>
      </c>
      <c r="G224" s="560">
        <f t="shared" si="15"/>
        <v>73.268626882631793</v>
      </c>
      <c r="H224" s="559">
        <f t="shared" si="15"/>
        <v>7.6397649475415319</v>
      </c>
      <c r="I224" s="559">
        <f t="shared" si="9"/>
        <v>135.67097876924146</v>
      </c>
      <c r="K224" s="554">
        <f>+VLOOKUP(B224,'Subinvest 18-22'!$B$58:$P$79,15,0)</f>
        <v>0.17562406164284552</v>
      </c>
    </row>
    <row r="225" spans="2:11">
      <c r="B225" s="349" t="s">
        <v>196</v>
      </c>
      <c r="C225" s="559">
        <f>+'Subinvest 18-22'!$G$24*'Subinvest 18-22'!N72</f>
        <v>0.14861508386382871</v>
      </c>
      <c r="D225" s="560">
        <f t="shared" si="15"/>
        <v>0.63613000912375528</v>
      </c>
      <c r="E225" s="560">
        <f t="shared" si="15"/>
        <v>0.27312831227397044</v>
      </c>
      <c r="F225" s="560">
        <f t="shared" si="15"/>
        <v>8.1898091717343817</v>
      </c>
      <c r="G225" s="560">
        <f t="shared" si="15"/>
        <v>12.173935133414364</v>
      </c>
      <c r="H225" s="559">
        <f t="shared" si="15"/>
        <v>1.269383730295488</v>
      </c>
      <c r="I225" s="559">
        <f t="shared" si="9"/>
        <v>22.542386356841959</v>
      </c>
      <c r="K225" s="554">
        <f>+VLOOKUP(B225,'Subinvest 18-22'!$B$58:$P$79,15,0)</f>
        <v>2.9180783444074414E-2</v>
      </c>
    </row>
    <row r="226" spans="2:11">
      <c r="B226" s="349" t="s">
        <v>197</v>
      </c>
      <c r="C226" s="559">
        <f>+'Subinvest 18-22'!$G$24*'Subinvest 18-22'!N73</f>
        <v>5.0437183847657927E-2</v>
      </c>
      <c r="D226" s="560">
        <f t="shared" si="15"/>
        <v>8.2376458367029708E-3</v>
      </c>
      <c r="E226" s="560">
        <f t="shared" si="15"/>
        <v>3.5369095502797926E-3</v>
      </c>
      <c r="F226" s="560">
        <f t="shared" si="15"/>
        <v>0.10605496747411687</v>
      </c>
      <c r="G226" s="560">
        <f t="shared" si="15"/>
        <v>0.15764790943631321</v>
      </c>
      <c r="H226" s="559">
        <f t="shared" si="15"/>
        <v>1.6438044819565838E-2</v>
      </c>
      <c r="I226" s="559">
        <f t="shared" si="9"/>
        <v>0.29191547711697868</v>
      </c>
      <c r="K226" s="554">
        <f>+VLOOKUP(B226,'Subinvest 18-22'!$B$58:$P$79,15,0)</f>
        <v>3.778802380050049E-4</v>
      </c>
    </row>
    <row r="227" spans="2:11">
      <c r="B227" s="349" t="s">
        <v>198</v>
      </c>
      <c r="C227" s="559">
        <f>+'Subinvest 18-22'!$G$24*'Subinvest 18-22'!N74</f>
        <v>1.1526487959016782</v>
      </c>
      <c r="D227" s="560">
        <f t="shared" si="15"/>
        <v>1.5115728166541553</v>
      </c>
      <c r="E227" s="560">
        <f t="shared" si="15"/>
        <v>0.64900779144290144</v>
      </c>
      <c r="F227" s="560">
        <f t="shared" si="15"/>
        <v>19.460633424024202</v>
      </c>
      <c r="G227" s="560">
        <f t="shared" si="15"/>
        <v>28.927717849261487</v>
      </c>
      <c r="H227" s="559">
        <f t="shared" si="15"/>
        <v>3.0163109947614886</v>
      </c>
      <c r="I227" s="559">
        <f t="shared" si="9"/>
        <v>53.565242876144232</v>
      </c>
      <c r="K227" s="554">
        <f>+VLOOKUP(B227,'Subinvest 18-22'!$B$58:$P$79,15,0)</f>
        <v>6.9339409224684734E-2</v>
      </c>
    </row>
    <row r="228" spans="2:11">
      <c r="B228" s="349" t="s">
        <v>199</v>
      </c>
      <c r="C228" s="559">
        <f>+'Subinvest 18-22'!$G$24*'Subinvest 18-22'!N75</f>
        <v>5.47378905745819E-2</v>
      </c>
      <c r="D228" s="560">
        <f t="shared" si="15"/>
        <v>5.7234844794652046E-2</v>
      </c>
      <c r="E228" s="560">
        <f t="shared" si="15"/>
        <v>2.4574310813538048E-2</v>
      </c>
      <c r="F228" s="560">
        <f t="shared" si="15"/>
        <v>0.73686581377871152</v>
      </c>
      <c r="G228" s="560">
        <f t="shared" si="15"/>
        <v>1.0953315798776908</v>
      </c>
      <c r="H228" s="559">
        <f t="shared" si="15"/>
        <v>0.11421089988883781</v>
      </c>
      <c r="I228" s="559">
        <f t="shared" si="9"/>
        <v>2.0282174491534306</v>
      </c>
      <c r="K228" s="554">
        <f>+VLOOKUP(B228,'Subinvest 18-22'!$B$58:$P$79,15,0)</f>
        <v>2.6254972842871052E-3</v>
      </c>
    </row>
    <row r="229" spans="2:11">
      <c r="B229" s="349" t="s">
        <v>200</v>
      </c>
      <c r="C229" s="559">
        <f>+'Subinvest 18-22'!$G$24*'Subinvest 18-22'!N76</f>
        <v>0</v>
      </c>
      <c r="D229" s="560">
        <f t="shared" si="15"/>
        <v>0</v>
      </c>
      <c r="E229" s="560">
        <f t="shared" si="15"/>
        <v>0</v>
      </c>
      <c r="F229" s="560">
        <f t="shared" si="15"/>
        <v>0</v>
      </c>
      <c r="G229" s="560">
        <f t="shared" si="15"/>
        <v>0</v>
      </c>
      <c r="H229" s="559">
        <f t="shared" si="15"/>
        <v>0</v>
      </c>
      <c r="I229" s="559">
        <f t="shared" si="9"/>
        <v>0</v>
      </c>
      <c r="K229" s="554">
        <f>+VLOOKUP(B229,'Subinvest 18-22'!$B$58:$P$79,15,0)</f>
        <v>0</v>
      </c>
    </row>
    <row r="230" spans="2:11">
      <c r="B230" s="349" t="s">
        <v>201</v>
      </c>
      <c r="C230" s="559">
        <f>+'Subinvest 18-22'!$G$24*'Subinvest 18-22'!N77</f>
        <v>0.20174873539063171</v>
      </c>
      <c r="D230" s="560">
        <f t="shared" si="15"/>
        <v>0.12557923961507592</v>
      </c>
      <c r="E230" s="560">
        <f t="shared" si="15"/>
        <v>5.3918609845116587E-2</v>
      </c>
      <c r="F230" s="560">
        <f t="shared" si="15"/>
        <v>1.6167607149922958</v>
      </c>
      <c r="G230" s="560">
        <f t="shared" si="15"/>
        <v>2.4032721224444167</v>
      </c>
      <c r="H230" s="559">
        <f t="shared" si="15"/>
        <v>0.25059066754268478</v>
      </c>
      <c r="I230" s="559">
        <f t="shared" si="9"/>
        <v>4.4501213544395899</v>
      </c>
      <c r="K230" s="554">
        <f>+VLOOKUP(B230,'Subinvest 18-22'!$B$58:$P$79,15,0)</f>
        <v>5.760615823370399E-3</v>
      </c>
    </row>
    <row r="231" spans="2:11" ht="14.45" thickBot="1">
      <c r="B231" s="351" t="s">
        <v>202</v>
      </c>
      <c r="C231" s="561">
        <f>+'Subinvest 18-22'!$G$24*'Subinvest 18-22'!N78</f>
        <v>0</v>
      </c>
      <c r="D231" s="562">
        <f t="shared" si="15"/>
        <v>7.1698116853588817E-2</v>
      </c>
      <c r="E231" s="562">
        <f t="shared" si="15"/>
        <v>3.0784250654071747E-2</v>
      </c>
      <c r="F231" s="562">
        <f t="shared" si="15"/>
        <v>0.92307214968908979</v>
      </c>
      <c r="G231" s="562">
        <f t="shared" si="15"/>
        <v>1.3721223826020539</v>
      </c>
      <c r="H231" s="561">
        <f t="shared" si="15"/>
        <v>0.14307204772831969</v>
      </c>
      <c r="I231" s="561">
        <f t="shared" si="9"/>
        <v>2.5407489475271237</v>
      </c>
      <c r="K231" s="554">
        <f>+VLOOKUP(B231,'Subinvest 18-22'!$B$58:$P$79,15,0)</f>
        <v>3.288961676457384E-3</v>
      </c>
    </row>
    <row r="232" spans="2:11" ht="14.45" thickBot="1">
      <c r="B232" s="352" t="s">
        <v>203</v>
      </c>
      <c r="C232" s="563">
        <f t="shared" ref="C232:I232" si="16">+C231+C211</f>
        <v>26.694798391118777</v>
      </c>
      <c r="D232" s="564">
        <f>+Investimentos!D6/1000</f>
        <v>21.799620642225452</v>
      </c>
      <c r="E232" s="564">
        <f>+Investimentos!E6/1000</f>
        <v>9.3598690657989572</v>
      </c>
      <c r="F232" s="564">
        <f>+Investimentos!F6/1000</f>
        <v>280.6576179639016</v>
      </c>
      <c r="G232" s="564">
        <f>+Investimentos!G6/1000</f>
        <v>417.19014010525001</v>
      </c>
      <c r="H232" s="563">
        <f>+Investimentos!H6/1000*Inputs!$C$11</f>
        <v>43.500673404752433</v>
      </c>
      <c r="I232" s="563">
        <f t="shared" si="16"/>
        <v>772.50777305576412</v>
      </c>
      <c r="K232" s="553"/>
    </row>
    <row r="233" spans="2:11" customFormat="1" ht="14.45">
      <c r="B233" s="376" t="s">
        <v>204</v>
      </c>
    </row>
    <row r="234" spans="2:11">
      <c r="B234" s="376" t="s">
        <v>205</v>
      </c>
    </row>
    <row r="235" spans="2:11">
      <c r="B235" s="376" t="s">
        <v>206</v>
      </c>
    </row>
    <row r="236" spans="2:11">
      <c r="B236" s="376"/>
      <c r="D236" s="409"/>
      <c r="E236" s="409"/>
      <c r="F236" s="409"/>
      <c r="G236" s="409"/>
      <c r="H236" s="409"/>
    </row>
    <row r="237" spans="2:11" ht="15.95" thickBot="1">
      <c r="B237" s="322" t="s">
        <v>207</v>
      </c>
    </row>
    <row r="238" spans="2:11" ht="14.45" thickBot="1">
      <c r="B238" s="781" t="s">
        <v>208</v>
      </c>
      <c r="C238" s="782"/>
      <c r="D238" s="782"/>
      <c r="E238" s="782"/>
      <c r="F238" s="783"/>
    </row>
    <row r="239" spans="2:11" ht="21.6" thickBot="1">
      <c r="B239" s="316" t="s">
        <v>209</v>
      </c>
      <c r="C239" s="339" t="s">
        <v>210</v>
      </c>
      <c r="D239" s="354" t="s">
        <v>211</v>
      </c>
      <c r="E239" s="354" t="s">
        <v>212</v>
      </c>
      <c r="F239" s="340" t="s">
        <v>213</v>
      </c>
    </row>
    <row r="240" spans="2:11">
      <c r="B240" s="318" t="s">
        <v>214</v>
      </c>
      <c r="C240" s="592">
        <f>+BRR!H20/1000000</f>
        <v>1108.7913755551838</v>
      </c>
      <c r="D240" s="593"/>
      <c r="E240" s="593">
        <f>+D253</f>
        <v>60.435734235064608</v>
      </c>
      <c r="F240" s="594"/>
    </row>
    <row r="241" spans="2:14">
      <c r="B241" s="318" t="s">
        <v>215</v>
      </c>
      <c r="C241" s="568"/>
      <c r="D241" s="593"/>
      <c r="E241" s="593"/>
      <c r="F241" s="594"/>
    </row>
    <row r="242" spans="2:14">
      <c r="B242" s="318" t="s">
        <v>216</v>
      </c>
      <c r="C242" s="568"/>
      <c r="D242" s="593"/>
      <c r="E242" s="593"/>
      <c r="F242" s="594"/>
    </row>
    <row r="243" spans="2:14">
      <c r="B243" s="318" t="s">
        <v>217</v>
      </c>
      <c r="C243" s="570"/>
      <c r="D243" s="593"/>
      <c r="E243" s="593"/>
      <c r="F243" s="594"/>
    </row>
    <row r="244" spans="2:14">
      <c r="B244" s="318" t="s">
        <v>218</v>
      </c>
      <c r="C244" s="568">
        <f>+C252</f>
        <v>32.305428565017763</v>
      </c>
      <c r="D244" s="593"/>
      <c r="E244" s="593"/>
      <c r="F244" s="594"/>
    </row>
    <row r="245" spans="2:14" ht="14.45" thickBot="1">
      <c r="B245" s="318" t="s">
        <v>219</v>
      </c>
      <c r="C245" s="568"/>
      <c r="D245" s="593">
        <f>+C256</f>
        <v>26.694798391118777</v>
      </c>
      <c r="E245" s="593">
        <f>+C257</f>
        <v>0.19770107520751656</v>
      </c>
      <c r="F245" s="594"/>
    </row>
    <row r="246" spans="2:14" ht="14.45" thickBot="1">
      <c r="B246" s="356" t="s">
        <v>220</v>
      </c>
      <c r="C246" s="595">
        <f>+SUM(C240:C245)</f>
        <v>1141.0968041202016</v>
      </c>
      <c r="D246" s="595">
        <f t="shared" ref="D246:E246" si="17">+SUM(D240:D245)</f>
        <v>26.694798391118777</v>
      </c>
      <c r="E246" s="595">
        <f t="shared" si="17"/>
        <v>60.633435310272127</v>
      </c>
      <c r="F246" s="596">
        <f>+C246+D246-E246</f>
        <v>1107.1581672010484</v>
      </c>
      <c r="G246" s="580">
        <f>+F246-D259</f>
        <v>0</v>
      </c>
    </row>
    <row r="247" spans="2:14">
      <c r="C247" s="722"/>
      <c r="D247" s="722"/>
      <c r="E247" s="722"/>
      <c r="F247" s="722"/>
      <c r="G247" s="722"/>
    </row>
    <row r="248" spans="2:14">
      <c r="B248" s="322" t="s">
        <v>221</v>
      </c>
    </row>
    <row r="249" spans="2:14">
      <c r="B249" s="377"/>
      <c r="C249" s="807" t="s">
        <v>222</v>
      </c>
      <c r="D249" s="807"/>
      <c r="E249" s="807"/>
      <c r="F249" s="807"/>
      <c r="G249" s="807"/>
      <c r="H249" s="808"/>
    </row>
    <row r="250" spans="2:14">
      <c r="B250" s="378"/>
      <c r="C250" s="379">
        <v>2022</v>
      </c>
      <c r="D250" s="379">
        <v>2023</v>
      </c>
      <c r="E250" s="379">
        <v>2024</v>
      </c>
      <c r="F250" s="379">
        <v>2025</v>
      </c>
      <c r="G250" s="379">
        <v>2026</v>
      </c>
      <c r="H250" s="379" t="s">
        <v>223</v>
      </c>
    </row>
    <row r="251" spans="2:14" ht="14.45">
      <c r="B251" s="380" t="s">
        <v>224</v>
      </c>
      <c r="C251" s="605">
        <f>+BRR!H20/1000000</f>
        <v>1108.7913755551838</v>
      </c>
      <c r="D251" s="605">
        <f>C254</f>
        <v>1080.6610698851371</v>
      </c>
      <c r="E251" s="605">
        <f>D254</f>
        <v>1020.2253356500725</v>
      </c>
      <c r="F251" s="605">
        <f>E254</f>
        <v>959.78960141500784</v>
      </c>
      <c r="G251" s="605">
        <f>F254</f>
        <v>899.35386717994322</v>
      </c>
      <c r="H251" s="606">
        <f>G254</f>
        <v>838.91813294487861</v>
      </c>
    </row>
    <row r="252" spans="2:14">
      <c r="B252" s="384" t="s">
        <v>225</v>
      </c>
      <c r="C252" s="607">
        <f>+Inputs!C13/1000</f>
        <v>32.305428565017763</v>
      </c>
      <c r="D252" s="607"/>
      <c r="E252" s="607"/>
      <c r="F252" s="607"/>
      <c r="G252" s="607"/>
      <c r="H252" s="608"/>
    </row>
    <row r="253" spans="2:14">
      <c r="B253" s="384" t="s">
        <v>226</v>
      </c>
      <c r="C253" s="609">
        <f>+(BRR!I16+BRR!I18)/1000000</f>
        <v>60.435734235064608</v>
      </c>
      <c r="D253" s="609">
        <f>+C253</f>
        <v>60.435734235064608</v>
      </c>
      <c r="E253" s="609">
        <f t="shared" ref="E253:G253" si="18">+D253</f>
        <v>60.435734235064608</v>
      </c>
      <c r="F253" s="609">
        <f t="shared" si="18"/>
        <v>60.435734235064608</v>
      </c>
      <c r="G253" s="609">
        <f t="shared" si="18"/>
        <v>60.435734235064608</v>
      </c>
      <c r="H253" s="610">
        <f>+G253*Inputs!C11</f>
        <v>33.281048167802702</v>
      </c>
      <c r="I253" s="409"/>
      <c r="J253" s="540"/>
      <c r="K253" s="540"/>
      <c r="L253" s="540"/>
      <c r="M253" s="540"/>
      <c r="N253" s="540"/>
    </row>
    <row r="254" spans="2:14">
      <c r="B254" s="387" t="s">
        <v>227</v>
      </c>
      <c r="C254" s="611">
        <f t="shared" ref="C254:H254" si="19">C251+C252-C253</f>
        <v>1080.6610698851371</v>
      </c>
      <c r="D254" s="611">
        <f t="shared" si="19"/>
        <v>1020.2253356500725</v>
      </c>
      <c r="E254" s="611">
        <f t="shared" si="19"/>
        <v>959.78960141500784</v>
      </c>
      <c r="F254" s="611">
        <f t="shared" si="19"/>
        <v>899.35386717994322</v>
      </c>
      <c r="G254" s="611">
        <f t="shared" si="19"/>
        <v>838.91813294487861</v>
      </c>
      <c r="H254" s="612">
        <f t="shared" si="19"/>
        <v>805.63708477707587</v>
      </c>
      <c r="J254" s="590"/>
      <c r="K254" s="590"/>
      <c r="L254" s="590"/>
      <c r="M254" s="590"/>
      <c r="N254" s="590"/>
    </row>
    <row r="255" spans="2:14" ht="14.45">
      <c r="B255" s="380" t="s">
        <v>228</v>
      </c>
      <c r="C255" s="613"/>
      <c r="D255" s="605">
        <f>C258</f>
        <v>26.497097315911262</v>
      </c>
      <c r="E255" s="605">
        <f>D258</f>
        <v>46.513734611905868</v>
      </c>
      <c r="F255" s="605">
        <f>E258</f>
        <v>53.567982387944426</v>
      </c>
      <c r="G255" s="605">
        <f>F258</f>
        <v>326.71905508650468</v>
      </c>
      <c r="H255" s="606">
        <f>G258</f>
        <v>724.78120921252616</v>
      </c>
    </row>
    <row r="256" spans="2:14">
      <c r="B256" s="384" t="s">
        <v>229</v>
      </c>
      <c r="C256" s="607">
        <f t="shared" ref="C256:H256" si="20">+C232</f>
        <v>26.694798391118777</v>
      </c>
      <c r="D256" s="607">
        <f t="shared" si="20"/>
        <v>21.799620642225452</v>
      </c>
      <c r="E256" s="607">
        <f t="shared" si="20"/>
        <v>9.3598690657989572</v>
      </c>
      <c r="F256" s="607">
        <f t="shared" si="20"/>
        <v>280.6576179639016</v>
      </c>
      <c r="G256" s="607">
        <f t="shared" si="20"/>
        <v>417.19014010525001</v>
      </c>
      <c r="H256" s="608">
        <f t="shared" si="20"/>
        <v>43.500673404752433</v>
      </c>
      <c r="J256" s="409"/>
      <c r="K256" s="409"/>
    </row>
    <row r="257" spans="2:11">
      <c r="B257" s="384" t="s">
        <v>230</v>
      </c>
      <c r="C257" s="607">
        <f>+BRR!I26/1000000</f>
        <v>0.19770107520751656</v>
      </c>
      <c r="D257" s="607">
        <f>+BRR!J26/1000000</f>
        <v>1.7829833462308422</v>
      </c>
      <c r="E257" s="607">
        <f>+BRR!K26/1000000</f>
        <v>2.305621289760396</v>
      </c>
      <c r="F257" s="607">
        <f>+BRR!L26/1000000</f>
        <v>7.506545265341356</v>
      </c>
      <c r="G257" s="607">
        <f>+BRR!M26/1000000</f>
        <v>19.127985979228423</v>
      </c>
      <c r="H257" s="608">
        <f>+BRR!N26/1000000*Inputs!C11</f>
        <v>15.079852256943486</v>
      </c>
      <c r="J257" s="409"/>
      <c r="K257" s="409"/>
    </row>
    <row r="258" spans="2:11">
      <c r="B258" s="387" t="s">
        <v>231</v>
      </c>
      <c r="C258" s="611">
        <f t="shared" ref="C258:G258" si="21">C255+C256-C257</f>
        <v>26.497097315911262</v>
      </c>
      <c r="D258" s="611">
        <f t="shared" si="21"/>
        <v>46.513734611905868</v>
      </c>
      <c r="E258" s="611">
        <f t="shared" si="21"/>
        <v>53.567982387944426</v>
      </c>
      <c r="F258" s="611">
        <f t="shared" si="21"/>
        <v>326.71905508650468</v>
      </c>
      <c r="G258" s="611">
        <f t="shared" si="21"/>
        <v>724.78120921252616</v>
      </c>
      <c r="H258" s="612">
        <f>H255+H256-H257</f>
        <v>753.20203036033513</v>
      </c>
      <c r="J258" s="409"/>
      <c r="K258" s="409"/>
    </row>
    <row r="259" spans="2:11">
      <c r="B259" s="390" t="s">
        <v>232</v>
      </c>
      <c r="C259" s="391">
        <f>C251</f>
        <v>1108.7913755551838</v>
      </c>
      <c r="D259" s="391">
        <f>C260</f>
        <v>1107.1581672010484</v>
      </c>
      <c r="E259" s="391">
        <f>D260</f>
        <v>1066.7390702619782</v>
      </c>
      <c r="F259" s="391">
        <f>E260</f>
        <v>1013.3575838029523</v>
      </c>
      <c r="G259" s="391">
        <f>F260</f>
        <v>1226.0729222664479</v>
      </c>
      <c r="H259" s="392">
        <f>G260</f>
        <v>1563.6993421574048</v>
      </c>
      <c r="J259" s="580"/>
    </row>
    <row r="260" spans="2:11">
      <c r="B260" s="393" t="s">
        <v>233</v>
      </c>
      <c r="C260" s="394">
        <f t="shared" ref="C260:G260" si="22">C254+C258</f>
        <v>1107.1581672010484</v>
      </c>
      <c r="D260" s="394">
        <f t="shared" si="22"/>
        <v>1066.7390702619782</v>
      </c>
      <c r="E260" s="394">
        <f t="shared" si="22"/>
        <v>1013.3575838029523</v>
      </c>
      <c r="F260" s="394">
        <f t="shared" si="22"/>
        <v>1226.0729222664479</v>
      </c>
      <c r="G260" s="394">
        <f t="shared" si="22"/>
        <v>1563.6993421574048</v>
      </c>
      <c r="H260" s="395">
        <f>H254+H258</f>
        <v>1558.839115137411</v>
      </c>
    </row>
    <row r="261" spans="2:11">
      <c r="B261" s="380" t="s">
        <v>234</v>
      </c>
      <c r="C261" s="381"/>
      <c r="D261" s="382">
        <f>C263</f>
        <v>0</v>
      </c>
      <c r="E261" s="396">
        <v>0</v>
      </c>
      <c r="F261" s="396">
        <v>0</v>
      </c>
      <c r="G261" s="396">
        <v>0</v>
      </c>
      <c r="H261" s="397">
        <v>0</v>
      </c>
    </row>
    <row r="262" spans="2:11">
      <c r="B262" s="384" t="s">
        <v>235</v>
      </c>
      <c r="C262" s="385"/>
      <c r="D262" s="385"/>
      <c r="E262" s="385"/>
      <c r="F262" s="385"/>
      <c r="G262" s="385"/>
      <c r="H262" s="386"/>
    </row>
    <row r="263" spans="2:11">
      <c r="B263" s="387" t="s">
        <v>236</v>
      </c>
      <c r="C263" s="388">
        <f>C261-C262</f>
        <v>0</v>
      </c>
      <c r="D263" s="388">
        <v>0</v>
      </c>
      <c r="E263" s="388">
        <v>0</v>
      </c>
      <c r="F263" s="388">
        <v>0</v>
      </c>
      <c r="G263" s="388">
        <v>0</v>
      </c>
      <c r="H263" s="389">
        <v>0</v>
      </c>
    </row>
    <row r="264" spans="2:11">
      <c r="B264" s="398" t="s">
        <v>237</v>
      </c>
      <c r="C264" s="399">
        <f>C261</f>
        <v>0</v>
      </c>
      <c r="D264" s="399">
        <f>C265</f>
        <v>0</v>
      </c>
      <c r="E264" s="399">
        <v>0</v>
      </c>
      <c r="F264" s="399">
        <v>0</v>
      </c>
      <c r="G264" s="399">
        <v>0</v>
      </c>
      <c r="H264" s="400">
        <v>0</v>
      </c>
    </row>
    <row r="265" spans="2:11">
      <c r="B265" s="393" t="s">
        <v>238</v>
      </c>
      <c r="C265" s="394">
        <f>C263</f>
        <v>0</v>
      </c>
      <c r="D265" s="394">
        <v>0</v>
      </c>
      <c r="E265" s="394">
        <v>0</v>
      </c>
      <c r="F265" s="394">
        <v>0</v>
      </c>
      <c r="G265" s="394">
        <v>0</v>
      </c>
      <c r="H265" s="395">
        <v>0</v>
      </c>
    </row>
    <row r="266" spans="2:11">
      <c r="B266" s="380" t="s">
        <v>215</v>
      </c>
      <c r="C266" s="381"/>
      <c r="D266" s="382">
        <v>0</v>
      </c>
      <c r="E266" s="382">
        <v>0</v>
      </c>
      <c r="F266" s="382">
        <v>0</v>
      </c>
      <c r="G266" s="382">
        <v>0</v>
      </c>
      <c r="H266" s="383">
        <v>0</v>
      </c>
    </row>
    <row r="267" spans="2:11">
      <c r="B267" s="384" t="s">
        <v>239</v>
      </c>
      <c r="C267" s="385"/>
      <c r="D267" s="385"/>
      <c r="E267" s="385"/>
      <c r="F267" s="385"/>
      <c r="G267" s="385"/>
      <c r="H267" s="386"/>
    </row>
    <row r="268" spans="2:11">
      <c r="B268" s="387" t="s">
        <v>240</v>
      </c>
      <c r="C268" s="401">
        <f>C266-C267</f>
        <v>0</v>
      </c>
      <c r="D268" s="401">
        <v>0</v>
      </c>
      <c r="E268" s="401">
        <v>0</v>
      </c>
      <c r="F268" s="401">
        <v>0</v>
      </c>
      <c r="G268" s="401">
        <v>0</v>
      </c>
      <c r="H268" s="402">
        <v>0</v>
      </c>
    </row>
    <row r="269" spans="2:11">
      <c r="B269" s="390" t="s">
        <v>241</v>
      </c>
      <c r="C269" s="391">
        <f t="shared" ref="C269:H269" si="23">+C266</f>
        <v>0</v>
      </c>
      <c r="D269" s="391">
        <f t="shared" si="23"/>
        <v>0</v>
      </c>
      <c r="E269" s="391">
        <f t="shared" si="23"/>
        <v>0</v>
      </c>
      <c r="F269" s="391">
        <f t="shared" si="23"/>
        <v>0</v>
      </c>
      <c r="G269" s="391">
        <f t="shared" si="23"/>
        <v>0</v>
      </c>
      <c r="H269" s="392">
        <f t="shared" si="23"/>
        <v>0</v>
      </c>
    </row>
    <row r="270" spans="2:11">
      <c r="B270" s="393" t="s">
        <v>242</v>
      </c>
      <c r="C270" s="394">
        <f t="shared" ref="C270:H270" si="24">C268</f>
        <v>0</v>
      </c>
      <c r="D270" s="394">
        <f t="shared" si="24"/>
        <v>0</v>
      </c>
      <c r="E270" s="394">
        <f t="shared" si="24"/>
        <v>0</v>
      </c>
      <c r="F270" s="394">
        <f t="shared" si="24"/>
        <v>0</v>
      </c>
      <c r="G270" s="394">
        <f t="shared" si="24"/>
        <v>0</v>
      </c>
      <c r="H270" s="395">
        <f t="shared" si="24"/>
        <v>0</v>
      </c>
    </row>
    <row r="271" spans="2:11">
      <c r="B271" s="403" t="s">
        <v>243</v>
      </c>
      <c r="C271" s="404">
        <f t="shared" ref="C271:H272" si="25">C259+C264+C269</f>
        <v>1108.7913755551838</v>
      </c>
      <c r="D271" s="404">
        <f t="shared" si="25"/>
        <v>1107.1581672010484</v>
      </c>
      <c r="E271" s="404">
        <f t="shared" si="25"/>
        <v>1066.7390702619782</v>
      </c>
      <c r="F271" s="404">
        <f t="shared" si="25"/>
        <v>1013.3575838029523</v>
      </c>
      <c r="G271" s="404">
        <f t="shared" si="25"/>
        <v>1226.0729222664479</v>
      </c>
      <c r="H271" s="405">
        <f t="shared" si="25"/>
        <v>1563.6993421574048</v>
      </c>
    </row>
    <row r="272" spans="2:11">
      <c r="B272" s="406" t="s">
        <v>244</v>
      </c>
      <c r="C272" s="407">
        <f t="shared" si="25"/>
        <v>1107.1581672010484</v>
      </c>
      <c r="D272" s="407">
        <f t="shared" si="25"/>
        <v>1066.7390702619782</v>
      </c>
      <c r="E272" s="407">
        <f t="shared" si="25"/>
        <v>1013.3575838029523</v>
      </c>
      <c r="F272" s="407">
        <f t="shared" si="25"/>
        <v>1226.0729222664479</v>
      </c>
      <c r="G272" s="407">
        <f t="shared" si="25"/>
        <v>1563.6993421574048</v>
      </c>
      <c r="H272" s="408">
        <f>H260+H265+H270</f>
        <v>1558.839115137411</v>
      </c>
    </row>
    <row r="273" spans="2:8">
      <c r="B273" s="376" t="s">
        <v>245</v>
      </c>
    </row>
    <row r="274" spans="2:8">
      <c r="B274" s="376"/>
    </row>
    <row r="275" spans="2:8" ht="14.45" customHeight="1" thickBot="1">
      <c r="B275" s="322" t="s">
        <v>246</v>
      </c>
      <c r="C275" s="322"/>
      <c r="D275" s="322"/>
      <c r="E275" s="322"/>
      <c r="F275" s="322"/>
      <c r="G275" s="322"/>
      <c r="H275" s="322"/>
    </row>
    <row r="276" spans="2:8" ht="14.45" thickBot="1">
      <c r="B276" s="326" t="s">
        <v>247</v>
      </c>
      <c r="C276" s="802" t="s">
        <v>119</v>
      </c>
      <c r="D276" s="803"/>
      <c r="E276" s="803"/>
      <c r="F276" s="803"/>
      <c r="G276" s="799"/>
      <c r="H276" s="353" t="s">
        <v>167</v>
      </c>
    </row>
    <row r="277" spans="2:8" ht="14.45" thickBot="1">
      <c r="B277" s="316" t="s">
        <v>120</v>
      </c>
      <c r="C277" s="343">
        <v>2018</v>
      </c>
      <c r="D277" s="323">
        <v>2019</v>
      </c>
      <c r="E277" s="323">
        <v>2020</v>
      </c>
      <c r="F277" s="323">
        <v>2021</v>
      </c>
      <c r="G277" s="328">
        <v>2022</v>
      </c>
      <c r="H277" s="357" t="s">
        <v>248</v>
      </c>
    </row>
    <row r="278" spans="2:8">
      <c r="B278" s="318" t="s">
        <v>249</v>
      </c>
      <c r="C278" s="568">
        <f>+'Subinvest 18-22'!C14</f>
        <v>43.5</v>
      </c>
      <c r="D278" s="355">
        <f>+'Subinvest 18-22'!D14</f>
        <v>26.05</v>
      </c>
      <c r="E278" s="355">
        <f>+'Subinvest 18-22'!E14</f>
        <v>37.65</v>
      </c>
      <c r="F278" s="355">
        <f>+'Subinvest 18-22'!F14</f>
        <v>27.45</v>
      </c>
      <c r="G278" s="355">
        <f>+'Subinvest 18-22'!G14</f>
        <v>27.95</v>
      </c>
      <c r="H278" s="566">
        <f>+SUM(C278:G278)</f>
        <v>162.59999999999997</v>
      </c>
    </row>
    <row r="279" spans="2:8" ht="14.45" thickBot="1">
      <c r="B279" s="319" t="s">
        <v>250</v>
      </c>
      <c r="C279" s="565">
        <f>+'Subinvest 18-22'!C15</f>
        <v>43.498057832391261</v>
      </c>
      <c r="D279" s="565">
        <f>+'Subinvest 18-22'!D15</f>
        <v>26.046734124853465</v>
      </c>
      <c r="E279" s="565">
        <f>+'Subinvest 18-22'!E15</f>
        <v>19.543358850342955</v>
      </c>
      <c r="F279" s="565">
        <f>+'Subinvest 18-22'!F15</f>
        <v>12.530090519127093</v>
      </c>
      <c r="G279" s="565">
        <f>+'Subinvest 18-22'!G15</f>
        <v>30.638599206175808</v>
      </c>
      <c r="H279" s="567">
        <f>+SUM(C279:G279)</f>
        <v>132.25684053289058</v>
      </c>
    </row>
    <row r="280" spans="2:8">
      <c r="C280" s="722"/>
      <c r="D280" s="722"/>
      <c r="E280" s="722"/>
      <c r="F280" s="722"/>
    </row>
    <row r="281" spans="2:8">
      <c r="B281" s="322" t="s">
        <v>251</v>
      </c>
    </row>
    <row r="282" spans="2:8" ht="14.45" thickBot="1">
      <c r="B282" s="322"/>
      <c r="C282" s="784" t="s">
        <v>252</v>
      </c>
      <c r="D282" s="784"/>
      <c r="E282" s="784"/>
      <c r="F282" s="784"/>
      <c r="G282" s="784"/>
      <c r="H282" s="569">
        <f>+'Subinvest 18-22'!H11</f>
        <v>9.4299999999999995E-2</v>
      </c>
    </row>
    <row r="283" spans="2:8" ht="14.45" thickBot="1">
      <c r="B283" s="358" t="s">
        <v>253</v>
      </c>
      <c r="C283" s="785" t="s">
        <v>119</v>
      </c>
      <c r="D283" s="786"/>
      <c r="E283" s="786"/>
      <c r="F283" s="786"/>
      <c r="G283" s="787"/>
      <c r="H283" s="788" t="s">
        <v>254</v>
      </c>
    </row>
    <row r="284" spans="2:8" ht="14.45" thickBot="1">
      <c r="B284" s="316" t="s">
        <v>120</v>
      </c>
      <c r="C284" s="343">
        <v>2018</v>
      </c>
      <c r="D284" s="323">
        <v>2019</v>
      </c>
      <c r="E284" s="323">
        <v>2020</v>
      </c>
      <c r="F284" s="323">
        <v>2021</v>
      </c>
      <c r="G284" s="328">
        <v>2022</v>
      </c>
      <c r="H284" s="789"/>
    </row>
    <row r="285" spans="2:8">
      <c r="B285" s="318" t="s">
        <v>249</v>
      </c>
      <c r="C285" s="568">
        <f>+C278</f>
        <v>43.5</v>
      </c>
      <c r="D285" s="568">
        <f t="shared" ref="D285:G285" si="26">+D278</f>
        <v>26.05</v>
      </c>
      <c r="E285" s="568">
        <f t="shared" si="26"/>
        <v>37.65</v>
      </c>
      <c r="F285" s="568">
        <f t="shared" si="26"/>
        <v>27.45</v>
      </c>
      <c r="G285" s="568">
        <f t="shared" si="26"/>
        <v>27.95</v>
      </c>
      <c r="H285" s="571">
        <f>+'Subinvest 18-22'!H14</f>
        <v>127.19045085287731</v>
      </c>
    </row>
    <row r="286" spans="2:8" ht="14.45" thickBot="1">
      <c r="B286" s="319" t="s">
        <v>250</v>
      </c>
      <c r="C286" s="572">
        <f t="shared" ref="C286:G286" si="27">+C279</f>
        <v>43.498057832391261</v>
      </c>
      <c r="D286" s="572">
        <f t="shared" si="27"/>
        <v>26.046734124853465</v>
      </c>
      <c r="E286" s="572">
        <f t="shared" si="27"/>
        <v>19.543358850342955</v>
      </c>
      <c r="F286" s="572">
        <f t="shared" si="27"/>
        <v>12.530090519127093</v>
      </c>
      <c r="G286" s="572">
        <f t="shared" si="27"/>
        <v>30.638599206175808</v>
      </c>
      <c r="H286" s="571">
        <f>+'Subinvest 18-22'!H15</f>
        <v>104.67733045357117</v>
      </c>
    </row>
    <row r="287" spans="2:8">
      <c r="B287" s="359" t="s">
        <v>255</v>
      </c>
      <c r="C287" s="573">
        <f>+'Subinvest 18-22'!C16</f>
        <v>-1.9421676087389983E-3</v>
      </c>
      <c r="D287" s="573">
        <f>+'Subinvest 18-22'!D16</f>
        <v>-3.2658751465355351E-3</v>
      </c>
      <c r="E287" s="573">
        <f>+'Subinvest 18-22'!E16</f>
        <v>-18.106641149657044</v>
      </c>
      <c r="F287" s="573">
        <f>+'Subinvest 18-22'!F16</f>
        <v>-14.919909480872906</v>
      </c>
      <c r="G287" s="573">
        <f>+'Subinvest 18-22'!G16</f>
        <v>2.6885992061758088</v>
      </c>
      <c r="H287" s="574">
        <f>+'Subinvest 18-22'!H16</f>
        <v>-22.513120399306139</v>
      </c>
    </row>
    <row r="288" spans="2:8">
      <c r="B288" s="318" t="s">
        <v>256</v>
      </c>
      <c r="C288" s="568">
        <f>+'Subinvest 18-22'!C17</f>
        <v>-1.100561644952099E-5</v>
      </c>
      <c r="D288" s="568">
        <f>+'Subinvest 18-22'!D17</f>
        <v>-4.0517858729410014E-5</v>
      </c>
      <c r="E288" s="568">
        <f>+'Subinvest 18-22'!E17</f>
        <v>-0.10266332433261637</v>
      </c>
      <c r="F288" s="568">
        <f>+'Subinvest 18-22'!F17</f>
        <v>-0.28981377790561946</v>
      </c>
      <c r="G288" s="568">
        <f>+'Subinvest 18-22'!G17</f>
        <v>-0.35912453612890305</v>
      </c>
      <c r="H288" s="575">
        <f>+'Subinvest 18-22'!H17</f>
        <v>-0.50934768484975723</v>
      </c>
    </row>
    <row r="289" spans="2:8" ht="14.45" thickBot="1">
      <c r="B289" s="318" t="s">
        <v>257</v>
      </c>
      <c r="C289" s="568">
        <f>+'Subinvest 18-22'!C18</f>
        <v>0</v>
      </c>
      <c r="D289" s="568">
        <f>+'Subinvest 18-22'!D18</f>
        <v>0</v>
      </c>
      <c r="E289" s="568">
        <f>+'Subinvest 18-22'!E18</f>
        <v>0</v>
      </c>
      <c r="F289" s="568">
        <f>+'Subinvest 18-22'!F18</f>
        <v>0</v>
      </c>
      <c r="G289" s="568">
        <f>+'Subinvest 18-22'!G18</f>
        <v>-28.132414873455541</v>
      </c>
      <c r="H289" s="576">
        <f>+'Subinvest 18-22'!H18</f>
        <v>-17.927718210140775</v>
      </c>
    </row>
    <row r="290" spans="2:8" ht="14.45" thickBot="1">
      <c r="B290" s="790" t="s">
        <v>258</v>
      </c>
      <c r="C290" s="791"/>
      <c r="D290" s="791"/>
      <c r="E290" s="791"/>
      <c r="F290" s="791"/>
      <c r="G290" s="792"/>
      <c r="H290" s="577">
        <f>+'Subinvest 18-22'!H19</f>
        <v>-4.0760545043156071</v>
      </c>
    </row>
    <row r="291" spans="2:8" ht="14.45" thickBot="1">
      <c r="B291" s="790" t="s">
        <v>259</v>
      </c>
      <c r="C291" s="791"/>
      <c r="D291" s="791"/>
      <c r="E291" s="791"/>
      <c r="F291" s="791"/>
      <c r="G291" s="792"/>
      <c r="H291" s="577">
        <f>+'Subinvest 18-22'!H20</f>
        <v>-6.7860480360858144</v>
      </c>
    </row>
    <row r="292" spans="2:8" ht="14.45" thickBot="1">
      <c r="B292" s="790" t="s">
        <v>260</v>
      </c>
      <c r="C292" s="791"/>
      <c r="D292" s="791"/>
      <c r="E292" s="791"/>
      <c r="F292" s="791"/>
      <c r="G292" s="792"/>
      <c r="H292" s="578">
        <f>+'Subinvest 18-22'!H21</f>
        <v>-10.648757218549859</v>
      </c>
    </row>
    <row r="293" spans="2:8">
      <c r="C293" s="722"/>
      <c r="D293" s="722"/>
      <c r="E293" s="722"/>
      <c r="F293" s="722"/>
      <c r="G293" s="722"/>
      <c r="H293" s="722"/>
    </row>
    <row r="294" spans="2:8" ht="14.45" thickBot="1">
      <c r="B294" s="322" t="s">
        <v>261</v>
      </c>
    </row>
    <row r="295" spans="2:8" ht="14.45" thickBot="1">
      <c r="B295" s="781" t="s">
        <v>262</v>
      </c>
      <c r="C295" s="782"/>
      <c r="D295" s="782"/>
      <c r="E295" s="782"/>
      <c r="F295" s="782"/>
      <c r="G295" s="783"/>
    </row>
    <row r="296" spans="2:8" ht="14.45" thickBot="1">
      <c r="B296" s="330" t="s">
        <v>263</v>
      </c>
      <c r="C296" s="343">
        <v>2023</v>
      </c>
      <c r="D296" s="323">
        <v>2024</v>
      </c>
      <c r="E296" s="323">
        <v>2025</v>
      </c>
      <c r="F296" s="323">
        <v>2026</v>
      </c>
      <c r="G296" s="328">
        <v>2027</v>
      </c>
    </row>
    <row r="297" spans="2:8">
      <c r="B297" s="360" t="s">
        <v>264</v>
      </c>
      <c r="C297" s="581">
        <f>+SUM(C298:C300)</f>
        <v>62.218717581295451</v>
      </c>
      <c r="D297" s="582">
        <f>+SUM(D298:D300)</f>
        <v>62.741355524825003</v>
      </c>
      <c r="E297" s="582">
        <f>+SUM(E298:E300)</f>
        <v>67.942279500405959</v>
      </c>
      <c r="F297" s="582">
        <f>+SUM(F298:F300)</f>
        <v>79.563720214293028</v>
      </c>
      <c r="G297" s="583">
        <f>+SUM(G298:G300)</f>
        <v>48.360900424746191</v>
      </c>
    </row>
    <row r="298" spans="2:8">
      <c r="B298" s="361" t="s">
        <v>265</v>
      </c>
      <c r="C298" s="584">
        <f>+D253</f>
        <v>60.435734235064608</v>
      </c>
      <c r="D298" s="585">
        <f t="shared" ref="D298:G298" si="28">+E253</f>
        <v>60.435734235064608</v>
      </c>
      <c r="E298" s="585">
        <f t="shared" si="28"/>
        <v>60.435734235064608</v>
      </c>
      <c r="F298" s="585">
        <f t="shared" si="28"/>
        <v>60.435734235064608</v>
      </c>
      <c r="G298" s="586">
        <f t="shared" si="28"/>
        <v>33.281048167802702</v>
      </c>
    </row>
    <row r="299" spans="2:8">
      <c r="B299" s="361" t="s">
        <v>266</v>
      </c>
      <c r="C299" s="584">
        <f>+D257</f>
        <v>1.7829833462308422</v>
      </c>
      <c r="D299" s="585">
        <f t="shared" ref="D299:G299" si="29">+E257</f>
        <v>2.305621289760396</v>
      </c>
      <c r="E299" s="585">
        <f t="shared" si="29"/>
        <v>7.506545265341356</v>
      </c>
      <c r="F299" s="585">
        <f t="shared" si="29"/>
        <v>19.127985979228423</v>
      </c>
      <c r="G299" s="586">
        <f t="shared" si="29"/>
        <v>15.079852256943486</v>
      </c>
    </row>
    <row r="300" spans="2:8">
      <c r="B300" s="361" t="s">
        <v>267</v>
      </c>
      <c r="C300" s="584"/>
      <c r="D300" s="585"/>
      <c r="E300" s="585"/>
      <c r="F300" s="585"/>
      <c r="G300" s="586"/>
    </row>
    <row r="301" spans="2:8" ht="14.45" thickBot="1">
      <c r="B301" s="316" t="s">
        <v>268</v>
      </c>
      <c r="C301" s="587">
        <f>+Resultados!C16/0.34</f>
        <v>28.171128223334737</v>
      </c>
      <c r="D301" s="588">
        <f>+Resultados!D16/0.34</f>
        <v>26.751646824676271</v>
      </c>
      <c r="E301" s="588">
        <f>+Resultados!E16/0.34</f>
        <v>30.89592454012465</v>
      </c>
      <c r="F301" s="588">
        <f>+Resultados!F16/0.34</f>
        <v>37.611313680856306</v>
      </c>
      <c r="G301" s="589">
        <f>+Resultados!G16/0.34</f>
        <v>20.00602629295118</v>
      </c>
    </row>
    <row r="302" spans="2:8">
      <c r="C302" s="722">
        <f>C301-'[40]Tabelas PN'!C306</f>
        <v>0</v>
      </c>
      <c r="D302" s="722">
        <f>D301-'[40]Tabelas PN'!D306</f>
        <v>0</v>
      </c>
      <c r="E302" s="722">
        <f>E301-'[40]Tabelas PN'!E306</f>
        <v>0</v>
      </c>
      <c r="F302" s="722">
        <f>F301-'[40]Tabelas PN'!F306</f>
        <v>0</v>
      </c>
      <c r="G302" s="722">
        <f>G301-'[40]Tabelas PN'!G306</f>
        <v>0</v>
      </c>
    </row>
    <row r="303" spans="2:8">
      <c r="C303" s="579"/>
      <c r="D303" s="579"/>
      <c r="E303" s="579"/>
      <c r="F303" s="579"/>
      <c r="G303" s="579"/>
    </row>
    <row r="304" spans="2:8">
      <c r="C304" s="579"/>
      <c r="D304" s="579"/>
      <c r="E304" s="579"/>
      <c r="F304" s="579"/>
      <c r="G304" s="579"/>
    </row>
    <row r="306" spans="2:8">
      <c r="C306" s="437">
        <v>2022</v>
      </c>
      <c r="D306" s="437">
        <v>2023</v>
      </c>
      <c r="E306" s="437">
        <v>2024</v>
      </c>
      <c r="F306" s="437">
        <v>2025</v>
      </c>
      <c r="G306" s="437">
        <v>2026</v>
      </c>
      <c r="H306" s="437">
        <v>2027</v>
      </c>
    </row>
    <row r="307" spans="2:8" ht="14.45">
      <c r="B307" s="436" t="s">
        <v>269</v>
      </c>
      <c r="C307" s="438" t="e">
        <f>+Demanda!#REF!/12*1000</f>
        <v>#REF!</v>
      </c>
      <c r="D307" s="438" t="e">
        <f>+Demanda!#REF!/12*1000</f>
        <v>#REF!</v>
      </c>
      <c r="E307" s="438" t="e">
        <f>+Demanda!#REF!/12*1000</f>
        <v>#REF!</v>
      </c>
      <c r="F307" s="438" t="e">
        <f>+Demanda!#REF!/12*1000</f>
        <v>#REF!</v>
      </c>
      <c r="G307" s="438" t="e">
        <f>+Demanda!#REF!/12*1000</f>
        <v>#REF!</v>
      </c>
      <c r="H307" s="438" t="e">
        <f>+Demanda!#REF!/12*1000</f>
        <v>#REF!</v>
      </c>
    </row>
    <row r="328" spans="2:15" ht="14.45">
      <c r="B328"/>
      <c r="C328"/>
      <c r="D328" s="96">
        <v>2019</v>
      </c>
      <c r="E328" s="96">
        <v>2020</v>
      </c>
      <c r="F328" s="96">
        <v>2021</v>
      </c>
      <c r="G328" s="96">
        <v>2022</v>
      </c>
      <c r="H328" s="96">
        <v>2023</v>
      </c>
      <c r="I328" s="96">
        <v>2024</v>
      </c>
      <c r="J328" s="96">
        <v>2025</v>
      </c>
      <c r="K328" s="96">
        <v>2026</v>
      </c>
      <c r="L328" s="96" t="s">
        <v>270</v>
      </c>
      <c r="M328" s="364">
        <v>2027</v>
      </c>
    </row>
    <row r="329" spans="2:15" ht="14.45">
      <c r="B329" s="50" t="s">
        <v>43</v>
      </c>
      <c r="C329" s="442" t="s">
        <v>44</v>
      </c>
      <c r="D329"/>
      <c r="E329" s="289">
        <v>1298.2</v>
      </c>
      <c r="F329" s="289">
        <v>1313.2</v>
      </c>
      <c r="G329" s="289">
        <v>1322.3</v>
      </c>
      <c r="H329" s="289">
        <v>1397</v>
      </c>
      <c r="I329" s="289">
        <v>1405</v>
      </c>
      <c r="J329" s="289">
        <v>2065.6433574841953</v>
      </c>
      <c r="K329" s="289">
        <v>2975.5065583155229</v>
      </c>
      <c r="L329" s="721">
        <f>+K329+O329</f>
        <v>3043.7044996358045</v>
      </c>
      <c r="M329" s="289">
        <v>3099.5028152614896</v>
      </c>
      <c r="N329" s="721">
        <f>+M329-K329</f>
        <v>123.99625694596671</v>
      </c>
      <c r="O329" s="364">
        <f>+N329*0.55</f>
        <v>68.1979413202817</v>
      </c>
    </row>
    <row r="330" spans="2:15" ht="14.45">
      <c r="B330" s="50" t="s">
        <v>46</v>
      </c>
      <c r="C330" s="442"/>
      <c r="D330" s="289"/>
      <c r="E330" s="289">
        <v>84110</v>
      </c>
      <c r="F330" s="289">
        <v>86659</v>
      </c>
      <c r="G330" s="289">
        <v>88751</v>
      </c>
      <c r="H330" s="289">
        <v>89862</v>
      </c>
      <c r="I330" s="289">
        <v>91509</v>
      </c>
      <c r="J330" s="289">
        <v>93573.428412339097</v>
      </c>
      <c r="K330" s="289">
        <v>95672.223444369491</v>
      </c>
      <c r="L330" s="721">
        <f>+K330+O330</f>
        <v>96836.83912738481</v>
      </c>
      <c r="M330" s="289">
        <v>97789.706504397356</v>
      </c>
      <c r="N330" s="721">
        <f>+M330-K330</f>
        <v>2117.4830600278656</v>
      </c>
      <c r="O330" s="364">
        <f>+N330*0.55</f>
        <v>1164.6156830153261</v>
      </c>
    </row>
    <row r="332" spans="2:15">
      <c r="B332" s="364" t="s">
        <v>271</v>
      </c>
    </row>
    <row r="333" spans="2:15" ht="14.45">
      <c r="B333" t="s">
        <v>272</v>
      </c>
      <c r="C333" s="678">
        <v>2023</v>
      </c>
      <c r="D333" s="678">
        <v>2024</v>
      </c>
      <c r="E333" s="678">
        <v>2025</v>
      </c>
      <c r="F333" s="678">
        <v>2026</v>
      </c>
      <c r="G333" s="678">
        <v>2027</v>
      </c>
      <c r="H333" s="679" t="s">
        <v>273</v>
      </c>
    </row>
    <row r="334" spans="2:15" ht="15.95">
      <c r="B334" t="s">
        <v>274</v>
      </c>
      <c r="C334" s="11">
        <f>+Resultados!C26</f>
        <v>0.22920439669999992</v>
      </c>
      <c r="D334" s="680"/>
      <c r="E334" s="681"/>
      <c r="F334" s="681"/>
      <c r="G334"/>
      <c r="H334"/>
    </row>
    <row r="335" spans="2:15" ht="15.95">
      <c r="B335"/>
      <c r="C335" s="680">
        <f>+SUM(C329:D329)</f>
        <v>0</v>
      </c>
      <c r="D335" s="680">
        <f>+SUM(E329:F329)</f>
        <v>2611.4</v>
      </c>
      <c r="E335" s="680">
        <f>+SUM(G329:H329)</f>
        <v>2719.3</v>
      </c>
      <c r="F335" s="680"/>
      <c r="G335"/>
      <c r="H335"/>
    </row>
    <row r="336" spans="2:15" ht="14.45">
      <c r="B336" s="682" t="s">
        <v>275</v>
      </c>
      <c r="C336" s="683">
        <f>+Resultados!C10/0.66</f>
        <v>311.28748118518479</v>
      </c>
      <c r="D336" s="683">
        <f>+Resultados!D10/0.66</f>
        <v>362.90391742047444</v>
      </c>
      <c r="E336" s="683">
        <f>+Resultados!E10/0.66</f>
        <v>276.33962375136252</v>
      </c>
      <c r="F336" s="683"/>
      <c r="G336"/>
      <c r="H336"/>
    </row>
    <row r="337" spans="2:8" ht="14.45">
      <c r="B337" s="682" t="s">
        <v>276</v>
      </c>
      <c r="C337" s="20">
        <f>+C336*(1+$C$334)</f>
        <v>382.63594051049762</v>
      </c>
      <c r="D337" s="20">
        <f t="shared" ref="D337:E337" si="30">+D336*(1+$C$334)</f>
        <v>446.08309087290087</v>
      </c>
      <c r="E337" s="20">
        <f t="shared" si="30"/>
        <v>339.67788049759855</v>
      </c>
      <c r="F337" s="20"/>
      <c r="G337"/>
      <c r="H337"/>
    </row>
    <row r="338" spans="2:8" ht="14.45">
      <c r="B338" t="s">
        <v>277</v>
      </c>
      <c r="C338" s="535">
        <f>+Resultados!H6</f>
        <v>8.9200000000000002E-2</v>
      </c>
      <c r="D338" s="535"/>
      <c r="E338" s="535"/>
      <c r="F338" s="535"/>
      <c r="G338"/>
      <c r="H338"/>
    </row>
    <row r="339" spans="2:8" ht="14.45">
      <c r="B339" t="s">
        <v>278</v>
      </c>
      <c r="C339" s="20">
        <f>+(C337-C336)*(1+C338)^3</f>
        <v>92.195027362267226</v>
      </c>
      <c r="D339" s="20">
        <f>+(D337-D336)*(1+C338)^2</f>
        <v>98.680164734997803</v>
      </c>
      <c r="E339" s="20">
        <f>+(E337-E336)*(1+C338)^1</f>
        <v>68.988029248000274</v>
      </c>
      <c r="F339" s="20"/>
      <c r="G339"/>
      <c r="H339" s="684">
        <f>(+NPV(C338,C339:G339))</f>
        <v>221.21277568288008</v>
      </c>
    </row>
  </sheetData>
  <mergeCells count="41">
    <mergeCell ref="B160:D160"/>
    <mergeCell ref="C119:G119"/>
    <mergeCell ref="C276:G276"/>
    <mergeCell ref="C164:G164"/>
    <mergeCell ref="C183:G183"/>
    <mergeCell ref="B189:G189"/>
    <mergeCell ref="C197:G197"/>
    <mergeCell ref="B209:H209"/>
    <mergeCell ref="B238:F238"/>
    <mergeCell ref="C249:H249"/>
    <mergeCell ref="B178:G178"/>
    <mergeCell ref="B180:G180"/>
    <mergeCell ref="B179:G179"/>
    <mergeCell ref="C141:G141"/>
    <mergeCell ref="B138:D138"/>
    <mergeCell ref="C3:G3"/>
    <mergeCell ref="B22:G22"/>
    <mergeCell ref="C39:G39"/>
    <mergeCell ref="C45:G45"/>
    <mergeCell ref="C51:G51"/>
    <mergeCell ref="C33:G33"/>
    <mergeCell ref="B93:H93"/>
    <mergeCell ref="B92:H92"/>
    <mergeCell ref="B95:H95"/>
    <mergeCell ref="H22:H23"/>
    <mergeCell ref="B23:G23"/>
    <mergeCell ref="C27:G27"/>
    <mergeCell ref="C61:G61"/>
    <mergeCell ref="C68:G68"/>
    <mergeCell ref="C73:G73"/>
    <mergeCell ref="C78:G78"/>
    <mergeCell ref="C79:G79"/>
    <mergeCell ref="B36:G36"/>
    <mergeCell ref="B42:G42"/>
    <mergeCell ref="B295:G295"/>
    <mergeCell ref="C282:G282"/>
    <mergeCell ref="C283:G283"/>
    <mergeCell ref="H283:H284"/>
    <mergeCell ref="B290:G290"/>
    <mergeCell ref="B292:G292"/>
    <mergeCell ref="B291:G291"/>
  </mergeCells>
  <conditionalFormatting sqref="C335:F335">
    <cfRule type="cellIs" dxfId="3" priority="2" operator="equal">
      <formula>0</formula>
    </cfRule>
  </conditionalFormatting>
  <conditionalFormatting sqref="D334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C740A-9701-4B6D-BBDB-0EBFA600D1D9}">
  <sheetPr>
    <tabColor theme="4" tint="0.79998168889431442"/>
  </sheetPr>
  <dimension ref="A1:AK21"/>
  <sheetViews>
    <sheetView showGridLines="0" workbookViewId="0">
      <selection activeCell="E26" sqref="E26"/>
    </sheetView>
  </sheetViews>
  <sheetFormatPr defaultColWidth="11.42578125" defaultRowHeight="11.45"/>
  <cols>
    <col min="1" max="1" width="11.42578125" style="50"/>
    <col min="2" max="2" width="37" style="50" customWidth="1"/>
    <col min="3" max="3" width="17" style="50" bestFit="1" customWidth="1"/>
    <col min="4" max="19" width="11.5703125" style="50" bestFit="1" customWidth="1"/>
    <col min="20" max="37" width="12" style="50" bestFit="1" customWidth="1"/>
    <col min="38" max="16384" width="11.42578125" style="50"/>
  </cols>
  <sheetData>
    <row r="1" spans="1:37">
      <c r="A1" s="50" t="s">
        <v>279</v>
      </c>
      <c r="B1" s="95">
        <f>+Inputs!C4</f>
        <v>44531</v>
      </c>
    </row>
    <row r="3" spans="1:37" ht="14.45">
      <c r="B3" s="57" t="s">
        <v>280</v>
      </c>
      <c r="E3"/>
    </row>
    <row r="4" spans="1:37" ht="14.45">
      <c r="E4"/>
    </row>
    <row r="5" spans="1:37" ht="14.45">
      <c r="B5" s="74" t="s">
        <v>281</v>
      </c>
      <c r="C5" s="157">
        <v>2023</v>
      </c>
      <c r="D5" s="158">
        <v>2024</v>
      </c>
      <c r="E5" s="159">
        <v>2025</v>
      </c>
      <c r="F5" s="159">
        <v>2026</v>
      </c>
      <c r="G5" s="160">
        <v>2027</v>
      </c>
      <c r="H5"/>
      <c r="I5"/>
      <c r="J5"/>
      <c r="K5"/>
      <c r="L5"/>
    </row>
    <row r="6" spans="1:37">
      <c r="B6" s="82" t="s">
        <v>282</v>
      </c>
      <c r="C6" s="161">
        <f>Inputs!C57*VLOOKUP($B$1,IGPM!$A$3:$B$138,2,0)/VLOOKUP(DATE(C$5,12,1),IGPM!$A$3:$B$138,2,0)</f>
        <v>28171.128223334737</v>
      </c>
      <c r="D6" s="161">
        <f>Inputs!D57*VLOOKUP($B$1,IGPM!$A$3:$B$138,2,0)/VLOOKUP(DATE(D$5,12,1),IGPM!$A$3:$B$138,2,0)</f>
        <v>26751.646824676271</v>
      </c>
      <c r="E6" s="161">
        <f>IF($I$6="Cálculo",INDEX($C$21:$G$21,1,MATCH(E$5,$C$20:$G$20,0))*$C$17,Inputs!E57*VLOOKUP($B$1,IGPM!$A$3:$B$1048576,2,0)/VLOOKUP(DATE(E$5,12,1),IGPM!$A$3:$B$1048576,2,0))</f>
        <v>30895.924540124652</v>
      </c>
      <c r="F6" s="161">
        <f>IF($I$6="Cálculo",INDEX($C$21:$G$21,1,MATCH(F$5,$C$20:$G$20,0))*$C$17,Inputs!F57*VLOOKUP($B$1,IGPM!$A$3:$B$1048576,2,0)/VLOOKUP(DATE(F$5,12,1),IGPM!$A$3:$B$1048576,2,0))</f>
        <v>37611.313680856307</v>
      </c>
      <c r="G6" s="161">
        <f>IF($I$6="Cálculo",INDEX($C$21:$G$21,1,MATCH(G$5,$C$20:$G$20,0))*$C$17,Inputs!G57*VLOOKUP($B$1,IGPM!$A$3:$B$1048576,2,0)/VLOOKUP(DATE(G$5,12,1),IGPM!$A$3:$B$1048576,2,0))</f>
        <v>36329.35122849344</v>
      </c>
      <c r="I6" s="123" t="str">
        <f>+[41]Inputs!B54</f>
        <v>Input</v>
      </c>
    </row>
    <row r="9" spans="1:37">
      <c r="B9" s="57" t="s">
        <v>283</v>
      </c>
    </row>
    <row r="10" spans="1:37">
      <c r="B10" s="57"/>
    </row>
    <row r="11" spans="1:37">
      <c r="B11" s="61" t="s">
        <v>284</v>
      </c>
    </row>
    <row r="12" spans="1:37">
      <c r="B12" s="128" t="s">
        <v>285</v>
      </c>
      <c r="C12" s="128">
        <v>2023</v>
      </c>
      <c r="D12" s="128">
        <v>2024</v>
      </c>
      <c r="E12" s="128">
        <v>2025</v>
      </c>
      <c r="F12" s="128">
        <v>2026</v>
      </c>
      <c r="G12" s="128">
        <v>2027</v>
      </c>
      <c r="H12" s="128">
        <v>2028</v>
      </c>
      <c r="I12" s="128">
        <v>2029</v>
      </c>
      <c r="J12" s="128">
        <v>2030</v>
      </c>
      <c r="K12" s="128">
        <v>2031</v>
      </c>
      <c r="L12" s="128">
        <v>2032</v>
      </c>
      <c r="M12" s="128">
        <v>2033</v>
      </c>
      <c r="N12" s="128">
        <v>2034</v>
      </c>
      <c r="O12" s="128">
        <v>2035</v>
      </c>
      <c r="P12" s="128">
        <v>2036</v>
      </c>
      <c r="Q12" s="128">
        <v>2037</v>
      </c>
      <c r="R12" s="128">
        <v>2038</v>
      </c>
      <c r="S12" s="128">
        <v>2039</v>
      </c>
      <c r="T12" s="128">
        <v>2040</v>
      </c>
      <c r="U12" s="128">
        <v>2041</v>
      </c>
      <c r="V12" s="128">
        <v>2042</v>
      </c>
      <c r="W12" s="128">
        <v>2043</v>
      </c>
      <c r="X12" s="128">
        <v>2044</v>
      </c>
      <c r="Y12" s="128">
        <v>2045</v>
      </c>
      <c r="Z12" s="128">
        <v>2046</v>
      </c>
      <c r="AA12" s="128">
        <v>2047</v>
      </c>
      <c r="AB12" s="128">
        <v>2048</v>
      </c>
      <c r="AC12" s="128">
        <v>2049</v>
      </c>
      <c r="AD12" s="128">
        <v>2050</v>
      </c>
      <c r="AE12" s="128">
        <v>2051</v>
      </c>
      <c r="AF12" s="128">
        <v>2052</v>
      </c>
      <c r="AG12" s="128">
        <v>2053</v>
      </c>
      <c r="AH12" s="128">
        <v>2054</v>
      </c>
      <c r="AI12" s="128">
        <v>2055</v>
      </c>
      <c r="AJ12" s="128">
        <v>2056</v>
      </c>
      <c r="AK12" s="128">
        <v>2057</v>
      </c>
    </row>
    <row r="13" spans="1:37">
      <c r="B13" s="51" t="s">
        <v>286</v>
      </c>
      <c r="C13" s="58">
        <v>1646.8195187299998</v>
      </c>
      <c r="D13" s="58">
        <v>1684.5252308163317</v>
      </c>
      <c r="E13" s="58">
        <v>1851.7647186045215</v>
      </c>
      <c r="F13" s="58">
        <v>1864.9635699867008</v>
      </c>
      <c r="G13" s="58">
        <v>1910.9476095339962</v>
      </c>
      <c r="H13" s="58">
        <v>1965.8158825996861</v>
      </c>
      <c r="I13" s="58">
        <v>2022.8105664798279</v>
      </c>
      <c r="J13" s="58">
        <v>2082.0138941648588</v>
      </c>
      <c r="K13" s="58">
        <v>2143.4931076939997</v>
      </c>
      <c r="L13" s="58">
        <v>2207.317347945002</v>
      </c>
      <c r="M13" s="58">
        <v>2304.1256233266258</v>
      </c>
      <c r="N13" s="58">
        <v>2373.9470931512619</v>
      </c>
      <c r="O13" s="58">
        <v>2448.3970479945651</v>
      </c>
      <c r="P13" s="58">
        <v>2525.7091056065069</v>
      </c>
      <c r="Q13" s="58">
        <v>2605.9764536917255</v>
      </c>
      <c r="R13" s="58">
        <v>2689.3193670478922</v>
      </c>
      <c r="S13" s="58">
        <v>2775.8411725936753</v>
      </c>
      <c r="T13" s="58">
        <v>2865.6487635103426</v>
      </c>
      <c r="U13" s="58">
        <v>2958.852716121723</v>
      </c>
      <c r="V13" s="58">
        <v>3055.5926051271649</v>
      </c>
      <c r="W13" s="58">
        <v>3155.9893749822168</v>
      </c>
      <c r="X13" s="58">
        <v>3260.1669654840512</v>
      </c>
      <c r="Y13" s="58">
        <v>3368.2796821598304</v>
      </c>
      <c r="Z13" s="58">
        <v>3483.5395909964641</v>
      </c>
      <c r="AA13" s="58">
        <v>3603.2737299013252</v>
      </c>
      <c r="AB13" s="58">
        <v>3639.9359331523237</v>
      </c>
      <c r="AC13" s="58">
        <v>3678.7345656524117</v>
      </c>
      <c r="AD13" s="58">
        <v>3718.6802523668534</v>
      </c>
      <c r="AE13" s="58">
        <v>3759.7662576795606</v>
      </c>
      <c r="AF13" s="58">
        <v>3802.4564803471812</v>
      </c>
      <c r="AG13" s="58">
        <v>3848.5335073124552</v>
      </c>
      <c r="AH13" s="58">
        <v>3896.9212273405342</v>
      </c>
      <c r="AI13" s="58">
        <v>3945.9348480740978</v>
      </c>
      <c r="AJ13" s="58">
        <v>3995.6502544092391</v>
      </c>
      <c r="AK13" s="58">
        <v>4046.9209898880158</v>
      </c>
    </row>
    <row r="14" spans="1:37">
      <c r="B14" s="50" t="s">
        <v>282</v>
      </c>
      <c r="C14" s="58">
        <v>-76.483117390000004</v>
      </c>
      <c r="D14" s="58">
        <v>-85.525996489999997</v>
      </c>
      <c r="E14" s="58">
        <v>-73.303587036740495</v>
      </c>
      <c r="F14" s="58">
        <v>-99.431107359411882</v>
      </c>
      <c r="G14" s="58">
        <v>-99.499562510778077</v>
      </c>
      <c r="H14" s="58">
        <v>-101.10098520805123</v>
      </c>
      <c r="I14" s="58">
        <v>-100.6440470726818</v>
      </c>
      <c r="J14" s="58">
        <v>-98.090242082026364</v>
      </c>
      <c r="K14" s="58">
        <v>-95.951018601832459</v>
      </c>
      <c r="L14" s="58">
        <v>-93.811795121638582</v>
      </c>
      <c r="M14" s="58">
        <v>-91.672571641444691</v>
      </c>
      <c r="N14" s="58">
        <v>-89.533348161250785</v>
      </c>
      <c r="O14" s="58">
        <v>-87.394124681056908</v>
      </c>
      <c r="P14" s="58">
        <v>-85.254901200863017</v>
      </c>
      <c r="Q14" s="58">
        <v>-85.254901200863017</v>
      </c>
      <c r="R14" s="58">
        <v>-85.254901200863017</v>
      </c>
      <c r="S14" s="58">
        <v>-85.254901200863017</v>
      </c>
      <c r="T14" s="58">
        <v>-85.254901200863017</v>
      </c>
      <c r="U14" s="58">
        <v>-85.254901200863017</v>
      </c>
      <c r="V14" s="58">
        <v>-85.254901200863017</v>
      </c>
      <c r="W14" s="58">
        <v>-85.254901200863017</v>
      </c>
      <c r="X14" s="58">
        <v>-85.254901200863017</v>
      </c>
      <c r="Y14" s="58">
        <v>-85.254901200863017</v>
      </c>
      <c r="Z14" s="58">
        <v>-85.254901200863017</v>
      </c>
      <c r="AA14" s="58">
        <v>-85.254901200863017</v>
      </c>
      <c r="AB14" s="58">
        <v>-85.254901200863017</v>
      </c>
      <c r="AC14" s="58">
        <v>-85.254901200863017</v>
      </c>
      <c r="AD14" s="58">
        <v>-85.254901200863017</v>
      </c>
      <c r="AE14" s="58">
        <v>-85.254901200863017</v>
      </c>
      <c r="AF14" s="58">
        <v>-85.254901200863017</v>
      </c>
      <c r="AG14" s="58">
        <v>-85.254901200863017</v>
      </c>
      <c r="AH14" s="58">
        <v>-85.254901200863017</v>
      </c>
      <c r="AI14" s="58">
        <v>-85.254901200863017</v>
      </c>
      <c r="AJ14" s="58">
        <v>-85.254901200863017</v>
      </c>
      <c r="AK14" s="58">
        <v>-85.254901200863017</v>
      </c>
    </row>
    <row r="15" spans="1:37">
      <c r="B15" s="50" t="s">
        <v>287</v>
      </c>
      <c r="C15" s="63">
        <f>-C14/C13</f>
        <v>4.6442926210264093E-2</v>
      </c>
      <c r="D15" s="63">
        <f t="shared" ref="D15:AK15" si="0">-D14/D13</f>
        <v>5.0771573453104978E-2</v>
      </c>
      <c r="E15" s="63">
        <f t="shared" si="0"/>
        <v>3.9585799589043701E-2</v>
      </c>
      <c r="F15" s="63">
        <f t="shared" si="0"/>
        <v>5.3315308116244291E-2</v>
      </c>
      <c r="G15" s="63">
        <f t="shared" si="0"/>
        <v>5.2068179166378112E-2</v>
      </c>
      <c r="H15" s="63">
        <f t="shared" si="0"/>
        <v>5.1429529134921118E-2</v>
      </c>
      <c r="I15" s="63">
        <f t="shared" si="0"/>
        <v>4.9754558701869157E-2</v>
      </c>
      <c r="J15" s="63">
        <f t="shared" si="0"/>
        <v>4.7113154411187297E-2</v>
      </c>
      <c r="K15" s="63">
        <f t="shared" si="0"/>
        <v>4.4763856836030569E-2</v>
      </c>
      <c r="L15" s="63">
        <f t="shared" si="0"/>
        <v>4.250036597998777E-2</v>
      </c>
      <c r="M15" s="63">
        <f t="shared" si="0"/>
        <v>3.9786273245419078E-2</v>
      </c>
      <c r="N15" s="63">
        <f t="shared" si="0"/>
        <v>3.7714972005716031E-2</v>
      </c>
      <c r="O15" s="63">
        <f t="shared" si="0"/>
        <v>3.5694424951475803E-2</v>
      </c>
      <c r="P15" s="63">
        <f t="shared" si="0"/>
        <v>3.3754837804407599E-2</v>
      </c>
      <c r="Q15" s="63">
        <f t="shared" si="0"/>
        <v>3.2715146401299092E-2</v>
      </c>
      <c r="R15" s="63">
        <f t="shared" si="0"/>
        <v>3.170129299089109E-2</v>
      </c>
      <c r="S15" s="63">
        <f t="shared" si="0"/>
        <v>3.0713176979503841E-2</v>
      </c>
      <c r="T15" s="63">
        <f t="shared" si="0"/>
        <v>2.9750645747815954E-2</v>
      </c>
      <c r="U15" s="63">
        <f t="shared" si="0"/>
        <v>2.8813499481180581E-2</v>
      </c>
      <c r="V15" s="63">
        <f t="shared" si="0"/>
        <v>2.7901265717755905E-2</v>
      </c>
      <c r="W15" s="63">
        <f t="shared" si="0"/>
        <v>2.7013684480906533E-2</v>
      </c>
      <c r="X15" s="63">
        <f t="shared" si="0"/>
        <v>2.6150470851177665E-2</v>
      </c>
      <c r="Y15" s="63">
        <f t="shared" si="0"/>
        <v>2.5311111085108976E-2</v>
      </c>
      <c r="Z15" s="63">
        <f t="shared" si="0"/>
        <v>2.4473642102765914E-2</v>
      </c>
      <c r="AA15" s="63">
        <f t="shared" si="0"/>
        <v>2.3660400955216272E-2</v>
      </c>
      <c r="AB15" s="63">
        <f t="shared" si="0"/>
        <v>2.3422088401162878E-2</v>
      </c>
      <c r="AC15" s="63">
        <f t="shared" si="0"/>
        <v>2.3175061880482083E-2</v>
      </c>
      <c r="AD15" s="63">
        <f t="shared" si="0"/>
        <v>2.2926117712486913E-2</v>
      </c>
      <c r="AE15" s="63">
        <f t="shared" si="0"/>
        <v>2.2675585490647056E-2</v>
      </c>
      <c r="AF15" s="63">
        <f t="shared" si="0"/>
        <v>2.2421006431368511E-2</v>
      </c>
      <c r="AG15" s="63">
        <f t="shared" si="0"/>
        <v>2.2152568254602267E-2</v>
      </c>
      <c r="AH15" s="63">
        <f t="shared" si="0"/>
        <v>2.1877501809048752E-2</v>
      </c>
      <c r="AI15" s="63">
        <f t="shared" si="0"/>
        <v>2.1605754905576709E-2</v>
      </c>
      <c r="AJ15" s="63">
        <f t="shared" si="0"/>
        <v>2.1336927852177102E-2</v>
      </c>
      <c r="AK15" s="63">
        <f t="shared" si="0"/>
        <v>2.1066608765994747E-2</v>
      </c>
    </row>
    <row r="17" spans="2:8">
      <c r="B17" s="162" t="s">
        <v>288</v>
      </c>
      <c r="C17" s="163">
        <f>+AVERAGE(C15:D15)</f>
        <v>4.8607249831684532E-2</v>
      </c>
    </row>
    <row r="20" spans="2:8">
      <c r="B20" s="156" t="s">
        <v>289</v>
      </c>
      <c r="C20" s="77">
        <v>2023</v>
      </c>
      <c r="D20" s="77">
        <v>2024</v>
      </c>
      <c r="E20" s="85">
        <v>2025</v>
      </c>
      <c r="F20" s="85">
        <v>2026</v>
      </c>
      <c r="G20" s="85">
        <v>2027</v>
      </c>
    </row>
    <row r="21" spans="2:8">
      <c r="B21" s="50" t="str">
        <f>+B20</f>
        <v>Margem (R$ mil - moeda Dez 21)</v>
      </c>
      <c r="C21" s="51">
        <f>+'Vendas Vigente'!G176</f>
        <v>311287.48118518473</v>
      </c>
      <c r="D21" s="51">
        <f>+'Vendas Vigente'!H176</f>
        <v>362903.91742047446</v>
      </c>
      <c r="E21" s="51">
        <f>+'Vendas Vigente'!I176</f>
        <v>276339.62375136249</v>
      </c>
      <c r="F21" s="51">
        <f>+'Vendas Vigente'!J176</f>
        <v>309280.88398241467</v>
      </c>
      <c r="G21" s="51">
        <f>+'Vendas Vigente'!K176</f>
        <v>304474.2970088502</v>
      </c>
      <c r="H21" s="6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8EF01-342B-4E2C-A867-DDEC4A74B788}">
  <dimension ref="A2:AN2627"/>
  <sheetViews>
    <sheetView showGridLines="0" zoomScale="70" zoomScaleNormal="70" workbookViewId="0">
      <pane ySplit="6" topLeftCell="A2600" activePane="bottomLeft" state="frozen"/>
      <selection pane="bottomLeft" activeCell="AK3" sqref="AK3"/>
      <selection activeCell="AF6556" sqref="AF6556"/>
    </sheetView>
  </sheetViews>
  <sheetFormatPr defaultColWidth="11.42578125" defaultRowHeight="14.45" outlineLevelCol="1"/>
  <cols>
    <col min="1" max="1" width="12.85546875" bestFit="1" customWidth="1"/>
    <col min="2" max="2" width="4.85546875" bestFit="1" customWidth="1"/>
    <col min="3" max="3" width="5.85546875" bestFit="1" customWidth="1"/>
    <col min="4" max="4" width="4.7109375" bestFit="1" customWidth="1"/>
    <col min="5" max="5" width="7.7109375" hidden="1" customWidth="1" outlineLevel="1"/>
    <col min="6" max="6" width="3.85546875" hidden="1" customWidth="1" outlineLevel="1"/>
    <col min="7" max="7" width="56.42578125" hidden="1" customWidth="1" outlineLevel="1"/>
    <col min="8" max="8" width="53.85546875" hidden="1" customWidth="1" outlineLevel="1"/>
    <col min="9" max="9" width="7.42578125" hidden="1" customWidth="1" outlineLevel="1"/>
    <col min="10" max="10" width="10.85546875" hidden="1" customWidth="1" outlineLevel="1"/>
    <col min="11" max="11" width="12.42578125" hidden="1" customWidth="1" outlineLevel="1"/>
    <col min="12" max="12" width="4.5703125" hidden="1" customWidth="1" outlineLevel="1"/>
    <col min="13" max="13" width="10.140625" hidden="1" customWidth="1" outlineLevel="1"/>
    <col min="14" max="14" width="15" customWidth="1" collapsed="1"/>
    <col min="15" max="15" width="4.85546875" bestFit="1" customWidth="1"/>
    <col min="16" max="16" width="17" customWidth="1"/>
    <col min="17" max="17" width="14.28515625" customWidth="1"/>
    <col min="18" max="18" width="13.140625" bestFit="1" customWidth="1"/>
    <col min="19" max="19" width="16.28515625" customWidth="1"/>
    <col min="20" max="20" width="15" bestFit="1" customWidth="1"/>
    <col min="21" max="21" width="12.42578125" hidden="1" customWidth="1" outlineLevel="1"/>
    <col min="22" max="22" width="13.140625" hidden="1" customWidth="1" outlineLevel="1"/>
    <col min="23" max="23" width="13.85546875" hidden="1" customWidth="1" outlineLevel="1"/>
    <col min="24" max="24" width="13.140625" hidden="1" customWidth="1" outlineLevel="1"/>
    <col min="25" max="25" width="11.42578125" hidden="1" customWidth="1" outlineLevel="1"/>
    <col min="26" max="26" width="12.140625" hidden="1" customWidth="1" outlineLevel="1"/>
    <col min="27" max="27" width="11.7109375" hidden="1" customWidth="1" outlineLevel="1"/>
    <col min="28" max="28" width="12.42578125" hidden="1" customWidth="1" outlineLevel="1"/>
    <col min="29" max="29" width="15.5703125" customWidth="1" collapsed="1"/>
    <col min="32" max="32" width="15.140625" bestFit="1" customWidth="1"/>
  </cols>
  <sheetData>
    <row r="2" spans="1:40">
      <c r="AK2" s="716">
        <f>SUBTOTAL(9,AK7:AK61296)</f>
        <v>32305428.565017767</v>
      </c>
    </row>
    <row r="3" spans="1:40">
      <c r="AD3" s="718" t="s">
        <v>290</v>
      </c>
      <c r="AE3" s="718"/>
      <c r="AG3" s="715" t="s">
        <v>291</v>
      </c>
      <c r="AH3" s="709">
        <v>44531</v>
      </c>
      <c r="AI3" s="717"/>
      <c r="AJ3" s="717" t="s">
        <v>292</v>
      </c>
      <c r="AK3" s="716">
        <f>+SUMIFS(AK$7:AK$61296,$AD$7:$AD$61296,$AD$3)</f>
        <v>32305428.565017767</v>
      </c>
    </row>
    <row r="4" spans="1:40">
      <c r="P4" s="679"/>
      <c r="Q4" s="679"/>
      <c r="R4" s="679"/>
      <c r="S4" s="679"/>
      <c r="T4" s="679"/>
      <c r="AD4" s="709"/>
      <c r="AF4" s="715" t="s">
        <v>293</v>
      </c>
      <c r="AG4" s="309">
        <v>35431</v>
      </c>
      <c r="AH4" s="714">
        <v>137.613</v>
      </c>
      <c r="AK4" s="702">
        <v>44926</v>
      </c>
    </row>
    <row r="5" spans="1:40">
      <c r="P5" s="20"/>
      <c r="Q5" s="20"/>
      <c r="R5" s="20"/>
      <c r="S5" s="20"/>
      <c r="T5" s="20"/>
      <c r="AD5" s="709"/>
      <c r="AE5" s="713" t="s">
        <v>294</v>
      </c>
      <c r="AF5" s="712"/>
      <c r="AG5" s="309">
        <v>37256</v>
      </c>
      <c r="AJ5" s="711" t="s">
        <v>295</v>
      </c>
      <c r="AM5" s="710"/>
      <c r="AN5" s="709"/>
    </row>
    <row r="6" spans="1:40" ht="30">
      <c r="A6" s="708" t="s">
        <v>296</v>
      </c>
      <c r="B6" s="708" t="s">
        <v>297</v>
      </c>
      <c r="C6" s="708" t="s">
        <v>298</v>
      </c>
      <c r="D6" s="708" t="s">
        <v>299</v>
      </c>
      <c r="E6" s="708" t="s">
        <v>300</v>
      </c>
      <c r="F6" s="708" t="s">
        <v>301</v>
      </c>
      <c r="G6" s="708" t="s">
        <v>302</v>
      </c>
      <c r="H6" s="708" t="s">
        <v>303</v>
      </c>
      <c r="I6" s="708" t="s">
        <v>304</v>
      </c>
      <c r="J6" s="708" t="s">
        <v>305</v>
      </c>
      <c r="K6" s="707" t="s">
        <v>306</v>
      </c>
      <c r="L6" s="707" t="s">
        <v>307</v>
      </c>
      <c r="M6" s="707" t="s">
        <v>308</v>
      </c>
      <c r="N6" s="707" t="s">
        <v>309</v>
      </c>
      <c r="O6" s="707" t="s">
        <v>310</v>
      </c>
      <c r="P6" s="707" t="s">
        <v>311</v>
      </c>
      <c r="Q6" s="707" t="s">
        <v>312</v>
      </c>
      <c r="R6" s="707" t="s">
        <v>313</v>
      </c>
      <c r="S6" s="707" t="s">
        <v>314</v>
      </c>
      <c r="T6" s="707" t="s">
        <v>315</v>
      </c>
      <c r="U6" s="707" t="s">
        <v>316</v>
      </c>
      <c r="V6" s="707" t="s">
        <v>317</v>
      </c>
      <c r="W6" s="707" t="s">
        <v>318</v>
      </c>
      <c r="X6" s="707" t="s">
        <v>319</v>
      </c>
      <c r="Y6" s="707" t="s">
        <v>320</v>
      </c>
      <c r="Z6" s="707" t="s">
        <v>321</v>
      </c>
      <c r="AA6" s="707" t="s">
        <v>322</v>
      </c>
      <c r="AB6" s="707" t="s">
        <v>323</v>
      </c>
      <c r="AC6" s="706" t="s">
        <v>324</v>
      </c>
      <c r="AD6" s="706" t="s">
        <v>325</v>
      </c>
      <c r="AE6" s="706" t="s">
        <v>326</v>
      </c>
      <c r="AF6" s="706" t="str">
        <f>_xlfn.CONCAT("Valor de Origem (em R$ "&amp;TEXT(AH3,"mmm/aa"&amp;")"))</f>
        <v>Valor de Origem (em R$ dez/21)</v>
      </c>
      <c r="AG6" s="706" t="s">
        <v>327</v>
      </c>
      <c r="AH6" s="706" t="s">
        <v>328</v>
      </c>
      <c r="AJ6" s="705" t="s">
        <v>329</v>
      </c>
      <c r="AK6" s="705" t="s">
        <v>225</v>
      </c>
    </row>
    <row r="7" spans="1:40">
      <c r="A7" s="703" t="s">
        <v>330</v>
      </c>
      <c r="B7" s="703" t="s">
        <v>331</v>
      </c>
      <c r="C7" s="703" t="s">
        <v>332</v>
      </c>
      <c r="D7" s="703" t="s">
        <v>333</v>
      </c>
      <c r="E7" s="703" t="s">
        <v>334</v>
      </c>
      <c r="F7" s="703" t="s">
        <v>335</v>
      </c>
      <c r="G7" s="703" t="s">
        <v>336</v>
      </c>
      <c r="H7" s="703" t="s">
        <v>334</v>
      </c>
      <c r="I7" s="703" t="s">
        <v>334</v>
      </c>
      <c r="J7" s="703" t="s">
        <v>337</v>
      </c>
      <c r="K7" s="704">
        <v>0</v>
      </c>
      <c r="L7" s="703" t="s">
        <v>334</v>
      </c>
      <c r="M7" s="702">
        <v>39478</v>
      </c>
      <c r="N7" s="702">
        <v>43115</v>
      </c>
      <c r="O7" s="703" t="s">
        <v>338</v>
      </c>
      <c r="P7" s="20">
        <v>2404.38</v>
      </c>
      <c r="Q7" s="20">
        <v>0</v>
      </c>
      <c r="R7" s="20">
        <v>0</v>
      </c>
      <c r="S7" s="20">
        <v>0</v>
      </c>
      <c r="T7" s="20">
        <v>2404.38</v>
      </c>
      <c r="U7" s="20">
        <v>2090.46</v>
      </c>
      <c r="V7" s="20">
        <v>-313.92</v>
      </c>
      <c r="W7" s="20">
        <v>-394.07</v>
      </c>
      <c r="X7" s="20">
        <v>-80.150000000000006</v>
      </c>
      <c r="Y7" s="20">
        <v>0</v>
      </c>
      <c r="Z7" s="20">
        <v>0</v>
      </c>
      <c r="AA7" s="20">
        <v>0</v>
      </c>
      <c r="AB7" s="20">
        <v>2010.31</v>
      </c>
      <c r="AC7" t="s">
        <v>183</v>
      </c>
      <c r="AD7" t="s">
        <v>290</v>
      </c>
      <c r="AE7" s="702">
        <f t="shared" ref="AE7:AE70" si="0">IF(N7&gt;=$AG$5,DATE(YEAR(N7),6,1),DATE(YEAR(N7),6,1))</f>
        <v>43252</v>
      </c>
      <c r="AF7" s="289">
        <v>3993.7985646911861</v>
      </c>
      <c r="AG7">
        <f t="shared" ref="AG7:AG70" si="1">+IF(AD7="intangível",20*12,IF(AD7="Diferido",120,IF(AD7="Não vinculados",0,IF(AE7&lt;=$AG$5,F7*12,360))))</f>
        <v>360</v>
      </c>
      <c r="AH7" s="289">
        <f t="shared" ref="AH7:AH70" si="2">IF(AG7=0,0,AF7/AG7)</f>
        <v>11.093884901919962</v>
      </c>
      <c r="AJ7" s="289">
        <f t="shared" ref="AJ7:AJ70" si="3">+IF(AND(YEAR(AE7)&gt;=2018,YEAR(AE7)&lt;=2022),IF(DATEDIF(AE7,$AK$4,"m")&gt;=AG7,AG7,DATEDIF(AE7,$AK$4,"m")),0)</f>
        <v>54</v>
      </c>
      <c r="AK7" s="289">
        <f t="shared" ref="AK7:AK70" si="4">IF(AD7="Imobilizado",AJ7*AH7,0)</f>
        <v>599.0697847036779</v>
      </c>
    </row>
    <row r="8" spans="1:40">
      <c r="A8" s="703" t="s">
        <v>339</v>
      </c>
      <c r="B8" s="703" t="s">
        <v>331</v>
      </c>
      <c r="C8" s="703" t="s">
        <v>332</v>
      </c>
      <c r="D8" s="703" t="s">
        <v>333</v>
      </c>
      <c r="E8" s="703" t="s">
        <v>334</v>
      </c>
      <c r="F8" s="703" t="s">
        <v>335</v>
      </c>
      <c r="G8" s="703" t="s">
        <v>340</v>
      </c>
      <c r="H8" s="703" t="s">
        <v>334</v>
      </c>
      <c r="I8" s="703" t="s">
        <v>334</v>
      </c>
      <c r="J8" s="703" t="s">
        <v>337</v>
      </c>
      <c r="K8" s="704">
        <v>0</v>
      </c>
      <c r="L8" s="703" t="s">
        <v>334</v>
      </c>
      <c r="M8" s="702">
        <v>39478</v>
      </c>
      <c r="N8" s="702">
        <v>43115</v>
      </c>
      <c r="O8" s="703" t="s">
        <v>338</v>
      </c>
      <c r="P8" s="20">
        <v>48475.89</v>
      </c>
      <c r="Q8" s="20">
        <v>0</v>
      </c>
      <c r="R8" s="20">
        <v>0</v>
      </c>
      <c r="S8" s="20">
        <v>0</v>
      </c>
      <c r="T8" s="20">
        <v>48475.89</v>
      </c>
      <c r="U8" s="20">
        <v>42147.1</v>
      </c>
      <c r="V8" s="20">
        <v>-6328.79</v>
      </c>
      <c r="W8" s="20">
        <v>-7944.65</v>
      </c>
      <c r="X8" s="20">
        <v>-1615.86</v>
      </c>
      <c r="Y8" s="20">
        <v>0</v>
      </c>
      <c r="Z8" s="20">
        <v>0</v>
      </c>
      <c r="AA8" s="20">
        <v>0</v>
      </c>
      <c r="AB8" s="20">
        <v>40531.24</v>
      </c>
      <c r="AC8" t="s">
        <v>183</v>
      </c>
      <c r="AD8" t="s">
        <v>290</v>
      </c>
      <c r="AE8" s="702">
        <f t="shared" si="0"/>
        <v>43252</v>
      </c>
      <c r="AF8" s="289">
        <v>80520.940909559969</v>
      </c>
      <c r="AG8">
        <f t="shared" si="1"/>
        <v>360</v>
      </c>
      <c r="AH8" s="289">
        <f t="shared" si="2"/>
        <v>223.66928030433326</v>
      </c>
      <c r="AJ8" s="289">
        <f t="shared" si="3"/>
        <v>54</v>
      </c>
      <c r="AK8" s="289">
        <f t="shared" si="4"/>
        <v>12078.141136433997</v>
      </c>
    </row>
    <row r="9" spans="1:40">
      <c r="A9" s="703" t="s">
        <v>341</v>
      </c>
      <c r="B9" s="703" t="s">
        <v>331</v>
      </c>
      <c r="C9" s="703" t="s">
        <v>332</v>
      </c>
      <c r="D9" s="703" t="s">
        <v>333</v>
      </c>
      <c r="E9" s="703" t="s">
        <v>334</v>
      </c>
      <c r="F9" s="703" t="s">
        <v>335</v>
      </c>
      <c r="G9" s="703" t="s">
        <v>342</v>
      </c>
      <c r="H9" s="703" t="s">
        <v>334</v>
      </c>
      <c r="I9" s="703" t="s">
        <v>334</v>
      </c>
      <c r="J9" s="703" t="s">
        <v>337</v>
      </c>
      <c r="K9" s="704">
        <v>0</v>
      </c>
      <c r="L9" s="703" t="s">
        <v>334</v>
      </c>
      <c r="M9" s="702">
        <v>42886</v>
      </c>
      <c r="N9" s="702">
        <v>43115</v>
      </c>
      <c r="O9" s="703" t="s">
        <v>338</v>
      </c>
      <c r="P9" s="20">
        <v>187724.99</v>
      </c>
      <c r="Q9" s="20">
        <v>0</v>
      </c>
      <c r="R9" s="20">
        <v>0</v>
      </c>
      <c r="S9" s="20">
        <v>0</v>
      </c>
      <c r="T9" s="20">
        <v>187724.99</v>
      </c>
      <c r="U9" s="20">
        <v>163216.45000000001</v>
      </c>
      <c r="V9" s="20">
        <v>-24508.54</v>
      </c>
      <c r="W9" s="20">
        <v>-30766.04</v>
      </c>
      <c r="X9" s="20">
        <v>-6257.5</v>
      </c>
      <c r="Y9" s="20">
        <v>0</v>
      </c>
      <c r="Z9" s="20">
        <v>0</v>
      </c>
      <c r="AA9" s="20">
        <v>0</v>
      </c>
      <c r="AB9" s="20">
        <v>156958.95000000001</v>
      </c>
      <c r="AC9" t="s">
        <v>183</v>
      </c>
      <c r="AD9" t="s">
        <v>290</v>
      </c>
      <c r="AE9" s="702">
        <f t="shared" si="0"/>
        <v>43252</v>
      </c>
      <c r="AF9" s="289">
        <v>311820.84180481755</v>
      </c>
      <c r="AG9">
        <f t="shared" si="1"/>
        <v>360</v>
      </c>
      <c r="AH9" s="289">
        <f t="shared" si="2"/>
        <v>866.16900501338205</v>
      </c>
      <c r="AJ9" s="289">
        <f t="shared" si="3"/>
        <v>54</v>
      </c>
      <c r="AK9" s="289">
        <f t="shared" si="4"/>
        <v>46773.126270722627</v>
      </c>
    </row>
    <row r="10" spans="1:40">
      <c r="A10" s="703" t="s">
        <v>343</v>
      </c>
      <c r="B10" s="703" t="s">
        <v>331</v>
      </c>
      <c r="C10" s="703" t="s">
        <v>332</v>
      </c>
      <c r="D10" s="703" t="s">
        <v>333</v>
      </c>
      <c r="E10" s="703" t="s">
        <v>334</v>
      </c>
      <c r="F10" s="703" t="s">
        <v>335</v>
      </c>
      <c r="G10" s="703" t="s">
        <v>344</v>
      </c>
      <c r="H10" s="703" t="s">
        <v>334</v>
      </c>
      <c r="I10" s="703" t="s">
        <v>334</v>
      </c>
      <c r="J10" s="703" t="s">
        <v>337</v>
      </c>
      <c r="K10" s="704">
        <v>0</v>
      </c>
      <c r="L10" s="703" t="s">
        <v>334</v>
      </c>
      <c r="M10" s="702">
        <v>39478</v>
      </c>
      <c r="N10" s="702">
        <v>43115</v>
      </c>
      <c r="O10" s="703" t="s">
        <v>338</v>
      </c>
      <c r="P10" s="20">
        <v>50029.16</v>
      </c>
      <c r="Q10" s="20">
        <v>0</v>
      </c>
      <c r="R10" s="20">
        <v>0</v>
      </c>
      <c r="S10" s="20">
        <v>0</v>
      </c>
      <c r="T10" s="20">
        <v>50029.16</v>
      </c>
      <c r="U10" s="20">
        <v>43497.57</v>
      </c>
      <c r="V10" s="20">
        <v>-6531.59</v>
      </c>
      <c r="W10" s="20">
        <v>-8199.23</v>
      </c>
      <c r="X10" s="20">
        <v>-1667.64</v>
      </c>
      <c r="Y10" s="20">
        <v>0</v>
      </c>
      <c r="Z10" s="20">
        <v>0</v>
      </c>
      <c r="AA10" s="20">
        <v>0</v>
      </c>
      <c r="AB10" s="20">
        <v>41829.93</v>
      </c>
      <c r="AC10" t="s">
        <v>183</v>
      </c>
      <c r="AD10" t="s">
        <v>290</v>
      </c>
      <c r="AE10" s="702">
        <f t="shared" si="0"/>
        <v>43252</v>
      </c>
      <c r="AF10" s="289">
        <v>83101.002088149835</v>
      </c>
      <c r="AG10">
        <f t="shared" si="1"/>
        <v>360</v>
      </c>
      <c r="AH10" s="289">
        <f t="shared" si="2"/>
        <v>230.83611691152731</v>
      </c>
      <c r="AJ10" s="289">
        <f t="shared" si="3"/>
        <v>54</v>
      </c>
      <c r="AK10" s="289">
        <f t="shared" si="4"/>
        <v>12465.150313222475</v>
      </c>
    </row>
    <row r="11" spans="1:40">
      <c r="A11" s="703" t="s">
        <v>345</v>
      </c>
      <c r="B11" s="703" t="s">
        <v>331</v>
      </c>
      <c r="C11" s="703" t="s">
        <v>332</v>
      </c>
      <c r="D11" s="703" t="s">
        <v>333</v>
      </c>
      <c r="E11" s="703" t="s">
        <v>334</v>
      </c>
      <c r="F11" s="703" t="s">
        <v>335</v>
      </c>
      <c r="G11" s="703" t="s">
        <v>346</v>
      </c>
      <c r="H11" s="703" t="s">
        <v>334</v>
      </c>
      <c r="I11" s="703" t="s">
        <v>334</v>
      </c>
      <c r="J11" s="703" t="s">
        <v>337</v>
      </c>
      <c r="K11" s="704">
        <v>0</v>
      </c>
      <c r="L11" s="703" t="s">
        <v>334</v>
      </c>
      <c r="M11" s="702">
        <v>42886</v>
      </c>
      <c r="N11" s="702">
        <v>43115</v>
      </c>
      <c r="O11" s="703" t="s">
        <v>338</v>
      </c>
      <c r="P11" s="20">
        <v>400296.81</v>
      </c>
      <c r="Q11" s="20">
        <v>0</v>
      </c>
      <c r="R11" s="20">
        <v>0</v>
      </c>
      <c r="S11" s="20">
        <v>0</v>
      </c>
      <c r="T11" s="20">
        <v>400296.81</v>
      </c>
      <c r="U11" s="20">
        <v>348035.83</v>
      </c>
      <c r="V11" s="20">
        <v>-52260.98</v>
      </c>
      <c r="W11" s="20">
        <v>-65604.210000000006</v>
      </c>
      <c r="X11" s="20">
        <v>-13343.23</v>
      </c>
      <c r="Y11" s="20">
        <v>0</v>
      </c>
      <c r="Z11" s="20">
        <v>0</v>
      </c>
      <c r="AA11" s="20">
        <v>0</v>
      </c>
      <c r="AB11" s="20">
        <v>334692.59999999998</v>
      </c>
      <c r="AC11" t="s">
        <v>183</v>
      </c>
      <c r="AD11" t="s">
        <v>290</v>
      </c>
      <c r="AE11" s="702">
        <f t="shared" si="0"/>
        <v>43252</v>
      </c>
      <c r="AF11" s="289">
        <v>664913.54329534457</v>
      </c>
      <c r="AG11">
        <f t="shared" si="1"/>
        <v>360</v>
      </c>
      <c r="AH11" s="289">
        <f t="shared" si="2"/>
        <v>1846.9820647092904</v>
      </c>
      <c r="AJ11" s="289">
        <f t="shared" si="3"/>
        <v>54</v>
      </c>
      <c r="AK11" s="289">
        <f t="shared" si="4"/>
        <v>99737.031494301686</v>
      </c>
    </row>
    <row r="12" spans="1:40">
      <c r="A12" s="703" t="s">
        <v>347</v>
      </c>
      <c r="B12" s="703" t="s">
        <v>331</v>
      </c>
      <c r="C12" s="703" t="s">
        <v>332</v>
      </c>
      <c r="D12" s="703" t="s">
        <v>333</v>
      </c>
      <c r="E12" s="703" t="s">
        <v>334</v>
      </c>
      <c r="F12" s="703" t="s">
        <v>335</v>
      </c>
      <c r="G12" s="703" t="s">
        <v>348</v>
      </c>
      <c r="H12" s="703" t="s">
        <v>334</v>
      </c>
      <c r="I12" s="703" t="s">
        <v>334</v>
      </c>
      <c r="J12" s="703" t="s">
        <v>337</v>
      </c>
      <c r="K12" s="704">
        <v>0</v>
      </c>
      <c r="L12" s="703" t="s">
        <v>334</v>
      </c>
      <c r="M12" s="702">
        <v>42886</v>
      </c>
      <c r="N12" s="702">
        <v>43115</v>
      </c>
      <c r="O12" s="703" t="s">
        <v>338</v>
      </c>
      <c r="P12" s="20">
        <v>86174.35</v>
      </c>
      <c r="Q12" s="20">
        <v>0</v>
      </c>
      <c r="R12" s="20">
        <v>0</v>
      </c>
      <c r="S12" s="20">
        <v>0</v>
      </c>
      <c r="T12" s="20">
        <v>86174.35</v>
      </c>
      <c r="U12" s="20">
        <v>74923.8</v>
      </c>
      <c r="V12" s="20">
        <v>-11250.55</v>
      </c>
      <c r="W12" s="20">
        <v>-14123.03</v>
      </c>
      <c r="X12" s="20">
        <v>-2872.48</v>
      </c>
      <c r="Y12" s="20">
        <v>0</v>
      </c>
      <c r="Z12" s="20">
        <v>0</v>
      </c>
      <c r="AA12" s="20">
        <v>0</v>
      </c>
      <c r="AB12" s="20">
        <v>72051.320000000007</v>
      </c>
      <c r="AC12" t="s">
        <v>183</v>
      </c>
      <c r="AD12" t="s">
        <v>290</v>
      </c>
      <c r="AE12" s="702">
        <f t="shared" si="0"/>
        <v>43252</v>
      </c>
      <c r="AF12" s="289">
        <v>143140.01752767697</v>
      </c>
      <c r="AG12">
        <f t="shared" si="1"/>
        <v>360</v>
      </c>
      <c r="AH12" s="289">
        <f t="shared" si="2"/>
        <v>397.61115979910272</v>
      </c>
      <c r="AJ12" s="289">
        <f t="shared" si="3"/>
        <v>54</v>
      </c>
      <c r="AK12" s="289">
        <f t="shared" si="4"/>
        <v>21471.002629151546</v>
      </c>
    </row>
    <row r="13" spans="1:40">
      <c r="A13" s="703" t="s">
        <v>349</v>
      </c>
      <c r="B13" s="703" t="s">
        <v>331</v>
      </c>
      <c r="C13" s="703" t="s">
        <v>332</v>
      </c>
      <c r="D13" s="703" t="s">
        <v>333</v>
      </c>
      <c r="E13" s="703" t="s">
        <v>334</v>
      </c>
      <c r="F13" s="703" t="s">
        <v>335</v>
      </c>
      <c r="G13" s="703" t="s">
        <v>350</v>
      </c>
      <c r="H13" s="703" t="s">
        <v>334</v>
      </c>
      <c r="I13" s="703" t="s">
        <v>334</v>
      </c>
      <c r="J13" s="703" t="s">
        <v>337</v>
      </c>
      <c r="K13" s="704">
        <v>0</v>
      </c>
      <c r="L13" s="703" t="s">
        <v>334</v>
      </c>
      <c r="M13" s="702">
        <v>39478</v>
      </c>
      <c r="N13" s="702">
        <v>43115</v>
      </c>
      <c r="O13" s="703" t="s">
        <v>338</v>
      </c>
      <c r="P13" s="20">
        <v>10468.99</v>
      </c>
      <c r="Q13" s="20">
        <v>0</v>
      </c>
      <c r="R13" s="20">
        <v>0</v>
      </c>
      <c r="S13" s="20">
        <v>0</v>
      </c>
      <c r="T13" s="20">
        <v>10468.99</v>
      </c>
      <c r="U13" s="20">
        <v>9102.19</v>
      </c>
      <c r="V13" s="20">
        <v>-1366.8</v>
      </c>
      <c r="W13" s="20">
        <v>-1715.77</v>
      </c>
      <c r="X13" s="20">
        <v>-348.97</v>
      </c>
      <c r="Y13" s="20">
        <v>0</v>
      </c>
      <c r="Z13" s="20">
        <v>0</v>
      </c>
      <c r="AA13" s="20">
        <v>0</v>
      </c>
      <c r="AB13" s="20">
        <v>8753.2199999999993</v>
      </c>
      <c r="AC13" t="s">
        <v>183</v>
      </c>
      <c r="AD13" t="s">
        <v>290</v>
      </c>
      <c r="AE13" s="702">
        <f t="shared" si="0"/>
        <v>43252</v>
      </c>
      <c r="AF13" s="289">
        <v>17389.529623340062</v>
      </c>
      <c r="AG13">
        <f t="shared" si="1"/>
        <v>360</v>
      </c>
      <c r="AH13" s="289">
        <f t="shared" si="2"/>
        <v>48.304248953722393</v>
      </c>
      <c r="AJ13" s="289">
        <f t="shared" si="3"/>
        <v>54</v>
      </c>
      <c r="AK13" s="289">
        <f t="shared" si="4"/>
        <v>2608.4294435010092</v>
      </c>
    </row>
    <row r="14" spans="1:40">
      <c r="A14" s="703" t="s">
        <v>351</v>
      </c>
      <c r="B14" s="703" t="s">
        <v>331</v>
      </c>
      <c r="C14" s="703" t="s">
        <v>332</v>
      </c>
      <c r="D14" s="703" t="s">
        <v>333</v>
      </c>
      <c r="E14" s="703" t="s">
        <v>334</v>
      </c>
      <c r="F14" s="703" t="s">
        <v>335</v>
      </c>
      <c r="G14" s="703" t="s">
        <v>352</v>
      </c>
      <c r="H14" s="703" t="s">
        <v>334</v>
      </c>
      <c r="I14" s="703" t="s">
        <v>334</v>
      </c>
      <c r="J14" s="703" t="s">
        <v>337</v>
      </c>
      <c r="K14" s="704">
        <v>0</v>
      </c>
      <c r="L14" s="703" t="s">
        <v>334</v>
      </c>
      <c r="M14" s="702">
        <v>39478</v>
      </c>
      <c r="N14" s="702">
        <v>43115</v>
      </c>
      <c r="O14" s="703" t="s">
        <v>338</v>
      </c>
      <c r="P14" s="20">
        <v>31614.45</v>
      </c>
      <c r="Q14" s="20">
        <v>0</v>
      </c>
      <c r="R14" s="20">
        <v>0</v>
      </c>
      <c r="S14" s="20">
        <v>0</v>
      </c>
      <c r="T14" s="20">
        <v>31614.45</v>
      </c>
      <c r="U14" s="20">
        <v>27486.99</v>
      </c>
      <c r="V14" s="20">
        <v>-4127.46</v>
      </c>
      <c r="W14" s="20">
        <v>-5181.28</v>
      </c>
      <c r="X14" s="20">
        <v>-1053.82</v>
      </c>
      <c r="Y14" s="20">
        <v>0</v>
      </c>
      <c r="Z14" s="20">
        <v>0</v>
      </c>
      <c r="AA14" s="20">
        <v>0</v>
      </c>
      <c r="AB14" s="20">
        <v>26433.17</v>
      </c>
      <c r="AC14" t="s">
        <v>183</v>
      </c>
      <c r="AD14" t="s">
        <v>290</v>
      </c>
      <c r="AE14" s="702">
        <f t="shared" si="0"/>
        <v>43252</v>
      </c>
      <c r="AF14" s="289">
        <v>52513.223797195642</v>
      </c>
      <c r="AG14">
        <f t="shared" si="1"/>
        <v>360</v>
      </c>
      <c r="AH14" s="289">
        <f t="shared" si="2"/>
        <v>145.87006610332122</v>
      </c>
      <c r="AJ14" s="289">
        <f t="shared" si="3"/>
        <v>54</v>
      </c>
      <c r="AK14" s="289">
        <f t="shared" si="4"/>
        <v>7876.9835695793463</v>
      </c>
    </row>
    <row r="15" spans="1:40">
      <c r="A15" s="703" t="s">
        <v>353</v>
      </c>
      <c r="B15" s="703" t="s">
        <v>331</v>
      </c>
      <c r="C15" s="703" t="s">
        <v>332</v>
      </c>
      <c r="D15" s="703" t="s">
        <v>333</v>
      </c>
      <c r="E15" s="703" t="s">
        <v>334</v>
      </c>
      <c r="F15" s="703" t="s">
        <v>335</v>
      </c>
      <c r="G15" s="703" t="s">
        <v>354</v>
      </c>
      <c r="H15" s="703" t="s">
        <v>334</v>
      </c>
      <c r="I15" s="703" t="s">
        <v>334</v>
      </c>
      <c r="J15" s="703" t="s">
        <v>337</v>
      </c>
      <c r="K15" s="704">
        <v>0</v>
      </c>
      <c r="L15" s="703" t="s">
        <v>334</v>
      </c>
      <c r="M15" s="702">
        <v>39478</v>
      </c>
      <c r="N15" s="702">
        <v>43115</v>
      </c>
      <c r="O15" s="703" t="s">
        <v>338</v>
      </c>
      <c r="P15" s="20">
        <v>608726.42000000004</v>
      </c>
      <c r="Q15" s="20">
        <v>0</v>
      </c>
      <c r="R15" s="20">
        <v>0</v>
      </c>
      <c r="S15" s="20">
        <v>0</v>
      </c>
      <c r="T15" s="20">
        <v>608726.42000000004</v>
      </c>
      <c r="U15" s="20">
        <v>529253.81000000006</v>
      </c>
      <c r="V15" s="20">
        <v>-79472.61</v>
      </c>
      <c r="W15" s="20">
        <v>-99763.49</v>
      </c>
      <c r="X15" s="20">
        <v>-20290.88</v>
      </c>
      <c r="Y15" s="20">
        <v>0</v>
      </c>
      <c r="Z15" s="20">
        <v>0</v>
      </c>
      <c r="AA15" s="20">
        <v>0</v>
      </c>
      <c r="AB15" s="20">
        <v>508962.93</v>
      </c>
      <c r="AC15" t="s">
        <v>183</v>
      </c>
      <c r="AD15" t="s">
        <v>290</v>
      </c>
      <c r="AE15" s="702">
        <f t="shared" si="0"/>
        <v>43252</v>
      </c>
      <c r="AF15" s="289">
        <v>1011125.8214115923</v>
      </c>
      <c r="AG15">
        <f t="shared" si="1"/>
        <v>360</v>
      </c>
      <c r="AH15" s="289">
        <f t="shared" si="2"/>
        <v>2808.6828372544232</v>
      </c>
      <c r="AJ15" s="289">
        <f t="shared" si="3"/>
        <v>54</v>
      </c>
      <c r="AK15" s="289">
        <f t="shared" si="4"/>
        <v>151668.87321173886</v>
      </c>
    </row>
    <row r="16" spans="1:40">
      <c r="A16" s="703" t="s">
        <v>355</v>
      </c>
      <c r="B16" s="703" t="s">
        <v>331</v>
      </c>
      <c r="C16" s="703" t="s">
        <v>332</v>
      </c>
      <c r="D16" s="703" t="s">
        <v>333</v>
      </c>
      <c r="E16" s="703" t="s">
        <v>334</v>
      </c>
      <c r="F16" s="703" t="s">
        <v>335</v>
      </c>
      <c r="G16" s="703" t="s">
        <v>356</v>
      </c>
      <c r="H16" s="703" t="s">
        <v>334</v>
      </c>
      <c r="I16" s="703" t="s">
        <v>334</v>
      </c>
      <c r="J16" s="703" t="s">
        <v>337</v>
      </c>
      <c r="K16" s="704">
        <v>0</v>
      </c>
      <c r="L16" s="703" t="s">
        <v>334</v>
      </c>
      <c r="M16" s="702">
        <v>39478</v>
      </c>
      <c r="N16" s="702">
        <v>43115</v>
      </c>
      <c r="O16" s="703" t="s">
        <v>338</v>
      </c>
      <c r="P16" s="20">
        <v>16186.44</v>
      </c>
      <c r="Q16" s="20">
        <v>0</v>
      </c>
      <c r="R16" s="20">
        <v>0</v>
      </c>
      <c r="S16" s="20">
        <v>0</v>
      </c>
      <c r="T16" s="20">
        <v>16186.44</v>
      </c>
      <c r="U16" s="20">
        <v>14073.2</v>
      </c>
      <c r="V16" s="20">
        <v>-2113.2399999999998</v>
      </c>
      <c r="W16" s="20">
        <v>-2652.79</v>
      </c>
      <c r="X16" s="20">
        <v>-539.54999999999995</v>
      </c>
      <c r="Y16" s="20">
        <v>0</v>
      </c>
      <c r="Z16" s="20">
        <v>0</v>
      </c>
      <c r="AA16" s="20">
        <v>0</v>
      </c>
      <c r="AB16" s="20">
        <v>13533.65</v>
      </c>
      <c r="AC16" t="s">
        <v>183</v>
      </c>
      <c r="AD16" t="s">
        <v>290</v>
      </c>
      <c r="AE16" s="702">
        <f t="shared" si="0"/>
        <v>43252</v>
      </c>
      <c r="AF16" s="289">
        <v>26886.507473635615</v>
      </c>
      <c r="AG16">
        <f t="shared" si="1"/>
        <v>360</v>
      </c>
      <c r="AH16" s="289">
        <f t="shared" si="2"/>
        <v>74.684742982321154</v>
      </c>
      <c r="AJ16" s="289">
        <f t="shared" si="3"/>
        <v>54</v>
      </c>
      <c r="AK16" s="289">
        <f t="shared" si="4"/>
        <v>4032.9761210453426</v>
      </c>
    </row>
    <row r="17" spans="1:37">
      <c r="A17" s="703" t="s">
        <v>357</v>
      </c>
      <c r="B17" s="703" t="s">
        <v>331</v>
      </c>
      <c r="C17" s="703" t="s">
        <v>332</v>
      </c>
      <c r="D17" s="703" t="s">
        <v>333</v>
      </c>
      <c r="E17" s="703" t="s">
        <v>334</v>
      </c>
      <c r="F17" s="703" t="s">
        <v>335</v>
      </c>
      <c r="G17" s="703" t="s">
        <v>358</v>
      </c>
      <c r="H17" s="703" t="s">
        <v>334</v>
      </c>
      <c r="I17" s="703" t="s">
        <v>334</v>
      </c>
      <c r="J17" s="703" t="s">
        <v>337</v>
      </c>
      <c r="K17" s="704">
        <v>0</v>
      </c>
      <c r="L17" s="703" t="s">
        <v>334</v>
      </c>
      <c r="M17" s="702">
        <v>39478</v>
      </c>
      <c r="N17" s="702">
        <v>43115</v>
      </c>
      <c r="O17" s="703" t="s">
        <v>338</v>
      </c>
      <c r="P17" s="20">
        <v>16881.34</v>
      </c>
      <c r="Q17" s="20">
        <v>0</v>
      </c>
      <c r="R17" s="20">
        <v>0</v>
      </c>
      <c r="S17" s="20">
        <v>0</v>
      </c>
      <c r="T17" s="20">
        <v>16881.34</v>
      </c>
      <c r="U17" s="20">
        <v>14677.39</v>
      </c>
      <c r="V17" s="20">
        <v>-2203.9499999999998</v>
      </c>
      <c r="W17" s="20">
        <v>-2766.66</v>
      </c>
      <c r="X17" s="20">
        <v>-562.71</v>
      </c>
      <c r="Y17" s="20">
        <v>0</v>
      </c>
      <c r="Z17" s="20">
        <v>0</v>
      </c>
      <c r="AA17" s="20">
        <v>0</v>
      </c>
      <c r="AB17" s="20">
        <v>14114.68</v>
      </c>
      <c r="AC17" t="s">
        <v>183</v>
      </c>
      <c r="AD17" t="s">
        <v>290</v>
      </c>
      <c r="AE17" s="702">
        <f t="shared" si="0"/>
        <v>43252</v>
      </c>
      <c r="AF17" s="289">
        <v>28040.772033565372</v>
      </c>
      <c r="AG17">
        <f t="shared" si="1"/>
        <v>360</v>
      </c>
      <c r="AH17" s="289">
        <f t="shared" si="2"/>
        <v>77.891033426570473</v>
      </c>
      <c r="AJ17" s="289">
        <f t="shared" si="3"/>
        <v>54</v>
      </c>
      <c r="AK17" s="289">
        <f t="shared" si="4"/>
        <v>4206.1158050348058</v>
      </c>
    </row>
    <row r="18" spans="1:37">
      <c r="A18" s="703" t="s">
        <v>359</v>
      </c>
      <c r="B18" s="703" t="s">
        <v>331</v>
      </c>
      <c r="C18" s="703" t="s">
        <v>332</v>
      </c>
      <c r="D18" s="703" t="s">
        <v>333</v>
      </c>
      <c r="E18" s="703" t="s">
        <v>334</v>
      </c>
      <c r="F18" s="703" t="s">
        <v>335</v>
      </c>
      <c r="G18" s="703" t="s">
        <v>360</v>
      </c>
      <c r="H18" s="703" t="s">
        <v>334</v>
      </c>
      <c r="I18" s="703" t="s">
        <v>334</v>
      </c>
      <c r="J18" s="703" t="s">
        <v>337</v>
      </c>
      <c r="K18" s="704">
        <v>0</v>
      </c>
      <c r="L18" s="703" t="s">
        <v>334</v>
      </c>
      <c r="M18" s="702">
        <v>42886</v>
      </c>
      <c r="N18" s="702">
        <v>43115</v>
      </c>
      <c r="O18" s="703" t="s">
        <v>338</v>
      </c>
      <c r="P18" s="20">
        <v>20517.59</v>
      </c>
      <c r="Q18" s="20">
        <v>0</v>
      </c>
      <c r="R18" s="20">
        <v>0</v>
      </c>
      <c r="S18" s="20">
        <v>0</v>
      </c>
      <c r="T18" s="20">
        <v>20517.59</v>
      </c>
      <c r="U18" s="20">
        <v>17838.900000000001</v>
      </c>
      <c r="V18" s="20">
        <v>-2678.69</v>
      </c>
      <c r="W18" s="20">
        <v>-3362.61</v>
      </c>
      <c r="X18" s="20">
        <v>-683.92</v>
      </c>
      <c r="Y18" s="20">
        <v>0</v>
      </c>
      <c r="Z18" s="20">
        <v>0</v>
      </c>
      <c r="AA18" s="20">
        <v>0</v>
      </c>
      <c r="AB18" s="20">
        <v>17154.98</v>
      </c>
      <c r="AC18" t="s">
        <v>183</v>
      </c>
      <c r="AD18" t="s">
        <v>290</v>
      </c>
      <c r="AE18" s="702">
        <f t="shared" si="0"/>
        <v>43252</v>
      </c>
      <c r="AF18" s="289">
        <v>34080.769883679881</v>
      </c>
      <c r="AG18">
        <f t="shared" si="1"/>
        <v>360</v>
      </c>
      <c r="AH18" s="289">
        <f t="shared" si="2"/>
        <v>94.668805232444114</v>
      </c>
      <c r="AJ18" s="289">
        <f t="shared" si="3"/>
        <v>54</v>
      </c>
      <c r="AK18" s="289">
        <f t="shared" si="4"/>
        <v>5112.1154825519825</v>
      </c>
    </row>
    <row r="19" spans="1:37">
      <c r="A19" s="703" t="s">
        <v>361</v>
      </c>
      <c r="B19" s="703" t="s">
        <v>331</v>
      </c>
      <c r="C19" s="703" t="s">
        <v>332</v>
      </c>
      <c r="D19" s="703" t="s">
        <v>333</v>
      </c>
      <c r="E19" s="703" t="s">
        <v>334</v>
      </c>
      <c r="F19" s="703" t="s">
        <v>335</v>
      </c>
      <c r="G19" s="703" t="s">
        <v>362</v>
      </c>
      <c r="H19" s="703" t="s">
        <v>334</v>
      </c>
      <c r="I19" s="703" t="s">
        <v>334</v>
      </c>
      <c r="J19" s="703" t="s">
        <v>337</v>
      </c>
      <c r="K19" s="704">
        <v>0</v>
      </c>
      <c r="L19" s="703" t="s">
        <v>334</v>
      </c>
      <c r="M19" s="702">
        <v>39478</v>
      </c>
      <c r="N19" s="702">
        <v>43115</v>
      </c>
      <c r="O19" s="703" t="s">
        <v>338</v>
      </c>
      <c r="P19" s="20">
        <v>33023.43</v>
      </c>
      <c r="Q19" s="20">
        <v>0</v>
      </c>
      <c r="R19" s="20">
        <v>0</v>
      </c>
      <c r="S19" s="20">
        <v>0</v>
      </c>
      <c r="T19" s="20">
        <v>33023.43</v>
      </c>
      <c r="U19" s="20">
        <v>28712.04</v>
      </c>
      <c r="V19" s="20">
        <v>-4311.3900000000003</v>
      </c>
      <c r="W19" s="20">
        <v>-5412.17</v>
      </c>
      <c r="X19" s="20">
        <v>-1100.78</v>
      </c>
      <c r="Y19" s="20">
        <v>0</v>
      </c>
      <c r="Z19" s="20">
        <v>0</v>
      </c>
      <c r="AA19" s="20">
        <v>0</v>
      </c>
      <c r="AB19" s="20">
        <v>27611.26</v>
      </c>
      <c r="AC19" t="s">
        <v>183</v>
      </c>
      <c r="AD19" t="s">
        <v>290</v>
      </c>
      <c r="AE19" s="702">
        <f t="shared" si="0"/>
        <v>43252</v>
      </c>
      <c r="AF19" s="289">
        <v>54853.611881308221</v>
      </c>
      <c r="AG19">
        <f t="shared" si="1"/>
        <v>360</v>
      </c>
      <c r="AH19" s="289">
        <f t="shared" si="2"/>
        <v>152.37114411474505</v>
      </c>
      <c r="AJ19" s="289">
        <f t="shared" si="3"/>
        <v>54</v>
      </c>
      <c r="AK19" s="289">
        <f t="shared" si="4"/>
        <v>8228.0417821962328</v>
      </c>
    </row>
    <row r="20" spans="1:37">
      <c r="A20" s="703" t="s">
        <v>363</v>
      </c>
      <c r="B20" s="703" t="s">
        <v>331</v>
      </c>
      <c r="C20" s="703" t="s">
        <v>332</v>
      </c>
      <c r="D20" s="703" t="s">
        <v>333</v>
      </c>
      <c r="E20" s="703" t="s">
        <v>334</v>
      </c>
      <c r="F20" s="703" t="s">
        <v>335</v>
      </c>
      <c r="G20" s="703" t="s">
        <v>364</v>
      </c>
      <c r="H20" s="703" t="s">
        <v>334</v>
      </c>
      <c r="I20" s="703" t="s">
        <v>334</v>
      </c>
      <c r="J20" s="703" t="s">
        <v>337</v>
      </c>
      <c r="K20" s="704">
        <v>0</v>
      </c>
      <c r="L20" s="703" t="s">
        <v>334</v>
      </c>
      <c r="M20" s="702">
        <v>42886</v>
      </c>
      <c r="N20" s="702">
        <v>43115</v>
      </c>
      <c r="O20" s="703" t="s">
        <v>338</v>
      </c>
      <c r="P20" s="20">
        <v>1534.23</v>
      </c>
      <c r="Q20" s="20">
        <v>0</v>
      </c>
      <c r="R20" s="20">
        <v>0</v>
      </c>
      <c r="S20" s="20">
        <v>0</v>
      </c>
      <c r="T20" s="20">
        <v>1534.23</v>
      </c>
      <c r="U20" s="20">
        <v>1333.93</v>
      </c>
      <c r="V20" s="20">
        <v>-200.3</v>
      </c>
      <c r="W20" s="20">
        <v>-251.44</v>
      </c>
      <c r="X20" s="20">
        <v>-51.14</v>
      </c>
      <c r="Y20" s="20">
        <v>0</v>
      </c>
      <c r="Z20" s="20">
        <v>0</v>
      </c>
      <c r="AA20" s="20">
        <v>0</v>
      </c>
      <c r="AB20" s="20">
        <v>1282.79</v>
      </c>
      <c r="AC20" t="s">
        <v>183</v>
      </c>
      <c r="AD20" t="s">
        <v>290</v>
      </c>
      <c r="AE20" s="702">
        <f t="shared" si="0"/>
        <v>43252</v>
      </c>
      <c r="AF20" s="289">
        <v>2548.4347615211232</v>
      </c>
      <c r="AG20">
        <f t="shared" si="1"/>
        <v>360</v>
      </c>
      <c r="AH20" s="289">
        <f t="shared" si="2"/>
        <v>7.078985448669787</v>
      </c>
      <c r="AJ20" s="289">
        <f t="shared" si="3"/>
        <v>54</v>
      </c>
      <c r="AK20" s="289">
        <f t="shared" si="4"/>
        <v>382.26521422816847</v>
      </c>
    </row>
    <row r="21" spans="1:37">
      <c r="A21" s="703" t="s">
        <v>365</v>
      </c>
      <c r="B21" s="703" t="s">
        <v>331</v>
      </c>
      <c r="C21" s="703" t="s">
        <v>332</v>
      </c>
      <c r="D21" s="703" t="s">
        <v>333</v>
      </c>
      <c r="E21" s="703" t="s">
        <v>334</v>
      </c>
      <c r="F21" s="703" t="s">
        <v>335</v>
      </c>
      <c r="G21" s="703" t="s">
        <v>366</v>
      </c>
      <c r="H21" s="703" t="s">
        <v>334</v>
      </c>
      <c r="I21" s="703" t="s">
        <v>334</v>
      </c>
      <c r="J21" s="703" t="s">
        <v>337</v>
      </c>
      <c r="K21" s="704">
        <v>0</v>
      </c>
      <c r="L21" s="703" t="s">
        <v>334</v>
      </c>
      <c r="M21" s="702">
        <v>39478</v>
      </c>
      <c r="N21" s="702">
        <v>43115</v>
      </c>
      <c r="O21" s="703" t="s">
        <v>338</v>
      </c>
      <c r="P21" s="20">
        <v>30675.5</v>
      </c>
      <c r="Q21" s="20">
        <v>0</v>
      </c>
      <c r="R21" s="20">
        <v>0</v>
      </c>
      <c r="S21" s="20">
        <v>0</v>
      </c>
      <c r="T21" s="20">
        <v>30675.5</v>
      </c>
      <c r="U21" s="20">
        <v>26670.63</v>
      </c>
      <c r="V21" s="20">
        <v>-4004.87</v>
      </c>
      <c r="W21" s="20">
        <v>-5027.3900000000003</v>
      </c>
      <c r="X21" s="20">
        <v>-1022.52</v>
      </c>
      <c r="Y21" s="20">
        <v>0</v>
      </c>
      <c r="Z21" s="20">
        <v>0</v>
      </c>
      <c r="AA21" s="20">
        <v>0</v>
      </c>
      <c r="AB21" s="20">
        <v>25648.11</v>
      </c>
      <c r="AC21" t="s">
        <v>183</v>
      </c>
      <c r="AD21" t="s">
        <v>290</v>
      </c>
      <c r="AE21" s="702">
        <f t="shared" si="0"/>
        <v>43252</v>
      </c>
      <c r="AF21" s="289">
        <v>50953.579663441087</v>
      </c>
      <c r="AG21">
        <f t="shared" si="1"/>
        <v>360</v>
      </c>
      <c r="AH21" s="289">
        <f t="shared" si="2"/>
        <v>141.53772128733635</v>
      </c>
      <c r="AJ21" s="289">
        <f t="shared" si="3"/>
        <v>54</v>
      </c>
      <c r="AK21" s="289">
        <f t="shared" si="4"/>
        <v>7643.0369495161631</v>
      </c>
    </row>
    <row r="22" spans="1:37">
      <c r="A22" s="703" t="s">
        <v>367</v>
      </c>
      <c r="B22" s="703" t="s">
        <v>331</v>
      </c>
      <c r="C22" s="703" t="s">
        <v>332</v>
      </c>
      <c r="D22" s="703" t="s">
        <v>333</v>
      </c>
      <c r="E22" s="703" t="s">
        <v>334</v>
      </c>
      <c r="F22" s="703" t="s">
        <v>335</v>
      </c>
      <c r="G22" s="703" t="s">
        <v>368</v>
      </c>
      <c r="H22" s="703" t="s">
        <v>334</v>
      </c>
      <c r="I22" s="703" t="s">
        <v>334</v>
      </c>
      <c r="J22" s="703" t="s">
        <v>337</v>
      </c>
      <c r="K22" s="704">
        <v>0</v>
      </c>
      <c r="L22" s="703" t="s">
        <v>334</v>
      </c>
      <c r="M22" s="702">
        <v>42063</v>
      </c>
      <c r="N22" s="702">
        <v>43115</v>
      </c>
      <c r="O22" s="703" t="s">
        <v>338</v>
      </c>
      <c r="P22" s="20">
        <v>919046.51</v>
      </c>
      <c r="Q22" s="20">
        <v>0</v>
      </c>
      <c r="R22" s="20">
        <v>0</v>
      </c>
      <c r="S22" s="20">
        <v>0</v>
      </c>
      <c r="T22" s="20">
        <v>919046.51</v>
      </c>
      <c r="U22" s="20">
        <v>813795.49</v>
      </c>
      <c r="V22" s="20">
        <v>-105251.02</v>
      </c>
      <c r="W22" s="20">
        <v>-135885.9</v>
      </c>
      <c r="X22" s="20">
        <v>-30634.880000000001</v>
      </c>
      <c r="Y22" s="20">
        <v>0</v>
      </c>
      <c r="Z22" s="20">
        <v>0</v>
      </c>
      <c r="AA22" s="20">
        <v>0</v>
      </c>
      <c r="AB22" s="20">
        <v>783160.61</v>
      </c>
      <c r="AC22" t="s">
        <v>183</v>
      </c>
      <c r="AD22" t="s">
        <v>290</v>
      </c>
      <c r="AE22" s="702">
        <f t="shared" si="0"/>
        <v>43252</v>
      </c>
      <c r="AF22" s="289">
        <v>1526583.4154844258</v>
      </c>
      <c r="AG22">
        <f t="shared" si="1"/>
        <v>360</v>
      </c>
      <c r="AH22" s="289">
        <f t="shared" si="2"/>
        <v>4240.5094874567385</v>
      </c>
      <c r="AJ22" s="289">
        <f t="shared" si="3"/>
        <v>54</v>
      </c>
      <c r="AK22" s="289">
        <f t="shared" si="4"/>
        <v>228987.51232266388</v>
      </c>
    </row>
    <row r="23" spans="1:37">
      <c r="A23" s="703" t="s">
        <v>369</v>
      </c>
      <c r="B23" s="703" t="s">
        <v>331</v>
      </c>
      <c r="C23" s="703" t="s">
        <v>332</v>
      </c>
      <c r="D23" s="703" t="s">
        <v>333</v>
      </c>
      <c r="E23" s="703" t="s">
        <v>334</v>
      </c>
      <c r="F23" s="703" t="s">
        <v>335</v>
      </c>
      <c r="G23" s="703" t="s">
        <v>370</v>
      </c>
      <c r="H23" s="703" t="s">
        <v>334</v>
      </c>
      <c r="I23" s="703" t="s">
        <v>334</v>
      </c>
      <c r="J23" s="703" t="s">
        <v>337</v>
      </c>
      <c r="K23" s="704">
        <v>0</v>
      </c>
      <c r="L23" s="703" t="s">
        <v>334</v>
      </c>
      <c r="M23" s="702">
        <v>42124</v>
      </c>
      <c r="N23" s="702">
        <v>43115</v>
      </c>
      <c r="O23" s="703" t="s">
        <v>338</v>
      </c>
      <c r="P23" s="20">
        <v>4045.22</v>
      </c>
      <c r="Q23" s="20">
        <v>0</v>
      </c>
      <c r="R23" s="20">
        <v>0</v>
      </c>
      <c r="S23" s="20">
        <v>0</v>
      </c>
      <c r="T23" s="20">
        <v>4045.22</v>
      </c>
      <c r="U23" s="20">
        <v>3517.1</v>
      </c>
      <c r="V23" s="20">
        <v>-528.12</v>
      </c>
      <c r="W23" s="20">
        <v>-662.96</v>
      </c>
      <c r="X23" s="20">
        <v>-134.84</v>
      </c>
      <c r="Y23" s="20">
        <v>0</v>
      </c>
      <c r="Z23" s="20">
        <v>0</v>
      </c>
      <c r="AA23" s="20">
        <v>0</v>
      </c>
      <c r="AB23" s="20">
        <v>3382.26</v>
      </c>
      <c r="AC23" t="s">
        <v>183</v>
      </c>
      <c r="AD23" t="s">
        <v>290</v>
      </c>
      <c r="AE23" s="702">
        <f t="shared" si="0"/>
        <v>43252</v>
      </c>
      <c r="AF23" s="289">
        <v>6719.3180070787812</v>
      </c>
      <c r="AG23">
        <f t="shared" si="1"/>
        <v>360</v>
      </c>
      <c r="AH23" s="289">
        <f t="shared" si="2"/>
        <v>18.664772241885505</v>
      </c>
      <c r="AJ23" s="289">
        <f t="shared" si="3"/>
        <v>54</v>
      </c>
      <c r="AK23" s="289">
        <f t="shared" si="4"/>
        <v>1007.8977010618172</v>
      </c>
    </row>
    <row r="24" spans="1:37">
      <c r="A24" s="703" t="s">
        <v>371</v>
      </c>
      <c r="B24" s="703" t="s">
        <v>331</v>
      </c>
      <c r="C24" s="703" t="s">
        <v>332</v>
      </c>
      <c r="D24" s="703" t="s">
        <v>333</v>
      </c>
      <c r="E24" s="703" t="s">
        <v>334</v>
      </c>
      <c r="F24" s="703" t="s">
        <v>335</v>
      </c>
      <c r="G24" s="703" t="s">
        <v>372</v>
      </c>
      <c r="H24" s="703" t="s">
        <v>334</v>
      </c>
      <c r="I24" s="703" t="s">
        <v>334</v>
      </c>
      <c r="J24" s="703" t="s">
        <v>337</v>
      </c>
      <c r="K24" s="704">
        <v>0</v>
      </c>
      <c r="L24" s="703" t="s">
        <v>334</v>
      </c>
      <c r="M24" s="702">
        <v>42886</v>
      </c>
      <c r="N24" s="702">
        <v>43115</v>
      </c>
      <c r="O24" s="703" t="s">
        <v>338</v>
      </c>
      <c r="P24" s="20">
        <v>70580.13</v>
      </c>
      <c r="Q24" s="20">
        <v>0</v>
      </c>
      <c r="R24" s="20">
        <v>0</v>
      </c>
      <c r="S24" s="20">
        <v>0</v>
      </c>
      <c r="T24" s="20">
        <v>70580.13</v>
      </c>
      <c r="U24" s="20">
        <v>61365.5</v>
      </c>
      <c r="V24" s="20">
        <v>-9214.6299999999992</v>
      </c>
      <c r="W24" s="20">
        <v>-11567.3</v>
      </c>
      <c r="X24" s="20">
        <v>-2352.67</v>
      </c>
      <c r="Y24" s="20">
        <v>0</v>
      </c>
      <c r="Z24" s="20">
        <v>0</v>
      </c>
      <c r="AA24" s="20">
        <v>0</v>
      </c>
      <c r="AB24" s="20">
        <v>59012.83</v>
      </c>
      <c r="AC24" t="s">
        <v>183</v>
      </c>
      <c r="AD24" t="s">
        <v>290</v>
      </c>
      <c r="AE24" s="702">
        <f t="shared" si="0"/>
        <v>43252</v>
      </c>
      <c r="AF24" s="289">
        <v>117237.21786477901</v>
      </c>
      <c r="AG24">
        <f t="shared" si="1"/>
        <v>360</v>
      </c>
      <c r="AH24" s="289">
        <f t="shared" si="2"/>
        <v>325.65893851327502</v>
      </c>
      <c r="AJ24" s="289">
        <f t="shared" si="3"/>
        <v>54</v>
      </c>
      <c r="AK24" s="289">
        <f t="shared" si="4"/>
        <v>17585.582679716852</v>
      </c>
    </row>
    <row r="25" spans="1:37">
      <c r="A25" s="703" t="s">
        <v>373</v>
      </c>
      <c r="B25" s="703" t="s">
        <v>331</v>
      </c>
      <c r="C25" s="703" t="s">
        <v>332</v>
      </c>
      <c r="D25" s="703" t="s">
        <v>333</v>
      </c>
      <c r="E25" s="703" t="s">
        <v>334</v>
      </c>
      <c r="F25" s="703" t="s">
        <v>335</v>
      </c>
      <c r="G25" s="703" t="s">
        <v>374</v>
      </c>
      <c r="H25" s="703" t="s">
        <v>334</v>
      </c>
      <c r="I25" s="703" t="s">
        <v>334</v>
      </c>
      <c r="J25" s="703" t="s">
        <v>337</v>
      </c>
      <c r="K25" s="704">
        <v>0</v>
      </c>
      <c r="L25" s="703" t="s">
        <v>334</v>
      </c>
      <c r="M25" s="702">
        <v>39478</v>
      </c>
      <c r="N25" s="702">
        <v>43115</v>
      </c>
      <c r="O25" s="703" t="s">
        <v>338</v>
      </c>
      <c r="P25" s="20">
        <v>73747.429999999993</v>
      </c>
      <c r="Q25" s="20">
        <v>0</v>
      </c>
      <c r="R25" s="20">
        <v>0</v>
      </c>
      <c r="S25" s="20">
        <v>0</v>
      </c>
      <c r="T25" s="20">
        <v>73747.429999999993</v>
      </c>
      <c r="U25" s="20">
        <v>64119.29</v>
      </c>
      <c r="V25" s="20">
        <v>-9628.14</v>
      </c>
      <c r="W25" s="20">
        <v>-12086.39</v>
      </c>
      <c r="X25" s="20">
        <v>-2458.25</v>
      </c>
      <c r="Y25" s="20">
        <v>0</v>
      </c>
      <c r="Z25" s="20">
        <v>0</v>
      </c>
      <c r="AA25" s="20">
        <v>0</v>
      </c>
      <c r="AB25" s="20">
        <v>61661.04</v>
      </c>
      <c r="AC25" t="s">
        <v>183</v>
      </c>
      <c r="AD25" t="s">
        <v>290</v>
      </c>
      <c r="AE25" s="702">
        <f t="shared" si="0"/>
        <v>43252</v>
      </c>
      <c r="AF25" s="289">
        <v>122498.26569995745</v>
      </c>
      <c r="AG25">
        <f t="shared" si="1"/>
        <v>360</v>
      </c>
      <c r="AH25" s="289">
        <f t="shared" si="2"/>
        <v>340.27296027765959</v>
      </c>
      <c r="AJ25" s="289">
        <f t="shared" si="3"/>
        <v>54</v>
      </c>
      <c r="AK25" s="289">
        <f t="shared" si="4"/>
        <v>18374.739854993619</v>
      </c>
    </row>
    <row r="26" spans="1:37">
      <c r="A26" s="703" t="s">
        <v>375</v>
      </c>
      <c r="B26" s="703" t="s">
        <v>331</v>
      </c>
      <c r="C26" s="703" t="s">
        <v>332</v>
      </c>
      <c r="D26" s="703" t="s">
        <v>333</v>
      </c>
      <c r="E26" s="703" t="s">
        <v>334</v>
      </c>
      <c r="F26" s="703" t="s">
        <v>335</v>
      </c>
      <c r="G26" s="703" t="s">
        <v>376</v>
      </c>
      <c r="H26" s="703" t="s">
        <v>334</v>
      </c>
      <c r="I26" s="703" t="s">
        <v>334</v>
      </c>
      <c r="J26" s="703" t="s">
        <v>337</v>
      </c>
      <c r="K26" s="704">
        <v>0</v>
      </c>
      <c r="L26" s="703" t="s">
        <v>334</v>
      </c>
      <c r="M26" s="702">
        <v>39478</v>
      </c>
      <c r="N26" s="702">
        <v>43115</v>
      </c>
      <c r="O26" s="703" t="s">
        <v>338</v>
      </c>
      <c r="P26" s="20">
        <v>609.97</v>
      </c>
      <c r="Q26" s="20">
        <v>0</v>
      </c>
      <c r="R26" s="20">
        <v>0</v>
      </c>
      <c r="S26" s="20">
        <v>0</v>
      </c>
      <c r="T26" s="20">
        <v>609.97</v>
      </c>
      <c r="U26" s="20">
        <v>530.34</v>
      </c>
      <c r="V26" s="20">
        <v>-79.63</v>
      </c>
      <c r="W26" s="20">
        <v>-99.96</v>
      </c>
      <c r="X26" s="20">
        <v>-20.329999999999998</v>
      </c>
      <c r="Y26" s="20">
        <v>0</v>
      </c>
      <c r="Z26" s="20">
        <v>0</v>
      </c>
      <c r="AA26" s="20">
        <v>0</v>
      </c>
      <c r="AB26" s="20">
        <v>510.01</v>
      </c>
      <c r="AC26" t="s">
        <v>183</v>
      </c>
      <c r="AD26" t="s">
        <v>290</v>
      </c>
      <c r="AE26" s="702">
        <f t="shared" si="0"/>
        <v>43252</v>
      </c>
      <c r="AF26" s="289">
        <v>1013.1914716079334</v>
      </c>
      <c r="AG26">
        <f t="shared" si="1"/>
        <v>360</v>
      </c>
      <c r="AH26" s="289">
        <f t="shared" si="2"/>
        <v>2.8144207544664819</v>
      </c>
      <c r="AJ26" s="289">
        <f t="shared" si="3"/>
        <v>54</v>
      </c>
      <c r="AK26" s="289">
        <f t="shared" si="4"/>
        <v>151.97872074119002</v>
      </c>
    </row>
    <row r="27" spans="1:37">
      <c r="A27" s="703" t="s">
        <v>377</v>
      </c>
      <c r="B27" s="703" t="s">
        <v>331</v>
      </c>
      <c r="C27" s="703" t="s">
        <v>332</v>
      </c>
      <c r="D27" s="703" t="s">
        <v>333</v>
      </c>
      <c r="E27" s="703" t="s">
        <v>334</v>
      </c>
      <c r="F27" s="703" t="s">
        <v>335</v>
      </c>
      <c r="G27" s="703" t="s">
        <v>378</v>
      </c>
      <c r="H27" s="703" t="s">
        <v>334</v>
      </c>
      <c r="I27" s="703" t="s">
        <v>334</v>
      </c>
      <c r="J27" s="703" t="s">
        <v>337</v>
      </c>
      <c r="K27" s="704">
        <v>0</v>
      </c>
      <c r="L27" s="703" t="s">
        <v>334</v>
      </c>
      <c r="M27" s="702">
        <v>39478</v>
      </c>
      <c r="N27" s="702">
        <v>43115</v>
      </c>
      <c r="O27" s="703" t="s">
        <v>338</v>
      </c>
      <c r="P27" s="20">
        <v>664868.66</v>
      </c>
      <c r="Q27" s="20">
        <v>0</v>
      </c>
      <c r="R27" s="20">
        <v>0</v>
      </c>
      <c r="S27" s="20">
        <v>0</v>
      </c>
      <c r="T27" s="20">
        <v>664868.66</v>
      </c>
      <c r="U27" s="20">
        <v>578066.36</v>
      </c>
      <c r="V27" s="20">
        <v>-86802.3</v>
      </c>
      <c r="W27" s="20">
        <v>-108964.59</v>
      </c>
      <c r="X27" s="20">
        <v>-22162.29</v>
      </c>
      <c r="Y27" s="20">
        <v>0</v>
      </c>
      <c r="Z27" s="20">
        <v>0</v>
      </c>
      <c r="AA27" s="20">
        <v>0</v>
      </c>
      <c r="AB27" s="20">
        <v>555904.06999999995</v>
      </c>
      <c r="AC27" t="s">
        <v>183</v>
      </c>
      <c r="AD27" t="s">
        <v>290</v>
      </c>
      <c r="AE27" s="702">
        <f t="shared" si="0"/>
        <v>43252</v>
      </c>
      <c r="AF27" s="289">
        <v>1104380.9630824379</v>
      </c>
      <c r="AG27">
        <f t="shared" si="1"/>
        <v>360</v>
      </c>
      <c r="AH27" s="289">
        <f t="shared" si="2"/>
        <v>3067.7248974512163</v>
      </c>
      <c r="AJ27" s="289">
        <f t="shared" si="3"/>
        <v>54</v>
      </c>
      <c r="AK27" s="289">
        <f t="shared" si="4"/>
        <v>165657.14446236569</v>
      </c>
    </row>
    <row r="28" spans="1:37">
      <c r="A28" s="703" t="s">
        <v>379</v>
      </c>
      <c r="B28" s="703" t="s">
        <v>331</v>
      </c>
      <c r="C28" s="703" t="s">
        <v>332</v>
      </c>
      <c r="D28" s="703" t="s">
        <v>333</v>
      </c>
      <c r="E28" s="703" t="s">
        <v>334</v>
      </c>
      <c r="F28" s="703" t="s">
        <v>335</v>
      </c>
      <c r="G28" s="703" t="s">
        <v>380</v>
      </c>
      <c r="H28" s="703" t="s">
        <v>334</v>
      </c>
      <c r="I28" s="703" t="s">
        <v>334</v>
      </c>
      <c r="J28" s="703" t="s">
        <v>337</v>
      </c>
      <c r="K28" s="704">
        <v>0</v>
      </c>
      <c r="L28" s="703" t="s">
        <v>334</v>
      </c>
      <c r="M28" s="702">
        <v>42063</v>
      </c>
      <c r="N28" s="702">
        <v>43115</v>
      </c>
      <c r="O28" s="703" t="s">
        <v>338</v>
      </c>
      <c r="P28" s="20">
        <v>9650.5499999999993</v>
      </c>
      <c r="Q28" s="20">
        <v>0</v>
      </c>
      <c r="R28" s="20">
        <v>0</v>
      </c>
      <c r="S28" s="20">
        <v>0</v>
      </c>
      <c r="T28" s="20">
        <v>9650.5499999999993</v>
      </c>
      <c r="U28" s="20">
        <v>8390.6</v>
      </c>
      <c r="V28" s="20">
        <v>-1259.95</v>
      </c>
      <c r="W28" s="20">
        <v>-1581.64</v>
      </c>
      <c r="X28" s="20">
        <v>-321.69</v>
      </c>
      <c r="Y28" s="20">
        <v>0</v>
      </c>
      <c r="Z28" s="20">
        <v>0</v>
      </c>
      <c r="AA28" s="20">
        <v>0</v>
      </c>
      <c r="AB28" s="20">
        <v>8068.91</v>
      </c>
      <c r="AC28" t="s">
        <v>183</v>
      </c>
      <c r="AD28" t="s">
        <v>290</v>
      </c>
      <c r="AE28" s="702">
        <f t="shared" si="0"/>
        <v>43252</v>
      </c>
      <c r="AF28" s="289">
        <v>16030.058783753202</v>
      </c>
      <c r="AG28">
        <f t="shared" si="1"/>
        <v>360</v>
      </c>
      <c r="AH28" s="289">
        <f t="shared" si="2"/>
        <v>44.527941065981118</v>
      </c>
      <c r="AJ28" s="289">
        <f t="shared" si="3"/>
        <v>54</v>
      </c>
      <c r="AK28" s="289">
        <f t="shared" si="4"/>
        <v>2404.5088175629803</v>
      </c>
    </row>
    <row r="29" spans="1:37">
      <c r="A29" s="703" t="s">
        <v>381</v>
      </c>
      <c r="B29" s="703" t="s">
        <v>331</v>
      </c>
      <c r="C29" s="703" t="s">
        <v>332</v>
      </c>
      <c r="D29" s="703" t="s">
        <v>333</v>
      </c>
      <c r="E29" s="703" t="s">
        <v>334</v>
      </c>
      <c r="F29" s="703" t="s">
        <v>335</v>
      </c>
      <c r="G29" s="703" t="s">
        <v>382</v>
      </c>
      <c r="H29" s="703" t="s">
        <v>334</v>
      </c>
      <c r="I29" s="703" t="s">
        <v>334</v>
      </c>
      <c r="J29" s="703" t="s">
        <v>337</v>
      </c>
      <c r="K29" s="704">
        <v>0</v>
      </c>
      <c r="L29" s="703" t="s">
        <v>334</v>
      </c>
      <c r="M29" s="702">
        <v>42063</v>
      </c>
      <c r="N29" s="702">
        <v>43115</v>
      </c>
      <c r="O29" s="703" t="s">
        <v>338</v>
      </c>
      <c r="P29" s="20">
        <v>1255598.0800000001</v>
      </c>
      <c r="Q29" s="20">
        <v>0</v>
      </c>
      <c r="R29" s="20">
        <v>0</v>
      </c>
      <c r="S29" s="20">
        <v>0</v>
      </c>
      <c r="T29" s="20">
        <v>1255598.0800000001</v>
      </c>
      <c r="U29" s="20">
        <v>1091672.77</v>
      </c>
      <c r="V29" s="20">
        <v>-163925.31</v>
      </c>
      <c r="W29" s="20">
        <v>-205778.58</v>
      </c>
      <c r="X29" s="20">
        <v>-41853.269999999997</v>
      </c>
      <c r="Y29" s="20">
        <v>0</v>
      </c>
      <c r="Z29" s="20">
        <v>0</v>
      </c>
      <c r="AA29" s="20">
        <v>0</v>
      </c>
      <c r="AB29" s="20">
        <v>1049819.5</v>
      </c>
      <c r="AC29" t="s">
        <v>183</v>
      </c>
      <c r="AD29" t="s">
        <v>290</v>
      </c>
      <c r="AE29" s="702">
        <f t="shared" si="0"/>
        <v>43252</v>
      </c>
      <c r="AF29" s="289">
        <v>2085612.8439485477</v>
      </c>
      <c r="AG29">
        <f t="shared" si="1"/>
        <v>360</v>
      </c>
      <c r="AH29" s="289">
        <f t="shared" si="2"/>
        <v>5793.3690109681884</v>
      </c>
      <c r="AJ29" s="289">
        <f t="shared" si="3"/>
        <v>54</v>
      </c>
      <c r="AK29" s="289">
        <f t="shared" si="4"/>
        <v>312841.92659228219</v>
      </c>
    </row>
    <row r="30" spans="1:37">
      <c r="A30" s="703" t="s">
        <v>383</v>
      </c>
      <c r="B30" s="703" t="s">
        <v>331</v>
      </c>
      <c r="C30" s="703" t="s">
        <v>332</v>
      </c>
      <c r="D30" s="703" t="s">
        <v>333</v>
      </c>
      <c r="E30" s="703" t="s">
        <v>334</v>
      </c>
      <c r="F30" s="703" t="s">
        <v>335</v>
      </c>
      <c r="G30" s="703" t="s">
        <v>384</v>
      </c>
      <c r="H30" s="703" t="s">
        <v>334</v>
      </c>
      <c r="I30" s="703" t="s">
        <v>334</v>
      </c>
      <c r="J30" s="703" t="s">
        <v>337</v>
      </c>
      <c r="K30" s="704">
        <v>0</v>
      </c>
      <c r="L30" s="703" t="s">
        <v>334</v>
      </c>
      <c r="M30" s="702">
        <v>42124</v>
      </c>
      <c r="N30" s="702">
        <v>43115</v>
      </c>
      <c r="O30" s="703" t="s">
        <v>338</v>
      </c>
      <c r="P30" s="20">
        <v>33594.730000000003</v>
      </c>
      <c r="Q30" s="20">
        <v>0</v>
      </c>
      <c r="R30" s="20">
        <v>0</v>
      </c>
      <c r="S30" s="20">
        <v>0</v>
      </c>
      <c r="T30" s="20">
        <v>33594.730000000003</v>
      </c>
      <c r="U30" s="20">
        <v>29208.76</v>
      </c>
      <c r="V30" s="20">
        <v>-4385.97</v>
      </c>
      <c r="W30" s="20">
        <v>-5505.79</v>
      </c>
      <c r="X30" s="20">
        <v>-1119.82</v>
      </c>
      <c r="Y30" s="20">
        <v>0</v>
      </c>
      <c r="Z30" s="20">
        <v>0</v>
      </c>
      <c r="AA30" s="20">
        <v>0</v>
      </c>
      <c r="AB30" s="20">
        <v>28088.94</v>
      </c>
      <c r="AC30" t="s">
        <v>183</v>
      </c>
      <c r="AD30" t="s">
        <v>290</v>
      </c>
      <c r="AE30" s="702">
        <f t="shared" si="0"/>
        <v>43252</v>
      </c>
      <c r="AF30" s="289">
        <v>55802.570498501882</v>
      </c>
      <c r="AG30">
        <f t="shared" si="1"/>
        <v>360</v>
      </c>
      <c r="AH30" s="289">
        <f t="shared" si="2"/>
        <v>155.00714027361633</v>
      </c>
      <c r="AJ30" s="289">
        <f t="shared" si="3"/>
        <v>54</v>
      </c>
      <c r="AK30" s="289">
        <f t="shared" si="4"/>
        <v>8370.3855747752823</v>
      </c>
    </row>
    <row r="31" spans="1:37">
      <c r="A31" s="703" t="s">
        <v>385</v>
      </c>
      <c r="B31" s="703" t="s">
        <v>331</v>
      </c>
      <c r="C31" s="703" t="s">
        <v>332</v>
      </c>
      <c r="D31" s="703" t="s">
        <v>333</v>
      </c>
      <c r="E31" s="703" t="s">
        <v>334</v>
      </c>
      <c r="F31" s="703" t="s">
        <v>335</v>
      </c>
      <c r="G31" s="703" t="s">
        <v>386</v>
      </c>
      <c r="H31" s="703" t="s">
        <v>334</v>
      </c>
      <c r="I31" s="703" t="s">
        <v>334</v>
      </c>
      <c r="J31" s="703" t="s">
        <v>337</v>
      </c>
      <c r="K31" s="704">
        <v>0</v>
      </c>
      <c r="L31" s="703" t="s">
        <v>334</v>
      </c>
      <c r="M31" s="702">
        <v>39478</v>
      </c>
      <c r="N31" s="702">
        <v>43115</v>
      </c>
      <c r="O31" s="703" t="s">
        <v>338</v>
      </c>
      <c r="P31" s="20">
        <v>36055.83</v>
      </c>
      <c r="Q31" s="20">
        <v>0</v>
      </c>
      <c r="R31" s="20">
        <v>0</v>
      </c>
      <c r="S31" s="20">
        <v>0</v>
      </c>
      <c r="T31" s="20">
        <v>36055.83</v>
      </c>
      <c r="U31" s="20">
        <v>31348.54</v>
      </c>
      <c r="V31" s="20">
        <v>-4707.29</v>
      </c>
      <c r="W31" s="20">
        <v>-5909.15</v>
      </c>
      <c r="X31" s="20">
        <v>-1201.8599999999999</v>
      </c>
      <c r="Y31" s="20">
        <v>0</v>
      </c>
      <c r="Z31" s="20">
        <v>0</v>
      </c>
      <c r="AA31" s="20">
        <v>0</v>
      </c>
      <c r="AB31" s="20">
        <v>30146.68</v>
      </c>
      <c r="AC31" t="s">
        <v>183</v>
      </c>
      <c r="AD31" t="s">
        <v>290</v>
      </c>
      <c r="AE31" s="702">
        <f t="shared" si="0"/>
        <v>43252</v>
      </c>
      <c r="AF31" s="289">
        <v>59890.583893872608</v>
      </c>
      <c r="AG31">
        <f t="shared" si="1"/>
        <v>360</v>
      </c>
      <c r="AH31" s="289">
        <f t="shared" si="2"/>
        <v>166.36273303853503</v>
      </c>
      <c r="AJ31" s="289">
        <f t="shared" si="3"/>
        <v>54</v>
      </c>
      <c r="AK31" s="289">
        <f t="shared" si="4"/>
        <v>8983.5875840808912</v>
      </c>
    </row>
    <row r="32" spans="1:37">
      <c r="A32" s="703" t="s">
        <v>387</v>
      </c>
      <c r="B32" s="703" t="s">
        <v>331</v>
      </c>
      <c r="C32" s="703" t="s">
        <v>332</v>
      </c>
      <c r="D32" s="703" t="s">
        <v>333</v>
      </c>
      <c r="E32" s="703" t="s">
        <v>334</v>
      </c>
      <c r="F32" s="703" t="s">
        <v>335</v>
      </c>
      <c r="G32" s="703" t="s">
        <v>388</v>
      </c>
      <c r="H32" s="703" t="s">
        <v>334</v>
      </c>
      <c r="I32" s="703" t="s">
        <v>334</v>
      </c>
      <c r="J32" s="703" t="s">
        <v>337</v>
      </c>
      <c r="K32" s="704">
        <v>0</v>
      </c>
      <c r="L32" s="703" t="s">
        <v>334</v>
      </c>
      <c r="M32" s="702">
        <v>42063</v>
      </c>
      <c r="N32" s="702">
        <v>43115</v>
      </c>
      <c r="O32" s="703" t="s">
        <v>338</v>
      </c>
      <c r="P32" s="20">
        <v>4095</v>
      </c>
      <c r="Q32" s="20">
        <v>0</v>
      </c>
      <c r="R32" s="20">
        <v>0</v>
      </c>
      <c r="S32" s="20">
        <v>0</v>
      </c>
      <c r="T32" s="20">
        <v>4095</v>
      </c>
      <c r="U32" s="20">
        <v>3560.37</v>
      </c>
      <c r="V32" s="20">
        <v>-534.63</v>
      </c>
      <c r="W32" s="20">
        <v>-671.13</v>
      </c>
      <c r="X32" s="20">
        <v>-136.5</v>
      </c>
      <c r="Y32" s="20">
        <v>0</v>
      </c>
      <c r="Z32" s="20">
        <v>0</v>
      </c>
      <c r="AA32" s="20">
        <v>0</v>
      </c>
      <c r="AB32" s="20">
        <v>3423.87</v>
      </c>
      <c r="AC32" t="s">
        <v>183</v>
      </c>
      <c r="AD32" t="s">
        <v>290</v>
      </c>
      <c r="AE32" s="702">
        <f t="shared" si="0"/>
        <v>43252</v>
      </c>
      <c r="AF32" s="289">
        <v>6802.005141620878</v>
      </c>
      <c r="AG32">
        <f t="shared" si="1"/>
        <v>360</v>
      </c>
      <c r="AH32" s="289">
        <f t="shared" si="2"/>
        <v>18.894458726724661</v>
      </c>
      <c r="AJ32" s="289">
        <f t="shared" si="3"/>
        <v>54</v>
      </c>
      <c r="AK32" s="289">
        <f t="shared" si="4"/>
        <v>1020.3007712431317</v>
      </c>
    </row>
    <row r="33" spans="1:37">
      <c r="A33" s="703" t="s">
        <v>389</v>
      </c>
      <c r="B33" s="703" t="s">
        <v>331</v>
      </c>
      <c r="C33" s="703" t="s">
        <v>390</v>
      </c>
      <c r="D33" s="703" t="s">
        <v>391</v>
      </c>
      <c r="E33" s="703" t="s">
        <v>334</v>
      </c>
      <c r="F33" s="703" t="s">
        <v>335</v>
      </c>
      <c r="G33" s="703" t="s">
        <v>392</v>
      </c>
      <c r="H33" s="703" t="s">
        <v>334</v>
      </c>
      <c r="I33" s="703" t="s">
        <v>334</v>
      </c>
      <c r="J33" s="703" t="s">
        <v>337</v>
      </c>
      <c r="K33" s="704">
        <v>0</v>
      </c>
      <c r="L33" s="703" t="s">
        <v>334</v>
      </c>
      <c r="M33" s="702">
        <v>42886</v>
      </c>
      <c r="N33" s="702">
        <v>43115</v>
      </c>
      <c r="O33" s="703" t="s">
        <v>338</v>
      </c>
      <c r="P33" s="20">
        <v>742.21</v>
      </c>
      <c r="Q33" s="20">
        <v>0</v>
      </c>
      <c r="R33" s="20">
        <v>0</v>
      </c>
      <c r="S33" s="20">
        <v>0</v>
      </c>
      <c r="T33" s="20">
        <v>742.21</v>
      </c>
      <c r="U33" s="20">
        <v>645.30999999999995</v>
      </c>
      <c r="V33" s="20">
        <v>-96.9</v>
      </c>
      <c r="W33" s="20">
        <v>-121.64</v>
      </c>
      <c r="X33" s="20">
        <v>-24.74</v>
      </c>
      <c r="Y33" s="20">
        <v>0</v>
      </c>
      <c r="Z33" s="20">
        <v>0</v>
      </c>
      <c r="AA33" s="20">
        <v>0</v>
      </c>
      <c r="AB33" s="20">
        <v>620.57000000000005</v>
      </c>
      <c r="AC33" t="s">
        <v>188</v>
      </c>
      <c r="AD33" t="s">
        <v>290</v>
      </c>
      <c r="AE33" s="702">
        <f t="shared" si="0"/>
        <v>43252</v>
      </c>
      <c r="AF33" s="289">
        <v>1232.8488977197637</v>
      </c>
      <c r="AG33">
        <f t="shared" si="1"/>
        <v>360</v>
      </c>
      <c r="AH33" s="289">
        <f t="shared" si="2"/>
        <v>3.4245802714437881</v>
      </c>
      <c r="AJ33" s="289">
        <f t="shared" si="3"/>
        <v>54</v>
      </c>
      <c r="AK33" s="289">
        <f t="shared" si="4"/>
        <v>184.92733465796456</v>
      </c>
    </row>
    <row r="34" spans="1:37">
      <c r="A34" s="703" t="s">
        <v>393</v>
      </c>
      <c r="B34" s="703" t="s">
        <v>331</v>
      </c>
      <c r="C34" s="703" t="s">
        <v>390</v>
      </c>
      <c r="D34" s="703" t="s">
        <v>391</v>
      </c>
      <c r="E34" s="703" t="s">
        <v>334</v>
      </c>
      <c r="F34" s="703" t="s">
        <v>335</v>
      </c>
      <c r="G34" s="703" t="s">
        <v>394</v>
      </c>
      <c r="H34" s="703" t="s">
        <v>334</v>
      </c>
      <c r="I34" s="703" t="s">
        <v>334</v>
      </c>
      <c r="J34" s="703" t="s">
        <v>337</v>
      </c>
      <c r="K34" s="704">
        <v>0</v>
      </c>
      <c r="L34" s="703" t="s">
        <v>334</v>
      </c>
      <c r="M34" s="702">
        <v>42886</v>
      </c>
      <c r="N34" s="702">
        <v>43115</v>
      </c>
      <c r="O34" s="703" t="s">
        <v>338</v>
      </c>
      <c r="P34" s="20">
        <v>786.98</v>
      </c>
      <c r="Q34" s="20">
        <v>0</v>
      </c>
      <c r="R34" s="20">
        <v>0</v>
      </c>
      <c r="S34" s="20">
        <v>0</v>
      </c>
      <c r="T34" s="20">
        <v>786.98</v>
      </c>
      <c r="U34" s="20">
        <v>684.24</v>
      </c>
      <c r="V34" s="20">
        <v>-102.74</v>
      </c>
      <c r="W34" s="20">
        <v>-128.97</v>
      </c>
      <c r="X34" s="20">
        <v>-26.23</v>
      </c>
      <c r="Y34" s="20">
        <v>0</v>
      </c>
      <c r="Z34" s="20">
        <v>0</v>
      </c>
      <c r="AA34" s="20">
        <v>0</v>
      </c>
      <c r="AB34" s="20">
        <v>658.01</v>
      </c>
      <c r="AC34" t="s">
        <v>188</v>
      </c>
      <c r="AD34" t="s">
        <v>290</v>
      </c>
      <c r="AE34" s="702">
        <f t="shared" si="0"/>
        <v>43252</v>
      </c>
      <c r="AF34" s="289">
        <v>1307.2141651655186</v>
      </c>
      <c r="AG34">
        <f t="shared" si="1"/>
        <v>360</v>
      </c>
      <c r="AH34" s="289">
        <f t="shared" si="2"/>
        <v>3.6311504587931074</v>
      </c>
      <c r="AJ34" s="289">
        <f t="shared" si="3"/>
        <v>54</v>
      </c>
      <c r="AK34" s="289">
        <f t="shared" si="4"/>
        <v>196.0821247748278</v>
      </c>
    </row>
    <row r="35" spans="1:37">
      <c r="A35" s="703" t="s">
        <v>395</v>
      </c>
      <c r="B35" s="703" t="s">
        <v>331</v>
      </c>
      <c r="C35" s="703" t="s">
        <v>390</v>
      </c>
      <c r="D35" s="703" t="s">
        <v>391</v>
      </c>
      <c r="E35" s="703" t="s">
        <v>334</v>
      </c>
      <c r="F35" s="703" t="s">
        <v>335</v>
      </c>
      <c r="G35" s="703" t="s">
        <v>396</v>
      </c>
      <c r="H35" s="703" t="s">
        <v>334</v>
      </c>
      <c r="I35" s="703" t="s">
        <v>334</v>
      </c>
      <c r="J35" s="703" t="s">
        <v>337</v>
      </c>
      <c r="K35" s="704">
        <v>0</v>
      </c>
      <c r="L35" s="703" t="s">
        <v>334</v>
      </c>
      <c r="M35" s="702">
        <v>42886</v>
      </c>
      <c r="N35" s="702">
        <v>43115</v>
      </c>
      <c r="O35" s="703" t="s">
        <v>338</v>
      </c>
      <c r="P35" s="20">
        <v>956.55</v>
      </c>
      <c r="Q35" s="20">
        <v>0</v>
      </c>
      <c r="R35" s="20">
        <v>0</v>
      </c>
      <c r="S35" s="20">
        <v>0</v>
      </c>
      <c r="T35" s="20">
        <v>956.55</v>
      </c>
      <c r="U35" s="20">
        <v>831.65</v>
      </c>
      <c r="V35" s="20">
        <v>-124.9</v>
      </c>
      <c r="W35" s="20">
        <v>-156.79</v>
      </c>
      <c r="X35" s="20">
        <v>-31.89</v>
      </c>
      <c r="Y35" s="20">
        <v>0</v>
      </c>
      <c r="Z35" s="20">
        <v>0</v>
      </c>
      <c r="AA35" s="20">
        <v>0</v>
      </c>
      <c r="AB35" s="20">
        <v>799.76</v>
      </c>
      <c r="AC35" t="s">
        <v>188</v>
      </c>
      <c r="AD35" t="s">
        <v>290</v>
      </c>
      <c r="AE35" s="702">
        <f t="shared" si="0"/>
        <v>43252</v>
      </c>
      <c r="AF35" s="289">
        <v>1588.8786369273384</v>
      </c>
      <c r="AG35">
        <f t="shared" si="1"/>
        <v>360</v>
      </c>
      <c r="AH35" s="289">
        <f t="shared" si="2"/>
        <v>4.4135517692426065</v>
      </c>
      <c r="AJ35" s="289">
        <f t="shared" si="3"/>
        <v>54</v>
      </c>
      <c r="AK35" s="289">
        <f t="shared" si="4"/>
        <v>238.33179553910074</v>
      </c>
    </row>
    <row r="36" spans="1:37">
      <c r="A36" s="703" t="s">
        <v>397</v>
      </c>
      <c r="B36" s="703" t="s">
        <v>331</v>
      </c>
      <c r="C36" s="703" t="s">
        <v>390</v>
      </c>
      <c r="D36" s="703" t="s">
        <v>391</v>
      </c>
      <c r="E36" s="703" t="s">
        <v>334</v>
      </c>
      <c r="F36" s="703" t="s">
        <v>335</v>
      </c>
      <c r="G36" s="703" t="s">
        <v>398</v>
      </c>
      <c r="H36" s="703" t="s">
        <v>334</v>
      </c>
      <c r="I36" s="703" t="s">
        <v>334</v>
      </c>
      <c r="J36" s="703" t="s">
        <v>337</v>
      </c>
      <c r="K36" s="704">
        <v>0</v>
      </c>
      <c r="L36" s="703" t="s">
        <v>334</v>
      </c>
      <c r="M36" s="702">
        <v>42886</v>
      </c>
      <c r="N36" s="702">
        <v>43115</v>
      </c>
      <c r="O36" s="703" t="s">
        <v>338</v>
      </c>
      <c r="P36" s="20">
        <v>15495</v>
      </c>
      <c r="Q36" s="20">
        <v>0</v>
      </c>
      <c r="R36" s="20">
        <v>0</v>
      </c>
      <c r="S36" s="20">
        <v>0</v>
      </c>
      <c r="T36" s="20">
        <v>15495</v>
      </c>
      <c r="U36" s="20">
        <v>13472.04</v>
      </c>
      <c r="V36" s="20">
        <v>-2022.96</v>
      </c>
      <c r="W36" s="20">
        <v>-2539.46</v>
      </c>
      <c r="X36" s="20">
        <v>-516.5</v>
      </c>
      <c r="Y36" s="20">
        <v>0</v>
      </c>
      <c r="Z36" s="20">
        <v>0</v>
      </c>
      <c r="AA36" s="20">
        <v>0</v>
      </c>
      <c r="AB36" s="20">
        <v>12955.54</v>
      </c>
      <c r="AC36" t="s">
        <v>188</v>
      </c>
      <c r="AD36" t="s">
        <v>290</v>
      </c>
      <c r="AE36" s="702">
        <f t="shared" si="0"/>
        <v>43252</v>
      </c>
      <c r="AF36" s="289">
        <v>25737.99015126142</v>
      </c>
      <c r="AG36">
        <f t="shared" si="1"/>
        <v>360</v>
      </c>
      <c r="AH36" s="289">
        <f t="shared" si="2"/>
        <v>71.494417086837274</v>
      </c>
      <c r="AJ36" s="289">
        <f t="shared" si="3"/>
        <v>54</v>
      </c>
      <c r="AK36" s="289">
        <f t="shared" si="4"/>
        <v>3860.698522689213</v>
      </c>
    </row>
    <row r="37" spans="1:37">
      <c r="A37" s="703" t="s">
        <v>399</v>
      </c>
      <c r="B37" s="703" t="s">
        <v>331</v>
      </c>
      <c r="C37" s="703" t="s">
        <v>390</v>
      </c>
      <c r="D37" s="703" t="s">
        <v>391</v>
      </c>
      <c r="E37" s="703" t="s">
        <v>334</v>
      </c>
      <c r="F37" s="703" t="s">
        <v>335</v>
      </c>
      <c r="G37" s="703" t="s">
        <v>400</v>
      </c>
      <c r="H37" s="703" t="s">
        <v>334</v>
      </c>
      <c r="I37" s="703" t="s">
        <v>334</v>
      </c>
      <c r="J37" s="703" t="s">
        <v>337</v>
      </c>
      <c r="K37" s="704">
        <v>0</v>
      </c>
      <c r="L37" s="703" t="s">
        <v>334</v>
      </c>
      <c r="M37" s="702">
        <v>40574</v>
      </c>
      <c r="N37" s="702">
        <v>43115</v>
      </c>
      <c r="O37" s="703" t="s">
        <v>338</v>
      </c>
      <c r="P37" s="20">
        <v>21037.43</v>
      </c>
      <c r="Q37" s="20">
        <v>0</v>
      </c>
      <c r="R37" s="20">
        <v>0</v>
      </c>
      <c r="S37" s="20">
        <v>0</v>
      </c>
      <c r="T37" s="20">
        <v>21037.43</v>
      </c>
      <c r="U37" s="20">
        <v>18290.87</v>
      </c>
      <c r="V37" s="20">
        <v>-2746.56</v>
      </c>
      <c r="W37" s="20">
        <v>-3447.81</v>
      </c>
      <c r="X37" s="20">
        <v>-701.25</v>
      </c>
      <c r="Y37" s="20">
        <v>0</v>
      </c>
      <c r="Z37" s="20">
        <v>0</v>
      </c>
      <c r="AA37" s="20">
        <v>0</v>
      </c>
      <c r="AB37" s="20">
        <v>17589.62</v>
      </c>
      <c r="AC37" t="s">
        <v>188</v>
      </c>
      <c r="AD37" t="s">
        <v>290</v>
      </c>
      <c r="AE37" s="702">
        <f t="shared" si="0"/>
        <v>43252</v>
      </c>
      <c r="AF37" s="289">
        <v>34944.250800119487</v>
      </c>
      <c r="AG37">
        <f t="shared" si="1"/>
        <v>360</v>
      </c>
      <c r="AH37" s="289">
        <f t="shared" si="2"/>
        <v>97.067363333665241</v>
      </c>
      <c r="AJ37" s="289">
        <f t="shared" si="3"/>
        <v>54</v>
      </c>
      <c r="AK37" s="289">
        <f t="shared" si="4"/>
        <v>5241.6376200179229</v>
      </c>
    </row>
    <row r="38" spans="1:37">
      <c r="A38" s="703" t="s">
        <v>401</v>
      </c>
      <c r="B38" s="703" t="s">
        <v>331</v>
      </c>
      <c r="C38" s="703" t="s">
        <v>390</v>
      </c>
      <c r="D38" s="703" t="s">
        <v>391</v>
      </c>
      <c r="E38" s="703" t="s">
        <v>334</v>
      </c>
      <c r="F38" s="703" t="s">
        <v>335</v>
      </c>
      <c r="G38" s="703" t="s">
        <v>402</v>
      </c>
      <c r="H38" s="703" t="s">
        <v>334</v>
      </c>
      <c r="I38" s="703" t="s">
        <v>334</v>
      </c>
      <c r="J38" s="703" t="s">
        <v>337</v>
      </c>
      <c r="K38" s="704">
        <v>0</v>
      </c>
      <c r="L38" s="703" t="s">
        <v>334</v>
      </c>
      <c r="M38" s="702">
        <v>42886</v>
      </c>
      <c r="N38" s="702">
        <v>43115</v>
      </c>
      <c r="O38" s="703" t="s">
        <v>338</v>
      </c>
      <c r="P38" s="20">
        <v>16706.330000000002</v>
      </c>
      <c r="Q38" s="20">
        <v>0</v>
      </c>
      <c r="R38" s="20">
        <v>0</v>
      </c>
      <c r="S38" s="20">
        <v>0</v>
      </c>
      <c r="T38" s="20">
        <v>16706.330000000002</v>
      </c>
      <c r="U38" s="20">
        <v>14525.22</v>
      </c>
      <c r="V38" s="20">
        <v>-2181.11</v>
      </c>
      <c r="W38" s="20">
        <v>-2737.99</v>
      </c>
      <c r="X38" s="20">
        <v>-556.88</v>
      </c>
      <c r="Y38" s="20">
        <v>0</v>
      </c>
      <c r="Z38" s="20">
        <v>0</v>
      </c>
      <c r="AA38" s="20">
        <v>0</v>
      </c>
      <c r="AB38" s="20">
        <v>13968.34</v>
      </c>
      <c r="AC38" t="s">
        <v>188</v>
      </c>
      <c r="AD38" t="s">
        <v>290</v>
      </c>
      <c r="AE38" s="702">
        <f t="shared" si="0"/>
        <v>43252</v>
      </c>
      <c r="AF38" s="289">
        <v>27750.07144264106</v>
      </c>
      <c r="AG38">
        <f t="shared" si="1"/>
        <v>360</v>
      </c>
      <c r="AH38" s="289">
        <f t="shared" si="2"/>
        <v>77.083531785114047</v>
      </c>
      <c r="AJ38" s="289">
        <f t="shared" si="3"/>
        <v>54</v>
      </c>
      <c r="AK38" s="289">
        <f t="shared" si="4"/>
        <v>4162.5107163961584</v>
      </c>
    </row>
    <row r="39" spans="1:37">
      <c r="A39" s="703" t="s">
        <v>403</v>
      </c>
      <c r="B39" s="703" t="s">
        <v>331</v>
      </c>
      <c r="C39" s="703" t="s">
        <v>390</v>
      </c>
      <c r="D39" s="703" t="s">
        <v>391</v>
      </c>
      <c r="E39" s="703" t="s">
        <v>334</v>
      </c>
      <c r="F39" s="703" t="s">
        <v>335</v>
      </c>
      <c r="G39" s="703" t="s">
        <v>404</v>
      </c>
      <c r="H39" s="703" t="s">
        <v>334</v>
      </c>
      <c r="I39" s="703" t="s">
        <v>334</v>
      </c>
      <c r="J39" s="703" t="s">
        <v>337</v>
      </c>
      <c r="K39" s="704">
        <v>0</v>
      </c>
      <c r="L39" s="703" t="s">
        <v>334</v>
      </c>
      <c r="M39" s="702">
        <v>42886</v>
      </c>
      <c r="N39" s="702">
        <v>43115</v>
      </c>
      <c r="O39" s="703" t="s">
        <v>338</v>
      </c>
      <c r="P39" s="20">
        <v>3638.72</v>
      </c>
      <c r="Q39" s="20">
        <v>0</v>
      </c>
      <c r="R39" s="20">
        <v>0</v>
      </c>
      <c r="S39" s="20">
        <v>0</v>
      </c>
      <c r="T39" s="20">
        <v>3638.72</v>
      </c>
      <c r="U39" s="20">
        <v>3163.67</v>
      </c>
      <c r="V39" s="20">
        <v>-475.05</v>
      </c>
      <c r="W39" s="20">
        <v>-596.34</v>
      </c>
      <c r="X39" s="20">
        <v>-121.29</v>
      </c>
      <c r="Y39" s="20">
        <v>0</v>
      </c>
      <c r="Z39" s="20">
        <v>0</v>
      </c>
      <c r="AA39" s="20">
        <v>0</v>
      </c>
      <c r="AB39" s="20">
        <v>3042.38</v>
      </c>
      <c r="AC39" t="s">
        <v>188</v>
      </c>
      <c r="AD39" t="s">
        <v>290</v>
      </c>
      <c r="AE39" s="702">
        <f t="shared" si="0"/>
        <v>43252</v>
      </c>
      <c r="AF39" s="289">
        <v>6044.1006468665983</v>
      </c>
      <c r="AG39">
        <f t="shared" si="1"/>
        <v>360</v>
      </c>
      <c r="AH39" s="289">
        <f t="shared" si="2"/>
        <v>16.78916846351833</v>
      </c>
      <c r="AJ39" s="289">
        <f t="shared" si="3"/>
        <v>54</v>
      </c>
      <c r="AK39" s="289">
        <f t="shared" si="4"/>
        <v>906.61509702998978</v>
      </c>
    </row>
    <row r="40" spans="1:37">
      <c r="A40" s="703" t="s">
        <v>405</v>
      </c>
      <c r="B40" s="703" t="s">
        <v>331</v>
      </c>
      <c r="C40" s="703" t="s">
        <v>390</v>
      </c>
      <c r="D40" s="703" t="s">
        <v>391</v>
      </c>
      <c r="E40" s="703" t="s">
        <v>334</v>
      </c>
      <c r="F40" s="703" t="s">
        <v>335</v>
      </c>
      <c r="G40" s="703" t="s">
        <v>406</v>
      </c>
      <c r="H40" s="703" t="s">
        <v>334</v>
      </c>
      <c r="I40" s="703" t="s">
        <v>334</v>
      </c>
      <c r="J40" s="703" t="s">
        <v>337</v>
      </c>
      <c r="K40" s="704">
        <v>0</v>
      </c>
      <c r="L40" s="703" t="s">
        <v>334</v>
      </c>
      <c r="M40" s="702">
        <v>40574</v>
      </c>
      <c r="N40" s="702">
        <v>43115</v>
      </c>
      <c r="O40" s="703" t="s">
        <v>338</v>
      </c>
      <c r="P40" s="20">
        <v>35343.49</v>
      </c>
      <c r="Q40" s="20">
        <v>0</v>
      </c>
      <c r="R40" s="20">
        <v>0</v>
      </c>
      <c r="S40" s="20">
        <v>0</v>
      </c>
      <c r="T40" s="20">
        <v>35343.49</v>
      </c>
      <c r="U40" s="20">
        <v>30729.19</v>
      </c>
      <c r="V40" s="20">
        <v>-4614.3</v>
      </c>
      <c r="W40" s="20">
        <v>-5792.42</v>
      </c>
      <c r="X40" s="20">
        <v>-1178.1199999999999</v>
      </c>
      <c r="Y40" s="20">
        <v>0</v>
      </c>
      <c r="Z40" s="20">
        <v>0</v>
      </c>
      <c r="AA40" s="20">
        <v>0</v>
      </c>
      <c r="AB40" s="20">
        <v>29551.07</v>
      </c>
      <c r="AC40" t="s">
        <v>188</v>
      </c>
      <c r="AD40" t="s">
        <v>290</v>
      </c>
      <c r="AE40" s="702">
        <f t="shared" si="0"/>
        <v>43252</v>
      </c>
      <c r="AF40" s="289">
        <v>58707.350598980724</v>
      </c>
      <c r="AG40">
        <f t="shared" si="1"/>
        <v>360</v>
      </c>
      <c r="AH40" s="289">
        <f t="shared" si="2"/>
        <v>163.07597388605757</v>
      </c>
      <c r="AJ40" s="289">
        <f t="shared" si="3"/>
        <v>54</v>
      </c>
      <c r="AK40" s="289">
        <f t="shared" si="4"/>
        <v>8806.1025898471089</v>
      </c>
    </row>
    <row r="41" spans="1:37">
      <c r="A41" s="703" t="s">
        <v>407</v>
      </c>
      <c r="B41" s="703" t="s">
        <v>331</v>
      </c>
      <c r="C41" s="703" t="s">
        <v>390</v>
      </c>
      <c r="D41" s="703" t="s">
        <v>391</v>
      </c>
      <c r="E41" s="703" t="s">
        <v>334</v>
      </c>
      <c r="F41" s="703" t="s">
        <v>335</v>
      </c>
      <c r="G41" s="703" t="s">
        <v>408</v>
      </c>
      <c r="H41" s="703" t="s">
        <v>334</v>
      </c>
      <c r="I41" s="703" t="s">
        <v>334</v>
      </c>
      <c r="J41" s="703" t="s">
        <v>337</v>
      </c>
      <c r="K41" s="704">
        <v>0</v>
      </c>
      <c r="L41" s="703" t="s">
        <v>334</v>
      </c>
      <c r="M41" s="702">
        <v>42886</v>
      </c>
      <c r="N41" s="702">
        <v>43115</v>
      </c>
      <c r="O41" s="703" t="s">
        <v>338</v>
      </c>
      <c r="P41" s="20">
        <v>16004.9</v>
      </c>
      <c r="Q41" s="20">
        <v>0</v>
      </c>
      <c r="R41" s="20">
        <v>0</v>
      </c>
      <c r="S41" s="20">
        <v>0</v>
      </c>
      <c r="T41" s="20">
        <v>16004.9</v>
      </c>
      <c r="U41" s="20">
        <v>13915.36</v>
      </c>
      <c r="V41" s="20">
        <v>-2089.54</v>
      </c>
      <c r="W41" s="20">
        <v>-2623.04</v>
      </c>
      <c r="X41" s="20">
        <v>-533.5</v>
      </c>
      <c r="Y41" s="20">
        <v>0</v>
      </c>
      <c r="Z41" s="20">
        <v>0</v>
      </c>
      <c r="AA41" s="20">
        <v>0</v>
      </c>
      <c r="AB41" s="20">
        <v>13381.86</v>
      </c>
      <c r="AC41" t="s">
        <v>188</v>
      </c>
      <c r="AD41" t="s">
        <v>290</v>
      </c>
      <c r="AE41" s="702">
        <f t="shared" si="0"/>
        <v>43252</v>
      </c>
      <c r="AF41" s="289">
        <v>26584.960217613672</v>
      </c>
      <c r="AG41">
        <f t="shared" si="1"/>
        <v>360</v>
      </c>
      <c r="AH41" s="289">
        <f t="shared" si="2"/>
        <v>73.847111715593527</v>
      </c>
      <c r="AJ41" s="289">
        <f t="shared" si="3"/>
        <v>54</v>
      </c>
      <c r="AK41" s="289">
        <f t="shared" si="4"/>
        <v>3987.7440326420506</v>
      </c>
    </row>
    <row r="42" spans="1:37">
      <c r="A42" s="703" t="s">
        <v>409</v>
      </c>
      <c r="B42" s="703" t="s">
        <v>331</v>
      </c>
      <c r="C42" s="703" t="s">
        <v>390</v>
      </c>
      <c r="D42" s="703" t="s">
        <v>391</v>
      </c>
      <c r="E42" s="703" t="s">
        <v>334</v>
      </c>
      <c r="F42" s="703" t="s">
        <v>335</v>
      </c>
      <c r="G42" s="703" t="s">
        <v>410</v>
      </c>
      <c r="H42" s="703" t="s">
        <v>334</v>
      </c>
      <c r="I42" s="703" t="s">
        <v>334</v>
      </c>
      <c r="J42" s="703" t="s">
        <v>337</v>
      </c>
      <c r="K42" s="704">
        <v>0</v>
      </c>
      <c r="L42" s="703" t="s">
        <v>334</v>
      </c>
      <c r="M42" s="702">
        <v>42886</v>
      </c>
      <c r="N42" s="702">
        <v>43115</v>
      </c>
      <c r="O42" s="703" t="s">
        <v>338</v>
      </c>
      <c r="P42" s="20">
        <v>1513.57</v>
      </c>
      <c r="Q42" s="20">
        <v>0</v>
      </c>
      <c r="R42" s="20">
        <v>0</v>
      </c>
      <c r="S42" s="20">
        <v>0</v>
      </c>
      <c r="T42" s="20">
        <v>1513.57</v>
      </c>
      <c r="U42" s="20">
        <v>1315.97</v>
      </c>
      <c r="V42" s="20">
        <v>-197.6</v>
      </c>
      <c r="W42" s="20">
        <v>-248.05</v>
      </c>
      <c r="X42" s="20">
        <v>-50.45</v>
      </c>
      <c r="Y42" s="20">
        <v>0</v>
      </c>
      <c r="Z42" s="20">
        <v>0</v>
      </c>
      <c r="AA42" s="20">
        <v>0</v>
      </c>
      <c r="AB42" s="20">
        <v>1265.52</v>
      </c>
      <c r="AC42" t="s">
        <v>188</v>
      </c>
      <c r="AD42" t="s">
        <v>290</v>
      </c>
      <c r="AE42" s="702">
        <f t="shared" si="0"/>
        <v>43252</v>
      </c>
      <c r="AF42" s="289">
        <v>2514.1174413194412</v>
      </c>
      <c r="AG42">
        <f t="shared" si="1"/>
        <v>360</v>
      </c>
      <c r="AH42" s="289">
        <f t="shared" si="2"/>
        <v>6.9836595592206701</v>
      </c>
      <c r="AJ42" s="289">
        <f t="shared" si="3"/>
        <v>54</v>
      </c>
      <c r="AK42" s="289">
        <f t="shared" si="4"/>
        <v>377.11761619791616</v>
      </c>
    </row>
    <row r="43" spans="1:37">
      <c r="A43" s="703" t="s">
        <v>411</v>
      </c>
      <c r="B43" s="703" t="s">
        <v>331</v>
      </c>
      <c r="C43" s="703" t="s">
        <v>390</v>
      </c>
      <c r="D43" s="703" t="s">
        <v>391</v>
      </c>
      <c r="E43" s="703" t="s">
        <v>334</v>
      </c>
      <c r="F43" s="703" t="s">
        <v>335</v>
      </c>
      <c r="G43" s="703" t="s">
        <v>412</v>
      </c>
      <c r="H43" s="703" t="s">
        <v>334</v>
      </c>
      <c r="I43" s="703" t="s">
        <v>334</v>
      </c>
      <c r="J43" s="703" t="s">
        <v>337</v>
      </c>
      <c r="K43" s="704">
        <v>0</v>
      </c>
      <c r="L43" s="703" t="s">
        <v>334</v>
      </c>
      <c r="M43" s="702">
        <v>40574</v>
      </c>
      <c r="N43" s="702">
        <v>43115</v>
      </c>
      <c r="O43" s="703" t="s">
        <v>338</v>
      </c>
      <c r="P43" s="20">
        <v>7579.41</v>
      </c>
      <c r="Q43" s="20">
        <v>0</v>
      </c>
      <c r="R43" s="20">
        <v>0</v>
      </c>
      <c r="S43" s="20">
        <v>0</v>
      </c>
      <c r="T43" s="20">
        <v>7579.41</v>
      </c>
      <c r="U43" s="20">
        <v>6589.87</v>
      </c>
      <c r="V43" s="20">
        <v>-989.54</v>
      </c>
      <c r="W43" s="20">
        <v>-1242.19</v>
      </c>
      <c r="X43" s="20">
        <v>-252.65</v>
      </c>
      <c r="Y43" s="20">
        <v>0</v>
      </c>
      <c r="Z43" s="20">
        <v>0</v>
      </c>
      <c r="AA43" s="20">
        <v>0</v>
      </c>
      <c r="AB43" s="20">
        <v>6337.22</v>
      </c>
      <c r="AC43" t="s">
        <v>188</v>
      </c>
      <c r="AD43" t="s">
        <v>290</v>
      </c>
      <c r="AE43" s="702">
        <f t="shared" si="0"/>
        <v>43252</v>
      </c>
      <c r="AF43" s="289">
        <v>12589.788959817508</v>
      </c>
      <c r="AG43">
        <f t="shared" si="1"/>
        <v>360</v>
      </c>
      <c r="AH43" s="289">
        <f t="shared" si="2"/>
        <v>34.971635999493074</v>
      </c>
      <c r="AJ43" s="289">
        <f t="shared" si="3"/>
        <v>54</v>
      </c>
      <c r="AK43" s="289">
        <f t="shared" si="4"/>
        <v>1888.4683439726259</v>
      </c>
    </row>
    <row r="44" spans="1:37">
      <c r="A44" s="703" t="s">
        <v>413</v>
      </c>
      <c r="B44" s="703" t="s">
        <v>331</v>
      </c>
      <c r="C44" s="703" t="s">
        <v>390</v>
      </c>
      <c r="D44" s="703" t="s">
        <v>391</v>
      </c>
      <c r="E44" s="703" t="s">
        <v>334</v>
      </c>
      <c r="F44" s="703" t="s">
        <v>335</v>
      </c>
      <c r="G44" s="703" t="s">
        <v>414</v>
      </c>
      <c r="H44" s="703" t="s">
        <v>334</v>
      </c>
      <c r="I44" s="703" t="s">
        <v>334</v>
      </c>
      <c r="J44" s="703" t="s">
        <v>337</v>
      </c>
      <c r="K44" s="704">
        <v>0</v>
      </c>
      <c r="L44" s="703" t="s">
        <v>334</v>
      </c>
      <c r="M44" s="702">
        <v>42886</v>
      </c>
      <c r="N44" s="702">
        <v>43115</v>
      </c>
      <c r="O44" s="703" t="s">
        <v>338</v>
      </c>
      <c r="P44" s="20">
        <v>64642.95</v>
      </c>
      <c r="Q44" s="20">
        <v>0</v>
      </c>
      <c r="R44" s="20">
        <v>0</v>
      </c>
      <c r="S44" s="20">
        <v>0</v>
      </c>
      <c r="T44" s="20">
        <v>64642.95</v>
      </c>
      <c r="U44" s="20">
        <v>56203.44</v>
      </c>
      <c r="V44" s="20">
        <v>-8439.51</v>
      </c>
      <c r="W44" s="20">
        <v>-10594.28</v>
      </c>
      <c r="X44" s="20">
        <v>-2154.77</v>
      </c>
      <c r="Y44" s="20">
        <v>0</v>
      </c>
      <c r="Z44" s="20">
        <v>0</v>
      </c>
      <c r="AA44" s="20">
        <v>0</v>
      </c>
      <c r="AB44" s="20">
        <v>54048.67</v>
      </c>
      <c r="AC44" t="s">
        <v>188</v>
      </c>
      <c r="AD44" t="s">
        <v>290</v>
      </c>
      <c r="AE44" s="702">
        <f t="shared" si="0"/>
        <v>43252</v>
      </c>
      <c r="AF44" s="289">
        <v>107375.25720867921</v>
      </c>
      <c r="AG44">
        <f t="shared" si="1"/>
        <v>360</v>
      </c>
      <c r="AH44" s="289">
        <f t="shared" si="2"/>
        <v>298.26460335744224</v>
      </c>
      <c r="AJ44" s="289">
        <f t="shared" si="3"/>
        <v>54</v>
      </c>
      <c r="AK44" s="289">
        <f t="shared" si="4"/>
        <v>16106.28858130188</v>
      </c>
    </row>
    <row r="45" spans="1:37">
      <c r="A45" s="703" t="s">
        <v>415</v>
      </c>
      <c r="B45" s="703" t="s">
        <v>331</v>
      </c>
      <c r="C45" s="703" t="s">
        <v>390</v>
      </c>
      <c r="D45" s="703" t="s">
        <v>391</v>
      </c>
      <c r="E45" s="703" t="s">
        <v>334</v>
      </c>
      <c r="F45" s="703" t="s">
        <v>335</v>
      </c>
      <c r="G45" s="703" t="s">
        <v>416</v>
      </c>
      <c r="H45" s="703" t="s">
        <v>334</v>
      </c>
      <c r="I45" s="703" t="s">
        <v>334</v>
      </c>
      <c r="J45" s="703" t="s">
        <v>337</v>
      </c>
      <c r="K45" s="704">
        <v>0</v>
      </c>
      <c r="L45" s="703" t="s">
        <v>334</v>
      </c>
      <c r="M45" s="702">
        <v>42886</v>
      </c>
      <c r="N45" s="702">
        <v>43115</v>
      </c>
      <c r="O45" s="703" t="s">
        <v>338</v>
      </c>
      <c r="P45" s="20">
        <v>17219.189999999999</v>
      </c>
      <c r="Q45" s="20">
        <v>0</v>
      </c>
      <c r="R45" s="20">
        <v>0</v>
      </c>
      <c r="S45" s="20">
        <v>0</v>
      </c>
      <c r="T45" s="20">
        <v>17219.189999999999</v>
      </c>
      <c r="U45" s="20">
        <v>14971.14</v>
      </c>
      <c r="V45" s="20">
        <v>-2248.0500000000002</v>
      </c>
      <c r="W45" s="20">
        <v>-2822.02</v>
      </c>
      <c r="X45" s="20">
        <v>-573.97</v>
      </c>
      <c r="Y45" s="20">
        <v>0</v>
      </c>
      <c r="Z45" s="20">
        <v>0</v>
      </c>
      <c r="AA45" s="20">
        <v>0</v>
      </c>
      <c r="AB45" s="20">
        <v>14397.17</v>
      </c>
      <c r="AC45" t="s">
        <v>188</v>
      </c>
      <c r="AD45" t="s">
        <v>290</v>
      </c>
      <c r="AE45" s="702">
        <f t="shared" si="0"/>
        <v>43252</v>
      </c>
      <c r="AF45" s="289">
        <v>28601.958220890549</v>
      </c>
      <c r="AG45">
        <f t="shared" si="1"/>
        <v>360</v>
      </c>
      <c r="AH45" s="289">
        <f t="shared" si="2"/>
        <v>79.449883946918192</v>
      </c>
      <c r="AJ45" s="289">
        <f t="shared" si="3"/>
        <v>54</v>
      </c>
      <c r="AK45" s="289">
        <f t="shared" si="4"/>
        <v>4290.2937331335825</v>
      </c>
    </row>
    <row r="46" spans="1:37">
      <c r="A46" s="703" t="s">
        <v>417</v>
      </c>
      <c r="B46" s="703" t="s">
        <v>331</v>
      </c>
      <c r="C46" s="703" t="s">
        <v>390</v>
      </c>
      <c r="D46" s="703" t="s">
        <v>391</v>
      </c>
      <c r="E46" s="703" t="s">
        <v>334</v>
      </c>
      <c r="F46" s="703" t="s">
        <v>335</v>
      </c>
      <c r="G46" s="703" t="s">
        <v>418</v>
      </c>
      <c r="H46" s="703" t="s">
        <v>334</v>
      </c>
      <c r="I46" s="703" t="s">
        <v>334</v>
      </c>
      <c r="J46" s="703" t="s">
        <v>337</v>
      </c>
      <c r="K46" s="704">
        <v>0</v>
      </c>
      <c r="L46" s="703" t="s">
        <v>334</v>
      </c>
      <c r="M46" s="702">
        <v>42886</v>
      </c>
      <c r="N46" s="702">
        <v>43115</v>
      </c>
      <c r="O46" s="703" t="s">
        <v>338</v>
      </c>
      <c r="P46" s="20">
        <v>21100.29</v>
      </c>
      <c r="Q46" s="20">
        <v>0</v>
      </c>
      <c r="R46" s="20">
        <v>0</v>
      </c>
      <c r="S46" s="20">
        <v>0</v>
      </c>
      <c r="T46" s="20">
        <v>21100.29</v>
      </c>
      <c r="U46" s="20">
        <v>18345.54</v>
      </c>
      <c r="V46" s="20">
        <v>-2754.75</v>
      </c>
      <c r="W46" s="20">
        <v>-3458.09</v>
      </c>
      <c r="X46" s="20">
        <v>-703.34</v>
      </c>
      <c r="Y46" s="20">
        <v>0</v>
      </c>
      <c r="Z46" s="20">
        <v>0</v>
      </c>
      <c r="AA46" s="20">
        <v>0</v>
      </c>
      <c r="AB46" s="20">
        <v>17642.2</v>
      </c>
      <c r="AC46" t="s">
        <v>188</v>
      </c>
      <c r="AD46" t="s">
        <v>290</v>
      </c>
      <c r="AE46" s="702">
        <f t="shared" si="0"/>
        <v>43252</v>
      </c>
      <c r="AF46" s="289">
        <v>35048.664485883171</v>
      </c>
      <c r="AG46">
        <f t="shared" si="1"/>
        <v>360</v>
      </c>
      <c r="AH46" s="289">
        <f t="shared" si="2"/>
        <v>97.35740134967547</v>
      </c>
      <c r="AJ46" s="289">
        <f t="shared" si="3"/>
        <v>54</v>
      </c>
      <c r="AK46" s="289">
        <f t="shared" si="4"/>
        <v>5257.2996728824755</v>
      </c>
    </row>
    <row r="47" spans="1:37">
      <c r="A47" s="703" t="s">
        <v>419</v>
      </c>
      <c r="B47" s="703" t="s">
        <v>331</v>
      </c>
      <c r="C47" s="703" t="s">
        <v>390</v>
      </c>
      <c r="D47" s="703" t="s">
        <v>391</v>
      </c>
      <c r="E47" s="703" t="s">
        <v>334</v>
      </c>
      <c r="F47" s="703" t="s">
        <v>335</v>
      </c>
      <c r="G47" s="703" t="s">
        <v>420</v>
      </c>
      <c r="H47" s="703" t="s">
        <v>334</v>
      </c>
      <c r="I47" s="703" t="s">
        <v>334</v>
      </c>
      <c r="J47" s="703" t="s">
        <v>337</v>
      </c>
      <c r="K47" s="704">
        <v>0</v>
      </c>
      <c r="L47" s="703" t="s">
        <v>334</v>
      </c>
      <c r="M47" s="702">
        <v>40574</v>
      </c>
      <c r="N47" s="702">
        <v>43115</v>
      </c>
      <c r="O47" s="703" t="s">
        <v>338</v>
      </c>
      <c r="P47" s="20">
        <v>17683.310000000001</v>
      </c>
      <c r="Q47" s="20">
        <v>0</v>
      </c>
      <c r="R47" s="20">
        <v>0</v>
      </c>
      <c r="S47" s="20">
        <v>0</v>
      </c>
      <c r="T47" s="20">
        <v>17683.310000000001</v>
      </c>
      <c r="U47" s="20">
        <v>15374.67</v>
      </c>
      <c r="V47" s="20">
        <v>-2308.64</v>
      </c>
      <c r="W47" s="20">
        <v>-2898.08</v>
      </c>
      <c r="X47" s="20">
        <v>-589.44000000000005</v>
      </c>
      <c r="Y47" s="20">
        <v>0</v>
      </c>
      <c r="Z47" s="20">
        <v>0</v>
      </c>
      <c r="AA47" s="20">
        <v>0</v>
      </c>
      <c r="AB47" s="20">
        <v>14785.23</v>
      </c>
      <c r="AC47" t="s">
        <v>188</v>
      </c>
      <c r="AD47" t="s">
        <v>290</v>
      </c>
      <c r="AE47" s="702">
        <f t="shared" si="0"/>
        <v>43252</v>
      </c>
      <c r="AF47" s="289">
        <v>29372.885357967254</v>
      </c>
      <c r="AG47">
        <f t="shared" si="1"/>
        <v>360</v>
      </c>
      <c r="AH47" s="289">
        <f t="shared" si="2"/>
        <v>81.59134821657571</v>
      </c>
      <c r="AJ47" s="289">
        <f t="shared" si="3"/>
        <v>54</v>
      </c>
      <c r="AK47" s="289">
        <f t="shared" si="4"/>
        <v>4405.9328036950883</v>
      </c>
    </row>
    <row r="48" spans="1:37">
      <c r="A48" s="703" t="s">
        <v>421</v>
      </c>
      <c r="B48" s="703" t="s">
        <v>331</v>
      </c>
      <c r="C48" s="703" t="s">
        <v>390</v>
      </c>
      <c r="D48" s="703" t="s">
        <v>391</v>
      </c>
      <c r="E48" s="703" t="s">
        <v>334</v>
      </c>
      <c r="F48" s="703" t="s">
        <v>335</v>
      </c>
      <c r="G48" s="703" t="s">
        <v>422</v>
      </c>
      <c r="H48" s="703" t="s">
        <v>334</v>
      </c>
      <c r="I48" s="703" t="s">
        <v>334</v>
      </c>
      <c r="J48" s="703" t="s">
        <v>337</v>
      </c>
      <c r="K48" s="704">
        <v>0</v>
      </c>
      <c r="L48" s="703" t="s">
        <v>334</v>
      </c>
      <c r="M48" s="702">
        <v>40574</v>
      </c>
      <c r="N48" s="702">
        <v>43115</v>
      </c>
      <c r="O48" s="703" t="s">
        <v>338</v>
      </c>
      <c r="P48" s="20">
        <v>5202.7700000000004</v>
      </c>
      <c r="Q48" s="20">
        <v>0</v>
      </c>
      <c r="R48" s="20">
        <v>0</v>
      </c>
      <c r="S48" s="20">
        <v>0</v>
      </c>
      <c r="T48" s="20">
        <v>5202.7700000000004</v>
      </c>
      <c r="U48" s="20">
        <v>4523.51</v>
      </c>
      <c r="V48" s="20">
        <v>-679.26</v>
      </c>
      <c r="W48" s="20">
        <v>-852.69</v>
      </c>
      <c r="X48" s="20">
        <v>-173.43</v>
      </c>
      <c r="Y48" s="20">
        <v>0</v>
      </c>
      <c r="Z48" s="20">
        <v>0</v>
      </c>
      <c r="AA48" s="20">
        <v>0</v>
      </c>
      <c r="AB48" s="20">
        <v>4350.08</v>
      </c>
      <c r="AC48" t="s">
        <v>188</v>
      </c>
      <c r="AD48" t="s">
        <v>290</v>
      </c>
      <c r="AE48" s="702">
        <f t="shared" si="0"/>
        <v>43252</v>
      </c>
      <c r="AF48" s="289">
        <v>8642.0679586497808</v>
      </c>
      <c r="AG48">
        <f t="shared" si="1"/>
        <v>360</v>
      </c>
      <c r="AH48" s="289">
        <f t="shared" si="2"/>
        <v>24.005744329582726</v>
      </c>
      <c r="AJ48" s="289">
        <f t="shared" si="3"/>
        <v>54</v>
      </c>
      <c r="AK48" s="289">
        <f t="shared" si="4"/>
        <v>1296.3101937974673</v>
      </c>
    </row>
    <row r="49" spans="1:37">
      <c r="A49" s="703" t="s">
        <v>423</v>
      </c>
      <c r="B49" s="703" t="s">
        <v>331</v>
      </c>
      <c r="C49" s="703" t="s">
        <v>390</v>
      </c>
      <c r="D49" s="703" t="s">
        <v>391</v>
      </c>
      <c r="E49" s="703" t="s">
        <v>334</v>
      </c>
      <c r="F49" s="703" t="s">
        <v>335</v>
      </c>
      <c r="G49" s="703" t="s">
        <v>424</v>
      </c>
      <c r="H49" s="703" t="s">
        <v>334</v>
      </c>
      <c r="I49" s="703" t="s">
        <v>334</v>
      </c>
      <c r="J49" s="703" t="s">
        <v>337</v>
      </c>
      <c r="K49" s="704">
        <v>0</v>
      </c>
      <c r="L49" s="703" t="s">
        <v>334</v>
      </c>
      <c r="M49" s="702">
        <v>42886</v>
      </c>
      <c r="N49" s="702">
        <v>43115</v>
      </c>
      <c r="O49" s="703" t="s">
        <v>338</v>
      </c>
      <c r="P49" s="20">
        <v>7474.4</v>
      </c>
      <c r="Q49" s="20">
        <v>0</v>
      </c>
      <c r="R49" s="20">
        <v>0</v>
      </c>
      <c r="S49" s="20">
        <v>0</v>
      </c>
      <c r="T49" s="20">
        <v>7474.4</v>
      </c>
      <c r="U49" s="20">
        <v>6498.57</v>
      </c>
      <c r="V49" s="20">
        <v>-975.83</v>
      </c>
      <c r="W49" s="20">
        <v>-1224.98</v>
      </c>
      <c r="X49" s="20">
        <v>-249.15</v>
      </c>
      <c r="Y49" s="20">
        <v>0</v>
      </c>
      <c r="Z49" s="20">
        <v>0</v>
      </c>
      <c r="AA49" s="20">
        <v>0</v>
      </c>
      <c r="AB49" s="20">
        <v>6249.42</v>
      </c>
      <c r="AC49" t="s">
        <v>188</v>
      </c>
      <c r="AD49" t="s">
        <v>290</v>
      </c>
      <c r="AE49" s="702">
        <f t="shared" si="0"/>
        <v>43252</v>
      </c>
      <c r="AF49" s="289">
        <v>12415.361961057653</v>
      </c>
      <c r="AG49">
        <f t="shared" si="1"/>
        <v>360</v>
      </c>
      <c r="AH49" s="289">
        <f t="shared" si="2"/>
        <v>34.487116558493483</v>
      </c>
      <c r="AJ49" s="289">
        <f t="shared" si="3"/>
        <v>54</v>
      </c>
      <c r="AK49" s="289">
        <f t="shared" si="4"/>
        <v>1862.3042941586482</v>
      </c>
    </row>
    <row r="50" spans="1:37">
      <c r="A50" s="703" t="s">
        <v>425</v>
      </c>
      <c r="B50" s="703" t="s">
        <v>331</v>
      </c>
      <c r="C50" s="703" t="s">
        <v>390</v>
      </c>
      <c r="D50" s="703" t="s">
        <v>391</v>
      </c>
      <c r="E50" s="703" t="s">
        <v>334</v>
      </c>
      <c r="F50" s="703" t="s">
        <v>335</v>
      </c>
      <c r="G50" s="703" t="s">
        <v>426</v>
      </c>
      <c r="H50" s="703" t="s">
        <v>334</v>
      </c>
      <c r="I50" s="703" t="s">
        <v>334</v>
      </c>
      <c r="J50" s="703" t="s">
        <v>337</v>
      </c>
      <c r="K50" s="704">
        <v>0</v>
      </c>
      <c r="L50" s="703" t="s">
        <v>334</v>
      </c>
      <c r="M50" s="702">
        <v>42886</v>
      </c>
      <c r="N50" s="702">
        <v>43115</v>
      </c>
      <c r="O50" s="703" t="s">
        <v>338</v>
      </c>
      <c r="P50" s="20">
        <v>3297.17</v>
      </c>
      <c r="Q50" s="20">
        <v>0</v>
      </c>
      <c r="R50" s="20">
        <v>0</v>
      </c>
      <c r="S50" s="20">
        <v>0</v>
      </c>
      <c r="T50" s="20">
        <v>3297.17</v>
      </c>
      <c r="U50" s="20">
        <v>2866.69</v>
      </c>
      <c r="V50" s="20">
        <v>-430.48</v>
      </c>
      <c r="W50" s="20">
        <v>-540.39</v>
      </c>
      <c r="X50" s="20">
        <v>-109.91</v>
      </c>
      <c r="Y50" s="20">
        <v>0</v>
      </c>
      <c r="Z50" s="20">
        <v>0</v>
      </c>
      <c r="AA50" s="20">
        <v>0</v>
      </c>
      <c r="AB50" s="20">
        <v>2756.78</v>
      </c>
      <c r="AC50" t="s">
        <v>188</v>
      </c>
      <c r="AD50" t="s">
        <v>290</v>
      </c>
      <c r="AE50" s="702">
        <f t="shared" si="0"/>
        <v>43252</v>
      </c>
      <c r="AF50" s="289">
        <v>5476.7685696698682</v>
      </c>
      <c r="AG50">
        <f t="shared" si="1"/>
        <v>360</v>
      </c>
      <c r="AH50" s="289">
        <f t="shared" si="2"/>
        <v>15.213246026860745</v>
      </c>
      <c r="AJ50" s="289">
        <f t="shared" si="3"/>
        <v>54</v>
      </c>
      <c r="AK50" s="289">
        <f t="shared" si="4"/>
        <v>821.51528545048018</v>
      </c>
    </row>
    <row r="51" spans="1:37">
      <c r="A51" s="703" t="s">
        <v>427</v>
      </c>
      <c r="B51" s="703" t="s">
        <v>331</v>
      </c>
      <c r="C51" s="703" t="s">
        <v>390</v>
      </c>
      <c r="D51" s="703" t="s">
        <v>391</v>
      </c>
      <c r="E51" s="703" t="s">
        <v>334</v>
      </c>
      <c r="F51" s="703" t="s">
        <v>335</v>
      </c>
      <c r="G51" s="703" t="s">
        <v>428</v>
      </c>
      <c r="H51" s="703" t="s">
        <v>334</v>
      </c>
      <c r="I51" s="703" t="s">
        <v>334</v>
      </c>
      <c r="J51" s="703" t="s">
        <v>337</v>
      </c>
      <c r="K51" s="704">
        <v>0</v>
      </c>
      <c r="L51" s="703" t="s">
        <v>334</v>
      </c>
      <c r="M51" s="702">
        <v>40574</v>
      </c>
      <c r="N51" s="702">
        <v>43115</v>
      </c>
      <c r="O51" s="703" t="s">
        <v>338</v>
      </c>
      <c r="P51" s="20">
        <v>8873.44</v>
      </c>
      <c r="Q51" s="20">
        <v>0</v>
      </c>
      <c r="R51" s="20">
        <v>0</v>
      </c>
      <c r="S51" s="20">
        <v>0</v>
      </c>
      <c r="T51" s="20">
        <v>8873.44</v>
      </c>
      <c r="U51" s="20">
        <v>7714.97</v>
      </c>
      <c r="V51" s="20">
        <v>-1158.47</v>
      </c>
      <c r="W51" s="20">
        <v>-1454.25</v>
      </c>
      <c r="X51" s="20">
        <v>-295.77999999999997</v>
      </c>
      <c r="Y51" s="20">
        <v>0</v>
      </c>
      <c r="Z51" s="20">
        <v>0</v>
      </c>
      <c r="AA51" s="20">
        <v>0</v>
      </c>
      <c r="AB51" s="20">
        <v>7419.19</v>
      </c>
      <c r="AC51" t="s">
        <v>188</v>
      </c>
      <c r="AD51" t="s">
        <v>290</v>
      </c>
      <c r="AE51" s="702">
        <f t="shared" si="0"/>
        <v>43252</v>
      </c>
      <c r="AF51" s="289">
        <v>14739.239195082873</v>
      </c>
      <c r="AG51">
        <f t="shared" si="1"/>
        <v>360</v>
      </c>
      <c r="AH51" s="289">
        <f t="shared" si="2"/>
        <v>40.942331097452424</v>
      </c>
      <c r="AJ51" s="289">
        <f t="shared" si="3"/>
        <v>54</v>
      </c>
      <c r="AK51" s="289">
        <f t="shared" si="4"/>
        <v>2210.885879262431</v>
      </c>
    </row>
    <row r="52" spans="1:37">
      <c r="A52" s="703" t="s">
        <v>429</v>
      </c>
      <c r="B52" s="703" t="s">
        <v>331</v>
      </c>
      <c r="C52" s="703" t="s">
        <v>390</v>
      </c>
      <c r="D52" s="703" t="s">
        <v>391</v>
      </c>
      <c r="E52" s="703" t="s">
        <v>334</v>
      </c>
      <c r="F52" s="703" t="s">
        <v>335</v>
      </c>
      <c r="G52" s="703" t="s">
        <v>430</v>
      </c>
      <c r="H52" s="703" t="s">
        <v>334</v>
      </c>
      <c r="I52" s="703" t="s">
        <v>334</v>
      </c>
      <c r="J52" s="703" t="s">
        <v>337</v>
      </c>
      <c r="K52" s="704">
        <v>0</v>
      </c>
      <c r="L52" s="703" t="s">
        <v>334</v>
      </c>
      <c r="M52" s="702">
        <v>40574</v>
      </c>
      <c r="N52" s="702">
        <v>43115</v>
      </c>
      <c r="O52" s="703" t="s">
        <v>338</v>
      </c>
      <c r="P52" s="20">
        <v>3220.92</v>
      </c>
      <c r="Q52" s="20">
        <v>0</v>
      </c>
      <c r="R52" s="20">
        <v>0</v>
      </c>
      <c r="S52" s="20">
        <v>0</v>
      </c>
      <c r="T52" s="20">
        <v>3220.92</v>
      </c>
      <c r="U52" s="20">
        <v>2800.42</v>
      </c>
      <c r="V52" s="20">
        <v>-420.5</v>
      </c>
      <c r="W52" s="20">
        <v>-527.86</v>
      </c>
      <c r="X52" s="20">
        <v>-107.36</v>
      </c>
      <c r="Y52" s="20">
        <v>0</v>
      </c>
      <c r="Z52" s="20">
        <v>0</v>
      </c>
      <c r="AA52" s="20">
        <v>0</v>
      </c>
      <c r="AB52" s="20">
        <v>2693.06</v>
      </c>
      <c r="AC52" t="s">
        <v>188</v>
      </c>
      <c r="AD52" t="s">
        <v>290</v>
      </c>
      <c r="AE52" s="702">
        <f t="shared" si="0"/>
        <v>43252</v>
      </c>
      <c r="AF52" s="289">
        <v>5350.1134067764397</v>
      </c>
      <c r="AG52">
        <f t="shared" si="1"/>
        <v>360</v>
      </c>
      <c r="AH52" s="289">
        <f t="shared" si="2"/>
        <v>14.861426129934555</v>
      </c>
      <c r="AJ52" s="289">
        <f t="shared" si="3"/>
        <v>54</v>
      </c>
      <c r="AK52" s="289">
        <f t="shared" si="4"/>
        <v>802.51701101646597</v>
      </c>
    </row>
    <row r="53" spans="1:37">
      <c r="A53" s="703" t="s">
        <v>431</v>
      </c>
      <c r="B53" s="703" t="s">
        <v>331</v>
      </c>
      <c r="C53" s="703" t="s">
        <v>390</v>
      </c>
      <c r="D53" s="703" t="s">
        <v>391</v>
      </c>
      <c r="E53" s="703" t="s">
        <v>334</v>
      </c>
      <c r="F53" s="703" t="s">
        <v>335</v>
      </c>
      <c r="G53" s="703" t="s">
        <v>432</v>
      </c>
      <c r="H53" s="703" t="s">
        <v>334</v>
      </c>
      <c r="I53" s="703" t="s">
        <v>334</v>
      </c>
      <c r="J53" s="703" t="s">
        <v>337</v>
      </c>
      <c r="K53" s="704">
        <v>0</v>
      </c>
      <c r="L53" s="703" t="s">
        <v>334</v>
      </c>
      <c r="M53" s="702">
        <v>42886</v>
      </c>
      <c r="N53" s="702">
        <v>43115</v>
      </c>
      <c r="O53" s="703" t="s">
        <v>338</v>
      </c>
      <c r="P53" s="20">
        <v>1796.64</v>
      </c>
      <c r="Q53" s="20">
        <v>0</v>
      </c>
      <c r="R53" s="20">
        <v>0</v>
      </c>
      <c r="S53" s="20">
        <v>0</v>
      </c>
      <c r="T53" s="20">
        <v>1796.64</v>
      </c>
      <c r="U53" s="20">
        <v>1562.07</v>
      </c>
      <c r="V53" s="20">
        <v>-234.57</v>
      </c>
      <c r="W53" s="20">
        <v>-294.45999999999998</v>
      </c>
      <c r="X53" s="20">
        <v>-59.89</v>
      </c>
      <c r="Y53" s="20">
        <v>0</v>
      </c>
      <c r="Z53" s="20">
        <v>0</v>
      </c>
      <c r="AA53" s="20">
        <v>0</v>
      </c>
      <c r="AB53" s="20">
        <v>1502.18</v>
      </c>
      <c r="AC53" t="s">
        <v>188</v>
      </c>
      <c r="AD53" t="s">
        <v>290</v>
      </c>
      <c r="AE53" s="702">
        <f t="shared" si="0"/>
        <v>43252</v>
      </c>
      <c r="AF53" s="289">
        <v>2984.3112375193491</v>
      </c>
      <c r="AG53">
        <f t="shared" si="1"/>
        <v>360</v>
      </c>
      <c r="AH53" s="289">
        <f t="shared" si="2"/>
        <v>8.2897534375537472</v>
      </c>
      <c r="AJ53" s="289">
        <f t="shared" si="3"/>
        <v>54</v>
      </c>
      <c r="AK53" s="289">
        <f t="shared" si="4"/>
        <v>447.64668562790234</v>
      </c>
    </row>
    <row r="54" spans="1:37">
      <c r="A54" s="703" t="s">
        <v>433</v>
      </c>
      <c r="B54" s="703" t="s">
        <v>331</v>
      </c>
      <c r="C54" s="703" t="s">
        <v>390</v>
      </c>
      <c r="D54" s="703" t="s">
        <v>391</v>
      </c>
      <c r="E54" s="703" t="s">
        <v>334</v>
      </c>
      <c r="F54" s="703" t="s">
        <v>335</v>
      </c>
      <c r="G54" s="703" t="s">
        <v>434</v>
      </c>
      <c r="H54" s="703" t="s">
        <v>334</v>
      </c>
      <c r="I54" s="703" t="s">
        <v>334</v>
      </c>
      <c r="J54" s="703" t="s">
        <v>337</v>
      </c>
      <c r="K54" s="704">
        <v>0</v>
      </c>
      <c r="L54" s="703" t="s">
        <v>334</v>
      </c>
      <c r="M54" s="702">
        <v>40574</v>
      </c>
      <c r="N54" s="702">
        <v>43115</v>
      </c>
      <c r="O54" s="703" t="s">
        <v>338</v>
      </c>
      <c r="P54" s="20">
        <v>8658.32</v>
      </c>
      <c r="Q54" s="20">
        <v>0</v>
      </c>
      <c r="R54" s="20">
        <v>0</v>
      </c>
      <c r="S54" s="20">
        <v>0</v>
      </c>
      <c r="T54" s="20">
        <v>8658.32</v>
      </c>
      <c r="U54" s="20">
        <v>7527.93</v>
      </c>
      <c r="V54" s="20">
        <v>-1130.3900000000001</v>
      </c>
      <c r="W54" s="20">
        <v>-1419</v>
      </c>
      <c r="X54" s="20">
        <v>-288.61</v>
      </c>
      <c r="Y54" s="20">
        <v>0</v>
      </c>
      <c r="Z54" s="20">
        <v>0</v>
      </c>
      <c r="AA54" s="20">
        <v>0</v>
      </c>
      <c r="AB54" s="20">
        <v>7239.32</v>
      </c>
      <c r="AC54" t="s">
        <v>188</v>
      </c>
      <c r="AD54" t="s">
        <v>290</v>
      </c>
      <c r="AE54" s="702">
        <f t="shared" si="0"/>
        <v>43252</v>
      </c>
      <c r="AF54" s="289">
        <v>14381.913835848321</v>
      </c>
      <c r="AG54">
        <f t="shared" si="1"/>
        <v>360</v>
      </c>
      <c r="AH54" s="289">
        <f t="shared" si="2"/>
        <v>39.949760655134227</v>
      </c>
      <c r="AJ54" s="289">
        <f t="shared" si="3"/>
        <v>54</v>
      </c>
      <c r="AK54" s="289">
        <f t="shared" si="4"/>
        <v>2157.2870753772481</v>
      </c>
    </row>
    <row r="55" spans="1:37">
      <c r="A55" s="703" t="s">
        <v>435</v>
      </c>
      <c r="B55" s="703" t="s">
        <v>331</v>
      </c>
      <c r="C55" s="703" t="s">
        <v>390</v>
      </c>
      <c r="D55" s="703" t="s">
        <v>391</v>
      </c>
      <c r="E55" s="703" t="s">
        <v>334</v>
      </c>
      <c r="F55" s="703" t="s">
        <v>335</v>
      </c>
      <c r="G55" s="703" t="s">
        <v>436</v>
      </c>
      <c r="H55" s="703" t="s">
        <v>334</v>
      </c>
      <c r="I55" s="703" t="s">
        <v>334</v>
      </c>
      <c r="J55" s="703" t="s">
        <v>337</v>
      </c>
      <c r="K55" s="704">
        <v>0</v>
      </c>
      <c r="L55" s="703" t="s">
        <v>334</v>
      </c>
      <c r="M55" s="702">
        <v>40574</v>
      </c>
      <c r="N55" s="702">
        <v>43115</v>
      </c>
      <c r="O55" s="703" t="s">
        <v>338</v>
      </c>
      <c r="P55" s="20">
        <v>2881.49</v>
      </c>
      <c r="Q55" s="20">
        <v>0</v>
      </c>
      <c r="R55" s="20">
        <v>0</v>
      </c>
      <c r="S55" s="20">
        <v>0</v>
      </c>
      <c r="T55" s="20">
        <v>2881.49</v>
      </c>
      <c r="U55" s="20">
        <v>2505.29</v>
      </c>
      <c r="V55" s="20">
        <v>-376.2</v>
      </c>
      <c r="W55" s="20">
        <v>-472.25</v>
      </c>
      <c r="X55" s="20">
        <v>-96.05</v>
      </c>
      <c r="Y55" s="20">
        <v>0</v>
      </c>
      <c r="Z55" s="20">
        <v>0</v>
      </c>
      <c r="AA55" s="20">
        <v>0</v>
      </c>
      <c r="AB55" s="20">
        <v>2409.2399999999998</v>
      </c>
      <c r="AC55" t="s">
        <v>188</v>
      </c>
      <c r="AD55" t="s">
        <v>290</v>
      </c>
      <c r="AE55" s="702">
        <f t="shared" si="0"/>
        <v>43252</v>
      </c>
      <c r="AF55" s="289">
        <v>4786.3027583709754</v>
      </c>
      <c r="AG55">
        <f t="shared" si="1"/>
        <v>360</v>
      </c>
      <c r="AH55" s="289">
        <f t="shared" si="2"/>
        <v>13.295285439919375</v>
      </c>
      <c r="AJ55" s="289">
        <f t="shared" si="3"/>
        <v>54</v>
      </c>
      <c r="AK55" s="289">
        <f t="shared" si="4"/>
        <v>717.94541375564631</v>
      </c>
    </row>
    <row r="56" spans="1:37">
      <c r="A56" s="703" t="s">
        <v>437</v>
      </c>
      <c r="B56" s="703" t="s">
        <v>331</v>
      </c>
      <c r="C56" s="703" t="s">
        <v>390</v>
      </c>
      <c r="D56" s="703" t="s">
        <v>391</v>
      </c>
      <c r="E56" s="703" t="s">
        <v>334</v>
      </c>
      <c r="F56" s="703" t="s">
        <v>335</v>
      </c>
      <c r="G56" s="703" t="s">
        <v>438</v>
      </c>
      <c r="H56" s="703" t="s">
        <v>334</v>
      </c>
      <c r="I56" s="703" t="s">
        <v>334</v>
      </c>
      <c r="J56" s="703" t="s">
        <v>337</v>
      </c>
      <c r="K56" s="704">
        <v>0</v>
      </c>
      <c r="L56" s="703" t="s">
        <v>334</v>
      </c>
      <c r="M56" s="702">
        <v>42886</v>
      </c>
      <c r="N56" s="702">
        <v>43115</v>
      </c>
      <c r="O56" s="703" t="s">
        <v>338</v>
      </c>
      <c r="P56" s="20">
        <v>6784.28</v>
      </c>
      <c r="Q56" s="20">
        <v>0</v>
      </c>
      <c r="R56" s="20">
        <v>0</v>
      </c>
      <c r="S56" s="20">
        <v>0</v>
      </c>
      <c r="T56" s="20">
        <v>6784.28</v>
      </c>
      <c r="U56" s="20">
        <v>5898.56</v>
      </c>
      <c r="V56" s="20">
        <v>-885.72</v>
      </c>
      <c r="W56" s="20">
        <v>-1111.8599999999999</v>
      </c>
      <c r="X56" s="20">
        <v>-226.14</v>
      </c>
      <c r="Y56" s="20">
        <v>0</v>
      </c>
      <c r="Z56" s="20">
        <v>0</v>
      </c>
      <c r="AA56" s="20">
        <v>0</v>
      </c>
      <c r="AB56" s="20">
        <v>5672.42</v>
      </c>
      <c r="AC56" t="s">
        <v>188</v>
      </c>
      <c r="AD56" t="s">
        <v>290</v>
      </c>
      <c r="AE56" s="702">
        <f t="shared" si="0"/>
        <v>43252</v>
      </c>
      <c r="AF56" s="289">
        <v>11269.037226421413</v>
      </c>
      <c r="AG56">
        <f t="shared" si="1"/>
        <v>360</v>
      </c>
      <c r="AH56" s="289">
        <f t="shared" si="2"/>
        <v>31.302881184503924</v>
      </c>
      <c r="AJ56" s="289">
        <f t="shared" si="3"/>
        <v>54</v>
      </c>
      <c r="AK56" s="289">
        <f t="shared" si="4"/>
        <v>1690.355583963212</v>
      </c>
    </row>
    <row r="57" spans="1:37">
      <c r="A57" s="703" t="s">
        <v>439</v>
      </c>
      <c r="B57" s="703" t="s">
        <v>331</v>
      </c>
      <c r="C57" s="703" t="s">
        <v>390</v>
      </c>
      <c r="D57" s="703" t="s">
        <v>391</v>
      </c>
      <c r="E57" s="703" t="s">
        <v>334</v>
      </c>
      <c r="F57" s="703" t="s">
        <v>335</v>
      </c>
      <c r="G57" s="703" t="s">
        <v>440</v>
      </c>
      <c r="H57" s="703" t="s">
        <v>334</v>
      </c>
      <c r="I57" s="703" t="s">
        <v>334</v>
      </c>
      <c r="J57" s="703" t="s">
        <v>337</v>
      </c>
      <c r="K57" s="704">
        <v>0</v>
      </c>
      <c r="L57" s="703" t="s">
        <v>334</v>
      </c>
      <c r="M57" s="702">
        <v>42886</v>
      </c>
      <c r="N57" s="702">
        <v>43115</v>
      </c>
      <c r="O57" s="703" t="s">
        <v>338</v>
      </c>
      <c r="P57" s="20">
        <v>1345.14</v>
      </c>
      <c r="Q57" s="20">
        <v>0</v>
      </c>
      <c r="R57" s="20">
        <v>0</v>
      </c>
      <c r="S57" s="20">
        <v>0</v>
      </c>
      <c r="T57" s="20">
        <v>1345.14</v>
      </c>
      <c r="U57" s="20">
        <v>1169.52</v>
      </c>
      <c r="V57" s="20">
        <v>-175.62</v>
      </c>
      <c r="W57" s="20">
        <v>-220.46</v>
      </c>
      <c r="X57" s="20">
        <v>-44.84</v>
      </c>
      <c r="Y57" s="20">
        <v>0</v>
      </c>
      <c r="Z57" s="20">
        <v>0</v>
      </c>
      <c r="AA57" s="20">
        <v>0</v>
      </c>
      <c r="AB57" s="20">
        <v>1124.68</v>
      </c>
      <c r="AC57" t="s">
        <v>188</v>
      </c>
      <c r="AD57" t="s">
        <v>290</v>
      </c>
      <c r="AE57" s="702">
        <f t="shared" si="0"/>
        <v>43252</v>
      </c>
      <c r="AF57" s="289">
        <v>2234.3465680585859</v>
      </c>
      <c r="AG57">
        <f t="shared" si="1"/>
        <v>360</v>
      </c>
      <c r="AH57" s="289">
        <f t="shared" si="2"/>
        <v>6.2065182446071834</v>
      </c>
      <c r="AJ57" s="289">
        <f t="shared" si="3"/>
        <v>54</v>
      </c>
      <c r="AK57" s="289">
        <f t="shared" si="4"/>
        <v>335.15198520878789</v>
      </c>
    </row>
    <row r="58" spans="1:37">
      <c r="A58" s="703" t="s">
        <v>441</v>
      </c>
      <c r="B58" s="703" t="s">
        <v>331</v>
      </c>
      <c r="C58" s="703" t="s">
        <v>390</v>
      </c>
      <c r="D58" s="703" t="s">
        <v>391</v>
      </c>
      <c r="E58" s="703" t="s">
        <v>334</v>
      </c>
      <c r="F58" s="703" t="s">
        <v>335</v>
      </c>
      <c r="G58" s="703" t="s">
        <v>442</v>
      </c>
      <c r="H58" s="703" t="s">
        <v>334</v>
      </c>
      <c r="I58" s="703" t="s">
        <v>334</v>
      </c>
      <c r="J58" s="703" t="s">
        <v>337</v>
      </c>
      <c r="K58" s="704">
        <v>0</v>
      </c>
      <c r="L58" s="703" t="s">
        <v>334</v>
      </c>
      <c r="M58" s="702">
        <v>42886</v>
      </c>
      <c r="N58" s="702">
        <v>43115</v>
      </c>
      <c r="O58" s="703" t="s">
        <v>338</v>
      </c>
      <c r="P58" s="20">
        <v>4493.6000000000004</v>
      </c>
      <c r="Q58" s="20">
        <v>0</v>
      </c>
      <c r="R58" s="20">
        <v>0</v>
      </c>
      <c r="S58" s="20">
        <v>0</v>
      </c>
      <c r="T58" s="20">
        <v>4493.6000000000004</v>
      </c>
      <c r="U58" s="20">
        <v>3906.93</v>
      </c>
      <c r="V58" s="20">
        <v>-586.66999999999996</v>
      </c>
      <c r="W58" s="20">
        <v>-736.46</v>
      </c>
      <c r="X58" s="20">
        <v>-149.79</v>
      </c>
      <c r="Y58" s="20">
        <v>0</v>
      </c>
      <c r="Z58" s="20">
        <v>0</v>
      </c>
      <c r="AA58" s="20">
        <v>0</v>
      </c>
      <c r="AB58" s="20">
        <v>3757.14</v>
      </c>
      <c r="AC58" t="s">
        <v>188</v>
      </c>
      <c r="AD58" t="s">
        <v>290</v>
      </c>
      <c r="AE58" s="702">
        <f t="shared" si="0"/>
        <v>43252</v>
      </c>
      <c r="AF58" s="289">
        <v>7464.1001964316429</v>
      </c>
      <c r="AG58">
        <f t="shared" si="1"/>
        <v>360</v>
      </c>
      <c r="AH58" s="289">
        <f t="shared" si="2"/>
        <v>20.733611656754565</v>
      </c>
      <c r="AJ58" s="289">
        <f t="shared" si="3"/>
        <v>54</v>
      </c>
      <c r="AK58" s="289">
        <f t="shared" si="4"/>
        <v>1119.6150294647466</v>
      </c>
    </row>
    <row r="59" spans="1:37">
      <c r="A59" s="703" t="s">
        <v>443</v>
      </c>
      <c r="B59" s="703" t="s">
        <v>331</v>
      </c>
      <c r="C59" s="703" t="s">
        <v>390</v>
      </c>
      <c r="D59" s="703" t="s">
        <v>391</v>
      </c>
      <c r="E59" s="703" t="s">
        <v>334</v>
      </c>
      <c r="F59" s="703" t="s">
        <v>335</v>
      </c>
      <c r="G59" s="703" t="s">
        <v>444</v>
      </c>
      <c r="H59" s="703" t="s">
        <v>334</v>
      </c>
      <c r="I59" s="703" t="s">
        <v>334</v>
      </c>
      <c r="J59" s="703" t="s">
        <v>337</v>
      </c>
      <c r="K59" s="704">
        <v>0</v>
      </c>
      <c r="L59" s="703" t="s">
        <v>334</v>
      </c>
      <c r="M59" s="702">
        <v>42886</v>
      </c>
      <c r="N59" s="702">
        <v>43115</v>
      </c>
      <c r="O59" s="703" t="s">
        <v>338</v>
      </c>
      <c r="P59" s="20">
        <v>40202.199999999997</v>
      </c>
      <c r="Q59" s="20">
        <v>0</v>
      </c>
      <c r="R59" s="20">
        <v>0</v>
      </c>
      <c r="S59" s="20">
        <v>0</v>
      </c>
      <c r="T59" s="20">
        <v>40202.199999999997</v>
      </c>
      <c r="U59" s="20">
        <v>34953.589999999997</v>
      </c>
      <c r="V59" s="20">
        <v>-5248.61</v>
      </c>
      <c r="W59" s="20">
        <v>-6588.68</v>
      </c>
      <c r="X59" s="20">
        <v>-1340.07</v>
      </c>
      <c r="Y59" s="20">
        <v>0</v>
      </c>
      <c r="Z59" s="20">
        <v>0</v>
      </c>
      <c r="AA59" s="20">
        <v>0</v>
      </c>
      <c r="AB59" s="20">
        <v>33613.519999999997</v>
      </c>
      <c r="AC59" t="s">
        <v>188</v>
      </c>
      <c r="AD59" t="s">
        <v>290</v>
      </c>
      <c r="AE59" s="702">
        <f t="shared" si="0"/>
        <v>43252</v>
      </c>
      <c r="AF59" s="289">
        <v>66777.917241629024</v>
      </c>
      <c r="AG59">
        <f t="shared" si="1"/>
        <v>360</v>
      </c>
      <c r="AH59" s="289">
        <f t="shared" si="2"/>
        <v>185.49421456008062</v>
      </c>
      <c r="AJ59" s="289">
        <f t="shared" si="3"/>
        <v>54</v>
      </c>
      <c r="AK59" s="289">
        <f t="shared" si="4"/>
        <v>10016.687586244354</v>
      </c>
    </row>
    <row r="60" spans="1:37">
      <c r="A60" s="703" t="s">
        <v>445</v>
      </c>
      <c r="B60" s="703" t="s">
        <v>331</v>
      </c>
      <c r="C60" s="703" t="s">
        <v>390</v>
      </c>
      <c r="D60" s="703" t="s">
        <v>391</v>
      </c>
      <c r="E60" s="703" t="s">
        <v>334</v>
      </c>
      <c r="F60" s="703" t="s">
        <v>335</v>
      </c>
      <c r="G60" s="703" t="s">
        <v>446</v>
      </c>
      <c r="H60" s="703" t="s">
        <v>334</v>
      </c>
      <c r="I60" s="703" t="s">
        <v>334</v>
      </c>
      <c r="J60" s="703" t="s">
        <v>337</v>
      </c>
      <c r="K60" s="704">
        <v>0</v>
      </c>
      <c r="L60" s="703" t="s">
        <v>334</v>
      </c>
      <c r="M60" s="702">
        <v>42794</v>
      </c>
      <c r="N60" s="702">
        <v>43115</v>
      </c>
      <c r="O60" s="703" t="s">
        <v>338</v>
      </c>
      <c r="P60" s="20">
        <v>1056.6300000000001</v>
      </c>
      <c r="Q60" s="20">
        <v>0</v>
      </c>
      <c r="R60" s="20">
        <v>0</v>
      </c>
      <c r="S60" s="20">
        <v>0</v>
      </c>
      <c r="T60" s="20">
        <v>1056.6300000000001</v>
      </c>
      <c r="U60" s="20">
        <v>918.68</v>
      </c>
      <c r="V60" s="20">
        <v>-137.94999999999999</v>
      </c>
      <c r="W60" s="20">
        <v>-173.17</v>
      </c>
      <c r="X60" s="20">
        <v>-35.22</v>
      </c>
      <c r="Y60" s="20">
        <v>0</v>
      </c>
      <c r="Z60" s="20">
        <v>0</v>
      </c>
      <c r="AA60" s="20">
        <v>0</v>
      </c>
      <c r="AB60" s="20">
        <v>883.46</v>
      </c>
      <c r="AC60" t="s">
        <v>188</v>
      </c>
      <c r="AD60" t="s">
        <v>290</v>
      </c>
      <c r="AE60" s="702">
        <f t="shared" si="0"/>
        <v>43252</v>
      </c>
      <c r="AF60" s="289">
        <v>1755.1166526961831</v>
      </c>
      <c r="AG60">
        <f t="shared" si="1"/>
        <v>360</v>
      </c>
      <c r="AH60" s="289">
        <f t="shared" si="2"/>
        <v>4.8753240352671749</v>
      </c>
      <c r="AJ60" s="289">
        <f t="shared" si="3"/>
        <v>54</v>
      </c>
      <c r="AK60" s="289">
        <f t="shared" si="4"/>
        <v>263.26749790442744</v>
      </c>
    </row>
    <row r="61" spans="1:37">
      <c r="A61" s="703" t="s">
        <v>447</v>
      </c>
      <c r="B61" s="703" t="s">
        <v>331</v>
      </c>
      <c r="C61" s="703" t="s">
        <v>390</v>
      </c>
      <c r="D61" s="703" t="s">
        <v>391</v>
      </c>
      <c r="E61" s="703" t="s">
        <v>334</v>
      </c>
      <c r="F61" s="703" t="s">
        <v>335</v>
      </c>
      <c r="G61" s="703" t="s">
        <v>448</v>
      </c>
      <c r="H61" s="703" t="s">
        <v>334</v>
      </c>
      <c r="I61" s="703" t="s">
        <v>334</v>
      </c>
      <c r="J61" s="703" t="s">
        <v>337</v>
      </c>
      <c r="K61" s="704">
        <v>0</v>
      </c>
      <c r="L61" s="703" t="s">
        <v>334</v>
      </c>
      <c r="M61" s="702">
        <v>42063</v>
      </c>
      <c r="N61" s="702">
        <v>43115</v>
      </c>
      <c r="O61" s="703" t="s">
        <v>338</v>
      </c>
      <c r="P61" s="20">
        <v>13706.37</v>
      </c>
      <c r="Q61" s="20">
        <v>0</v>
      </c>
      <c r="R61" s="20">
        <v>0</v>
      </c>
      <c r="S61" s="20">
        <v>0</v>
      </c>
      <c r="T61" s="20">
        <v>13706.37</v>
      </c>
      <c r="U61" s="20">
        <v>11916.92</v>
      </c>
      <c r="V61" s="20">
        <v>-1789.45</v>
      </c>
      <c r="W61" s="20">
        <v>-2246.33</v>
      </c>
      <c r="X61" s="20">
        <v>-456.88</v>
      </c>
      <c r="Y61" s="20">
        <v>0</v>
      </c>
      <c r="Z61" s="20">
        <v>0</v>
      </c>
      <c r="AA61" s="20">
        <v>0</v>
      </c>
      <c r="AB61" s="20">
        <v>11460.04</v>
      </c>
      <c r="AC61" t="s">
        <v>188</v>
      </c>
      <c r="AD61" t="s">
        <v>290</v>
      </c>
      <c r="AE61" s="702">
        <f t="shared" si="0"/>
        <v>43252</v>
      </c>
      <c r="AF61" s="289">
        <v>22766.983934788317</v>
      </c>
      <c r="AG61">
        <f t="shared" si="1"/>
        <v>360</v>
      </c>
      <c r="AH61" s="289">
        <f t="shared" si="2"/>
        <v>63.241622041078656</v>
      </c>
      <c r="AJ61" s="289">
        <f t="shared" si="3"/>
        <v>54</v>
      </c>
      <c r="AK61" s="289">
        <f t="shared" si="4"/>
        <v>3415.0475902182475</v>
      </c>
    </row>
    <row r="62" spans="1:37">
      <c r="A62" s="703" t="s">
        <v>449</v>
      </c>
      <c r="B62" s="703" t="s">
        <v>331</v>
      </c>
      <c r="C62" s="703" t="s">
        <v>390</v>
      </c>
      <c r="D62" s="703" t="s">
        <v>391</v>
      </c>
      <c r="E62" s="703" t="s">
        <v>334</v>
      </c>
      <c r="F62" s="703" t="s">
        <v>335</v>
      </c>
      <c r="G62" s="703" t="s">
        <v>450</v>
      </c>
      <c r="H62" s="703" t="s">
        <v>334</v>
      </c>
      <c r="I62" s="703" t="s">
        <v>334</v>
      </c>
      <c r="J62" s="703" t="s">
        <v>337</v>
      </c>
      <c r="K62" s="704">
        <v>0</v>
      </c>
      <c r="L62" s="703" t="s">
        <v>334</v>
      </c>
      <c r="M62" s="702">
        <v>42613</v>
      </c>
      <c r="N62" s="702">
        <v>43115</v>
      </c>
      <c r="O62" s="703" t="s">
        <v>338</v>
      </c>
      <c r="P62" s="20">
        <v>6054.44</v>
      </c>
      <c r="Q62" s="20">
        <v>0</v>
      </c>
      <c r="R62" s="20">
        <v>0</v>
      </c>
      <c r="S62" s="20">
        <v>0</v>
      </c>
      <c r="T62" s="20">
        <v>6054.44</v>
      </c>
      <c r="U62" s="20">
        <v>5264.01</v>
      </c>
      <c r="V62" s="20">
        <v>-790.43</v>
      </c>
      <c r="W62" s="20">
        <v>-992.24</v>
      </c>
      <c r="X62" s="20">
        <v>-201.81</v>
      </c>
      <c r="Y62" s="20">
        <v>0</v>
      </c>
      <c r="Z62" s="20">
        <v>0</v>
      </c>
      <c r="AA62" s="20">
        <v>0</v>
      </c>
      <c r="AB62" s="20">
        <v>5062.2</v>
      </c>
      <c r="AC62" t="s">
        <v>188</v>
      </c>
      <c r="AD62" t="s">
        <v>290</v>
      </c>
      <c r="AE62" s="702">
        <f t="shared" si="0"/>
        <v>43252</v>
      </c>
      <c r="AF62" s="289">
        <v>10056.735533488427</v>
      </c>
      <c r="AG62">
        <f t="shared" si="1"/>
        <v>360</v>
      </c>
      <c r="AH62" s="289">
        <f t="shared" si="2"/>
        <v>27.935376481912296</v>
      </c>
      <c r="AJ62" s="289">
        <f t="shared" si="3"/>
        <v>54</v>
      </c>
      <c r="AK62" s="289">
        <f t="shared" si="4"/>
        <v>1508.510330023264</v>
      </c>
    </row>
    <row r="63" spans="1:37">
      <c r="A63" s="703" t="s">
        <v>451</v>
      </c>
      <c r="B63" s="703" t="s">
        <v>331</v>
      </c>
      <c r="C63" s="703" t="s">
        <v>390</v>
      </c>
      <c r="D63" s="703" t="s">
        <v>391</v>
      </c>
      <c r="E63" s="703" t="s">
        <v>334</v>
      </c>
      <c r="F63" s="703" t="s">
        <v>335</v>
      </c>
      <c r="G63" s="703" t="s">
        <v>452</v>
      </c>
      <c r="H63" s="703" t="s">
        <v>334</v>
      </c>
      <c r="I63" s="703" t="s">
        <v>334</v>
      </c>
      <c r="J63" s="703" t="s">
        <v>337</v>
      </c>
      <c r="K63" s="704">
        <v>0</v>
      </c>
      <c r="L63" s="703" t="s">
        <v>334</v>
      </c>
      <c r="M63" s="702">
        <v>40574</v>
      </c>
      <c r="N63" s="702">
        <v>43115</v>
      </c>
      <c r="O63" s="703" t="s">
        <v>338</v>
      </c>
      <c r="P63" s="20">
        <v>4832.2700000000004</v>
      </c>
      <c r="Q63" s="20">
        <v>0</v>
      </c>
      <c r="R63" s="20">
        <v>0</v>
      </c>
      <c r="S63" s="20">
        <v>0</v>
      </c>
      <c r="T63" s="20">
        <v>4832.2700000000004</v>
      </c>
      <c r="U63" s="20">
        <v>4201.38</v>
      </c>
      <c r="V63" s="20">
        <v>-630.89</v>
      </c>
      <c r="W63" s="20">
        <v>-791.97</v>
      </c>
      <c r="X63" s="20">
        <v>-161.08000000000001</v>
      </c>
      <c r="Y63" s="20">
        <v>0</v>
      </c>
      <c r="Z63" s="20">
        <v>0</v>
      </c>
      <c r="AA63" s="20">
        <v>0</v>
      </c>
      <c r="AB63" s="20">
        <v>4040.3</v>
      </c>
      <c r="AC63" t="s">
        <v>188</v>
      </c>
      <c r="AD63" t="s">
        <v>290</v>
      </c>
      <c r="AE63" s="702">
        <f t="shared" si="0"/>
        <v>43252</v>
      </c>
      <c r="AF63" s="289">
        <v>8026.6484458364648</v>
      </c>
      <c r="AG63">
        <f t="shared" si="1"/>
        <v>360</v>
      </c>
      <c r="AH63" s="289">
        <f t="shared" si="2"/>
        <v>22.296245682879068</v>
      </c>
      <c r="AJ63" s="289">
        <f t="shared" si="3"/>
        <v>54</v>
      </c>
      <c r="AK63" s="289">
        <f t="shared" si="4"/>
        <v>1203.9972668754697</v>
      </c>
    </row>
    <row r="64" spans="1:37">
      <c r="A64" s="703" t="s">
        <v>453</v>
      </c>
      <c r="B64" s="703" t="s">
        <v>331</v>
      </c>
      <c r="C64" s="703" t="s">
        <v>454</v>
      </c>
      <c r="D64" s="703" t="s">
        <v>334</v>
      </c>
      <c r="E64" s="703" t="s">
        <v>334</v>
      </c>
      <c r="F64" s="703" t="s">
        <v>455</v>
      </c>
      <c r="G64" s="703" t="s">
        <v>456</v>
      </c>
      <c r="H64" s="703" t="s">
        <v>457</v>
      </c>
      <c r="I64" s="703" t="s">
        <v>334</v>
      </c>
      <c r="J64" s="703" t="s">
        <v>458</v>
      </c>
      <c r="K64" s="704">
        <v>0</v>
      </c>
      <c r="L64" s="703" t="s">
        <v>334</v>
      </c>
      <c r="M64" s="702"/>
      <c r="N64" s="702">
        <v>43131</v>
      </c>
      <c r="O64" s="703" t="s">
        <v>338</v>
      </c>
      <c r="P64" s="20">
        <v>62352.68</v>
      </c>
      <c r="Q64" s="20">
        <v>0</v>
      </c>
      <c r="R64" s="20">
        <v>0</v>
      </c>
      <c r="S64" s="20">
        <v>0</v>
      </c>
      <c r="T64" s="20">
        <v>62352.68</v>
      </c>
      <c r="U64" s="20">
        <v>51436.01</v>
      </c>
      <c r="V64" s="20">
        <v>-10916.67</v>
      </c>
      <c r="W64" s="20">
        <v>-14034.3</v>
      </c>
      <c r="X64" s="20">
        <v>-3117.63</v>
      </c>
      <c r="Y64" s="20">
        <v>0</v>
      </c>
      <c r="Z64" s="20">
        <v>0</v>
      </c>
      <c r="AA64" s="20">
        <v>0</v>
      </c>
      <c r="AB64" s="20">
        <v>48318.38</v>
      </c>
      <c r="AC64" t="s">
        <v>459</v>
      </c>
      <c r="AD64" t="s">
        <v>290</v>
      </c>
      <c r="AE64" s="702">
        <f t="shared" si="0"/>
        <v>43252</v>
      </c>
      <c r="AF64" s="289">
        <v>103571.00120972925</v>
      </c>
      <c r="AG64">
        <f t="shared" si="1"/>
        <v>360</v>
      </c>
      <c r="AH64" s="289">
        <f t="shared" si="2"/>
        <v>287.69722558258127</v>
      </c>
      <c r="AJ64" s="289">
        <f t="shared" si="3"/>
        <v>54</v>
      </c>
      <c r="AK64" s="289">
        <f t="shared" si="4"/>
        <v>15535.650181459388</v>
      </c>
    </row>
    <row r="65" spans="1:37">
      <c r="A65" s="703" t="s">
        <v>460</v>
      </c>
      <c r="B65" s="703" t="s">
        <v>331</v>
      </c>
      <c r="C65" s="703" t="s">
        <v>454</v>
      </c>
      <c r="D65" s="703" t="s">
        <v>334</v>
      </c>
      <c r="E65" s="703" t="s">
        <v>334</v>
      </c>
      <c r="F65" s="703" t="s">
        <v>455</v>
      </c>
      <c r="G65" s="703" t="s">
        <v>461</v>
      </c>
      <c r="H65" s="703" t="s">
        <v>462</v>
      </c>
      <c r="I65" s="703" t="s">
        <v>334</v>
      </c>
      <c r="J65" s="703" t="s">
        <v>458</v>
      </c>
      <c r="K65" s="704">
        <v>40</v>
      </c>
      <c r="L65" s="703" t="s">
        <v>463</v>
      </c>
      <c r="M65" s="702"/>
      <c r="N65" s="702">
        <v>43131</v>
      </c>
      <c r="O65" s="703" t="s">
        <v>338</v>
      </c>
      <c r="P65" s="20">
        <v>423478.98</v>
      </c>
      <c r="Q65" s="20">
        <v>0</v>
      </c>
      <c r="R65" s="20">
        <v>0</v>
      </c>
      <c r="S65" s="20">
        <v>0</v>
      </c>
      <c r="T65" s="20">
        <v>423478.98</v>
      </c>
      <c r="U65" s="20">
        <v>353164.64</v>
      </c>
      <c r="V65" s="20">
        <v>-70314.34</v>
      </c>
      <c r="W65" s="20">
        <v>-91488.29</v>
      </c>
      <c r="X65" s="20">
        <v>-21173.95</v>
      </c>
      <c r="Y65" s="20">
        <v>0</v>
      </c>
      <c r="Z65" s="20">
        <v>0</v>
      </c>
      <c r="AA65" s="20">
        <v>0</v>
      </c>
      <c r="AB65" s="20">
        <v>331990.69</v>
      </c>
      <c r="AC65" t="s">
        <v>459</v>
      </c>
      <c r="AD65" t="s">
        <v>290</v>
      </c>
      <c r="AE65" s="702">
        <f t="shared" si="0"/>
        <v>43252</v>
      </c>
      <c r="AF65" s="289">
        <v>703420.31729630404</v>
      </c>
      <c r="AG65">
        <f t="shared" si="1"/>
        <v>360</v>
      </c>
      <c r="AH65" s="289">
        <f t="shared" si="2"/>
        <v>1953.9453258230667</v>
      </c>
      <c r="AJ65" s="289">
        <f t="shared" si="3"/>
        <v>54</v>
      </c>
      <c r="AK65" s="289">
        <f t="shared" si="4"/>
        <v>105513.0475944456</v>
      </c>
    </row>
    <row r="66" spans="1:37">
      <c r="A66" s="703" t="s">
        <v>464</v>
      </c>
      <c r="B66" s="703" t="s">
        <v>331</v>
      </c>
      <c r="C66" s="703" t="s">
        <v>454</v>
      </c>
      <c r="D66" s="703" t="s">
        <v>334</v>
      </c>
      <c r="E66" s="703" t="s">
        <v>334</v>
      </c>
      <c r="F66" s="703" t="s">
        <v>455</v>
      </c>
      <c r="G66" s="703" t="s">
        <v>465</v>
      </c>
      <c r="H66" s="703" t="s">
        <v>334</v>
      </c>
      <c r="I66" s="703" t="s">
        <v>334</v>
      </c>
      <c r="J66" s="703" t="s">
        <v>458</v>
      </c>
      <c r="K66" s="704">
        <v>6974</v>
      </c>
      <c r="L66" s="703" t="s">
        <v>463</v>
      </c>
      <c r="M66" s="702"/>
      <c r="N66" s="702">
        <v>43131</v>
      </c>
      <c r="O66" s="703" t="s">
        <v>338</v>
      </c>
      <c r="P66" s="20">
        <v>4651809.41</v>
      </c>
      <c r="Q66" s="20">
        <v>0</v>
      </c>
      <c r="R66" s="20">
        <v>0</v>
      </c>
      <c r="S66" s="20">
        <v>0</v>
      </c>
      <c r="T66" s="20">
        <v>4651809.41</v>
      </c>
      <c r="U66" s="20">
        <v>3837420.81</v>
      </c>
      <c r="V66" s="20">
        <v>-814388.6</v>
      </c>
      <c r="W66" s="20">
        <v>-1046979.07</v>
      </c>
      <c r="X66" s="20">
        <v>-232590.47</v>
      </c>
      <c r="Y66" s="20">
        <v>0</v>
      </c>
      <c r="Z66" s="20">
        <v>0</v>
      </c>
      <c r="AA66" s="20">
        <v>0</v>
      </c>
      <c r="AB66" s="20">
        <v>3604830.34</v>
      </c>
      <c r="AC66" t="s">
        <v>459</v>
      </c>
      <c r="AD66" t="s">
        <v>290</v>
      </c>
      <c r="AE66" s="702">
        <f t="shared" si="0"/>
        <v>43252</v>
      </c>
      <c r="AF66" s="289">
        <v>7726894.1452162117</v>
      </c>
      <c r="AG66">
        <f t="shared" si="1"/>
        <v>360</v>
      </c>
      <c r="AH66" s="289">
        <f t="shared" si="2"/>
        <v>21463.594847822809</v>
      </c>
      <c r="AJ66" s="289">
        <f t="shared" si="3"/>
        <v>54</v>
      </c>
      <c r="AK66" s="289">
        <f t="shared" si="4"/>
        <v>1159034.1217824316</v>
      </c>
    </row>
    <row r="67" spans="1:37">
      <c r="A67" s="703" t="s">
        <v>466</v>
      </c>
      <c r="B67" s="703" t="s">
        <v>331</v>
      </c>
      <c r="C67" s="703" t="s">
        <v>454</v>
      </c>
      <c r="D67" s="703" t="s">
        <v>467</v>
      </c>
      <c r="E67" s="703" t="s">
        <v>334</v>
      </c>
      <c r="F67" s="703" t="s">
        <v>455</v>
      </c>
      <c r="G67" s="703" t="s">
        <v>468</v>
      </c>
      <c r="H67" s="703" t="s">
        <v>334</v>
      </c>
      <c r="I67" s="703" t="s">
        <v>334</v>
      </c>
      <c r="J67" s="703" t="s">
        <v>458</v>
      </c>
      <c r="K67" s="704">
        <v>5</v>
      </c>
      <c r="L67" s="703" t="s">
        <v>463</v>
      </c>
      <c r="M67" s="702"/>
      <c r="N67" s="702">
        <v>43131</v>
      </c>
      <c r="O67" s="703" t="s">
        <v>338</v>
      </c>
      <c r="P67" s="20">
        <v>12568.94</v>
      </c>
      <c r="Q67" s="20">
        <v>0</v>
      </c>
      <c r="R67" s="20">
        <v>0</v>
      </c>
      <c r="S67" s="20">
        <v>0</v>
      </c>
      <c r="T67" s="20">
        <v>12568.94</v>
      </c>
      <c r="U67" s="20">
        <v>10196.9</v>
      </c>
      <c r="V67" s="20">
        <v>-2372.04</v>
      </c>
      <c r="W67" s="20">
        <v>-3000.49</v>
      </c>
      <c r="X67" s="20">
        <v>-628.45000000000005</v>
      </c>
      <c r="Y67" s="20">
        <v>0</v>
      </c>
      <c r="Z67" s="20">
        <v>0</v>
      </c>
      <c r="AA67" s="20">
        <v>0</v>
      </c>
      <c r="AB67" s="20">
        <v>9568.4500000000007</v>
      </c>
      <c r="AC67" t="s">
        <v>459</v>
      </c>
      <c r="AD67" t="s">
        <v>290</v>
      </c>
      <c r="AE67" s="702">
        <f t="shared" si="0"/>
        <v>43252</v>
      </c>
      <c r="AF67" s="289">
        <v>20877.654335708015</v>
      </c>
      <c r="AG67">
        <f t="shared" si="1"/>
        <v>360</v>
      </c>
      <c r="AH67" s="289">
        <f t="shared" si="2"/>
        <v>57.993484265855599</v>
      </c>
      <c r="AJ67" s="289">
        <f t="shared" si="3"/>
        <v>54</v>
      </c>
      <c r="AK67" s="289">
        <f t="shared" si="4"/>
        <v>3131.6481503562022</v>
      </c>
    </row>
    <row r="68" spans="1:37">
      <c r="A68" s="703" t="s">
        <v>469</v>
      </c>
      <c r="B68" s="703" t="s">
        <v>331</v>
      </c>
      <c r="C68" s="703" t="s">
        <v>454</v>
      </c>
      <c r="D68" s="703" t="s">
        <v>467</v>
      </c>
      <c r="E68" s="703" t="s">
        <v>334</v>
      </c>
      <c r="F68" s="703" t="s">
        <v>455</v>
      </c>
      <c r="G68" s="703" t="s">
        <v>470</v>
      </c>
      <c r="H68" s="703" t="s">
        <v>334</v>
      </c>
      <c r="I68" s="703" t="s">
        <v>334</v>
      </c>
      <c r="J68" s="703" t="s">
        <v>458</v>
      </c>
      <c r="K68" s="704">
        <v>400</v>
      </c>
      <c r="L68" s="703" t="s">
        <v>463</v>
      </c>
      <c r="M68" s="702"/>
      <c r="N68" s="702">
        <v>43131</v>
      </c>
      <c r="O68" s="703" t="s">
        <v>338</v>
      </c>
      <c r="P68" s="20">
        <v>261083.66</v>
      </c>
      <c r="Q68" s="20">
        <v>0</v>
      </c>
      <c r="R68" s="20">
        <v>0</v>
      </c>
      <c r="S68" s="20">
        <v>0</v>
      </c>
      <c r="T68" s="20">
        <v>261083.66</v>
      </c>
      <c r="U68" s="20">
        <v>214865.59</v>
      </c>
      <c r="V68" s="20">
        <v>-46218.07</v>
      </c>
      <c r="W68" s="20">
        <v>-59272.25</v>
      </c>
      <c r="X68" s="20">
        <v>-13054.18</v>
      </c>
      <c r="Y68" s="20">
        <v>0</v>
      </c>
      <c r="Z68" s="20">
        <v>0</v>
      </c>
      <c r="AA68" s="20">
        <v>0</v>
      </c>
      <c r="AB68" s="20">
        <v>201811.41</v>
      </c>
      <c r="AC68" t="s">
        <v>459</v>
      </c>
      <c r="AD68" t="s">
        <v>290</v>
      </c>
      <c r="AE68" s="702">
        <f t="shared" si="0"/>
        <v>43252</v>
      </c>
      <c r="AF68" s="289">
        <v>433673.35719491995</v>
      </c>
      <c r="AG68">
        <f t="shared" si="1"/>
        <v>360</v>
      </c>
      <c r="AH68" s="289">
        <f t="shared" si="2"/>
        <v>1204.6482144303332</v>
      </c>
      <c r="AJ68" s="289">
        <f t="shared" si="3"/>
        <v>54</v>
      </c>
      <c r="AK68" s="289">
        <f t="shared" si="4"/>
        <v>65051.003579237993</v>
      </c>
    </row>
    <row r="69" spans="1:37">
      <c r="A69" s="703" t="s">
        <v>471</v>
      </c>
      <c r="B69" s="703" t="s">
        <v>331</v>
      </c>
      <c r="C69" s="703" t="s">
        <v>472</v>
      </c>
      <c r="D69" s="703" t="s">
        <v>473</v>
      </c>
      <c r="E69" s="703" t="s">
        <v>334</v>
      </c>
      <c r="F69" s="703" t="s">
        <v>474</v>
      </c>
      <c r="G69" s="703" t="s">
        <v>475</v>
      </c>
      <c r="H69" s="703" t="s">
        <v>334</v>
      </c>
      <c r="I69" s="703" t="s">
        <v>334</v>
      </c>
      <c r="J69" s="703" t="s">
        <v>476</v>
      </c>
      <c r="K69" s="704">
        <v>0</v>
      </c>
      <c r="L69" s="703" t="s">
        <v>334</v>
      </c>
      <c r="M69" s="702"/>
      <c r="N69" s="702">
        <v>43131</v>
      </c>
      <c r="O69" s="703" t="s">
        <v>338</v>
      </c>
      <c r="P69" s="20">
        <v>31709.21</v>
      </c>
      <c r="Q69" s="20">
        <v>0</v>
      </c>
      <c r="R69" s="20">
        <v>0</v>
      </c>
      <c r="S69" s="20">
        <v>0</v>
      </c>
      <c r="T69" s="20">
        <v>31709.21</v>
      </c>
      <c r="U69" s="20">
        <v>19783.73</v>
      </c>
      <c r="V69" s="20">
        <v>-11925.48</v>
      </c>
      <c r="W69" s="20">
        <v>-15096.4</v>
      </c>
      <c r="X69" s="20">
        <v>-3170.92</v>
      </c>
      <c r="Y69" s="20">
        <v>0</v>
      </c>
      <c r="Z69" s="20">
        <v>0</v>
      </c>
      <c r="AA69" s="20">
        <v>0</v>
      </c>
      <c r="AB69" s="20">
        <v>16612.810000000001</v>
      </c>
      <c r="AC69" t="s">
        <v>477</v>
      </c>
      <c r="AD69" t="s">
        <v>290</v>
      </c>
      <c r="AE69" s="702">
        <f t="shared" si="0"/>
        <v>43252</v>
      </c>
      <c r="AF69" s="289">
        <v>52670.625019959982</v>
      </c>
      <c r="AG69">
        <f t="shared" si="1"/>
        <v>360</v>
      </c>
      <c r="AH69" s="289">
        <f t="shared" si="2"/>
        <v>146.30729172211107</v>
      </c>
      <c r="AJ69" s="289">
        <f t="shared" si="3"/>
        <v>54</v>
      </c>
      <c r="AK69" s="289">
        <f t="shared" si="4"/>
        <v>7900.5937529939984</v>
      </c>
    </row>
    <row r="70" spans="1:37">
      <c r="A70" s="703" t="s">
        <v>478</v>
      </c>
      <c r="B70" s="703" t="s">
        <v>331</v>
      </c>
      <c r="C70" s="703" t="s">
        <v>472</v>
      </c>
      <c r="D70" s="703" t="s">
        <v>473</v>
      </c>
      <c r="E70" s="703" t="s">
        <v>334</v>
      </c>
      <c r="F70" s="703" t="s">
        <v>474</v>
      </c>
      <c r="G70" s="703" t="s">
        <v>479</v>
      </c>
      <c r="H70" s="703" t="s">
        <v>480</v>
      </c>
      <c r="I70" s="703" t="s">
        <v>334</v>
      </c>
      <c r="J70" s="703" t="s">
        <v>476</v>
      </c>
      <c r="K70" s="704">
        <v>0</v>
      </c>
      <c r="L70" s="703" t="s">
        <v>334</v>
      </c>
      <c r="M70" s="702"/>
      <c r="N70" s="702">
        <v>43131</v>
      </c>
      <c r="O70" s="703" t="s">
        <v>338</v>
      </c>
      <c r="P70" s="20">
        <v>136610.44</v>
      </c>
      <c r="Q70" s="20">
        <v>0</v>
      </c>
      <c r="R70" s="20">
        <v>0</v>
      </c>
      <c r="S70" s="20">
        <v>0</v>
      </c>
      <c r="T70" s="20">
        <v>136610.44</v>
      </c>
      <c r="U70" s="20">
        <v>89489.65</v>
      </c>
      <c r="V70" s="20">
        <v>-47120.79</v>
      </c>
      <c r="W70" s="20">
        <v>-60781.83</v>
      </c>
      <c r="X70" s="20">
        <v>-13661.04</v>
      </c>
      <c r="Y70" s="20">
        <v>0</v>
      </c>
      <c r="Z70" s="20">
        <v>0</v>
      </c>
      <c r="AA70" s="20">
        <v>0</v>
      </c>
      <c r="AB70" s="20">
        <v>75828.61</v>
      </c>
      <c r="AC70" t="s">
        <v>477</v>
      </c>
      <c r="AD70" t="s">
        <v>290</v>
      </c>
      <c r="AE70" s="702">
        <f t="shared" si="0"/>
        <v>43252</v>
      </c>
      <c r="AF70" s="289">
        <v>226916.95122810514</v>
      </c>
      <c r="AG70">
        <f t="shared" si="1"/>
        <v>360</v>
      </c>
      <c r="AH70" s="289">
        <f t="shared" si="2"/>
        <v>630.3248645225143</v>
      </c>
      <c r="AJ70" s="289">
        <f t="shared" si="3"/>
        <v>54</v>
      </c>
      <c r="AK70" s="289">
        <f t="shared" si="4"/>
        <v>34037.542684215776</v>
      </c>
    </row>
    <row r="71" spans="1:37">
      <c r="A71" s="703" t="s">
        <v>481</v>
      </c>
      <c r="B71" s="703" t="s">
        <v>331</v>
      </c>
      <c r="C71" s="703" t="s">
        <v>472</v>
      </c>
      <c r="D71" s="703" t="s">
        <v>473</v>
      </c>
      <c r="E71" s="703" t="s">
        <v>334</v>
      </c>
      <c r="F71" s="703" t="s">
        <v>474</v>
      </c>
      <c r="G71" s="703" t="s">
        <v>479</v>
      </c>
      <c r="H71" s="703" t="s">
        <v>482</v>
      </c>
      <c r="I71" s="703" t="s">
        <v>334</v>
      </c>
      <c r="J71" s="703" t="s">
        <v>476</v>
      </c>
      <c r="K71" s="704">
        <v>0</v>
      </c>
      <c r="L71" s="703" t="s">
        <v>334</v>
      </c>
      <c r="M71" s="702"/>
      <c r="N71" s="702">
        <v>43131</v>
      </c>
      <c r="O71" s="703" t="s">
        <v>338</v>
      </c>
      <c r="P71" s="20">
        <v>195961</v>
      </c>
      <c r="Q71" s="20">
        <v>0</v>
      </c>
      <c r="R71" s="20">
        <v>0</v>
      </c>
      <c r="S71" s="20">
        <v>0</v>
      </c>
      <c r="T71" s="20">
        <v>195961</v>
      </c>
      <c r="U71" s="20">
        <v>126367.42</v>
      </c>
      <c r="V71" s="20">
        <v>-69593.58</v>
      </c>
      <c r="W71" s="20">
        <v>-89189.68</v>
      </c>
      <c r="X71" s="20">
        <v>-19596.099999999999</v>
      </c>
      <c r="Y71" s="20">
        <v>0</v>
      </c>
      <c r="Z71" s="20">
        <v>0</v>
      </c>
      <c r="AA71" s="20">
        <v>0</v>
      </c>
      <c r="AB71" s="20">
        <v>106771.32</v>
      </c>
      <c r="AC71" t="s">
        <v>477</v>
      </c>
      <c r="AD71" t="s">
        <v>290</v>
      </c>
      <c r="AE71" s="702">
        <f t="shared" ref="AE71:AE134" si="5">IF(N71&gt;=$AG$5,DATE(YEAR(N71),6,1),DATE(YEAR(N71),6,1))</f>
        <v>43252</v>
      </c>
      <c r="AF71" s="289">
        <v>325501.2770591377</v>
      </c>
      <c r="AG71">
        <f t="shared" ref="AG71:AG134" si="6">+IF(AD71="intangível",20*12,IF(AD71="Diferido",120,IF(AD71="Não vinculados",0,IF(AE71&lt;=$AG$5,F71*12,360))))</f>
        <v>360</v>
      </c>
      <c r="AH71" s="289">
        <f t="shared" ref="AH71:AH134" si="7">IF(AG71=0,0,AF71/AG71)</f>
        <v>904.17021405316029</v>
      </c>
      <c r="AJ71" s="289">
        <f t="shared" ref="AJ71:AJ134" si="8">+IF(AND(YEAR(AE71)&gt;=2018,YEAR(AE71)&lt;=2022),IF(DATEDIF(AE71,$AK$4,"m")&gt;=AG71,AG71,DATEDIF(AE71,$AK$4,"m")),0)</f>
        <v>54</v>
      </c>
      <c r="AK71" s="289">
        <f t="shared" ref="AK71:AK134" si="9">IF(AD71="Imobilizado",AJ71*AH71,0)</f>
        <v>48825.191558870654</v>
      </c>
    </row>
    <row r="72" spans="1:37">
      <c r="A72" s="703" t="s">
        <v>483</v>
      </c>
      <c r="B72" s="703" t="s">
        <v>484</v>
      </c>
      <c r="C72" s="703" t="s">
        <v>485</v>
      </c>
      <c r="D72" s="703" t="s">
        <v>486</v>
      </c>
      <c r="E72" s="703" t="s">
        <v>334</v>
      </c>
      <c r="F72" s="703" t="s">
        <v>487</v>
      </c>
      <c r="G72" s="703" t="s">
        <v>488</v>
      </c>
      <c r="H72" s="703" t="s">
        <v>489</v>
      </c>
      <c r="I72" s="703" t="s">
        <v>334</v>
      </c>
      <c r="J72" s="703" t="s">
        <v>490</v>
      </c>
      <c r="K72" s="704">
        <v>0</v>
      </c>
      <c r="L72" s="703" t="s">
        <v>334</v>
      </c>
      <c r="M72" s="702"/>
      <c r="N72" s="702">
        <v>43131</v>
      </c>
      <c r="O72" s="703" t="s">
        <v>338</v>
      </c>
      <c r="P72" s="20">
        <v>431845.56</v>
      </c>
      <c r="Q72" s="20">
        <v>0</v>
      </c>
      <c r="R72" s="20">
        <v>-431845.56</v>
      </c>
      <c r="S72" s="20">
        <v>0</v>
      </c>
      <c r="T72" s="20">
        <v>0</v>
      </c>
      <c r="U72" s="20">
        <v>431845.56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t="s">
        <v>491</v>
      </c>
      <c r="AD72" t="s">
        <v>492</v>
      </c>
      <c r="AE72" s="702">
        <f t="shared" si="5"/>
        <v>43252</v>
      </c>
      <c r="AF72" s="289">
        <v>0</v>
      </c>
      <c r="AG72">
        <f t="shared" si="6"/>
        <v>360</v>
      </c>
      <c r="AH72" s="289">
        <f t="shared" si="7"/>
        <v>0</v>
      </c>
      <c r="AJ72" s="289">
        <f t="shared" si="8"/>
        <v>54</v>
      </c>
      <c r="AK72" s="289">
        <f t="shared" si="9"/>
        <v>0</v>
      </c>
    </row>
    <row r="73" spans="1:37">
      <c r="A73" s="703" t="s">
        <v>493</v>
      </c>
      <c r="B73" s="703" t="s">
        <v>484</v>
      </c>
      <c r="C73" s="703" t="s">
        <v>485</v>
      </c>
      <c r="D73" s="703" t="s">
        <v>486</v>
      </c>
      <c r="E73" s="703" t="s">
        <v>334</v>
      </c>
      <c r="F73" s="703" t="s">
        <v>487</v>
      </c>
      <c r="G73" s="703" t="s">
        <v>494</v>
      </c>
      <c r="H73" s="703" t="s">
        <v>495</v>
      </c>
      <c r="I73" s="703" t="s">
        <v>334</v>
      </c>
      <c r="J73" s="703" t="s">
        <v>490</v>
      </c>
      <c r="K73" s="704">
        <v>0</v>
      </c>
      <c r="L73" s="703" t="s">
        <v>334</v>
      </c>
      <c r="M73" s="702"/>
      <c r="N73" s="702">
        <v>43131</v>
      </c>
      <c r="O73" s="703" t="s">
        <v>338</v>
      </c>
      <c r="P73" s="20">
        <v>217239.14</v>
      </c>
      <c r="Q73" s="20">
        <v>0</v>
      </c>
      <c r="R73" s="20">
        <v>-217239.14</v>
      </c>
      <c r="S73" s="20">
        <v>0</v>
      </c>
      <c r="T73" s="20">
        <v>0</v>
      </c>
      <c r="U73" s="20">
        <v>217239.14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t="s">
        <v>491</v>
      </c>
      <c r="AD73" t="s">
        <v>492</v>
      </c>
      <c r="AE73" s="702">
        <f t="shared" si="5"/>
        <v>43252</v>
      </c>
      <c r="AF73" s="289">
        <v>0</v>
      </c>
      <c r="AG73">
        <f t="shared" si="6"/>
        <v>360</v>
      </c>
      <c r="AH73" s="289">
        <f t="shared" si="7"/>
        <v>0</v>
      </c>
      <c r="AJ73" s="289">
        <f t="shared" si="8"/>
        <v>54</v>
      </c>
      <c r="AK73" s="289">
        <f t="shared" si="9"/>
        <v>0</v>
      </c>
    </row>
    <row r="74" spans="1:37">
      <c r="A74" s="703" t="s">
        <v>496</v>
      </c>
      <c r="B74" s="703" t="s">
        <v>484</v>
      </c>
      <c r="C74" s="703" t="s">
        <v>485</v>
      </c>
      <c r="D74" s="703" t="s">
        <v>486</v>
      </c>
      <c r="E74" s="703" t="s">
        <v>334</v>
      </c>
      <c r="F74" s="703" t="s">
        <v>487</v>
      </c>
      <c r="G74" s="703" t="s">
        <v>497</v>
      </c>
      <c r="H74" s="703" t="s">
        <v>498</v>
      </c>
      <c r="I74" s="703" t="s">
        <v>334</v>
      </c>
      <c r="J74" s="703" t="s">
        <v>490</v>
      </c>
      <c r="K74" s="704">
        <v>0</v>
      </c>
      <c r="L74" s="703" t="s">
        <v>334</v>
      </c>
      <c r="M74" s="702"/>
      <c r="N74" s="702">
        <v>43131</v>
      </c>
      <c r="O74" s="703" t="s">
        <v>338</v>
      </c>
      <c r="P74" s="20">
        <v>349249.25</v>
      </c>
      <c r="Q74" s="20">
        <v>0</v>
      </c>
      <c r="R74" s="20">
        <v>-349249.25</v>
      </c>
      <c r="S74" s="20">
        <v>0</v>
      </c>
      <c r="T74" s="20">
        <v>0</v>
      </c>
      <c r="U74" s="20">
        <v>349249.25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t="s">
        <v>491</v>
      </c>
      <c r="AD74" t="s">
        <v>492</v>
      </c>
      <c r="AE74" s="702">
        <f t="shared" si="5"/>
        <v>43252</v>
      </c>
      <c r="AF74" s="289">
        <v>0</v>
      </c>
      <c r="AG74">
        <f t="shared" si="6"/>
        <v>360</v>
      </c>
      <c r="AH74" s="289">
        <f t="shared" si="7"/>
        <v>0</v>
      </c>
      <c r="AJ74" s="289">
        <f t="shared" si="8"/>
        <v>54</v>
      </c>
      <c r="AK74" s="289">
        <f t="shared" si="9"/>
        <v>0</v>
      </c>
    </row>
    <row r="75" spans="1:37">
      <c r="A75" s="703" t="s">
        <v>499</v>
      </c>
      <c r="B75" s="703" t="s">
        <v>331</v>
      </c>
      <c r="C75" s="703" t="s">
        <v>500</v>
      </c>
      <c r="D75" s="703" t="s">
        <v>501</v>
      </c>
      <c r="E75" s="703" t="s">
        <v>334</v>
      </c>
      <c r="F75" s="703" t="s">
        <v>502</v>
      </c>
      <c r="G75" s="703" t="s">
        <v>503</v>
      </c>
      <c r="H75" s="703" t="s">
        <v>504</v>
      </c>
      <c r="I75" s="703" t="s">
        <v>334</v>
      </c>
      <c r="J75" s="703" t="s">
        <v>505</v>
      </c>
      <c r="K75" s="704">
        <v>0</v>
      </c>
      <c r="L75" s="703" t="s">
        <v>334</v>
      </c>
      <c r="M75" s="702">
        <v>43039</v>
      </c>
      <c r="N75" s="702">
        <v>43133</v>
      </c>
      <c r="O75" s="703" t="s">
        <v>338</v>
      </c>
      <c r="P75" s="20">
        <v>110975.03999999999</v>
      </c>
      <c r="Q75" s="20">
        <v>0</v>
      </c>
      <c r="R75" s="20">
        <v>0</v>
      </c>
      <c r="S75" s="20">
        <v>0</v>
      </c>
      <c r="T75" s="20">
        <v>110975.03999999999</v>
      </c>
      <c r="U75" s="20">
        <v>18550.990000000002</v>
      </c>
      <c r="V75" s="20">
        <v>-92424.05</v>
      </c>
      <c r="W75" s="20">
        <v>-110975.03999999999</v>
      </c>
      <c r="X75" s="20">
        <v>-18550.990000000002</v>
      </c>
      <c r="Y75" s="20">
        <v>0</v>
      </c>
      <c r="Z75" s="20">
        <v>0</v>
      </c>
      <c r="AA75" s="20">
        <v>0</v>
      </c>
      <c r="AB75" s="20">
        <v>0</v>
      </c>
      <c r="AC75" t="s">
        <v>506</v>
      </c>
      <c r="AD75" t="s">
        <v>290</v>
      </c>
      <c r="AE75" s="702">
        <f t="shared" si="5"/>
        <v>43252</v>
      </c>
      <c r="AF75" s="289">
        <v>184335.23630563676</v>
      </c>
      <c r="AG75">
        <f t="shared" si="6"/>
        <v>360</v>
      </c>
      <c r="AH75" s="289">
        <f t="shared" si="7"/>
        <v>512.04232307121322</v>
      </c>
      <c r="AJ75" s="289">
        <f t="shared" si="8"/>
        <v>54</v>
      </c>
      <c r="AK75" s="289">
        <f t="shared" si="9"/>
        <v>27650.285445845515</v>
      </c>
    </row>
    <row r="76" spans="1:37">
      <c r="A76" s="703" t="s">
        <v>499</v>
      </c>
      <c r="B76" s="703" t="s">
        <v>507</v>
      </c>
      <c r="C76" s="703" t="s">
        <v>500</v>
      </c>
      <c r="D76" s="703" t="s">
        <v>501</v>
      </c>
      <c r="E76" s="703" t="s">
        <v>334</v>
      </c>
      <c r="F76" s="703" t="s">
        <v>502</v>
      </c>
      <c r="G76" s="703" t="s">
        <v>508</v>
      </c>
      <c r="H76" s="703" t="s">
        <v>504</v>
      </c>
      <c r="I76" s="703" t="s">
        <v>334</v>
      </c>
      <c r="J76" s="703" t="s">
        <v>505</v>
      </c>
      <c r="K76" s="704">
        <v>0</v>
      </c>
      <c r="L76" s="703" t="s">
        <v>334</v>
      </c>
      <c r="M76" s="702">
        <v>43039</v>
      </c>
      <c r="N76" s="702">
        <v>43133</v>
      </c>
      <c r="O76" s="703" t="s">
        <v>338</v>
      </c>
      <c r="P76" s="20">
        <v>110</v>
      </c>
      <c r="Q76" s="20">
        <v>0</v>
      </c>
      <c r="R76" s="20">
        <v>0</v>
      </c>
      <c r="S76" s="20">
        <v>0</v>
      </c>
      <c r="T76" s="20">
        <v>110</v>
      </c>
      <c r="U76" s="20">
        <v>18.39</v>
      </c>
      <c r="V76" s="20">
        <v>-91.61</v>
      </c>
      <c r="W76" s="20">
        <v>-110</v>
      </c>
      <c r="X76" s="20">
        <v>-18.39</v>
      </c>
      <c r="Y76" s="20">
        <v>0</v>
      </c>
      <c r="Z76" s="20">
        <v>0</v>
      </c>
      <c r="AA76" s="20">
        <v>0</v>
      </c>
      <c r="AB76" s="20">
        <v>0</v>
      </c>
      <c r="AC76" t="s">
        <v>506</v>
      </c>
      <c r="AD76" t="s">
        <v>290</v>
      </c>
      <c r="AE76" s="702">
        <f t="shared" si="5"/>
        <v>43252</v>
      </c>
      <c r="AF76" s="289">
        <v>182.71564482986486</v>
      </c>
      <c r="AG76">
        <f t="shared" si="6"/>
        <v>360</v>
      </c>
      <c r="AH76" s="289">
        <f t="shared" si="7"/>
        <v>0.50754345786073574</v>
      </c>
      <c r="AJ76" s="289">
        <f t="shared" si="8"/>
        <v>54</v>
      </c>
      <c r="AK76" s="289">
        <f t="shared" si="9"/>
        <v>27.40734672447973</v>
      </c>
    </row>
    <row r="77" spans="1:37">
      <c r="A77" s="703" t="s">
        <v>499</v>
      </c>
      <c r="B77" s="703" t="s">
        <v>509</v>
      </c>
      <c r="C77" s="703" t="s">
        <v>500</v>
      </c>
      <c r="D77" s="703" t="s">
        <v>501</v>
      </c>
      <c r="E77" s="703" t="s">
        <v>334</v>
      </c>
      <c r="F77" s="703" t="s">
        <v>502</v>
      </c>
      <c r="G77" s="703" t="s">
        <v>510</v>
      </c>
      <c r="H77" s="703" t="s">
        <v>504</v>
      </c>
      <c r="I77" s="703" t="s">
        <v>334</v>
      </c>
      <c r="J77" s="703" t="s">
        <v>505</v>
      </c>
      <c r="K77" s="704">
        <v>0</v>
      </c>
      <c r="L77" s="703" t="s">
        <v>334</v>
      </c>
      <c r="M77" s="702">
        <v>43039</v>
      </c>
      <c r="N77" s="702">
        <v>43133</v>
      </c>
      <c r="O77" s="703" t="s">
        <v>338</v>
      </c>
      <c r="P77" s="20">
        <v>1681.44</v>
      </c>
      <c r="Q77" s="20">
        <v>0</v>
      </c>
      <c r="R77" s="20">
        <v>0</v>
      </c>
      <c r="S77" s="20">
        <v>0</v>
      </c>
      <c r="T77" s="20">
        <v>1681.44</v>
      </c>
      <c r="U77" s="20">
        <v>281.07</v>
      </c>
      <c r="V77" s="20">
        <v>-1400.37</v>
      </c>
      <c r="W77" s="20">
        <v>-1681.44</v>
      </c>
      <c r="X77" s="20">
        <v>-281.07</v>
      </c>
      <c r="Y77" s="20">
        <v>0</v>
      </c>
      <c r="Z77" s="20">
        <v>0</v>
      </c>
      <c r="AA77" s="20">
        <v>0</v>
      </c>
      <c r="AB77" s="20">
        <v>0</v>
      </c>
      <c r="AC77" t="s">
        <v>506</v>
      </c>
      <c r="AD77" t="s">
        <v>290</v>
      </c>
      <c r="AE77" s="702">
        <f t="shared" si="5"/>
        <v>43252</v>
      </c>
      <c r="AF77" s="289">
        <v>2792.9581258429816</v>
      </c>
      <c r="AG77">
        <f t="shared" si="6"/>
        <v>360</v>
      </c>
      <c r="AH77" s="289">
        <f t="shared" si="7"/>
        <v>7.7582170162305042</v>
      </c>
      <c r="AJ77" s="289">
        <f t="shared" si="8"/>
        <v>54</v>
      </c>
      <c r="AK77" s="289">
        <f t="shared" si="9"/>
        <v>418.94371887644724</v>
      </c>
    </row>
    <row r="78" spans="1:37">
      <c r="A78" s="703" t="s">
        <v>511</v>
      </c>
      <c r="B78" s="703" t="s">
        <v>331</v>
      </c>
      <c r="C78" s="703" t="s">
        <v>500</v>
      </c>
      <c r="D78" s="703" t="s">
        <v>501</v>
      </c>
      <c r="E78" s="703" t="s">
        <v>334</v>
      </c>
      <c r="F78" s="703" t="s">
        <v>502</v>
      </c>
      <c r="G78" s="703" t="s">
        <v>512</v>
      </c>
      <c r="H78" s="703" t="s">
        <v>513</v>
      </c>
      <c r="I78" s="703" t="s">
        <v>334</v>
      </c>
      <c r="J78" s="703" t="s">
        <v>505</v>
      </c>
      <c r="K78" s="704">
        <v>0</v>
      </c>
      <c r="L78" s="703" t="s">
        <v>334</v>
      </c>
      <c r="M78" s="702">
        <v>43039</v>
      </c>
      <c r="N78" s="702">
        <v>43133</v>
      </c>
      <c r="O78" s="703" t="s">
        <v>338</v>
      </c>
      <c r="P78" s="20">
        <v>110975.03999999999</v>
      </c>
      <c r="Q78" s="20">
        <v>0</v>
      </c>
      <c r="R78" s="20">
        <v>0</v>
      </c>
      <c r="S78" s="20">
        <v>0</v>
      </c>
      <c r="T78" s="20">
        <v>110975.03999999999</v>
      </c>
      <c r="U78" s="20">
        <v>18550.98</v>
      </c>
      <c r="V78" s="20">
        <v>-92424.06</v>
      </c>
      <c r="W78" s="20">
        <v>-110975.03999999999</v>
      </c>
      <c r="X78" s="20">
        <v>-18550.98</v>
      </c>
      <c r="Y78" s="20">
        <v>0</v>
      </c>
      <c r="Z78" s="20">
        <v>0</v>
      </c>
      <c r="AA78" s="20">
        <v>0</v>
      </c>
      <c r="AB78" s="20">
        <v>0</v>
      </c>
      <c r="AC78" t="s">
        <v>506</v>
      </c>
      <c r="AD78" t="s">
        <v>290</v>
      </c>
      <c r="AE78" s="702">
        <f t="shared" si="5"/>
        <v>43252</v>
      </c>
      <c r="AF78" s="289">
        <v>184335.23630563676</v>
      </c>
      <c r="AG78">
        <f t="shared" si="6"/>
        <v>360</v>
      </c>
      <c r="AH78" s="289">
        <f t="shared" si="7"/>
        <v>512.04232307121322</v>
      </c>
      <c r="AJ78" s="289">
        <f t="shared" si="8"/>
        <v>54</v>
      </c>
      <c r="AK78" s="289">
        <f t="shared" si="9"/>
        <v>27650.285445845515</v>
      </c>
    </row>
    <row r="79" spans="1:37">
      <c r="A79" s="703" t="s">
        <v>511</v>
      </c>
      <c r="B79" s="703" t="s">
        <v>507</v>
      </c>
      <c r="C79" s="703" t="s">
        <v>500</v>
      </c>
      <c r="D79" s="703" t="s">
        <v>501</v>
      </c>
      <c r="E79" s="703" t="s">
        <v>334</v>
      </c>
      <c r="F79" s="703" t="s">
        <v>502</v>
      </c>
      <c r="G79" s="703" t="s">
        <v>514</v>
      </c>
      <c r="H79" s="703" t="s">
        <v>513</v>
      </c>
      <c r="I79" s="703" t="s">
        <v>334</v>
      </c>
      <c r="J79" s="703" t="s">
        <v>505</v>
      </c>
      <c r="K79" s="704">
        <v>0</v>
      </c>
      <c r="L79" s="703" t="s">
        <v>334</v>
      </c>
      <c r="M79" s="702">
        <v>43039</v>
      </c>
      <c r="N79" s="702">
        <v>43133</v>
      </c>
      <c r="O79" s="703" t="s">
        <v>338</v>
      </c>
      <c r="P79" s="20">
        <v>110</v>
      </c>
      <c r="Q79" s="20">
        <v>0</v>
      </c>
      <c r="R79" s="20">
        <v>0</v>
      </c>
      <c r="S79" s="20">
        <v>0</v>
      </c>
      <c r="T79" s="20">
        <v>110</v>
      </c>
      <c r="U79" s="20">
        <v>18.39</v>
      </c>
      <c r="V79" s="20">
        <v>-91.61</v>
      </c>
      <c r="W79" s="20">
        <v>-110</v>
      </c>
      <c r="X79" s="20">
        <v>-18.39</v>
      </c>
      <c r="Y79" s="20">
        <v>0</v>
      </c>
      <c r="Z79" s="20">
        <v>0</v>
      </c>
      <c r="AA79" s="20">
        <v>0</v>
      </c>
      <c r="AB79" s="20">
        <v>0</v>
      </c>
      <c r="AC79" t="s">
        <v>506</v>
      </c>
      <c r="AD79" t="s">
        <v>290</v>
      </c>
      <c r="AE79" s="702">
        <f t="shared" si="5"/>
        <v>43252</v>
      </c>
      <c r="AF79" s="289">
        <v>182.71564482986486</v>
      </c>
      <c r="AG79">
        <f t="shared" si="6"/>
        <v>360</v>
      </c>
      <c r="AH79" s="289">
        <f t="shared" si="7"/>
        <v>0.50754345786073574</v>
      </c>
      <c r="AJ79" s="289">
        <f t="shared" si="8"/>
        <v>54</v>
      </c>
      <c r="AK79" s="289">
        <f t="shared" si="9"/>
        <v>27.40734672447973</v>
      </c>
    </row>
    <row r="80" spans="1:37">
      <c r="A80" s="703" t="s">
        <v>511</v>
      </c>
      <c r="B80" s="703" t="s">
        <v>509</v>
      </c>
      <c r="C80" s="703" t="s">
        <v>500</v>
      </c>
      <c r="D80" s="703" t="s">
        <v>501</v>
      </c>
      <c r="E80" s="703" t="s">
        <v>334</v>
      </c>
      <c r="F80" s="703" t="s">
        <v>502</v>
      </c>
      <c r="G80" s="703" t="s">
        <v>515</v>
      </c>
      <c r="H80" s="703" t="s">
        <v>513</v>
      </c>
      <c r="I80" s="703" t="s">
        <v>334</v>
      </c>
      <c r="J80" s="703" t="s">
        <v>505</v>
      </c>
      <c r="K80" s="704">
        <v>0</v>
      </c>
      <c r="L80" s="703" t="s">
        <v>334</v>
      </c>
      <c r="M80" s="702">
        <v>43039</v>
      </c>
      <c r="N80" s="702">
        <v>43133</v>
      </c>
      <c r="O80" s="703" t="s">
        <v>338</v>
      </c>
      <c r="P80" s="20">
        <v>1681.44</v>
      </c>
      <c r="Q80" s="20">
        <v>0</v>
      </c>
      <c r="R80" s="20">
        <v>0</v>
      </c>
      <c r="S80" s="20">
        <v>0</v>
      </c>
      <c r="T80" s="20">
        <v>1681.44</v>
      </c>
      <c r="U80" s="20">
        <v>281.08</v>
      </c>
      <c r="V80" s="20">
        <v>-1400.36</v>
      </c>
      <c r="W80" s="20">
        <v>-1681.44</v>
      </c>
      <c r="X80" s="20">
        <v>-281.08</v>
      </c>
      <c r="Y80" s="20">
        <v>0</v>
      </c>
      <c r="Z80" s="20">
        <v>0</v>
      </c>
      <c r="AA80" s="20">
        <v>0</v>
      </c>
      <c r="AB80" s="20">
        <v>0</v>
      </c>
      <c r="AC80" t="s">
        <v>506</v>
      </c>
      <c r="AD80" t="s">
        <v>290</v>
      </c>
      <c r="AE80" s="702">
        <f t="shared" si="5"/>
        <v>43252</v>
      </c>
      <c r="AF80" s="289">
        <v>2792.9581258429816</v>
      </c>
      <c r="AG80">
        <f t="shared" si="6"/>
        <v>360</v>
      </c>
      <c r="AH80" s="289">
        <f t="shared" si="7"/>
        <v>7.7582170162305042</v>
      </c>
      <c r="AJ80" s="289">
        <f t="shared" si="8"/>
        <v>54</v>
      </c>
      <c r="AK80" s="289">
        <f t="shared" si="9"/>
        <v>418.94371887644724</v>
      </c>
    </row>
    <row r="81" spans="1:37">
      <c r="A81" s="703" t="s">
        <v>516</v>
      </c>
      <c r="B81" s="703" t="s">
        <v>331</v>
      </c>
      <c r="C81" s="703" t="s">
        <v>454</v>
      </c>
      <c r="D81" s="703" t="s">
        <v>334</v>
      </c>
      <c r="E81" s="703" t="s">
        <v>334</v>
      </c>
      <c r="F81" s="703" t="s">
        <v>455</v>
      </c>
      <c r="G81" s="703" t="s">
        <v>517</v>
      </c>
      <c r="H81" s="703" t="s">
        <v>334</v>
      </c>
      <c r="I81" s="703" t="s">
        <v>334</v>
      </c>
      <c r="J81" s="703" t="s">
        <v>458</v>
      </c>
      <c r="K81" s="704">
        <v>272</v>
      </c>
      <c r="L81" s="703" t="s">
        <v>463</v>
      </c>
      <c r="M81" s="702"/>
      <c r="N81" s="702">
        <v>43159</v>
      </c>
      <c r="O81" s="703" t="s">
        <v>338</v>
      </c>
      <c r="P81" s="20">
        <v>636035.28</v>
      </c>
      <c r="Q81" s="20">
        <v>0</v>
      </c>
      <c r="R81" s="20">
        <v>0</v>
      </c>
      <c r="S81" s="20">
        <v>0</v>
      </c>
      <c r="T81" s="20">
        <v>636035.28</v>
      </c>
      <c r="U81" s="20">
        <v>525107.61</v>
      </c>
      <c r="V81" s="20">
        <v>-110927.67</v>
      </c>
      <c r="W81" s="20">
        <v>-142729.43</v>
      </c>
      <c r="X81" s="20">
        <v>-31801.759999999998</v>
      </c>
      <c r="Y81" s="20">
        <v>0</v>
      </c>
      <c r="Z81" s="20">
        <v>0</v>
      </c>
      <c r="AA81" s="20">
        <v>0</v>
      </c>
      <c r="AB81" s="20">
        <v>493305.85</v>
      </c>
      <c r="AC81" t="s">
        <v>459</v>
      </c>
      <c r="AD81" t="s">
        <v>290</v>
      </c>
      <c r="AE81" s="702">
        <f t="shared" si="5"/>
        <v>43252</v>
      </c>
      <c r="AF81" s="289">
        <v>1056487.2392703968</v>
      </c>
      <c r="AG81">
        <f t="shared" si="6"/>
        <v>360</v>
      </c>
      <c r="AH81" s="289">
        <f t="shared" si="7"/>
        <v>2934.6867757511022</v>
      </c>
      <c r="AJ81" s="289">
        <f t="shared" si="8"/>
        <v>54</v>
      </c>
      <c r="AK81" s="289">
        <f t="shared" si="9"/>
        <v>158473.08589055951</v>
      </c>
    </row>
    <row r="82" spans="1:37">
      <c r="A82" s="703" t="s">
        <v>518</v>
      </c>
      <c r="B82" s="703" t="s">
        <v>331</v>
      </c>
      <c r="C82" s="703" t="s">
        <v>472</v>
      </c>
      <c r="D82" s="703" t="s">
        <v>334</v>
      </c>
      <c r="E82" s="703" t="s">
        <v>334</v>
      </c>
      <c r="F82" s="703" t="s">
        <v>474</v>
      </c>
      <c r="G82" s="703" t="s">
        <v>519</v>
      </c>
      <c r="H82" s="703" t="s">
        <v>520</v>
      </c>
      <c r="I82" s="703" t="s">
        <v>334</v>
      </c>
      <c r="J82" s="703" t="s">
        <v>476</v>
      </c>
      <c r="K82" s="704">
        <v>0</v>
      </c>
      <c r="L82" s="703" t="s">
        <v>334</v>
      </c>
      <c r="M82" s="702"/>
      <c r="N82" s="702">
        <v>43159</v>
      </c>
      <c r="O82" s="703" t="s">
        <v>338</v>
      </c>
      <c r="P82" s="20">
        <v>1137223.9099999999</v>
      </c>
      <c r="Q82" s="20">
        <v>0</v>
      </c>
      <c r="R82" s="20">
        <v>0</v>
      </c>
      <c r="S82" s="20">
        <v>0</v>
      </c>
      <c r="T82" s="20">
        <v>1137223.9099999999</v>
      </c>
      <c r="U82" s="20">
        <v>727611.51</v>
      </c>
      <c r="V82" s="20">
        <v>-409612.4</v>
      </c>
      <c r="W82" s="20">
        <v>-523334.79</v>
      </c>
      <c r="X82" s="20">
        <v>-113722.39</v>
      </c>
      <c r="Y82" s="20">
        <v>0</v>
      </c>
      <c r="Z82" s="20">
        <v>0</v>
      </c>
      <c r="AA82" s="20">
        <v>0</v>
      </c>
      <c r="AB82" s="20">
        <v>613889.12</v>
      </c>
      <c r="AC82" t="s">
        <v>477</v>
      </c>
      <c r="AD82" t="s">
        <v>290</v>
      </c>
      <c r="AE82" s="702">
        <f t="shared" si="5"/>
        <v>43252</v>
      </c>
      <c r="AF82" s="289">
        <v>1888987.273014456</v>
      </c>
      <c r="AG82">
        <f t="shared" si="6"/>
        <v>360</v>
      </c>
      <c r="AH82" s="289">
        <f t="shared" si="7"/>
        <v>5247.1868694845998</v>
      </c>
      <c r="AJ82" s="289">
        <f t="shared" si="8"/>
        <v>54</v>
      </c>
      <c r="AK82" s="289">
        <f t="shared" si="9"/>
        <v>283348.09095216839</v>
      </c>
    </row>
    <row r="83" spans="1:37">
      <c r="A83" s="703" t="s">
        <v>521</v>
      </c>
      <c r="B83" s="703" t="s">
        <v>331</v>
      </c>
      <c r="C83" s="703" t="s">
        <v>332</v>
      </c>
      <c r="D83" s="703" t="s">
        <v>333</v>
      </c>
      <c r="E83" s="703" t="s">
        <v>334</v>
      </c>
      <c r="F83" s="703" t="s">
        <v>335</v>
      </c>
      <c r="G83" s="703" t="s">
        <v>522</v>
      </c>
      <c r="H83" s="703" t="s">
        <v>334</v>
      </c>
      <c r="I83" s="703" t="s">
        <v>334</v>
      </c>
      <c r="J83" s="703" t="s">
        <v>337</v>
      </c>
      <c r="K83" s="704">
        <v>0</v>
      </c>
      <c r="L83" s="703" t="s">
        <v>334</v>
      </c>
      <c r="M83" s="702">
        <v>39478</v>
      </c>
      <c r="N83" s="702">
        <v>43172</v>
      </c>
      <c r="O83" s="703" t="s">
        <v>338</v>
      </c>
      <c r="P83" s="20">
        <v>67248.649999999994</v>
      </c>
      <c r="Q83" s="20">
        <v>0</v>
      </c>
      <c r="R83" s="20">
        <v>0</v>
      </c>
      <c r="S83" s="20">
        <v>0</v>
      </c>
      <c r="T83" s="20">
        <v>67248.649999999994</v>
      </c>
      <c r="U83" s="20">
        <v>58842.57</v>
      </c>
      <c r="V83" s="20">
        <v>-8406.08</v>
      </c>
      <c r="W83" s="20">
        <v>-10647.7</v>
      </c>
      <c r="X83" s="20">
        <v>-2241.62</v>
      </c>
      <c r="Y83" s="20">
        <v>0</v>
      </c>
      <c r="Z83" s="20">
        <v>0</v>
      </c>
      <c r="AA83" s="20">
        <v>0</v>
      </c>
      <c r="AB83" s="20">
        <v>56600.95</v>
      </c>
      <c r="AC83" t="s">
        <v>183</v>
      </c>
      <c r="AD83" t="s">
        <v>290</v>
      </c>
      <c r="AE83" s="702">
        <f t="shared" si="5"/>
        <v>43252</v>
      </c>
      <c r="AF83" s="289">
        <v>111703.45862443537</v>
      </c>
      <c r="AG83">
        <f t="shared" si="6"/>
        <v>360</v>
      </c>
      <c r="AH83" s="289">
        <f t="shared" si="7"/>
        <v>310.28738506787602</v>
      </c>
      <c r="AJ83" s="289">
        <f t="shared" si="8"/>
        <v>54</v>
      </c>
      <c r="AK83" s="289">
        <f t="shared" si="9"/>
        <v>16755.518793665306</v>
      </c>
    </row>
    <row r="84" spans="1:37">
      <c r="A84" s="703" t="s">
        <v>523</v>
      </c>
      <c r="B84" s="703" t="s">
        <v>331</v>
      </c>
      <c r="C84" s="703" t="s">
        <v>332</v>
      </c>
      <c r="D84" s="703" t="s">
        <v>333</v>
      </c>
      <c r="E84" s="703" t="s">
        <v>334</v>
      </c>
      <c r="F84" s="703" t="s">
        <v>335</v>
      </c>
      <c r="G84" s="703" t="s">
        <v>524</v>
      </c>
      <c r="H84" s="703" t="s">
        <v>334</v>
      </c>
      <c r="I84" s="703" t="s">
        <v>334</v>
      </c>
      <c r="J84" s="703" t="s">
        <v>337</v>
      </c>
      <c r="K84" s="704">
        <v>0</v>
      </c>
      <c r="L84" s="703" t="s">
        <v>334</v>
      </c>
      <c r="M84" s="702">
        <v>39478</v>
      </c>
      <c r="N84" s="702">
        <v>43172</v>
      </c>
      <c r="O84" s="703" t="s">
        <v>338</v>
      </c>
      <c r="P84" s="20">
        <v>45732.480000000003</v>
      </c>
      <c r="Q84" s="20">
        <v>0</v>
      </c>
      <c r="R84" s="20">
        <v>0</v>
      </c>
      <c r="S84" s="20">
        <v>0</v>
      </c>
      <c r="T84" s="20">
        <v>45732.480000000003</v>
      </c>
      <c r="U84" s="20">
        <v>40015.910000000003</v>
      </c>
      <c r="V84" s="20">
        <v>-5716.57</v>
      </c>
      <c r="W84" s="20">
        <v>-7240.99</v>
      </c>
      <c r="X84" s="20">
        <v>-1524.42</v>
      </c>
      <c r="Y84" s="20">
        <v>0</v>
      </c>
      <c r="Z84" s="20">
        <v>0</v>
      </c>
      <c r="AA84" s="20">
        <v>0</v>
      </c>
      <c r="AB84" s="20">
        <v>38491.49</v>
      </c>
      <c r="AC84" t="s">
        <v>183</v>
      </c>
      <c r="AD84" t="s">
        <v>290</v>
      </c>
      <c r="AE84" s="702">
        <f t="shared" si="5"/>
        <v>43252</v>
      </c>
      <c r="AF84" s="289">
        <v>75963.996116989976</v>
      </c>
      <c r="AG84">
        <f t="shared" si="6"/>
        <v>360</v>
      </c>
      <c r="AH84" s="289">
        <f t="shared" si="7"/>
        <v>211.01110032497215</v>
      </c>
      <c r="AJ84" s="289">
        <f t="shared" si="8"/>
        <v>54</v>
      </c>
      <c r="AK84" s="289">
        <f t="shared" si="9"/>
        <v>11394.599417548496</v>
      </c>
    </row>
    <row r="85" spans="1:37">
      <c r="A85" s="703" t="s">
        <v>525</v>
      </c>
      <c r="B85" s="703" t="s">
        <v>331</v>
      </c>
      <c r="C85" s="703" t="s">
        <v>332</v>
      </c>
      <c r="D85" s="703" t="s">
        <v>333</v>
      </c>
      <c r="E85" s="703" t="s">
        <v>334</v>
      </c>
      <c r="F85" s="703" t="s">
        <v>335</v>
      </c>
      <c r="G85" s="703" t="s">
        <v>340</v>
      </c>
      <c r="H85" s="703" t="s">
        <v>334</v>
      </c>
      <c r="I85" s="703" t="s">
        <v>334</v>
      </c>
      <c r="J85" s="703" t="s">
        <v>337</v>
      </c>
      <c r="K85" s="704">
        <v>0</v>
      </c>
      <c r="L85" s="703" t="s">
        <v>334</v>
      </c>
      <c r="M85" s="702">
        <v>39478</v>
      </c>
      <c r="N85" s="702">
        <v>43172</v>
      </c>
      <c r="O85" s="703" t="s">
        <v>338</v>
      </c>
      <c r="P85" s="20">
        <v>53168.87</v>
      </c>
      <c r="Q85" s="20">
        <v>0</v>
      </c>
      <c r="R85" s="20">
        <v>0</v>
      </c>
      <c r="S85" s="20">
        <v>0</v>
      </c>
      <c r="T85" s="20">
        <v>53168.87</v>
      </c>
      <c r="U85" s="20">
        <v>46522.75</v>
      </c>
      <c r="V85" s="20">
        <v>-6646.12</v>
      </c>
      <c r="W85" s="20">
        <v>-8418.42</v>
      </c>
      <c r="X85" s="20">
        <v>-1772.3</v>
      </c>
      <c r="Y85" s="20">
        <v>0</v>
      </c>
      <c r="Z85" s="20">
        <v>0</v>
      </c>
      <c r="AA85" s="20">
        <v>0</v>
      </c>
      <c r="AB85" s="20">
        <v>44750.45</v>
      </c>
      <c r="AC85" t="s">
        <v>183</v>
      </c>
      <c r="AD85" t="s">
        <v>290</v>
      </c>
      <c r="AE85" s="702">
        <f t="shared" si="5"/>
        <v>43252</v>
      </c>
      <c r="AF85" s="289">
        <v>88316.22151750233</v>
      </c>
      <c r="AG85">
        <f t="shared" si="6"/>
        <v>360</v>
      </c>
      <c r="AH85" s="289">
        <f t="shared" si="7"/>
        <v>245.32283754861757</v>
      </c>
      <c r="AJ85" s="289">
        <f t="shared" si="8"/>
        <v>54</v>
      </c>
      <c r="AK85" s="289">
        <f t="shared" si="9"/>
        <v>13247.433227625348</v>
      </c>
    </row>
    <row r="86" spans="1:37">
      <c r="A86" s="703" t="s">
        <v>526</v>
      </c>
      <c r="B86" s="703" t="s">
        <v>331</v>
      </c>
      <c r="C86" s="703" t="s">
        <v>332</v>
      </c>
      <c r="D86" s="703" t="s">
        <v>333</v>
      </c>
      <c r="E86" s="703" t="s">
        <v>334</v>
      </c>
      <c r="F86" s="703" t="s">
        <v>335</v>
      </c>
      <c r="G86" s="703" t="s">
        <v>344</v>
      </c>
      <c r="H86" s="703" t="s">
        <v>334</v>
      </c>
      <c r="I86" s="703" t="s">
        <v>334</v>
      </c>
      <c r="J86" s="703" t="s">
        <v>337</v>
      </c>
      <c r="K86" s="704">
        <v>0</v>
      </c>
      <c r="L86" s="703" t="s">
        <v>334</v>
      </c>
      <c r="M86" s="702">
        <v>39478</v>
      </c>
      <c r="N86" s="702">
        <v>43172</v>
      </c>
      <c r="O86" s="703" t="s">
        <v>338</v>
      </c>
      <c r="P86" s="20">
        <v>314138.21000000002</v>
      </c>
      <c r="Q86" s="20">
        <v>0</v>
      </c>
      <c r="R86" s="20">
        <v>0</v>
      </c>
      <c r="S86" s="20">
        <v>0</v>
      </c>
      <c r="T86" s="20">
        <v>314138.21000000002</v>
      </c>
      <c r="U86" s="20">
        <v>274870.94</v>
      </c>
      <c r="V86" s="20">
        <v>-39267.269999999997</v>
      </c>
      <c r="W86" s="20">
        <v>-49738.54</v>
      </c>
      <c r="X86" s="20">
        <v>-10471.27</v>
      </c>
      <c r="Y86" s="20">
        <v>0</v>
      </c>
      <c r="Z86" s="20">
        <v>0</v>
      </c>
      <c r="AA86" s="20">
        <v>0</v>
      </c>
      <c r="AB86" s="20">
        <v>264399.67</v>
      </c>
      <c r="AC86" t="s">
        <v>183</v>
      </c>
      <c r="AD86" t="s">
        <v>290</v>
      </c>
      <c r="AE86" s="702">
        <f t="shared" si="5"/>
        <v>43252</v>
      </c>
      <c r="AF86" s="289">
        <v>521799.68732590461</v>
      </c>
      <c r="AG86">
        <f t="shared" si="6"/>
        <v>360</v>
      </c>
      <c r="AH86" s="289">
        <f t="shared" si="7"/>
        <v>1449.4435759052906</v>
      </c>
      <c r="AJ86" s="289">
        <f t="shared" si="8"/>
        <v>54</v>
      </c>
      <c r="AK86" s="289">
        <f t="shared" si="9"/>
        <v>78269.953098885686</v>
      </c>
    </row>
    <row r="87" spans="1:37">
      <c r="A87" s="703" t="s">
        <v>527</v>
      </c>
      <c r="B87" s="703" t="s">
        <v>331</v>
      </c>
      <c r="C87" s="703" t="s">
        <v>332</v>
      </c>
      <c r="D87" s="703" t="s">
        <v>333</v>
      </c>
      <c r="E87" s="703" t="s">
        <v>334</v>
      </c>
      <c r="F87" s="703" t="s">
        <v>335</v>
      </c>
      <c r="G87" s="703" t="s">
        <v>346</v>
      </c>
      <c r="H87" s="703" t="s">
        <v>334</v>
      </c>
      <c r="I87" s="703" t="s">
        <v>334</v>
      </c>
      <c r="J87" s="703" t="s">
        <v>337</v>
      </c>
      <c r="K87" s="704">
        <v>0</v>
      </c>
      <c r="L87" s="703" t="s">
        <v>334</v>
      </c>
      <c r="M87" s="702">
        <v>42886</v>
      </c>
      <c r="N87" s="702">
        <v>43172</v>
      </c>
      <c r="O87" s="703" t="s">
        <v>338</v>
      </c>
      <c r="P87" s="20">
        <v>64447.69</v>
      </c>
      <c r="Q87" s="20">
        <v>0</v>
      </c>
      <c r="R87" s="20">
        <v>0</v>
      </c>
      <c r="S87" s="20">
        <v>0</v>
      </c>
      <c r="T87" s="20">
        <v>64447.69</v>
      </c>
      <c r="U87" s="20">
        <v>56391.72</v>
      </c>
      <c r="V87" s="20">
        <v>-8055.97</v>
      </c>
      <c r="W87" s="20">
        <v>-10204.23</v>
      </c>
      <c r="X87" s="20">
        <v>-2148.2600000000002</v>
      </c>
      <c r="Y87" s="20">
        <v>0</v>
      </c>
      <c r="Z87" s="20">
        <v>0</v>
      </c>
      <c r="AA87" s="20">
        <v>0</v>
      </c>
      <c r="AB87" s="20">
        <v>54243.46</v>
      </c>
      <c r="AC87" t="s">
        <v>183</v>
      </c>
      <c r="AD87" t="s">
        <v>290</v>
      </c>
      <c r="AE87" s="702">
        <f t="shared" si="5"/>
        <v>43252</v>
      </c>
      <c r="AF87" s="289">
        <v>107050.92032859304</v>
      </c>
      <c r="AG87">
        <f t="shared" si="6"/>
        <v>360</v>
      </c>
      <c r="AH87" s="289">
        <f t="shared" si="7"/>
        <v>297.36366757942511</v>
      </c>
      <c r="AJ87" s="289">
        <f t="shared" si="8"/>
        <v>54</v>
      </c>
      <c r="AK87" s="289">
        <f t="shared" si="9"/>
        <v>16057.638049288957</v>
      </c>
    </row>
    <row r="88" spans="1:37">
      <c r="A88" s="703" t="s">
        <v>528</v>
      </c>
      <c r="B88" s="703" t="s">
        <v>331</v>
      </c>
      <c r="C88" s="703" t="s">
        <v>332</v>
      </c>
      <c r="D88" s="703" t="s">
        <v>333</v>
      </c>
      <c r="E88" s="703" t="s">
        <v>334</v>
      </c>
      <c r="F88" s="703" t="s">
        <v>335</v>
      </c>
      <c r="G88" s="703" t="s">
        <v>356</v>
      </c>
      <c r="H88" s="703" t="s">
        <v>334</v>
      </c>
      <c r="I88" s="703" t="s">
        <v>334</v>
      </c>
      <c r="J88" s="703" t="s">
        <v>337</v>
      </c>
      <c r="K88" s="704">
        <v>0</v>
      </c>
      <c r="L88" s="703" t="s">
        <v>334</v>
      </c>
      <c r="M88" s="702">
        <v>39478</v>
      </c>
      <c r="N88" s="702">
        <v>43172</v>
      </c>
      <c r="O88" s="703" t="s">
        <v>338</v>
      </c>
      <c r="P88" s="20">
        <v>60657.02</v>
      </c>
      <c r="Q88" s="20">
        <v>0</v>
      </c>
      <c r="R88" s="20">
        <v>0</v>
      </c>
      <c r="S88" s="20">
        <v>0</v>
      </c>
      <c r="T88" s="20">
        <v>60657.02</v>
      </c>
      <c r="U88" s="20">
        <v>53074.89</v>
      </c>
      <c r="V88" s="20">
        <v>-7582.13</v>
      </c>
      <c r="W88" s="20">
        <v>-9604.0300000000007</v>
      </c>
      <c r="X88" s="20">
        <v>-2021.9</v>
      </c>
      <c r="Y88" s="20">
        <v>0</v>
      </c>
      <c r="Z88" s="20">
        <v>0</v>
      </c>
      <c r="AA88" s="20">
        <v>0</v>
      </c>
      <c r="AB88" s="20">
        <v>51052.99</v>
      </c>
      <c r="AC88" t="s">
        <v>183</v>
      </c>
      <c r="AD88" t="s">
        <v>290</v>
      </c>
      <c r="AE88" s="702">
        <f t="shared" si="5"/>
        <v>43252</v>
      </c>
      <c r="AF88" s="289">
        <v>100754.42293416371</v>
      </c>
      <c r="AG88">
        <f t="shared" si="6"/>
        <v>360</v>
      </c>
      <c r="AH88" s="289">
        <f t="shared" si="7"/>
        <v>279.87339703934362</v>
      </c>
      <c r="AJ88" s="289">
        <f t="shared" si="8"/>
        <v>54</v>
      </c>
      <c r="AK88" s="289">
        <f t="shared" si="9"/>
        <v>15113.163440124556</v>
      </c>
    </row>
    <row r="89" spans="1:37">
      <c r="A89" s="703" t="s">
        <v>529</v>
      </c>
      <c r="B89" s="703" t="s">
        <v>331</v>
      </c>
      <c r="C89" s="703" t="s">
        <v>332</v>
      </c>
      <c r="D89" s="703" t="s">
        <v>333</v>
      </c>
      <c r="E89" s="703" t="s">
        <v>334</v>
      </c>
      <c r="F89" s="703" t="s">
        <v>335</v>
      </c>
      <c r="G89" s="703" t="s">
        <v>348</v>
      </c>
      <c r="H89" s="703" t="s">
        <v>334</v>
      </c>
      <c r="I89" s="703" t="s">
        <v>334</v>
      </c>
      <c r="J89" s="703" t="s">
        <v>337</v>
      </c>
      <c r="K89" s="704">
        <v>0</v>
      </c>
      <c r="L89" s="703" t="s">
        <v>334</v>
      </c>
      <c r="M89" s="702">
        <v>42886</v>
      </c>
      <c r="N89" s="702">
        <v>43172</v>
      </c>
      <c r="O89" s="703" t="s">
        <v>338</v>
      </c>
      <c r="P89" s="20">
        <v>34365.08</v>
      </c>
      <c r="Q89" s="20">
        <v>0</v>
      </c>
      <c r="R89" s="20">
        <v>0</v>
      </c>
      <c r="S89" s="20">
        <v>0</v>
      </c>
      <c r="T89" s="20">
        <v>34365.08</v>
      </c>
      <c r="U89" s="20">
        <v>30069.45</v>
      </c>
      <c r="V89" s="20">
        <v>-4295.63</v>
      </c>
      <c r="W89" s="20">
        <v>-5441.13</v>
      </c>
      <c r="X89" s="20">
        <v>-1145.5</v>
      </c>
      <c r="Y89" s="20">
        <v>0</v>
      </c>
      <c r="Z89" s="20">
        <v>0</v>
      </c>
      <c r="AA89" s="20">
        <v>0</v>
      </c>
      <c r="AB89" s="20">
        <v>28923.95</v>
      </c>
      <c r="AC89" t="s">
        <v>183</v>
      </c>
      <c r="AD89" t="s">
        <v>290</v>
      </c>
      <c r="AE89" s="702">
        <f t="shared" si="5"/>
        <v>43252</v>
      </c>
      <c r="AF89" s="289">
        <v>57082.161380271747</v>
      </c>
      <c r="AG89">
        <f t="shared" si="6"/>
        <v>360</v>
      </c>
      <c r="AH89" s="289">
        <f t="shared" si="7"/>
        <v>158.56155938964375</v>
      </c>
      <c r="AJ89" s="289">
        <f t="shared" si="8"/>
        <v>54</v>
      </c>
      <c r="AK89" s="289">
        <f t="shared" si="9"/>
        <v>8562.3242070407632</v>
      </c>
    </row>
    <row r="90" spans="1:37">
      <c r="A90" s="703" t="s">
        <v>530</v>
      </c>
      <c r="B90" s="703" t="s">
        <v>331</v>
      </c>
      <c r="C90" s="703" t="s">
        <v>332</v>
      </c>
      <c r="D90" s="703" t="s">
        <v>333</v>
      </c>
      <c r="E90" s="703" t="s">
        <v>334</v>
      </c>
      <c r="F90" s="703" t="s">
        <v>335</v>
      </c>
      <c r="G90" s="703" t="s">
        <v>360</v>
      </c>
      <c r="H90" s="703" t="s">
        <v>334</v>
      </c>
      <c r="I90" s="703" t="s">
        <v>334</v>
      </c>
      <c r="J90" s="703" t="s">
        <v>337</v>
      </c>
      <c r="K90" s="704">
        <v>0</v>
      </c>
      <c r="L90" s="703" t="s">
        <v>334</v>
      </c>
      <c r="M90" s="702">
        <v>42886</v>
      </c>
      <c r="N90" s="702">
        <v>43172</v>
      </c>
      <c r="O90" s="703" t="s">
        <v>338</v>
      </c>
      <c r="P90" s="20">
        <v>8384.24</v>
      </c>
      <c r="Q90" s="20">
        <v>0</v>
      </c>
      <c r="R90" s="20">
        <v>0</v>
      </c>
      <c r="S90" s="20">
        <v>0</v>
      </c>
      <c r="T90" s="20">
        <v>8384.24</v>
      </c>
      <c r="U90" s="20">
        <v>7336.22</v>
      </c>
      <c r="V90" s="20">
        <v>-1048.02</v>
      </c>
      <c r="W90" s="20">
        <v>-1327.49</v>
      </c>
      <c r="X90" s="20">
        <v>-279.47000000000003</v>
      </c>
      <c r="Y90" s="20">
        <v>0</v>
      </c>
      <c r="Z90" s="20">
        <v>0</v>
      </c>
      <c r="AA90" s="20">
        <v>0</v>
      </c>
      <c r="AB90" s="20">
        <v>7056.75</v>
      </c>
      <c r="AC90" t="s">
        <v>183</v>
      </c>
      <c r="AD90" t="s">
        <v>290</v>
      </c>
      <c r="AE90" s="702">
        <f t="shared" si="5"/>
        <v>43252</v>
      </c>
      <c r="AF90" s="289">
        <v>13926.652890984964</v>
      </c>
      <c r="AG90">
        <f t="shared" si="6"/>
        <v>360</v>
      </c>
      <c r="AH90" s="289">
        <f t="shared" si="7"/>
        <v>38.685146919402676</v>
      </c>
      <c r="AJ90" s="289">
        <f t="shared" si="8"/>
        <v>54</v>
      </c>
      <c r="AK90" s="289">
        <f t="shared" si="9"/>
        <v>2088.9979336477445</v>
      </c>
    </row>
    <row r="91" spans="1:37">
      <c r="A91" s="703" t="s">
        <v>531</v>
      </c>
      <c r="B91" s="703" t="s">
        <v>331</v>
      </c>
      <c r="C91" s="703" t="s">
        <v>332</v>
      </c>
      <c r="D91" s="703" t="s">
        <v>333</v>
      </c>
      <c r="E91" s="703" t="s">
        <v>334</v>
      </c>
      <c r="F91" s="703" t="s">
        <v>335</v>
      </c>
      <c r="G91" s="703" t="s">
        <v>532</v>
      </c>
      <c r="H91" s="703" t="s">
        <v>334</v>
      </c>
      <c r="I91" s="703" t="s">
        <v>334</v>
      </c>
      <c r="J91" s="703" t="s">
        <v>337</v>
      </c>
      <c r="K91" s="704">
        <v>0</v>
      </c>
      <c r="L91" s="703" t="s">
        <v>334</v>
      </c>
      <c r="M91" s="702">
        <v>42886</v>
      </c>
      <c r="N91" s="702">
        <v>43172</v>
      </c>
      <c r="O91" s="703" t="s">
        <v>338</v>
      </c>
      <c r="P91" s="20">
        <v>3886.91</v>
      </c>
      <c r="Q91" s="20">
        <v>0</v>
      </c>
      <c r="R91" s="20">
        <v>0</v>
      </c>
      <c r="S91" s="20">
        <v>0</v>
      </c>
      <c r="T91" s="20">
        <v>3886.91</v>
      </c>
      <c r="U91" s="20">
        <v>3401.06</v>
      </c>
      <c r="V91" s="20">
        <v>-485.85</v>
      </c>
      <c r="W91" s="20">
        <v>-615.41</v>
      </c>
      <c r="X91" s="20">
        <v>-129.56</v>
      </c>
      <c r="Y91" s="20">
        <v>0</v>
      </c>
      <c r="Z91" s="20">
        <v>0</v>
      </c>
      <c r="AA91" s="20">
        <v>0</v>
      </c>
      <c r="AB91" s="20">
        <v>3271.5</v>
      </c>
      <c r="AC91" t="s">
        <v>183</v>
      </c>
      <c r="AD91" t="s">
        <v>290</v>
      </c>
      <c r="AE91" s="702">
        <f t="shared" si="5"/>
        <v>43252</v>
      </c>
      <c r="AF91" s="289">
        <v>6456.3569731422722</v>
      </c>
      <c r="AG91">
        <f t="shared" si="6"/>
        <v>360</v>
      </c>
      <c r="AH91" s="289">
        <f t="shared" si="7"/>
        <v>17.934324925395199</v>
      </c>
      <c r="AJ91" s="289">
        <f t="shared" si="8"/>
        <v>54</v>
      </c>
      <c r="AK91" s="289">
        <f t="shared" si="9"/>
        <v>968.45354597134076</v>
      </c>
    </row>
    <row r="92" spans="1:37">
      <c r="A92" s="703" t="s">
        <v>533</v>
      </c>
      <c r="B92" s="703" t="s">
        <v>331</v>
      </c>
      <c r="C92" s="703" t="s">
        <v>332</v>
      </c>
      <c r="D92" s="703" t="s">
        <v>333</v>
      </c>
      <c r="E92" s="703" t="s">
        <v>334</v>
      </c>
      <c r="F92" s="703" t="s">
        <v>335</v>
      </c>
      <c r="G92" s="703" t="s">
        <v>534</v>
      </c>
      <c r="H92" s="703" t="s">
        <v>334</v>
      </c>
      <c r="I92" s="703" t="s">
        <v>334</v>
      </c>
      <c r="J92" s="703" t="s">
        <v>337</v>
      </c>
      <c r="K92" s="704">
        <v>0</v>
      </c>
      <c r="L92" s="703" t="s">
        <v>334</v>
      </c>
      <c r="M92" s="702">
        <v>39478</v>
      </c>
      <c r="N92" s="702">
        <v>43172</v>
      </c>
      <c r="O92" s="703" t="s">
        <v>338</v>
      </c>
      <c r="P92" s="20">
        <v>258265.98</v>
      </c>
      <c r="Q92" s="20">
        <v>0</v>
      </c>
      <c r="R92" s="20">
        <v>0</v>
      </c>
      <c r="S92" s="20">
        <v>0</v>
      </c>
      <c r="T92" s="20">
        <v>258265.98</v>
      </c>
      <c r="U92" s="20">
        <v>226502</v>
      </c>
      <c r="V92" s="20">
        <v>-31763.98</v>
      </c>
      <c r="W92" s="20">
        <v>-40372.85</v>
      </c>
      <c r="X92" s="20">
        <v>-8608.8700000000008</v>
      </c>
      <c r="Y92" s="20">
        <v>0</v>
      </c>
      <c r="Z92" s="20">
        <v>0</v>
      </c>
      <c r="AA92" s="20">
        <v>0</v>
      </c>
      <c r="AB92" s="20">
        <v>217893.13</v>
      </c>
      <c r="AC92" t="s">
        <v>183</v>
      </c>
      <c r="AD92" t="s">
        <v>290</v>
      </c>
      <c r="AE92" s="702">
        <f t="shared" si="5"/>
        <v>43252</v>
      </c>
      <c r="AF92" s="289">
        <v>428993.04612106347</v>
      </c>
      <c r="AG92">
        <f t="shared" si="6"/>
        <v>360</v>
      </c>
      <c r="AH92" s="289">
        <f t="shared" si="7"/>
        <v>1191.6473503362874</v>
      </c>
      <c r="AJ92" s="289">
        <f t="shared" si="8"/>
        <v>54</v>
      </c>
      <c r="AK92" s="289">
        <f t="shared" si="9"/>
        <v>64348.956918159522</v>
      </c>
    </row>
    <row r="93" spans="1:37">
      <c r="A93" s="703" t="s">
        <v>535</v>
      </c>
      <c r="B93" s="703" t="s">
        <v>331</v>
      </c>
      <c r="C93" s="703" t="s">
        <v>332</v>
      </c>
      <c r="D93" s="703" t="s">
        <v>333</v>
      </c>
      <c r="E93" s="703" t="s">
        <v>334</v>
      </c>
      <c r="F93" s="703" t="s">
        <v>335</v>
      </c>
      <c r="G93" s="703" t="s">
        <v>536</v>
      </c>
      <c r="H93" s="703" t="s">
        <v>334</v>
      </c>
      <c r="I93" s="703" t="s">
        <v>334</v>
      </c>
      <c r="J93" s="703" t="s">
        <v>337</v>
      </c>
      <c r="K93" s="704">
        <v>0</v>
      </c>
      <c r="L93" s="703" t="s">
        <v>334</v>
      </c>
      <c r="M93" s="702">
        <v>39478</v>
      </c>
      <c r="N93" s="702">
        <v>43172</v>
      </c>
      <c r="O93" s="703" t="s">
        <v>338</v>
      </c>
      <c r="P93" s="20">
        <v>8754.75</v>
      </c>
      <c r="Q93" s="20">
        <v>0</v>
      </c>
      <c r="R93" s="20">
        <v>0</v>
      </c>
      <c r="S93" s="20">
        <v>0</v>
      </c>
      <c r="T93" s="20">
        <v>8754.75</v>
      </c>
      <c r="U93" s="20">
        <v>7660.39</v>
      </c>
      <c r="V93" s="20">
        <v>-1094.3599999999999</v>
      </c>
      <c r="W93" s="20">
        <v>-1386.19</v>
      </c>
      <c r="X93" s="20">
        <v>-291.83</v>
      </c>
      <c r="Y93" s="20">
        <v>0</v>
      </c>
      <c r="Z93" s="20">
        <v>0</v>
      </c>
      <c r="AA93" s="20">
        <v>0</v>
      </c>
      <c r="AB93" s="20">
        <v>7368.56</v>
      </c>
      <c r="AC93" t="s">
        <v>183</v>
      </c>
      <c r="AD93" t="s">
        <v>290</v>
      </c>
      <c r="AE93" s="702">
        <f t="shared" si="5"/>
        <v>43252</v>
      </c>
      <c r="AF93" s="289">
        <v>14542.089014311448</v>
      </c>
      <c r="AG93">
        <f t="shared" si="6"/>
        <v>360</v>
      </c>
      <c r="AH93" s="289">
        <f t="shared" si="7"/>
        <v>40.394691706420687</v>
      </c>
      <c r="AJ93" s="289">
        <f t="shared" si="8"/>
        <v>54</v>
      </c>
      <c r="AK93" s="289">
        <f t="shared" si="9"/>
        <v>2181.3133521467171</v>
      </c>
    </row>
    <row r="94" spans="1:37">
      <c r="A94" s="703" t="s">
        <v>537</v>
      </c>
      <c r="B94" s="703" t="s">
        <v>331</v>
      </c>
      <c r="C94" s="703" t="s">
        <v>390</v>
      </c>
      <c r="D94" s="703" t="s">
        <v>391</v>
      </c>
      <c r="E94" s="703" t="s">
        <v>334</v>
      </c>
      <c r="F94" s="703" t="s">
        <v>335</v>
      </c>
      <c r="G94" s="703" t="s">
        <v>538</v>
      </c>
      <c r="H94" s="703" t="s">
        <v>334</v>
      </c>
      <c r="I94" s="703" t="s">
        <v>334</v>
      </c>
      <c r="J94" s="703" t="s">
        <v>337</v>
      </c>
      <c r="K94" s="704">
        <v>0</v>
      </c>
      <c r="L94" s="703" t="s">
        <v>334</v>
      </c>
      <c r="M94" s="702">
        <v>40574</v>
      </c>
      <c r="N94" s="702">
        <v>43172</v>
      </c>
      <c r="O94" s="703" t="s">
        <v>338</v>
      </c>
      <c r="P94" s="20">
        <v>9244.7099999999991</v>
      </c>
      <c r="Q94" s="20">
        <v>0</v>
      </c>
      <c r="R94" s="20">
        <v>0</v>
      </c>
      <c r="S94" s="20">
        <v>0</v>
      </c>
      <c r="T94" s="20">
        <v>9244.7099999999991</v>
      </c>
      <c r="U94" s="20">
        <v>8089.11</v>
      </c>
      <c r="V94" s="20">
        <v>-1155.5999999999999</v>
      </c>
      <c r="W94" s="20">
        <v>-1463.76</v>
      </c>
      <c r="X94" s="20">
        <v>-308.16000000000003</v>
      </c>
      <c r="Y94" s="20">
        <v>0</v>
      </c>
      <c r="Z94" s="20">
        <v>0</v>
      </c>
      <c r="AA94" s="20">
        <v>0</v>
      </c>
      <c r="AB94" s="20">
        <v>7780.95</v>
      </c>
      <c r="AC94" t="s">
        <v>188</v>
      </c>
      <c r="AD94" t="s">
        <v>290</v>
      </c>
      <c r="AE94" s="702">
        <f t="shared" si="5"/>
        <v>43252</v>
      </c>
      <c r="AF94" s="289">
        <v>15355.937717409999</v>
      </c>
      <c r="AG94">
        <f t="shared" si="6"/>
        <v>360</v>
      </c>
      <c r="AH94" s="289">
        <f t="shared" si="7"/>
        <v>42.655382548361111</v>
      </c>
      <c r="AJ94" s="289">
        <f t="shared" si="8"/>
        <v>54</v>
      </c>
      <c r="AK94" s="289">
        <f t="shared" si="9"/>
        <v>2303.3906576115</v>
      </c>
    </row>
    <row r="95" spans="1:37">
      <c r="A95" s="703" t="s">
        <v>539</v>
      </c>
      <c r="B95" s="703" t="s">
        <v>331</v>
      </c>
      <c r="C95" s="703" t="s">
        <v>390</v>
      </c>
      <c r="D95" s="703" t="s">
        <v>391</v>
      </c>
      <c r="E95" s="703" t="s">
        <v>334</v>
      </c>
      <c r="F95" s="703" t="s">
        <v>335</v>
      </c>
      <c r="G95" s="703" t="s">
        <v>398</v>
      </c>
      <c r="H95" s="703" t="s">
        <v>334</v>
      </c>
      <c r="I95" s="703" t="s">
        <v>334</v>
      </c>
      <c r="J95" s="703" t="s">
        <v>337</v>
      </c>
      <c r="K95" s="704">
        <v>0</v>
      </c>
      <c r="L95" s="703" t="s">
        <v>334</v>
      </c>
      <c r="M95" s="702">
        <v>42886</v>
      </c>
      <c r="N95" s="702">
        <v>43172</v>
      </c>
      <c r="O95" s="703" t="s">
        <v>338</v>
      </c>
      <c r="P95" s="20">
        <v>23834.6</v>
      </c>
      <c r="Q95" s="20">
        <v>0</v>
      </c>
      <c r="R95" s="20">
        <v>0</v>
      </c>
      <c r="S95" s="20">
        <v>0</v>
      </c>
      <c r="T95" s="20">
        <v>23834.6</v>
      </c>
      <c r="U95" s="20">
        <v>20855.259999999998</v>
      </c>
      <c r="V95" s="20">
        <v>-2979.34</v>
      </c>
      <c r="W95" s="20">
        <v>-3773.83</v>
      </c>
      <c r="X95" s="20">
        <v>-794.49</v>
      </c>
      <c r="Y95" s="20">
        <v>0</v>
      </c>
      <c r="Z95" s="20">
        <v>0</v>
      </c>
      <c r="AA95" s="20">
        <v>0</v>
      </c>
      <c r="AB95" s="20">
        <v>20060.77</v>
      </c>
      <c r="AC95" t="s">
        <v>188</v>
      </c>
      <c r="AD95" t="s">
        <v>290</v>
      </c>
      <c r="AE95" s="702">
        <f t="shared" si="5"/>
        <v>43252</v>
      </c>
      <c r="AF95" s="289">
        <v>39590.49371147179</v>
      </c>
      <c r="AG95">
        <f t="shared" si="6"/>
        <v>360</v>
      </c>
      <c r="AH95" s="289">
        <f t="shared" si="7"/>
        <v>109.97359364297719</v>
      </c>
      <c r="AJ95" s="289">
        <f t="shared" si="8"/>
        <v>54</v>
      </c>
      <c r="AK95" s="289">
        <f t="shared" si="9"/>
        <v>5938.5740567207686</v>
      </c>
    </row>
    <row r="96" spans="1:37">
      <c r="A96" s="703" t="s">
        <v>540</v>
      </c>
      <c r="B96" s="703" t="s">
        <v>331</v>
      </c>
      <c r="C96" s="703" t="s">
        <v>390</v>
      </c>
      <c r="D96" s="703" t="s">
        <v>391</v>
      </c>
      <c r="E96" s="703" t="s">
        <v>334</v>
      </c>
      <c r="F96" s="703" t="s">
        <v>335</v>
      </c>
      <c r="G96" s="703" t="s">
        <v>400</v>
      </c>
      <c r="H96" s="703" t="s">
        <v>334</v>
      </c>
      <c r="I96" s="703" t="s">
        <v>334</v>
      </c>
      <c r="J96" s="703" t="s">
        <v>337</v>
      </c>
      <c r="K96" s="704">
        <v>0</v>
      </c>
      <c r="L96" s="703" t="s">
        <v>334</v>
      </c>
      <c r="M96" s="702">
        <v>40574</v>
      </c>
      <c r="N96" s="702">
        <v>43172</v>
      </c>
      <c r="O96" s="703" t="s">
        <v>338</v>
      </c>
      <c r="P96" s="20">
        <v>15115.5</v>
      </c>
      <c r="Q96" s="20">
        <v>0</v>
      </c>
      <c r="R96" s="20">
        <v>0</v>
      </c>
      <c r="S96" s="20">
        <v>0</v>
      </c>
      <c r="T96" s="20">
        <v>15115.5</v>
      </c>
      <c r="U96" s="20">
        <v>13226.06</v>
      </c>
      <c r="V96" s="20">
        <v>-1889.44</v>
      </c>
      <c r="W96" s="20">
        <v>-2393.29</v>
      </c>
      <c r="X96" s="20">
        <v>-503.85</v>
      </c>
      <c r="Y96" s="20">
        <v>0</v>
      </c>
      <c r="Z96" s="20">
        <v>0</v>
      </c>
      <c r="AA96" s="20">
        <v>0</v>
      </c>
      <c r="AB96" s="20">
        <v>12722.21</v>
      </c>
      <c r="AC96" t="s">
        <v>188</v>
      </c>
      <c r="AD96" t="s">
        <v>290</v>
      </c>
      <c r="AE96" s="702">
        <f t="shared" si="5"/>
        <v>43252</v>
      </c>
      <c r="AF96" s="289">
        <v>25107.621176598383</v>
      </c>
      <c r="AG96">
        <f t="shared" si="6"/>
        <v>360</v>
      </c>
      <c r="AH96" s="289">
        <f t="shared" si="7"/>
        <v>69.743392157217727</v>
      </c>
      <c r="AJ96" s="289">
        <f t="shared" si="8"/>
        <v>54</v>
      </c>
      <c r="AK96" s="289">
        <f t="shared" si="9"/>
        <v>3766.143176489757</v>
      </c>
    </row>
    <row r="97" spans="1:37">
      <c r="A97" s="703" t="s">
        <v>541</v>
      </c>
      <c r="B97" s="703" t="s">
        <v>331</v>
      </c>
      <c r="C97" s="703" t="s">
        <v>390</v>
      </c>
      <c r="D97" s="703" t="s">
        <v>391</v>
      </c>
      <c r="E97" s="703" t="s">
        <v>334</v>
      </c>
      <c r="F97" s="703" t="s">
        <v>335</v>
      </c>
      <c r="G97" s="703" t="s">
        <v>402</v>
      </c>
      <c r="H97" s="703" t="s">
        <v>334</v>
      </c>
      <c r="I97" s="703" t="s">
        <v>334</v>
      </c>
      <c r="J97" s="703" t="s">
        <v>337</v>
      </c>
      <c r="K97" s="704">
        <v>0</v>
      </c>
      <c r="L97" s="703" t="s">
        <v>334</v>
      </c>
      <c r="M97" s="702">
        <v>42886</v>
      </c>
      <c r="N97" s="702">
        <v>43172</v>
      </c>
      <c r="O97" s="703" t="s">
        <v>338</v>
      </c>
      <c r="P97" s="20">
        <v>9484.91</v>
      </c>
      <c r="Q97" s="20">
        <v>0</v>
      </c>
      <c r="R97" s="20">
        <v>0</v>
      </c>
      <c r="S97" s="20">
        <v>0</v>
      </c>
      <c r="T97" s="20">
        <v>9484.91</v>
      </c>
      <c r="U97" s="20">
        <v>8299.31</v>
      </c>
      <c r="V97" s="20">
        <v>-1185.5999999999999</v>
      </c>
      <c r="W97" s="20">
        <v>-1501.76</v>
      </c>
      <c r="X97" s="20">
        <v>-316.16000000000003</v>
      </c>
      <c r="Y97" s="20">
        <v>0</v>
      </c>
      <c r="Z97" s="20">
        <v>0</v>
      </c>
      <c r="AA97" s="20">
        <v>0</v>
      </c>
      <c r="AB97" s="20">
        <v>7983.15</v>
      </c>
      <c r="AC97" t="s">
        <v>188</v>
      </c>
      <c r="AD97" t="s">
        <v>290</v>
      </c>
      <c r="AE97" s="702">
        <f t="shared" si="5"/>
        <v>43252</v>
      </c>
      <c r="AF97" s="289">
        <v>15754.922243665758</v>
      </c>
      <c r="AG97">
        <f t="shared" si="6"/>
        <v>360</v>
      </c>
      <c r="AH97" s="289">
        <f t="shared" si="7"/>
        <v>43.763672899071551</v>
      </c>
      <c r="AJ97" s="289">
        <f t="shared" si="8"/>
        <v>54</v>
      </c>
      <c r="AK97" s="289">
        <f t="shared" si="9"/>
        <v>2363.2383365498636</v>
      </c>
    </row>
    <row r="98" spans="1:37">
      <c r="A98" s="703" t="s">
        <v>542</v>
      </c>
      <c r="B98" s="703" t="s">
        <v>331</v>
      </c>
      <c r="C98" s="703" t="s">
        <v>390</v>
      </c>
      <c r="D98" s="703" t="s">
        <v>391</v>
      </c>
      <c r="E98" s="703" t="s">
        <v>334</v>
      </c>
      <c r="F98" s="703" t="s">
        <v>335</v>
      </c>
      <c r="G98" s="703" t="s">
        <v>406</v>
      </c>
      <c r="H98" s="703" t="s">
        <v>334</v>
      </c>
      <c r="I98" s="703" t="s">
        <v>334</v>
      </c>
      <c r="J98" s="703" t="s">
        <v>337</v>
      </c>
      <c r="K98" s="704">
        <v>0</v>
      </c>
      <c r="L98" s="703" t="s">
        <v>334</v>
      </c>
      <c r="M98" s="702">
        <v>40574</v>
      </c>
      <c r="N98" s="702">
        <v>43172</v>
      </c>
      <c r="O98" s="703" t="s">
        <v>338</v>
      </c>
      <c r="P98" s="20">
        <v>26122.98</v>
      </c>
      <c r="Q98" s="20">
        <v>0</v>
      </c>
      <c r="R98" s="20">
        <v>0</v>
      </c>
      <c r="S98" s="20">
        <v>0</v>
      </c>
      <c r="T98" s="20">
        <v>26122.98</v>
      </c>
      <c r="U98" s="20">
        <v>22857.599999999999</v>
      </c>
      <c r="V98" s="20">
        <v>-3265.38</v>
      </c>
      <c r="W98" s="20">
        <v>-4136.1499999999996</v>
      </c>
      <c r="X98" s="20">
        <v>-870.77</v>
      </c>
      <c r="Y98" s="20">
        <v>0</v>
      </c>
      <c r="Z98" s="20">
        <v>0</v>
      </c>
      <c r="AA98" s="20">
        <v>0</v>
      </c>
      <c r="AB98" s="20">
        <v>21986.83</v>
      </c>
      <c r="AC98" t="s">
        <v>188</v>
      </c>
      <c r="AD98" t="s">
        <v>290</v>
      </c>
      <c r="AE98" s="702">
        <f t="shared" si="5"/>
        <v>43252</v>
      </c>
      <c r="AF98" s="289">
        <v>43391.610323433299</v>
      </c>
      <c r="AG98">
        <f t="shared" si="6"/>
        <v>360</v>
      </c>
      <c r="AH98" s="289">
        <f t="shared" si="7"/>
        <v>120.53225089842583</v>
      </c>
      <c r="AJ98" s="289">
        <f t="shared" si="8"/>
        <v>54</v>
      </c>
      <c r="AK98" s="289">
        <f t="shared" si="9"/>
        <v>6508.741548514995</v>
      </c>
    </row>
    <row r="99" spans="1:37">
      <c r="A99" s="703" t="s">
        <v>543</v>
      </c>
      <c r="B99" s="703" t="s">
        <v>331</v>
      </c>
      <c r="C99" s="703" t="s">
        <v>390</v>
      </c>
      <c r="D99" s="703" t="s">
        <v>391</v>
      </c>
      <c r="E99" s="703" t="s">
        <v>334</v>
      </c>
      <c r="F99" s="703" t="s">
        <v>335</v>
      </c>
      <c r="G99" s="703" t="s">
        <v>396</v>
      </c>
      <c r="H99" s="703" t="s">
        <v>334</v>
      </c>
      <c r="I99" s="703" t="s">
        <v>334</v>
      </c>
      <c r="J99" s="703" t="s">
        <v>337</v>
      </c>
      <c r="K99" s="704">
        <v>0</v>
      </c>
      <c r="L99" s="703" t="s">
        <v>334</v>
      </c>
      <c r="M99" s="702">
        <v>42886</v>
      </c>
      <c r="N99" s="702">
        <v>43172</v>
      </c>
      <c r="O99" s="703" t="s">
        <v>338</v>
      </c>
      <c r="P99" s="20">
        <v>5509.89</v>
      </c>
      <c r="Q99" s="20">
        <v>0</v>
      </c>
      <c r="R99" s="20">
        <v>0</v>
      </c>
      <c r="S99" s="20">
        <v>0</v>
      </c>
      <c r="T99" s="20">
        <v>5509.89</v>
      </c>
      <c r="U99" s="20">
        <v>4821.16</v>
      </c>
      <c r="V99" s="20">
        <v>-688.73</v>
      </c>
      <c r="W99" s="20">
        <v>-872.39</v>
      </c>
      <c r="X99" s="20">
        <v>-183.66</v>
      </c>
      <c r="Y99" s="20">
        <v>0</v>
      </c>
      <c r="Z99" s="20">
        <v>0</v>
      </c>
      <c r="AA99" s="20">
        <v>0</v>
      </c>
      <c r="AB99" s="20">
        <v>4637.5</v>
      </c>
      <c r="AC99" t="s">
        <v>188</v>
      </c>
      <c r="AD99" t="s">
        <v>290</v>
      </c>
      <c r="AE99" s="702">
        <f t="shared" si="5"/>
        <v>43252</v>
      </c>
      <c r="AF99" s="289">
        <v>9152.2100390147643</v>
      </c>
      <c r="AG99">
        <f t="shared" si="6"/>
        <v>360</v>
      </c>
      <c r="AH99" s="289">
        <f t="shared" si="7"/>
        <v>25.4228056639299</v>
      </c>
      <c r="AJ99" s="289">
        <f t="shared" si="8"/>
        <v>54</v>
      </c>
      <c r="AK99" s="289">
        <f t="shared" si="9"/>
        <v>1372.8315058522146</v>
      </c>
    </row>
    <row r="100" spans="1:37">
      <c r="A100" s="703" t="s">
        <v>544</v>
      </c>
      <c r="B100" s="703" t="s">
        <v>331</v>
      </c>
      <c r="C100" s="703" t="s">
        <v>390</v>
      </c>
      <c r="D100" s="703" t="s">
        <v>391</v>
      </c>
      <c r="E100" s="703" t="s">
        <v>334</v>
      </c>
      <c r="F100" s="703" t="s">
        <v>335</v>
      </c>
      <c r="G100" s="703" t="s">
        <v>424</v>
      </c>
      <c r="H100" s="703" t="s">
        <v>334</v>
      </c>
      <c r="I100" s="703" t="s">
        <v>334</v>
      </c>
      <c r="J100" s="703" t="s">
        <v>337</v>
      </c>
      <c r="K100" s="704">
        <v>0</v>
      </c>
      <c r="L100" s="703" t="s">
        <v>334</v>
      </c>
      <c r="M100" s="702">
        <v>42886</v>
      </c>
      <c r="N100" s="702">
        <v>43172</v>
      </c>
      <c r="O100" s="703" t="s">
        <v>338</v>
      </c>
      <c r="P100" s="20">
        <v>14432.58</v>
      </c>
      <c r="Q100" s="20">
        <v>0</v>
      </c>
      <c r="R100" s="20">
        <v>0</v>
      </c>
      <c r="S100" s="20">
        <v>0</v>
      </c>
      <c r="T100" s="20">
        <v>14432.58</v>
      </c>
      <c r="U100" s="20">
        <v>12628.5</v>
      </c>
      <c r="V100" s="20">
        <v>-1804.08</v>
      </c>
      <c r="W100" s="20">
        <v>-2285.17</v>
      </c>
      <c r="X100" s="20">
        <v>-481.09</v>
      </c>
      <c r="Y100" s="20">
        <v>0</v>
      </c>
      <c r="Z100" s="20">
        <v>0</v>
      </c>
      <c r="AA100" s="20">
        <v>0</v>
      </c>
      <c r="AB100" s="20">
        <v>12147.41</v>
      </c>
      <c r="AC100" t="s">
        <v>188</v>
      </c>
      <c r="AD100" t="s">
        <v>290</v>
      </c>
      <c r="AE100" s="702">
        <f t="shared" si="5"/>
        <v>43252</v>
      </c>
      <c r="AF100" s="289">
        <v>23973.256011441918</v>
      </c>
      <c r="AG100">
        <f t="shared" si="6"/>
        <v>360</v>
      </c>
      <c r="AH100" s="289">
        <f t="shared" si="7"/>
        <v>66.592377809560887</v>
      </c>
      <c r="AJ100" s="289">
        <f t="shared" si="8"/>
        <v>54</v>
      </c>
      <c r="AK100" s="289">
        <f t="shared" si="9"/>
        <v>3595.9884017162881</v>
      </c>
    </row>
    <row r="101" spans="1:37">
      <c r="A101" s="703" t="s">
        <v>545</v>
      </c>
      <c r="B101" s="703" t="s">
        <v>331</v>
      </c>
      <c r="C101" s="703" t="s">
        <v>390</v>
      </c>
      <c r="D101" s="703" t="s">
        <v>391</v>
      </c>
      <c r="E101" s="703" t="s">
        <v>334</v>
      </c>
      <c r="F101" s="703" t="s">
        <v>335</v>
      </c>
      <c r="G101" s="703" t="s">
        <v>404</v>
      </c>
      <c r="H101" s="703" t="s">
        <v>334</v>
      </c>
      <c r="I101" s="703" t="s">
        <v>334</v>
      </c>
      <c r="J101" s="703" t="s">
        <v>337</v>
      </c>
      <c r="K101" s="704">
        <v>0</v>
      </c>
      <c r="L101" s="703" t="s">
        <v>334</v>
      </c>
      <c r="M101" s="702">
        <v>42886</v>
      </c>
      <c r="N101" s="702">
        <v>43172</v>
      </c>
      <c r="O101" s="703" t="s">
        <v>338</v>
      </c>
      <c r="P101" s="20">
        <v>32599.360000000001</v>
      </c>
      <c r="Q101" s="20">
        <v>0</v>
      </c>
      <c r="R101" s="20">
        <v>0</v>
      </c>
      <c r="S101" s="20">
        <v>0</v>
      </c>
      <c r="T101" s="20">
        <v>32599.360000000001</v>
      </c>
      <c r="U101" s="20">
        <v>28524.43</v>
      </c>
      <c r="V101" s="20">
        <v>-4074.93</v>
      </c>
      <c r="W101" s="20">
        <v>-5161.58</v>
      </c>
      <c r="X101" s="20">
        <v>-1086.6500000000001</v>
      </c>
      <c r="Y101" s="20">
        <v>0</v>
      </c>
      <c r="Z101" s="20">
        <v>0</v>
      </c>
      <c r="AA101" s="20">
        <v>0</v>
      </c>
      <c r="AB101" s="20">
        <v>27437.78</v>
      </c>
      <c r="AC101" t="s">
        <v>188</v>
      </c>
      <c r="AD101" t="s">
        <v>290</v>
      </c>
      <c r="AE101" s="702">
        <f t="shared" si="5"/>
        <v>43252</v>
      </c>
      <c r="AF101" s="289">
        <v>54149.209849462757</v>
      </c>
      <c r="AG101">
        <f t="shared" si="6"/>
        <v>360</v>
      </c>
      <c r="AH101" s="289">
        <f t="shared" si="7"/>
        <v>150.41447180406323</v>
      </c>
      <c r="AJ101" s="289">
        <f t="shared" si="8"/>
        <v>54</v>
      </c>
      <c r="AK101" s="289">
        <f t="shared" si="9"/>
        <v>8122.3814774194143</v>
      </c>
    </row>
    <row r="102" spans="1:37">
      <c r="A102" s="703" t="s">
        <v>546</v>
      </c>
      <c r="B102" s="703" t="s">
        <v>331</v>
      </c>
      <c r="C102" s="703" t="s">
        <v>390</v>
      </c>
      <c r="D102" s="703" t="s">
        <v>391</v>
      </c>
      <c r="E102" s="703" t="s">
        <v>334</v>
      </c>
      <c r="F102" s="703" t="s">
        <v>335</v>
      </c>
      <c r="G102" s="703" t="s">
        <v>412</v>
      </c>
      <c r="H102" s="703" t="s">
        <v>334</v>
      </c>
      <c r="I102" s="703" t="s">
        <v>334</v>
      </c>
      <c r="J102" s="703" t="s">
        <v>337</v>
      </c>
      <c r="K102" s="704">
        <v>0</v>
      </c>
      <c r="L102" s="703" t="s">
        <v>334</v>
      </c>
      <c r="M102" s="702">
        <v>40574</v>
      </c>
      <c r="N102" s="702">
        <v>43172</v>
      </c>
      <c r="O102" s="703" t="s">
        <v>338</v>
      </c>
      <c r="P102" s="20">
        <v>29807.79</v>
      </c>
      <c r="Q102" s="20">
        <v>0</v>
      </c>
      <c r="R102" s="20">
        <v>0</v>
      </c>
      <c r="S102" s="20">
        <v>0</v>
      </c>
      <c r="T102" s="20">
        <v>29807.79</v>
      </c>
      <c r="U102" s="20">
        <v>26081.83</v>
      </c>
      <c r="V102" s="20">
        <v>-3725.96</v>
      </c>
      <c r="W102" s="20">
        <v>-4719.55</v>
      </c>
      <c r="X102" s="20">
        <v>-993.59</v>
      </c>
      <c r="Y102" s="20">
        <v>0</v>
      </c>
      <c r="Z102" s="20">
        <v>0</v>
      </c>
      <c r="AA102" s="20">
        <v>0</v>
      </c>
      <c r="AB102" s="20">
        <v>25088.240000000002</v>
      </c>
      <c r="AC102" t="s">
        <v>188</v>
      </c>
      <c r="AD102" t="s">
        <v>290</v>
      </c>
      <c r="AE102" s="702">
        <f t="shared" si="5"/>
        <v>43252</v>
      </c>
      <c r="AF102" s="289">
        <v>49512.26882548361</v>
      </c>
      <c r="AG102">
        <f t="shared" si="6"/>
        <v>360</v>
      </c>
      <c r="AH102" s="289">
        <f t="shared" si="7"/>
        <v>137.53408007078781</v>
      </c>
      <c r="AJ102" s="289">
        <f t="shared" si="8"/>
        <v>54</v>
      </c>
      <c r="AK102" s="289">
        <f t="shared" si="9"/>
        <v>7426.8403238225419</v>
      </c>
    </row>
    <row r="103" spans="1:37">
      <c r="A103" s="703" t="s">
        <v>547</v>
      </c>
      <c r="B103" s="703" t="s">
        <v>331</v>
      </c>
      <c r="C103" s="703" t="s">
        <v>390</v>
      </c>
      <c r="D103" s="703" t="s">
        <v>391</v>
      </c>
      <c r="E103" s="703" t="s">
        <v>334</v>
      </c>
      <c r="F103" s="703" t="s">
        <v>335</v>
      </c>
      <c r="G103" s="703" t="s">
        <v>548</v>
      </c>
      <c r="H103" s="703" t="s">
        <v>334</v>
      </c>
      <c r="I103" s="703" t="s">
        <v>334</v>
      </c>
      <c r="J103" s="703" t="s">
        <v>337</v>
      </c>
      <c r="K103" s="704">
        <v>0</v>
      </c>
      <c r="L103" s="703" t="s">
        <v>334</v>
      </c>
      <c r="M103" s="702">
        <v>42886</v>
      </c>
      <c r="N103" s="702">
        <v>43172</v>
      </c>
      <c r="O103" s="703" t="s">
        <v>338</v>
      </c>
      <c r="P103" s="20">
        <v>8496.7199999999993</v>
      </c>
      <c r="Q103" s="20">
        <v>0</v>
      </c>
      <c r="R103" s="20">
        <v>0</v>
      </c>
      <c r="S103" s="20">
        <v>0</v>
      </c>
      <c r="T103" s="20">
        <v>8496.7199999999993</v>
      </c>
      <c r="U103" s="20">
        <v>7434.64</v>
      </c>
      <c r="V103" s="20">
        <v>-1062.08</v>
      </c>
      <c r="W103" s="20">
        <v>-1345.3</v>
      </c>
      <c r="X103" s="20">
        <v>-283.22000000000003</v>
      </c>
      <c r="Y103" s="20">
        <v>0</v>
      </c>
      <c r="Z103" s="20">
        <v>0</v>
      </c>
      <c r="AA103" s="20">
        <v>0</v>
      </c>
      <c r="AB103" s="20">
        <v>7151.42</v>
      </c>
      <c r="AC103" t="s">
        <v>188</v>
      </c>
      <c r="AD103" t="s">
        <v>290</v>
      </c>
      <c r="AE103" s="702">
        <f t="shared" si="5"/>
        <v>43252</v>
      </c>
      <c r="AF103" s="289">
        <v>14113.487943080085</v>
      </c>
      <c r="AG103">
        <f t="shared" si="6"/>
        <v>360</v>
      </c>
      <c r="AH103" s="289">
        <f t="shared" si="7"/>
        <v>39.204133175222459</v>
      </c>
      <c r="AJ103" s="289">
        <f t="shared" si="8"/>
        <v>54</v>
      </c>
      <c r="AK103" s="289">
        <f t="shared" si="9"/>
        <v>2117.0231914620126</v>
      </c>
    </row>
    <row r="104" spans="1:37">
      <c r="A104" s="703" t="s">
        <v>549</v>
      </c>
      <c r="B104" s="703" t="s">
        <v>331</v>
      </c>
      <c r="C104" s="703" t="s">
        <v>390</v>
      </c>
      <c r="D104" s="703" t="s">
        <v>391</v>
      </c>
      <c r="E104" s="703" t="s">
        <v>334</v>
      </c>
      <c r="F104" s="703" t="s">
        <v>335</v>
      </c>
      <c r="G104" s="703" t="s">
        <v>420</v>
      </c>
      <c r="H104" s="703" t="s">
        <v>334</v>
      </c>
      <c r="I104" s="703" t="s">
        <v>334</v>
      </c>
      <c r="J104" s="703" t="s">
        <v>337</v>
      </c>
      <c r="K104" s="704">
        <v>0</v>
      </c>
      <c r="L104" s="703" t="s">
        <v>334</v>
      </c>
      <c r="M104" s="702">
        <v>42886</v>
      </c>
      <c r="N104" s="702">
        <v>43172</v>
      </c>
      <c r="O104" s="703" t="s">
        <v>338</v>
      </c>
      <c r="P104" s="20">
        <v>993.51</v>
      </c>
      <c r="Q104" s="20">
        <v>0</v>
      </c>
      <c r="R104" s="20">
        <v>0</v>
      </c>
      <c r="S104" s="20">
        <v>0</v>
      </c>
      <c r="T104" s="20">
        <v>993.51</v>
      </c>
      <c r="U104" s="20">
        <v>869.31</v>
      </c>
      <c r="V104" s="20">
        <v>-124.2</v>
      </c>
      <c r="W104" s="20">
        <v>-157.32</v>
      </c>
      <c r="X104" s="20">
        <v>-33.119999999999997</v>
      </c>
      <c r="Y104" s="20">
        <v>0</v>
      </c>
      <c r="Z104" s="20">
        <v>0</v>
      </c>
      <c r="AA104" s="20">
        <v>0</v>
      </c>
      <c r="AB104" s="20">
        <v>836.19</v>
      </c>
      <c r="AC104" t="s">
        <v>188</v>
      </c>
      <c r="AD104" t="s">
        <v>290</v>
      </c>
      <c r="AE104" s="702">
        <f t="shared" si="5"/>
        <v>43252</v>
      </c>
      <c r="AF104" s="289">
        <v>1650.271093590173</v>
      </c>
      <c r="AG104">
        <f t="shared" si="6"/>
        <v>360</v>
      </c>
      <c r="AH104" s="289">
        <f t="shared" si="7"/>
        <v>4.5840863710838136</v>
      </c>
      <c r="AJ104" s="289">
        <f t="shared" si="8"/>
        <v>54</v>
      </c>
      <c r="AK104" s="289">
        <f t="shared" si="9"/>
        <v>247.54066403852593</v>
      </c>
    </row>
    <row r="105" spans="1:37">
      <c r="A105" s="703" t="s">
        <v>550</v>
      </c>
      <c r="B105" s="703" t="s">
        <v>331</v>
      </c>
      <c r="C105" s="703" t="s">
        <v>390</v>
      </c>
      <c r="D105" s="703" t="s">
        <v>391</v>
      </c>
      <c r="E105" s="703" t="s">
        <v>334</v>
      </c>
      <c r="F105" s="703" t="s">
        <v>335</v>
      </c>
      <c r="G105" s="703" t="s">
        <v>434</v>
      </c>
      <c r="H105" s="703" t="s">
        <v>334</v>
      </c>
      <c r="I105" s="703" t="s">
        <v>334</v>
      </c>
      <c r="J105" s="703" t="s">
        <v>337</v>
      </c>
      <c r="K105" s="704">
        <v>0</v>
      </c>
      <c r="L105" s="703" t="s">
        <v>334</v>
      </c>
      <c r="M105" s="702">
        <v>40574</v>
      </c>
      <c r="N105" s="702">
        <v>43172</v>
      </c>
      <c r="O105" s="703" t="s">
        <v>338</v>
      </c>
      <c r="P105" s="20">
        <v>4784.25</v>
      </c>
      <c r="Q105" s="20">
        <v>0</v>
      </c>
      <c r="R105" s="20">
        <v>0</v>
      </c>
      <c r="S105" s="20">
        <v>0</v>
      </c>
      <c r="T105" s="20">
        <v>4784.25</v>
      </c>
      <c r="U105" s="20">
        <v>4186.2</v>
      </c>
      <c r="V105" s="20">
        <v>-598.04999999999995</v>
      </c>
      <c r="W105" s="20">
        <v>-757.53</v>
      </c>
      <c r="X105" s="20">
        <v>-159.47999999999999</v>
      </c>
      <c r="Y105" s="20">
        <v>0</v>
      </c>
      <c r="Z105" s="20">
        <v>0</v>
      </c>
      <c r="AA105" s="20">
        <v>0</v>
      </c>
      <c r="AB105" s="20">
        <v>4026.72</v>
      </c>
      <c r="AC105" t="s">
        <v>188</v>
      </c>
      <c r="AD105" t="s">
        <v>290</v>
      </c>
      <c r="AE105" s="702">
        <f t="shared" si="5"/>
        <v>43252</v>
      </c>
      <c r="AF105" s="289">
        <v>7946.8847616116454</v>
      </c>
      <c r="AG105">
        <f t="shared" si="6"/>
        <v>360</v>
      </c>
      <c r="AH105" s="289">
        <f t="shared" si="7"/>
        <v>22.074679893365683</v>
      </c>
      <c r="AJ105" s="289">
        <f t="shared" si="8"/>
        <v>54</v>
      </c>
      <c r="AK105" s="289">
        <f t="shared" si="9"/>
        <v>1192.0327142417468</v>
      </c>
    </row>
    <row r="106" spans="1:37">
      <c r="A106" s="703" t="s">
        <v>551</v>
      </c>
      <c r="B106" s="703" t="s">
        <v>331</v>
      </c>
      <c r="C106" s="703" t="s">
        <v>390</v>
      </c>
      <c r="D106" s="703" t="s">
        <v>391</v>
      </c>
      <c r="E106" s="703" t="s">
        <v>334</v>
      </c>
      <c r="F106" s="703" t="s">
        <v>335</v>
      </c>
      <c r="G106" s="703" t="s">
        <v>552</v>
      </c>
      <c r="H106" s="703" t="s">
        <v>334</v>
      </c>
      <c r="I106" s="703" t="s">
        <v>334</v>
      </c>
      <c r="J106" s="703" t="s">
        <v>337</v>
      </c>
      <c r="K106" s="704">
        <v>0</v>
      </c>
      <c r="L106" s="703" t="s">
        <v>334</v>
      </c>
      <c r="M106" s="702">
        <v>42886</v>
      </c>
      <c r="N106" s="702">
        <v>43172</v>
      </c>
      <c r="O106" s="703" t="s">
        <v>338</v>
      </c>
      <c r="P106" s="20">
        <v>8373.4699999999993</v>
      </c>
      <c r="Q106" s="20">
        <v>0</v>
      </c>
      <c r="R106" s="20">
        <v>0</v>
      </c>
      <c r="S106" s="20">
        <v>0</v>
      </c>
      <c r="T106" s="20">
        <v>8373.4699999999993</v>
      </c>
      <c r="U106" s="20">
        <v>7326.77</v>
      </c>
      <c r="V106" s="20">
        <v>-1046.7</v>
      </c>
      <c r="W106" s="20">
        <v>-1325.82</v>
      </c>
      <c r="X106" s="20">
        <v>-279.12</v>
      </c>
      <c r="Y106" s="20">
        <v>0</v>
      </c>
      <c r="Z106" s="20">
        <v>0</v>
      </c>
      <c r="AA106" s="20">
        <v>0</v>
      </c>
      <c r="AB106" s="20">
        <v>7047.65</v>
      </c>
      <c r="AC106" t="s">
        <v>188</v>
      </c>
      <c r="AD106" t="s">
        <v>290</v>
      </c>
      <c r="AE106" s="702">
        <f t="shared" si="5"/>
        <v>43252</v>
      </c>
      <c r="AF106" s="289">
        <v>13908.763368304802</v>
      </c>
      <c r="AG106">
        <f t="shared" si="6"/>
        <v>360</v>
      </c>
      <c r="AH106" s="289">
        <f t="shared" si="7"/>
        <v>38.635453800846676</v>
      </c>
      <c r="AJ106" s="289">
        <f t="shared" si="8"/>
        <v>54</v>
      </c>
      <c r="AK106" s="289">
        <f t="shared" si="9"/>
        <v>2086.3145052457203</v>
      </c>
    </row>
    <row r="107" spans="1:37">
      <c r="A107" s="703" t="s">
        <v>553</v>
      </c>
      <c r="B107" s="703" t="s">
        <v>331</v>
      </c>
      <c r="C107" s="703" t="s">
        <v>390</v>
      </c>
      <c r="D107" s="703" t="s">
        <v>391</v>
      </c>
      <c r="E107" s="703" t="s">
        <v>334</v>
      </c>
      <c r="F107" s="703" t="s">
        <v>335</v>
      </c>
      <c r="G107" s="703" t="s">
        <v>554</v>
      </c>
      <c r="H107" s="703" t="s">
        <v>334</v>
      </c>
      <c r="I107" s="703" t="s">
        <v>334</v>
      </c>
      <c r="J107" s="703" t="s">
        <v>337</v>
      </c>
      <c r="K107" s="704">
        <v>0</v>
      </c>
      <c r="L107" s="703" t="s">
        <v>334</v>
      </c>
      <c r="M107" s="702">
        <v>42886</v>
      </c>
      <c r="N107" s="702">
        <v>43172</v>
      </c>
      <c r="O107" s="703" t="s">
        <v>338</v>
      </c>
      <c r="P107" s="20">
        <v>5108.92</v>
      </c>
      <c r="Q107" s="20">
        <v>0</v>
      </c>
      <c r="R107" s="20">
        <v>0</v>
      </c>
      <c r="S107" s="20">
        <v>0</v>
      </c>
      <c r="T107" s="20">
        <v>5108.92</v>
      </c>
      <c r="U107" s="20">
        <v>4470.3</v>
      </c>
      <c r="V107" s="20">
        <v>-638.62</v>
      </c>
      <c r="W107" s="20">
        <v>-808.92</v>
      </c>
      <c r="X107" s="20">
        <v>-170.3</v>
      </c>
      <c r="Y107" s="20">
        <v>0</v>
      </c>
      <c r="Z107" s="20">
        <v>0</v>
      </c>
      <c r="AA107" s="20">
        <v>0</v>
      </c>
      <c r="AB107" s="20">
        <v>4300</v>
      </c>
      <c r="AC107" t="s">
        <v>188</v>
      </c>
      <c r="AD107" t="s">
        <v>290</v>
      </c>
      <c r="AE107" s="702">
        <f t="shared" si="5"/>
        <v>43252</v>
      </c>
      <c r="AF107" s="289">
        <v>8486.1782925835741</v>
      </c>
      <c r="AG107">
        <f t="shared" si="6"/>
        <v>360</v>
      </c>
      <c r="AH107" s="289">
        <f t="shared" si="7"/>
        <v>23.572717479398818</v>
      </c>
      <c r="AJ107" s="289">
        <f t="shared" si="8"/>
        <v>54</v>
      </c>
      <c r="AK107" s="289">
        <f t="shared" si="9"/>
        <v>1272.9267438875363</v>
      </c>
    </row>
    <row r="108" spans="1:37">
      <c r="A108" s="703" t="s">
        <v>555</v>
      </c>
      <c r="B108" s="703" t="s">
        <v>331</v>
      </c>
      <c r="C108" s="703" t="s">
        <v>390</v>
      </c>
      <c r="D108" s="703" t="s">
        <v>391</v>
      </c>
      <c r="E108" s="703" t="s">
        <v>334</v>
      </c>
      <c r="F108" s="703" t="s">
        <v>335</v>
      </c>
      <c r="G108" s="703" t="s">
        <v>556</v>
      </c>
      <c r="H108" s="703" t="s">
        <v>334</v>
      </c>
      <c r="I108" s="703" t="s">
        <v>334</v>
      </c>
      <c r="J108" s="703" t="s">
        <v>337</v>
      </c>
      <c r="K108" s="704">
        <v>0</v>
      </c>
      <c r="L108" s="703" t="s">
        <v>334</v>
      </c>
      <c r="M108" s="702">
        <v>42886</v>
      </c>
      <c r="N108" s="702">
        <v>43172</v>
      </c>
      <c r="O108" s="703" t="s">
        <v>338</v>
      </c>
      <c r="P108" s="20">
        <v>523.5</v>
      </c>
      <c r="Q108" s="20">
        <v>0</v>
      </c>
      <c r="R108" s="20">
        <v>0</v>
      </c>
      <c r="S108" s="20">
        <v>0</v>
      </c>
      <c r="T108" s="20">
        <v>523.5</v>
      </c>
      <c r="U108" s="20">
        <v>458.06</v>
      </c>
      <c r="V108" s="20">
        <v>-65.44</v>
      </c>
      <c r="W108" s="20">
        <v>-82.89</v>
      </c>
      <c r="X108" s="20">
        <v>-17.45</v>
      </c>
      <c r="Y108" s="20">
        <v>0</v>
      </c>
      <c r="Z108" s="20">
        <v>0</v>
      </c>
      <c r="AA108" s="20">
        <v>0</v>
      </c>
      <c r="AB108" s="20">
        <v>440.61</v>
      </c>
      <c r="AC108" t="s">
        <v>188</v>
      </c>
      <c r="AD108" t="s">
        <v>290</v>
      </c>
      <c r="AE108" s="702">
        <f t="shared" si="5"/>
        <v>43252</v>
      </c>
      <c r="AF108" s="289">
        <v>869.56036425849311</v>
      </c>
      <c r="AG108">
        <f t="shared" si="6"/>
        <v>360</v>
      </c>
      <c r="AH108" s="289">
        <f t="shared" si="7"/>
        <v>2.4154454562735919</v>
      </c>
      <c r="AJ108" s="289">
        <f t="shared" si="8"/>
        <v>54</v>
      </c>
      <c r="AK108" s="289">
        <f t="shared" si="9"/>
        <v>130.43405463877397</v>
      </c>
    </row>
    <row r="109" spans="1:37">
      <c r="A109" s="703" t="s">
        <v>557</v>
      </c>
      <c r="B109" s="703" t="s">
        <v>331</v>
      </c>
      <c r="C109" s="703" t="s">
        <v>390</v>
      </c>
      <c r="D109" s="703" t="s">
        <v>391</v>
      </c>
      <c r="E109" s="703" t="s">
        <v>334</v>
      </c>
      <c r="F109" s="703" t="s">
        <v>335</v>
      </c>
      <c r="G109" s="703" t="s">
        <v>558</v>
      </c>
      <c r="H109" s="703" t="s">
        <v>334</v>
      </c>
      <c r="I109" s="703" t="s">
        <v>334</v>
      </c>
      <c r="J109" s="703" t="s">
        <v>337</v>
      </c>
      <c r="K109" s="704">
        <v>0</v>
      </c>
      <c r="L109" s="703" t="s">
        <v>334</v>
      </c>
      <c r="M109" s="702">
        <v>40574</v>
      </c>
      <c r="N109" s="702">
        <v>43172</v>
      </c>
      <c r="O109" s="703" t="s">
        <v>338</v>
      </c>
      <c r="P109" s="20">
        <v>1372.7</v>
      </c>
      <c r="Q109" s="20">
        <v>0</v>
      </c>
      <c r="R109" s="20">
        <v>0</v>
      </c>
      <c r="S109" s="20">
        <v>0</v>
      </c>
      <c r="T109" s="20">
        <v>1372.7</v>
      </c>
      <c r="U109" s="20">
        <v>1201.0999999999999</v>
      </c>
      <c r="V109" s="20">
        <v>-171.6</v>
      </c>
      <c r="W109" s="20">
        <v>-217.36</v>
      </c>
      <c r="X109" s="20">
        <v>-45.76</v>
      </c>
      <c r="Y109" s="20">
        <v>0</v>
      </c>
      <c r="Z109" s="20">
        <v>0</v>
      </c>
      <c r="AA109" s="20">
        <v>0</v>
      </c>
      <c r="AB109" s="20">
        <v>1155.3399999999999</v>
      </c>
      <c r="AC109" t="s">
        <v>188</v>
      </c>
      <c r="AD109" t="s">
        <v>290</v>
      </c>
      <c r="AE109" s="702">
        <f t="shared" si="5"/>
        <v>43252</v>
      </c>
      <c r="AF109" s="289">
        <v>2280.1251423450499</v>
      </c>
      <c r="AG109">
        <f t="shared" si="6"/>
        <v>360</v>
      </c>
      <c r="AH109" s="289">
        <f t="shared" si="7"/>
        <v>6.3336809509584722</v>
      </c>
      <c r="AJ109" s="289">
        <f t="shared" si="8"/>
        <v>54</v>
      </c>
      <c r="AK109" s="289">
        <f t="shared" si="9"/>
        <v>342.01877135175749</v>
      </c>
    </row>
    <row r="110" spans="1:37">
      <c r="A110" s="703" t="s">
        <v>559</v>
      </c>
      <c r="B110" s="703" t="s">
        <v>331</v>
      </c>
      <c r="C110" s="703" t="s">
        <v>332</v>
      </c>
      <c r="D110" s="703" t="s">
        <v>333</v>
      </c>
      <c r="E110" s="703" t="s">
        <v>334</v>
      </c>
      <c r="F110" s="703" t="s">
        <v>335</v>
      </c>
      <c r="G110" s="703" t="s">
        <v>560</v>
      </c>
      <c r="H110" s="703" t="s">
        <v>334</v>
      </c>
      <c r="I110" s="703" t="s">
        <v>334</v>
      </c>
      <c r="J110" s="703" t="s">
        <v>337</v>
      </c>
      <c r="K110" s="704">
        <v>0</v>
      </c>
      <c r="L110" s="703" t="s">
        <v>334</v>
      </c>
      <c r="M110" s="702">
        <v>42766</v>
      </c>
      <c r="N110" s="702">
        <v>43174</v>
      </c>
      <c r="O110" s="703" t="s">
        <v>338</v>
      </c>
      <c r="P110" s="20">
        <v>50464.7</v>
      </c>
      <c r="Q110" s="20">
        <v>0</v>
      </c>
      <c r="R110" s="20">
        <v>0</v>
      </c>
      <c r="S110" s="20">
        <v>0</v>
      </c>
      <c r="T110" s="20">
        <v>50464.7</v>
      </c>
      <c r="U110" s="20">
        <v>44156.6</v>
      </c>
      <c r="V110" s="20">
        <v>-6308.1</v>
      </c>
      <c r="W110" s="20">
        <v>-7990.26</v>
      </c>
      <c r="X110" s="20">
        <v>-1682.16</v>
      </c>
      <c r="Y110" s="20">
        <v>0</v>
      </c>
      <c r="Z110" s="20">
        <v>0</v>
      </c>
      <c r="AA110" s="20">
        <v>0</v>
      </c>
      <c r="AB110" s="20">
        <v>42474.44</v>
      </c>
      <c r="AC110" t="s">
        <v>183</v>
      </c>
      <c r="AD110" t="s">
        <v>290</v>
      </c>
      <c r="AE110" s="702">
        <f t="shared" si="5"/>
        <v>43252</v>
      </c>
      <c r="AF110" s="289">
        <v>83824.456378597097</v>
      </c>
      <c r="AG110">
        <f t="shared" si="6"/>
        <v>360</v>
      </c>
      <c r="AH110" s="289">
        <f t="shared" si="7"/>
        <v>232.8457121627697</v>
      </c>
      <c r="AJ110" s="289">
        <f t="shared" si="8"/>
        <v>54</v>
      </c>
      <c r="AK110" s="289">
        <f t="shared" si="9"/>
        <v>12573.668456789565</v>
      </c>
    </row>
    <row r="111" spans="1:37">
      <c r="A111" s="703" t="s">
        <v>561</v>
      </c>
      <c r="B111" s="703" t="s">
        <v>331</v>
      </c>
      <c r="C111" s="703" t="s">
        <v>332</v>
      </c>
      <c r="D111" s="703" t="s">
        <v>333</v>
      </c>
      <c r="E111" s="703" t="s">
        <v>334</v>
      </c>
      <c r="F111" s="703" t="s">
        <v>335</v>
      </c>
      <c r="G111" s="703" t="s">
        <v>562</v>
      </c>
      <c r="H111" s="703" t="s">
        <v>334</v>
      </c>
      <c r="I111" s="703" t="s">
        <v>334</v>
      </c>
      <c r="J111" s="703" t="s">
        <v>337</v>
      </c>
      <c r="K111" s="704">
        <v>0</v>
      </c>
      <c r="L111" s="703" t="s">
        <v>334</v>
      </c>
      <c r="M111" s="702">
        <v>42855</v>
      </c>
      <c r="N111" s="702">
        <v>43174</v>
      </c>
      <c r="O111" s="703" t="s">
        <v>338</v>
      </c>
      <c r="P111" s="20">
        <v>6837.52</v>
      </c>
      <c r="Q111" s="20">
        <v>0</v>
      </c>
      <c r="R111" s="20">
        <v>0</v>
      </c>
      <c r="S111" s="20">
        <v>0</v>
      </c>
      <c r="T111" s="20">
        <v>6837.52</v>
      </c>
      <c r="U111" s="20">
        <v>5982.82</v>
      </c>
      <c r="V111" s="20">
        <v>-854.7</v>
      </c>
      <c r="W111" s="20">
        <v>-1082.6199999999999</v>
      </c>
      <c r="X111" s="20">
        <v>-227.92</v>
      </c>
      <c r="Y111" s="20">
        <v>0</v>
      </c>
      <c r="Z111" s="20">
        <v>0</v>
      </c>
      <c r="AA111" s="20">
        <v>0</v>
      </c>
      <c r="AB111" s="20">
        <v>5754.9</v>
      </c>
      <c r="AC111" t="s">
        <v>183</v>
      </c>
      <c r="AD111" t="s">
        <v>290</v>
      </c>
      <c r="AE111" s="702">
        <f t="shared" si="5"/>
        <v>43252</v>
      </c>
      <c r="AF111" s="289">
        <v>11357.471598519069</v>
      </c>
      <c r="AG111">
        <f t="shared" si="6"/>
        <v>360</v>
      </c>
      <c r="AH111" s="289">
        <f t="shared" si="7"/>
        <v>31.548532218108523</v>
      </c>
      <c r="AJ111" s="289">
        <f t="shared" si="8"/>
        <v>54</v>
      </c>
      <c r="AK111" s="289">
        <f t="shared" si="9"/>
        <v>1703.6207397778603</v>
      </c>
    </row>
    <row r="112" spans="1:37">
      <c r="A112" s="703" t="s">
        <v>563</v>
      </c>
      <c r="B112" s="703" t="s">
        <v>331</v>
      </c>
      <c r="C112" s="703" t="s">
        <v>332</v>
      </c>
      <c r="D112" s="703" t="s">
        <v>333</v>
      </c>
      <c r="E112" s="703" t="s">
        <v>334</v>
      </c>
      <c r="F112" s="703" t="s">
        <v>335</v>
      </c>
      <c r="G112" s="703" t="s">
        <v>564</v>
      </c>
      <c r="H112" s="703" t="s">
        <v>334</v>
      </c>
      <c r="I112" s="703" t="s">
        <v>334</v>
      </c>
      <c r="J112" s="703" t="s">
        <v>337</v>
      </c>
      <c r="K112" s="704">
        <v>0</v>
      </c>
      <c r="L112" s="703" t="s">
        <v>334</v>
      </c>
      <c r="M112" s="702">
        <v>42766</v>
      </c>
      <c r="N112" s="702">
        <v>43174</v>
      </c>
      <c r="O112" s="703" t="s">
        <v>338</v>
      </c>
      <c r="P112" s="20">
        <v>447237.21</v>
      </c>
      <c r="Q112" s="20">
        <v>0</v>
      </c>
      <c r="R112" s="20">
        <v>0</v>
      </c>
      <c r="S112" s="20">
        <v>0</v>
      </c>
      <c r="T112" s="20">
        <v>447237.21</v>
      </c>
      <c r="U112" s="20">
        <v>391332.55</v>
      </c>
      <c r="V112" s="20">
        <v>-55904.66</v>
      </c>
      <c r="W112" s="20">
        <v>-70812.570000000007</v>
      </c>
      <c r="X112" s="20">
        <v>-14907.91</v>
      </c>
      <c r="Y112" s="20">
        <v>0</v>
      </c>
      <c r="Z112" s="20">
        <v>0</v>
      </c>
      <c r="AA112" s="20">
        <v>0</v>
      </c>
      <c r="AB112" s="20">
        <v>376424.64</v>
      </c>
      <c r="AC112" t="s">
        <v>183</v>
      </c>
      <c r="AD112" t="s">
        <v>290</v>
      </c>
      <c r="AE112" s="702">
        <f t="shared" si="5"/>
        <v>43252</v>
      </c>
      <c r="AF112" s="289">
        <v>742883.95651872444</v>
      </c>
      <c r="AG112">
        <f t="shared" si="6"/>
        <v>360</v>
      </c>
      <c r="AH112" s="289">
        <f t="shared" si="7"/>
        <v>2063.5665458853455</v>
      </c>
      <c r="AJ112" s="289">
        <f t="shared" si="8"/>
        <v>54</v>
      </c>
      <c r="AK112" s="289">
        <f t="shared" si="9"/>
        <v>111432.59347780865</v>
      </c>
    </row>
    <row r="113" spans="1:37">
      <c r="A113" s="703" t="s">
        <v>565</v>
      </c>
      <c r="B113" s="703" t="s">
        <v>331</v>
      </c>
      <c r="C113" s="703" t="s">
        <v>332</v>
      </c>
      <c r="D113" s="703" t="s">
        <v>333</v>
      </c>
      <c r="E113" s="703" t="s">
        <v>334</v>
      </c>
      <c r="F113" s="703" t="s">
        <v>335</v>
      </c>
      <c r="G113" s="703" t="s">
        <v>566</v>
      </c>
      <c r="H113" s="703" t="s">
        <v>334</v>
      </c>
      <c r="I113" s="703" t="s">
        <v>334</v>
      </c>
      <c r="J113" s="703" t="s">
        <v>337</v>
      </c>
      <c r="K113" s="704">
        <v>0</v>
      </c>
      <c r="L113" s="703" t="s">
        <v>334</v>
      </c>
      <c r="M113" s="702">
        <v>42794</v>
      </c>
      <c r="N113" s="702">
        <v>43174</v>
      </c>
      <c r="O113" s="703" t="s">
        <v>338</v>
      </c>
      <c r="P113" s="20">
        <v>26498.15</v>
      </c>
      <c r="Q113" s="20">
        <v>0</v>
      </c>
      <c r="R113" s="20">
        <v>0</v>
      </c>
      <c r="S113" s="20">
        <v>0</v>
      </c>
      <c r="T113" s="20">
        <v>26498.15</v>
      </c>
      <c r="U113" s="20">
        <v>23185.89</v>
      </c>
      <c r="V113" s="20">
        <v>-3312.26</v>
      </c>
      <c r="W113" s="20">
        <v>-4195.53</v>
      </c>
      <c r="X113" s="20">
        <v>-883.27</v>
      </c>
      <c r="Y113" s="20">
        <v>0</v>
      </c>
      <c r="Z113" s="20">
        <v>0</v>
      </c>
      <c r="AA113" s="20">
        <v>0</v>
      </c>
      <c r="AB113" s="20">
        <v>22302.62</v>
      </c>
      <c r="AC113" t="s">
        <v>183</v>
      </c>
      <c r="AD113" t="s">
        <v>290</v>
      </c>
      <c r="AE113" s="702">
        <f t="shared" si="5"/>
        <v>43252</v>
      </c>
      <c r="AF113" s="289">
        <v>44014.786945895306</v>
      </c>
      <c r="AG113">
        <f t="shared" si="6"/>
        <v>360</v>
      </c>
      <c r="AH113" s="289">
        <f t="shared" si="7"/>
        <v>122.2632970719314</v>
      </c>
      <c r="AJ113" s="289">
        <f t="shared" si="8"/>
        <v>54</v>
      </c>
      <c r="AK113" s="289">
        <f t="shared" si="9"/>
        <v>6602.2180418842954</v>
      </c>
    </row>
    <row r="114" spans="1:37">
      <c r="A114" s="703" t="s">
        <v>567</v>
      </c>
      <c r="B114" s="703" t="s">
        <v>331</v>
      </c>
      <c r="C114" s="703" t="s">
        <v>332</v>
      </c>
      <c r="D114" s="703" t="s">
        <v>333</v>
      </c>
      <c r="E114" s="703" t="s">
        <v>334</v>
      </c>
      <c r="F114" s="703" t="s">
        <v>335</v>
      </c>
      <c r="G114" s="703" t="s">
        <v>568</v>
      </c>
      <c r="H114" s="703" t="s">
        <v>334</v>
      </c>
      <c r="I114" s="703" t="s">
        <v>334</v>
      </c>
      <c r="J114" s="703" t="s">
        <v>337</v>
      </c>
      <c r="K114" s="704">
        <v>0</v>
      </c>
      <c r="L114" s="703" t="s">
        <v>334</v>
      </c>
      <c r="M114" s="702">
        <v>42766</v>
      </c>
      <c r="N114" s="702">
        <v>43174</v>
      </c>
      <c r="O114" s="703" t="s">
        <v>338</v>
      </c>
      <c r="P114" s="20">
        <v>1510.21</v>
      </c>
      <c r="Q114" s="20">
        <v>0</v>
      </c>
      <c r="R114" s="20">
        <v>0</v>
      </c>
      <c r="S114" s="20">
        <v>0</v>
      </c>
      <c r="T114" s="20">
        <v>1510.21</v>
      </c>
      <c r="U114" s="20">
        <v>1321.43</v>
      </c>
      <c r="V114" s="20">
        <v>-188.78</v>
      </c>
      <c r="W114" s="20">
        <v>-239.12</v>
      </c>
      <c r="X114" s="20">
        <v>-50.34</v>
      </c>
      <c r="Y114" s="20">
        <v>0</v>
      </c>
      <c r="Z114" s="20">
        <v>0</v>
      </c>
      <c r="AA114" s="20">
        <v>0</v>
      </c>
      <c r="AB114" s="20">
        <v>1271.0899999999999</v>
      </c>
      <c r="AC114" t="s">
        <v>183</v>
      </c>
      <c r="AD114" t="s">
        <v>290</v>
      </c>
      <c r="AE114" s="702">
        <f t="shared" si="5"/>
        <v>43252</v>
      </c>
      <c r="AF114" s="289">
        <v>2508.5363088955473</v>
      </c>
      <c r="AG114">
        <f t="shared" si="6"/>
        <v>360</v>
      </c>
      <c r="AH114" s="289">
        <f t="shared" si="7"/>
        <v>6.9681564135987424</v>
      </c>
      <c r="AJ114" s="289">
        <f t="shared" si="8"/>
        <v>54</v>
      </c>
      <c r="AK114" s="289">
        <f t="shared" si="9"/>
        <v>376.28044633433211</v>
      </c>
    </row>
    <row r="115" spans="1:37">
      <c r="A115" s="703" t="s">
        <v>569</v>
      </c>
      <c r="B115" s="703" t="s">
        <v>331</v>
      </c>
      <c r="C115" s="703" t="s">
        <v>332</v>
      </c>
      <c r="D115" s="703" t="s">
        <v>333</v>
      </c>
      <c r="E115" s="703" t="s">
        <v>334</v>
      </c>
      <c r="F115" s="703" t="s">
        <v>335</v>
      </c>
      <c r="G115" s="703" t="s">
        <v>570</v>
      </c>
      <c r="H115" s="703" t="s">
        <v>334</v>
      </c>
      <c r="I115" s="703" t="s">
        <v>334</v>
      </c>
      <c r="J115" s="703" t="s">
        <v>337</v>
      </c>
      <c r="K115" s="704">
        <v>0</v>
      </c>
      <c r="L115" s="703" t="s">
        <v>334</v>
      </c>
      <c r="M115" s="702">
        <v>43159</v>
      </c>
      <c r="N115" s="702">
        <v>43174</v>
      </c>
      <c r="O115" s="703" t="s">
        <v>338</v>
      </c>
      <c r="P115" s="20">
        <v>38103.660000000003</v>
      </c>
      <c r="Q115" s="20">
        <v>0</v>
      </c>
      <c r="R115" s="20">
        <v>0</v>
      </c>
      <c r="S115" s="20">
        <v>0</v>
      </c>
      <c r="T115" s="20">
        <v>38103.660000000003</v>
      </c>
      <c r="U115" s="20">
        <v>33340.71</v>
      </c>
      <c r="V115" s="20">
        <v>-4762.95</v>
      </c>
      <c r="W115" s="20">
        <v>-6033.07</v>
      </c>
      <c r="X115" s="20">
        <v>-1270.1199999999999</v>
      </c>
      <c r="Y115" s="20">
        <v>0</v>
      </c>
      <c r="Z115" s="20">
        <v>0</v>
      </c>
      <c r="AA115" s="20">
        <v>0</v>
      </c>
      <c r="AB115" s="20">
        <v>32070.59</v>
      </c>
      <c r="AC115" t="s">
        <v>183</v>
      </c>
      <c r="AD115" t="s">
        <v>290</v>
      </c>
      <c r="AE115" s="702">
        <f t="shared" si="5"/>
        <v>43252</v>
      </c>
      <c r="AF115" s="289">
        <v>63292.134611617534</v>
      </c>
      <c r="AG115">
        <f t="shared" si="6"/>
        <v>360</v>
      </c>
      <c r="AH115" s="289">
        <f t="shared" si="7"/>
        <v>175.81148503227092</v>
      </c>
      <c r="AJ115" s="289">
        <f t="shared" si="8"/>
        <v>54</v>
      </c>
      <c r="AK115" s="289">
        <f t="shared" si="9"/>
        <v>9493.8201917426304</v>
      </c>
    </row>
    <row r="116" spans="1:37">
      <c r="A116" s="703" t="s">
        <v>571</v>
      </c>
      <c r="B116" s="703" t="s">
        <v>331</v>
      </c>
      <c r="C116" s="703" t="s">
        <v>332</v>
      </c>
      <c r="D116" s="703" t="s">
        <v>333</v>
      </c>
      <c r="E116" s="703" t="s">
        <v>334</v>
      </c>
      <c r="F116" s="703" t="s">
        <v>335</v>
      </c>
      <c r="G116" s="703" t="s">
        <v>572</v>
      </c>
      <c r="H116" s="703" t="s">
        <v>334</v>
      </c>
      <c r="I116" s="703" t="s">
        <v>334</v>
      </c>
      <c r="J116" s="703" t="s">
        <v>337</v>
      </c>
      <c r="K116" s="704">
        <v>0</v>
      </c>
      <c r="L116" s="703" t="s">
        <v>334</v>
      </c>
      <c r="M116" s="702">
        <v>42124</v>
      </c>
      <c r="N116" s="702">
        <v>43174</v>
      </c>
      <c r="O116" s="703" t="s">
        <v>338</v>
      </c>
      <c r="P116" s="20">
        <v>75524.789999999994</v>
      </c>
      <c r="Q116" s="20">
        <v>0</v>
      </c>
      <c r="R116" s="20">
        <v>0</v>
      </c>
      <c r="S116" s="20">
        <v>0</v>
      </c>
      <c r="T116" s="20">
        <v>75524.789999999994</v>
      </c>
      <c r="U116" s="20">
        <v>66084.2</v>
      </c>
      <c r="V116" s="20">
        <v>-9440.59</v>
      </c>
      <c r="W116" s="20">
        <v>-11958.08</v>
      </c>
      <c r="X116" s="20">
        <v>-2517.4899999999998</v>
      </c>
      <c r="Y116" s="20">
        <v>0</v>
      </c>
      <c r="Z116" s="20">
        <v>0</v>
      </c>
      <c r="AA116" s="20">
        <v>0</v>
      </c>
      <c r="AB116" s="20">
        <v>63566.71</v>
      </c>
      <c r="AC116" t="s">
        <v>183</v>
      </c>
      <c r="AD116" t="s">
        <v>290</v>
      </c>
      <c r="AE116" s="702">
        <f t="shared" si="5"/>
        <v>43252</v>
      </c>
      <c r="AF116" s="289">
        <v>125450.55186809208</v>
      </c>
      <c r="AG116">
        <f t="shared" si="6"/>
        <v>360</v>
      </c>
      <c r="AH116" s="289">
        <f t="shared" si="7"/>
        <v>348.47375518914464</v>
      </c>
      <c r="AJ116" s="289">
        <f t="shared" si="8"/>
        <v>54</v>
      </c>
      <c r="AK116" s="289">
        <f t="shared" si="9"/>
        <v>18817.582780213812</v>
      </c>
    </row>
    <row r="117" spans="1:37">
      <c r="A117" s="703" t="s">
        <v>573</v>
      </c>
      <c r="B117" s="703" t="s">
        <v>331</v>
      </c>
      <c r="C117" s="703" t="s">
        <v>574</v>
      </c>
      <c r="D117" s="703" t="s">
        <v>575</v>
      </c>
      <c r="E117" s="703" t="s">
        <v>334</v>
      </c>
      <c r="F117" s="703" t="s">
        <v>335</v>
      </c>
      <c r="G117" s="703" t="s">
        <v>576</v>
      </c>
      <c r="H117" s="703" t="s">
        <v>334</v>
      </c>
      <c r="I117" s="703" t="s">
        <v>334</v>
      </c>
      <c r="J117" s="703" t="s">
        <v>577</v>
      </c>
      <c r="K117" s="704">
        <v>0</v>
      </c>
      <c r="L117" s="703" t="s">
        <v>334</v>
      </c>
      <c r="M117" s="702">
        <v>42886</v>
      </c>
      <c r="N117" s="702">
        <v>43174</v>
      </c>
      <c r="O117" s="703" t="s">
        <v>338</v>
      </c>
      <c r="P117" s="20">
        <v>57450</v>
      </c>
      <c r="Q117" s="20">
        <v>0</v>
      </c>
      <c r="R117" s="20">
        <v>0</v>
      </c>
      <c r="S117" s="20">
        <v>0</v>
      </c>
      <c r="T117" s="20">
        <v>57450</v>
      </c>
      <c r="U117" s="20">
        <v>50268.75</v>
      </c>
      <c r="V117" s="20">
        <v>-7181.25</v>
      </c>
      <c r="W117" s="20">
        <v>-9096.25</v>
      </c>
      <c r="X117" s="20">
        <v>-1915</v>
      </c>
      <c r="Y117" s="20">
        <v>0</v>
      </c>
      <c r="Z117" s="20">
        <v>0</v>
      </c>
      <c r="AA117" s="20">
        <v>0</v>
      </c>
      <c r="AB117" s="20">
        <v>48353.75</v>
      </c>
      <c r="AC117" t="s">
        <v>578</v>
      </c>
      <c r="AD117" t="s">
        <v>290</v>
      </c>
      <c r="AE117" s="702">
        <f t="shared" si="5"/>
        <v>43252</v>
      </c>
      <c r="AF117" s="289">
        <v>95427.3981406885</v>
      </c>
      <c r="AG117">
        <f t="shared" si="6"/>
        <v>360</v>
      </c>
      <c r="AH117" s="289">
        <f t="shared" si="7"/>
        <v>265.07610594635696</v>
      </c>
      <c r="AJ117" s="289">
        <f t="shared" si="8"/>
        <v>54</v>
      </c>
      <c r="AK117" s="289">
        <f t="shared" si="9"/>
        <v>14314.109721103276</v>
      </c>
    </row>
    <row r="118" spans="1:37">
      <c r="A118" s="703" t="s">
        <v>579</v>
      </c>
      <c r="B118" s="703" t="s">
        <v>331</v>
      </c>
      <c r="C118" s="703" t="s">
        <v>574</v>
      </c>
      <c r="D118" s="703" t="s">
        <v>575</v>
      </c>
      <c r="E118" s="703" t="s">
        <v>334</v>
      </c>
      <c r="F118" s="703" t="s">
        <v>335</v>
      </c>
      <c r="G118" s="703" t="s">
        <v>580</v>
      </c>
      <c r="H118" s="703" t="s">
        <v>334</v>
      </c>
      <c r="I118" s="703" t="s">
        <v>334</v>
      </c>
      <c r="J118" s="703" t="s">
        <v>577</v>
      </c>
      <c r="K118" s="704">
        <v>0</v>
      </c>
      <c r="L118" s="703" t="s">
        <v>334</v>
      </c>
      <c r="M118" s="702">
        <v>42886</v>
      </c>
      <c r="N118" s="702">
        <v>43174</v>
      </c>
      <c r="O118" s="703" t="s">
        <v>338</v>
      </c>
      <c r="P118" s="20">
        <v>809.75</v>
      </c>
      <c r="Q118" s="20">
        <v>0</v>
      </c>
      <c r="R118" s="20">
        <v>0</v>
      </c>
      <c r="S118" s="20">
        <v>0</v>
      </c>
      <c r="T118" s="20">
        <v>809.75</v>
      </c>
      <c r="U118" s="20">
        <v>708.54</v>
      </c>
      <c r="V118" s="20">
        <v>-101.21</v>
      </c>
      <c r="W118" s="20">
        <v>-128.19999999999999</v>
      </c>
      <c r="X118" s="20">
        <v>-26.99</v>
      </c>
      <c r="Y118" s="20">
        <v>0</v>
      </c>
      <c r="Z118" s="20">
        <v>0</v>
      </c>
      <c r="AA118" s="20">
        <v>0</v>
      </c>
      <c r="AB118" s="20">
        <v>681.55</v>
      </c>
      <c r="AC118" t="s">
        <v>578</v>
      </c>
      <c r="AD118" t="s">
        <v>290</v>
      </c>
      <c r="AE118" s="702">
        <f t="shared" si="5"/>
        <v>43252</v>
      </c>
      <c r="AF118" s="289">
        <v>1345.0363036453007</v>
      </c>
      <c r="AG118">
        <f t="shared" si="6"/>
        <v>360</v>
      </c>
      <c r="AH118" s="289">
        <f t="shared" si="7"/>
        <v>3.7362119545702797</v>
      </c>
      <c r="AJ118" s="289">
        <f t="shared" si="8"/>
        <v>54</v>
      </c>
      <c r="AK118" s="289">
        <f t="shared" si="9"/>
        <v>201.7554455467951</v>
      </c>
    </row>
    <row r="119" spans="1:37">
      <c r="A119" s="703" t="s">
        <v>581</v>
      </c>
      <c r="B119" s="703" t="s">
        <v>331</v>
      </c>
      <c r="C119" s="703" t="s">
        <v>574</v>
      </c>
      <c r="D119" s="703" t="s">
        <v>575</v>
      </c>
      <c r="E119" s="703" t="s">
        <v>334</v>
      </c>
      <c r="F119" s="703" t="s">
        <v>335</v>
      </c>
      <c r="G119" s="703" t="s">
        <v>582</v>
      </c>
      <c r="H119" s="703" t="s">
        <v>334</v>
      </c>
      <c r="I119" s="703" t="s">
        <v>334</v>
      </c>
      <c r="J119" s="703" t="s">
        <v>577</v>
      </c>
      <c r="K119" s="704">
        <v>0</v>
      </c>
      <c r="L119" s="703" t="s">
        <v>334</v>
      </c>
      <c r="M119" s="702">
        <v>42886</v>
      </c>
      <c r="N119" s="702">
        <v>43174</v>
      </c>
      <c r="O119" s="703" t="s">
        <v>338</v>
      </c>
      <c r="P119" s="20">
        <v>1714.09</v>
      </c>
      <c r="Q119" s="20">
        <v>0</v>
      </c>
      <c r="R119" s="20">
        <v>0</v>
      </c>
      <c r="S119" s="20">
        <v>0</v>
      </c>
      <c r="T119" s="20">
        <v>1714.09</v>
      </c>
      <c r="U119" s="20">
        <v>1499.82</v>
      </c>
      <c r="V119" s="20">
        <v>-214.27</v>
      </c>
      <c r="W119" s="20">
        <v>-271.41000000000003</v>
      </c>
      <c r="X119" s="20">
        <v>-57.14</v>
      </c>
      <c r="Y119" s="20">
        <v>0</v>
      </c>
      <c r="Z119" s="20">
        <v>0</v>
      </c>
      <c r="AA119" s="20">
        <v>0</v>
      </c>
      <c r="AB119" s="20">
        <v>1442.68</v>
      </c>
      <c r="AC119" t="s">
        <v>578</v>
      </c>
      <c r="AD119" t="s">
        <v>290</v>
      </c>
      <c r="AE119" s="702">
        <f t="shared" si="5"/>
        <v>43252</v>
      </c>
      <c r="AF119" s="289">
        <v>2847.1914513311185</v>
      </c>
      <c r="AG119">
        <f t="shared" si="6"/>
        <v>360</v>
      </c>
      <c r="AH119" s="289">
        <f t="shared" si="7"/>
        <v>7.90886514258644</v>
      </c>
      <c r="AJ119" s="289">
        <f t="shared" si="8"/>
        <v>54</v>
      </c>
      <c r="AK119" s="289">
        <f t="shared" si="9"/>
        <v>427.07871769966778</v>
      </c>
    </row>
    <row r="120" spans="1:37">
      <c r="A120" s="703" t="s">
        <v>583</v>
      </c>
      <c r="B120" s="703" t="s">
        <v>331</v>
      </c>
      <c r="C120" s="703" t="s">
        <v>574</v>
      </c>
      <c r="D120" s="703" t="s">
        <v>575</v>
      </c>
      <c r="E120" s="703" t="s">
        <v>334</v>
      </c>
      <c r="F120" s="703" t="s">
        <v>335</v>
      </c>
      <c r="G120" s="703" t="s">
        <v>584</v>
      </c>
      <c r="H120" s="703" t="s">
        <v>334</v>
      </c>
      <c r="I120" s="703" t="s">
        <v>334</v>
      </c>
      <c r="J120" s="703" t="s">
        <v>577</v>
      </c>
      <c r="K120" s="704">
        <v>0</v>
      </c>
      <c r="L120" s="703" t="s">
        <v>334</v>
      </c>
      <c r="M120" s="702">
        <v>42825</v>
      </c>
      <c r="N120" s="702">
        <v>43174</v>
      </c>
      <c r="O120" s="703" t="s">
        <v>338</v>
      </c>
      <c r="P120" s="20">
        <v>3488.16</v>
      </c>
      <c r="Q120" s="20">
        <v>0</v>
      </c>
      <c r="R120" s="20">
        <v>0</v>
      </c>
      <c r="S120" s="20">
        <v>0</v>
      </c>
      <c r="T120" s="20">
        <v>3488.16</v>
      </c>
      <c r="U120" s="20">
        <v>3052.15</v>
      </c>
      <c r="V120" s="20">
        <v>-436.01</v>
      </c>
      <c r="W120" s="20">
        <v>-552.28</v>
      </c>
      <c r="X120" s="20">
        <v>-116.27</v>
      </c>
      <c r="Y120" s="20">
        <v>0</v>
      </c>
      <c r="Z120" s="20">
        <v>0</v>
      </c>
      <c r="AA120" s="20">
        <v>0</v>
      </c>
      <c r="AB120" s="20">
        <v>2935.88</v>
      </c>
      <c r="AC120" t="s">
        <v>578</v>
      </c>
      <c r="AD120" t="s">
        <v>290</v>
      </c>
      <c r="AE120" s="702">
        <f t="shared" si="5"/>
        <v>43252</v>
      </c>
      <c r="AF120" s="289">
        <v>5794.012760634012</v>
      </c>
      <c r="AG120">
        <f t="shared" si="6"/>
        <v>360</v>
      </c>
      <c r="AH120" s="289">
        <f t="shared" si="7"/>
        <v>16.094479890650032</v>
      </c>
      <c r="AJ120" s="289">
        <f t="shared" si="8"/>
        <v>54</v>
      </c>
      <c r="AK120" s="289">
        <f t="shared" si="9"/>
        <v>869.10191409510173</v>
      </c>
    </row>
    <row r="121" spans="1:37">
      <c r="A121" s="703" t="s">
        <v>585</v>
      </c>
      <c r="B121" s="703" t="s">
        <v>331</v>
      </c>
      <c r="C121" s="703" t="s">
        <v>586</v>
      </c>
      <c r="D121" s="703" t="s">
        <v>486</v>
      </c>
      <c r="E121" s="703" t="s">
        <v>587</v>
      </c>
      <c r="F121" s="703" t="s">
        <v>335</v>
      </c>
      <c r="G121" s="703" t="s">
        <v>588</v>
      </c>
      <c r="H121" s="703" t="s">
        <v>334</v>
      </c>
      <c r="I121" s="703" t="s">
        <v>334</v>
      </c>
      <c r="J121" s="703" t="s">
        <v>337</v>
      </c>
      <c r="K121" s="704">
        <v>0</v>
      </c>
      <c r="L121" s="703" t="s">
        <v>334</v>
      </c>
      <c r="M121" s="702">
        <v>40390</v>
      </c>
      <c r="N121" s="702">
        <v>43174</v>
      </c>
      <c r="O121" s="703" t="s">
        <v>338</v>
      </c>
      <c r="P121" s="20">
        <v>383745.51</v>
      </c>
      <c r="Q121" s="20">
        <v>0</v>
      </c>
      <c r="R121" s="20">
        <v>0</v>
      </c>
      <c r="S121" s="20">
        <v>0</v>
      </c>
      <c r="T121" s="20">
        <v>383745.51</v>
      </c>
      <c r="U121" s="20">
        <v>335777.31</v>
      </c>
      <c r="V121" s="20">
        <v>-47968.2</v>
      </c>
      <c r="W121" s="20">
        <v>-60759.72</v>
      </c>
      <c r="X121" s="20">
        <v>-12791.52</v>
      </c>
      <c r="Y121" s="20">
        <v>0</v>
      </c>
      <c r="Z121" s="20">
        <v>0</v>
      </c>
      <c r="AA121" s="20">
        <v>0</v>
      </c>
      <c r="AB121" s="20">
        <v>322985.78999999998</v>
      </c>
      <c r="AC121" t="s">
        <v>589</v>
      </c>
      <c r="AD121" t="s">
        <v>290</v>
      </c>
      <c r="AE121" s="702">
        <f t="shared" si="5"/>
        <v>43252</v>
      </c>
      <c r="AF121" s="289">
        <v>637420.98463832145</v>
      </c>
      <c r="AG121">
        <f t="shared" si="6"/>
        <v>360</v>
      </c>
      <c r="AH121" s="289">
        <f t="shared" si="7"/>
        <v>1770.6138462175595</v>
      </c>
      <c r="AJ121" s="289">
        <f t="shared" si="8"/>
        <v>54</v>
      </c>
      <c r="AK121" s="289">
        <f t="shared" si="9"/>
        <v>95613.147695748208</v>
      </c>
    </row>
    <row r="122" spans="1:37">
      <c r="A122" s="703" t="s">
        <v>590</v>
      </c>
      <c r="B122" s="703" t="s">
        <v>331</v>
      </c>
      <c r="C122" s="703" t="s">
        <v>586</v>
      </c>
      <c r="D122" s="703" t="s">
        <v>486</v>
      </c>
      <c r="E122" s="703" t="s">
        <v>587</v>
      </c>
      <c r="F122" s="703" t="s">
        <v>335</v>
      </c>
      <c r="G122" s="703" t="s">
        <v>591</v>
      </c>
      <c r="H122" s="703" t="s">
        <v>334</v>
      </c>
      <c r="I122" s="703" t="s">
        <v>334</v>
      </c>
      <c r="J122" s="703" t="s">
        <v>337</v>
      </c>
      <c r="K122" s="704">
        <v>0</v>
      </c>
      <c r="L122" s="703" t="s">
        <v>334</v>
      </c>
      <c r="M122" s="702">
        <v>42766</v>
      </c>
      <c r="N122" s="702">
        <v>43174</v>
      </c>
      <c r="O122" s="703" t="s">
        <v>338</v>
      </c>
      <c r="P122" s="20">
        <v>3945</v>
      </c>
      <c r="Q122" s="20">
        <v>0</v>
      </c>
      <c r="R122" s="20">
        <v>0</v>
      </c>
      <c r="S122" s="20">
        <v>0</v>
      </c>
      <c r="T122" s="20">
        <v>3945</v>
      </c>
      <c r="U122" s="20">
        <v>3451.87</v>
      </c>
      <c r="V122" s="20">
        <v>-493.13</v>
      </c>
      <c r="W122" s="20">
        <v>-624.63</v>
      </c>
      <c r="X122" s="20">
        <v>-131.5</v>
      </c>
      <c r="Y122" s="20">
        <v>0</v>
      </c>
      <c r="Z122" s="20">
        <v>0</v>
      </c>
      <c r="AA122" s="20">
        <v>0</v>
      </c>
      <c r="AB122" s="20">
        <v>3320.37</v>
      </c>
      <c r="AC122" t="s">
        <v>589</v>
      </c>
      <c r="AD122" t="s">
        <v>290</v>
      </c>
      <c r="AE122" s="702">
        <f t="shared" si="5"/>
        <v>43252</v>
      </c>
      <c r="AF122" s="289">
        <v>6552.8474441256076</v>
      </c>
      <c r="AG122">
        <f t="shared" si="6"/>
        <v>360</v>
      </c>
      <c r="AH122" s="289">
        <f t="shared" si="7"/>
        <v>18.20235401146002</v>
      </c>
      <c r="AJ122" s="289">
        <f t="shared" si="8"/>
        <v>54</v>
      </c>
      <c r="AK122" s="289">
        <f t="shared" si="9"/>
        <v>982.92711661884107</v>
      </c>
    </row>
    <row r="123" spans="1:37">
      <c r="A123" s="703" t="s">
        <v>592</v>
      </c>
      <c r="B123" s="703" t="s">
        <v>331</v>
      </c>
      <c r="C123" s="703" t="s">
        <v>586</v>
      </c>
      <c r="D123" s="703" t="s">
        <v>486</v>
      </c>
      <c r="E123" s="703" t="s">
        <v>587</v>
      </c>
      <c r="F123" s="703" t="s">
        <v>335</v>
      </c>
      <c r="G123" s="703" t="s">
        <v>593</v>
      </c>
      <c r="H123" s="703" t="s">
        <v>334</v>
      </c>
      <c r="I123" s="703" t="s">
        <v>334</v>
      </c>
      <c r="J123" s="703" t="s">
        <v>337</v>
      </c>
      <c r="K123" s="704">
        <v>0</v>
      </c>
      <c r="L123" s="703" t="s">
        <v>334</v>
      </c>
      <c r="M123" s="702">
        <v>40390</v>
      </c>
      <c r="N123" s="702">
        <v>43174</v>
      </c>
      <c r="O123" s="703" t="s">
        <v>338</v>
      </c>
      <c r="P123" s="20">
        <v>135010.76999999999</v>
      </c>
      <c r="Q123" s="20">
        <v>0</v>
      </c>
      <c r="R123" s="20">
        <v>0</v>
      </c>
      <c r="S123" s="20">
        <v>0</v>
      </c>
      <c r="T123" s="20">
        <v>135010.76999999999</v>
      </c>
      <c r="U123" s="20">
        <v>118134.42</v>
      </c>
      <c r="V123" s="20">
        <v>-16876.349999999999</v>
      </c>
      <c r="W123" s="20">
        <v>-21376.71</v>
      </c>
      <c r="X123" s="20">
        <v>-4500.3599999999997</v>
      </c>
      <c r="Y123" s="20">
        <v>0</v>
      </c>
      <c r="Z123" s="20">
        <v>0</v>
      </c>
      <c r="AA123" s="20">
        <v>0</v>
      </c>
      <c r="AB123" s="20">
        <v>113634.06</v>
      </c>
      <c r="AC123" t="s">
        <v>589</v>
      </c>
      <c r="AD123" t="s">
        <v>290</v>
      </c>
      <c r="AE123" s="702">
        <f t="shared" si="5"/>
        <v>43252</v>
      </c>
      <c r="AF123" s="289">
        <v>224259.81726842339</v>
      </c>
      <c r="AG123">
        <f t="shared" si="6"/>
        <v>360</v>
      </c>
      <c r="AH123" s="289">
        <f t="shared" si="7"/>
        <v>622.94393685673163</v>
      </c>
      <c r="AJ123" s="289">
        <f t="shared" si="8"/>
        <v>54</v>
      </c>
      <c r="AK123" s="289">
        <f t="shared" si="9"/>
        <v>33638.972590263511</v>
      </c>
    </row>
    <row r="124" spans="1:37">
      <c r="A124" s="703" t="s">
        <v>594</v>
      </c>
      <c r="B124" s="703" t="s">
        <v>331</v>
      </c>
      <c r="C124" s="703" t="s">
        <v>586</v>
      </c>
      <c r="D124" s="703" t="s">
        <v>486</v>
      </c>
      <c r="E124" s="703" t="s">
        <v>587</v>
      </c>
      <c r="F124" s="703" t="s">
        <v>335</v>
      </c>
      <c r="G124" s="703" t="s">
        <v>595</v>
      </c>
      <c r="H124" s="703" t="s">
        <v>334</v>
      </c>
      <c r="I124" s="703" t="s">
        <v>334</v>
      </c>
      <c r="J124" s="703" t="s">
        <v>337</v>
      </c>
      <c r="K124" s="704">
        <v>0</v>
      </c>
      <c r="L124" s="703" t="s">
        <v>334</v>
      </c>
      <c r="M124" s="702">
        <v>40390</v>
      </c>
      <c r="N124" s="702">
        <v>43174</v>
      </c>
      <c r="O124" s="703" t="s">
        <v>338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t="s">
        <v>589</v>
      </c>
      <c r="AD124" t="s">
        <v>290</v>
      </c>
      <c r="AE124" s="702">
        <f t="shared" si="5"/>
        <v>43252</v>
      </c>
      <c r="AF124" s="289">
        <v>0</v>
      </c>
      <c r="AG124">
        <f t="shared" si="6"/>
        <v>360</v>
      </c>
      <c r="AH124" s="289">
        <f t="shared" si="7"/>
        <v>0</v>
      </c>
      <c r="AJ124" s="289">
        <f t="shared" si="8"/>
        <v>54</v>
      </c>
      <c r="AK124" s="289">
        <f t="shared" si="9"/>
        <v>0</v>
      </c>
    </row>
    <row r="125" spans="1:37">
      <c r="A125" s="703" t="s">
        <v>596</v>
      </c>
      <c r="B125" s="703" t="s">
        <v>331</v>
      </c>
      <c r="C125" s="703" t="s">
        <v>586</v>
      </c>
      <c r="D125" s="703" t="s">
        <v>486</v>
      </c>
      <c r="E125" s="703" t="s">
        <v>587</v>
      </c>
      <c r="F125" s="703" t="s">
        <v>335</v>
      </c>
      <c r="G125" s="703" t="s">
        <v>597</v>
      </c>
      <c r="H125" s="703" t="s">
        <v>334</v>
      </c>
      <c r="I125" s="703" t="s">
        <v>334</v>
      </c>
      <c r="J125" s="703" t="s">
        <v>337</v>
      </c>
      <c r="K125" s="704">
        <v>0</v>
      </c>
      <c r="L125" s="703" t="s">
        <v>334</v>
      </c>
      <c r="M125" s="702">
        <v>40390</v>
      </c>
      <c r="N125" s="702">
        <v>43174</v>
      </c>
      <c r="O125" s="703" t="s">
        <v>338</v>
      </c>
      <c r="P125" s="20">
        <v>324771.57</v>
      </c>
      <c r="Q125" s="20">
        <v>0</v>
      </c>
      <c r="R125" s="20">
        <v>0</v>
      </c>
      <c r="S125" s="20">
        <v>0</v>
      </c>
      <c r="T125" s="20">
        <v>324771.57</v>
      </c>
      <c r="U125" s="20">
        <v>284175.12</v>
      </c>
      <c r="V125" s="20">
        <v>-40596.449999999997</v>
      </c>
      <c r="W125" s="20">
        <v>-51422.17</v>
      </c>
      <c r="X125" s="20">
        <v>-10825.72</v>
      </c>
      <c r="Y125" s="20">
        <v>0</v>
      </c>
      <c r="Z125" s="20">
        <v>0</v>
      </c>
      <c r="AA125" s="20">
        <v>0</v>
      </c>
      <c r="AB125" s="20">
        <v>273349.40000000002</v>
      </c>
      <c r="AC125" t="s">
        <v>589</v>
      </c>
      <c r="AD125" t="s">
        <v>290</v>
      </c>
      <c r="AE125" s="702">
        <f t="shared" si="5"/>
        <v>43252</v>
      </c>
      <c r="AF125" s="289">
        <v>539462.2439541599</v>
      </c>
      <c r="AG125">
        <f t="shared" si="6"/>
        <v>360</v>
      </c>
      <c r="AH125" s="289">
        <f t="shared" si="7"/>
        <v>1498.5062332059997</v>
      </c>
      <c r="AJ125" s="289">
        <f t="shared" si="8"/>
        <v>54</v>
      </c>
      <c r="AK125" s="289">
        <f t="shared" si="9"/>
        <v>80919.336593123982</v>
      </c>
    </row>
    <row r="126" spans="1:37">
      <c r="A126" s="703" t="s">
        <v>598</v>
      </c>
      <c r="B126" s="703" t="s">
        <v>331</v>
      </c>
      <c r="C126" s="703" t="s">
        <v>586</v>
      </c>
      <c r="D126" s="703" t="s">
        <v>486</v>
      </c>
      <c r="E126" s="703" t="s">
        <v>587</v>
      </c>
      <c r="F126" s="703" t="s">
        <v>335</v>
      </c>
      <c r="G126" s="703" t="s">
        <v>599</v>
      </c>
      <c r="H126" s="703" t="s">
        <v>334</v>
      </c>
      <c r="I126" s="703" t="s">
        <v>334</v>
      </c>
      <c r="J126" s="703" t="s">
        <v>337</v>
      </c>
      <c r="K126" s="704">
        <v>0</v>
      </c>
      <c r="L126" s="703" t="s">
        <v>334</v>
      </c>
      <c r="M126" s="702">
        <v>42766</v>
      </c>
      <c r="N126" s="702">
        <v>43174</v>
      </c>
      <c r="O126" s="703" t="s">
        <v>338</v>
      </c>
      <c r="P126" s="20">
        <v>93844.7</v>
      </c>
      <c r="Q126" s="20">
        <v>0</v>
      </c>
      <c r="R126" s="20">
        <v>0</v>
      </c>
      <c r="S126" s="20">
        <v>0</v>
      </c>
      <c r="T126" s="20">
        <v>93844.7</v>
      </c>
      <c r="U126" s="20">
        <v>82114.100000000006</v>
      </c>
      <c r="V126" s="20">
        <v>-11730.6</v>
      </c>
      <c r="W126" s="20">
        <v>-14858.76</v>
      </c>
      <c r="X126" s="20">
        <v>-3128.16</v>
      </c>
      <c r="Y126" s="20">
        <v>0</v>
      </c>
      <c r="Z126" s="20">
        <v>0</v>
      </c>
      <c r="AA126" s="20">
        <v>0</v>
      </c>
      <c r="AB126" s="20">
        <v>78985.94</v>
      </c>
      <c r="AC126" t="s">
        <v>589</v>
      </c>
      <c r="AD126" t="s">
        <v>290</v>
      </c>
      <c r="AE126" s="702">
        <f t="shared" si="5"/>
        <v>43252</v>
      </c>
      <c r="AF126" s="289">
        <v>155880.86249422925</v>
      </c>
      <c r="AG126">
        <f t="shared" si="6"/>
        <v>360</v>
      </c>
      <c r="AH126" s="289">
        <f t="shared" si="7"/>
        <v>433.00239581730347</v>
      </c>
      <c r="AJ126" s="289">
        <f t="shared" si="8"/>
        <v>54</v>
      </c>
      <c r="AK126" s="289">
        <f t="shared" si="9"/>
        <v>23382.129374134387</v>
      </c>
    </row>
    <row r="127" spans="1:37">
      <c r="A127" s="703" t="s">
        <v>600</v>
      </c>
      <c r="B127" s="703" t="s">
        <v>331</v>
      </c>
      <c r="C127" s="703" t="s">
        <v>586</v>
      </c>
      <c r="D127" s="703" t="s">
        <v>486</v>
      </c>
      <c r="E127" s="703" t="s">
        <v>587</v>
      </c>
      <c r="F127" s="703" t="s">
        <v>335</v>
      </c>
      <c r="G127" s="703" t="s">
        <v>601</v>
      </c>
      <c r="H127" s="703" t="s">
        <v>334</v>
      </c>
      <c r="I127" s="703" t="s">
        <v>334</v>
      </c>
      <c r="J127" s="703" t="s">
        <v>337</v>
      </c>
      <c r="K127" s="704">
        <v>0</v>
      </c>
      <c r="L127" s="703" t="s">
        <v>334</v>
      </c>
      <c r="M127" s="702">
        <v>43100</v>
      </c>
      <c r="N127" s="702">
        <v>43174</v>
      </c>
      <c r="O127" s="703" t="s">
        <v>338</v>
      </c>
      <c r="P127" s="20">
        <v>92582</v>
      </c>
      <c r="Q127" s="20">
        <v>0</v>
      </c>
      <c r="R127" s="20">
        <v>0</v>
      </c>
      <c r="S127" s="20">
        <v>0</v>
      </c>
      <c r="T127" s="20">
        <v>92582</v>
      </c>
      <c r="U127" s="20">
        <v>81009.240000000005</v>
      </c>
      <c r="V127" s="20">
        <v>-11572.76</v>
      </c>
      <c r="W127" s="20">
        <v>-14658.83</v>
      </c>
      <c r="X127" s="20">
        <v>-3086.07</v>
      </c>
      <c r="Y127" s="20">
        <v>0</v>
      </c>
      <c r="Z127" s="20">
        <v>0</v>
      </c>
      <c r="AA127" s="20">
        <v>0</v>
      </c>
      <c r="AB127" s="20">
        <v>77923.17</v>
      </c>
      <c r="AC127" t="s">
        <v>589</v>
      </c>
      <c r="AD127" t="s">
        <v>290</v>
      </c>
      <c r="AE127" s="702">
        <f t="shared" si="5"/>
        <v>43252</v>
      </c>
      <c r="AF127" s="289">
        <v>153783.45299671407</v>
      </c>
      <c r="AG127">
        <f t="shared" si="6"/>
        <v>360</v>
      </c>
      <c r="AH127" s="289">
        <f t="shared" si="7"/>
        <v>427.17625832420578</v>
      </c>
      <c r="AJ127" s="289">
        <f t="shared" si="8"/>
        <v>54</v>
      </c>
      <c r="AK127" s="289">
        <f t="shared" si="9"/>
        <v>23067.517949507113</v>
      </c>
    </row>
    <row r="128" spans="1:37">
      <c r="A128" s="703" t="s">
        <v>602</v>
      </c>
      <c r="B128" s="703" t="s">
        <v>331</v>
      </c>
      <c r="C128" s="703" t="s">
        <v>586</v>
      </c>
      <c r="D128" s="703" t="s">
        <v>486</v>
      </c>
      <c r="E128" s="703" t="s">
        <v>587</v>
      </c>
      <c r="F128" s="703" t="s">
        <v>335</v>
      </c>
      <c r="G128" s="703" t="s">
        <v>603</v>
      </c>
      <c r="H128" s="703" t="s">
        <v>334</v>
      </c>
      <c r="I128" s="703" t="s">
        <v>334</v>
      </c>
      <c r="J128" s="703" t="s">
        <v>337</v>
      </c>
      <c r="K128" s="704">
        <v>0</v>
      </c>
      <c r="L128" s="703" t="s">
        <v>334</v>
      </c>
      <c r="M128" s="702">
        <v>40390</v>
      </c>
      <c r="N128" s="702">
        <v>43174</v>
      </c>
      <c r="O128" s="703" t="s">
        <v>338</v>
      </c>
      <c r="P128" s="20">
        <v>81111.83</v>
      </c>
      <c r="Q128" s="20">
        <v>0</v>
      </c>
      <c r="R128" s="20">
        <v>0</v>
      </c>
      <c r="S128" s="20">
        <v>0</v>
      </c>
      <c r="T128" s="20">
        <v>81111.83</v>
      </c>
      <c r="U128" s="20">
        <v>70972.84</v>
      </c>
      <c r="V128" s="20">
        <v>-10138.99</v>
      </c>
      <c r="W128" s="20">
        <v>-12842.72</v>
      </c>
      <c r="X128" s="20">
        <v>-2703.73</v>
      </c>
      <c r="Y128" s="20">
        <v>0</v>
      </c>
      <c r="Z128" s="20">
        <v>0</v>
      </c>
      <c r="AA128" s="20">
        <v>0</v>
      </c>
      <c r="AB128" s="20">
        <v>68269.11</v>
      </c>
      <c r="AC128" t="s">
        <v>589</v>
      </c>
      <c r="AD128" t="s">
        <v>290</v>
      </c>
      <c r="AE128" s="702">
        <f t="shared" si="5"/>
        <v>43252</v>
      </c>
      <c r="AF128" s="289">
        <v>134730.91201618523</v>
      </c>
      <c r="AG128">
        <f t="shared" si="6"/>
        <v>360</v>
      </c>
      <c r="AH128" s="289">
        <f t="shared" si="7"/>
        <v>374.2525333782923</v>
      </c>
      <c r="AJ128" s="289">
        <f t="shared" si="8"/>
        <v>54</v>
      </c>
      <c r="AK128" s="289">
        <f t="shared" si="9"/>
        <v>20209.636802427784</v>
      </c>
    </row>
    <row r="129" spans="1:37">
      <c r="A129" s="703" t="s">
        <v>604</v>
      </c>
      <c r="B129" s="703" t="s">
        <v>331</v>
      </c>
      <c r="C129" s="703" t="s">
        <v>586</v>
      </c>
      <c r="D129" s="703" t="s">
        <v>486</v>
      </c>
      <c r="E129" s="703" t="s">
        <v>587</v>
      </c>
      <c r="F129" s="703" t="s">
        <v>335</v>
      </c>
      <c r="G129" s="703" t="s">
        <v>605</v>
      </c>
      <c r="H129" s="703" t="s">
        <v>334</v>
      </c>
      <c r="I129" s="703" t="s">
        <v>334</v>
      </c>
      <c r="J129" s="703" t="s">
        <v>337</v>
      </c>
      <c r="K129" s="704">
        <v>0</v>
      </c>
      <c r="L129" s="703" t="s">
        <v>334</v>
      </c>
      <c r="M129" s="702">
        <v>40390</v>
      </c>
      <c r="N129" s="702">
        <v>43174</v>
      </c>
      <c r="O129" s="703" t="s">
        <v>338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t="s">
        <v>589</v>
      </c>
      <c r="AD129" t="s">
        <v>290</v>
      </c>
      <c r="AE129" s="702">
        <f t="shared" si="5"/>
        <v>43252</v>
      </c>
      <c r="AF129" s="289">
        <v>0</v>
      </c>
      <c r="AG129">
        <f t="shared" si="6"/>
        <v>360</v>
      </c>
      <c r="AH129" s="289">
        <f t="shared" si="7"/>
        <v>0</v>
      </c>
      <c r="AJ129" s="289">
        <f t="shared" si="8"/>
        <v>54</v>
      </c>
      <c r="AK129" s="289">
        <f t="shared" si="9"/>
        <v>0</v>
      </c>
    </row>
    <row r="130" spans="1:37">
      <c r="A130" s="703" t="s">
        <v>606</v>
      </c>
      <c r="B130" s="703" t="s">
        <v>331</v>
      </c>
      <c r="C130" s="703" t="s">
        <v>586</v>
      </c>
      <c r="D130" s="703" t="s">
        <v>486</v>
      </c>
      <c r="E130" s="703" t="s">
        <v>587</v>
      </c>
      <c r="F130" s="703" t="s">
        <v>335</v>
      </c>
      <c r="G130" s="703" t="s">
        <v>607</v>
      </c>
      <c r="H130" s="703" t="s">
        <v>334</v>
      </c>
      <c r="I130" s="703" t="s">
        <v>334</v>
      </c>
      <c r="J130" s="703" t="s">
        <v>337</v>
      </c>
      <c r="K130" s="704">
        <v>0</v>
      </c>
      <c r="L130" s="703" t="s">
        <v>334</v>
      </c>
      <c r="M130" s="702">
        <v>40390</v>
      </c>
      <c r="N130" s="702">
        <v>43174</v>
      </c>
      <c r="O130" s="703" t="s">
        <v>338</v>
      </c>
      <c r="P130" s="20">
        <v>378718.83</v>
      </c>
      <c r="Q130" s="20">
        <v>0</v>
      </c>
      <c r="R130" s="20">
        <v>0</v>
      </c>
      <c r="S130" s="20">
        <v>0</v>
      </c>
      <c r="T130" s="20">
        <v>378718.83</v>
      </c>
      <c r="U130" s="20">
        <v>331378.98</v>
      </c>
      <c r="V130" s="20">
        <v>-47339.85</v>
      </c>
      <c r="W130" s="20">
        <v>-59963.81</v>
      </c>
      <c r="X130" s="20">
        <v>-12623.96</v>
      </c>
      <c r="Y130" s="20">
        <v>0</v>
      </c>
      <c r="Z130" s="20">
        <v>0</v>
      </c>
      <c r="AA130" s="20">
        <v>0</v>
      </c>
      <c r="AB130" s="20">
        <v>318755.02</v>
      </c>
      <c r="AC130" t="s">
        <v>589</v>
      </c>
      <c r="AD130" t="s">
        <v>290</v>
      </c>
      <c r="AE130" s="702">
        <f t="shared" si="5"/>
        <v>43252</v>
      </c>
      <c r="AF130" s="289">
        <v>629071.41120601795</v>
      </c>
      <c r="AG130">
        <f t="shared" si="6"/>
        <v>360</v>
      </c>
      <c r="AH130" s="289">
        <f t="shared" si="7"/>
        <v>1747.4205866833831</v>
      </c>
      <c r="AJ130" s="289">
        <f t="shared" si="8"/>
        <v>54</v>
      </c>
      <c r="AK130" s="289">
        <f t="shared" si="9"/>
        <v>94360.711680902692</v>
      </c>
    </row>
    <row r="131" spans="1:37">
      <c r="A131" s="703" t="s">
        <v>608</v>
      </c>
      <c r="B131" s="703" t="s">
        <v>331</v>
      </c>
      <c r="C131" s="703" t="s">
        <v>586</v>
      </c>
      <c r="D131" s="703" t="s">
        <v>486</v>
      </c>
      <c r="E131" s="703" t="s">
        <v>587</v>
      </c>
      <c r="F131" s="703" t="s">
        <v>335</v>
      </c>
      <c r="G131" s="703" t="s">
        <v>609</v>
      </c>
      <c r="H131" s="703" t="s">
        <v>334</v>
      </c>
      <c r="I131" s="703" t="s">
        <v>334</v>
      </c>
      <c r="J131" s="703" t="s">
        <v>337</v>
      </c>
      <c r="K131" s="704">
        <v>0</v>
      </c>
      <c r="L131" s="703" t="s">
        <v>334</v>
      </c>
      <c r="M131" s="702">
        <v>42794</v>
      </c>
      <c r="N131" s="702">
        <v>43174</v>
      </c>
      <c r="O131" s="703" t="s">
        <v>338</v>
      </c>
      <c r="P131" s="20">
        <v>29769.11</v>
      </c>
      <c r="Q131" s="20">
        <v>0</v>
      </c>
      <c r="R131" s="20">
        <v>0</v>
      </c>
      <c r="S131" s="20">
        <v>0</v>
      </c>
      <c r="T131" s="20">
        <v>29769.11</v>
      </c>
      <c r="U131" s="20">
        <v>26047.98</v>
      </c>
      <c r="V131" s="20">
        <v>-3721.13</v>
      </c>
      <c r="W131" s="20">
        <v>-4713.43</v>
      </c>
      <c r="X131" s="20">
        <v>-992.3</v>
      </c>
      <c r="Y131" s="20">
        <v>0</v>
      </c>
      <c r="Z131" s="20">
        <v>0</v>
      </c>
      <c r="AA131" s="20">
        <v>0</v>
      </c>
      <c r="AB131" s="20">
        <v>25055.68</v>
      </c>
      <c r="AC131" t="s">
        <v>589</v>
      </c>
      <c r="AD131" t="s">
        <v>290</v>
      </c>
      <c r="AE131" s="702">
        <f t="shared" si="5"/>
        <v>43252</v>
      </c>
      <c r="AF131" s="289">
        <v>49448.019360556165</v>
      </c>
      <c r="AG131">
        <f t="shared" si="6"/>
        <v>360</v>
      </c>
      <c r="AH131" s="289">
        <f t="shared" si="7"/>
        <v>137.35560933487824</v>
      </c>
      <c r="AJ131" s="289">
        <f t="shared" si="8"/>
        <v>54</v>
      </c>
      <c r="AK131" s="289">
        <f t="shared" si="9"/>
        <v>7417.202904083425</v>
      </c>
    </row>
    <row r="132" spans="1:37">
      <c r="A132" s="703" t="s">
        <v>610</v>
      </c>
      <c r="B132" s="703" t="s">
        <v>331</v>
      </c>
      <c r="C132" s="703" t="s">
        <v>586</v>
      </c>
      <c r="D132" s="703" t="s">
        <v>486</v>
      </c>
      <c r="E132" s="703" t="s">
        <v>587</v>
      </c>
      <c r="F132" s="703" t="s">
        <v>335</v>
      </c>
      <c r="G132" s="703" t="s">
        <v>611</v>
      </c>
      <c r="H132" s="703" t="s">
        <v>334</v>
      </c>
      <c r="I132" s="703" t="s">
        <v>334</v>
      </c>
      <c r="J132" s="703" t="s">
        <v>337</v>
      </c>
      <c r="K132" s="704">
        <v>0</v>
      </c>
      <c r="L132" s="703" t="s">
        <v>334</v>
      </c>
      <c r="M132" s="702">
        <v>42766</v>
      </c>
      <c r="N132" s="702">
        <v>43174</v>
      </c>
      <c r="O132" s="703" t="s">
        <v>338</v>
      </c>
      <c r="P132" s="20">
        <v>30710.639999999999</v>
      </c>
      <c r="Q132" s="20">
        <v>0</v>
      </c>
      <c r="R132" s="20">
        <v>0</v>
      </c>
      <c r="S132" s="20">
        <v>0</v>
      </c>
      <c r="T132" s="20">
        <v>30710.639999999999</v>
      </c>
      <c r="U132" s="20">
        <v>26871.8</v>
      </c>
      <c r="V132" s="20">
        <v>-3838.84</v>
      </c>
      <c r="W132" s="20">
        <v>-4862.53</v>
      </c>
      <c r="X132" s="20">
        <v>-1023.69</v>
      </c>
      <c r="Y132" s="20">
        <v>0</v>
      </c>
      <c r="Z132" s="20">
        <v>0</v>
      </c>
      <c r="AA132" s="20">
        <v>0</v>
      </c>
      <c r="AB132" s="20">
        <v>25848.11</v>
      </c>
      <c r="AC132" t="s">
        <v>589</v>
      </c>
      <c r="AD132" t="s">
        <v>290</v>
      </c>
      <c r="AE132" s="702">
        <f t="shared" si="5"/>
        <v>43252</v>
      </c>
      <c r="AF132" s="289">
        <v>51011.94900670764</v>
      </c>
      <c r="AG132">
        <f t="shared" si="6"/>
        <v>360</v>
      </c>
      <c r="AH132" s="289">
        <f t="shared" si="7"/>
        <v>141.69985835196567</v>
      </c>
      <c r="AJ132" s="289">
        <f t="shared" si="8"/>
        <v>54</v>
      </c>
      <c r="AK132" s="289">
        <f t="shared" si="9"/>
        <v>7651.7923510061464</v>
      </c>
    </row>
    <row r="133" spans="1:37">
      <c r="A133" s="703" t="s">
        <v>612</v>
      </c>
      <c r="B133" s="703" t="s">
        <v>331</v>
      </c>
      <c r="C133" s="703" t="s">
        <v>586</v>
      </c>
      <c r="D133" s="703" t="s">
        <v>486</v>
      </c>
      <c r="E133" s="703" t="s">
        <v>587</v>
      </c>
      <c r="F133" s="703" t="s">
        <v>335</v>
      </c>
      <c r="G133" s="703" t="s">
        <v>613</v>
      </c>
      <c r="H133" s="703" t="s">
        <v>334</v>
      </c>
      <c r="I133" s="703" t="s">
        <v>334</v>
      </c>
      <c r="J133" s="703" t="s">
        <v>337</v>
      </c>
      <c r="K133" s="704">
        <v>0</v>
      </c>
      <c r="L133" s="703" t="s">
        <v>334</v>
      </c>
      <c r="M133" s="702">
        <v>40390</v>
      </c>
      <c r="N133" s="702">
        <v>43174</v>
      </c>
      <c r="O133" s="703" t="s">
        <v>338</v>
      </c>
      <c r="P133" s="20">
        <v>56637.36</v>
      </c>
      <c r="Q133" s="20">
        <v>0</v>
      </c>
      <c r="R133" s="20">
        <v>0</v>
      </c>
      <c r="S133" s="20">
        <v>0</v>
      </c>
      <c r="T133" s="20">
        <v>56637.36</v>
      </c>
      <c r="U133" s="20">
        <v>49557.7</v>
      </c>
      <c r="V133" s="20">
        <v>-7079.66</v>
      </c>
      <c r="W133" s="20">
        <v>-8967.57</v>
      </c>
      <c r="X133" s="20">
        <v>-1887.91</v>
      </c>
      <c r="Y133" s="20">
        <v>0</v>
      </c>
      <c r="Z133" s="20">
        <v>0</v>
      </c>
      <c r="AA133" s="20">
        <v>0</v>
      </c>
      <c r="AB133" s="20">
        <v>47669.79</v>
      </c>
      <c r="AC133" t="s">
        <v>589</v>
      </c>
      <c r="AD133" t="s">
        <v>290</v>
      </c>
      <c r="AE133" s="702">
        <f t="shared" si="5"/>
        <v>43252</v>
      </c>
      <c r="AF133" s="289">
        <v>94077.561398738137</v>
      </c>
      <c r="AG133">
        <f t="shared" si="6"/>
        <v>360</v>
      </c>
      <c r="AH133" s="289">
        <f t="shared" si="7"/>
        <v>261.32655944093926</v>
      </c>
      <c r="AJ133" s="289">
        <f t="shared" si="8"/>
        <v>54</v>
      </c>
      <c r="AK133" s="289">
        <f t="shared" si="9"/>
        <v>14111.63420981072</v>
      </c>
    </row>
    <row r="134" spans="1:37">
      <c r="A134" s="703" t="s">
        <v>614</v>
      </c>
      <c r="B134" s="703" t="s">
        <v>331</v>
      </c>
      <c r="C134" s="703" t="s">
        <v>586</v>
      </c>
      <c r="D134" s="703" t="s">
        <v>486</v>
      </c>
      <c r="E134" s="703" t="s">
        <v>587</v>
      </c>
      <c r="F134" s="703" t="s">
        <v>335</v>
      </c>
      <c r="G134" s="703" t="s">
        <v>615</v>
      </c>
      <c r="H134" s="703" t="s">
        <v>334</v>
      </c>
      <c r="I134" s="703" t="s">
        <v>334</v>
      </c>
      <c r="J134" s="703" t="s">
        <v>337</v>
      </c>
      <c r="K134" s="704">
        <v>0</v>
      </c>
      <c r="L134" s="703" t="s">
        <v>334</v>
      </c>
      <c r="M134" s="702">
        <v>40390</v>
      </c>
      <c r="N134" s="702">
        <v>43174</v>
      </c>
      <c r="O134" s="703" t="s">
        <v>338</v>
      </c>
      <c r="P134" s="20">
        <v>72493.14</v>
      </c>
      <c r="Q134" s="20">
        <v>0</v>
      </c>
      <c r="R134" s="20">
        <v>0</v>
      </c>
      <c r="S134" s="20">
        <v>0</v>
      </c>
      <c r="T134" s="20">
        <v>72493.14</v>
      </c>
      <c r="U134" s="20">
        <v>63431.49</v>
      </c>
      <c r="V134" s="20">
        <v>-9061.65</v>
      </c>
      <c r="W134" s="20">
        <v>-11478.09</v>
      </c>
      <c r="X134" s="20">
        <v>-2416.44</v>
      </c>
      <c r="Y134" s="20">
        <v>0</v>
      </c>
      <c r="Z134" s="20">
        <v>0</v>
      </c>
      <c r="AA134" s="20">
        <v>0</v>
      </c>
      <c r="AB134" s="20">
        <v>61015.05</v>
      </c>
      <c r="AC134" t="s">
        <v>589</v>
      </c>
      <c r="AD134" t="s">
        <v>290</v>
      </c>
      <c r="AE134" s="702">
        <f t="shared" si="5"/>
        <v>43252</v>
      </c>
      <c r="AF134" s="289">
        <v>120414.82564401517</v>
      </c>
      <c r="AG134">
        <f t="shared" si="6"/>
        <v>360</v>
      </c>
      <c r="AH134" s="289">
        <f t="shared" si="7"/>
        <v>334.48562678893103</v>
      </c>
      <c r="AJ134" s="289">
        <f t="shared" si="8"/>
        <v>54</v>
      </c>
      <c r="AK134" s="289">
        <f t="shared" si="9"/>
        <v>18062.223846602275</v>
      </c>
    </row>
    <row r="135" spans="1:37">
      <c r="A135" s="703" t="s">
        <v>616</v>
      </c>
      <c r="B135" s="703" t="s">
        <v>331</v>
      </c>
      <c r="C135" s="703" t="s">
        <v>586</v>
      </c>
      <c r="D135" s="703" t="s">
        <v>486</v>
      </c>
      <c r="E135" s="703" t="s">
        <v>587</v>
      </c>
      <c r="F135" s="703" t="s">
        <v>335</v>
      </c>
      <c r="G135" s="703" t="s">
        <v>617</v>
      </c>
      <c r="H135" s="703" t="s">
        <v>334</v>
      </c>
      <c r="I135" s="703" t="s">
        <v>334</v>
      </c>
      <c r="J135" s="703" t="s">
        <v>337</v>
      </c>
      <c r="K135" s="704">
        <v>0</v>
      </c>
      <c r="L135" s="703" t="s">
        <v>334</v>
      </c>
      <c r="M135" s="702">
        <v>43069</v>
      </c>
      <c r="N135" s="702">
        <v>43174</v>
      </c>
      <c r="O135" s="703" t="s">
        <v>338</v>
      </c>
      <c r="P135" s="20">
        <v>9266.2000000000007</v>
      </c>
      <c r="Q135" s="20">
        <v>0</v>
      </c>
      <c r="R135" s="20">
        <v>0</v>
      </c>
      <c r="S135" s="20">
        <v>0</v>
      </c>
      <c r="T135" s="20">
        <v>9266.2000000000007</v>
      </c>
      <c r="U135" s="20">
        <v>8107.93</v>
      </c>
      <c r="V135" s="20">
        <v>-1158.27</v>
      </c>
      <c r="W135" s="20">
        <v>-1467.14</v>
      </c>
      <c r="X135" s="20">
        <v>-308.87</v>
      </c>
      <c r="Y135" s="20">
        <v>0</v>
      </c>
      <c r="Z135" s="20">
        <v>0</v>
      </c>
      <c r="AA135" s="20">
        <v>0</v>
      </c>
      <c r="AB135" s="20">
        <v>7799.06</v>
      </c>
      <c r="AC135" t="s">
        <v>589</v>
      </c>
      <c r="AD135" t="s">
        <v>290</v>
      </c>
      <c r="AE135" s="702">
        <f t="shared" ref="AE135:AE198" si="10">IF(N135&gt;=$AG$5,DATE(YEAR(N135),6,1),DATE(YEAR(N135),6,1))</f>
        <v>43252</v>
      </c>
      <c r="AF135" s="289">
        <v>15391.633710204491</v>
      </c>
      <c r="AG135">
        <f t="shared" ref="AG135:AG198" si="11">+IF(AD135="intangível",20*12,IF(AD135="Diferido",120,IF(AD135="Não vinculados",0,IF(AE135&lt;=$AG$5,F135*12,360))))</f>
        <v>360</v>
      </c>
      <c r="AH135" s="289">
        <f t="shared" ref="AH135:AH198" si="12">IF(AG135=0,0,AF135/AG135)</f>
        <v>42.754538083901366</v>
      </c>
      <c r="AJ135" s="289">
        <f t="shared" ref="AJ135:AJ198" si="13">+IF(AND(YEAR(AE135)&gt;=2018,YEAR(AE135)&lt;=2022),IF(DATEDIF(AE135,$AK$4,"m")&gt;=AG135,AG135,DATEDIF(AE135,$AK$4,"m")),0)</f>
        <v>54</v>
      </c>
      <c r="AK135" s="289">
        <f t="shared" ref="AK135:AK198" si="14">IF(AD135="Imobilizado",AJ135*AH135,0)</f>
        <v>2308.7450565306735</v>
      </c>
    </row>
    <row r="136" spans="1:37">
      <c r="A136" s="703" t="s">
        <v>618</v>
      </c>
      <c r="B136" s="703" t="s">
        <v>331</v>
      </c>
      <c r="C136" s="703" t="s">
        <v>586</v>
      </c>
      <c r="D136" s="703" t="s">
        <v>486</v>
      </c>
      <c r="E136" s="703" t="s">
        <v>587</v>
      </c>
      <c r="F136" s="703" t="s">
        <v>335</v>
      </c>
      <c r="G136" s="703" t="s">
        <v>619</v>
      </c>
      <c r="H136" s="703" t="s">
        <v>334</v>
      </c>
      <c r="I136" s="703" t="s">
        <v>334</v>
      </c>
      <c r="J136" s="703" t="s">
        <v>337</v>
      </c>
      <c r="K136" s="704">
        <v>0</v>
      </c>
      <c r="L136" s="703" t="s">
        <v>334</v>
      </c>
      <c r="M136" s="702">
        <v>40390</v>
      </c>
      <c r="N136" s="702">
        <v>43174</v>
      </c>
      <c r="O136" s="703" t="s">
        <v>338</v>
      </c>
      <c r="P136" s="20">
        <v>54615.01</v>
      </c>
      <c r="Q136" s="20">
        <v>0</v>
      </c>
      <c r="R136" s="20">
        <v>0</v>
      </c>
      <c r="S136" s="20">
        <v>0</v>
      </c>
      <c r="T136" s="20">
        <v>54615.01</v>
      </c>
      <c r="U136" s="20">
        <v>47788.13</v>
      </c>
      <c r="V136" s="20">
        <v>-6826.88</v>
      </c>
      <c r="W136" s="20">
        <v>-8647.3799999999992</v>
      </c>
      <c r="X136" s="20">
        <v>-1820.5</v>
      </c>
      <c r="Y136" s="20">
        <v>0</v>
      </c>
      <c r="Z136" s="20">
        <v>0</v>
      </c>
      <c r="AA136" s="20">
        <v>0</v>
      </c>
      <c r="AB136" s="20">
        <v>45967.63</v>
      </c>
      <c r="AC136" t="s">
        <v>589</v>
      </c>
      <c r="AD136" t="s">
        <v>290</v>
      </c>
      <c r="AE136" s="702">
        <f t="shared" si="10"/>
        <v>43252</v>
      </c>
      <c r="AF136" s="289">
        <v>90718.334268541061</v>
      </c>
      <c r="AG136">
        <f t="shared" si="11"/>
        <v>360</v>
      </c>
      <c r="AH136" s="289">
        <f t="shared" si="12"/>
        <v>251.99537296816962</v>
      </c>
      <c r="AJ136" s="289">
        <f t="shared" si="13"/>
        <v>54</v>
      </c>
      <c r="AK136" s="289">
        <f t="shared" si="14"/>
        <v>13607.750140281159</v>
      </c>
    </row>
    <row r="137" spans="1:37">
      <c r="A137" s="703" t="s">
        <v>620</v>
      </c>
      <c r="B137" s="703" t="s">
        <v>331</v>
      </c>
      <c r="C137" s="703" t="s">
        <v>454</v>
      </c>
      <c r="D137" s="703" t="s">
        <v>334</v>
      </c>
      <c r="E137" s="703" t="s">
        <v>334</v>
      </c>
      <c r="F137" s="703" t="s">
        <v>455</v>
      </c>
      <c r="G137" s="703" t="s">
        <v>621</v>
      </c>
      <c r="H137" s="703" t="s">
        <v>622</v>
      </c>
      <c r="I137" s="703" t="s">
        <v>334</v>
      </c>
      <c r="J137" s="703" t="s">
        <v>458</v>
      </c>
      <c r="K137" s="704">
        <v>2</v>
      </c>
      <c r="L137" s="703" t="s">
        <v>463</v>
      </c>
      <c r="M137" s="702"/>
      <c r="N137" s="702">
        <v>43190</v>
      </c>
      <c r="O137" s="703" t="s">
        <v>338</v>
      </c>
      <c r="P137" s="20">
        <v>107005.8</v>
      </c>
      <c r="Q137" s="20">
        <v>0</v>
      </c>
      <c r="R137" s="20">
        <v>0</v>
      </c>
      <c r="S137" s="20">
        <v>0</v>
      </c>
      <c r="T137" s="20">
        <v>107005.8</v>
      </c>
      <c r="U137" s="20">
        <v>89810.82</v>
      </c>
      <c r="V137" s="20">
        <v>-17194.98</v>
      </c>
      <c r="W137" s="20">
        <v>-22545.27</v>
      </c>
      <c r="X137" s="20">
        <v>-5350.29</v>
      </c>
      <c r="Y137" s="20">
        <v>0</v>
      </c>
      <c r="Z137" s="20">
        <v>0</v>
      </c>
      <c r="AA137" s="20">
        <v>0</v>
      </c>
      <c r="AB137" s="20">
        <v>84460.53</v>
      </c>
      <c r="AC137" t="s">
        <v>459</v>
      </c>
      <c r="AD137" t="s">
        <v>290</v>
      </c>
      <c r="AE137" s="702">
        <f t="shared" si="10"/>
        <v>43252</v>
      </c>
      <c r="AF137" s="289">
        <v>177742.12497759593</v>
      </c>
      <c r="AG137">
        <f t="shared" si="11"/>
        <v>360</v>
      </c>
      <c r="AH137" s="289">
        <f t="shared" si="12"/>
        <v>493.72812493776649</v>
      </c>
      <c r="AJ137" s="289">
        <f t="shared" si="13"/>
        <v>54</v>
      </c>
      <c r="AK137" s="289">
        <f t="shared" si="14"/>
        <v>26661.31874663939</v>
      </c>
    </row>
    <row r="138" spans="1:37">
      <c r="A138" s="703" t="s">
        <v>623</v>
      </c>
      <c r="B138" s="703" t="s">
        <v>331</v>
      </c>
      <c r="C138" s="703" t="s">
        <v>332</v>
      </c>
      <c r="D138" s="703" t="s">
        <v>333</v>
      </c>
      <c r="E138" s="703" t="s">
        <v>334</v>
      </c>
      <c r="F138" s="703" t="s">
        <v>335</v>
      </c>
      <c r="G138" s="703" t="s">
        <v>624</v>
      </c>
      <c r="H138" s="703" t="s">
        <v>334</v>
      </c>
      <c r="I138" s="703" t="s">
        <v>334</v>
      </c>
      <c r="J138" s="703" t="s">
        <v>337</v>
      </c>
      <c r="K138" s="704">
        <v>0</v>
      </c>
      <c r="L138" s="703" t="s">
        <v>334</v>
      </c>
      <c r="M138" s="702">
        <v>39478</v>
      </c>
      <c r="N138" s="702">
        <v>43205</v>
      </c>
      <c r="O138" s="703" t="s">
        <v>338</v>
      </c>
      <c r="P138" s="20">
        <v>188382.34</v>
      </c>
      <c r="Q138" s="20">
        <v>0</v>
      </c>
      <c r="R138" s="20">
        <v>0</v>
      </c>
      <c r="S138" s="20">
        <v>0</v>
      </c>
      <c r="T138" s="20">
        <v>188382.34</v>
      </c>
      <c r="U138" s="20">
        <v>165357.84</v>
      </c>
      <c r="V138" s="20">
        <v>-23024.5</v>
      </c>
      <c r="W138" s="20">
        <v>-29303.91</v>
      </c>
      <c r="X138" s="20">
        <v>-6279.41</v>
      </c>
      <c r="Y138" s="20">
        <v>0</v>
      </c>
      <c r="Z138" s="20">
        <v>0</v>
      </c>
      <c r="AA138" s="20">
        <v>0</v>
      </c>
      <c r="AB138" s="20">
        <v>159078.43</v>
      </c>
      <c r="AC138" t="s">
        <v>183</v>
      </c>
      <c r="AD138" t="s">
        <v>290</v>
      </c>
      <c r="AE138" s="702">
        <f t="shared" si="10"/>
        <v>43252</v>
      </c>
      <c r="AF138" s="289">
        <v>312912.7338878077</v>
      </c>
      <c r="AG138">
        <f t="shared" si="11"/>
        <v>360</v>
      </c>
      <c r="AH138" s="289">
        <f t="shared" si="12"/>
        <v>869.20203857724357</v>
      </c>
      <c r="AJ138" s="289">
        <f t="shared" si="13"/>
        <v>54</v>
      </c>
      <c r="AK138" s="289">
        <f t="shared" si="14"/>
        <v>46936.910083171155</v>
      </c>
    </row>
    <row r="139" spans="1:37">
      <c r="A139" s="703" t="s">
        <v>625</v>
      </c>
      <c r="B139" s="703" t="s">
        <v>331</v>
      </c>
      <c r="C139" s="703" t="s">
        <v>332</v>
      </c>
      <c r="D139" s="703" t="s">
        <v>333</v>
      </c>
      <c r="E139" s="703" t="s">
        <v>334</v>
      </c>
      <c r="F139" s="703" t="s">
        <v>335</v>
      </c>
      <c r="G139" s="703" t="s">
        <v>524</v>
      </c>
      <c r="H139" s="703" t="s">
        <v>334</v>
      </c>
      <c r="I139" s="703" t="s">
        <v>334</v>
      </c>
      <c r="J139" s="703" t="s">
        <v>337</v>
      </c>
      <c r="K139" s="704">
        <v>0</v>
      </c>
      <c r="L139" s="703" t="s">
        <v>334</v>
      </c>
      <c r="M139" s="702">
        <v>39478</v>
      </c>
      <c r="N139" s="702">
        <v>43205</v>
      </c>
      <c r="O139" s="703" t="s">
        <v>338</v>
      </c>
      <c r="P139" s="20">
        <v>592899.66</v>
      </c>
      <c r="Q139" s="20">
        <v>0</v>
      </c>
      <c r="R139" s="20">
        <v>0</v>
      </c>
      <c r="S139" s="20">
        <v>0</v>
      </c>
      <c r="T139" s="20">
        <v>592899.66</v>
      </c>
      <c r="U139" s="20">
        <v>520434.15</v>
      </c>
      <c r="V139" s="20">
        <v>-72465.509999999995</v>
      </c>
      <c r="W139" s="20">
        <v>-92228.83</v>
      </c>
      <c r="X139" s="20">
        <v>-19763.32</v>
      </c>
      <c r="Y139" s="20">
        <v>0</v>
      </c>
      <c r="Z139" s="20">
        <v>0</v>
      </c>
      <c r="AA139" s="20">
        <v>0</v>
      </c>
      <c r="AB139" s="20">
        <v>500670.83</v>
      </c>
      <c r="AC139" t="s">
        <v>183</v>
      </c>
      <c r="AD139" t="s">
        <v>290</v>
      </c>
      <c r="AE139" s="702">
        <f t="shared" si="10"/>
        <v>43252</v>
      </c>
      <c r="AF139" s="289">
        <v>984836.76087552402</v>
      </c>
      <c r="AG139">
        <f t="shared" si="11"/>
        <v>360</v>
      </c>
      <c r="AH139" s="289">
        <f t="shared" si="12"/>
        <v>2735.6576690986776</v>
      </c>
      <c r="AJ139" s="289">
        <f t="shared" si="13"/>
        <v>54</v>
      </c>
      <c r="AK139" s="289">
        <f t="shared" si="14"/>
        <v>147725.51413132859</v>
      </c>
    </row>
    <row r="140" spans="1:37">
      <c r="A140" s="703" t="s">
        <v>626</v>
      </c>
      <c r="B140" s="703" t="s">
        <v>331</v>
      </c>
      <c r="C140" s="703" t="s">
        <v>332</v>
      </c>
      <c r="D140" s="703" t="s">
        <v>333</v>
      </c>
      <c r="E140" s="703" t="s">
        <v>334</v>
      </c>
      <c r="F140" s="703" t="s">
        <v>335</v>
      </c>
      <c r="G140" s="703" t="s">
        <v>627</v>
      </c>
      <c r="H140" s="703" t="s">
        <v>334</v>
      </c>
      <c r="I140" s="703" t="s">
        <v>334</v>
      </c>
      <c r="J140" s="703" t="s">
        <v>337</v>
      </c>
      <c r="K140" s="704">
        <v>0</v>
      </c>
      <c r="L140" s="703" t="s">
        <v>334</v>
      </c>
      <c r="M140" s="702">
        <v>39478</v>
      </c>
      <c r="N140" s="702">
        <v>43205</v>
      </c>
      <c r="O140" s="703" t="s">
        <v>338</v>
      </c>
      <c r="P140" s="20">
        <v>180.99</v>
      </c>
      <c r="Q140" s="20">
        <v>0</v>
      </c>
      <c r="R140" s="20">
        <v>0</v>
      </c>
      <c r="S140" s="20">
        <v>0</v>
      </c>
      <c r="T140" s="20">
        <v>180.99</v>
      </c>
      <c r="U140" s="20">
        <v>158.88</v>
      </c>
      <c r="V140" s="20">
        <v>-22.11</v>
      </c>
      <c r="W140" s="20">
        <v>-28.14</v>
      </c>
      <c r="X140" s="20">
        <v>-6.03</v>
      </c>
      <c r="Y140" s="20">
        <v>0</v>
      </c>
      <c r="Z140" s="20">
        <v>0</v>
      </c>
      <c r="AA140" s="20">
        <v>0</v>
      </c>
      <c r="AB140" s="20">
        <v>152.85</v>
      </c>
      <c r="AC140" t="s">
        <v>183</v>
      </c>
      <c r="AD140" t="s">
        <v>290</v>
      </c>
      <c r="AE140" s="702">
        <f t="shared" si="10"/>
        <v>43252</v>
      </c>
      <c r="AF140" s="289">
        <v>300.6336777977931</v>
      </c>
      <c r="AG140">
        <f t="shared" si="11"/>
        <v>360</v>
      </c>
      <c r="AH140" s="289">
        <f t="shared" si="12"/>
        <v>0.83509354943831415</v>
      </c>
      <c r="AJ140" s="289">
        <f t="shared" si="13"/>
        <v>54</v>
      </c>
      <c r="AK140" s="289">
        <f t="shared" si="14"/>
        <v>45.095051669668962</v>
      </c>
    </row>
    <row r="141" spans="1:37">
      <c r="A141" s="703" t="s">
        <v>628</v>
      </c>
      <c r="B141" s="703" t="s">
        <v>331</v>
      </c>
      <c r="C141" s="703" t="s">
        <v>332</v>
      </c>
      <c r="D141" s="703" t="s">
        <v>333</v>
      </c>
      <c r="E141" s="703" t="s">
        <v>334</v>
      </c>
      <c r="F141" s="703" t="s">
        <v>335</v>
      </c>
      <c r="G141" s="703" t="s">
        <v>629</v>
      </c>
      <c r="H141" s="703" t="s">
        <v>334</v>
      </c>
      <c r="I141" s="703" t="s">
        <v>334</v>
      </c>
      <c r="J141" s="703" t="s">
        <v>337</v>
      </c>
      <c r="K141" s="704">
        <v>0</v>
      </c>
      <c r="L141" s="703" t="s">
        <v>334</v>
      </c>
      <c r="M141" s="702">
        <v>39478</v>
      </c>
      <c r="N141" s="702">
        <v>43205</v>
      </c>
      <c r="O141" s="703" t="s">
        <v>338</v>
      </c>
      <c r="P141" s="20">
        <v>14624.51</v>
      </c>
      <c r="Q141" s="20">
        <v>0</v>
      </c>
      <c r="R141" s="20">
        <v>0</v>
      </c>
      <c r="S141" s="20">
        <v>0</v>
      </c>
      <c r="T141" s="20">
        <v>14624.51</v>
      </c>
      <c r="U141" s="20">
        <v>12837.08</v>
      </c>
      <c r="V141" s="20">
        <v>-1787.43</v>
      </c>
      <c r="W141" s="20">
        <v>-2274.91</v>
      </c>
      <c r="X141" s="20">
        <v>-487.48</v>
      </c>
      <c r="Y141" s="20">
        <v>0</v>
      </c>
      <c r="Z141" s="20">
        <v>0</v>
      </c>
      <c r="AA141" s="20">
        <v>0</v>
      </c>
      <c r="AB141" s="20">
        <v>12349.6</v>
      </c>
      <c r="AC141" t="s">
        <v>183</v>
      </c>
      <c r="AD141" t="s">
        <v>290</v>
      </c>
      <c r="AE141" s="702">
        <f t="shared" si="10"/>
        <v>43252</v>
      </c>
      <c r="AF141" s="289">
        <v>24292.061590643701</v>
      </c>
      <c r="AG141">
        <f t="shared" si="11"/>
        <v>360</v>
      </c>
      <c r="AH141" s="289">
        <f t="shared" si="12"/>
        <v>67.477948862899169</v>
      </c>
      <c r="AJ141" s="289">
        <f t="shared" si="13"/>
        <v>54</v>
      </c>
      <c r="AK141" s="289">
        <f t="shared" si="14"/>
        <v>3643.8092385965551</v>
      </c>
    </row>
    <row r="142" spans="1:37">
      <c r="A142" s="703" t="s">
        <v>630</v>
      </c>
      <c r="B142" s="703" t="s">
        <v>331</v>
      </c>
      <c r="C142" s="703" t="s">
        <v>332</v>
      </c>
      <c r="D142" s="703" t="s">
        <v>333</v>
      </c>
      <c r="E142" s="703" t="s">
        <v>334</v>
      </c>
      <c r="F142" s="703" t="s">
        <v>335</v>
      </c>
      <c r="G142" s="703" t="s">
        <v>631</v>
      </c>
      <c r="H142" s="703" t="s">
        <v>334</v>
      </c>
      <c r="I142" s="703" t="s">
        <v>334</v>
      </c>
      <c r="J142" s="703" t="s">
        <v>337</v>
      </c>
      <c r="K142" s="704">
        <v>0</v>
      </c>
      <c r="L142" s="703" t="s">
        <v>334</v>
      </c>
      <c r="M142" s="702">
        <v>39478</v>
      </c>
      <c r="N142" s="702">
        <v>43205</v>
      </c>
      <c r="O142" s="703" t="s">
        <v>338</v>
      </c>
      <c r="P142" s="20">
        <v>5090.37</v>
      </c>
      <c r="Q142" s="20">
        <v>0</v>
      </c>
      <c r="R142" s="20">
        <v>0</v>
      </c>
      <c r="S142" s="20">
        <v>0</v>
      </c>
      <c r="T142" s="20">
        <v>5090.37</v>
      </c>
      <c r="U142" s="20">
        <v>4468.21</v>
      </c>
      <c r="V142" s="20">
        <v>-622.16</v>
      </c>
      <c r="W142" s="20">
        <v>-791.84</v>
      </c>
      <c r="X142" s="20">
        <v>-169.68</v>
      </c>
      <c r="Y142" s="20">
        <v>0</v>
      </c>
      <c r="Z142" s="20">
        <v>0</v>
      </c>
      <c r="AA142" s="20">
        <v>0</v>
      </c>
      <c r="AB142" s="20">
        <v>4298.53</v>
      </c>
      <c r="AC142" t="s">
        <v>183</v>
      </c>
      <c r="AD142" t="s">
        <v>290</v>
      </c>
      <c r="AE142" s="702">
        <f t="shared" si="10"/>
        <v>43252</v>
      </c>
      <c r="AF142" s="289">
        <v>8455.365790659991</v>
      </c>
      <c r="AG142">
        <f t="shared" si="11"/>
        <v>360</v>
      </c>
      <c r="AH142" s="289">
        <f t="shared" si="12"/>
        <v>23.487127196277754</v>
      </c>
      <c r="AJ142" s="289">
        <f t="shared" si="13"/>
        <v>54</v>
      </c>
      <c r="AK142" s="289">
        <f t="shared" si="14"/>
        <v>1268.3048685989988</v>
      </c>
    </row>
    <row r="143" spans="1:37">
      <c r="A143" s="703" t="s">
        <v>632</v>
      </c>
      <c r="B143" s="703" t="s">
        <v>331</v>
      </c>
      <c r="C143" s="703" t="s">
        <v>332</v>
      </c>
      <c r="D143" s="703" t="s">
        <v>333</v>
      </c>
      <c r="E143" s="703" t="s">
        <v>334</v>
      </c>
      <c r="F143" s="703" t="s">
        <v>335</v>
      </c>
      <c r="G143" s="703" t="s">
        <v>342</v>
      </c>
      <c r="H143" s="703" t="s">
        <v>334</v>
      </c>
      <c r="I143" s="703" t="s">
        <v>334</v>
      </c>
      <c r="J143" s="703" t="s">
        <v>337</v>
      </c>
      <c r="K143" s="704">
        <v>0</v>
      </c>
      <c r="L143" s="703" t="s">
        <v>334</v>
      </c>
      <c r="M143" s="702">
        <v>42886</v>
      </c>
      <c r="N143" s="702">
        <v>43205</v>
      </c>
      <c r="O143" s="703" t="s">
        <v>338</v>
      </c>
      <c r="P143" s="20">
        <v>137872.95999999999</v>
      </c>
      <c r="Q143" s="20">
        <v>0</v>
      </c>
      <c r="R143" s="20">
        <v>0</v>
      </c>
      <c r="S143" s="20">
        <v>0</v>
      </c>
      <c r="T143" s="20">
        <v>137872.95999999999</v>
      </c>
      <c r="U143" s="20">
        <v>121021.81</v>
      </c>
      <c r="V143" s="20">
        <v>-16851.150000000001</v>
      </c>
      <c r="W143" s="20">
        <v>-21446.92</v>
      </c>
      <c r="X143" s="20">
        <v>-4595.7700000000004</v>
      </c>
      <c r="Y143" s="20">
        <v>0</v>
      </c>
      <c r="Z143" s="20">
        <v>0</v>
      </c>
      <c r="AA143" s="20">
        <v>0</v>
      </c>
      <c r="AB143" s="20">
        <v>116426.04</v>
      </c>
      <c r="AC143" t="s">
        <v>183</v>
      </c>
      <c r="AD143" t="s">
        <v>290</v>
      </c>
      <c r="AE143" s="702">
        <f t="shared" si="10"/>
        <v>43252</v>
      </c>
      <c r="AF143" s="289">
        <v>229014.0617363833</v>
      </c>
      <c r="AG143">
        <f t="shared" si="11"/>
        <v>360</v>
      </c>
      <c r="AH143" s="289">
        <f t="shared" si="12"/>
        <v>636.15017148995366</v>
      </c>
      <c r="AJ143" s="289">
        <f t="shared" si="13"/>
        <v>54</v>
      </c>
      <c r="AK143" s="289">
        <f t="shared" si="14"/>
        <v>34352.109260457495</v>
      </c>
    </row>
    <row r="144" spans="1:37">
      <c r="A144" s="703" t="s">
        <v>633</v>
      </c>
      <c r="B144" s="703" t="s">
        <v>331</v>
      </c>
      <c r="C144" s="703" t="s">
        <v>332</v>
      </c>
      <c r="D144" s="703" t="s">
        <v>333</v>
      </c>
      <c r="E144" s="703" t="s">
        <v>334</v>
      </c>
      <c r="F144" s="703" t="s">
        <v>335</v>
      </c>
      <c r="G144" s="703" t="s">
        <v>634</v>
      </c>
      <c r="H144" s="703" t="s">
        <v>334</v>
      </c>
      <c r="I144" s="703" t="s">
        <v>334</v>
      </c>
      <c r="J144" s="703" t="s">
        <v>337</v>
      </c>
      <c r="K144" s="704">
        <v>0</v>
      </c>
      <c r="L144" s="703" t="s">
        <v>334</v>
      </c>
      <c r="M144" s="702">
        <v>39478</v>
      </c>
      <c r="N144" s="702">
        <v>43205</v>
      </c>
      <c r="O144" s="703" t="s">
        <v>338</v>
      </c>
      <c r="P144" s="20">
        <v>112811.81</v>
      </c>
      <c r="Q144" s="20">
        <v>0</v>
      </c>
      <c r="R144" s="20">
        <v>0</v>
      </c>
      <c r="S144" s="20">
        <v>0</v>
      </c>
      <c r="T144" s="20">
        <v>112811.81</v>
      </c>
      <c r="U144" s="20">
        <v>99023.71</v>
      </c>
      <c r="V144" s="20">
        <v>-13788.1</v>
      </c>
      <c r="W144" s="20">
        <v>-17548.490000000002</v>
      </c>
      <c r="X144" s="20">
        <v>-3760.39</v>
      </c>
      <c r="Y144" s="20">
        <v>0</v>
      </c>
      <c r="Z144" s="20">
        <v>0</v>
      </c>
      <c r="AA144" s="20">
        <v>0</v>
      </c>
      <c r="AB144" s="20">
        <v>95263.32</v>
      </c>
      <c r="AC144" t="s">
        <v>183</v>
      </c>
      <c r="AD144" t="s">
        <v>290</v>
      </c>
      <c r="AE144" s="702">
        <f t="shared" si="10"/>
        <v>43252</v>
      </c>
      <c r="AF144" s="289">
        <v>187386.20553249269</v>
      </c>
      <c r="AG144">
        <f t="shared" si="11"/>
        <v>360</v>
      </c>
      <c r="AH144" s="289">
        <f t="shared" si="12"/>
        <v>520.51723759025742</v>
      </c>
      <c r="AJ144" s="289">
        <f t="shared" si="13"/>
        <v>54</v>
      </c>
      <c r="AK144" s="289">
        <f t="shared" si="14"/>
        <v>28107.930829873902</v>
      </c>
    </row>
    <row r="145" spans="1:37">
      <c r="A145" s="703" t="s">
        <v>635</v>
      </c>
      <c r="B145" s="703" t="s">
        <v>331</v>
      </c>
      <c r="C145" s="703" t="s">
        <v>332</v>
      </c>
      <c r="D145" s="703" t="s">
        <v>333</v>
      </c>
      <c r="E145" s="703" t="s">
        <v>334</v>
      </c>
      <c r="F145" s="703" t="s">
        <v>335</v>
      </c>
      <c r="G145" s="703" t="s">
        <v>636</v>
      </c>
      <c r="H145" s="703" t="s">
        <v>334</v>
      </c>
      <c r="I145" s="703" t="s">
        <v>334</v>
      </c>
      <c r="J145" s="703" t="s">
        <v>337</v>
      </c>
      <c r="K145" s="704">
        <v>0</v>
      </c>
      <c r="L145" s="703" t="s">
        <v>334</v>
      </c>
      <c r="M145" s="702">
        <v>42886</v>
      </c>
      <c r="N145" s="702">
        <v>43205</v>
      </c>
      <c r="O145" s="703" t="s">
        <v>338</v>
      </c>
      <c r="P145" s="20">
        <v>25764.560000000001</v>
      </c>
      <c r="Q145" s="20">
        <v>0</v>
      </c>
      <c r="R145" s="20">
        <v>0</v>
      </c>
      <c r="S145" s="20">
        <v>0</v>
      </c>
      <c r="T145" s="20">
        <v>25764.560000000001</v>
      </c>
      <c r="U145" s="20">
        <v>22615.55</v>
      </c>
      <c r="V145" s="20">
        <v>-3149.01</v>
      </c>
      <c r="W145" s="20">
        <v>-4007.83</v>
      </c>
      <c r="X145" s="20">
        <v>-858.82</v>
      </c>
      <c r="Y145" s="20">
        <v>0</v>
      </c>
      <c r="Z145" s="20">
        <v>0</v>
      </c>
      <c r="AA145" s="20">
        <v>0</v>
      </c>
      <c r="AB145" s="20">
        <v>21756.73</v>
      </c>
      <c r="AC145" t="s">
        <v>183</v>
      </c>
      <c r="AD145" t="s">
        <v>290</v>
      </c>
      <c r="AE145" s="702">
        <f t="shared" si="10"/>
        <v>43252</v>
      </c>
      <c r="AF145" s="289">
        <v>42796.256310524936</v>
      </c>
      <c r="AG145">
        <f t="shared" si="11"/>
        <v>360</v>
      </c>
      <c r="AH145" s="289">
        <f t="shared" si="12"/>
        <v>118.87848975145815</v>
      </c>
      <c r="AJ145" s="289">
        <f t="shared" si="13"/>
        <v>54</v>
      </c>
      <c r="AK145" s="289">
        <f t="shared" si="14"/>
        <v>6419.4384465787398</v>
      </c>
    </row>
    <row r="146" spans="1:37">
      <c r="A146" s="703" t="s">
        <v>637</v>
      </c>
      <c r="B146" s="703" t="s">
        <v>331</v>
      </c>
      <c r="C146" s="703" t="s">
        <v>332</v>
      </c>
      <c r="D146" s="703" t="s">
        <v>333</v>
      </c>
      <c r="E146" s="703" t="s">
        <v>334</v>
      </c>
      <c r="F146" s="703" t="s">
        <v>335</v>
      </c>
      <c r="G146" s="703" t="s">
        <v>340</v>
      </c>
      <c r="H146" s="703" t="s">
        <v>334</v>
      </c>
      <c r="I146" s="703" t="s">
        <v>334</v>
      </c>
      <c r="J146" s="703" t="s">
        <v>337</v>
      </c>
      <c r="K146" s="704">
        <v>0</v>
      </c>
      <c r="L146" s="703" t="s">
        <v>334</v>
      </c>
      <c r="M146" s="702">
        <v>39478</v>
      </c>
      <c r="N146" s="702">
        <v>43205</v>
      </c>
      <c r="O146" s="703" t="s">
        <v>338</v>
      </c>
      <c r="P146" s="20">
        <v>7257</v>
      </c>
      <c r="Q146" s="20">
        <v>0</v>
      </c>
      <c r="R146" s="20">
        <v>0</v>
      </c>
      <c r="S146" s="20">
        <v>0</v>
      </c>
      <c r="T146" s="20">
        <v>7257</v>
      </c>
      <c r="U146" s="20">
        <v>6370.03</v>
      </c>
      <c r="V146" s="20">
        <v>-886.97</v>
      </c>
      <c r="W146" s="20">
        <v>-1128.8699999999999</v>
      </c>
      <c r="X146" s="20">
        <v>-241.9</v>
      </c>
      <c r="Y146" s="20">
        <v>0</v>
      </c>
      <c r="Z146" s="20">
        <v>0</v>
      </c>
      <c r="AA146" s="20">
        <v>0</v>
      </c>
      <c r="AB146" s="20">
        <v>6128.13</v>
      </c>
      <c r="AC146" t="s">
        <v>183</v>
      </c>
      <c r="AD146" t="s">
        <v>290</v>
      </c>
      <c r="AE146" s="702">
        <f t="shared" si="10"/>
        <v>43252</v>
      </c>
      <c r="AF146" s="289">
        <v>12054.249404821174</v>
      </c>
      <c r="AG146">
        <f t="shared" si="11"/>
        <v>360</v>
      </c>
      <c r="AH146" s="289">
        <f t="shared" si="12"/>
        <v>33.484026124503259</v>
      </c>
      <c r="AJ146" s="289">
        <f t="shared" si="13"/>
        <v>54</v>
      </c>
      <c r="AK146" s="289">
        <f t="shared" si="14"/>
        <v>1808.1374107231759</v>
      </c>
    </row>
    <row r="147" spans="1:37">
      <c r="A147" s="703" t="s">
        <v>638</v>
      </c>
      <c r="B147" s="703" t="s">
        <v>331</v>
      </c>
      <c r="C147" s="703" t="s">
        <v>332</v>
      </c>
      <c r="D147" s="703" t="s">
        <v>333</v>
      </c>
      <c r="E147" s="703" t="s">
        <v>334</v>
      </c>
      <c r="F147" s="703" t="s">
        <v>335</v>
      </c>
      <c r="G147" s="703" t="s">
        <v>344</v>
      </c>
      <c r="H147" s="703" t="s">
        <v>334</v>
      </c>
      <c r="I147" s="703" t="s">
        <v>334</v>
      </c>
      <c r="J147" s="703" t="s">
        <v>337</v>
      </c>
      <c r="K147" s="704">
        <v>0</v>
      </c>
      <c r="L147" s="703" t="s">
        <v>334</v>
      </c>
      <c r="M147" s="702">
        <v>39478</v>
      </c>
      <c r="N147" s="702">
        <v>43205</v>
      </c>
      <c r="O147" s="703" t="s">
        <v>338</v>
      </c>
      <c r="P147" s="20">
        <v>149686.16</v>
      </c>
      <c r="Q147" s="20">
        <v>0</v>
      </c>
      <c r="R147" s="20">
        <v>0</v>
      </c>
      <c r="S147" s="20">
        <v>0</v>
      </c>
      <c r="T147" s="20">
        <v>149686.16</v>
      </c>
      <c r="U147" s="20">
        <v>131391.18</v>
      </c>
      <c r="V147" s="20">
        <v>-18294.98</v>
      </c>
      <c r="W147" s="20">
        <v>-23284.52</v>
      </c>
      <c r="X147" s="20">
        <v>-4989.54</v>
      </c>
      <c r="Y147" s="20">
        <v>0</v>
      </c>
      <c r="Z147" s="20">
        <v>0</v>
      </c>
      <c r="AA147" s="20">
        <v>0</v>
      </c>
      <c r="AB147" s="20">
        <v>126401.64</v>
      </c>
      <c r="AC147" t="s">
        <v>183</v>
      </c>
      <c r="AD147" t="s">
        <v>290</v>
      </c>
      <c r="AE147" s="702">
        <f t="shared" si="10"/>
        <v>43252</v>
      </c>
      <c r="AF147" s="289">
        <v>248636.3931500575</v>
      </c>
      <c r="AG147">
        <f t="shared" si="11"/>
        <v>360</v>
      </c>
      <c r="AH147" s="289">
        <f t="shared" si="12"/>
        <v>690.65664763904863</v>
      </c>
      <c r="AJ147" s="289">
        <f t="shared" si="13"/>
        <v>54</v>
      </c>
      <c r="AK147" s="289">
        <f t="shared" si="14"/>
        <v>37295.458972508626</v>
      </c>
    </row>
    <row r="148" spans="1:37">
      <c r="A148" s="703" t="s">
        <v>639</v>
      </c>
      <c r="B148" s="703" t="s">
        <v>331</v>
      </c>
      <c r="C148" s="703" t="s">
        <v>332</v>
      </c>
      <c r="D148" s="703" t="s">
        <v>333</v>
      </c>
      <c r="E148" s="703" t="s">
        <v>334</v>
      </c>
      <c r="F148" s="703" t="s">
        <v>335</v>
      </c>
      <c r="G148" s="703" t="s">
        <v>346</v>
      </c>
      <c r="H148" s="703" t="s">
        <v>334</v>
      </c>
      <c r="I148" s="703" t="s">
        <v>334</v>
      </c>
      <c r="J148" s="703" t="s">
        <v>337</v>
      </c>
      <c r="K148" s="704">
        <v>0</v>
      </c>
      <c r="L148" s="703" t="s">
        <v>334</v>
      </c>
      <c r="M148" s="702">
        <v>42886</v>
      </c>
      <c r="N148" s="702">
        <v>43205</v>
      </c>
      <c r="O148" s="703" t="s">
        <v>338</v>
      </c>
      <c r="P148" s="20">
        <v>36927.769999999997</v>
      </c>
      <c r="Q148" s="20">
        <v>0</v>
      </c>
      <c r="R148" s="20">
        <v>0</v>
      </c>
      <c r="S148" s="20">
        <v>0</v>
      </c>
      <c r="T148" s="20">
        <v>36927.769999999997</v>
      </c>
      <c r="U148" s="20">
        <v>32414.36</v>
      </c>
      <c r="V148" s="20">
        <v>-4513.41</v>
      </c>
      <c r="W148" s="20">
        <v>-5744.34</v>
      </c>
      <c r="X148" s="20">
        <v>-1230.93</v>
      </c>
      <c r="Y148" s="20">
        <v>0</v>
      </c>
      <c r="Z148" s="20">
        <v>0</v>
      </c>
      <c r="AA148" s="20">
        <v>0</v>
      </c>
      <c r="AB148" s="20">
        <v>31183.43</v>
      </c>
      <c r="AC148" t="s">
        <v>183</v>
      </c>
      <c r="AD148" t="s">
        <v>290</v>
      </c>
      <c r="AE148" s="702">
        <f t="shared" si="10"/>
        <v>43252</v>
      </c>
      <c r="AF148" s="289">
        <v>61338.920978899434</v>
      </c>
      <c r="AG148">
        <f t="shared" si="11"/>
        <v>360</v>
      </c>
      <c r="AH148" s="289">
        <f t="shared" si="12"/>
        <v>170.38589160805398</v>
      </c>
      <c r="AJ148" s="289">
        <f t="shared" si="13"/>
        <v>54</v>
      </c>
      <c r="AK148" s="289">
        <f t="shared" si="14"/>
        <v>9200.8381468349144</v>
      </c>
    </row>
    <row r="149" spans="1:37">
      <c r="A149" s="703" t="s">
        <v>640</v>
      </c>
      <c r="B149" s="703" t="s">
        <v>331</v>
      </c>
      <c r="C149" s="703" t="s">
        <v>332</v>
      </c>
      <c r="D149" s="703" t="s">
        <v>333</v>
      </c>
      <c r="E149" s="703" t="s">
        <v>334</v>
      </c>
      <c r="F149" s="703" t="s">
        <v>335</v>
      </c>
      <c r="G149" s="703" t="s">
        <v>358</v>
      </c>
      <c r="H149" s="703" t="s">
        <v>334</v>
      </c>
      <c r="I149" s="703" t="s">
        <v>334</v>
      </c>
      <c r="J149" s="703" t="s">
        <v>337</v>
      </c>
      <c r="K149" s="704">
        <v>0</v>
      </c>
      <c r="L149" s="703" t="s">
        <v>334</v>
      </c>
      <c r="M149" s="702">
        <v>39478</v>
      </c>
      <c r="N149" s="702">
        <v>43205</v>
      </c>
      <c r="O149" s="703" t="s">
        <v>338</v>
      </c>
      <c r="P149" s="20">
        <v>46728.65</v>
      </c>
      <c r="Q149" s="20">
        <v>0</v>
      </c>
      <c r="R149" s="20">
        <v>0</v>
      </c>
      <c r="S149" s="20">
        <v>0</v>
      </c>
      <c r="T149" s="20">
        <v>46728.65</v>
      </c>
      <c r="U149" s="20">
        <v>41017.379999999997</v>
      </c>
      <c r="V149" s="20">
        <v>-5711.27</v>
      </c>
      <c r="W149" s="20">
        <v>-7268.89</v>
      </c>
      <c r="X149" s="20">
        <v>-1557.62</v>
      </c>
      <c r="Y149" s="20">
        <v>0</v>
      </c>
      <c r="Z149" s="20">
        <v>0</v>
      </c>
      <c r="AA149" s="20">
        <v>0</v>
      </c>
      <c r="AB149" s="20">
        <v>39459.760000000002</v>
      </c>
      <c r="AC149" t="s">
        <v>183</v>
      </c>
      <c r="AD149" t="s">
        <v>290</v>
      </c>
      <c r="AE149" s="702">
        <f t="shared" si="10"/>
        <v>43252</v>
      </c>
      <c r="AF149" s="289">
        <v>77618.685607082414</v>
      </c>
      <c r="AG149">
        <f t="shared" si="11"/>
        <v>360</v>
      </c>
      <c r="AH149" s="289">
        <f t="shared" si="12"/>
        <v>215.60746001967337</v>
      </c>
      <c r="AJ149" s="289">
        <f t="shared" si="13"/>
        <v>54</v>
      </c>
      <c r="AK149" s="289">
        <f t="shared" si="14"/>
        <v>11642.802841062361</v>
      </c>
    </row>
    <row r="150" spans="1:37">
      <c r="A150" s="703" t="s">
        <v>641</v>
      </c>
      <c r="B150" s="703" t="s">
        <v>331</v>
      </c>
      <c r="C150" s="703" t="s">
        <v>332</v>
      </c>
      <c r="D150" s="703" t="s">
        <v>333</v>
      </c>
      <c r="E150" s="703" t="s">
        <v>334</v>
      </c>
      <c r="F150" s="703" t="s">
        <v>335</v>
      </c>
      <c r="G150" s="703" t="s">
        <v>356</v>
      </c>
      <c r="H150" s="703" t="s">
        <v>334</v>
      </c>
      <c r="I150" s="703" t="s">
        <v>334</v>
      </c>
      <c r="J150" s="703" t="s">
        <v>337</v>
      </c>
      <c r="K150" s="704">
        <v>0</v>
      </c>
      <c r="L150" s="703" t="s">
        <v>334</v>
      </c>
      <c r="M150" s="702">
        <v>39478</v>
      </c>
      <c r="N150" s="702">
        <v>43205</v>
      </c>
      <c r="O150" s="703" t="s">
        <v>338</v>
      </c>
      <c r="P150" s="20">
        <v>263002.96000000002</v>
      </c>
      <c r="Q150" s="20">
        <v>0</v>
      </c>
      <c r="R150" s="20">
        <v>0</v>
      </c>
      <c r="S150" s="20">
        <v>0</v>
      </c>
      <c r="T150" s="20">
        <v>263002.96000000002</v>
      </c>
      <c r="U150" s="20">
        <v>230858.14</v>
      </c>
      <c r="V150" s="20">
        <v>-32144.82</v>
      </c>
      <c r="W150" s="20">
        <v>-40911.589999999997</v>
      </c>
      <c r="X150" s="20">
        <v>-8766.77</v>
      </c>
      <c r="Y150" s="20">
        <v>0</v>
      </c>
      <c r="Z150" s="20">
        <v>0</v>
      </c>
      <c r="AA150" s="20">
        <v>0</v>
      </c>
      <c r="AB150" s="20">
        <v>222091.37</v>
      </c>
      <c r="AC150" t="s">
        <v>183</v>
      </c>
      <c r="AD150" t="s">
        <v>290</v>
      </c>
      <c r="AE150" s="702">
        <f t="shared" si="10"/>
        <v>43252</v>
      </c>
      <c r="AF150" s="289">
        <v>436861.41298693779</v>
      </c>
      <c r="AG150">
        <f t="shared" si="11"/>
        <v>360</v>
      </c>
      <c r="AH150" s="289">
        <f t="shared" si="12"/>
        <v>1213.5039249637161</v>
      </c>
      <c r="AJ150" s="289">
        <f t="shared" si="13"/>
        <v>54</v>
      </c>
      <c r="AK150" s="289">
        <f t="shared" si="14"/>
        <v>65529.211948040669</v>
      </c>
    </row>
    <row r="151" spans="1:37">
      <c r="A151" s="703" t="s">
        <v>642</v>
      </c>
      <c r="B151" s="703" t="s">
        <v>331</v>
      </c>
      <c r="C151" s="703" t="s">
        <v>332</v>
      </c>
      <c r="D151" s="703" t="s">
        <v>333</v>
      </c>
      <c r="E151" s="703" t="s">
        <v>334</v>
      </c>
      <c r="F151" s="703" t="s">
        <v>335</v>
      </c>
      <c r="G151" s="703" t="s">
        <v>643</v>
      </c>
      <c r="H151" s="703" t="s">
        <v>334</v>
      </c>
      <c r="I151" s="703" t="s">
        <v>334</v>
      </c>
      <c r="J151" s="703" t="s">
        <v>337</v>
      </c>
      <c r="K151" s="704">
        <v>0</v>
      </c>
      <c r="L151" s="703" t="s">
        <v>334</v>
      </c>
      <c r="M151" s="702">
        <v>39478</v>
      </c>
      <c r="N151" s="702">
        <v>43205</v>
      </c>
      <c r="O151" s="703" t="s">
        <v>338</v>
      </c>
      <c r="P151" s="20">
        <v>71472.7</v>
      </c>
      <c r="Q151" s="20">
        <v>0</v>
      </c>
      <c r="R151" s="20">
        <v>0</v>
      </c>
      <c r="S151" s="20">
        <v>0</v>
      </c>
      <c r="T151" s="20">
        <v>71472.7</v>
      </c>
      <c r="U151" s="20">
        <v>62737.16</v>
      </c>
      <c r="V151" s="20">
        <v>-8735.5400000000009</v>
      </c>
      <c r="W151" s="20">
        <v>-11117.96</v>
      </c>
      <c r="X151" s="20">
        <v>-2382.42</v>
      </c>
      <c r="Y151" s="20">
        <v>0</v>
      </c>
      <c r="Z151" s="20">
        <v>0</v>
      </c>
      <c r="AA151" s="20">
        <v>0</v>
      </c>
      <c r="AB151" s="20">
        <v>60354.74</v>
      </c>
      <c r="AC151" t="s">
        <v>183</v>
      </c>
      <c r="AD151" t="s">
        <v>290</v>
      </c>
      <c r="AE151" s="702">
        <f t="shared" si="10"/>
        <v>43252</v>
      </c>
      <c r="AF151" s="289">
        <v>118719.82243846802</v>
      </c>
      <c r="AG151">
        <f t="shared" si="11"/>
        <v>360</v>
      </c>
      <c r="AH151" s="289">
        <f t="shared" si="12"/>
        <v>329.77728455130006</v>
      </c>
      <c r="AJ151" s="289">
        <f t="shared" si="13"/>
        <v>54</v>
      </c>
      <c r="AK151" s="289">
        <f t="shared" si="14"/>
        <v>17807.973365770202</v>
      </c>
    </row>
    <row r="152" spans="1:37">
      <c r="A152" s="703" t="s">
        <v>644</v>
      </c>
      <c r="B152" s="703" t="s">
        <v>331</v>
      </c>
      <c r="C152" s="703" t="s">
        <v>332</v>
      </c>
      <c r="D152" s="703" t="s">
        <v>333</v>
      </c>
      <c r="E152" s="703" t="s">
        <v>334</v>
      </c>
      <c r="F152" s="703" t="s">
        <v>335</v>
      </c>
      <c r="G152" s="703" t="s">
        <v>645</v>
      </c>
      <c r="H152" s="703" t="s">
        <v>334</v>
      </c>
      <c r="I152" s="703" t="s">
        <v>334</v>
      </c>
      <c r="J152" s="703" t="s">
        <v>337</v>
      </c>
      <c r="K152" s="704">
        <v>0</v>
      </c>
      <c r="L152" s="703" t="s">
        <v>334</v>
      </c>
      <c r="M152" s="702">
        <v>42886</v>
      </c>
      <c r="N152" s="702">
        <v>43205</v>
      </c>
      <c r="O152" s="703" t="s">
        <v>338</v>
      </c>
      <c r="P152" s="20">
        <v>1078.44</v>
      </c>
      <c r="Q152" s="20">
        <v>0</v>
      </c>
      <c r="R152" s="20">
        <v>0</v>
      </c>
      <c r="S152" s="20">
        <v>0</v>
      </c>
      <c r="T152" s="20">
        <v>1078.44</v>
      </c>
      <c r="U152" s="20">
        <v>946.62</v>
      </c>
      <c r="V152" s="20">
        <v>-131.82</v>
      </c>
      <c r="W152" s="20">
        <v>-167.77</v>
      </c>
      <c r="X152" s="20">
        <v>-35.950000000000003</v>
      </c>
      <c r="Y152" s="20">
        <v>0</v>
      </c>
      <c r="Z152" s="20">
        <v>0</v>
      </c>
      <c r="AA152" s="20">
        <v>0</v>
      </c>
      <c r="AB152" s="20">
        <v>910.67</v>
      </c>
      <c r="AC152" t="s">
        <v>183</v>
      </c>
      <c r="AD152" t="s">
        <v>290</v>
      </c>
      <c r="AE152" s="702">
        <f t="shared" si="10"/>
        <v>43252</v>
      </c>
      <c r="AF152" s="289">
        <v>1791.3441819119951</v>
      </c>
      <c r="AG152">
        <f t="shared" si="11"/>
        <v>360</v>
      </c>
      <c r="AH152" s="289">
        <f t="shared" si="12"/>
        <v>4.9759560608666531</v>
      </c>
      <c r="AJ152" s="289">
        <f t="shared" si="13"/>
        <v>54</v>
      </c>
      <c r="AK152" s="289">
        <f t="shared" si="14"/>
        <v>268.70162728679929</v>
      </c>
    </row>
    <row r="153" spans="1:37">
      <c r="A153" s="703" t="s">
        <v>646</v>
      </c>
      <c r="B153" s="703" t="s">
        <v>331</v>
      </c>
      <c r="C153" s="703" t="s">
        <v>332</v>
      </c>
      <c r="D153" s="703" t="s">
        <v>333</v>
      </c>
      <c r="E153" s="703" t="s">
        <v>334</v>
      </c>
      <c r="F153" s="703" t="s">
        <v>335</v>
      </c>
      <c r="G153" s="703" t="s">
        <v>348</v>
      </c>
      <c r="H153" s="703" t="s">
        <v>334</v>
      </c>
      <c r="I153" s="703" t="s">
        <v>334</v>
      </c>
      <c r="J153" s="703" t="s">
        <v>337</v>
      </c>
      <c r="K153" s="704">
        <v>0</v>
      </c>
      <c r="L153" s="703" t="s">
        <v>334</v>
      </c>
      <c r="M153" s="702">
        <v>42886</v>
      </c>
      <c r="N153" s="702">
        <v>43205</v>
      </c>
      <c r="O153" s="703" t="s">
        <v>338</v>
      </c>
      <c r="P153" s="20">
        <v>26431.49</v>
      </c>
      <c r="Q153" s="20">
        <v>0</v>
      </c>
      <c r="R153" s="20">
        <v>0</v>
      </c>
      <c r="S153" s="20">
        <v>0</v>
      </c>
      <c r="T153" s="20">
        <v>26431.49</v>
      </c>
      <c r="U153" s="20">
        <v>23200.97</v>
      </c>
      <c r="V153" s="20">
        <v>-3230.52</v>
      </c>
      <c r="W153" s="20">
        <v>-4111.57</v>
      </c>
      <c r="X153" s="20">
        <v>-881.05</v>
      </c>
      <c r="Y153" s="20">
        <v>0</v>
      </c>
      <c r="Z153" s="20">
        <v>0</v>
      </c>
      <c r="AA153" s="20">
        <v>0</v>
      </c>
      <c r="AB153" s="20">
        <v>22319.919999999998</v>
      </c>
      <c r="AC153" t="s">
        <v>183</v>
      </c>
      <c r="AD153" t="s">
        <v>290</v>
      </c>
      <c r="AE153" s="702">
        <f t="shared" si="10"/>
        <v>43252</v>
      </c>
      <c r="AF153" s="289">
        <v>43904.061265128403</v>
      </c>
      <c r="AG153">
        <f t="shared" si="11"/>
        <v>360</v>
      </c>
      <c r="AH153" s="289">
        <f t="shared" si="12"/>
        <v>121.95572573646778</v>
      </c>
      <c r="AJ153" s="289">
        <f t="shared" si="13"/>
        <v>54</v>
      </c>
      <c r="AK153" s="289">
        <f t="shared" si="14"/>
        <v>6585.6091897692604</v>
      </c>
    </row>
    <row r="154" spans="1:37">
      <c r="A154" s="703" t="s">
        <v>647</v>
      </c>
      <c r="B154" s="703" t="s">
        <v>331</v>
      </c>
      <c r="C154" s="703" t="s">
        <v>332</v>
      </c>
      <c r="D154" s="703" t="s">
        <v>333</v>
      </c>
      <c r="E154" s="703" t="s">
        <v>334</v>
      </c>
      <c r="F154" s="703" t="s">
        <v>335</v>
      </c>
      <c r="G154" s="703" t="s">
        <v>374</v>
      </c>
      <c r="H154" s="703" t="s">
        <v>334</v>
      </c>
      <c r="I154" s="703" t="s">
        <v>334</v>
      </c>
      <c r="J154" s="703" t="s">
        <v>337</v>
      </c>
      <c r="K154" s="704">
        <v>0</v>
      </c>
      <c r="L154" s="703" t="s">
        <v>334</v>
      </c>
      <c r="M154" s="702">
        <v>39478</v>
      </c>
      <c r="N154" s="702">
        <v>43205</v>
      </c>
      <c r="O154" s="703" t="s">
        <v>338</v>
      </c>
      <c r="P154" s="20">
        <v>27160.080000000002</v>
      </c>
      <c r="Q154" s="20">
        <v>0</v>
      </c>
      <c r="R154" s="20">
        <v>0</v>
      </c>
      <c r="S154" s="20">
        <v>0</v>
      </c>
      <c r="T154" s="20">
        <v>27160.080000000002</v>
      </c>
      <c r="U154" s="20">
        <v>23840.5</v>
      </c>
      <c r="V154" s="20">
        <v>-3319.58</v>
      </c>
      <c r="W154" s="20">
        <v>-4224.92</v>
      </c>
      <c r="X154" s="20">
        <v>-905.34</v>
      </c>
      <c r="Y154" s="20">
        <v>0</v>
      </c>
      <c r="Z154" s="20">
        <v>0</v>
      </c>
      <c r="AA154" s="20">
        <v>0</v>
      </c>
      <c r="AB154" s="20">
        <v>22935.16</v>
      </c>
      <c r="AC154" t="s">
        <v>183</v>
      </c>
      <c r="AD154" t="s">
        <v>290</v>
      </c>
      <c r="AE154" s="702">
        <f t="shared" si="10"/>
        <v>43252</v>
      </c>
      <c r="AF154" s="289">
        <v>45114.286643915606</v>
      </c>
      <c r="AG154">
        <f t="shared" si="11"/>
        <v>360</v>
      </c>
      <c r="AH154" s="289">
        <f t="shared" si="12"/>
        <v>125.31746289976557</v>
      </c>
      <c r="AJ154" s="289">
        <f t="shared" si="13"/>
        <v>54</v>
      </c>
      <c r="AK154" s="289">
        <f t="shared" si="14"/>
        <v>6767.1429965873413</v>
      </c>
    </row>
    <row r="155" spans="1:37">
      <c r="A155" s="703" t="s">
        <v>648</v>
      </c>
      <c r="B155" s="703" t="s">
        <v>331</v>
      </c>
      <c r="C155" s="703" t="s">
        <v>332</v>
      </c>
      <c r="D155" s="703" t="s">
        <v>333</v>
      </c>
      <c r="E155" s="703" t="s">
        <v>334</v>
      </c>
      <c r="F155" s="703" t="s">
        <v>335</v>
      </c>
      <c r="G155" s="703" t="s">
        <v>649</v>
      </c>
      <c r="H155" s="703" t="s">
        <v>334</v>
      </c>
      <c r="I155" s="703" t="s">
        <v>334</v>
      </c>
      <c r="J155" s="703" t="s">
        <v>337</v>
      </c>
      <c r="K155" s="704">
        <v>0</v>
      </c>
      <c r="L155" s="703" t="s">
        <v>334</v>
      </c>
      <c r="M155" s="702">
        <v>39478</v>
      </c>
      <c r="N155" s="702">
        <v>43205</v>
      </c>
      <c r="O155" s="703" t="s">
        <v>338</v>
      </c>
      <c r="P155" s="20">
        <v>379803.99</v>
      </c>
      <c r="Q155" s="20">
        <v>0</v>
      </c>
      <c r="R155" s="20">
        <v>0</v>
      </c>
      <c r="S155" s="20">
        <v>0</v>
      </c>
      <c r="T155" s="20">
        <v>379803.99</v>
      </c>
      <c r="U155" s="20">
        <v>336311.71</v>
      </c>
      <c r="V155" s="20">
        <v>-43492.28</v>
      </c>
      <c r="W155" s="20">
        <v>-56152.41</v>
      </c>
      <c r="X155" s="20">
        <v>-12660.13</v>
      </c>
      <c r="Y155" s="20">
        <v>0</v>
      </c>
      <c r="Z155" s="20">
        <v>0</v>
      </c>
      <c r="AA155" s="20">
        <v>0</v>
      </c>
      <c r="AB155" s="20">
        <v>323651.58</v>
      </c>
      <c r="AC155" t="s">
        <v>183</v>
      </c>
      <c r="AD155" t="s">
        <v>290</v>
      </c>
      <c r="AE155" s="702">
        <f t="shared" si="10"/>
        <v>43252</v>
      </c>
      <c r="AF155" s="289">
        <v>630873.91765277763</v>
      </c>
      <c r="AG155">
        <f t="shared" si="11"/>
        <v>360</v>
      </c>
      <c r="AH155" s="289">
        <f t="shared" si="12"/>
        <v>1752.4275490354935</v>
      </c>
      <c r="AJ155" s="289">
        <f t="shared" si="13"/>
        <v>54</v>
      </c>
      <c r="AK155" s="289">
        <f t="shared" si="14"/>
        <v>94631.087647916647</v>
      </c>
    </row>
    <row r="156" spans="1:37">
      <c r="A156" s="703" t="s">
        <v>650</v>
      </c>
      <c r="B156" s="703" t="s">
        <v>331</v>
      </c>
      <c r="C156" s="703" t="s">
        <v>332</v>
      </c>
      <c r="D156" s="703" t="s">
        <v>333</v>
      </c>
      <c r="E156" s="703" t="s">
        <v>334</v>
      </c>
      <c r="F156" s="703" t="s">
        <v>335</v>
      </c>
      <c r="G156" s="703" t="s">
        <v>364</v>
      </c>
      <c r="H156" s="703" t="s">
        <v>334</v>
      </c>
      <c r="I156" s="703" t="s">
        <v>334</v>
      </c>
      <c r="J156" s="703" t="s">
        <v>337</v>
      </c>
      <c r="K156" s="704">
        <v>0</v>
      </c>
      <c r="L156" s="703" t="s">
        <v>334</v>
      </c>
      <c r="M156" s="702">
        <v>42886</v>
      </c>
      <c r="N156" s="702">
        <v>43205</v>
      </c>
      <c r="O156" s="703" t="s">
        <v>338</v>
      </c>
      <c r="P156" s="20">
        <v>36903.01</v>
      </c>
      <c r="Q156" s="20">
        <v>0</v>
      </c>
      <c r="R156" s="20">
        <v>0</v>
      </c>
      <c r="S156" s="20">
        <v>0</v>
      </c>
      <c r="T156" s="20">
        <v>36903.01</v>
      </c>
      <c r="U156" s="20">
        <v>32392.639999999999</v>
      </c>
      <c r="V156" s="20">
        <v>-4510.37</v>
      </c>
      <c r="W156" s="20">
        <v>-5740.47</v>
      </c>
      <c r="X156" s="20">
        <v>-1230.0999999999999</v>
      </c>
      <c r="Y156" s="20">
        <v>0</v>
      </c>
      <c r="Z156" s="20">
        <v>0</v>
      </c>
      <c r="AA156" s="20">
        <v>0</v>
      </c>
      <c r="AB156" s="20">
        <v>31162.54</v>
      </c>
      <c r="AC156" t="s">
        <v>183</v>
      </c>
      <c r="AD156" t="s">
        <v>290</v>
      </c>
      <c r="AE156" s="702">
        <f t="shared" si="10"/>
        <v>43252</v>
      </c>
      <c r="AF156" s="289">
        <v>61297.793348299558</v>
      </c>
      <c r="AG156">
        <f t="shared" si="11"/>
        <v>360</v>
      </c>
      <c r="AH156" s="289">
        <f t="shared" si="12"/>
        <v>170.27164818972099</v>
      </c>
      <c r="AJ156" s="289">
        <f t="shared" si="13"/>
        <v>54</v>
      </c>
      <c r="AK156" s="289">
        <f t="shared" si="14"/>
        <v>9194.6690022449329</v>
      </c>
    </row>
    <row r="157" spans="1:37">
      <c r="A157" s="703" t="s">
        <v>651</v>
      </c>
      <c r="B157" s="703" t="s">
        <v>331</v>
      </c>
      <c r="C157" s="703" t="s">
        <v>332</v>
      </c>
      <c r="D157" s="703" t="s">
        <v>333</v>
      </c>
      <c r="E157" s="703" t="s">
        <v>334</v>
      </c>
      <c r="F157" s="703" t="s">
        <v>335</v>
      </c>
      <c r="G157" s="703" t="s">
        <v>652</v>
      </c>
      <c r="H157" s="703" t="s">
        <v>334</v>
      </c>
      <c r="I157" s="703" t="s">
        <v>334</v>
      </c>
      <c r="J157" s="703" t="s">
        <v>337</v>
      </c>
      <c r="K157" s="704">
        <v>0</v>
      </c>
      <c r="L157" s="703" t="s">
        <v>334</v>
      </c>
      <c r="M157" s="702">
        <v>39478</v>
      </c>
      <c r="N157" s="702">
        <v>43205</v>
      </c>
      <c r="O157" s="703" t="s">
        <v>338</v>
      </c>
      <c r="P157" s="20">
        <v>5024.8</v>
      </c>
      <c r="Q157" s="20">
        <v>0</v>
      </c>
      <c r="R157" s="20">
        <v>0</v>
      </c>
      <c r="S157" s="20">
        <v>0</v>
      </c>
      <c r="T157" s="20">
        <v>5024.8</v>
      </c>
      <c r="U157" s="20">
        <v>4410.67</v>
      </c>
      <c r="V157" s="20">
        <v>-614.13</v>
      </c>
      <c r="W157" s="20">
        <v>-781.62</v>
      </c>
      <c r="X157" s="20">
        <v>-167.49</v>
      </c>
      <c r="Y157" s="20">
        <v>0</v>
      </c>
      <c r="Z157" s="20">
        <v>0</v>
      </c>
      <c r="AA157" s="20">
        <v>0</v>
      </c>
      <c r="AB157" s="20">
        <v>4243.18</v>
      </c>
      <c r="AC157" t="s">
        <v>183</v>
      </c>
      <c r="AD157" t="s">
        <v>290</v>
      </c>
      <c r="AE157" s="702">
        <f t="shared" si="10"/>
        <v>43252</v>
      </c>
      <c r="AF157" s="289">
        <v>8346.4506558282264</v>
      </c>
      <c r="AG157">
        <f t="shared" si="11"/>
        <v>360</v>
      </c>
      <c r="AH157" s="289">
        <f t="shared" si="12"/>
        <v>23.184585155078405</v>
      </c>
      <c r="AJ157" s="289">
        <f t="shared" si="13"/>
        <v>54</v>
      </c>
      <c r="AK157" s="289">
        <f t="shared" si="14"/>
        <v>1251.9675983742338</v>
      </c>
    </row>
    <row r="158" spans="1:37">
      <c r="A158" s="703" t="s">
        <v>653</v>
      </c>
      <c r="B158" s="703" t="s">
        <v>331</v>
      </c>
      <c r="C158" s="703" t="s">
        <v>332</v>
      </c>
      <c r="D158" s="703" t="s">
        <v>333</v>
      </c>
      <c r="E158" s="703" t="s">
        <v>334</v>
      </c>
      <c r="F158" s="703" t="s">
        <v>335</v>
      </c>
      <c r="G158" s="703" t="s">
        <v>372</v>
      </c>
      <c r="H158" s="703" t="s">
        <v>334</v>
      </c>
      <c r="I158" s="703" t="s">
        <v>334</v>
      </c>
      <c r="J158" s="703" t="s">
        <v>337</v>
      </c>
      <c r="K158" s="704">
        <v>0</v>
      </c>
      <c r="L158" s="703" t="s">
        <v>334</v>
      </c>
      <c r="M158" s="702">
        <v>42886</v>
      </c>
      <c r="N158" s="702">
        <v>43205</v>
      </c>
      <c r="O158" s="703" t="s">
        <v>338</v>
      </c>
      <c r="P158" s="20">
        <v>36723.54</v>
      </c>
      <c r="Q158" s="20">
        <v>0</v>
      </c>
      <c r="R158" s="20">
        <v>0</v>
      </c>
      <c r="S158" s="20">
        <v>0</v>
      </c>
      <c r="T158" s="20">
        <v>36723.54</v>
      </c>
      <c r="U158" s="20">
        <v>32235.1</v>
      </c>
      <c r="V158" s="20">
        <v>-4488.4399999999996</v>
      </c>
      <c r="W158" s="20">
        <v>-5712.56</v>
      </c>
      <c r="X158" s="20">
        <v>-1224.1199999999999</v>
      </c>
      <c r="Y158" s="20">
        <v>0</v>
      </c>
      <c r="Z158" s="20">
        <v>0</v>
      </c>
      <c r="AA158" s="20">
        <v>0</v>
      </c>
      <c r="AB158" s="20">
        <v>31010.98</v>
      </c>
      <c r="AC158" t="s">
        <v>183</v>
      </c>
      <c r="AD158" t="s">
        <v>290</v>
      </c>
      <c r="AE158" s="702">
        <f t="shared" si="10"/>
        <v>43252</v>
      </c>
      <c r="AF158" s="289">
        <v>60999.684468503052</v>
      </c>
      <c r="AG158">
        <f t="shared" si="11"/>
        <v>360</v>
      </c>
      <c r="AH158" s="289">
        <f t="shared" si="12"/>
        <v>169.44356796806403</v>
      </c>
      <c r="AJ158" s="289">
        <f t="shared" si="13"/>
        <v>54</v>
      </c>
      <c r="AK158" s="289">
        <f t="shared" si="14"/>
        <v>9149.9526702754574</v>
      </c>
    </row>
    <row r="159" spans="1:37">
      <c r="A159" s="703" t="s">
        <v>654</v>
      </c>
      <c r="B159" s="703" t="s">
        <v>331</v>
      </c>
      <c r="C159" s="703" t="s">
        <v>332</v>
      </c>
      <c r="D159" s="703" t="s">
        <v>333</v>
      </c>
      <c r="E159" s="703" t="s">
        <v>334</v>
      </c>
      <c r="F159" s="703" t="s">
        <v>335</v>
      </c>
      <c r="G159" s="703" t="s">
        <v>655</v>
      </c>
      <c r="H159" s="703" t="s">
        <v>334</v>
      </c>
      <c r="I159" s="703" t="s">
        <v>334</v>
      </c>
      <c r="J159" s="703" t="s">
        <v>337</v>
      </c>
      <c r="K159" s="704">
        <v>0</v>
      </c>
      <c r="L159" s="703" t="s">
        <v>334</v>
      </c>
      <c r="M159" s="702">
        <v>39478</v>
      </c>
      <c r="N159" s="702">
        <v>43205</v>
      </c>
      <c r="O159" s="703" t="s">
        <v>338</v>
      </c>
      <c r="P159" s="20">
        <v>87497.61</v>
      </c>
      <c r="Q159" s="20">
        <v>0</v>
      </c>
      <c r="R159" s="20">
        <v>0</v>
      </c>
      <c r="S159" s="20">
        <v>0</v>
      </c>
      <c r="T159" s="20">
        <v>87497.61</v>
      </c>
      <c r="U159" s="20">
        <v>76803.45</v>
      </c>
      <c r="V159" s="20">
        <v>-10694.16</v>
      </c>
      <c r="W159" s="20">
        <v>-13610.75</v>
      </c>
      <c r="X159" s="20">
        <v>-2916.59</v>
      </c>
      <c r="Y159" s="20">
        <v>0</v>
      </c>
      <c r="Z159" s="20">
        <v>0</v>
      </c>
      <c r="AA159" s="20">
        <v>0</v>
      </c>
      <c r="AB159" s="20">
        <v>73886.86</v>
      </c>
      <c r="AC159" t="s">
        <v>183</v>
      </c>
      <c r="AD159" t="s">
        <v>290</v>
      </c>
      <c r="AE159" s="702">
        <f t="shared" si="10"/>
        <v>43252</v>
      </c>
      <c r="AF159" s="289">
        <v>145338.02029292757</v>
      </c>
      <c r="AG159">
        <f t="shared" si="11"/>
        <v>360</v>
      </c>
      <c r="AH159" s="289">
        <f t="shared" si="12"/>
        <v>403.71672303590992</v>
      </c>
      <c r="AJ159" s="289">
        <f t="shared" si="13"/>
        <v>54</v>
      </c>
      <c r="AK159" s="289">
        <f t="shared" si="14"/>
        <v>21800.703043939135</v>
      </c>
    </row>
    <row r="160" spans="1:37">
      <c r="A160" s="703" t="s">
        <v>656</v>
      </c>
      <c r="B160" s="703" t="s">
        <v>331</v>
      </c>
      <c r="C160" s="703" t="s">
        <v>332</v>
      </c>
      <c r="D160" s="703" t="s">
        <v>333</v>
      </c>
      <c r="E160" s="703" t="s">
        <v>334</v>
      </c>
      <c r="F160" s="703" t="s">
        <v>335</v>
      </c>
      <c r="G160" s="703" t="s">
        <v>657</v>
      </c>
      <c r="H160" s="703" t="s">
        <v>334</v>
      </c>
      <c r="I160" s="703" t="s">
        <v>334</v>
      </c>
      <c r="J160" s="703" t="s">
        <v>337</v>
      </c>
      <c r="K160" s="704">
        <v>0</v>
      </c>
      <c r="L160" s="703" t="s">
        <v>334</v>
      </c>
      <c r="M160" s="702">
        <v>39478</v>
      </c>
      <c r="N160" s="702">
        <v>43205</v>
      </c>
      <c r="O160" s="703" t="s">
        <v>338</v>
      </c>
      <c r="P160" s="20">
        <v>706711.81</v>
      </c>
      <c r="Q160" s="20">
        <v>0</v>
      </c>
      <c r="R160" s="20">
        <v>0</v>
      </c>
      <c r="S160" s="20">
        <v>0</v>
      </c>
      <c r="T160" s="20">
        <v>706711.81</v>
      </c>
      <c r="U160" s="20">
        <v>620335.92000000004</v>
      </c>
      <c r="V160" s="20">
        <v>-86375.89</v>
      </c>
      <c r="W160" s="20">
        <v>-109932.95</v>
      </c>
      <c r="X160" s="20">
        <v>-23557.06</v>
      </c>
      <c r="Y160" s="20">
        <v>0</v>
      </c>
      <c r="Z160" s="20">
        <v>0</v>
      </c>
      <c r="AA160" s="20">
        <v>0</v>
      </c>
      <c r="AB160" s="20">
        <v>596778.86</v>
      </c>
      <c r="AC160" t="s">
        <v>183</v>
      </c>
      <c r="AD160" t="s">
        <v>290</v>
      </c>
      <c r="AE160" s="702">
        <f t="shared" si="10"/>
        <v>43252</v>
      </c>
      <c r="AF160" s="289">
        <v>1173884.5824820995</v>
      </c>
      <c r="AG160">
        <f t="shared" si="11"/>
        <v>360</v>
      </c>
      <c r="AH160" s="289">
        <f t="shared" si="12"/>
        <v>3260.7905068947211</v>
      </c>
      <c r="AJ160" s="289">
        <f t="shared" si="13"/>
        <v>54</v>
      </c>
      <c r="AK160" s="289">
        <f t="shared" si="14"/>
        <v>176082.68737231495</v>
      </c>
    </row>
    <row r="161" spans="1:37">
      <c r="A161" s="703" t="s">
        <v>658</v>
      </c>
      <c r="B161" s="703" t="s">
        <v>331</v>
      </c>
      <c r="C161" s="703" t="s">
        <v>332</v>
      </c>
      <c r="D161" s="703" t="s">
        <v>333</v>
      </c>
      <c r="E161" s="703" t="s">
        <v>334</v>
      </c>
      <c r="F161" s="703" t="s">
        <v>335</v>
      </c>
      <c r="G161" s="703" t="s">
        <v>368</v>
      </c>
      <c r="H161" s="703" t="s">
        <v>334</v>
      </c>
      <c r="I161" s="703" t="s">
        <v>334</v>
      </c>
      <c r="J161" s="703" t="s">
        <v>337</v>
      </c>
      <c r="K161" s="704">
        <v>0</v>
      </c>
      <c r="L161" s="703" t="s">
        <v>334</v>
      </c>
      <c r="M161" s="702">
        <v>42063</v>
      </c>
      <c r="N161" s="702">
        <v>43205</v>
      </c>
      <c r="O161" s="703" t="s">
        <v>338</v>
      </c>
      <c r="P161" s="20">
        <v>134466.1</v>
      </c>
      <c r="Q161" s="20">
        <v>0</v>
      </c>
      <c r="R161" s="20">
        <v>0</v>
      </c>
      <c r="S161" s="20">
        <v>0</v>
      </c>
      <c r="T161" s="20">
        <v>134466.1</v>
      </c>
      <c r="U161" s="20">
        <v>118031.36</v>
      </c>
      <c r="V161" s="20">
        <v>-16434.740000000002</v>
      </c>
      <c r="W161" s="20">
        <v>-20916.939999999999</v>
      </c>
      <c r="X161" s="20">
        <v>-4482.2</v>
      </c>
      <c r="Y161" s="20">
        <v>0</v>
      </c>
      <c r="Z161" s="20">
        <v>0</v>
      </c>
      <c r="AA161" s="20">
        <v>0</v>
      </c>
      <c r="AB161" s="20">
        <v>113549.16</v>
      </c>
      <c r="AC161" t="s">
        <v>183</v>
      </c>
      <c r="AD161" t="s">
        <v>290</v>
      </c>
      <c r="AE161" s="702">
        <f t="shared" si="10"/>
        <v>43252</v>
      </c>
      <c r="AF161" s="289">
        <v>223355.09244779177</v>
      </c>
      <c r="AG161">
        <f t="shared" si="11"/>
        <v>360</v>
      </c>
      <c r="AH161" s="289">
        <f t="shared" si="12"/>
        <v>620.43081235497709</v>
      </c>
      <c r="AJ161" s="289">
        <f t="shared" si="13"/>
        <v>54</v>
      </c>
      <c r="AK161" s="289">
        <f t="shared" si="14"/>
        <v>33503.26386716876</v>
      </c>
    </row>
    <row r="162" spans="1:37">
      <c r="A162" s="703" t="s">
        <v>659</v>
      </c>
      <c r="B162" s="703" t="s">
        <v>331</v>
      </c>
      <c r="C162" s="703" t="s">
        <v>332</v>
      </c>
      <c r="D162" s="703" t="s">
        <v>333</v>
      </c>
      <c r="E162" s="703" t="s">
        <v>334</v>
      </c>
      <c r="F162" s="703" t="s">
        <v>335</v>
      </c>
      <c r="G162" s="703" t="s">
        <v>660</v>
      </c>
      <c r="H162" s="703" t="s">
        <v>334</v>
      </c>
      <c r="I162" s="703" t="s">
        <v>334</v>
      </c>
      <c r="J162" s="703" t="s">
        <v>337</v>
      </c>
      <c r="K162" s="704">
        <v>0</v>
      </c>
      <c r="L162" s="703" t="s">
        <v>334</v>
      </c>
      <c r="M162" s="702">
        <v>42063</v>
      </c>
      <c r="N162" s="702">
        <v>43205</v>
      </c>
      <c r="O162" s="703" t="s">
        <v>338</v>
      </c>
      <c r="P162" s="20">
        <v>2989.08</v>
      </c>
      <c r="Q162" s="20">
        <v>0</v>
      </c>
      <c r="R162" s="20">
        <v>0</v>
      </c>
      <c r="S162" s="20">
        <v>0</v>
      </c>
      <c r="T162" s="20">
        <v>2989.08</v>
      </c>
      <c r="U162" s="20">
        <v>2623.74</v>
      </c>
      <c r="V162" s="20">
        <v>-365.34</v>
      </c>
      <c r="W162" s="20">
        <v>-464.98</v>
      </c>
      <c r="X162" s="20">
        <v>-99.64</v>
      </c>
      <c r="Y162" s="20">
        <v>0</v>
      </c>
      <c r="Z162" s="20">
        <v>0</v>
      </c>
      <c r="AA162" s="20">
        <v>0</v>
      </c>
      <c r="AB162" s="20">
        <v>2524.1</v>
      </c>
      <c r="AC162" t="s">
        <v>183</v>
      </c>
      <c r="AD162" t="s">
        <v>290</v>
      </c>
      <c r="AE162" s="702">
        <f t="shared" si="10"/>
        <v>43252</v>
      </c>
      <c r="AF162" s="289">
        <v>4965.0152695277493</v>
      </c>
      <c r="AG162">
        <f t="shared" si="11"/>
        <v>360</v>
      </c>
      <c r="AH162" s="289">
        <f t="shared" si="12"/>
        <v>13.791709082021526</v>
      </c>
      <c r="AJ162" s="289">
        <f t="shared" si="13"/>
        <v>54</v>
      </c>
      <c r="AK162" s="289">
        <f t="shared" si="14"/>
        <v>744.75229042916249</v>
      </c>
    </row>
    <row r="163" spans="1:37">
      <c r="A163" s="703" t="s">
        <v>661</v>
      </c>
      <c r="B163" s="703" t="s">
        <v>331</v>
      </c>
      <c r="C163" s="703" t="s">
        <v>332</v>
      </c>
      <c r="D163" s="703" t="s">
        <v>333</v>
      </c>
      <c r="E163" s="703" t="s">
        <v>334</v>
      </c>
      <c r="F163" s="703" t="s">
        <v>335</v>
      </c>
      <c r="G163" s="703" t="s">
        <v>662</v>
      </c>
      <c r="H163" s="703" t="s">
        <v>334</v>
      </c>
      <c r="I163" s="703" t="s">
        <v>334</v>
      </c>
      <c r="J163" s="703" t="s">
        <v>337</v>
      </c>
      <c r="K163" s="704">
        <v>0</v>
      </c>
      <c r="L163" s="703" t="s">
        <v>334</v>
      </c>
      <c r="M163" s="702">
        <v>39478</v>
      </c>
      <c r="N163" s="702">
        <v>43205</v>
      </c>
      <c r="O163" s="703" t="s">
        <v>338</v>
      </c>
      <c r="P163" s="20">
        <v>11417.62</v>
      </c>
      <c r="Q163" s="20">
        <v>0</v>
      </c>
      <c r="R163" s="20">
        <v>0</v>
      </c>
      <c r="S163" s="20">
        <v>0</v>
      </c>
      <c r="T163" s="20">
        <v>11417.62</v>
      </c>
      <c r="U163" s="20">
        <v>10022.129999999999</v>
      </c>
      <c r="V163" s="20">
        <v>-1395.49</v>
      </c>
      <c r="W163" s="20">
        <v>-1776.08</v>
      </c>
      <c r="X163" s="20">
        <v>-380.59</v>
      </c>
      <c r="Y163" s="20">
        <v>0</v>
      </c>
      <c r="Z163" s="20">
        <v>0</v>
      </c>
      <c r="AA163" s="20">
        <v>0</v>
      </c>
      <c r="AB163" s="20">
        <v>9641.5400000000009</v>
      </c>
      <c r="AC163" t="s">
        <v>183</v>
      </c>
      <c r="AD163" t="s">
        <v>290</v>
      </c>
      <c r="AE163" s="702">
        <f t="shared" si="10"/>
        <v>43252</v>
      </c>
      <c r="AF163" s="289">
        <v>18965.25273383965</v>
      </c>
      <c r="AG163">
        <f t="shared" si="11"/>
        <v>360</v>
      </c>
      <c r="AH163" s="289">
        <f t="shared" si="12"/>
        <v>52.681257593999028</v>
      </c>
      <c r="AJ163" s="289">
        <f t="shared" si="13"/>
        <v>54</v>
      </c>
      <c r="AK163" s="289">
        <f t="shared" si="14"/>
        <v>2844.7879100759474</v>
      </c>
    </row>
    <row r="164" spans="1:37">
      <c r="A164" s="703" t="s">
        <v>663</v>
      </c>
      <c r="B164" s="703" t="s">
        <v>331</v>
      </c>
      <c r="C164" s="703" t="s">
        <v>332</v>
      </c>
      <c r="D164" s="703" t="s">
        <v>333</v>
      </c>
      <c r="E164" s="703" t="s">
        <v>334</v>
      </c>
      <c r="F164" s="703" t="s">
        <v>335</v>
      </c>
      <c r="G164" s="703" t="s">
        <v>664</v>
      </c>
      <c r="H164" s="703" t="s">
        <v>334</v>
      </c>
      <c r="I164" s="703" t="s">
        <v>334</v>
      </c>
      <c r="J164" s="703" t="s">
        <v>337</v>
      </c>
      <c r="K164" s="704">
        <v>0</v>
      </c>
      <c r="L164" s="703" t="s">
        <v>334</v>
      </c>
      <c r="M164" s="702">
        <v>39478</v>
      </c>
      <c r="N164" s="702">
        <v>43205</v>
      </c>
      <c r="O164" s="703" t="s">
        <v>338</v>
      </c>
      <c r="P164" s="20">
        <v>261884.16</v>
      </c>
      <c r="Q164" s="20">
        <v>0</v>
      </c>
      <c r="R164" s="20">
        <v>0</v>
      </c>
      <c r="S164" s="20">
        <v>0</v>
      </c>
      <c r="T164" s="20">
        <v>261884.16</v>
      </c>
      <c r="U164" s="20">
        <v>229876.1</v>
      </c>
      <c r="V164" s="20">
        <v>-32008.06</v>
      </c>
      <c r="W164" s="20">
        <v>-40737.53</v>
      </c>
      <c r="X164" s="20">
        <v>-8729.4699999999993</v>
      </c>
      <c r="Y164" s="20">
        <v>0</v>
      </c>
      <c r="Z164" s="20">
        <v>0</v>
      </c>
      <c r="AA164" s="20">
        <v>0</v>
      </c>
      <c r="AB164" s="20">
        <v>221146.63</v>
      </c>
      <c r="AC164" t="s">
        <v>183</v>
      </c>
      <c r="AD164" t="s">
        <v>290</v>
      </c>
      <c r="AE164" s="702">
        <f t="shared" si="10"/>
        <v>43252</v>
      </c>
      <c r="AF164" s="289">
        <v>435003.02877388633</v>
      </c>
      <c r="AG164">
        <f t="shared" si="11"/>
        <v>360</v>
      </c>
      <c r="AH164" s="289">
        <f t="shared" si="12"/>
        <v>1208.3417465941286</v>
      </c>
      <c r="AJ164" s="289">
        <f t="shared" si="13"/>
        <v>54</v>
      </c>
      <c r="AK164" s="289">
        <f t="shared" si="14"/>
        <v>65250.454316082942</v>
      </c>
    </row>
    <row r="165" spans="1:37">
      <c r="A165" s="703" t="s">
        <v>665</v>
      </c>
      <c r="B165" s="703" t="s">
        <v>331</v>
      </c>
      <c r="C165" s="703" t="s">
        <v>332</v>
      </c>
      <c r="D165" s="703" t="s">
        <v>333</v>
      </c>
      <c r="E165" s="703" t="s">
        <v>334</v>
      </c>
      <c r="F165" s="703" t="s">
        <v>335</v>
      </c>
      <c r="G165" s="703" t="s">
        <v>666</v>
      </c>
      <c r="H165" s="703" t="s">
        <v>334</v>
      </c>
      <c r="I165" s="703" t="s">
        <v>334</v>
      </c>
      <c r="J165" s="703" t="s">
        <v>337</v>
      </c>
      <c r="K165" s="704">
        <v>0</v>
      </c>
      <c r="L165" s="703" t="s">
        <v>334</v>
      </c>
      <c r="M165" s="702">
        <v>39478</v>
      </c>
      <c r="N165" s="702">
        <v>43205</v>
      </c>
      <c r="O165" s="703" t="s">
        <v>338</v>
      </c>
      <c r="P165" s="20">
        <v>75168.960000000006</v>
      </c>
      <c r="Q165" s="20">
        <v>0</v>
      </c>
      <c r="R165" s="20">
        <v>0</v>
      </c>
      <c r="S165" s="20">
        <v>0</v>
      </c>
      <c r="T165" s="20">
        <v>75168.960000000006</v>
      </c>
      <c r="U165" s="20">
        <v>66686.25</v>
      </c>
      <c r="V165" s="20">
        <v>-8482.7099999999991</v>
      </c>
      <c r="W165" s="20">
        <v>-10988.34</v>
      </c>
      <c r="X165" s="20">
        <v>-2505.63</v>
      </c>
      <c r="Y165" s="20">
        <v>0</v>
      </c>
      <c r="Z165" s="20">
        <v>0</v>
      </c>
      <c r="AA165" s="20">
        <v>0</v>
      </c>
      <c r="AB165" s="20">
        <v>64180.62</v>
      </c>
      <c r="AC165" t="s">
        <v>183</v>
      </c>
      <c r="AD165" t="s">
        <v>290</v>
      </c>
      <c r="AE165" s="702">
        <f t="shared" si="10"/>
        <v>43252</v>
      </c>
      <c r="AF165" s="289">
        <v>124859.49997809381</v>
      </c>
      <c r="AG165">
        <f t="shared" si="11"/>
        <v>360</v>
      </c>
      <c r="AH165" s="289">
        <f t="shared" si="12"/>
        <v>346.83194438359391</v>
      </c>
      <c r="AJ165" s="289">
        <f t="shared" si="13"/>
        <v>54</v>
      </c>
      <c r="AK165" s="289">
        <f t="shared" si="14"/>
        <v>18728.924996714071</v>
      </c>
    </row>
    <row r="166" spans="1:37">
      <c r="A166" s="703" t="s">
        <v>667</v>
      </c>
      <c r="B166" s="703" t="s">
        <v>331</v>
      </c>
      <c r="C166" s="703" t="s">
        <v>332</v>
      </c>
      <c r="D166" s="703" t="s">
        <v>333</v>
      </c>
      <c r="E166" s="703" t="s">
        <v>334</v>
      </c>
      <c r="F166" s="703" t="s">
        <v>335</v>
      </c>
      <c r="G166" s="703" t="s">
        <v>668</v>
      </c>
      <c r="H166" s="703" t="s">
        <v>334</v>
      </c>
      <c r="I166" s="703" t="s">
        <v>334</v>
      </c>
      <c r="J166" s="703" t="s">
        <v>337</v>
      </c>
      <c r="K166" s="704">
        <v>0</v>
      </c>
      <c r="L166" s="703" t="s">
        <v>334</v>
      </c>
      <c r="M166" s="702">
        <v>39478</v>
      </c>
      <c r="N166" s="702">
        <v>43205</v>
      </c>
      <c r="O166" s="703" t="s">
        <v>338</v>
      </c>
      <c r="P166" s="20">
        <v>951549.28</v>
      </c>
      <c r="Q166" s="20">
        <v>0</v>
      </c>
      <c r="R166" s="20">
        <v>0</v>
      </c>
      <c r="S166" s="20">
        <v>0</v>
      </c>
      <c r="T166" s="20">
        <v>951549.28</v>
      </c>
      <c r="U166" s="20">
        <v>848278.34</v>
      </c>
      <c r="V166" s="20">
        <v>-103270.94</v>
      </c>
      <c r="W166" s="20">
        <v>-134989.25</v>
      </c>
      <c r="X166" s="20">
        <v>-31718.31</v>
      </c>
      <c r="Y166" s="20">
        <v>0</v>
      </c>
      <c r="Z166" s="20">
        <v>0</v>
      </c>
      <c r="AA166" s="20">
        <v>0</v>
      </c>
      <c r="AB166" s="20">
        <v>816560.03</v>
      </c>
      <c r="AC166" t="s">
        <v>183</v>
      </c>
      <c r="AD166" t="s">
        <v>290</v>
      </c>
      <c r="AE166" s="702">
        <f t="shared" si="10"/>
        <v>43252</v>
      </c>
      <c r="AF166" s="289">
        <v>1580572.1843872149</v>
      </c>
      <c r="AG166">
        <f t="shared" si="11"/>
        <v>360</v>
      </c>
      <c r="AH166" s="289">
        <f t="shared" si="12"/>
        <v>4390.4782899644861</v>
      </c>
      <c r="AJ166" s="289">
        <f t="shared" si="13"/>
        <v>54</v>
      </c>
      <c r="AK166" s="289">
        <f t="shared" si="14"/>
        <v>237085.82765808224</v>
      </c>
    </row>
    <row r="167" spans="1:37">
      <c r="A167" s="703" t="s">
        <v>669</v>
      </c>
      <c r="B167" s="703" t="s">
        <v>331</v>
      </c>
      <c r="C167" s="703" t="s">
        <v>332</v>
      </c>
      <c r="D167" s="703" t="s">
        <v>333</v>
      </c>
      <c r="E167" s="703" t="s">
        <v>334</v>
      </c>
      <c r="F167" s="703" t="s">
        <v>335</v>
      </c>
      <c r="G167" s="703" t="s">
        <v>670</v>
      </c>
      <c r="H167" s="703" t="s">
        <v>334</v>
      </c>
      <c r="I167" s="703" t="s">
        <v>334</v>
      </c>
      <c r="J167" s="703" t="s">
        <v>337</v>
      </c>
      <c r="K167" s="704">
        <v>0</v>
      </c>
      <c r="L167" s="703" t="s">
        <v>334</v>
      </c>
      <c r="M167" s="702">
        <v>39478</v>
      </c>
      <c r="N167" s="702">
        <v>43205</v>
      </c>
      <c r="O167" s="703" t="s">
        <v>338</v>
      </c>
      <c r="P167" s="20">
        <v>125039.7</v>
      </c>
      <c r="Q167" s="20">
        <v>0</v>
      </c>
      <c r="R167" s="20">
        <v>0</v>
      </c>
      <c r="S167" s="20">
        <v>0</v>
      </c>
      <c r="T167" s="20">
        <v>125039.7</v>
      </c>
      <c r="U167" s="20">
        <v>109757.07</v>
      </c>
      <c r="V167" s="20">
        <v>-15282.63</v>
      </c>
      <c r="W167" s="20">
        <v>-19450.62</v>
      </c>
      <c r="X167" s="20">
        <v>-4167.99</v>
      </c>
      <c r="Y167" s="20">
        <v>0</v>
      </c>
      <c r="Z167" s="20">
        <v>0</v>
      </c>
      <c r="AA167" s="20">
        <v>0</v>
      </c>
      <c r="AB167" s="20">
        <v>105589.08</v>
      </c>
      <c r="AC167" t="s">
        <v>183</v>
      </c>
      <c r="AD167" t="s">
        <v>290</v>
      </c>
      <c r="AE167" s="702">
        <f t="shared" si="10"/>
        <v>43252</v>
      </c>
      <c r="AF167" s="289">
        <v>207697.35831666228</v>
      </c>
      <c r="AG167">
        <f t="shared" si="11"/>
        <v>360</v>
      </c>
      <c r="AH167" s="289">
        <f t="shared" si="12"/>
        <v>576.93710643517306</v>
      </c>
      <c r="AJ167" s="289">
        <f t="shared" si="13"/>
        <v>54</v>
      </c>
      <c r="AK167" s="289">
        <f t="shared" si="14"/>
        <v>31154.603747499346</v>
      </c>
    </row>
    <row r="168" spans="1:37">
      <c r="A168" s="703" t="s">
        <v>671</v>
      </c>
      <c r="B168" s="703" t="s">
        <v>331</v>
      </c>
      <c r="C168" s="703" t="s">
        <v>332</v>
      </c>
      <c r="D168" s="703" t="s">
        <v>333</v>
      </c>
      <c r="E168" s="703" t="s">
        <v>334</v>
      </c>
      <c r="F168" s="703" t="s">
        <v>335</v>
      </c>
      <c r="G168" s="703" t="s">
        <v>672</v>
      </c>
      <c r="H168" s="703" t="s">
        <v>334</v>
      </c>
      <c r="I168" s="703" t="s">
        <v>334</v>
      </c>
      <c r="J168" s="703" t="s">
        <v>337</v>
      </c>
      <c r="K168" s="704">
        <v>0</v>
      </c>
      <c r="L168" s="703" t="s">
        <v>334</v>
      </c>
      <c r="M168" s="702">
        <v>39478</v>
      </c>
      <c r="N168" s="702">
        <v>43205</v>
      </c>
      <c r="O168" s="703" t="s">
        <v>338</v>
      </c>
      <c r="P168" s="20">
        <v>21090.28</v>
      </c>
      <c r="Q168" s="20">
        <v>0</v>
      </c>
      <c r="R168" s="20">
        <v>0</v>
      </c>
      <c r="S168" s="20">
        <v>0</v>
      </c>
      <c r="T168" s="20">
        <v>21090.28</v>
      </c>
      <c r="U168" s="20">
        <v>18512.580000000002</v>
      </c>
      <c r="V168" s="20">
        <v>-2577.6999999999998</v>
      </c>
      <c r="W168" s="20">
        <v>-3280.71</v>
      </c>
      <c r="X168" s="20">
        <v>-703.01</v>
      </c>
      <c r="Y168" s="20">
        <v>0</v>
      </c>
      <c r="Z168" s="20">
        <v>0</v>
      </c>
      <c r="AA168" s="20">
        <v>0</v>
      </c>
      <c r="AB168" s="20">
        <v>17809.57</v>
      </c>
      <c r="AC168" t="s">
        <v>183</v>
      </c>
      <c r="AD168" t="s">
        <v>290</v>
      </c>
      <c r="AE168" s="702">
        <f t="shared" si="10"/>
        <v>43252</v>
      </c>
      <c r="AF168" s="289">
        <v>35032.037362203657</v>
      </c>
      <c r="AG168">
        <f t="shared" si="11"/>
        <v>360</v>
      </c>
      <c r="AH168" s="289">
        <f t="shared" si="12"/>
        <v>97.311214895010153</v>
      </c>
      <c r="AJ168" s="289">
        <f t="shared" si="13"/>
        <v>54</v>
      </c>
      <c r="AK168" s="289">
        <f t="shared" si="14"/>
        <v>5254.8056043305478</v>
      </c>
    </row>
    <row r="169" spans="1:37">
      <c r="A169" s="703" t="s">
        <v>673</v>
      </c>
      <c r="B169" s="703" t="s">
        <v>331</v>
      </c>
      <c r="C169" s="703" t="s">
        <v>332</v>
      </c>
      <c r="D169" s="703" t="s">
        <v>333</v>
      </c>
      <c r="E169" s="703" t="s">
        <v>334</v>
      </c>
      <c r="F169" s="703" t="s">
        <v>335</v>
      </c>
      <c r="G169" s="703" t="s">
        <v>674</v>
      </c>
      <c r="H169" s="703" t="s">
        <v>334</v>
      </c>
      <c r="I169" s="703" t="s">
        <v>334</v>
      </c>
      <c r="J169" s="703" t="s">
        <v>337</v>
      </c>
      <c r="K169" s="704">
        <v>0</v>
      </c>
      <c r="L169" s="703" t="s">
        <v>334</v>
      </c>
      <c r="M169" s="702">
        <v>42886</v>
      </c>
      <c r="N169" s="702">
        <v>43205</v>
      </c>
      <c r="O169" s="703" t="s">
        <v>338</v>
      </c>
      <c r="P169" s="20">
        <v>7909.75</v>
      </c>
      <c r="Q169" s="20">
        <v>0</v>
      </c>
      <c r="R169" s="20">
        <v>0</v>
      </c>
      <c r="S169" s="20">
        <v>0</v>
      </c>
      <c r="T169" s="20">
        <v>7909.75</v>
      </c>
      <c r="U169" s="20">
        <v>6943</v>
      </c>
      <c r="V169" s="20">
        <v>-966.75</v>
      </c>
      <c r="W169" s="20">
        <v>-1230.4100000000001</v>
      </c>
      <c r="X169" s="20">
        <v>-263.66000000000003</v>
      </c>
      <c r="Y169" s="20">
        <v>0</v>
      </c>
      <c r="Z169" s="20">
        <v>0</v>
      </c>
      <c r="AA169" s="20">
        <v>0</v>
      </c>
      <c r="AB169" s="20">
        <v>6679.34</v>
      </c>
      <c r="AC169" t="s">
        <v>183</v>
      </c>
      <c r="AD169" t="s">
        <v>290</v>
      </c>
      <c r="AE169" s="702">
        <f t="shared" si="10"/>
        <v>43252</v>
      </c>
      <c r="AF169" s="289">
        <v>13138.500651754759</v>
      </c>
      <c r="AG169">
        <f t="shared" si="11"/>
        <v>360</v>
      </c>
      <c r="AH169" s="289">
        <f t="shared" si="12"/>
        <v>36.495835143763216</v>
      </c>
      <c r="AJ169" s="289">
        <f t="shared" si="13"/>
        <v>54</v>
      </c>
      <c r="AK169" s="289">
        <f t="shared" si="14"/>
        <v>1970.7750977632136</v>
      </c>
    </row>
    <row r="170" spans="1:37">
      <c r="A170" s="703" t="s">
        <v>675</v>
      </c>
      <c r="B170" s="703" t="s">
        <v>331</v>
      </c>
      <c r="C170" s="703" t="s">
        <v>332</v>
      </c>
      <c r="D170" s="703" t="s">
        <v>333</v>
      </c>
      <c r="E170" s="703" t="s">
        <v>334</v>
      </c>
      <c r="F170" s="703" t="s">
        <v>335</v>
      </c>
      <c r="G170" s="703" t="s">
        <v>676</v>
      </c>
      <c r="H170" s="703" t="s">
        <v>334</v>
      </c>
      <c r="I170" s="703" t="s">
        <v>334</v>
      </c>
      <c r="J170" s="703" t="s">
        <v>337</v>
      </c>
      <c r="K170" s="704">
        <v>0</v>
      </c>
      <c r="L170" s="703" t="s">
        <v>334</v>
      </c>
      <c r="M170" s="702">
        <v>42886</v>
      </c>
      <c r="N170" s="702">
        <v>43205</v>
      </c>
      <c r="O170" s="703" t="s">
        <v>338</v>
      </c>
      <c r="P170" s="20">
        <v>213134.35</v>
      </c>
      <c r="Q170" s="20">
        <v>0</v>
      </c>
      <c r="R170" s="20">
        <v>0</v>
      </c>
      <c r="S170" s="20">
        <v>0</v>
      </c>
      <c r="T170" s="20">
        <v>213134.35</v>
      </c>
      <c r="U170" s="20">
        <v>187084.59</v>
      </c>
      <c r="V170" s="20">
        <v>-26049.759999999998</v>
      </c>
      <c r="W170" s="20">
        <v>-33154.239999999998</v>
      </c>
      <c r="X170" s="20">
        <v>-7104.48</v>
      </c>
      <c r="Y170" s="20">
        <v>0</v>
      </c>
      <c r="Z170" s="20">
        <v>0</v>
      </c>
      <c r="AA170" s="20">
        <v>0</v>
      </c>
      <c r="AB170" s="20">
        <v>179980.11</v>
      </c>
      <c r="AC170" t="s">
        <v>183</v>
      </c>
      <c r="AD170" t="s">
        <v>290</v>
      </c>
      <c r="AE170" s="702">
        <f t="shared" si="10"/>
        <v>43252</v>
      </c>
      <c r="AF170" s="289">
        <v>354027.09268767375</v>
      </c>
      <c r="AG170">
        <f t="shared" si="11"/>
        <v>360</v>
      </c>
      <c r="AH170" s="289">
        <f t="shared" si="12"/>
        <v>983.40859079909376</v>
      </c>
      <c r="AJ170" s="289">
        <f t="shared" si="13"/>
        <v>54</v>
      </c>
      <c r="AK170" s="289">
        <f t="shared" si="14"/>
        <v>53104.063903151065</v>
      </c>
    </row>
    <row r="171" spans="1:37">
      <c r="A171" s="703" t="s">
        <v>677</v>
      </c>
      <c r="B171" s="703" t="s">
        <v>331</v>
      </c>
      <c r="C171" s="703" t="s">
        <v>332</v>
      </c>
      <c r="D171" s="703" t="s">
        <v>333</v>
      </c>
      <c r="E171" s="703" t="s">
        <v>334</v>
      </c>
      <c r="F171" s="703" t="s">
        <v>335</v>
      </c>
      <c r="G171" s="703" t="s">
        <v>678</v>
      </c>
      <c r="H171" s="703" t="s">
        <v>334</v>
      </c>
      <c r="I171" s="703" t="s">
        <v>334</v>
      </c>
      <c r="J171" s="703" t="s">
        <v>337</v>
      </c>
      <c r="K171" s="704">
        <v>0</v>
      </c>
      <c r="L171" s="703" t="s">
        <v>334</v>
      </c>
      <c r="M171" s="702">
        <v>42886</v>
      </c>
      <c r="N171" s="702">
        <v>43205</v>
      </c>
      <c r="O171" s="703" t="s">
        <v>338</v>
      </c>
      <c r="P171" s="20">
        <v>3270.75</v>
      </c>
      <c r="Q171" s="20">
        <v>0</v>
      </c>
      <c r="R171" s="20">
        <v>0</v>
      </c>
      <c r="S171" s="20">
        <v>0</v>
      </c>
      <c r="T171" s="20">
        <v>3270.75</v>
      </c>
      <c r="U171" s="20">
        <v>2870.98</v>
      </c>
      <c r="V171" s="20">
        <v>-399.77</v>
      </c>
      <c r="W171" s="20">
        <v>-508.8</v>
      </c>
      <c r="X171" s="20">
        <v>-109.03</v>
      </c>
      <c r="Y171" s="20">
        <v>0</v>
      </c>
      <c r="Z171" s="20">
        <v>0</v>
      </c>
      <c r="AA171" s="20">
        <v>0</v>
      </c>
      <c r="AB171" s="20">
        <v>2761.95</v>
      </c>
      <c r="AC171" t="s">
        <v>183</v>
      </c>
      <c r="AD171" t="s">
        <v>290</v>
      </c>
      <c r="AE171" s="702">
        <f t="shared" si="10"/>
        <v>43252</v>
      </c>
      <c r="AF171" s="289">
        <v>5432.8835938843677</v>
      </c>
      <c r="AG171">
        <f t="shared" si="11"/>
        <v>360</v>
      </c>
      <c r="AH171" s="289">
        <f t="shared" si="12"/>
        <v>15.091343316345466</v>
      </c>
      <c r="AJ171" s="289">
        <f t="shared" si="13"/>
        <v>54</v>
      </c>
      <c r="AK171" s="289">
        <f t="shared" si="14"/>
        <v>814.93253908265513</v>
      </c>
    </row>
    <row r="172" spans="1:37">
      <c r="A172" s="703" t="s">
        <v>679</v>
      </c>
      <c r="B172" s="703" t="s">
        <v>331</v>
      </c>
      <c r="C172" s="703" t="s">
        <v>332</v>
      </c>
      <c r="D172" s="703" t="s">
        <v>333</v>
      </c>
      <c r="E172" s="703" t="s">
        <v>334</v>
      </c>
      <c r="F172" s="703" t="s">
        <v>335</v>
      </c>
      <c r="G172" s="703" t="s">
        <v>680</v>
      </c>
      <c r="H172" s="703" t="s">
        <v>334</v>
      </c>
      <c r="I172" s="703" t="s">
        <v>334</v>
      </c>
      <c r="J172" s="703" t="s">
        <v>337</v>
      </c>
      <c r="K172" s="704">
        <v>0</v>
      </c>
      <c r="L172" s="703" t="s">
        <v>334</v>
      </c>
      <c r="M172" s="702">
        <v>39478</v>
      </c>
      <c r="N172" s="702">
        <v>43205</v>
      </c>
      <c r="O172" s="703" t="s">
        <v>338</v>
      </c>
      <c r="P172" s="20">
        <v>16510.169999999998</v>
      </c>
      <c r="Q172" s="20">
        <v>0</v>
      </c>
      <c r="R172" s="20">
        <v>0</v>
      </c>
      <c r="S172" s="20">
        <v>0</v>
      </c>
      <c r="T172" s="20">
        <v>16510.169999999998</v>
      </c>
      <c r="U172" s="20">
        <v>14492.26</v>
      </c>
      <c r="V172" s="20">
        <v>-2017.91</v>
      </c>
      <c r="W172" s="20">
        <v>-2568.25</v>
      </c>
      <c r="X172" s="20">
        <v>-550.34</v>
      </c>
      <c r="Y172" s="20">
        <v>0</v>
      </c>
      <c r="Z172" s="20">
        <v>0</v>
      </c>
      <c r="AA172" s="20">
        <v>0</v>
      </c>
      <c r="AB172" s="20">
        <v>13941.92</v>
      </c>
      <c r="AC172" t="s">
        <v>183</v>
      </c>
      <c r="AD172" t="s">
        <v>290</v>
      </c>
      <c r="AE172" s="702">
        <f t="shared" si="10"/>
        <v>43252</v>
      </c>
      <c r="AF172" s="289">
        <v>27424.239616369905</v>
      </c>
      <c r="AG172">
        <f t="shared" si="11"/>
        <v>360</v>
      </c>
      <c r="AH172" s="289">
        <f t="shared" si="12"/>
        <v>76.178443378805298</v>
      </c>
      <c r="AJ172" s="289">
        <f t="shared" si="13"/>
        <v>54</v>
      </c>
      <c r="AK172" s="289">
        <f t="shared" si="14"/>
        <v>4113.6359424554857</v>
      </c>
    </row>
    <row r="173" spans="1:37">
      <c r="A173" s="703" t="s">
        <v>681</v>
      </c>
      <c r="B173" s="703" t="s">
        <v>331</v>
      </c>
      <c r="C173" s="703" t="s">
        <v>332</v>
      </c>
      <c r="D173" s="703" t="s">
        <v>333</v>
      </c>
      <c r="E173" s="703" t="s">
        <v>334</v>
      </c>
      <c r="F173" s="703" t="s">
        <v>335</v>
      </c>
      <c r="G173" s="703" t="s">
        <v>682</v>
      </c>
      <c r="H173" s="703" t="s">
        <v>334</v>
      </c>
      <c r="I173" s="703" t="s">
        <v>334</v>
      </c>
      <c r="J173" s="703" t="s">
        <v>337</v>
      </c>
      <c r="K173" s="704">
        <v>0</v>
      </c>
      <c r="L173" s="703" t="s">
        <v>334</v>
      </c>
      <c r="M173" s="702">
        <v>42886</v>
      </c>
      <c r="N173" s="702">
        <v>43205</v>
      </c>
      <c r="O173" s="703" t="s">
        <v>338</v>
      </c>
      <c r="P173" s="20">
        <v>104785.85</v>
      </c>
      <c r="Q173" s="20">
        <v>0</v>
      </c>
      <c r="R173" s="20">
        <v>0</v>
      </c>
      <c r="S173" s="20">
        <v>0</v>
      </c>
      <c r="T173" s="20">
        <v>104785.85</v>
      </c>
      <c r="U173" s="20">
        <v>91978.7</v>
      </c>
      <c r="V173" s="20">
        <v>-12807.15</v>
      </c>
      <c r="W173" s="20">
        <v>-16300.01</v>
      </c>
      <c r="X173" s="20">
        <v>-3492.86</v>
      </c>
      <c r="Y173" s="20">
        <v>0</v>
      </c>
      <c r="Z173" s="20">
        <v>0</v>
      </c>
      <c r="AA173" s="20">
        <v>0</v>
      </c>
      <c r="AB173" s="20">
        <v>88485.84</v>
      </c>
      <c r="AC173" t="s">
        <v>183</v>
      </c>
      <c r="AD173" t="s">
        <v>290</v>
      </c>
      <c r="AE173" s="702">
        <f t="shared" si="10"/>
        <v>43252</v>
      </c>
      <c r="AF173" s="289">
        <v>174054.67410723178</v>
      </c>
      <c r="AG173">
        <f t="shared" si="11"/>
        <v>360</v>
      </c>
      <c r="AH173" s="289">
        <f t="shared" si="12"/>
        <v>483.48520585342163</v>
      </c>
      <c r="AJ173" s="289">
        <f t="shared" si="13"/>
        <v>54</v>
      </c>
      <c r="AK173" s="289">
        <f t="shared" si="14"/>
        <v>26108.201116084769</v>
      </c>
    </row>
    <row r="174" spans="1:37">
      <c r="A174" s="703" t="s">
        <v>683</v>
      </c>
      <c r="B174" s="703" t="s">
        <v>331</v>
      </c>
      <c r="C174" s="703" t="s">
        <v>332</v>
      </c>
      <c r="D174" s="703" t="s">
        <v>333</v>
      </c>
      <c r="E174" s="703" t="s">
        <v>334</v>
      </c>
      <c r="F174" s="703" t="s">
        <v>335</v>
      </c>
      <c r="G174" s="703" t="s">
        <v>684</v>
      </c>
      <c r="H174" s="703" t="s">
        <v>334</v>
      </c>
      <c r="I174" s="703" t="s">
        <v>334</v>
      </c>
      <c r="J174" s="703" t="s">
        <v>337</v>
      </c>
      <c r="K174" s="704">
        <v>0</v>
      </c>
      <c r="L174" s="703" t="s">
        <v>334</v>
      </c>
      <c r="M174" s="702">
        <v>39478</v>
      </c>
      <c r="N174" s="702">
        <v>43205</v>
      </c>
      <c r="O174" s="703" t="s">
        <v>338</v>
      </c>
      <c r="P174" s="20">
        <v>1367.15</v>
      </c>
      <c r="Q174" s="20">
        <v>0</v>
      </c>
      <c r="R174" s="20">
        <v>0</v>
      </c>
      <c r="S174" s="20">
        <v>0</v>
      </c>
      <c r="T174" s="20">
        <v>1367.15</v>
      </c>
      <c r="U174" s="20">
        <v>1200.06</v>
      </c>
      <c r="V174" s="20">
        <v>-167.09</v>
      </c>
      <c r="W174" s="20">
        <v>-212.66</v>
      </c>
      <c r="X174" s="20">
        <v>-45.57</v>
      </c>
      <c r="Y174" s="20">
        <v>0</v>
      </c>
      <c r="Z174" s="20">
        <v>0</v>
      </c>
      <c r="AA174" s="20">
        <v>0</v>
      </c>
      <c r="AB174" s="20">
        <v>1154.49</v>
      </c>
      <c r="AC174" t="s">
        <v>183</v>
      </c>
      <c r="AD174" t="s">
        <v>290</v>
      </c>
      <c r="AE174" s="702">
        <f t="shared" si="10"/>
        <v>43252</v>
      </c>
      <c r="AF174" s="289">
        <v>2270.9063075377248</v>
      </c>
      <c r="AG174">
        <f t="shared" si="11"/>
        <v>360</v>
      </c>
      <c r="AH174" s="289">
        <f t="shared" si="12"/>
        <v>6.3080730764936801</v>
      </c>
      <c r="AJ174" s="289">
        <f t="shared" si="13"/>
        <v>54</v>
      </c>
      <c r="AK174" s="289">
        <f t="shared" si="14"/>
        <v>340.63594613065874</v>
      </c>
    </row>
    <row r="175" spans="1:37">
      <c r="A175" s="703" t="s">
        <v>685</v>
      </c>
      <c r="B175" s="703" t="s">
        <v>331</v>
      </c>
      <c r="C175" s="703" t="s">
        <v>332</v>
      </c>
      <c r="D175" s="703" t="s">
        <v>333</v>
      </c>
      <c r="E175" s="703" t="s">
        <v>334</v>
      </c>
      <c r="F175" s="703" t="s">
        <v>335</v>
      </c>
      <c r="G175" s="703" t="s">
        <v>686</v>
      </c>
      <c r="H175" s="703" t="s">
        <v>334</v>
      </c>
      <c r="I175" s="703" t="s">
        <v>334</v>
      </c>
      <c r="J175" s="703" t="s">
        <v>337</v>
      </c>
      <c r="K175" s="704">
        <v>0</v>
      </c>
      <c r="L175" s="703" t="s">
        <v>334</v>
      </c>
      <c r="M175" s="702">
        <v>39478</v>
      </c>
      <c r="N175" s="702">
        <v>43205</v>
      </c>
      <c r="O175" s="703" t="s">
        <v>338</v>
      </c>
      <c r="P175" s="20">
        <v>1442.96</v>
      </c>
      <c r="Q175" s="20">
        <v>0</v>
      </c>
      <c r="R175" s="20">
        <v>0</v>
      </c>
      <c r="S175" s="20">
        <v>0</v>
      </c>
      <c r="T175" s="20">
        <v>1442.96</v>
      </c>
      <c r="U175" s="20">
        <v>1266.5899999999999</v>
      </c>
      <c r="V175" s="20">
        <v>-176.37</v>
      </c>
      <c r="W175" s="20">
        <v>-224.47</v>
      </c>
      <c r="X175" s="20">
        <v>-48.1</v>
      </c>
      <c r="Y175" s="20">
        <v>0</v>
      </c>
      <c r="Z175" s="20">
        <v>0</v>
      </c>
      <c r="AA175" s="20">
        <v>0</v>
      </c>
      <c r="AB175" s="20">
        <v>1218.49</v>
      </c>
      <c r="AC175" t="s">
        <v>183</v>
      </c>
      <c r="AD175" t="s">
        <v>290</v>
      </c>
      <c r="AE175" s="702">
        <f t="shared" si="10"/>
        <v>43252</v>
      </c>
      <c r="AF175" s="289">
        <v>2396.8306078518344</v>
      </c>
      <c r="AG175">
        <f t="shared" si="11"/>
        <v>360</v>
      </c>
      <c r="AH175" s="289">
        <f t="shared" si="12"/>
        <v>6.657862799588429</v>
      </c>
      <c r="AJ175" s="289">
        <f t="shared" si="13"/>
        <v>54</v>
      </c>
      <c r="AK175" s="289">
        <f t="shared" si="14"/>
        <v>359.52459117777516</v>
      </c>
    </row>
    <row r="176" spans="1:37">
      <c r="A176" s="703" t="s">
        <v>687</v>
      </c>
      <c r="B176" s="703" t="s">
        <v>331</v>
      </c>
      <c r="C176" s="703" t="s">
        <v>332</v>
      </c>
      <c r="D176" s="703" t="s">
        <v>333</v>
      </c>
      <c r="E176" s="703" t="s">
        <v>334</v>
      </c>
      <c r="F176" s="703" t="s">
        <v>335</v>
      </c>
      <c r="G176" s="703" t="s">
        <v>688</v>
      </c>
      <c r="H176" s="703" t="s">
        <v>334</v>
      </c>
      <c r="I176" s="703" t="s">
        <v>334</v>
      </c>
      <c r="J176" s="703" t="s">
        <v>337</v>
      </c>
      <c r="K176" s="704">
        <v>0</v>
      </c>
      <c r="L176" s="703" t="s">
        <v>334</v>
      </c>
      <c r="M176" s="702">
        <v>42886</v>
      </c>
      <c r="N176" s="702">
        <v>43205</v>
      </c>
      <c r="O176" s="703" t="s">
        <v>338</v>
      </c>
      <c r="P176" s="20">
        <v>16679.419999999998</v>
      </c>
      <c r="Q176" s="20">
        <v>0</v>
      </c>
      <c r="R176" s="20">
        <v>0</v>
      </c>
      <c r="S176" s="20">
        <v>0</v>
      </c>
      <c r="T176" s="20">
        <v>16679.419999999998</v>
      </c>
      <c r="U176" s="20">
        <v>14640.83</v>
      </c>
      <c r="V176" s="20">
        <v>-2038.59</v>
      </c>
      <c r="W176" s="20">
        <v>-2594.5700000000002</v>
      </c>
      <c r="X176" s="20">
        <v>-555.98</v>
      </c>
      <c r="Y176" s="20">
        <v>0</v>
      </c>
      <c r="Z176" s="20">
        <v>0</v>
      </c>
      <c r="AA176" s="20">
        <v>0</v>
      </c>
      <c r="AB176" s="20">
        <v>14084.85</v>
      </c>
      <c r="AC176" t="s">
        <v>183</v>
      </c>
      <c r="AD176" t="s">
        <v>290</v>
      </c>
      <c r="AE176" s="702">
        <f t="shared" si="10"/>
        <v>43252</v>
      </c>
      <c r="AF176" s="289">
        <v>27705.372551710399</v>
      </c>
      <c r="AG176">
        <f t="shared" si="11"/>
        <v>360</v>
      </c>
      <c r="AH176" s="289">
        <f t="shared" si="12"/>
        <v>76.959368199195552</v>
      </c>
      <c r="AJ176" s="289">
        <f t="shared" si="13"/>
        <v>54</v>
      </c>
      <c r="AK176" s="289">
        <f t="shared" si="14"/>
        <v>4155.8058827565601</v>
      </c>
    </row>
    <row r="177" spans="1:37">
      <c r="A177" s="703" t="s">
        <v>689</v>
      </c>
      <c r="B177" s="703" t="s">
        <v>331</v>
      </c>
      <c r="C177" s="703" t="s">
        <v>332</v>
      </c>
      <c r="D177" s="703" t="s">
        <v>333</v>
      </c>
      <c r="E177" s="703" t="s">
        <v>334</v>
      </c>
      <c r="F177" s="703" t="s">
        <v>335</v>
      </c>
      <c r="G177" s="703" t="s">
        <v>690</v>
      </c>
      <c r="H177" s="703" t="s">
        <v>334</v>
      </c>
      <c r="I177" s="703" t="s">
        <v>334</v>
      </c>
      <c r="J177" s="703" t="s">
        <v>337</v>
      </c>
      <c r="K177" s="704">
        <v>0</v>
      </c>
      <c r="L177" s="703" t="s">
        <v>334</v>
      </c>
      <c r="M177" s="702">
        <v>42886</v>
      </c>
      <c r="N177" s="702">
        <v>43205</v>
      </c>
      <c r="O177" s="703" t="s">
        <v>338</v>
      </c>
      <c r="P177" s="20">
        <v>6019.38</v>
      </c>
      <c r="Q177" s="20">
        <v>0</v>
      </c>
      <c r="R177" s="20">
        <v>0</v>
      </c>
      <c r="S177" s="20">
        <v>0</v>
      </c>
      <c r="T177" s="20">
        <v>6019.38</v>
      </c>
      <c r="U177" s="20">
        <v>5283.67</v>
      </c>
      <c r="V177" s="20">
        <v>-735.71</v>
      </c>
      <c r="W177" s="20">
        <v>-936.36</v>
      </c>
      <c r="X177" s="20">
        <v>-200.65</v>
      </c>
      <c r="Y177" s="20">
        <v>0</v>
      </c>
      <c r="Z177" s="20">
        <v>0</v>
      </c>
      <c r="AA177" s="20">
        <v>0</v>
      </c>
      <c r="AB177" s="20">
        <v>5083.0200000000004</v>
      </c>
      <c r="AC177" t="s">
        <v>183</v>
      </c>
      <c r="AD177" t="s">
        <v>290</v>
      </c>
      <c r="AE177" s="702">
        <f t="shared" si="10"/>
        <v>43252</v>
      </c>
      <c r="AF177" s="289">
        <v>9998.4990743271992</v>
      </c>
      <c r="AG177">
        <f t="shared" si="11"/>
        <v>360</v>
      </c>
      <c r="AH177" s="289">
        <f t="shared" si="12"/>
        <v>27.773608539797774</v>
      </c>
      <c r="AJ177" s="289">
        <f t="shared" si="13"/>
        <v>54</v>
      </c>
      <c r="AK177" s="289">
        <f t="shared" si="14"/>
        <v>1499.7748611490797</v>
      </c>
    </row>
    <row r="178" spans="1:37">
      <c r="A178" s="703" t="s">
        <v>691</v>
      </c>
      <c r="B178" s="703" t="s">
        <v>331</v>
      </c>
      <c r="C178" s="703" t="s">
        <v>332</v>
      </c>
      <c r="D178" s="703" t="s">
        <v>333</v>
      </c>
      <c r="E178" s="703" t="s">
        <v>334</v>
      </c>
      <c r="F178" s="703" t="s">
        <v>335</v>
      </c>
      <c r="G178" s="703" t="s">
        <v>692</v>
      </c>
      <c r="H178" s="703" t="s">
        <v>334</v>
      </c>
      <c r="I178" s="703" t="s">
        <v>334</v>
      </c>
      <c r="J178" s="703" t="s">
        <v>337</v>
      </c>
      <c r="K178" s="704">
        <v>0</v>
      </c>
      <c r="L178" s="703" t="s">
        <v>334</v>
      </c>
      <c r="M178" s="702">
        <v>39478</v>
      </c>
      <c r="N178" s="702">
        <v>43205</v>
      </c>
      <c r="O178" s="703" t="s">
        <v>338</v>
      </c>
      <c r="P178" s="20">
        <v>154710.66</v>
      </c>
      <c r="Q178" s="20">
        <v>0</v>
      </c>
      <c r="R178" s="20">
        <v>0</v>
      </c>
      <c r="S178" s="20">
        <v>0</v>
      </c>
      <c r="T178" s="20">
        <v>154710.66</v>
      </c>
      <c r="U178" s="20">
        <v>135801.59</v>
      </c>
      <c r="V178" s="20">
        <v>-18909.07</v>
      </c>
      <c r="W178" s="20">
        <v>-24066.09</v>
      </c>
      <c r="X178" s="20">
        <v>-5157.0200000000004</v>
      </c>
      <c r="Y178" s="20">
        <v>0</v>
      </c>
      <c r="Z178" s="20">
        <v>0</v>
      </c>
      <c r="AA178" s="20">
        <v>0</v>
      </c>
      <c r="AB178" s="20">
        <v>130644.57</v>
      </c>
      <c r="AC178" t="s">
        <v>183</v>
      </c>
      <c r="AD178" t="s">
        <v>290</v>
      </c>
      <c r="AE178" s="702">
        <f t="shared" si="10"/>
        <v>43252</v>
      </c>
      <c r="AF178" s="289">
        <v>256982.34549049073</v>
      </c>
      <c r="AG178">
        <f t="shared" si="11"/>
        <v>360</v>
      </c>
      <c r="AH178" s="289">
        <f t="shared" si="12"/>
        <v>713.83984858469648</v>
      </c>
      <c r="AJ178" s="289">
        <f t="shared" si="13"/>
        <v>54</v>
      </c>
      <c r="AK178" s="289">
        <f t="shared" si="14"/>
        <v>38547.351823573612</v>
      </c>
    </row>
    <row r="179" spans="1:37">
      <c r="A179" s="703" t="s">
        <v>693</v>
      </c>
      <c r="B179" s="703" t="s">
        <v>331</v>
      </c>
      <c r="C179" s="703" t="s">
        <v>332</v>
      </c>
      <c r="D179" s="703" t="s">
        <v>333</v>
      </c>
      <c r="E179" s="703" t="s">
        <v>334</v>
      </c>
      <c r="F179" s="703" t="s">
        <v>335</v>
      </c>
      <c r="G179" s="703" t="s">
        <v>694</v>
      </c>
      <c r="H179" s="703" t="s">
        <v>334</v>
      </c>
      <c r="I179" s="703" t="s">
        <v>334</v>
      </c>
      <c r="J179" s="703" t="s">
        <v>337</v>
      </c>
      <c r="K179" s="704">
        <v>0</v>
      </c>
      <c r="L179" s="703" t="s">
        <v>334</v>
      </c>
      <c r="M179" s="702">
        <v>39478</v>
      </c>
      <c r="N179" s="702">
        <v>43205</v>
      </c>
      <c r="O179" s="703" t="s">
        <v>338</v>
      </c>
      <c r="P179" s="20">
        <v>28536.05</v>
      </c>
      <c r="Q179" s="20">
        <v>0</v>
      </c>
      <c r="R179" s="20">
        <v>0</v>
      </c>
      <c r="S179" s="20">
        <v>0</v>
      </c>
      <c r="T179" s="20">
        <v>28536.05</v>
      </c>
      <c r="U179" s="20">
        <v>25048.32</v>
      </c>
      <c r="V179" s="20">
        <v>-3487.73</v>
      </c>
      <c r="W179" s="20">
        <v>-4438.93</v>
      </c>
      <c r="X179" s="20">
        <v>-951.2</v>
      </c>
      <c r="Y179" s="20">
        <v>0</v>
      </c>
      <c r="Z179" s="20">
        <v>0</v>
      </c>
      <c r="AA179" s="20">
        <v>0</v>
      </c>
      <c r="AB179" s="20">
        <v>24097.119999999999</v>
      </c>
      <c r="AC179" t="s">
        <v>183</v>
      </c>
      <c r="AD179" t="s">
        <v>290</v>
      </c>
      <c r="AE179" s="702">
        <f t="shared" si="10"/>
        <v>43252</v>
      </c>
      <c r="AF179" s="289">
        <v>47399.843424066043</v>
      </c>
      <c r="AG179">
        <f t="shared" si="11"/>
        <v>360</v>
      </c>
      <c r="AH179" s="289">
        <f t="shared" si="12"/>
        <v>131.66623173351678</v>
      </c>
      <c r="AJ179" s="289">
        <f t="shared" si="13"/>
        <v>54</v>
      </c>
      <c r="AK179" s="289">
        <f t="shared" si="14"/>
        <v>7109.9765136099059</v>
      </c>
    </row>
    <row r="180" spans="1:37">
      <c r="A180" s="703" t="s">
        <v>695</v>
      </c>
      <c r="B180" s="703" t="s">
        <v>331</v>
      </c>
      <c r="C180" s="703" t="s">
        <v>332</v>
      </c>
      <c r="D180" s="703" t="s">
        <v>333</v>
      </c>
      <c r="E180" s="703" t="s">
        <v>334</v>
      </c>
      <c r="F180" s="703" t="s">
        <v>335</v>
      </c>
      <c r="G180" s="703" t="s">
        <v>696</v>
      </c>
      <c r="H180" s="703" t="s">
        <v>334</v>
      </c>
      <c r="I180" s="703" t="s">
        <v>334</v>
      </c>
      <c r="J180" s="703" t="s">
        <v>337</v>
      </c>
      <c r="K180" s="704">
        <v>0</v>
      </c>
      <c r="L180" s="703" t="s">
        <v>334</v>
      </c>
      <c r="M180" s="702">
        <v>39478</v>
      </c>
      <c r="N180" s="702">
        <v>43205</v>
      </c>
      <c r="O180" s="703" t="s">
        <v>338</v>
      </c>
      <c r="P180" s="20">
        <v>9714.81</v>
      </c>
      <c r="Q180" s="20">
        <v>0</v>
      </c>
      <c r="R180" s="20">
        <v>0</v>
      </c>
      <c r="S180" s="20">
        <v>0</v>
      </c>
      <c r="T180" s="20">
        <v>9714.81</v>
      </c>
      <c r="U180" s="20">
        <v>8527.44</v>
      </c>
      <c r="V180" s="20">
        <v>-1187.3699999999999</v>
      </c>
      <c r="W180" s="20">
        <v>-1511.2</v>
      </c>
      <c r="X180" s="20">
        <v>-323.83</v>
      </c>
      <c r="Y180" s="20">
        <v>0</v>
      </c>
      <c r="Z180" s="20">
        <v>0</v>
      </c>
      <c r="AA180" s="20">
        <v>0</v>
      </c>
      <c r="AB180" s="20">
        <v>8203.61</v>
      </c>
      <c r="AC180" t="s">
        <v>183</v>
      </c>
      <c r="AD180" t="s">
        <v>290</v>
      </c>
      <c r="AE180" s="702">
        <f t="shared" si="10"/>
        <v>43252</v>
      </c>
      <c r="AF180" s="289">
        <v>16136.797941360173</v>
      </c>
      <c r="AG180">
        <f t="shared" si="11"/>
        <v>360</v>
      </c>
      <c r="AH180" s="289">
        <f t="shared" si="12"/>
        <v>44.82443872600048</v>
      </c>
      <c r="AJ180" s="289">
        <f t="shared" si="13"/>
        <v>54</v>
      </c>
      <c r="AK180" s="289">
        <f t="shared" si="14"/>
        <v>2420.519691204026</v>
      </c>
    </row>
    <row r="181" spans="1:37">
      <c r="A181" s="703" t="s">
        <v>697</v>
      </c>
      <c r="B181" s="703" t="s">
        <v>331</v>
      </c>
      <c r="C181" s="703" t="s">
        <v>332</v>
      </c>
      <c r="D181" s="703" t="s">
        <v>333</v>
      </c>
      <c r="E181" s="703" t="s">
        <v>334</v>
      </c>
      <c r="F181" s="703" t="s">
        <v>335</v>
      </c>
      <c r="G181" s="703" t="s">
        <v>698</v>
      </c>
      <c r="H181" s="703" t="s">
        <v>334</v>
      </c>
      <c r="I181" s="703" t="s">
        <v>334</v>
      </c>
      <c r="J181" s="703" t="s">
        <v>337</v>
      </c>
      <c r="K181" s="704">
        <v>0</v>
      </c>
      <c r="L181" s="703" t="s">
        <v>334</v>
      </c>
      <c r="M181" s="702">
        <v>39478</v>
      </c>
      <c r="N181" s="702">
        <v>43205</v>
      </c>
      <c r="O181" s="703" t="s">
        <v>338</v>
      </c>
      <c r="P181" s="20">
        <v>131063.21</v>
      </c>
      <c r="Q181" s="20">
        <v>0</v>
      </c>
      <c r="R181" s="20">
        <v>0</v>
      </c>
      <c r="S181" s="20">
        <v>0</v>
      </c>
      <c r="T181" s="20">
        <v>131063.21</v>
      </c>
      <c r="U181" s="20">
        <v>115044.38</v>
      </c>
      <c r="V181" s="20">
        <v>-16018.83</v>
      </c>
      <c r="W181" s="20">
        <v>-20387.599999999999</v>
      </c>
      <c r="X181" s="20">
        <v>-4368.7700000000004</v>
      </c>
      <c r="Y181" s="20">
        <v>0</v>
      </c>
      <c r="Z181" s="20">
        <v>0</v>
      </c>
      <c r="AA181" s="20">
        <v>0</v>
      </c>
      <c r="AB181" s="20">
        <v>110675.61</v>
      </c>
      <c r="AC181" t="s">
        <v>183</v>
      </c>
      <c r="AD181" t="s">
        <v>290</v>
      </c>
      <c r="AE181" s="702">
        <f t="shared" si="10"/>
        <v>43252</v>
      </c>
      <c r="AF181" s="289">
        <v>217702.7175329272</v>
      </c>
      <c r="AG181">
        <f t="shared" si="11"/>
        <v>360</v>
      </c>
      <c r="AH181" s="289">
        <f t="shared" si="12"/>
        <v>604.72977092479778</v>
      </c>
      <c r="AJ181" s="289">
        <f t="shared" si="13"/>
        <v>54</v>
      </c>
      <c r="AK181" s="289">
        <f t="shared" si="14"/>
        <v>32655.40762993908</v>
      </c>
    </row>
    <row r="182" spans="1:37">
      <c r="A182" s="703" t="s">
        <v>699</v>
      </c>
      <c r="B182" s="703" t="s">
        <v>331</v>
      </c>
      <c r="C182" s="703" t="s">
        <v>332</v>
      </c>
      <c r="D182" s="703" t="s">
        <v>333</v>
      </c>
      <c r="E182" s="703" t="s">
        <v>334</v>
      </c>
      <c r="F182" s="703" t="s">
        <v>335</v>
      </c>
      <c r="G182" s="703" t="s">
        <v>700</v>
      </c>
      <c r="H182" s="703" t="s">
        <v>334</v>
      </c>
      <c r="I182" s="703" t="s">
        <v>334</v>
      </c>
      <c r="J182" s="703" t="s">
        <v>337</v>
      </c>
      <c r="K182" s="704">
        <v>0</v>
      </c>
      <c r="L182" s="703" t="s">
        <v>334</v>
      </c>
      <c r="M182" s="702">
        <v>39478</v>
      </c>
      <c r="N182" s="702">
        <v>43205</v>
      </c>
      <c r="O182" s="703" t="s">
        <v>338</v>
      </c>
      <c r="P182" s="20">
        <v>591.86</v>
      </c>
      <c r="Q182" s="20">
        <v>0</v>
      </c>
      <c r="R182" s="20">
        <v>0</v>
      </c>
      <c r="S182" s="20">
        <v>0</v>
      </c>
      <c r="T182" s="20">
        <v>591.86</v>
      </c>
      <c r="U182" s="20">
        <v>519.52</v>
      </c>
      <c r="V182" s="20">
        <v>-72.34</v>
      </c>
      <c r="W182" s="20">
        <v>-92.07</v>
      </c>
      <c r="X182" s="20">
        <v>-19.73</v>
      </c>
      <c r="Y182" s="20">
        <v>0</v>
      </c>
      <c r="Z182" s="20">
        <v>0</v>
      </c>
      <c r="AA182" s="20">
        <v>0</v>
      </c>
      <c r="AB182" s="20">
        <v>499.79</v>
      </c>
      <c r="AC182" t="s">
        <v>183</v>
      </c>
      <c r="AD182" t="s">
        <v>290</v>
      </c>
      <c r="AE182" s="702">
        <f t="shared" si="10"/>
        <v>43252</v>
      </c>
      <c r="AF182" s="289">
        <v>983.10983226367102</v>
      </c>
      <c r="AG182">
        <f t="shared" si="11"/>
        <v>360</v>
      </c>
      <c r="AH182" s="289">
        <f t="shared" si="12"/>
        <v>2.7308606451768638</v>
      </c>
      <c r="AJ182" s="289">
        <f t="shared" si="13"/>
        <v>54</v>
      </c>
      <c r="AK182" s="289">
        <f t="shared" si="14"/>
        <v>147.46647483955064</v>
      </c>
    </row>
    <row r="183" spans="1:37">
      <c r="A183" s="703" t="s">
        <v>701</v>
      </c>
      <c r="B183" s="703" t="s">
        <v>331</v>
      </c>
      <c r="C183" s="703" t="s">
        <v>332</v>
      </c>
      <c r="D183" s="703" t="s">
        <v>333</v>
      </c>
      <c r="E183" s="703" t="s">
        <v>334</v>
      </c>
      <c r="F183" s="703" t="s">
        <v>335</v>
      </c>
      <c r="G183" s="703" t="s">
        <v>702</v>
      </c>
      <c r="H183" s="703" t="s">
        <v>334</v>
      </c>
      <c r="I183" s="703" t="s">
        <v>334</v>
      </c>
      <c r="J183" s="703" t="s">
        <v>337</v>
      </c>
      <c r="K183" s="704">
        <v>0</v>
      </c>
      <c r="L183" s="703" t="s">
        <v>334</v>
      </c>
      <c r="M183" s="702">
        <v>39478</v>
      </c>
      <c r="N183" s="702">
        <v>43205</v>
      </c>
      <c r="O183" s="703" t="s">
        <v>338</v>
      </c>
      <c r="P183" s="20">
        <v>2017.05</v>
      </c>
      <c r="Q183" s="20">
        <v>0</v>
      </c>
      <c r="R183" s="20">
        <v>0</v>
      </c>
      <c r="S183" s="20">
        <v>0</v>
      </c>
      <c r="T183" s="20">
        <v>2017.05</v>
      </c>
      <c r="U183" s="20">
        <v>1770.51</v>
      </c>
      <c r="V183" s="20">
        <v>-246.54</v>
      </c>
      <c r="W183" s="20">
        <v>-313.77999999999997</v>
      </c>
      <c r="X183" s="20">
        <v>-67.239999999999995</v>
      </c>
      <c r="Y183" s="20">
        <v>0</v>
      </c>
      <c r="Z183" s="20">
        <v>0</v>
      </c>
      <c r="AA183" s="20">
        <v>0</v>
      </c>
      <c r="AB183" s="20">
        <v>1703.27</v>
      </c>
      <c r="AC183" t="s">
        <v>183</v>
      </c>
      <c r="AD183" t="s">
        <v>290</v>
      </c>
      <c r="AE183" s="702">
        <f t="shared" si="10"/>
        <v>43252</v>
      </c>
      <c r="AF183" s="289">
        <v>3350.423558218899</v>
      </c>
      <c r="AG183">
        <f t="shared" si="11"/>
        <v>360</v>
      </c>
      <c r="AH183" s="289">
        <f t="shared" si="12"/>
        <v>9.3067321061636079</v>
      </c>
      <c r="AJ183" s="289">
        <f t="shared" si="13"/>
        <v>54</v>
      </c>
      <c r="AK183" s="289">
        <f t="shared" si="14"/>
        <v>502.5635337328348</v>
      </c>
    </row>
    <row r="184" spans="1:37">
      <c r="A184" s="703" t="s">
        <v>703</v>
      </c>
      <c r="B184" s="703" t="s">
        <v>331</v>
      </c>
      <c r="C184" s="703" t="s">
        <v>332</v>
      </c>
      <c r="D184" s="703" t="s">
        <v>333</v>
      </c>
      <c r="E184" s="703" t="s">
        <v>334</v>
      </c>
      <c r="F184" s="703" t="s">
        <v>335</v>
      </c>
      <c r="G184" s="703" t="s">
        <v>704</v>
      </c>
      <c r="H184" s="703" t="s">
        <v>334</v>
      </c>
      <c r="I184" s="703" t="s">
        <v>334</v>
      </c>
      <c r="J184" s="703" t="s">
        <v>337</v>
      </c>
      <c r="K184" s="704">
        <v>0</v>
      </c>
      <c r="L184" s="703" t="s">
        <v>334</v>
      </c>
      <c r="M184" s="702">
        <v>42124</v>
      </c>
      <c r="N184" s="702">
        <v>43205</v>
      </c>
      <c r="O184" s="703" t="s">
        <v>338</v>
      </c>
      <c r="P184" s="20">
        <v>17576.25</v>
      </c>
      <c r="Q184" s="20">
        <v>0</v>
      </c>
      <c r="R184" s="20">
        <v>0</v>
      </c>
      <c r="S184" s="20">
        <v>0</v>
      </c>
      <c r="T184" s="20">
        <v>17576.25</v>
      </c>
      <c r="U184" s="20">
        <v>15428.03</v>
      </c>
      <c r="V184" s="20">
        <v>-2148.2199999999998</v>
      </c>
      <c r="W184" s="20">
        <v>-2734.1</v>
      </c>
      <c r="X184" s="20">
        <v>-585.88</v>
      </c>
      <c r="Y184" s="20">
        <v>0</v>
      </c>
      <c r="Z184" s="20">
        <v>0</v>
      </c>
      <c r="AA184" s="20">
        <v>0</v>
      </c>
      <c r="AB184" s="20">
        <v>14842.15</v>
      </c>
      <c r="AC184" t="s">
        <v>183</v>
      </c>
      <c r="AD184" t="s">
        <v>290</v>
      </c>
      <c r="AE184" s="702">
        <f t="shared" si="10"/>
        <v>43252</v>
      </c>
      <c r="AF184" s="289">
        <v>29195.053204008291</v>
      </c>
      <c r="AG184">
        <f t="shared" si="11"/>
        <v>360</v>
      </c>
      <c r="AH184" s="289">
        <f t="shared" si="12"/>
        <v>81.097370011134146</v>
      </c>
      <c r="AJ184" s="289">
        <f t="shared" si="13"/>
        <v>54</v>
      </c>
      <c r="AK184" s="289">
        <f t="shared" si="14"/>
        <v>4379.2579806012436</v>
      </c>
    </row>
    <row r="185" spans="1:37">
      <c r="A185" s="703" t="s">
        <v>705</v>
      </c>
      <c r="B185" s="703" t="s">
        <v>331</v>
      </c>
      <c r="C185" s="703" t="s">
        <v>332</v>
      </c>
      <c r="D185" s="703" t="s">
        <v>333</v>
      </c>
      <c r="E185" s="703" t="s">
        <v>334</v>
      </c>
      <c r="F185" s="703" t="s">
        <v>335</v>
      </c>
      <c r="G185" s="703" t="s">
        <v>706</v>
      </c>
      <c r="H185" s="703" t="s">
        <v>334</v>
      </c>
      <c r="I185" s="703" t="s">
        <v>334</v>
      </c>
      <c r="J185" s="703" t="s">
        <v>337</v>
      </c>
      <c r="K185" s="704">
        <v>0</v>
      </c>
      <c r="L185" s="703" t="s">
        <v>334</v>
      </c>
      <c r="M185" s="702">
        <v>42063</v>
      </c>
      <c r="N185" s="702">
        <v>43205</v>
      </c>
      <c r="O185" s="703" t="s">
        <v>338</v>
      </c>
      <c r="P185" s="20">
        <v>53643.56</v>
      </c>
      <c r="Q185" s="20">
        <v>0</v>
      </c>
      <c r="R185" s="20">
        <v>0</v>
      </c>
      <c r="S185" s="20">
        <v>0</v>
      </c>
      <c r="T185" s="20">
        <v>53643.56</v>
      </c>
      <c r="U185" s="20">
        <v>47087.12</v>
      </c>
      <c r="V185" s="20">
        <v>-6556.44</v>
      </c>
      <c r="W185" s="20">
        <v>-8344.56</v>
      </c>
      <c r="X185" s="20">
        <v>-1788.12</v>
      </c>
      <c r="Y185" s="20">
        <v>0</v>
      </c>
      <c r="Z185" s="20">
        <v>0</v>
      </c>
      <c r="AA185" s="20">
        <v>0</v>
      </c>
      <c r="AB185" s="20">
        <v>45299</v>
      </c>
      <c r="AC185" t="s">
        <v>183</v>
      </c>
      <c r="AD185" t="s">
        <v>290</v>
      </c>
      <c r="AE185" s="702">
        <f t="shared" si="10"/>
        <v>43252</v>
      </c>
      <c r="AF185" s="289">
        <v>89104.705966995854</v>
      </c>
      <c r="AG185">
        <f t="shared" si="11"/>
        <v>360</v>
      </c>
      <c r="AH185" s="289">
        <f t="shared" si="12"/>
        <v>247.51307213054403</v>
      </c>
      <c r="AJ185" s="289">
        <f t="shared" si="13"/>
        <v>54</v>
      </c>
      <c r="AK185" s="289">
        <f t="shared" si="14"/>
        <v>13365.705895049377</v>
      </c>
    </row>
    <row r="186" spans="1:37">
      <c r="A186" s="703" t="s">
        <v>707</v>
      </c>
      <c r="B186" s="703" t="s">
        <v>331</v>
      </c>
      <c r="C186" s="703" t="s">
        <v>332</v>
      </c>
      <c r="D186" s="703" t="s">
        <v>333</v>
      </c>
      <c r="E186" s="703" t="s">
        <v>334</v>
      </c>
      <c r="F186" s="703" t="s">
        <v>335</v>
      </c>
      <c r="G186" s="703" t="s">
        <v>708</v>
      </c>
      <c r="H186" s="703" t="s">
        <v>334</v>
      </c>
      <c r="I186" s="703" t="s">
        <v>334</v>
      </c>
      <c r="J186" s="703" t="s">
        <v>337</v>
      </c>
      <c r="K186" s="704">
        <v>0</v>
      </c>
      <c r="L186" s="703" t="s">
        <v>334</v>
      </c>
      <c r="M186" s="702">
        <v>42063</v>
      </c>
      <c r="N186" s="702">
        <v>43205</v>
      </c>
      <c r="O186" s="703" t="s">
        <v>338</v>
      </c>
      <c r="P186" s="20">
        <v>29475.34</v>
      </c>
      <c r="Q186" s="20">
        <v>0</v>
      </c>
      <c r="R186" s="20">
        <v>0</v>
      </c>
      <c r="S186" s="20">
        <v>0</v>
      </c>
      <c r="T186" s="20">
        <v>29475.34</v>
      </c>
      <c r="U186" s="20">
        <v>25872.799999999999</v>
      </c>
      <c r="V186" s="20">
        <v>-3602.54</v>
      </c>
      <c r="W186" s="20">
        <v>-4585.05</v>
      </c>
      <c r="X186" s="20">
        <v>-982.51</v>
      </c>
      <c r="Y186" s="20">
        <v>0</v>
      </c>
      <c r="Z186" s="20">
        <v>0</v>
      </c>
      <c r="AA186" s="20">
        <v>0</v>
      </c>
      <c r="AB186" s="20">
        <v>24890.29</v>
      </c>
      <c r="AC186" t="s">
        <v>183</v>
      </c>
      <c r="AD186" t="s">
        <v>290</v>
      </c>
      <c r="AE186" s="702">
        <f t="shared" si="10"/>
        <v>43252</v>
      </c>
      <c r="AF186" s="289">
        <v>48960.052315268265</v>
      </c>
      <c r="AG186">
        <f t="shared" si="11"/>
        <v>360</v>
      </c>
      <c r="AH186" s="289">
        <f t="shared" si="12"/>
        <v>136.00014532018963</v>
      </c>
      <c r="AJ186" s="289">
        <f t="shared" si="13"/>
        <v>54</v>
      </c>
      <c r="AK186" s="289">
        <f t="shared" si="14"/>
        <v>7344.0078472902405</v>
      </c>
    </row>
    <row r="187" spans="1:37">
      <c r="A187" s="703" t="s">
        <v>709</v>
      </c>
      <c r="B187" s="703" t="s">
        <v>331</v>
      </c>
      <c r="C187" s="703" t="s">
        <v>332</v>
      </c>
      <c r="D187" s="703" t="s">
        <v>333</v>
      </c>
      <c r="E187" s="703" t="s">
        <v>334</v>
      </c>
      <c r="F187" s="703" t="s">
        <v>335</v>
      </c>
      <c r="G187" s="703" t="s">
        <v>710</v>
      </c>
      <c r="H187" s="703" t="s">
        <v>334</v>
      </c>
      <c r="I187" s="703" t="s">
        <v>334</v>
      </c>
      <c r="J187" s="703" t="s">
        <v>337</v>
      </c>
      <c r="K187" s="704">
        <v>0</v>
      </c>
      <c r="L187" s="703" t="s">
        <v>334</v>
      </c>
      <c r="M187" s="702">
        <v>42063</v>
      </c>
      <c r="N187" s="702">
        <v>43205</v>
      </c>
      <c r="O187" s="703" t="s">
        <v>338</v>
      </c>
      <c r="P187" s="20">
        <v>1482.6</v>
      </c>
      <c r="Q187" s="20">
        <v>0</v>
      </c>
      <c r="R187" s="20">
        <v>0</v>
      </c>
      <c r="S187" s="20">
        <v>0</v>
      </c>
      <c r="T187" s="20">
        <v>1482.6</v>
      </c>
      <c r="U187" s="20">
        <v>1301.3900000000001</v>
      </c>
      <c r="V187" s="20">
        <v>-181.21</v>
      </c>
      <c r="W187" s="20">
        <v>-230.63</v>
      </c>
      <c r="X187" s="20">
        <v>-49.42</v>
      </c>
      <c r="Y187" s="20">
        <v>0</v>
      </c>
      <c r="Z187" s="20">
        <v>0</v>
      </c>
      <c r="AA187" s="20">
        <v>0</v>
      </c>
      <c r="AB187" s="20">
        <v>1251.97</v>
      </c>
      <c r="AC187" t="s">
        <v>183</v>
      </c>
      <c r="AD187" t="s">
        <v>290</v>
      </c>
      <c r="AE187" s="702">
        <f t="shared" si="10"/>
        <v>43252</v>
      </c>
      <c r="AF187" s="289">
        <v>2462.6746820432509</v>
      </c>
      <c r="AG187">
        <f t="shared" si="11"/>
        <v>360</v>
      </c>
      <c r="AH187" s="289">
        <f t="shared" si="12"/>
        <v>6.8407630056756972</v>
      </c>
      <c r="AJ187" s="289">
        <f t="shared" si="13"/>
        <v>54</v>
      </c>
      <c r="AK187" s="289">
        <f t="shared" si="14"/>
        <v>369.40120230648768</v>
      </c>
    </row>
    <row r="188" spans="1:37">
      <c r="A188" s="703" t="s">
        <v>711</v>
      </c>
      <c r="B188" s="703" t="s">
        <v>331</v>
      </c>
      <c r="C188" s="703" t="s">
        <v>390</v>
      </c>
      <c r="D188" s="703" t="s">
        <v>391</v>
      </c>
      <c r="E188" s="703" t="s">
        <v>334</v>
      </c>
      <c r="F188" s="703" t="s">
        <v>335</v>
      </c>
      <c r="G188" s="703" t="s">
        <v>712</v>
      </c>
      <c r="H188" s="703" t="s">
        <v>334</v>
      </c>
      <c r="I188" s="703" t="s">
        <v>334</v>
      </c>
      <c r="J188" s="703" t="s">
        <v>337</v>
      </c>
      <c r="K188" s="704">
        <v>0</v>
      </c>
      <c r="L188" s="703" t="s">
        <v>334</v>
      </c>
      <c r="M188" s="702">
        <v>42886</v>
      </c>
      <c r="N188" s="702">
        <v>43205</v>
      </c>
      <c r="O188" s="703" t="s">
        <v>338</v>
      </c>
      <c r="P188" s="20">
        <v>593.53</v>
      </c>
      <c r="Q188" s="20">
        <v>0</v>
      </c>
      <c r="R188" s="20">
        <v>0</v>
      </c>
      <c r="S188" s="20">
        <v>0</v>
      </c>
      <c r="T188" s="20">
        <v>593.53</v>
      </c>
      <c r="U188" s="20">
        <v>521</v>
      </c>
      <c r="V188" s="20">
        <v>-72.53</v>
      </c>
      <c r="W188" s="20">
        <v>-92.31</v>
      </c>
      <c r="X188" s="20">
        <v>-19.78</v>
      </c>
      <c r="Y188" s="20">
        <v>0</v>
      </c>
      <c r="Z188" s="20">
        <v>0</v>
      </c>
      <c r="AA188" s="20">
        <v>0</v>
      </c>
      <c r="AB188" s="20">
        <v>501.22</v>
      </c>
      <c r="AC188" t="s">
        <v>188</v>
      </c>
      <c r="AD188" t="s">
        <v>290</v>
      </c>
      <c r="AE188" s="702">
        <f t="shared" si="10"/>
        <v>43252</v>
      </c>
      <c r="AF188" s="289">
        <v>985.88378796245161</v>
      </c>
      <c r="AG188">
        <f t="shared" si="11"/>
        <v>360</v>
      </c>
      <c r="AH188" s="289">
        <f t="shared" si="12"/>
        <v>2.7385660776734766</v>
      </c>
      <c r="AJ188" s="289">
        <f t="shared" si="13"/>
        <v>54</v>
      </c>
      <c r="AK188" s="289">
        <f t="shared" si="14"/>
        <v>147.88256819436774</v>
      </c>
    </row>
    <row r="189" spans="1:37">
      <c r="A189" s="703" t="s">
        <v>713</v>
      </c>
      <c r="B189" s="703" t="s">
        <v>331</v>
      </c>
      <c r="C189" s="703" t="s">
        <v>390</v>
      </c>
      <c r="D189" s="703" t="s">
        <v>391</v>
      </c>
      <c r="E189" s="703" t="s">
        <v>334</v>
      </c>
      <c r="F189" s="703" t="s">
        <v>335</v>
      </c>
      <c r="G189" s="703" t="s">
        <v>714</v>
      </c>
      <c r="H189" s="703" t="s">
        <v>334</v>
      </c>
      <c r="I189" s="703" t="s">
        <v>334</v>
      </c>
      <c r="J189" s="703" t="s">
        <v>337</v>
      </c>
      <c r="K189" s="704">
        <v>0</v>
      </c>
      <c r="L189" s="703" t="s">
        <v>334</v>
      </c>
      <c r="M189" s="702">
        <v>42886</v>
      </c>
      <c r="N189" s="702">
        <v>43205</v>
      </c>
      <c r="O189" s="703" t="s">
        <v>338</v>
      </c>
      <c r="P189" s="20">
        <v>432.01</v>
      </c>
      <c r="Q189" s="20">
        <v>0</v>
      </c>
      <c r="R189" s="20">
        <v>0</v>
      </c>
      <c r="S189" s="20">
        <v>0</v>
      </c>
      <c r="T189" s="20">
        <v>432.01</v>
      </c>
      <c r="U189" s="20">
        <v>379.21</v>
      </c>
      <c r="V189" s="20">
        <v>-52.8</v>
      </c>
      <c r="W189" s="20">
        <v>-67.2</v>
      </c>
      <c r="X189" s="20">
        <v>-14.4</v>
      </c>
      <c r="Y189" s="20">
        <v>0</v>
      </c>
      <c r="Z189" s="20">
        <v>0</v>
      </c>
      <c r="AA189" s="20">
        <v>0</v>
      </c>
      <c r="AB189" s="20">
        <v>364.81</v>
      </c>
      <c r="AC189" t="s">
        <v>188</v>
      </c>
      <c r="AD189" t="s">
        <v>290</v>
      </c>
      <c r="AE189" s="702">
        <f t="shared" si="10"/>
        <v>43252</v>
      </c>
      <c r="AF189" s="289">
        <v>717.59077929954469</v>
      </c>
      <c r="AG189">
        <f t="shared" si="11"/>
        <v>360</v>
      </c>
      <c r="AH189" s="289">
        <f t="shared" si="12"/>
        <v>1.993307720276513</v>
      </c>
      <c r="AJ189" s="289">
        <f t="shared" si="13"/>
        <v>54</v>
      </c>
      <c r="AK189" s="289">
        <f t="shared" si="14"/>
        <v>107.6386168949317</v>
      </c>
    </row>
    <row r="190" spans="1:37">
      <c r="A190" s="703" t="s">
        <v>715</v>
      </c>
      <c r="B190" s="703" t="s">
        <v>331</v>
      </c>
      <c r="C190" s="703" t="s">
        <v>390</v>
      </c>
      <c r="D190" s="703" t="s">
        <v>391</v>
      </c>
      <c r="E190" s="703" t="s">
        <v>334</v>
      </c>
      <c r="F190" s="703" t="s">
        <v>335</v>
      </c>
      <c r="G190" s="703" t="s">
        <v>398</v>
      </c>
      <c r="H190" s="703" t="s">
        <v>334</v>
      </c>
      <c r="I190" s="703" t="s">
        <v>334</v>
      </c>
      <c r="J190" s="703" t="s">
        <v>337</v>
      </c>
      <c r="K190" s="704">
        <v>0</v>
      </c>
      <c r="L190" s="703" t="s">
        <v>334</v>
      </c>
      <c r="M190" s="702">
        <v>42886</v>
      </c>
      <c r="N190" s="702">
        <v>43205</v>
      </c>
      <c r="O190" s="703" t="s">
        <v>338</v>
      </c>
      <c r="P190" s="20">
        <v>31187.31</v>
      </c>
      <c r="Q190" s="20">
        <v>0</v>
      </c>
      <c r="R190" s="20">
        <v>0</v>
      </c>
      <c r="S190" s="20">
        <v>0</v>
      </c>
      <c r="T190" s="20">
        <v>31187.31</v>
      </c>
      <c r="U190" s="20">
        <v>27375.52</v>
      </c>
      <c r="V190" s="20">
        <v>-3811.79</v>
      </c>
      <c r="W190" s="20">
        <v>-4851.37</v>
      </c>
      <c r="X190" s="20">
        <v>-1039.58</v>
      </c>
      <c r="Y190" s="20">
        <v>0</v>
      </c>
      <c r="Z190" s="20">
        <v>0</v>
      </c>
      <c r="AA190" s="20">
        <v>0</v>
      </c>
      <c r="AB190" s="20">
        <v>26335.94</v>
      </c>
      <c r="AC190" t="s">
        <v>188</v>
      </c>
      <c r="AD190" t="s">
        <v>290</v>
      </c>
      <c r="AE190" s="702">
        <f t="shared" si="10"/>
        <v>43252</v>
      </c>
      <c r="AF190" s="289">
        <v>51803.722337808118</v>
      </c>
      <c r="AG190">
        <f t="shared" si="11"/>
        <v>360</v>
      </c>
      <c r="AH190" s="289">
        <f t="shared" si="12"/>
        <v>143.89922871613365</v>
      </c>
      <c r="AJ190" s="289">
        <f t="shared" si="13"/>
        <v>54</v>
      </c>
      <c r="AK190" s="289">
        <f t="shared" si="14"/>
        <v>7770.5583506712173</v>
      </c>
    </row>
    <row r="191" spans="1:37">
      <c r="A191" s="703" t="s">
        <v>716</v>
      </c>
      <c r="B191" s="703" t="s">
        <v>331</v>
      </c>
      <c r="C191" s="703" t="s">
        <v>390</v>
      </c>
      <c r="D191" s="703" t="s">
        <v>391</v>
      </c>
      <c r="E191" s="703" t="s">
        <v>334</v>
      </c>
      <c r="F191" s="703" t="s">
        <v>335</v>
      </c>
      <c r="G191" s="703" t="s">
        <v>400</v>
      </c>
      <c r="H191" s="703" t="s">
        <v>334</v>
      </c>
      <c r="I191" s="703" t="s">
        <v>334</v>
      </c>
      <c r="J191" s="703" t="s">
        <v>337</v>
      </c>
      <c r="K191" s="704">
        <v>0</v>
      </c>
      <c r="L191" s="703" t="s">
        <v>334</v>
      </c>
      <c r="M191" s="702">
        <v>40574</v>
      </c>
      <c r="N191" s="702">
        <v>43205</v>
      </c>
      <c r="O191" s="703" t="s">
        <v>338</v>
      </c>
      <c r="P191" s="20">
        <v>38209.360000000001</v>
      </c>
      <c r="Q191" s="20">
        <v>0</v>
      </c>
      <c r="R191" s="20">
        <v>0</v>
      </c>
      <c r="S191" s="20">
        <v>0</v>
      </c>
      <c r="T191" s="20">
        <v>38209.360000000001</v>
      </c>
      <c r="U191" s="20">
        <v>33539.31</v>
      </c>
      <c r="V191" s="20">
        <v>-4670.05</v>
      </c>
      <c r="W191" s="20">
        <v>-5943.7</v>
      </c>
      <c r="X191" s="20">
        <v>-1273.6500000000001</v>
      </c>
      <c r="Y191" s="20">
        <v>0</v>
      </c>
      <c r="Z191" s="20">
        <v>0</v>
      </c>
      <c r="AA191" s="20">
        <v>0</v>
      </c>
      <c r="AB191" s="20">
        <v>32265.66</v>
      </c>
      <c r="AC191" t="s">
        <v>188</v>
      </c>
      <c r="AD191" t="s">
        <v>290</v>
      </c>
      <c r="AE191" s="702">
        <f t="shared" si="10"/>
        <v>43252</v>
      </c>
      <c r="AF191" s="289">
        <v>63467.707735785865</v>
      </c>
      <c r="AG191">
        <f t="shared" si="11"/>
        <v>360</v>
      </c>
      <c r="AH191" s="289">
        <f t="shared" si="12"/>
        <v>176.29918815496075</v>
      </c>
      <c r="AJ191" s="289">
        <f t="shared" si="13"/>
        <v>54</v>
      </c>
      <c r="AK191" s="289">
        <f t="shared" si="14"/>
        <v>9520.1561603678801</v>
      </c>
    </row>
    <row r="192" spans="1:37">
      <c r="A192" s="703" t="s">
        <v>717</v>
      </c>
      <c r="B192" s="703" t="s">
        <v>331</v>
      </c>
      <c r="C192" s="703" t="s">
        <v>390</v>
      </c>
      <c r="D192" s="703" t="s">
        <v>391</v>
      </c>
      <c r="E192" s="703" t="s">
        <v>334</v>
      </c>
      <c r="F192" s="703" t="s">
        <v>335</v>
      </c>
      <c r="G192" s="703" t="s">
        <v>402</v>
      </c>
      <c r="H192" s="703" t="s">
        <v>334</v>
      </c>
      <c r="I192" s="703" t="s">
        <v>334</v>
      </c>
      <c r="J192" s="703" t="s">
        <v>337</v>
      </c>
      <c r="K192" s="704">
        <v>0</v>
      </c>
      <c r="L192" s="703" t="s">
        <v>334</v>
      </c>
      <c r="M192" s="702">
        <v>42886</v>
      </c>
      <c r="N192" s="702">
        <v>43205</v>
      </c>
      <c r="O192" s="703" t="s">
        <v>338</v>
      </c>
      <c r="P192" s="20">
        <v>12510.88</v>
      </c>
      <c r="Q192" s="20">
        <v>0</v>
      </c>
      <c r="R192" s="20">
        <v>0</v>
      </c>
      <c r="S192" s="20">
        <v>0</v>
      </c>
      <c r="T192" s="20">
        <v>12510.88</v>
      </c>
      <c r="U192" s="20">
        <v>10981.77</v>
      </c>
      <c r="V192" s="20">
        <v>-1529.11</v>
      </c>
      <c r="W192" s="20">
        <v>-1946.14</v>
      </c>
      <c r="X192" s="20">
        <v>-417.03</v>
      </c>
      <c r="Y192" s="20">
        <v>0</v>
      </c>
      <c r="Z192" s="20">
        <v>0</v>
      </c>
      <c r="AA192" s="20">
        <v>0</v>
      </c>
      <c r="AB192" s="20">
        <v>10564.74</v>
      </c>
      <c r="AC192" t="s">
        <v>188</v>
      </c>
      <c r="AD192" t="s">
        <v>290</v>
      </c>
      <c r="AE192" s="702">
        <f t="shared" si="10"/>
        <v>43252</v>
      </c>
      <c r="AF192" s="289">
        <v>20781.213696264178</v>
      </c>
      <c r="AG192">
        <f t="shared" si="11"/>
        <v>360</v>
      </c>
      <c r="AH192" s="289">
        <f t="shared" si="12"/>
        <v>57.725593600733831</v>
      </c>
      <c r="AJ192" s="289">
        <f t="shared" si="13"/>
        <v>54</v>
      </c>
      <c r="AK192" s="289">
        <f t="shared" si="14"/>
        <v>3117.1820544396269</v>
      </c>
    </row>
    <row r="193" spans="1:37">
      <c r="A193" s="703" t="s">
        <v>718</v>
      </c>
      <c r="B193" s="703" t="s">
        <v>331</v>
      </c>
      <c r="C193" s="703" t="s">
        <v>390</v>
      </c>
      <c r="D193" s="703" t="s">
        <v>391</v>
      </c>
      <c r="E193" s="703" t="s">
        <v>334</v>
      </c>
      <c r="F193" s="703" t="s">
        <v>335</v>
      </c>
      <c r="G193" s="703" t="s">
        <v>406</v>
      </c>
      <c r="H193" s="703" t="s">
        <v>334</v>
      </c>
      <c r="I193" s="703" t="s">
        <v>334</v>
      </c>
      <c r="J193" s="703" t="s">
        <v>337</v>
      </c>
      <c r="K193" s="704">
        <v>0</v>
      </c>
      <c r="L193" s="703" t="s">
        <v>334</v>
      </c>
      <c r="M193" s="702">
        <v>40574</v>
      </c>
      <c r="N193" s="702">
        <v>43205</v>
      </c>
      <c r="O193" s="703" t="s">
        <v>338</v>
      </c>
      <c r="P193" s="20">
        <v>26517.08</v>
      </c>
      <c r="Q193" s="20">
        <v>0</v>
      </c>
      <c r="R193" s="20">
        <v>0</v>
      </c>
      <c r="S193" s="20">
        <v>0</v>
      </c>
      <c r="T193" s="20">
        <v>26517.08</v>
      </c>
      <c r="U193" s="20">
        <v>23276.11</v>
      </c>
      <c r="V193" s="20">
        <v>-3240.97</v>
      </c>
      <c r="W193" s="20">
        <v>-4124.87</v>
      </c>
      <c r="X193" s="20">
        <v>-883.9</v>
      </c>
      <c r="Y193" s="20">
        <v>0</v>
      </c>
      <c r="Z193" s="20">
        <v>0</v>
      </c>
      <c r="AA193" s="20">
        <v>0</v>
      </c>
      <c r="AB193" s="20">
        <v>22392.21</v>
      </c>
      <c r="AC193" t="s">
        <v>188</v>
      </c>
      <c r="AD193" t="s">
        <v>290</v>
      </c>
      <c r="AE193" s="702">
        <f t="shared" si="10"/>
        <v>43252</v>
      </c>
      <c r="AF193" s="289">
        <v>44046.230647319207</v>
      </c>
      <c r="AG193">
        <f t="shared" si="11"/>
        <v>360</v>
      </c>
      <c r="AH193" s="289">
        <f t="shared" si="12"/>
        <v>122.35064068699779</v>
      </c>
      <c r="AJ193" s="289">
        <f t="shared" si="13"/>
        <v>54</v>
      </c>
      <c r="AK193" s="289">
        <f t="shared" si="14"/>
        <v>6606.9345970978811</v>
      </c>
    </row>
    <row r="194" spans="1:37">
      <c r="A194" s="703" t="s">
        <v>719</v>
      </c>
      <c r="B194" s="703" t="s">
        <v>331</v>
      </c>
      <c r="C194" s="703" t="s">
        <v>390</v>
      </c>
      <c r="D194" s="703" t="s">
        <v>391</v>
      </c>
      <c r="E194" s="703" t="s">
        <v>334</v>
      </c>
      <c r="F194" s="703" t="s">
        <v>335</v>
      </c>
      <c r="G194" s="703" t="s">
        <v>408</v>
      </c>
      <c r="H194" s="703" t="s">
        <v>334</v>
      </c>
      <c r="I194" s="703" t="s">
        <v>334</v>
      </c>
      <c r="J194" s="703" t="s">
        <v>337</v>
      </c>
      <c r="K194" s="704">
        <v>0</v>
      </c>
      <c r="L194" s="703" t="s">
        <v>334</v>
      </c>
      <c r="M194" s="702">
        <v>42886</v>
      </c>
      <c r="N194" s="702">
        <v>43205</v>
      </c>
      <c r="O194" s="703" t="s">
        <v>338</v>
      </c>
      <c r="P194" s="20">
        <v>13666.75</v>
      </c>
      <c r="Q194" s="20">
        <v>0</v>
      </c>
      <c r="R194" s="20">
        <v>0</v>
      </c>
      <c r="S194" s="20">
        <v>0</v>
      </c>
      <c r="T194" s="20">
        <v>13666.75</v>
      </c>
      <c r="U194" s="20">
        <v>11996.36</v>
      </c>
      <c r="V194" s="20">
        <v>-1670.39</v>
      </c>
      <c r="W194" s="20">
        <v>-2125.9499999999998</v>
      </c>
      <c r="X194" s="20">
        <v>-455.56</v>
      </c>
      <c r="Y194" s="20">
        <v>0</v>
      </c>
      <c r="Z194" s="20">
        <v>0</v>
      </c>
      <c r="AA194" s="20">
        <v>0</v>
      </c>
      <c r="AB194" s="20">
        <v>11540.8</v>
      </c>
      <c r="AC194" t="s">
        <v>188</v>
      </c>
      <c r="AD194" t="s">
        <v>290</v>
      </c>
      <c r="AE194" s="702">
        <f t="shared" si="10"/>
        <v>43252</v>
      </c>
      <c r="AF194" s="289">
        <v>22701.173081623234</v>
      </c>
      <c r="AG194">
        <f t="shared" si="11"/>
        <v>360</v>
      </c>
      <c r="AH194" s="289">
        <f t="shared" si="12"/>
        <v>63.058814115620095</v>
      </c>
      <c r="AJ194" s="289">
        <f t="shared" si="13"/>
        <v>54</v>
      </c>
      <c r="AK194" s="289">
        <f t="shared" si="14"/>
        <v>3405.1759622434852</v>
      </c>
    </row>
    <row r="195" spans="1:37">
      <c r="A195" s="703" t="s">
        <v>720</v>
      </c>
      <c r="B195" s="703" t="s">
        <v>331</v>
      </c>
      <c r="C195" s="703" t="s">
        <v>390</v>
      </c>
      <c r="D195" s="703" t="s">
        <v>391</v>
      </c>
      <c r="E195" s="703" t="s">
        <v>334</v>
      </c>
      <c r="F195" s="703" t="s">
        <v>335</v>
      </c>
      <c r="G195" s="703" t="s">
        <v>410</v>
      </c>
      <c r="H195" s="703" t="s">
        <v>334</v>
      </c>
      <c r="I195" s="703" t="s">
        <v>334</v>
      </c>
      <c r="J195" s="703" t="s">
        <v>337</v>
      </c>
      <c r="K195" s="704">
        <v>0</v>
      </c>
      <c r="L195" s="703" t="s">
        <v>334</v>
      </c>
      <c r="M195" s="702">
        <v>42886</v>
      </c>
      <c r="N195" s="702">
        <v>43205</v>
      </c>
      <c r="O195" s="703" t="s">
        <v>338</v>
      </c>
      <c r="P195" s="20">
        <v>1731.08</v>
      </c>
      <c r="Q195" s="20">
        <v>0</v>
      </c>
      <c r="R195" s="20">
        <v>0</v>
      </c>
      <c r="S195" s="20">
        <v>0</v>
      </c>
      <c r="T195" s="20">
        <v>1731.08</v>
      </c>
      <c r="U195" s="20">
        <v>1519.51</v>
      </c>
      <c r="V195" s="20">
        <v>-211.57</v>
      </c>
      <c r="W195" s="20">
        <v>-269.27</v>
      </c>
      <c r="X195" s="20">
        <v>-57.7</v>
      </c>
      <c r="Y195" s="20">
        <v>0</v>
      </c>
      <c r="Z195" s="20">
        <v>0</v>
      </c>
      <c r="AA195" s="20">
        <v>0</v>
      </c>
      <c r="AB195" s="20">
        <v>1461.81</v>
      </c>
      <c r="AC195" t="s">
        <v>188</v>
      </c>
      <c r="AD195" t="s">
        <v>290</v>
      </c>
      <c r="AE195" s="702">
        <f t="shared" si="10"/>
        <v>43252</v>
      </c>
      <c r="AF195" s="289">
        <v>2875.4127132007497</v>
      </c>
      <c r="AG195">
        <f t="shared" si="11"/>
        <v>360</v>
      </c>
      <c r="AH195" s="289">
        <f t="shared" si="12"/>
        <v>7.987257536668749</v>
      </c>
      <c r="AJ195" s="289">
        <f t="shared" si="13"/>
        <v>54</v>
      </c>
      <c r="AK195" s="289">
        <f t="shared" si="14"/>
        <v>431.31190698011244</v>
      </c>
    </row>
    <row r="196" spans="1:37">
      <c r="A196" s="703" t="s">
        <v>721</v>
      </c>
      <c r="B196" s="703" t="s">
        <v>331</v>
      </c>
      <c r="C196" s="703" t="s">
        <v>390</v>
      </c>
      <c r="D196" s="703" t="s">
        <v>391</v>
      </c>
      <c r="E196" s="703" t="s">
        <v>334</v>
      </c>
      <c r="F196" s="703" t="s">
        <v>335</v>
      </c>
      <c r="G196" s="703" t="s">
        <v>722</v>
      </c>
      <c r="H196" s="703" t="s">
        <v>334</v>
      </c>
      <c r="I196" s="703" t="s">
        <v>334</v>
      </c>
      <c r="J196" s="703" t="s">
        <v>337</v>
      </c>
      <c r="K196" s="704">
        <v>0</v>
      </c>
      <c r="L196" s="703" t="s">
        <v>334</v>
      </c>
      <c r="M196" s="702">
        <v>40574</v>
      </c>
      <c r="N196" s="702">
        <v>43205</v>
      </c>
      <c r="O196" s="703" t="s">
        <v>338</v>
      </c>
      <c r="P196" s="20">
        <v>4591.28</v>
      </c>
      <c r="Q196" s="20">
        <v>0</v>
      </c>
      <c r="R196" s="20">
        <v>0</v>
      </c>
      <c r="S196" s="20">
        <v>0</v>
      </c>
      <c r="T196" s="20">
        <v>4591.28</v>
      </c>
      <c r="U196" s="20">
        <v>4030.13</v>
      </c>
      <c r="V196" s="20">
        <v>-561.15</v>
      </c>
      <c r="W196" s="20">
        <v>-714.19</v>
      </c>
      <c r="X196" s="20">
        <v>-153.04</v>
      </c>
      <c r="Y196" s="20">
        <v>0</v>
      </c>
      <c r="Z196" s="20">
        <v>0</v>
      </c>
      <c r="AA196" s="20">
        <v>0</v>
      </c>
      <c r="AB196" s="20">
        <v>3877.09</v>
      </c>
      <c r="AC196" t="s">
        <v>188</v>
      </c>
      <c r="AD196" t="s">
        <v>290</v>
      </c>
      <c r="AE196" s="702">
        <f t="shared" si="10"/>
        <v>43252</v>
      </c>
      <c r="AF196" s="289">
        <v>7626.3516890405617</v>
      </c>
      <c r="AG196">
        <f t="shared" si="11"/>
        <v>360</v>
      </c>
      <c r="AH196" s="289">
        <f t="shared" si="12"/>
        <v>21.184310247334892</v>
      </c>
      <c r="AJ196" s="289">
        <f t="shared" si="13"/>
        <v>54</v>
      </c>
      <c r="AK196" s="289">
        <f t="shared" si="14"/>
        <v>1143.9527533560843</v>
      </c>
    </row>
    <row r="197" spans="1:37">
      <c r="A197" s="703" t="s">
        <v>723</v>
      </c>
      <c r="B197" s="703" t="s">
        <v>331</v>
      </c>
      <c r="C197" s="703" t="s">
        <v>390</v>
      </c>
      <c r="D197" s="703" t="s">
        <v>391</v>
      </c>
      <c r="E197" s="703" t="s">
        <v>334</v>
      </c>
      <c r="F197" s="703" t="s">
        <v>335</v>
      </c>
      <c r="G197" s="703" t="s">
        <v>416</v>
      </c>
      <c r="H197" s="703" t="s">
        <v>334</v>
      </c>
      <c r="I197" s="703" t="s">
        <v>334</v>
      </c>
      <c r="J197" s="703" t="s">
        <v>337</v>
      </c>
      <c r="K197" s="704">
        <v>0</v>
      </c>
      <c r="L197" s="703" t="s">
        <v>334</v>
      </c>
      <c r="M197" s="702">
        <v>42886</v>
      </c>
      <c r="N197" s="702">
        <v>43205</v>
      </c>
      <c r="O197" s="703" t="s">
        <v>338</v>
      </c>
      <c r="P197" s="20">
        <v>30378.83</v>
      </c>
      <c r="Q197" s="20">
        <v>0</v>
      </c>
      <c r="R197" s="20">
        <v>0</v>
      </c>
      <c r="S197" s="20">
        <v>0</v>
      </c>
      <c r="T197" s="20">
        <v>30378.83</v>
      </c>
      <c r="U197" s="20">
        <v>26665.85</v>
      </c>
      <c r="V197" s="20">
        <v>-3712.98</v>
      </c>
      <c r="W197" s="20">
        <v>-4725.6099999999997</v>
      </c>
      <c r="X197" s="20">
        <v>-1012.63</v>
      </c>
      <c r="Y197" s="20">
        <v>0</v>
      </c>
      <c r="Z197" s="20">
        <v>0</v>
      </c>
      <c r="AA197" s="20">
        <v>0</v>
      </c>
      <c r="AB197" s="20">
        <v>25653.22</v>
      </c>
      <c r="AC197" t="s">
        <v>188</v>
      </c>
      <c r="AD197" t="s">
        <v>290</v>
      </c>
      <c r="AE197" s="702">
        <f t="shared" si="10"/>
        <v>43252</v>
      </c>
      <c r="AF197" s="289">
        <v>50460.795569334943</v>
      </c>
      <c r="AG197">
        <f t="shared" si="11"/>
        <v>360</v>
      </c>
      <c r="AH197" s="289">
        <f t="shared" si="12"/>
        <v>140.16887658148596</v>
      </c>
      <c r="AJ197" s="289">
        <f t="shared" si="13"/>
        <v>54</v>
      </c>
      <c r="AK197" s="289">
        <f t="shared" si="14"/>
        <v>7569.1193354002417</v>
      </c>
    </row>
    <row r="198" spans="1:37">
      <c r="A198" s="703" t="s">
        <v>724</v>
      </c>
      <c r="B198" s="703" t="s">
        <v>331</v>
      </c>
      <c r="C198" s="703" t="s">
        <v>390</v>
      </c>
      <c r="D198" s="703" t="s">
        <v>391</v>
      </c>
      <c r="E198" s="703" t="s">
        <v>334</v>
      </c>
      <c r="F198" s="703" t="s">
        <v>335</v>
      </c>
      <c r="G198" s="703" t="s">
        <v>725</v>
      </c>
      <c r="H198" s="703" t="s">
        <v>334</v>
      </c>
      <c r="I198" s="703" t="s">
        <v>334</v>
      </c>
      <c r="J198" s="703" t="s">
        <v>337</v>
      </c>
      <c r="K198" s="704">
        <v>0</v>
      </c>
      <c r="L198" s="703" t="s">
        <v>334</v>
      </c>
      <c r="M198" s="702">
        <v>40574</v>
      </c>
      <c r="N198" s="702">
        <v>43205</v>
      </c>
      <c r="O198" s="703" t="s">
        <v>338</v>
      </c>
      <c r="P198" s="20">
        <v>3902.92</v>
      </c>
      <c r="Q198" s="20">
        <v>0</v>
      </c>
      <c r="R198" s="20">
        <v>0</v>
      </c>
      <c r="S198" s="20">
        <v>0</v>
      </c>
      <c r="T198" s="20">
        <v>3902.92</v>
      </c>
      <c r="U198" s="20">
        <v>3425.89</v>
      </c>
      <c r="V198" s="20">
        <v>-477.03</v>
      </c>
      <c r="W198" s="20">
        <v>-607.13</v>
      </c>
      <c r="X198" s="20">
        <v>-130.1</v>
      </c>
      <c r="Y198" s="20">
        <v>0</v>
      </c>
      <c r="Z198" s="20">
        <v>0</v>
      </c>
      <c r="AA198" s="20">
        <v>0</v>
      </c>
      <c r="AB198" s="20">
        <v>3295.79</v>
      </c>
      <c r="AC198" t="s">
        <v>188</v>
      </c>
      <c r="AD198" t="s">
        <v>290</v>
      </c>
      <c r="AE198" s="702">
        <f t="shared" si="10"/>
        <v>43252</v>
      </c>
      <c r="AF198" s="289">
        <v>6482.9504047216014</v>
      </c>
      <c r="AG198">
        <f t="shared" si="11"/>
        <v>360</v>
      </c>
      <c r="AH198" s="289">
        <f t="shared" si="12"/>
        <v>18.008195568671116</v>
      </c>
      <c r="AJ198" s="289">
        <f t="shared" si="13"/>
        <v>54</v>
      </c>
      <c r="AK198" s="289">
        <f t="shared" si="14"/>
        <v>972.44256070824031</v>
      </c>
    </row>
    <row r="199" spans="1:37">
      <c r="A199" s="703" t="s">
        <v>726</v>
      </c>
      <c r="B199" s="703" t="s">
        <v>331</v>
      </c>
      <c r="C199" s="703" t="s">
        <v>390</v>
      </c>
      <c r="D199" s="703" t="s">
        <v>391</v>
      </c>
      <c r="E199" s="703" t="s">
        <v>334</v>
      </c>
      <c r="F199" s="703" t="s">
        <v>335</v>
      </c>
      <c r="G199" s="703" t="s">
        <v>727</v>
      </c>
      <c r="H199" s="703" t="s">
        <v>334</v>
      </c>
      <c r="I199" s="703" t="s">
        <v>334</v>
      </c>
      <c r="J199" s="703" t="s">
        <v>337</v>
      </c>
      <c r="K199" s="704">
        <v>0</v>
      </c>
      <c r="L199" s="703" t="s">
        <v>334</v>
      </c>
      <c r="M199" s="702">
        <v>40574</v>
      </c>
      <c r="N199" s="702">
        <v>43205</v>
      </c>
      <c r="O199" s="703" t="s">
        <v>338</v>
      </c>
      <c r="P199" s="20">
        <v>925.35</v>
      </c>
      <c r="Q199" s="20">
        <v>0</v>
      </c>
      <c r="R199" s="20">
        <v>0</v>
      </c>
      <c r="S199" s="20">
        <v>0</v>
      </c>
      <c r="T199" s="20">
        <v>925.35</v>
      </c>
      <c r="U199" s="20">
        <v>812.24</v>
      </c>
      <c r="V199" s="20">
        <v>-113.11</v>
      </c>
      <c r="W199" s="20">
        <v>-143.96</v>
      </c>
      <c r="X199" s="20">
        <v>-30.85</v>
      </c>
      <c r="Y199" s="20">
        <v>0</v>
      </c>
      <c r="Z199" s="20">
        <v>0</v>
      </c>
      <c r="AA199" s="20">
        <v>0</v>
      </c>
      <c r="AB199" s="20">
        <v>781.39</v>
      </c>
      <c r="AC199" t="s">
        <v>188</v>
      </c>
      <c r="AD199" t="s">
        <v>290</v>
      </c>
      <c r="AE199" s="702">
        <f t="shared" ref="AE199:AE262" si="15">IF(N199&gt;=$AG$5,DATE(YEAR(N199),6,1),DATE(YEAR(N199),6,1))</f>
        <v>43252</v>
      </c>
      <c r="AF199" s="289">
        <v>1537.0538358483223</v>
      </c>
      <c r="AG199">
        <f t="shared" ref="AG199:AG262" si="16">+IF(AD199="intangível",20*12,IF(AD199="Diferido",120,IF(AD199="Não vinculados",0,IF(AE199&lt;=$AG$5,F199*12,360))))</f>
        <v>360</v>
      </c>
      <c r="AH199" s="289">
        <f t="shared" ref="AH199:AH262" si="17">IF(AG199=0,0,AF199/AG199)</f>
        <v>4.2695939884675616</v>
      </c>
      <c r="AJ199" s="289">
        <f t="shared" ref="AJ199:AJ262" si="18">+IF(AND(YEAR(AE199)&gt;=2018,YEAR(AE199)&lt;=2022),IF(DATEDIF(AE199,$AK$4,"m")&gt;=AG199,AG199,DATEDIF(AE199,$AK$4,"m")),0)</f>
        <v>54</v>
      </c>
      <c r="AK199" s="289">
        <f t="shared" ref="AK199:AK262" si="19">IF(AD199="Imobilizado",AJ199*AH199,0)</f>
        <v>230.55807537724831</v>
      </c>
    </row>
    <row r="200" spans="1:37">
      <c r="A200" s="703" t="s">
        <v>728</v>
      </c>
      <c r="B200" s="703" t="s">
        <v>331</v>
      </c>
      <c r="C200" s="703" t="s">
        <v>390</v>
      </c>
      <c r="D200" s="703" t="s">
        <v>391</v>
      </c>
      <c r="E200" s="703" t="s">
        <v>334</v>
      </c>
      <c r="F200" s="703" t="s">
        <v>335</v>
      </c>
      <c r="G200" s="703" t="s">
        <v>396</v>
      </c>
      <c r="H200" s="703" t="s">
        <v>334</v>
      </c>
      <c r="I200" s="703" t="s">
        <v>334</v>
      </c>
      <c r="J200" s="703" t="s">
        <v>337</v>
      </c>
      <c r="K200" s="704">
        <v>0</v>
      </c>
      <c r="L200" s="703" t="s">
        <v>334</v>
      </c>
      <c r="M200" s="702">
        <v>42886</v>
      </c>
      <c r="N200" s="702">
        <v>43205</v>
      </c>
      <c r="O200" s="703" t="s">
        <v>338</v>
      </c>
      <c r="P200" s="20">
        <v>2366.89</v>
      </c>
      <c r="Q200" s="20">
        <v>0</v>
      </c>
      <c r="R200" s="20">
        <v>0</v>
      </c>
      <c r="S200" s="20">
        <v>0</v>
      </c>
      <c r="T200" s="20">
        <v>2366.89</v>
      </c>
      <c r="U200" s="20">
        <v>2077.59</v>
      </c>
      <c r="V200" s="20">
        <v>-289.3</v>
      </c>
      <c r="W200" s="20">
        <v>-368.2</v>
      </c>
      <c r="X200" s="20">
        <v>-78.900000000000006</v>
      </c>
      <c r="Y200" s="20">
        <v>0</v>
      </c>
      <c r="Z200" s="20">
        <v>0</v>
      </c>
      <c r="AA200" s="20">
        <v>0</v>
      </c>
      <c r="AB200" s="20">
        <v>1998.69</v>
      </c>
      <c r="AC200" t="s">
        <v>188</v>
      </c>
      <c r="AD200" t="s">
        <v>290</v>
      </c>
      <c r="AE200" s="702">
        <f t="shared" si="15"/>
        <v>43252</v>
      </c>
      <c r="AF200" s="289">
        <v>3931.5257508305344</v>
      </c>
      <c r="AG200">
        <f t="shared" si="16"/>
        <v>360</v>
      </c>
      <c r="AH200" s="289">
        <f t="shared" si="17"/>
        <v>10.920904863418151</v>
      </c>
      <c r="AJ200" s="289">
        <f t="shared" si="18"/>
        <v>54</v>
      </c>
      <c r="AK200" s="289">
        <f t="shared" si="19"/>
        <v>589.72886262458019</v>
      </c>
    </row>
    <row r="201" spans="1:37">
      <c r="A201" s="703" t="s">
        <v>729</v>
      </c>
      <c r="B201" s="703" t="s">
        <v>331</v>
      </c>
      <c r="C201" s="703" t="s">
        <v>390</v>
      </c>
      <c r="D201" s="703" t="s">
        <v>391</v>
      </c>
      <c r="E201" s="703" t="s">
        <v>334</v>
      </c>
      <c r="F201" s="703" t="s">
        <v>335</v>
      </c>
      <c r="G201" s="703" t="s">
        <v>404</v>
      </c>
      <c r="H201" s="703" t="s">
        <v>334</v>
      </c>
      <c r="I201" s="703" t="s">
        <v>334</v>
      </c>
      <c r="J201" s="703" t="s">
        <v>337</v>
      </c>
      <c r="K201" s="704">
        <v>0</v>
      </c>
      <c r="L201" s="703" t="s">
        <v>334</v>
      </c>
      <c r="M201" s="702">
        <v>42886</v>
      </c>
      <c r="N201" s="702">
        <v>43205</v>
      </c>
      <c r="O201" s="703" t="s">
        <v>338</v>
      </c>
      <c r="P201" s="20">
        <v>15828.35</v>
      </c>
      <c r="Q201" s="20">
        <v>0</v>
      </c>
      <c r="R201" s="20">
        <v>0</v>
      </c>
      <c r="S201" s="20">
        <v>0</v>
      </c>
      <c r="T201" s="20">
        <v>15828.35</v>
      </c>
      <c r="U201" s="20">
        <v>13893.78</v>
      </c>
      <c r="V201" s="20">
        <v>-1934.57</v>
      </c>
      <c r="W201" s="20">
        <v>-2462.1799999999998</v>
      </c>
      <c r="X201" s="20">
        <v>-527.61</v>
      </c>
      <c r="Y201" s="20">
        <v>0</v>
      </c>
      <c r="Z201" s="20">
        <v>0</v>
      </c>
      <c r="AA201" s="20">
        <v>0</v>
      </c>
      <c r="AB201" s="20">
        <v>13366.17</v>
      </c>
      <c r="AC201" t="s">
        <v>188</v>
      </c>
      <c r="AD201" t="s">
        <v>290</v>
      </c>
      <c r="AE201" s="702">
        <f t="shared" si="15"/>
        <v>43252</v>
      </c>
      <c r="AF201" s="289">
        <v>26291.70160766174</v>
      </c>
      <c r="AG201">
        <f t="shared" si="16"/>
        <v>360</v>
      </c>
      <c r="AH201" s="289">
        <f t="shared" si="17"/>
        <v>73.032504465727058</v>
      </c>
      <c r="AJ201" s="289">
        <f t="shared" si="18"/>
        <v>54</v>
      </c>
      <c r="AK201" s="289">
        <f t="shared" si="19"/>
        <v>3943.7552411492611</v>
      </c>
    </row>
    <row r="202" spans="1:37">
      <c r="A202" s="703" t="s">
        <v>730</v>
      </c>
      <c r="B202" s="703" t="s">
        <v>331</v>
      </c>
      <c r="C202" s="703" t="s">
        <v>390</v>
      </c>
      <c r="D202" s="703" t="s">
        <v>391</v>
      </c>
      <c r="E202" s="703" t="s">
        <v>334</v>
      </c>
      <c r="F202" s="703" t="s">
        <v>335</v>
      </c>
      <c r="G202" s="703" t="s">
        <v>412</v>
      </c>
      <c r="H202" s="703" t="s">
        <v>334</v>
      </c>
      <c r="I202" s="703" t="s">
        <v>334</v>
      </c>
      <c r="J202" s="703" t="s">
        <v>337</v>
      </c>
      <c r="K202" s="704">
        <v>0</v>
      </c>
      <c r="L202" s="703" t="s">
        <v>334</v>
      </c>
      <c r="M202" s="702">
        <v>40574</v>
      </c>
      <c r="N202" s="702">
        <v>43205</v>
      </c>
      <c r="O202" s="703" t="s">
        <v>338</v>
      </c>
      <c r="P202" s="20">
        <v>13160.64</v>
      </c>
      <c r="Q202" s="20">
        <v>0</v>
      </c>
      <c r="R202" s="20">
        <v>0</v>
      </c>
      <c r="S202" s="20">
        <v>0</v>
      </c>
      <c r="T202" s="20">
        <v>13160.64</v>
      </c>
      <c r="U202" s="20">
        <v>11552.11</v>
      </c>
      <c r="V202" s="20">
        <v>-1608.53</v>
      </c>
      <c r="W202" s="20">
        <v>-2047.22</v>
      </c>
      <c r="X202" s="20">
        <v>-438.69</v>
      </c>
      <c r="Y202" s="20">
        <v>0</v>
      </c>
      <c r="Z202" s="20">
        <v>0</v>
      </c>
      <c r="AA202" s="20">
        <v>0</v>
      </c>
      <c r="AB202" s="20">
        <v>11113.42</v>
      </c>
      <c r="AC202" t="s">
        <v>188</v>
      </c>
      <c r="AD202" t="s">
        <v>290</v>
      </c>
      <c r="AE202" s="702">
        <f t="shared" si="15"/>
        <v>43252</v>
      </c>
      <c r="AF202" s="289">
        <v>21860.498399761022</v>
      </c>
      <c r="AG202">
        <f t="shared" si="16"/>
        <v>360</v>
      </c>
      <c r="AH202" s="289">
        <f t="shared" si="17"/>
        <v>60.723606666002837</v>
      </c>
      <c r="AJ202" s="289">
        <f t="shared" si="18"/>
        <v>54</v>
      </c>
      <c r="AK202" s="289">
        <f t="shared" si="19"/>
        <v>3279.0747599641531</v>
      </c>
    </row>
    <row r="203" spans="1:37">
      <c r="A203" s="703" t="s">
        <v>731</v>
      </c>
      <c r="B203" s="703" t="s">
        <v>331</v>
      </c>
      <c r="C203" s="703" t="s">
        <v>390</v>
      </c>
      <c r="D203" s="703" t="s">
        <v>391</v>
      </c>
      <c r="E203" s="703" t="s">
        <v>334</v>
      </c>
      <c r="F203" s="703" t="s">
        <v>335</v>
      </c>
      <c r="G203" s="703" t="s">
        <v>538</v>
      </c>
      <c r="H203" s="703" t="s">
        <v>334</v>
      </c>
      <c r="I203" s="703" t="s">
        <v>334</v>
      </c>
      <c r="J203" s="703" t="s">
        <v>337</v>
      </c>
      <c r="K203" s="704">
        <v>0</v>
      </c>
      <c r="L203" s="703" t="s">
        <v>334</v>
      </c>
      <c r="M203" s="702">
        <v>40574</v>
      </c>
      <c r="N203" s="702">
        <v>43205</v>
      </c>
      <c r="O203" s="703" t="s">
        <v>338</v>
      </c>
      <c r="P203" s="20">
        <v>6954.2</v>
      </c>
      <c r="Q203" s="20">
        <v>0</v>
      </c>
      <c r="R203" s="20">
        <v>0</v>
      </c>
      <c r="S203" s="20">
        <v>0</v>
      </c>
      <c r="T203" s="20">
        <v>6954.2</v>
      </c>
      <c r="U203" s="20">
        <v>6104.23</v>
      </c>
      <c r="V203" s="20">
        <v>-849.97</v>
      </c>
      <c r="W203" s="20">
        <v>-1081.78</v>
      </c>
      <c r="X203" s="20">
        <v>-231.81</v>
      </c>
      <c r="Y203" s="20">
        <v>0</v>
      </c>
      <c r="Z203" s="20">
        <v>0</v>
      </c>
      <c r="AA203" s="20">
        <v>0</v>
      </c>
      <c r="AB203" s="20">
        <v>5872.42</v>
      </c>
      <c r="AC203" t="s">
        <v>188</v>
      </c>
      <c r="AD203" t="s">
        <v>290</v>
      </c>
      <c r="AE203" s="702">
        <f t="shared" si="15"/>
        <v>43252</v>
      </c>
      <c r="AF203" s="289">
        <v>11551.283066144055</v>
      </c>
      <c r="AG203">
        <f t="shared" si="16"/>
        <v>360</v>
      </c>
      <c r="AH203" s="289">
        <f t="shared" si="17"/>
        <v>32.08689740595571</v>
      </c>
      <c r="AJ203" s="289">
        <f t="shared" si="18"/>
        <v>54</v>
      </c>
      <c r="AK203" s="289">
        <f t="shared" si="19"/>
        <v>1732.6924599216084</v>
      </c>
    </row>
    <row r="204" spans="1:37">
      <c r="A204" s="703" t="s">
        <v>732</v>
      </c>
      <c r="B204" s="703" t="s">
        <v>331</v>
      </c>
      <c r="C204" s="703" t="s">
        <v>390</v>
      </c>
      <c r="D204" s="703" t="s">
        <v>391</v>
      </c>
      <c r="E204" s="703" t="s">
        <v>334</v>
      </c>
      <c r="F204" s="703" t="s">
        <v>335</v>
      </c>
      <c r="G204" s="703" t="s">
        <v>434</v>
      </c>
      <c r="H204" s="703" t="s">
        <v>334</v>
      </c>
      <c r="I204" s="703" t="s">
        <v>334</v>
      </c>
      <c r="J204" s="703" t="s">
        <v>337</v>
      </c>
      <c r="K204" s="704">
        <v>0</v>
      </c>
      <c r="L204" s="703" t="s">
        <v>334</v>
      </c>
      <c r="M204" s="702">
        <v>40574</v>
      </c>
      <c r="N204" s="702">
        <v>43205</v>
      </c>
      <c r="O204" s="703" t="s">
        <v>338</v>
      </c>
      <c r="P204" s="20">
        <v>637.45000000000005</v>
      </c>
      <c r="Q204" s="20">
        <v>0</v>
      </c>
      <c r="R204" s="20">
        <v>0</v>
      </c>
      <c r="S204" s="20">
        <v>0</v>
      </c>
      <c r="T204" s="20">
        <v>637.45000000000005</v>
      </c>
      <c r="U204" s="20">
        <v>559.53</v>
      </c>
      <c r="V204" s="20">
        <v>-77.92</v>
      </c>
      <c r="W204" s="20">
        <v>-99.17</v>
      </c>
      <c r="X204" s="20">
        <v>-21.25</v>
      </c>
      <c r="Y204" s="20">
        <v>0</v>
      </c>
      <c r="Z204" s="20">
        <v>0</v>
      </c>
      <c r="AA204" s="20">
        <v>0</v>
      </c>
      <c r="AB204" s="20">
        <v>538.28</v>
      </c>
      <c r="AC204" t="s">
        <v>188</v>
      </c>
      <c r="AD204" t="s">
        <v>290</v>
      </c>
      <c r="AE204" s="702">
        <f t="shared" si="15"/>
        <v>43252</v>
      </c>
      <c r="AF204" s="289">
        <v>1058.8371617890668</v>
      </c>
      <c r="AG204">
        <f t="shared" si="16"/>
        <v>360</v>
      </c>
      <c r="AH204" s="289">
        <f t="shared" si="17"/>
        <v>2.9412143383029634</v>
      </c>
      <c r="AJ204" s="289">
        <f t="shared" si="18"/>
        <v>54</v>
      </c>
      <c r="AK204" s="289">
        <f t="shared" si="19"/>
        <v>158.82557426836001</v>
      </c>
    </row>
    <row r="205" spans="1:37">
      <c r="A205" s="703" t="s">
        <v>733</v>
      </c>
      <c r="B205" s="703" t="s">
        <v>331</v>
      </c>
      <c r="C205" s="703" t="s">
        <v>390</v>
      </c>
      <c r="D205" s="703" t="s">
        <v>391</v>
      </c>
      <c r="E205" s="703" t="s">
        <v>334</v>
      </c>
      <c r="F205" s="703" t="s">
        <v>335</v>
      </c>
      <c r="G205" s="703" t="s">
        <v>548</v>
      </c>
      <c r="H205" s="703" t="s">
        <v>334</v>
      </c>
      <c r="I205" s="703" t="s">
        <v>334</v>
      </c>
      <c r="J205" s="703" t="s">
        <v>337</v>
      </c>
      <c r="K205" s="704">
        <v>0</v>
      </c>
      <c r="L205" s="703" t="s">
        <v>334</v>
      </c>
      <c r="M205" s="702">
        <v>42886</v>
      </c>
      <c r="N205" s="702">
        <v>43205</v>
      </c>
      <c r="O205" s="703" t="s">
        <v>338</v>
      </c>
      <c r="P205" s="20">
        <v>8764.75</v>
      </c>
      <c r="Q205" s="20">
        <v>0</v>
      </c>
      <c r="R205" s="20">
        <v>0</v>
      </c>
      <c r="S205" s="20">
        <v>0</v>
      </c>
      <c r="T205" s="20">
        <v>8764.75</v>
      </c>
      <c r="U205" s="20">
        <v>7693.5</v>
      </c>
      <c r="V205" s="20">
        <v>-1071.25</v>
      </c>
      <c r="W205" s="20">
        <v>-1363.41</v>
      </c>
      <c r="X205" s="20">
        <v>-292.16000000000003</v>
      </c>
      <c r="Y205" s="20">
        <v>0</v>
      </c>
      <c r="Z205" s="20">
        <v>0</v>
      </c>
      <c r="AA205" s="20">
        <v>0</v>
      </c>
      <c r="AB205" s="20">
        <v>7401.34</v>
      </c>
      <c r="AC205" t="s">
        <v>188</v>
      </c>
      <c r="AD205" t="s">
        <v>290</v>
      </c>
      <c r="AE205" s="702">
        <f t="shared" si="15"/>
        <v>43252</v>
      </c>
      <c r="AF205" s="289">
        <v>14558.6995274778</v>
      </c>
      <c r="AG205">
        <f t="shared" si="16"/>
        <v>360</v>
      </c>
      <c r="AH205" s="289">
        <f t="shared" si="17"/>
        <v>40.440832020771666</v>
      </c>
      <c r="AJ205" s="289">
        <f t="shared" si="18"/>
        <v>54</v>
      </c>
      <c r="AK205" s="289">
        <f t="shared" si="19"/>
        <v>2183.8049291216698</v>
      </c>
    </row>
    <row r="206" spans="1:37">
      <c r="A206" s="703" t="s">
        <v>734</v>
      </c>
      <c r="B206" s="703" t="s">
        <v>331</v>
      </c>
      <c r="C206" s="703" t="s">
        <v>390</v>
      </c>
      <c r="D206" s="703" t="s">
        <v>391</v>
      </c>
      <c r="E206" s="703" t="s">
        <v>334</v>
      </c>
      <c r="F206" s="703" t="s">
        <v>335</v>
      </c>
      <c r="G206" s="703" t="s">
        <v>436</v>
      </c>
      <c r="H206" s="703" t="s">
        <v>334</v>
      </c>
      <c r="I206" s="703" t="s">
        <v>334</v>
      </c>
      <c r="J206" s="703" t="s">
        <v>337</v>
      </c>
      <c r="K206" s="704">
        <v>0</v>
      </c>
      <c r="L206" s="703" t="s">
        <v>334</v>
      </c>
      <c r="M206" s="702">
        <v>40574</v>
      </c>
      <c r="N206" s="702">
        <v>43205</v>
      </c>
      <c r="O206" s="703" t="s">
        <v>338</v>
      </c>
      <c r="P206" s="20">
        <v>9168.41</v>
      </c>
      <c r="Q206" s="20">
        <v>0</v>
      </c>
      <c r="R206" s="20">
        <v>0</v>
      </c>
      <c r="S206" s="20">
        <v>0</v>
      </c>
      <c r="T206" s="20">
        <v>9168.41</v>
      </c>
      <c r="U206" s="20">
        <v>8047.84</v>
      </c>
      <c r="V206" s="20">
        <v>-1120.57</v>
      </c>
      <c r="W206" s="20">
        <v>-1426.18</v>
      </c>
      <c r="X206" s="20">
        <v>-305.61</v>
      </c>
      <c r="Y206" s="20">
        <v>0</v>
      </c>
      <c r="Z206" s="20">
        <v>0</v>
      </c>
      <c r="AA206" s="20">
        <v>0</v>
      </c>
      <c r="AB206" s="20">
        <v>7742.23</v>
      </c>
      <c r="AC206" t="s">
        <v>188</v>
      </c>
      <c r="AD206" t="s">
        <v>290</v>
      </c>
      <c r="AE206" s="702">
        <f t="shared" si="15"/>
        <v>43252</v>
      </c>
      <c r="AF206" s="289">
        <v>15229.199501950739</v>
      </c>
      <c r="AG206">
        <f t="shared" si="16"/>
        <v>360</v>
      </c>
      <c r="AH206" s="289">
        <f t="shared" si="17"/>
        <v>42.303331949863164</v>
      </c>
      <c r="AJ206" s="289">
        <f t="shared" si="18"/>
        <v>54</v>
      </c>
      <c r="AK206" s="289">
        <f t="shared" si="19"/>
        <v>2284.379925292611</v>
      </c>
    </row>
    <row r="207" spans="1:37">
      <c r="A207" s="703" t="s">
        <v>735</v>
      </c>
      <c r="B207" s="703" t="s">
        <v>331</v>
      </c>
      <c r="C207" s="703" t="s">
        <v>390</v>
      </c>
      <c r="D207" s="703" t="s">
        <v>391</v>
      </c>
      <c r="E207" s="703" t="s">
        <v>334</v>
      </c>
      <c r="F207" s="703" t="s">
        <v>335</v>
      </c>
      <c r="G207" s="703" t="s">
        <v>440</v>
      </c>
      <c r="H207" s="703" t="s">
        <v>334</v>
      </c>
      <c r="I207" s="703" t="s">
        <v>334</v>
      </c>
      <c r="J207" s="703" t="s">
        <v>337</v>
      </c>
      <c r="K207" s="704">
        <v>0</v>
      </c>
      <c r="L207" s="703" t="s">
        <v>334</v>
      </c>
      <c r="M207" s="702">
        <v>42886</v>
      </c>
      <c r="N207" s="702">
        <v>43205</v>
      </c>
      <c r="O207" s="703" t="s">
        <v>338</v>
      </c>
      <c r="P207" s="20">
        <v>7847.76</v>
      </c>
      <c r="Q207" s="20">
        <v>0</v>
      </c>
      <c r="R207" s="20">
        <v>0</v>
      </c>
      <c r="S207" s="20">
        <v>0</v>
      </c>
      <c r="T207" s="20">
        <v>7847.76</v>
      </c>
      <c r="U207" s="20">
        <v>6888.6</v>
      </c>
      <c r="V207" s="20">
        <v>-959.16</v>
      </c>
      <c r="W207" s="20">
        <v>-1220.75</v>
      </c>
      <c r="X207" s="20">
        <v>-261.58999999999997</v>
      </c>
      <c r="Y207" s="20">
        <v>0</v>
      </c>
      <c r="Z207" s="20">
        <v>0</v>
      </c>
      <c r="AA207" s="20">
        <v>0</v>
      </c>
      <c r="AB207" s="20">
        <v>6627.01</v>
      </c>
      <c r="AC207" t="s">
        <v>188</v>
      </c>
      <c r="AD207" t="s">
        <v>290</v>
      </c>
      <c r="AE207" s="702">
        <f t="shared" si="15"/>
        <v>43252</v>
      </c>
      <c r="AF207" s="289">
        <v>13035.532080636547</v>
      </c>
      <c r="AG207">
        <f t="shared" si="16"/>
        <v>360</v>
      </c>
      <c r="AH207" s="289">
        <f t="shared" si="17"/>
        <v>36.20981133510152</v>
      </c>
      <c r="AJ207" s="289">
        <f t="shared" si="18"/>
        <v>54</v>
      </c>
      <c r="AK207" s="289">
        <f t="shared" si="19"/>
        <v>1955.3298120954821</v>
      </c>
    </row>
    <row r="208" spans="1:37">
      <c r="A208" s="703" t="s">
        <v>736</v>
      </c>
      <c r="B208" s="703" t="s">
        <v>331</v>
      </c>
      <c r="C208" s="703" t="s">
        <v>390</v>
      </c>
      <c r="D208" s="703" t="s">
        <v>391</v>
      </c>
      <c r="E208" s="703" t="s">
        <v>334</v>
      </c>
      <c r="F208" s="703" t="s">
        <v>335</v>
      </c>
      <c r="G208" s="703" t="s">
        <v>737</v>
      </c>
      <c r="H208" s="703" t="s">
        <v>334</v>
      </c>
      <c r="I208" s="703" t="s">
        <v>334</v>
      </c>
      <c r="J208" s="703" t="s">
        <v>337</v>
      </c>
      <c r="K208" s="704">
        <v>0</v>
      </c>
      <c r="L208" s="703" t="s">
        <v>334</v>
      </c>
      <c r="M208" s="702">
        <v>42886</v>
      </c>
      <c r="N208" s="702">
        <v>43205</v>
      </c>
      <c r="O208" s="703" t="s">
        <v>338</v>
      </c>
      <c r="P208" s="20">
        <v>24489.01</v>
      </c>
      <c r="Q208" s="20">
        <v>0</v>
      </c>
      <c r="R208" s="20">
        <v>0</v>
      </c>
      <c r="S208" s="20">
        <v>0</v>
      </c>
      <c r="T208" s="20">
        <v>24489.01</v>
      </c>
      <c r="U208" s="20">
        <v>21495.91</v>
      </c>
      <c r="V208" s="20">
        <v>-2993.1</v>
      </c>
      <c r="W208" s="20">
        <v>-3809.4</v>
      </c>
      <c r="X208" s="20">
        <v>-816.3</v>
      </c>
      <c r="Y208" s="20">
        <v>0</v>
      </c>
      <c r="Z208" s="20">
        <v>0</v>
      </c>
      <c r="AA208" s="20">
        <v>0</v>
      </c>
      <c r="AB208" s="20">
        <v>20679.61</v>
      </c>
      <c r="AC208" t="s">
        <v>188</v>
      </c>
      <c r="AD208" t="s">
        <v>290</v>
      </c>
      <c r="AE208" s="702">
        <f t="shared" si="15"/>
        <v>43252</v>
      </c>
      <c r="AF208" s="289">
        <v>40677.502303590984</v>
      </c>
      <c r="AG208">
        <f t="shared" si="16"/>
        <v>360</v>
      </c>
      <c r="AH208" s="289">
        <f t="shared" si="17"/>
        <v>112.9930619544194</v>
      </c>
      <c r="AJ208" s="289">
        <f t="shared" si="18"/>
        <v>54</v>
      </c>
      <c r="AK208" s="289">
        <f t="shared" si="19"/>
        <v>6101.6253455386477</v>
      </c>
    </row>
    <row r="209" spans="1:37">
      <c r="A209" s="703" t="s">
        <v>738</v>
      </c>
      <c r="B209" s="703" t="s">
        <v>331</v>
      </c>
      <c r="C209" s="703" t="s">
        <v>390</v>
      </c>
      <c r="D209" s="703" t="s">
        <v>391</v>
      </c>
      <c r="E209" s="703" t="s">
        <v>334</v>
      </c>
      <c r="F209" s="703" t="s">
        <v>335</v>
      </c>
      <c r="G209" s="703" t="s">
        <v>432</v>
      </c>
      <c r="H209" s="703" t="s">
        <v>334</v>
      </c>
      <c r="I209" s="703" t="s">
        <v>334</v>
      </c>
      <c r="J209" s="703" t="s">
        <v>337</v>
      </c>
      <c r="K209" s="704">
        <v>0</v>
      </c>
      <c r="L209" s="703" t="s">
        <v>334</v>
      </c>
      <c r="M209" s="702">
        <v>42886</v>
      </c>
      <c r="N209" s="702">
        <v>43205</v>
      </c>
      <c r="O209" s="703" t="s">
        <v>338</v>
      </c>
      <c r="P209" s="20">
        <v>240861.01</v>
      </c>
      <c r="Q209" s="20">
        <v>0</v>
      </c>
      <c r="R209" s="20">
        <v>0</v>
      </c>
      <c r="S209" s="20">
        <v>0</v>
      </c>
      <c r="T209" s="20">
        <v>240861.01</v>
      </c>
      <c r="U209" s="20">
        <v>211422.44</v>
      </c>
      <c r="V209" s="20">
        <v>-29438.57</v>
      </c>
      <c r="W209" s="20">
        <v>-37467.269999999997</v>
      </c>
      <c r="X209" s="20">
        <v>-8028.7</v>
      </c>
      <c r="Y209" s="20">
        <v>0</v>
      </c>
      <c r="Z209" s="20">
        <v>0</v>
      </c>
      <c r="AA209" s="20">
        <v>0</v>
      </c>
      <c r="AB209" s="20">
        <v>203393.74</v>
      </c>
      <c r="AC209" t="s">
        <v>188</v>
      </c>
      <c r="AD209" t="s">
        <v>290</v>
      </c>
      <c r="AE209" s="702">
        <f t="shared" si="15"/>
        <v>43252</v>
      </c>
      <c r="AF209" s="289">
        <v>400082.49778656842</v>
      </c>
      <c r="AG209">
        <f t="shared" si="16"/>
        <v>360</v>
      </c>
      <c r="AH209" s="289">
        <f t="shared" si="17"/>
        <v>1111.3402716293567</v>
      </c>
      <c r="AJ209" s="289">
        <f t="shared" si="18"/>
        <v>54</v>
      </c>
      <c r="AK209" s="289">
        <f t="shared" si="19"/>
        <v>60012.374667985263</v>
      </c>
    </row>
    <row r="210" spans="1:37">
      <c r="A210" s="703" t="s">
        <v>739</v>
      </c>
      <c r="B210" s="703" t="s">
        <v>331</v>
      </c>
      <c r="C210" s="703" t="s">
        <v>390</v>
      </c>
      <c r="D210" s="703" t="s">
        <v>391</v>
      </c>
      <c r="E210" s="703" t="s">
        <v>334</v>
      </c>
      <c r="F210" s="703" t="s">
        <v>335</v>
      </c>
      <c r="G210" s="703" t="s">
        <v>740</v>
      </c>
      <c r="H210" s="703" t="s">
        <v>334</v>
      </c>
      <c r="I210" s="703" t="s">
        <v>334</v>
      </c>
      <c r="J210" s="703" t="s">
        <v>337</v>
      </c>
      <c r="K210" s="704">
        <v>0</v>
      </c>
      <c r="L210" s="703" t="s">
        <v>334</v>
      </c>
      <c r="M210" s="702">
        <v>40574</v>
      </c>
      <c r="N210" s="702">
        <v>43205</v>
      </c>
      <c r="O210" s="703" t="s">
        <v>338</v>
      </c>
      <c r="P210" s="20">
        <v>7233.76</v>
      </c>
      <c r="Q210" s="20">
        <v>0</v>
      </c>
      <c r="R210" s="20">
        <v>0</v>
      </c>
      <c r="S210" s="20">
        <v>0</v>
      </c>
      <c r="T210" s="20">
        <v>7233.76</v>
      </c>
      <c r="U210" s="20">
        <v>6349.62</v>
      </c>
      <c r="V210" s="20">
        <v>-884.14</v>
      </c>
      <c r="W210" s="20">
        <v>-1125.27</v>
      </c>
      <c r="X210" s="20">
        <v>-241.13</v>
      </c>
      <c r="Y210" s="20">
        <v>0</v>
      </c>
      <c r="Z210" s="20">
        <v>0</v>
      </c>
      <c r="AA210" s="20">
        <v>0</v>
      </c>
      <c r="AB210" s="20">
        <v>6108.49</v>
      </c>
      <c r="AC210" t="s">
        <v>188</v>
      </c>
      <c r="AD210" t="s">
        <v>290</v>
      </c>
      <c r="AE210" s="702">
        <f t="shared" si="15"/>
        <v>43252</v>
      </c>
      <c r="AF210" s="289">
        <v>12015.646572222575</v>
      </c>
      <c r="AG210">
        <f t="shared" si="16"/>
        <v>360</v>
      </c>
      <c r="AH210" s="289">
        <f t="shared" si="17"/>
        <v>33.376796033951599</v>
      </c>
      <c r="AJ210" s="289">
        <f t="shared" si="18"/>
        <v>54</v>
      </c>
      <c r="AK210" s="289">
        <f t="shared" si="19"/>
        <v>1802.3469858333863</v>
      </c>
    </row>
    <row r="211" spans="1:37">
      <c r="A211" s="703" t="s">
        <v>741</v>
      </c>
      <c r="B211" s="703" t="s">
        <v>331</v>
      </c>
      <c r="C211" s="703" t="s">
        <v>390</v>
      </c>
      <c r="D211" s="703" t="s">
        <v>391</v>
      </c>
      <c r="E211" s="703" t="s">
        <v>334</v>
      </c>
      <c r="F211" s="703" t="s">
        <v>335</v>
      </c>
      <c r="G211" s="703" t="s">
        <v>742</v>
      </c>
      <c r="H211" s="703" t="s">
        <v>334</v>
      </c>
      <c r="I211" s="703" t="s">
        <v>334</v>
      </c>
      <c r="J211" s="703" t="s">
        <v>337</v>
      </c>
      <c r="K211" s="704">
        <v>0</v>
      </c>
      <c r="L211" s="703" t="s">
        <v>334</v>
      </c>
      <c r="M211" s="702">
        <v>42886</v>
      </c>
      <c r="N211" s="702">
        <v>43205</v>
      </c>
      <c r="O211" s="703" t="s">
        <v>338</v>
      </c>
      <c r="P211" s="20">
        <v>6413.21</v>
      </c>
      <c r="Q211" s="20">
        <v>0</v>
      </c>
      <c r="R211" s="20">
        <v>0</v>
      </c>
      <c r="S211" s="20">
        <v>0</v>
      </c>
      <c r="T211" s="20">
        <v>6413.21</v>
      </c>
      <c r="U211" s="20">
        <v>5629.38</v>
      </c>
      <c r="V211" s="20">
        <v>-783.83</v>
      </c>
      <c r="W211" s="20">
        <v>-997.6</v>
      </c>
      <c r="X211" s="20">
        <v>-213.77</v>
      </c>
      <c r="Y211" s="20">
        <v>0</v>
      </c>
      <c r="Z211" s="20">
        <v>0</v>
      </c>
      <c r="AA211" s="20">
        <v>0</v>
      </c>
      <c r="AB211" s="20">
        <v>5415.61</v>
      </c>
      <c r="AC211" t="s">
        <v>188</v>
      </c>
      <c r="AD211" t="s">
        <v>290</v>
      </c>
      <c r="AE211" s="702">
        <f t="shared" si="15"/>
        <v>43252</v>
      </c>
      <c r="AF211" s="289">
        <v>10652.670914357614</v>
      </c>
      <c r="AG211">
        <f t="shared" si="16"/>
        <v>360</v>
      </c>
      <c r="AH211" s="289">
        <f t="shared" si="17"/>
        <v>29.59075253988226</v>
      </c>
      <c r="AJ211" s="289">
        <f t="shared" si="18"/>
        <v>54</v>
      </c>
      <c r="AK211" s="289">
        <f t="shared" si="19"/>
        <v>1597.900637153642</v>
      </c>
    </row>
    <row r="212" spans="1:37">
      <c r="A212" s="703" t="s">
        <v>743</v>
      </c>
      <c r="B212" s="703" t="s">
        <v>331</v>
      </c>
      <c r="C212" s="703" t="s">
        <v>390</v>
      </c>
      <c r="D212" s="703" t="s">
        <v>391</v>
      </c>
      <c r="E212" s="703" t="s">
        <v>334</v>
      </c>
      <c r="F212" s="703" t="s">
        <v>335</v>
      </c>
      <c r="G212" s="703" t="s">
        <v>744</v>
      </c>
      <c r="H212" s="703" t="s">
        <v>334</v>
      </c>
      <c r="I212" s="703" t="s">
        <v>334</v>
      </c>
      <c r="J212" s="703" t="s">
        <v>337</v>
      </c>
      <c r="K212" s="704">
        <v>0</v>
      </c>
      <c r="L212" s="703" t="s">
        <v>334</v>
      </c>
      <c r="M212" s="702">
        <v>42886</v>
      </c>
      <c r="N212" s="702">
        <v>43205</v>
      </c>
      <c r="O212" s="703" t="s">
        <v>338</v>
      </c>
      <c r="P212" s="20">
        <v>19496.439999999999</v>
      </c>
      <c r="Q212" s="20">
        <v>0</v>
      </c>
      <c r="R212" s="20">
        <v>0</v>
      </c>
      <c r="S212" s="20">
        <v>0</v>
      </c>
      <c r="T212" s="20">
        <v>19496.439999999999</v>
      </c>
      <c r="U212" s="20">
        <v>17113.55</v>
      </c>
      <c r="V212" s="20">
        <v>-2382.89</v>
      </c>
      <c r="W212" s="20">
        <v>-3032.77</v>
      </c>
      <c r="X212" s="20">
        <v>-649.88</v>
      </c>
      <c r="Y212" s="20">
        <v>0</v>
      </c>
      <c r="Z212" s="20">
        <v>0</v>
      </c>
      <c r="AA212" s="20">
        <v>0</v>
      </c>
      <c r="AB212" s="20">
        <v>16463.669999999998</v>
      </c>
      <c r="AC212" t="s">
        <v>188</v>
      </c>
      <c r="AD212" t="s">
        <v>290</v>
      </c>
      <c r="AE212" s="702">
        <f t="shared" si="15"/>
        <v>43252</v>
      </c>
      <c r="AF212" s="289">
        <v>32384.587331697909</v>
      </c>
      <c r="AG212">
        <f t="shared" si="16"/>
        <v>360</v>
      </c>
      <c r="AH212" s="289">
        <f t="shared" si="17"/>
        <v>89.95718703249419</v>
      </c>
      <c r="AJ212" s="289">
        <f t="shared" si="18"/>
        <v>54</v>
      </c>
      <c r="AK212" s="289">
        <f t="shared" si="19"/>
        <v>4857.6880997546859</v>
      </c>
    </row>
    <row r="213" spans="1:37">
      <c r="A213" s="703" t="s">
        <v>745</v>
      </c>
      <c r="B213" s="703" t="s">
        <v>331</v>
      </c>
      <c r="C213" s="703" t="s">
        <v>390</v>
      </c>
      <c r="D213" s="703" t="s">
        <v>391</v>
      </c>
      <c r="E213" s="703" t="s">
        <v>334</v>
      </c>
      <c r="F213" s="703" t="s">
        <v>335</v>
      </c>
      <c r="G213" s="703" t="s">
        <v>746</v>
      </c>
      <c r="H213" s="703" t="s">
        <v>334</v>
      </c>
      <c r="I213" s="703" t="s">
        <v>334</v>
      </c>
      <c r="J213" s="703" t="s">
        <v>337</v>
      </c>
      <c r="K213" s="704">
        <v>0</v>
      </c>
      <c r="L213" s="703" t="s">
        <v>334</v>
      </c>
      <c r="M213" s="702">
        <v>42886</v>
      </c>
      <c r="N213" s="702">
        <v>43205</v>
      </c>
      <c r="O213" s="703" t="s">
        <v>338</v>
      </c>
      <c r="P213" s="20">
        <v>27373.57</v>
      </c>
      <c r="Q213" s="20">
        <v>0</v>
      </c>
      <c r="R213" s="20">
        <v>0</v>
      </c>
      <c r="S213" s="20">
        <v>0</v>
      </c>
      <c r="T213" s="20">
        <v>27373.57</v>
      </c>
      <c r="U213" s="20">
        <v>24219.95</v>
      </c>
      <c r="V213" s="20">
        <v>-3153.62</v>
      </c>
      <c r="W213" s="20">
        <v>-4066.07</v>
      </c>
      <c r="X213" s="20">
        <v>-912.45</v>
      </c>
      <c r="Y213" s="20">
        <v>0</v>
      </c>
      <c r="Z213" s="20">
        <v>0</v>
      </c>
      <c r="AA213" s="20">
        <v>0</v>
      </c>
      <c r="AB213" s="20">
        <v>23307.5</v>
      </c>
      <c r="AC213" t="s">
        <v>188</v>
      </c>
      <c r="AD213" t="s">
        <v>290</v>
      </c>
      <c r="AE213" s="702">
        <f t="shared" si="15"/>
        <v>43252</v>
      </c>
      <c r="AF213" s="289">
        <v>45468.904489504035</v>
      </c>
      <c r="AG213">
        <f t="shared" si="16"/>
        <v>360</v>
      </c>
      <c r="AH213" s="289">
        <f t="shared" si="17"/>
        <v>126.30251247084455</v>
      </c>
      <c r="AJ213" s="289">
        <f t="shared" si="18"/>
        <v>54</v>
      </c>
      <c r="AK213" s="289">
        <f t="shared" si="19"/>
        <v>6820.3356734256058</v>
      </c>
    </row>
    <row r="214" spans="1:37">
      <c r="A214" s="703" t="s">
        <v>747</v>
      </c>
      <c r="B214" s="703" t="s">
        <v>331</v>
      </c>
      <c r="C214" s="703" t="s">
        <v>390</v>
      </c>
      <c r="D214" s="703" t="s">
        <v>391</v>
      </c>
      <c r="E214" s="703" t="s">
        <v>334</v>
      </c>
      <c r="F214" s="703" t="s">
        <v>335</v>
      </c>
      <c r="G214" s="703" t="s">
        <v>748</v>
      </c>
      <c r="H214" s="703" t="s">
        <v>334</v>
      </c>
      <c r="I214" s="703" t="s">
        <v>334</v>
      </c>
      <c r="J214" s="703" t="s">
        <v>337</v>
      </c>
      <c r="K214" s="704">
        <v>0</v>
      </c>
      <c r="L214" s="703" t="s">
        <v>334</v>
      </c>
      <c r="M214" s="702">
        <v>42886</v>
      </c>
      <c r="N214" s="702">
        <v>43205</v>
      </c>
      <c r="O214" s="703" t="s">
        <v>338</v>
      </c>
      <c r="P214" s="20">
        <v>3167.44</v>
      </c>
      <c r="Q214" s="20">
        <v>0</v>
      </c>
      <c r="R214" s="20">
        <v>0</v>
      </c>
      <c r="S214" s="20">
        <v>0</v>
      </c>
      <c r="T214" s="20">
        <v>3167.44</v>
      </c>
      <c r="U214" s="20">
        <v>2780.31</v>
      </c>
      <c r="V214" s="20">
        <v>-387.13</v>
      </c>
      <c r="W214" s="20">
        <v>-492.71</v>
      </c>
      <c r="X214" s="20">
        <v>-105.58</v>
      </c>
      <c r="Y214" s="20">
        <v>0</v>
      </c>
      <c r="Z214" s="20">
        <v>0</v>
      </c>
      <c r="AA214" s="20">
        <v>0</v>
      </c>
      <c r="AB214" s="20">
        <v>2674.73</v>
      </c>
      <c r="AC214" t="s">
        <v>188</v>
      </c>
      <c r="AD214" t="s">
        <v>290</v>
      </c>
      <c r="AE214" s="702">
        <f t="shared" si="15"/>
        <v>43252</v>
      </c>
      <c r="AF214" s="289">
        <v>5261.2803823627919</v>
      </c>
      <c r="AG214">
        <f t="shared" si="16"/>
        <v>360</v>
      </c>
      <c r="AH214" s="289">
        <f t="shared" si="17"/>
        <v>14.614667728785532</v>
      </c>
      <c r="AJ214" s="289">
        <f t="shared" si="18"/>
        <v>54</v>
      </c>
      <c r="AK214" s="289">
        <f t="shared" si="19"/>
        <v>789.19205735441869</v>
      </c>
    </row>
    <row r="215" spans="1:37">
      <c r="A215" s="703" t="s">
        <v>749</v>
      </c>
      <c r="B215" s="703" t="s">
        <v>331</v>
      </c>
      <c r="C215" s="703" t="s">
        <v>390</v>
      </c>
      <c r="D215" s="703" t="s">
        <v>391</v>
      </c>
      <c r="E215" s="703" t="s">
        <v>334</v>
      </c>
      <c r="F215" s="703" t="s">
        <v>335</v>
      </c>
      <c r="G215" s="703" t="s">
        <v>750</v>
      </c>
      <c r="H215" s="703" t="s">
        <v>334</v>
      </c>
      <c r="I215" s="703" t="s">
        <v>334</v>
      </c>
      <c r="J215" s="703" t="s">
        <v>337</v>
      </c>
      <c r="K215" s="704">
        <v>0</v>
      </c>
      <c r="L215" s="703" t="s">
        <v>334</v>
      </c>
      <c r="M215" s="702">
        <v>42886</v>
      </c>
      <c r="N215" s="702">
        <v>43205</v>
      </c>
      <c r="O215" s="703" t="s">
        <v>338</v>
      </c>
      <c r="P215" s="20">
        <v>28292.720000000001</v>
      </c>
      <c r="Q215" s="20">
        <v>0</v>
      </c>
      <c r="R215" s="20">
        <v>0</v>
      </c>
      <c r="S215" s="20">
        <v>0</v>
      </c>
      <c r="T215" s="20">
        <v>28292.720000000001</v>
      </c>
      <c r="U215" s="20">
        <v>24834.720000000001</v>
      </c>
      <c r="V215" s="20">
        <v>-3458</v>
      </c>
      <c r="W215" s="20">
        <v>-4401.09</v>
      </c>
      <c r="X215" s="20">
        <v>-943.09</v>
      </c>
      <c r="Y215" s="20">
        <v>0</v>
      </c>
      <c r="Z215" s="20">
        <v>0</v>
      </c>
      <c r="AA215" s="20">
        <v>0</v>
      </c>
      <c r="AB215" s="20">
        <v>23891.63</v>
      </c>
      <c r="AC215" t="s">
        <v>188</v>
      </c>
      <c r="AD215" t="s">
        <v>290</v>
      </c>
      <c r="AE215" s="702">
        <f t="shared" si="15"/>
        <v>43252</v>
      </c>
      <c r="AF215" s="289">
        <v>46995.659807189222</v>
      </c>
      <c r="AG215">
        <f t="shared" si="16"/>
        <v>360</v>
      </c>
      <c r="AH215" s="289">
        <f t="shared" si="17"/>
        <v>130.54349946441451</v>
      </c>
      <c r="AJ215" s="289">
        <f t="shared" si="18"/>
        <v>54</v>
      </c>
      <c r="AK215" s="289">
        <f t="shared" si="19"/>
        <v>7049.3489710783833</v>
      </c>
    </row>
    <row r="216" spans="1:37">
      <c r="A216" s="703" t="s">
        <v>751</v>
      </c>
      <c r="B216" s="703" t="s">
        <v>331</v>
      </c>
      <c r="C216" s="703" t="s">
        <v>390</v>
      </c>
      <c r="D216" s="703" t="s">
        <v>391</v>
      </c>
      <c r="E216" s="703" t="s">
        <v>334</v>
      </c>
      <c r="F216" s="703" t="s">
        <v>335</v>
      </c>
      <c r="G216" s="703" t="s">
        <v>752</v>
      </c>
      <c r="H216" s="703" t="s">
        <v>334</v>
      </c>
      <c r="I216" s="703" t="s">
        <v>334</v>
      </c>
      <c r="J216" s="703" t="s">
        <v>337</v>
      </c>
      <c r="K216" s="704">
        <v>0</v>
      </c>
      <c r="L216" s="703" t="s">
        <v>334</v>
      </c>
      <c r="M216" s="702">
        <v>42886</v>
      </c>
      <c r="N216" s="702">
        <v>43205</v>
      </c>
      <c r="O216" s="703" t="s">
        <v>338</v>
      </c>
      <c r="P216" s="20">
        <v>6375.89</v>
      </c>
      <c r="Q216" s="20">
        <v>0</v>
      </c>
      <c r="R216" s="20">
        <v>0</v>
      </c>
      <c r="S216" s="20">
        <v>0</v>
      </c>
      <c r="T216" s="20">
        <v>6375.89</v>
      </c>
      <c r="U216" s="20">
        <v>5596.61</v>
      </c>
      <c r="V216" s="20">
        <v>-779.28</v>
      </c>
      <c r="W216" s="20">
        <v>-991.81</v>
      </c>
      <c r="X216" s="20">
        <v>-212.53</v>
      </c>
      <c r="Y216" s="20">
        <v>0</v>
      </c>
      <c r="Z216" s="20">
        <v>0</v>
      </c>
      <c r="AA216" s="20">
        <v>0</v>
      </c>
      <c r="AB216" s="20">
        <v>5384.08</v>
      </c>
      <c r="AC216" t="s">
        <v>188</v>
      </c>
      <c r="AD216" t="s">
        <v>290</v>
      </c>
      <c r="AE216" s="702">
        <f t="shared" si="15"/>
        <v>43252</v>
      </c>
      <c r="AF216" s="289">
        <v>10590.680479220791</v>
      </c>
      <c r="AG216">
        <f t="shared" si="16"/>
        <v>360</v>
      </c>
      <c r="AH216" s="289">
        <f t="shared" si="17"/>
        <v>29.418556886724421</v>
      </c>
      <c r="AJ216" s="289">
        <f t="shared" si="18"/>
        <v>54</v>
      </c>
      <c r="AK216" s="289">
        <f t="shared" si="19"/>
        <v>1588.6020718831187</v>
      </c>
    </row>
    <row r="217" spans="1:37">
      <c r="A217" s="703" t="s">
        <v>753</v>
      </c>
      <c r="B217" s="703" t="s">
        <v>331</v>
      </c>
      <c r="C217" s="703" t="s">
        <v>390</v>
      </c>
      <c r="D217" s="703" t="s">
        <v>391</v>
      </c>
      <c r="E217" s="703" t="s">
        <v>334</v>
      </c>
      <c r="F217" s="703" t="s">
        <v>335</v>
      </c>
      <c r="G217" s="703" t="s">
        <v>754</v>
      </c>
      <c r="H217" s="703" t="s">
        <v>334</v>
      </c>
      <c r="I217" s="703" t="s">
        <v>334</v>
      </c>
      <c r="J217" s="703" t="s">
        <v>337</v>
      </c>
      <c r="K217" s="704">
        <v>0</v>
      </c>
      <c r="L217" s="703" t="s">
        <v>334</v>
      </c>
      <c r="M217" s="702">
        <v>40574</v>
      </c>
      <c r="N217" s="702">
        <v>43205</v>
      </c>
      <c r="O217" s="703" t="s">
        <v>338</v>
      </c>
      <c r="P217" s="20">
        <v>12337.3</v>
      </c>
      <c r="Q217" s="20">
        <v>0</v>
      </c>
      <c r="R217" s="20">
        <v>0</v>
      </c>
      <c r="S217" s="20">
        <v>0</v>
      </c>
      <c r="T217" s="20">
        <v>12337.3</v>
      </c>
      <c r="U217" s="20">
        <v>10917.75</v>
      </c>
      <c r="V217" s="20">
        <v>-1419.55</v>
      </c>
      <c r="W217" s="20">
        <v>-1830.79</v>
      </c>
      <c r="X217" s="20">
        <v>-411.24</v>
      </c>
      <c r="Y217" s="20">
        <v>0</v>
      </c>
      <c r="Z217" s="20">
        <v>0</v>
      </c>
      <c r="AA217" s="20">
        <v>0</v>
      </c>
      <c r="AB217" s="20">
        <v>10506.51</v>
      </c>
      <c r="AC217" t="s">
        <v>188</v>
      </c>
      <c r="AD217" t="s">
        <v>290</v>
      </c>
      <c r="AE217" s="702">
        <f t="shared" si="15"/>
        <v>43252</v>
      </c>
      <c r="AF217" s="289">
        <v>20492.888408722651</v>
      </c>
      <c r="AG217">
        <f t="shared" si="16"/>
        <v>360</v>
      </c>
      <c r="AH217" s="289">
        <f t="shared" si="17"/>
        <v>56.924690024229584</v>
      </c>
      <c r="AJ217" s="289">
        <f t="shared" si="18"/>
        <v>54</v>
      </c>
      <c r="AK217" s="289">
        <f t="shared" si="19"/>
        <v>3073.9332613083975</v>
      </c>
    </row>
    <row r="218" spans="1:37">
      <c r="A218" s="703" t="s">
        <v>755</v>
      </c>
      <c r="B218" s="703" t="s">
        <v>331</v>
      </c>
      <c r="C218" s="703" t="s">
        <v>390</v>
      </c>
      <c r="D218" s="703" t="s">
        <v>391</v>
      </c>
      <c r="E218" s="703" t="s">
        <v>334</v>
      </c>
      <c r="F218" s="703" t="s">
        <v>335</v>
      </c>
      <c r="G218" s="703" t="s">
        <v>756</v>
      </c>
      <c r="H218" s="703" t="s">
        <v>334</v>
      </c>
      <c r="I218" s="703" t="s">
        <v>334</v>
      </c>
      <c r="J218" s="703" t="s">
        <v>337</v>
      </c>
      <c r="K218" s="704">
        <v>0</v>
      </c>
      <c r="L218" s="703" t="s">
        <v>334</v>
      </c>
      <c r="M218" s="702">
        <v>40574</v>
      </c>
      <c r="N218" s="702">
        <v>43205</v>
      </c>
      <c r="O218" s="703" t="s">
        <v>338</v>
      </c>
      <c r="P218" s="20">
        <v>27533.119999999999</v>
      </c>
      <c r="Q218" s="20">
        <v>0</v>
      </c>
      <c r="R218" s="20">
        <v>0</v>
      </c>
      <c r="S218" s="20">
        <v>0</v>
      </c>
      <c r="T218" s="20">
        <v>27533.119999999999</v>
      </c>
      <c r="U218" s="20">
        <v>24167.96</v>
      </c>
      <c r="V218" s="20">
        <v>-3365.16</v>
      </c>
      <c r="W218" s="20">
        <v>-4282.93</v>
      </c>
      <c r="X218" s="20">
        <v>-917.77</v>
      </c>
      <c r="Y218" s="20">
        <v>0</v>
      </c>
      <c r="Z218" s="20">
        <v>0</v>
      </c>
      <c r="AA218" s="20">
        <v>0</v>
      </c>
      <c r="AB218" s="20">
        <v>23250.19</v>
      </c>
      <c r="AC218" t="s">
        <v>188</v>
      </c>
      <c r="AD218" t="s">
        <v>290</v>
      </c>
      <c r="AE218" s="702">
        <f t="shared" si="15"/>
        <v>43252</v>
      </c>
      <c r="AF218" s="289">
        <v>45733.925227073167</v>
      </c>
      <c r="AG218">
        <f t="shared" si="16"/>
        <v>360</v>
      </c>
      <c r="AH218" s="289">
        <f t="shared" si="17"/>
        <v>127.03868118631435</v>
      </c>
      <c r="AJ218" s="289">
        <f t="shared" si="18"/>
        <v>54</v>
      </c>
      <c r="AK218" s="289">
        <f t="shared" si="19"/>
        <v>6860.0887840609748</v>
      </c>
    </row>
    <row r="219" spans="1:37">
      <c r="A219" s="703" t="s">
        <v>757</v>
      </c>
      <c r="B219" s="703" t="s">
        <v>331</v>
      </c>
      <c r="C219" s="703" t="s">
        <v>390</v>
      </c>
      <c r="D219" s="703" t="s">
        <v>391</v>
      </c>
      <c r="E219" s="703" t="s">
        <v>334</v>
      </c>
      <c r="F219" s="703" t="s">
        <v>335</v>
      </c>
      <c r="G219" s="703" t="s">
        <v>758</v>
      </c>
      <c r="H219" s="703" t="s">
        <v>334</v>
      </c>
      <c r="I219" s="703" t="s">
        <v>334</v>
      </c>
      <c r="J219" s="703" t="s">
        <v>337</v>
      </c>
      <c r="K219" s="704">
        <v>0</v>
      </c>
      <c r="L219" s="703" t="s">
        <v>334</v>
      </c>
      <c r="M219" s="702">
        <v>40574</v>
      </c>
      <c r="N219" s="702">
        <v>43205</v>
      </c>
      <c r="O219" s="703" t="s">
        <v>338</v>
      </c>
      <c r="P219" s="20">
        <v>5971.46</v>
      </c>
      <c r="Q219" s="20">
        <v>0</v>
      </c>
      <c r="R219" s="20">
        <v>0</v>
      </c>
      <c r="S219" s="20">
        <v>0</v>
      </c>
      <c r="T219" s="20">
        <v>5971.46</v>
      </c>
      <c r="U219" s="20">
        <v>5241.6099999999997</v>
      </c>
      <c r="V219" s="20">
        <v>-729.85</v>
      </c>
      <c r="W219" s="20">
        <v>-928.9</v>
      </c>
      <c r="X219" s="20">
        <v>-199.05</v>
      </c>
      <c r="Y219" s="20">
        <v>0</v>
      </c>
      <c r="Z219" s="20">
        <v>0</v>
      </c>
      <c r="AA219" s="20">
        <v>0</v>
      </c>
      <c r="AB219" s="20">
        <v>5042.5600000000004</v>
      </c>
      <c r="AC219" t="s">
        <v>188</v>
      </c>
      <c r="AD219" t="s">
        <v>290</v>
      </c>
      <c r="AE219" s="702">
        <f t="shared" si="15"/>
        <v>43252</v>
      </c>
      <c r="AF219" s="289">
        <v>9918.901495234044</v>
      </c>
      <c r="AG219">
        <f t="shared" si="16"/>
        <v>360</v>
      </c>
      <c r="AH219" s="289">
        <f t="shared" si="17"/>
        <v>27.5525041534279</v>
      </c>
      <c r="AJ219" s="289">
        <f t="shared" si="18"/>
        <v>54</v>
      </c>
      <c r="AK219" s="289">
        <f t="shared" si="19"/>
        <v>1487.8352242851067</v>
      </c>
    </row>
    <row r="220" spans="1:37">
      <c r="A220" s="703" t="s">
        <v>759</v>
      </c>
      <c r="B220" s="703" t="s">
        <v>331</v>
      </c>
      <c r="C220" s="703" t="s">
        <v>390</v>
      </c>
      <c r="D220" s="703" t="s">
        <v>391</v>
      </c>
      <c r="E220" s="703" t="s">
        <v>334</v>
      </c>
      <c r="F220" s="703" t="s">
        <v>335</v>
      </c>
      <c r="G220" s="703" t="s">
        <v>760</v>
      </c>
      <c r="H220" s="703" t="s">
        <v>334</v>
      </c>
      <c r="I220" s="703" t="s">
        <v>334</v>
      </c>
      <c r="J220" s="703" t="s">
        <v>337</v>
      </c>
      <c r="K220" s="704">
        <v>0</v>
      </c>
      <c r="L220" s="703" t="s">
        <v>334</v>
      </c>
      <c r="M220" s="702">
        <v>40574</v>
      </c>
      <c r="N220" s="702">
        <v>43205</v>
      </c>
      <c r="O220" s="703" t="s">
        <v>338</v>
      </c>
      <c r="P220" s="20">
        <v>28509.02</v>
      </c>
      <c r="Q220" s="20">
        <v>0</v>
      </c>
      <c r="R220" s="20">
        <v>0</v>
      </c>
      <c r="S220" s="20">
        <v>0</v>
      </c>
      <c r="T220" s="20">
        <v>28509.02</v>
      </c>
      <c r="U220" s="20">
        <v>25024.59</v>
      </c>
      <c r="V220" s="20">
        <v>-3484.43</v>
      </c>
      <c r="W220" s="20">
        <v>-4434.7299999999996</v>
      </c>
      <c r="X220" s="20">
        <v>-950.3</v>
      </c>
      <c r="Y220" s="20">
        <v>0</v>
      </c>
      <c r="Z220" s="20">
        <v>0</v>
      </c>
      <c r="AA220" s="20">
        <v>0</v>
      </c>
      <c r="AB220" s="20">
        <v>24074.29</v>
      </c>
      <c r="AC220" t="s">
        <v>188</v>
      </c>
      <c r="AD220" t="s">
        <v>290</v>
      </c>
      <c r="AE220" s="702">
        <f t="shared" si="15"/>
        <v>43252</v>
      </c>
      <c r="AF220" s="289">
        <v>47354.945206977398</v>
      </c>
      <c r="AG220">
        <f t="shared" si="16"/>
        <v>360</v>
      </c>
      <c r="AH220" s="289">
        <f t="shared" si="17"/>
        <v>131.5415144638261</v>
      </c>
      <c r="AJ220" s="289">
        <f t="shared" si="18"/>
        <v>54</v>
      </c>
      <c r="AK220" s="289">
        <f t="shared" si="19"/>
        <v>7103.2417810466095</v>
      </c>
    </row>
    <row r="221" spans="1:37">
      <c r="A221" s="703" t="s">
        <v>761</v>
      </c>
      <c r="B221" s="703" t="s">
        <v>331</v>
      </c>
      <c r="C221" s="703" t="s">
        <v>390</v>
      </c>
      <c r="D221" s="703" t="s">
        <v>391</v>
      </c>
      <c r="E221" s="703" t="s">
        <v>334</v>
      </c>
      <c r="F221" s="703" t="s">
        <v>335</v>
      </c>
      <c r="G221" s="703" t="s">
        <v>762</v>
      </c>
      <c r="H221" s="703" t="s">
        <v>334</v>
      </c>
      <c r="I221" s="703" t="s">
        <v>334</v>
      </c>
      <c r="J221" s="703" t="s">
        <v>337</v>
      </c>
      <c r="K221" s="704">
        <v>0</v>
      </c>
      <c r="L221" s="703" t="s">
        <v>334</v>
      </c>
      <c r="M221" s="702">
        <v>40574</v>
      </c>
      <c r="N221" s="702">
        <v>43205</v>
      </c>
      <c r="O221" s="703" t="s">
        <v>338</v>
      </c>
      <c r="P221" s="20">
        <v>1387.87</v>
      </c>
      <c r="Q221" s="20">
        <v>0</v>
      </c>
      <c r="R221" s="20">
        <v>0</v>
      </c>
      <c r="S221" s="20">
        <v>0</v>
      </c>
      <c r="T221" s="20">
        <v>1387.87</v>
      </c>
      <c r="U221" s="20">
        <v>1218.25</v>
      </c>
      <c r="V221" s="20">
        <v>-169.62</v>
      </c>
      <c r="W221" s="20">
        <v>-215.88</v>
      </c>
      <c r="X221" s="20">
        <v>-46.26</v>
      </c>
      <c r="Y221" s="20">
        <v>0</v>
      </c>
      <c r="Z221" s="20">
        <v>0</v>
      </c>
      <c r="AA221" s="20">
        <v>0</v>
      </c>
      <c r="AB221" s="20">
        <v>1171.99</v>
      </c>
      <c r="AC221" t="s">
        <v>188</v>
      </c>
      <c r="AD221" t="s">
        <v>290</v>
      </c>
      <c r="AE221" s="702">
        <f t="shared" si="15"/>
        <v>43252</v>
      </c>
      <c r="AF221" s="289">
        <v>2305.3232908184045</v>
      </c>
      <c r="AG221">
        <f t="shared" si="16"/>
        <v>360</v>
      </c>
      <c r="AH221" s="289">
        <f t="shared" si="17"/>
        <v>6.4036758078289013</v>
      </c>
      <c r="AJ221" s="289">
        <f t="shared" si="18"/>
        <v>54</v>
      </c>
      <c r="AK221" s="289">
        <f t="shared" si="19"/>
        <v>345.79849362276065</v>
      </c>
    </row>
    <row r="222" spans="1:37">
      <c r="A222" s="703" t="s">
        <v>763</v>
      </c>
      <c r="B222" s="703" t="s">
        <v>331</v>
      </c>
      <c r="C222" s="703" t="s">
        <v>390</v>
      </c>
      <c r="D222" s="703" t="s">
        <v>391</v>
      </c>
      <c r="E222" s="703" t="s">
        <v>334</v>
      </c>
      <c r="F222" s="703" t="s">
        <v>335</v>
      </c>
      <c r="G222" s="703" t="s">
        <v>764</v>
      </c>
      <c r="H222" s="703" t="s">
        <v>334</v>
      </c>
      <c r="I222" s="703" t="s">
        <v>334</v>
      </c>
      <c r="J222" s="703" t="s">
        <v>337</v>
      </c>
      <c r="K222" s="704">
        <v>0</v>
      </c>
      <c r="L222" s="703" t="s">
        <v>334</v>
      </c>
      <c r="M222" s="702">
        <v>40574</v>
      </c>
      <c r="N222" s="702">
        <v>43205</v>
      </c>
      <c r="O222" s="703" t="s">
        <v>338</v>
      </c>
      <c r="P222" s="20">
        <v>18609.7</v>
      </c>
      <c r="Q222" s="20">
        <v>0</v>
      </c>
      <c r="R222" s="20">
        <v>0</v>
      </c>
      <c r="S222" s="20">
        <v>0</v>
      </c>
      <c r="T222" s="20">
        <v>18609.7</v>
      </c>
      <c r="U222" s="20">
        <v>16479.88</v>
      </c>
      <c r="V222" s="20">
        <v>-2129.8200000000002</v>
      </c>
      <c r="W222" s="20">
        <v>-2750.14</v>
      </c>
      <c r="X222" s="20">
        <v>-620.32000000000005</v>
      </c>
      <c r="Y222" s="20">
        <v>0</v>
      </c>
      <c r="Z222" s="20">
        <v>0</v>
      </c>
      <c r="AA222" s="20">
        <v>0</v>
      </c>
      <c r="AB222" s="20">
        <v>15859.56</v>
      </c>
      <c r="AC222" t="s">
        <v>188</v>
      </c>
      <c r="AD222" t="s">
        <v>290</v>
      </c>
      <c r="AE222" s="702">
        <f t="shared" si="15"/>
        <v>43252</v>
      </c>
      <c r="AF222" s="289">
        <v>30911.666687184872</v>
      </c>
      <c r="AG222">
        <f t="shared" si="16"/>
        <v>360</v>
      </c>
      <c r="AH222" s="289">
        <f t="shared" si="17"/>
        <v>85.865740797735754</v>
      </c>
      <c r="AJ222" s="289">
        <f t="shared" si="18"/>
        <v>54</v>
      </c>
      <c r="AK222" s="289">
        <f t="shared" si="19"/>
        <v>4636.750003077731</v>
      </c>
    </row>
    <row r="223" spans="1:37">
      <c r="A223" s="703" t="s">
        <v>765</v>
      </c>
      <c r="B223" s="703" t="s">
        <v>331</v>
      </c>
      <c r="C223" s="703" t="s">
        <v>390</v>
      </c>
      <c r="D223" s="703" t="s">
        <v>391</v>
      </c>
      <c r="E223" s="703" t="s">
        <v>334</v>
      </c>
      <c r="F223" s="703" t="s">
        <v>335</v>
      </c>
      <c r="G223" s="703" t="s">
        <v>766</v>
      </c>
      <c r="H223" s="703" t="s">
        <v>334</v>
      </c>
      <c r="I223" s="703" t="s">
        <v>334</v>
      </c>
      <c r="J223" s="703" t="s">
        <v>337</v>
      </c>
      <c r="K223" s="704">
        <v>0</v>
      </c>
      <c r="L223" s="703" t="s">
        <v>334</v>
      </c>
      <c r="M223" s="702">
        <v>42886</v>
      </c>
      <c r="N223" s="702">
        <v>43205</v>
      </c>
      <c r="O223" s="703" t="s">
        <v>338</v>
      </c>
      <c r="P223" s="20">
        <v>2057.73</v>
      </c>
      <c r="Q223" s="20">
        <v>0</v>
      </c>
      <c r="R223" s="20">
        <v>0</v>
      </c>
      <c r="S223" s="20">
        <v>0</v>
      </c>
      <c r="T223" s="20">
        <v>2057.73</v>
      </c>
      <c r="U223" s="20">
        <v>1806.23</v>
      </c>
      <c r="V223" s="20">
        <v>-251.5</v>
      </c>
      <c r="W223" s="20">
        <v>-320.08999999999997</v>
      </c>
      <c r="X223" s="20">
        <v>-68.59</v>
      </c>
      <c r="Y223" s="20">
        <v>0</v>
      </c>
      <c r="Z223" s="20">
        <v>0</v>
      </c>
      <c r="AA223" s="20">
        <v>0</v>
      </c>
      <c r="AB223" s="20">
        <v>1737.64</v>
      </c>
      <c r="AC223" t="s">
        <v>188</v>
      </c>
      <c r="AD223" t="s">
        <v>290</v>
      </c>
      <c r="AE223" s="702">
        <f t="shared" si="15"/>
        <v>43252</v>
      </c>
      <c r="AF223" s="289">
        <v>3417.995125779616</v>
      </c>
      <c r="AG223">
        <f t="shared" si="16"/>
        <v>360</v>
      </c>
      <c r="AH223" s="289">
        <f t="shared" si="17"/>
        <v>9.4944309049433784</v>
      </c>
      <c r="AJ223" s="289">
        <f t="shared" si="18"/>
        <v>54</v>
      </c>
      <c r="AK223" s="289">
        <f t="shared" si="19"/>
        <v>512.69926886694248</v>
      </c>
    </row>
    <row r="224" spans="1:37">
      <c r="A224" s="703" t="s">
        <v>767</v>
      </c>
      <c r="B224" s="703" t="s">
        <v>331</v>
      </c>
      <c r="C224" s="703" t="s">
        <v>390</v>
      </c>
      <c r="D224" s="703" t="s">
        <v>391</v>
      </c>
      <c r="E224" s="703" t="s">
        <v>334</v>
      </c>
      <c r="F224" s="703" t="s">
        <v>335</v>
      </c>
      <c r="G224" s="703" t="s">
        <v>768</v>
      </c>
      <c r="H224" s="703" t="s">
        <v>334</v>
      </c>
      <c r="I224" s="703" t="s">
        <v>334</v>
      </c>
      <c r="J224" s="703" t="s">
        <v>337</v>
      </c>
      <c r="K224" s="704">
        <v>0</v>
      </c>
      <c r="L224" s="703" t="s">
        <v>334</v>
      </c>
      <c r="M224" s="702">
        <v>40574</v>
      </c>
      <c r="N224" s="702">
        <v>43205</v>
      </c>
      <c r="O224" s="703" t="s">
        <v>338</v>
      </c>
      <c r="P224" s="20">
        <v>2016.65</v>
      </c>
      <c r="Q224" s="20">
        <v>0</v>
      </c>
      <c r="R224" s="20">
        <v>0</v>
      </c>
      <c r="S224" s="20">
        <v>0</v>
      </c>
      <c r="T224" s="20">
        <v>2016.65</v>
      </c>
      <c r="U224" s="20">
        <v>1770.18</v>
      </c>
      <c r="V224" s="20">
        <v>-246.47</v>
      </c>
      <c r="W224" s="20">
        <v>-313.69</v>
      </c>
      <c r="X224" s="20">
        <v>-67.22</v>
      </c>
      <c r="Y224" s="20">
        <v>0</v>
      </c>
      <c r="Z224" s="20">
        <v>0</v>
      </c>
      <c r="AA224" s="20">
        <v>0</v>
      </c>
      <c r="AB224" s="20">
        <v>1702.96</v>
      </c>
      <c r="AC224" t="s">
        <v>188</v>
      </c>
      <c r="AD224" t="s">
        <v>290</v>
      </c>
      <c r="AE224" s="702">
        <f t="shared" si="15"/>
        <v>43252</v>
      </c>
      <c r="AF224" s="289">
        <v>3349.7591376922455</v>
      </c>
      <c r="AG224">
        <f t="shared" si="16"/>
        <v>360</v>
      </c>
      <c r="AH224" s="289">
        <f t="shared" si="17"/>
        <v>9.3048864935895708</v>
      </c>
      <c r="AJ224" s="289">
        <f t="shared" si="18"/>
        <v>54</v>
      </c>
      <c r="AK224" s="289">
        <f t="shared" si="19"/>
        <v>502.46387065383681</v>
      </c>
    </row>
    <row r="225" spans="1:37">
      <c r="A225" s="703" t="s">
        <v>769</v>
      </c>
      <c r="B225" s="703" t="s">
        <v>331</v>
      </c>
      <c r="C225" s="703" t="s">
        <v>390</v>
      </c>
      <c r="D225" s="703" t="s">
        <v>391</v>
      </c>
      <c r="E225" s="703" t="s">
        <v>334</v>
      </c>
      <c r="F225" s="703" t="s">
        <v>335</v>
      </c>
      <c r="G225" s="703" t="s">
        <v>770</v>
      </c>
      <c r="H225" s="703" t="s">
        <v>334</v>
      </c>
      <c r="I225" s="703" t="s">
        <v>334</v>
      </c>
      <c r="J225" s="703" t="s">
        <v>337</v>
      </c>
      <c r="K225" s="704">
        <v>0</v>
      </c>
      <c r="L225" s="703" t="s">
        <v>334</v>
      </c>
      <c r="M225" s="702">
        <v>40574</v>
      </c>
      <c r="N225" s="702">
        <v>43205</v>
      </c>
      <c r="O225" s="703" t="s">
        <v>338</v>
      </c>
      <c r="P225" s="20">
        <v>3488.83</v>
      </c>
      <c r="Q225" s="20">
        <v>0</v>
      </c>
      <c r="R225" s="20">
        <v>0</v>
      </c>
      <c r="S225" s="20">
        <v>0</v>
      </c>
      <c r="T225" s="20">
        <v>3488.83</v>
      </c>
      <c r="U225" s="20">
        <v>3062.43</v>
      </c>
      <c r="V225" s="20">
        <v>-426.4</v>
      </c>
      <c r="W225" s="20">
        <v>-542.69000000000005</v>
      </c>
      <c r="X225" s="20">
        <v>-116.29</v>
      </c>
      <c r="Y225" s="20">
        <v>0</v>
      </c>
      <c r="Z225" s="20">
        <v>0</v>
      </c>
      <c r="AA225" s="20">
        <v>0</v>
      </c>
      <c r="AB225" s="20">
        <v>2946.14</v>
      </c>
      <c r="AC225" t="s">
        <v>188</v>
      </c>
      <c r="AD225" t="s">
        <v>290</v>
      </c>
      <c r="AE225" s="702">
        <f t="shared" si="15"/>
        <v>43252</v>
      </c>
      <c r="AF225" s="289">
        <v>5795.1256650161577</v>
      </c>
      <c r="AG225">
        <f t="shared" si="16"/>
        <v>360</v>
      </c>
      <c r="AH225" s="289">
        <f t="shared" si="17"/>
        <v>16.097571291711549</v>
      </c>
      <c r="AJ225" s="289">
        <f t="shared" si="18"/>
        <v>54</v>
      </c>
      <c r="AK225" s="289">
        <f t="shared" si="19"/>
        <v>869.26884975242365</v>
      </c>
    </row>
    <row r="226" spans="1:37">
      <c r="A226" s="703" t="s">
        <v>771</v>
      </c>
      <c r="B226" s="703" t="s">
        <v>331</v>
      </c>
      <c r="C226" s="703" t="s">
        <v>390</v>
      </c>
      <c r="D226" s="703" t="s">
        <v>391</v>
      </c>
      <c r="E226" s="703" t="s">
        <v>334</v>
      </c>
      <c r="F226" s="703" t="s">
        <v>335</v>
      </c>
      <c r="G226" s="703" t="s">
        <v>772</v>
      </c>
      <c r="H226" s="703" t="s">
        <v>334</v>
      </c>
      <c r="I226" s="703" t="s">
        <v>334</v>
      </c>
      <c r="J226" s="703" t="s">
        <v>337</v>
      </c>
      <c r="K226" s="704">
        <v>0</v>
      </c>
      <c r="L226" s="703" t="s">
        <v>334</v>
      </c>
      <c r="M226" s="702">
        <v>40574</v>
      </c>
      <c r="N226" s="702">
        <v>43205</v>
      </c>
      <c r="O226" s="703" t="s">
        <v>338</v>
      </c>
      <c r="P226" s="20">
        <v>846.88</v>
      </c>
      <c r="Q226" s="20">
        <v>0</v>
      </c>
      <c r="R226" s="20">
        <v>0</v>
      </c>
      <c r="S226" s="20">
        <v>0</v>
      </c>
      <c r="T226" s="20">
        <v>846.88</v>
      </c>
      <c r="U226" s="20">
        <v>743.37</v>
      </c>
      <c r="V226" s="20">
        <v>-103.51</v>
      </c>
      <c r="W226" s="20">
        <v>-131.74</v>
      </c>
      <c r="X226" s="20">
        <v>-28.23</v>
      </c>
      <c r="Y226" s="20">
        <v>0</v>
      </c>
      <c r="Z226" s="20">
        <v>0</v>
      </c>
      <c r="AA226" s="20">
        <v>0</v>
      </c>
      <c r="AB226" s="20">
        <v>715.14</v>
      </c>
      <c r="AC226" t="s">
        <v>188</v>
      </c>
      <c r="AD226" t="s">
        <v>290</v>
      </c>
      <c r="AE226" s="702">
        <f t="shared" si="15"/>
        <v>43252</v>
      </c>
      <c r="AF226" s="289">
        <v>1406.7111390319631</v>
      </c>
      <c r="AG226">
        <f t="shared" si="16"/>
        <v>360</v>
      </c>
      <c r="AH226" s="289">
        <f t="shared" si="17"/>
        <v>3.9075309417554531</v>
      </c>
      <c r="AJ226" s="289">
        <f t="shared" si="18"/>
        <v>54</v>
      </c>
      <c r="AK226" s="289">
        <f t="shared" si="19"/>
        <v>211.00667085479446</v>
      </c>
    </row>
    <row r="227" spans="1:37">
      <c r="A227" s="703" t="s">
        <v>773</v>
      </c>
      <c r="B227" s="703" t="s">
        <v>331</v>
      </c>
      <c r="C227" s="703" t="s">
        <v>390</v>
      </c>
      <c r="D227" s="703" t="s">
        <v>391</v>
      </c>
      <c r="E227" s="703" t="s">
        <v>334</v>
      </c>
      <c r="F227" s="703" t="s">
        <v>335</v>
      </c>
      <c r="G227" s="703" t="s">
        <v>774</v>
      </c>
      <c r="H227" s="703" t="s">
        <v>334</v>
      </c>
      <c r="I227" s="703" t="s">
        <v>334</v>
      </c>
      <c r="J227" s="703" t="s">
        <v>337</v>
      </c>
      <c r="K227" s="704">
        <v>0</v>
      </c>
      <c r="L227" s="703" t="s">
        <v>334</v>
      </c>
      <c r="M227" s="702">
        <v>42886</v>
      </c>
      <c r="N227" s="702">
        <v>43205</v>
      </c>
      <c r="O227" s="703" t="s">
        <v>338</v>
      </c>
      <c r="P227" s="20">
        <v>3467.25</v>
      </c>
      <c r="Q227" s="20">
        <v>0</v>
      </c>
      <c r="R227" s="20">
        <v>0</v>
      </c>
      <c r="S227" s="20">
        <v>0</v>
      </c>
      <c r="T227" s="20">
        <v>3467.25</v>
      </c>
      <c r="U227" s="20">
        <v>3043.46</v>
      </c>
      <c r="V227" s="20">
        <v>-423.79</v>
      </c>
      <c r="W227" s="20">
        <v>-539.37</v>
      </c>
      <c r="X227" s="20">
        <v>-115.58</v>
      </c>
      <c r="Y227" s="20">
        <v>0</v>
      </c>
      <c r="Z227" s="20">
        <v>0</v>
      </c>
      <c r="AA227" s="20">
        <v>0</v>
      </c>
      <c r="AB227" s="20">
        <v>2927.88</v>
      </c>
      <c r="AC227" t="s">
        <v>188</v>
      </c>
      <c r="AD227" t="s">
        <v>290</v>
      </c>
      <c r="AE227" s="702">
        <f t="shared" si="15"/>
        <v>43252</v>
      </c>
      <c r="AF227" s="289">
        <v>5759.280177603172</v>
      </c>
      <c r="AG227">
        <f t="shared" si="16"/>
        <v>360</v>
      </c>
      <c r="AH227" s="289">
        <f t="shared" si="17"/>
        <v>15.998000493342145</v>
      </c>
      <c r="AJ227" s="289">
        <f t="shared" si="18"/>
        <v>54</v>
      </c>
      <c r="AK227" s="289">
        <f t="shared" si="19"/>
        <v>863.89202664047582</v>
      </c>
    </row>
    <row r="228" spans="1:37">
      <c r="A228" s="703" t="s">
        <v>775</v>
      </c>
      <c r="B228" s="703" t="s">
        <v>331</v>
      </c>
      <c r="C228" s="703" t="s">
        <v>390</v>
      </c>
      <c r="D228" s="703" t="s">
        <v>391</v>
      </c>
      <c r="E228" s="703" t="s">
        <v>334</v>
      </c>
      <c r="F228" s="703" t="s">
        <v>335</v>
      </c>
      <c r="G228" s="703" t="s">
        <v>776</v>
      </c>
      <c r="H228" s="703" t="s">
        <v>334</v>
      </c>
      <c r="I228" s="703" t="s">
        <v>334</v>
      </c>
      <c r="J228" s="703" t="s">
        <v>337</v>
      </c>
      <c r="K228" s="704">
        <v>0</v>
      </c>
      <c r="L228" s="703" t="s">
        <v>334</v>
      </c>
      <c r="M228" s="702">
        <v>42886</v>
      </c>
      <c r="N228" s="702">
        <v>43205</v>
      </c>
      <c r="O228" s="703" t="s">
        <v>338</v>
      </c>
      <c r="P228" s="20">
        <v>80235.14</v>
      </c>
      <c r="Q228" s="20">
        <v>0</v>
      </c>
      <c r="R228" s="20">
        <v>0</v>
      </c>
      <c r="S228" s="20">
        <v>0</v>
      </c>
      <c r="T228" s="20">
        <v>80235.14</v>
      </c>
      <c r="U228" s="20">
        <v>70428.639999999999</v>
      </c>
      <c r="V228" s="20">
        <v>-9806.5</v>
      </c>
      <c r="W228" s="20">
        <v>-12481</v>
      </c>
      <c r="X228" s="20">
        <v>-2674.5</v>
      </c>
      <c r="Y228" s="20">
        <v>0</v>
      </c>
      <c r="Z228" s="20">
        <v>0</v>
      </c>
      <c r="AA228" s="20">
        <v>0</v>
      </c>
      <c r="AB228" s="20">
        <v>67754.14</v>
      </c>
      <c r="AC228" t="s">
        <v>188</v>
      </c>
      <c r="AD228" t="s">
        <v>290</v>
      </c>
      <c r="AE228" s="702">
        <f t="shared" si="15"/>
        <v>43252</v>
      </c>
      <c r="AF228" s="289">
        <v>133274.68493740438</v>
      </c>
      <c r="AG228">
        <f t="shared" si="16"/>
        <v>360</v>
      </c>
      <c r="AH228" s="289">
        <f t="shared" si="17"/>
        <v>370.20745815945662</v>
      </c>
      <c r="AJ228" s="289">
        <f t="shared" si="18"/>
        <v>54</v>
      </c>
      <c r="AK228" s="289">
        <f t="shared" si="19"/>
        <v>19991.202740610657</v>
      </c>
    </row>
    <row r="229" spans="1:37">
      <c r="A229" s="703" t="s">
        <v>777</v>
      </c>
      <c r="B229" s="703" t="s">
        <v>331</v>
      </c>
      <c r="C229" s="703" t="s">
        <v>390</v>
      </c>
      <c r="D229" s="703" t="s">
        <v>391</v>
      </c>
      <c r="E229" s="703" t="s">
        <v>334</v>
      </c>
      <c r="F229" s="703" t="s">
        <v>335</v>
      </c>
      <c r="G229" s="703" t="s">
        <v>778</v>
      </c>
      <c r="H229" s="703" t="s">
        <v>334</v>
      </c>
      <c r="I229" s="703" t="s">
        <v>334</v>
      </c>
      <c r="J229" s="703" t="s">
        <v>337</v>
      </c>
      <c r="K229" s="704">
        <v>0</v>
      </c>
      <c r="L229" s="703" t="s">
        <v>334</v>
      </c>
      <c r="M229" s="702">
        <v>42886</v>
      </c>
      <c r="N229" s="702">
        <v>43205</v>
      </c>
      <c r="O229" s="703" t="s">
        <v>338</v>
      </c>
      <c r="P229" s="20">
        <v>1583.72</v>
      </c>
      <c r="Q229" s="20">
        <v>0</v>
      </c>
      <c r="R229" s="20">
        <v>0</v>
      </c>
      <c r="S229" s="20">
        <v>0</v>
      </c>
      <c r="T229" s="20">
        <v>1583.72</v>
      </c>
      <c r="U229" s="20">
        <v>1390.16</v>
      </c>
      <c r="V229" s="20">
        <v>-193.56</v>
      </c>
      <c r="W229" s="20">
        <v>-246.35</v>
      </c>
      <c r="X229" s="20">
        <v>-52.79</v>
      </c>
      <c r="Y229" s="20">
        <v>0</v>
      </c>
      <c r="Z229" s="20">
        <v>0</v>
      </c>
      <c r="AA229" s="20">
        <v>0</v>
      </c>
      <c r="AB229" s="20">
        <v>1337.37</v>
      </c>
      <c r="AC229" t="s">
        <v>188</v>
      </c>
      <c r="AD229" t="s">
        <v>290</v>
      </c>
      <c r="AE229" s="702">
        <f t="shared" si="15"/>
        <v>43252</v>
      </c>
      <c r="AF229" s="289">
        <v>2630.6401911813959</v>
      </c>
      <c r="AG229">
        <f t="shared" si="16"/>
        <v>360</v>
      </c>
      <c r="AH229" s="289">
        <f t="shared" si="17"/>
        <v>7.3073338643927661</v>
      </c>
      <c r="AJ229" s="289">
        <f t="shared" si="18"/>
        <v>54</v>
      </c>
      <c r="AK229" s="289">
        <f t="shared" si="19"/>
        <v>394.59602867720935</v>
      </c>
    </row>
    <row r="230" spans="1:37">
      <c r="A230" s="703" t="s">
        <v>779</v>
      </c>
      <c r="B230" s="703" t="s">
        <v>331</v>
      </c>
      <c r="C230" s="703" t="s">
        <v>390</v>
      </c>
      <c r="D230" s="703" t="s">
        <v>391</v>
      </c>
      <c r="E230" s="703" t="s">
        <v>334</v>
      </c>
      <c r="F230" s="703" t="s">
        <v>335</v>
      </c>
      <c r="G230" s="703" t="s">
        <v>780</v>
      </c>
      <c r="H230" s="703" t="s">
        <v>334</v>
      </c>
      <c r="I230" s="703" t="s">
        <v>334</v>
      </c>
      <c r="J230" s="703" t="s">
        <v>337</v>
      </c>
      <c r="K230" s="704">
        <v>0</v>
      </c>
      <c r="L230" s="703" t="s">
        <v>334</v>
      </c>
      <c r="M230" s="702">
        <v>42886</v>
      </c>
      <c r="N230" s="702">
        <v>43205</v>
      </c>
      <c r="O230" s="703" t="s">
        <v>338</v>
      </c>
      <c r="P230" s="20">
        <v>5207.8</v>
      </c>
      <c r="Q230" s="20">
        <v>0</v>
      </c>
      <c r="R230" s="20">
        <v>0</v>
      </c>
      <c r="S230" s="20">
        <v>0</v>
      </c>
      <c r="T230" s="20">
        <v>5207.8</v>
      </c>
      <c r="U230" s="20">
        <v>4592.84</v>
      </c>
      <c r="V230" s="20">
        <v>-614.96</v>
      </c>
      <c r="W230" s="20">
        <v>-788.55</v>
      </c>
      <c r="X230" s="20">
        <v>-173.59</v>
      </c>
      <c r="Y230" s="20">
        <v>0</v>
      </c>
      <c r="Z230" s="20">
        <v>0</v>
      </c>
      <c r="AA230" s="20">
        <v>0</v>
      </c>
      <c r="AB230" s="20">
        <v>4419.25</v>
      </c>
      <c r="AC230" t="s">
        <v>188</v>
      </c>
      <c r="AD230" t="s">
        <v>290</v>
      </c>
      <c r="AE230" s="702">
        <f t="shared" si="15"/>
        <v>43252</v>
      </c>
      <c r="AF230" s="289">
        <v>8650.4230467724556</v>
      </c>
      <c r="AG230">
        <f t="shared" si="16"/>
        <v>360</v>
      </c>
      <c r="AH230" s="289">
        <f t="shared" si="17"/>
        <v>24.028952907701264</v>
      </c>
      <c r="AJ230" s="289">
        <f t="shared" si="18"/>
        <v>54</v>
      </c>
      <c r="AK230" s="289">
        <f t="shared" si="19"/>
        <v>1297.5634570158682</v>
      </c>
    </row>
    <row r="231" spans="1:37">
      <c r="A231" s="703" t="s">
        <v>781</v>
      </c>
      <c r="B231" s="703" t="s">
        <v>331</v>
      </c>
      <c r="C231" s="703" t="s">
        <v>390</v>
      </c>
      <c r="D231" s="703" t="s">
        <v>391</v>
      </c>
      <c r="E231" s="703" t="s">
        <v>334</v>
      </c>
      <c r="F231" s="703" t="s">
        <v>335</v>
      </c>
      <c r="G231" s="703" t="s">
        <v>782</v>
      </c>
      <c r="H231" s="703" t="s">
        <v>334</v>
      </c>
      <c r="I231" s="703" t="s">
        <v>334</v>
      </c>
      <c r="J231" s="703" t="s">
        <v>337</v>
      </c>
      <c r="K231" s="704">
        <v>0</v>
      </c>
      <c r="L231" s="703" t="s">
        <v>334</v>
      </c>
      <c r="M231" s="702">
        <v>42886</v>
      </c>
      <c r="N231" s="702">
        <v>43205</v>
      </c>
      <c r="O231" s="703" t="s">
        <v>338</v>
      </c>
      <c r="P231" s="20">
        <v>43397.65</v>
      </c>
      <c r="Q231" s="20">
        <v>0</v>
      </c>
      <c r="R231" s="20">
        <v>0</v>
      </c>
      <c r="S231" s="20">
        <v>0</v>
      </c>
      <c r="T231" s="20">
        <v>43397.65</v>
      </c>
      <c r="U231" s="20">
        <v>38093.49</v>
      </c>
      <c r="V231" s="20">
        <v>-5304.16</v>
      </c>
      <c r="W231" s="20">
        <v>-6750.75</v>
      </c>
      <c r="X231" s="20">
        <v>-1446.59</v>
      </c>
      <c r="Y231" s="20">
        <v>0</v>
      </c>
      <c r="Z231" s="20">
        <v>0</v>
      </c>
      <c r="AA231" s="20">
        <v>0</v>
      </c>
      <c r="AB231" s="20">
        <v>36646.9</v>
      </c>
      <c r="AC231" t="s">
        <v>188</v>
      </c>
      <c r="AD231" t="s">
        <v>290</v>
      </c>
      <c r="AE231" s="702">
        <f t="shared" si="15"/>
        <v>43252</v>
      </c>
      <c r="AF231" s="289">
        <v>72085.723671370768</v>
      </c>
      <c r="AG231">
        <f t="shared" si="16"/>
        <v>360</v>
      </c>
      <c r="AH231" s="289">
        <f t="shared" si="17"/>
        <v>200.23812130936324</v>
      </c>
      <c r="AJ231" s="289">
        <f t="shared" si="18"/>
        <v>54</v>
      </c>
      <c r="AK231" s="289">
        <f t="shared" si="19"/>
        <v>10812.858550705614</v>
      </c>
    </row>
    <row r="232" spans="1:37">
      <c r="A232" s="703" t="s">
        <v>783</v>
      </c>
      <c r="B232" s="703" t="s">
        <v>331</v>
      </c>
      <c r="C232" s="703" t="s">
        <v>390</v>
      </c>
      <c r="D232" s="703" t="s">
        <v>391</v>
      </c>
      <c r="E232" s="703" t="s">
        <v>334</v>
      </c>
      <c r="F232" s="703" t="s">
        <v>335</v>
      </c>
      <c r="G232" s="703" t="s">
        <v>784</v>
      </c>
      <c r="H232" s="703" t="s">
        <v>334</v>
      </c>
      <c r="I232" s="703" t="s">
        <v>334</v>
      </c>
      <c r="J232" s="703" t="s">
        <v>337</v>
      </c>
      <c r="K232" s="704">
        <v>0</v>
      </c>
      <c r="L232" s="703" t="s">
        <v>334</v>
      </c>
      <c r="M232" s="702">
        <v>42886</v>
      </c>
      <c r="N232" s="702">
        <v>43205</v>
      </c>
      <c r="O232" s="703" t="s">
        <v>338</v>
      </c>
      <c r="P232" s="20">
        <v>3536.55</v>
      </c>
      <c r="Q232" s="20">
        <v>0</v>
      </c>
      <c r="R232" s="20">
        <v>0</v>
      </c>
      <c r="S232" s="20">
        <v>0</v>
      </c>
      <c r="T232" s="20">
        <v>3536.55</v>
      </c>
      <c r="U232" s="20">
        <v>3104.29</v>
      </c>
      <c r="V232" s="20">
        <v>-432.26</v>
      </c>
      <c r="W232" s="20">
        <v>-550.15</v>
      </c>
      <c r="X232" s="20">
        <v>-117.89</v>
      </c>
      <c r="Y232" s="20">
        <v>0</v>
      </c>
      <c r="Z232" s="20">
        <v>0</v>
      </c>
      <c r="AA232" s="20">
        <v>0</v>
      </c>
      <c r="AB232" s="20">
        <v>2986.4</v>
      </c>
      <c r="AC232" t="s">
        <v>188</v>
      </c>
      <c r="AD232" t="s">
        <v>290</v>
      </c>
      <c r="AE232" s="702">
        <f t="shared" si="15"/>
        <v>43252</v>
      </c>
      <c r="AF232" s="289">
        <v>5874.3910338459873</v>
      </c>
      <c r="AG232">
        <f t="shared" si="16"/>
        <v>360</v>
      </c>
      <c r="AH232" s="289">
        <f t="shared" si="17"/>
        <v>16.317752871794408</v>
      </c>
      <c r="AJ232" s="289">
        <f t="shared" si="18"/>
        <v>54</v>
      </c>
      <c r="AK232" s="289">
        <f t="shared" si="19"/>
        <v>881.15865507689807</v>
      </c>
    </row>
    <row r="233" spans="1:37">
      <c r="A233" s="703" t="s">
        <v>785</v>
      </c>
      <c r="B233" s="703" t="s">
        <v>331</v>
      </c>
      <c r="C233" s="703" t="s">
        <v>390</v>
      </c>
      <c r="D233" s="703" t="s">
        <v>391</v>
      </c>
      <c r="E233" s="703" t="s">
        <v>334</v>
      </c>
      <c r="F233" s="703" t="s">
        <v>335</v>
      </c>
      <c r="G233" s="703" t="s">
        <v>786</v>
      </c>
      <c r="H233" s="703" t="s">
        <v>334</v>
      </c>
      <c r="I233" s="703" t="s">
        <v>334</v>
      </c>
      <c r="J233" s="703" t="s">
        <v>337</v>
      </c>
      <c r="K233" s="704">
        <v>0</v>
      </c>
      <c r="L233" s="703" t="s">
        <v>334</v>
      </c>
      <c r="M233" s="702">
        <v>42886</v>
      </c>
      <c r="N233" s="702">
        <v>43205</v>
      </c>
      <c r="O233" s="703" t="s">
        <v>338</v>
      </c>
      <c r="P233" s="20">
        <v>5401.91</v>
      </c>
      <c r="Q233" s="20">
        <v>0</v>
      </c>
      <c r="R233" s="20">
        <v>0</v>
      </c>
      <c r="S233" s="20">
        <v>0</v>
      </c>
      <c r="T233" s="20">
        <v>5401.91</v>
      </c>
      <c r="U233" s="20">
        <v>4741.6899999999996</v>
      </c>
      <c r="V233" s="20">
        <v>-660.22</v>
      </c>
      <c r="W233" s="20">
        <v>-840.28</v>
      </c>
      <c r="X233" s="20">
        <v>-180.06</v>
      </c>
      <c r="Y233" s="20">
        <v>0</v>
      </c>
      <c r="Z233" s="20">
        <v>0</v>
      </c>
      <c r="AA233" s="20">
        <v>0</v>
      </c>
      <c r="AB233" s="20">
        <v>4561.63</v>
      </c>
      <c r="AC233" t="s">
        <v>188</v>
      </c>
      <c r="AD233" t="s">
        <v>290</v>
      </c>
      <c r="AE233" s="702">
        <f t="shared" si="15"/>
        <v>43252</v>
      </c>
      <c r="AF233" s="289">
        <v>8972.8497178445014</v>
      </c>
      <c r="AG233">
        <f t="shared" si="16"/>
        <v>360</v>
      </c>
      <c r="AH233" s="289">
        <f t="shared" si="17"/>
        <v>24.924582549568058</v>
      </c>
      <c r="AJ233" s="289">
        <f t="shared" si="18"/>
        <v>54</v>
      </c>
      <c r="AK233" s="289">
        <f t="shared" si="19"/>
        <v>1345.9274576766752</v>
      </c>
    </row>
    <row r="234" spans="1:37">
      <c r="A234" s="703" t="s">
        <v>787</v>
      </c>
      <c r="B234" s="703" t="s">
        <v>331</v>
      </c>
      <c r="C234" s="703" t="s">
        <v>390</v>
      </c>
      <c r="D234" s="703" t="s">
        <v>391</v>
      </c>
      <c r="E234" s="703" t="s">
        <v>334</v>
      </c>
      <c r="F234" s="703" t="s">
        <v>335</v>
      </c>
      <c r="G234" s="703" t="s">
        <v>788</v>
      </c>
      <c r="H234" s="703" t="s">
        <v>334</v>
      </c>
      <c r="I234" s="703" t="s">
        <v>334</v>
      </c>
      <c r="J234" s="703" t="s">
        <v>337</v>
      </c>
      <c r="K234" s="704">
        <v>0</v>
      </c>
      <c r="L234" s="703" t="s">
        <v>334</v>
      </c>
      <c r="M234" s="702">
        <v>42613</v>
      </c>
      <c r="N234" s="702">
        <v>43205</v>
      </c>
      <c r="O234" s="703" t="s">
        <v>338</v>
      </c>
      <c r="P234" s="20">
        <v>6934.5</v>
      </c>
      <c r="Q234" s="20">
        <v>0</v>
      </c>
      <c r="R234" s="20">
        <v>0</v>
      </c>
      <c r="S234" s="20">
        <v>0</v>
      </c>
      <c r="T234" s="20">
        <v>6934.5</v>
      </c>
      <c r="U234" s="20">
        <v>6086.95</v>
      </c>
      <c r="V234" s="20">
        <v>-847.55</v>
      </c>
      <c r="W234" s="20">
        <v>-1078.7</v>
      </c>
      <c r="X234" s="20">
        <v>-231.15</v>
      </c>
      <c r="Y234" s="20">
        <v>0</v>
      </c>
      <c r="Z234" s="20">
        <v>0</v>
      </c>
      <c r="AA234" s="20">
        <v>0</v>
      </c>
      <c r="AB234" s="20">
        <v>5855.8</v>
      </c>
      <c r="AC234" t="s">
        <v>188</v>
      </c>
      <c r="AD234" t="s">
        <v>290</v>
      </c>
      <c r="AE234" s="702">
        <f t="shared" si="15"/>
        <v>43252</v>
      </c>
      <c r="AF234" s="289">
        <v>11518.560355206344</v>
      </c>
      <c r="AG234">
        <f t="shared" si="16"/>
        <v>360</v>
      </c>
      <c r="AH234" s="289">
        <f t="shared" si="17"/>
        <v>31.99600098668429</v>
      </c>
      <c r="AJ234" s="289">
        <f t="shared" si="18"/>
        <v>54</v>
      </c>
      <c r="AK234" s="289">
        <f t="shared" si="19"/>
        <v>1727.7840532809516</v>
      </c>
    </row>
    <row r="235" spans="1:37">
      <c r="A235" s="703" t="s">
        <v>789</v>
      </c>
      <c r="B235" s="703" t="s">
        <v>331</v>
      </c>
      <c r="C235" s="703" t="s">
        <v>390</v>
      </c>
      <c r="D235" s="703" t="s">
        <v>391</v>
      </c>
      <c r="E235" s="703" t="s">
        <v>334</v>
      </c>
      <c r="F235" s="703" t="s">
        <v>335</v>
      </c>
      <c r="G235" s="703" t="s">
        <v>790</v>
      </c>
      <c r="H235" s="703" t="s">
        <v>334</v>
      </c>
      <c r="I235" s="703" t="s">
        <v>334</v>
      </c>
      <c r="J235" s="703" t="s">
        <v>337</v>
      </c>
      <c r="K235" s="704">
        <v>0</v>
      </c>
      <c r="L235" s="703" t="s">
        <v>334</v>
      </c>
      <c r="M235" s="702">
        <v>42613</v>
      </c>
      <c r="N235" s="702">
        <v>43205</v>
      </c>
      <c r="O235" s="703" t="s">
        <v>338</v>
      </c>
      <c r="P235" s="20">
        <v>1886.34</v>
      </c>
      <c r="Q235" s="20">
        <v>0</v>
      </c>
      <c r="R235" s="20">
        <v>0</v>
      </c>
      <c r="S235" s="20">
        <v>0</v>
      </c>
      <c r="T235" s="20">
        <v>1886.34</v>
      </c>
      <c r="U235" s="20">
        <v>1655.78</v>
      </c>
      <c r="V235" s="20">
        <v>-230.56</v>
      </c>
      <c r="W235" s="20">
        <v>-293.44</v>
      </c>
      <c r="X235" s="20">
        <v>-62.88</v>
      </c>
      <c r="Y235" s="20">
        <v>0</v>
      </c>
      <c r="Z235" s="20">
        <v>0</v>
      </c>
      <c r="AA235" s="20">
        <v>0</v>
      </c>
      <c r="AB235" s="20">
        <v>1592.9</v>
      </c>
      <c r="AC235" t="s">
        <v>188</v>
      </c>
      <c r="AD235" t="s">
        <v>290</v>
      </c>
      <c r="AE235" s="702">
        <f t="shared" si="15"/>
        <v>43252</v>
      </c>
      <c r="AF235" s="289">
        <v>3133.3075406215203</v>
      </c>
      <c r="AG235">
        <f t="shared" si="16"/>
        <v>360</v>
      </c>
      <c r="AH235" s="289">
        <f t="shared" si="17"/>
        <v>8.7036320572820003</v>
      </c>
      <c r="AJ235" s="289">
        <f t="shared" si="18"/>
        <v>54</v>
      </c>
      <c r="AK235" s="289">
        <f t="shared" si="19"/>
        <v>469.99613109322803</v>
      </c>
    </row>
    <row r="236" spans="1:37">
      <c r="A236" s="703" t="s">
        <v>791</v>
      </c>
      <c r="B236" s="703" t="s">
        <v>331</v>
      </c>
      <c r="C236" s="703" t="s">
        <v>390</v>
      </c>
      <c r="D236" s="703" t="s">
        <v>391</v>
      </c>
      <c r="E236" s="703" t="s">
        <v>334</v>
      </c>
      <c r="F236" s="703" t="s">
        <v>335</v>
      </c>
      <c r="G236" s="703" t="s">
        <v>792</v>
      </c>
      <c r="H236" s="703" t="s">
        <v>334</v>
      </c>
      <c r="I236" s="703" t="s">
        <v>334</v>
      </c>
      <c r="J236" s="703" t="s">
        <v>337</v>
      </c>
      <c r="K236" s="704">
        <v>0</v>
      </c>
      <c r="L236" s="703" t="s">
        <v>334</v>
      </c>
      <c r="M236" s="702">
        <v>43100</v>
      </c>
      <c r="N236" s="702">
        <v>43205</v>
      </c>
      <c r="O236" s="703" t="s">
        <v>338</v>
      </c>
      <c r="P236" s="20">
        <v>1568.36</v>
      </c>
      <c r="Q236" s="20">
        <v>0</v>
      </c>
      <c r="R236" s="20">
        <v>0</v>
      </c>
      <c r="S236" s="20">
        <v>0</v>
      </c>
      <c r="T236" s="20">
        <v>1568.36</v>
      </c>
      <c r="U236" s="20">
        <v>1376.67</v>
      </c>
      <c r="V236" s="20">
        <v>-191.69</v>
      </c>
      <c r="W236" s="20">
        <v>-243.97</v>
      </c>
      <c r="X236" s="20">
        <v>-52.28</v>
      </c>
      <c r="Y236" s="20">
        <v>0</v>
      </c>
      <c r="Z236" s="20">
        <v>0</v>
      </c>
      <c r="AA236" s="20">
        <v>0</v>
      </c>
      <c r="AB236" s="20">
        <v>1324.39</v>
      </c>
      <c r="AC236" t="s">
        <v>188</v>
      </c>
      <c r="AD236" t="s">
        <v>290</v>
      </c>
      <c r="AE236" s="702">
        <f t="shared" si="15"/>
        <v>43252</v>
      </c>
      <c r="AF236" s="289">
        <v>2605.12644295788</v>
      </c>
      <c r="AG236">
        <f t="shared" si="16"/>
        <v>360</v>
      </c>
      <c r="AH236" s="289">
        <f t="shared" si="17"/>
        <v>7.2364623415496672</v>
      </c>
      <c r="AJ236" s="289">
        <f t="shared" si="18"/>
        <v>54</v>
      </c>
      <c r="AK236" s="289">
        <f t="shared" si="19"/>
        <v>390.76896644368202</v>
      </c>
    </row>
    <row r="237" spans="1:37">
      <c r="A237" s="703" t="s">
        <v>793</v>
      </c>
      <c r="B237" s="703" t="s">
        <v>331</v>
      </c>
      <c r="C237" s="703" t="s">
        <v>332</v>
      </c>
      <c r="D237" s="703" t="s">
        <v>333</v>
      </c>
      <c r="E237" s="703" t="s">
        <v>334</v>
      </c>
      <c r="F237" s="703" t="s">
        <v>335</v>
      </c>
      <c r="G237" s="703" t="s">
        <v>794</v>
      </c>
      <c r="H237" s="703" t="s">
        <v>334</v>
      </c>
      <c r="I237" s="703" t="s">
        <v>334</v>
      </c>
      <c r="J237" s="703" t="s">
        <v>337</v>
      </c>
      <c r="K237" s="704">
        <v>0</v>
      </c>
      <c r="L237" s="703" t="s">
        <v>334</v>
      </c>
      <c r="M237" s="702">
        <v>42855</v>
      </c>
      <c r="N237" s="702">
        <v>43206</v>
      </c>
      <c r="O237" s="703" t="s">
        <v>338</v>
      </c>
      <c r="P237" s="20">
        <v>6455.54</v>
      </c>
      <c r="Q237" s="20">
        <v>0</v>
      </c>
      <c r="R237" s="20">
        <v>0</v>
      </c>
      <c r="S237" s="20">
        <v>0</v>
      </c>
      <c r="T237" s="20">
        <v>6455.54</v>
      </c>
      <c r="U237" s="20">
        <v>5666.54</v>
      </c>
      <c r="V237" s="20">
        <v>-789</v>
      </c>
      <c r="W237" s="20">
        <v>-1004.18</v>
      </c>
      <c r="X237" s="20">
        <v>-215.18</v>
      </c>
      <c r="Y237" s="20">
        <v>0</v>
      </c>
      <c r="Z237" s="20">
        <v>0</v>
      </c>
      <c r="AA237" s="20">
        <v>0</v>
      </c>
      <c r="AB237" s="20">
        <v>5451.36</v>
      </c>
      <c r="AC237" t="s">
        <v>183</v>
      </c>
      <c r="AD237" t="s">
        <v>290</v>
      </c>
      <c r="AE237" s="702">
        <f t="shared" si="15"/>
        <v>43252</v>
      </c>
      <c r="AF237" s="289">
        <v>10722.983216590779</v>
      </c>
      <c r="AG237">
        <f t="shared" si="16"/>
        <v>360</v>
      </c>
      <c r="AH237" s="289">
        <f t="shared" si="17"/>
        <v>29.786064490529942</v>
      </c>
      <c r="AJ237" s="289">
        <f t="shared" si="18"/>
        <v>54</v>
      </c>
      <c r="AK237" s="289">
        <f t="shared" si="19"/>
        <v>1608.4474824886167</v>
      </c>
    </row>
    <row r="238" spans="1:37">
      <c r="A238" s="703" t="s">
        <v>795</v>
      </c>
      <c r="B238" s="703" t="s">
        <v>331</v>
      </c>
      <c r="C238" s="703" t="s">
        <v>332</v>
      </c>
      <c r="D238" s="703" t="s">
        <v>333</v>
      </c>
      <c r="E238" s="703" t="s">
        <v>334</v>
      </c>
      <c r="F238" s="703" t="s">
        <v>335</v>
      </c>
      <c r="G238" s="703" t="s">
        <v>796</v>
      </c>
      <c r="H238" s="703" t="s">
        <v>334</v>
      </c>
      <c r="I238" s="703" t="s">
        <v>334</v>
      </c>
      <c r="J238" s="703" t="s">
        <v>337</v>
      </c>
      <c r="K238" s="704">
        <v>0</v>
      </c>
      <c r="L238" s="703" t="s">
        <v>334</v>
      </c>
      <c r="M238" s="702">
        <v>42766</v>
      </c>
      <c r="N238" s="702">
        <v>43206</v>
      </c>
      <c r="O238" s="703" t="s">
        <v>338</v>
      </c>
      <c r="P238" s="20">
        <v>92450.58</v>
      </c>
      <c r="Q238" s="20">
        <v>0</v>
      </c>
      <c r="R238" s="20">
        <v>0</v>
      </c>
      <c r="S238" s="20">
        <v>0</v>
      </c>
      <c r="T238" s="20">
        <v>92450.58</v>
      </c>
      <c r="U238" s="20">
        <v>81151.05</v>
      </c>
      <c r="V238" s="20">
        <v>-11299.53</v>
      </c>
      <c r="W238" s="20">
        <v>-14381.22</v>
      </c>
      <c r="X238" s="20">
        <v>-3081.69</v>
      </c>
      <c r="Y238" s="20">
        <v>0</v>
      </c>
      <c r="Z238" s="20">
        <v>0</v>
      </c>
      <c r="AA238" s="20">
        <v>0</v>
      </c>
      <c r="AB238" s="20">
        <v>78069.36</v>
      </c>
      <c r="AC238" t="s">
        <v>183</v>
      </c>
      <c r="AD238" t="s">
        <v>290</v>
      </c>
      <c r="AE238" s="702">
        <f t="shared" si="15"/>
        <v>43252</v>
      </c>
      <c r="AF238" s="289">
        <v>153565.15763268189</v>
      </c>
      <c r="AG238">
        <f t="shared" si="16"/>
        <v>360</v>
      </c>
      <c r="AH238" s="289">
        <f t="shared" si="17"/>
        <v>426.56988231300522</v>
      </c>
      <c r="AJ238" s="289">
        <f t="shared" si="18"/>
        <v>54</v>
      </c>
      <c r="AK238" s="289">
        <f t="shared" si="19"/>
        <v>23034.773644902281</v>
      </c>
    </row>
    <row r="239" spans="1:37">
      <c r="A239" s="703" t="s">
        <v>797</v>
      </c>
      <c r="B239" s="703" t="s">
        <v>331</v>
      </c>
      <c r="C239" s="703" t="s">
        <v>390</v>
      </c>
      <c r="D239" s="703" t="s">
        <v>391</v>
      </c>
      <c r="E239" s="703" t="s">
        <v>334</v>
      </c>
      <c r="F239" s="703" t="s">
        <v>335</v>
      </c>
      <c r="G239" s="703" t="s">
        <v>798</v>
      </c>
      <c r="H239" s="703" t="s">
        <v>334</v>
      </c>
      <c r="I239" s="703" t="s">
        <v>334</v>
      </c>
      <c r="J239" s="703" t="s">
        <v>337</v>
      </c>
      <c r="K239" s="704">
        <v>0</v>
      </c>
      <c r="L239" s="703" t="s">
        <v>334</v>
      </c>
      <c r="M239" s="702">
        <v>42794</v>
      </c>
      <c r="N239" s="702">
        <v>43206</v>
      </c>
      <c r="O239" s="703" t="s">
        <v>338</v>
      </c>
      <c r="P239" s="20">
        <v>310.14</v>
      </c>
      <c r="Q239" s="20">
        <v>0</v>
      </c>
      <c r="R239" s="20">
        <v>0</v>
      </c>
      <c r="S239" s="20">
        <v>0</v>
      </c>
      <c r="T239" s="20">
        <v>310.14</v>
      </c>
      <c r="U239" s="20">
        <v>272.23</v>
      </c>
      <c r="V239" s="20">
        <v>-37.909999999999997</v>
      </c>
      <c r="W239" s="20">
        <v>-48.25</v>
      </c>
      <c r="X239" s="20">
        <v>-10.34</v>
      </c>
      <c r="Y239" s="20">
        <v>0</v>
      </c>
      <c r="Z239" s="20">
        <v>0</v>
      </c>
      <c r="AA239" s="20">
        <v>0</v>
      </c>
      <c r="AB239" s="20">
        <v>261.89</v>
      </c>
      <c r="AC239" t="s">
        <v>188</v>
      </c>
      <c r="AD239" t="s">
        <v>290</v>
      </c>
      <c r="AE239" s="702">
        <f t="shared" si="15"/>
        <v>43252</v>
      </c>
      <c r="AF239" s="289">
        <v>515.1584553412207</v>
      </c>
      <c r="AG239">
        <f t="shared" si="16"/>
        <v>360</v>
      </c>
      <c r="AH239" s="289">
        <f t="shared" si="17"/>
        <v>1.4309957092811687</v>
      </c>
      <c r="AJ239" s="289">
        <f t="shared" si="18"/>
        <v>54</v>
      </c>
      <c r="AK239" s="289">
        <f t="shared" si="19"/>
        <v>77.273768301183111</v>
      </c>
    </row>
    <row r="240" spans="1:37">
      <c r="A240" s="703" t="s">
        <v>799</v>
      </c>
      <c r="B240" s="703" t="s">
        <v>331</v>
      </c>
      <c r="C240" s="703" t="s">
        <v>390</v>
      </c>
      <c r="D240" s="703" t="s">
        <v>391</v>
      </c>
      <c r="E240" s="703" t="s">
        <v>334</v>
      </c>
      <c r="F240" s="703" t="s">
        <v>335</v>
      </c>
      <c r="G240" s="703" t="s">
        <v>800</v>
      </c>
      <c r="H240" s="703" t="s">
        <v>334</v>
      </c>
      <c r="I240" s="703" t="s">
        <v>334</v>
      </c>
      <c r="J240" s="703" t="s">
        <v>337</v>
      </c>
      <c r="K240" s="704">
        <v>0</v>
      </c>
      <c r="L240" s="703" t="s">
        <v>334</v>
      </c>
      <c r="M240" s="702">
        <v>42794</v>
      </c>
      <c r="N240" s="702">
        <v>43206</v>
      </c>
      <c r="O240" s="703" t="s">
        <v>338</v>
      </c>
      <c r="P240" s="20">
        <v>362.8</v>
      </c>
      <c r="Q240" s="20">
        <v>0</v>
      </c>
      <c r="R240" s="20">
        <v>0</v>
      </c>
      <c r="S240" s="20">
        <v>0</v>
      </c>
      <c r="T240" s="20">
        <v>362.8</v>
      </c>
      <c r="U240" s="20">
        <v>318.47000000000003</v>
      </c>
      <c r="V240" s="20">
        <v>-44.33</v>
      </c>
      <c r="W240" s="20">
        <v>-56.42</v>
      </c>
      <c r="X240" s="20">
        <v>-12.09</v>
      </c>
      <c r="Y240" s="20">
        <v>0</v>
      </c>
      <c r="Z240" s="20">
        <v>0</v>
      </c>
      <c r="AA240" s="20">
        <v>0</v>
      </c>
      <c r="AB240" s="20">
        <v>306.38</v>
      </c>
      <c r="AC240" t="s">
        <v>188</v>
      </c>
      <c r="AD240" t="s">
        <v>290</v>
      </c>
      <c r="AE240" s="702">
        <f t="shared" si="15"/>
        <v>43252</v>
      </c>
      <c r="AF240" s="289">
        <v>602.62941767522693</v>
      </c>
      <c r="AG240">
        <f t="shared" si="16"/>
        <v>360</v>
      </c>
      <c r="AH240" s="289">
        <f t="shared" si="17"/>
        <v>1.6739706046534082</v>
      </c>
      <c r="AJ240" s="289">
        <f t="shared" si="18"/>
        <v>54</v>
      </c>
      <c r="AK240" s="289">
        <f t="shared" si="19"/>
        <v>90.394412651284043</v>
      </c>
    </row>
    <row r="241" spans="1:37">
      <c r="A241" s="703" t="s">
        <v>801</v>
      </c>
      <c r="B241" s="703" t="s">
        <v>331</v>
      </c>
      <c r="C241" s="703" t="s">
        <v>390</v>
      </c>
      <c r="D241" s="703" t="s">
        <v>391</v>
      </c>
      <c r="E241" s="703" t="s">
        <v>334</v>
      </c>
      <c r="F241" s="703" t="s">
        <v>335</v>
      </c>
      <c r="G241" s="703" t="s">
        <v>802</v>
      </c>
      <c r="H241" s="703" t="s">
        <v>334</v>
      </c>
      <c r="I241" s="703" t="s">
        <v>334</v>
      </c>
      <c r="J241" s="703" t="s">
        <v>337</v>
      </c>
      <c r="K241" s="704">
        <v>0</v>
      </c>
      <c r="L241" s="703" t="s">
        <v>334</v>
      </c>
      <c r="M241" s="702">
        <v>42794</v>
      </c>
      <c r="N241" s="702">
        <v>43206</v>
      </c>
      <c r="O241" s="703" t="s">
        <v>338</v>
      </c>
      <c r="P241" s="20">
        <v>17859.400000000001</v>
      </c>
      <c r="Q241" s="20">
        <v>0</v>
      </c>
      <c r="R241" s="20">
        <v>0</v>
      </c>
      <c r="S241" s="20">
        <v>0</v>
      </c>
      <c r="T241" s="20">
        <v>17859.400000000001</v>
      </c>
      <c r="U241" s="20">
        <v>15676.59</v>
      </c>
      <c r="V241" s="20">
        <v>-2182.81</v>
      </c>
      <c r="W241" s="20">
        <v>-2778.12</v>
      </c>
      <c r="X241" s="20">
        <v>-595.30999999999995</v>
      </c>
      <c r="Y241" s="20">
        <v>0</v>
      </c>
      <c r="Z241" s="20">
        <v>0</v>
      </c>
      <c r="AA241" s="20">
        <v>0</v>
      </c>
      <c r="AB241" s="20">
        <v>15081.28</v>
      </c>
      <c r="AC241" t="s">
        <v>188</v>
      </c>
      <c r="AD241" t="s">
        <v>290</v>
      </c>
      <c r="AE241" s="702">
        <f t="shared" si="15"/>
        <v>43252</v>
      </c>
      <c r="AF241" s="289">
        <v>29665.37988431353</v>
      </c>
      <c r="AG241">
        <f t="shared" si="16"/>
        <v>360</v>
      </c>
      <c r="AH241" s="289">
        <f t="shared" si="17"/>
        <v>82.40383301198203</v>
      </c>
      <c r="AJ241" s="289">
        <f t="shared" si="18"/>
        <v>54</v>
      </c>
      <c r="AK241" s="289">
        <f t="shared" si="19"/>
        <v>4449.8069826470301</v>
      </c>
    </row>
    <row r="242" spans="1:37">
      <c r="A242" s="703" t="s">
        <v>803</v>
      </c>
      <c r="B242" s="703" t="s">
        <v>331</v>
      </c>
      <c r="C242" s="703" t="s">
        <v>574</v>
      </c>
      <c r="D242" s="703" t="s">
        <v>575</v>
      </c>
      <c r="E242" s="703" t="s">
        <v>334</v>
      </c>
      <c r="F242" s="703" t="s">
        <v>335</v>
      </c>
      <c r="G242" s="703" t="s">
        <v>804</v>
      </c>
      <c r="H242" s="703" t="s">
        <v>334</v>
      </c>
      <c r="I242" s="703" t="s">
        <v>334</v>
      </c>
      <c r="J242" s="703" t="s">
        <v>577</v>
      </c>
      <c r="K242" s="704">
        <v>0</v>
      </c>
      <c r="L242" s="703" t="s">
        <v>334</v>
      </c>
      <c r="M242" s="702">
        <v>42886</v>
      </c>
      <c r="N242" s="702">
        <v>43206</v>
      </c>
      <c r="O242" s="703" t="s">
        <v>338</v>
      </c>
      <c r="P242" s="20">
        <v>2253.81</v>
      </c>
      <c r="Q242" s="20">
        <v>0</v>
      </c>
      <c r="R242" s="20">
        <v>0</v>
      </c>
      <c r="S242" s="20">
        <v>0</v>
      </c>
      <c r="T242" s="20">
        <v>2253.81</v>
      </c>
      <c r="U242" s="20">
        <v>1978.34</v>
      </c>
      <c r="V242" s="20">
        <v>-275.47000000000003</v>
      </c>
      <c r="W242" s="20">
        <v>-350.6</v>
      </c>
      <c r="X242" s="20">
        <v>-75.13</v>
      </c>
      <c r="Y242" s="20">
        <v>0</v>
      </c>
      <c r="Z242" s="20">
        <v>0</v>
      </c>
      <c r="AA242" s="20">
        <v>0</v>
      </c>
      <c r="AB242" s="20">
        <v>1903.21</v>
      </c>
      <c r="AC242" t="s">
        <v>578</v>
      </c>
      <c r="AD242" t="s">
        <v>290</v>
      </c>
      <c r="AE242" s="702">
        <f t="shared" si="15"/>
        <v>43252</v>
      </c>
      <c r="AF242" s="289">
        <v>3743.6940679454337</v>
      </c>
      <c r="AG242">
        <f t="shared" si="16"/>
        <v>360</v>
      </c>
      <c r="AH242" s="289">
        <f t="shared" si="17"/>
        <v>10.399150188737316</v>
      </c>
      <c r="AJ242" s="289">
        <f t="shared" si="18"/>
        <v>54</v>
      </c>
      <c r="AK242" s="289">
        <f t="shared" si="19"/>
        <v>561.55411019181508</v>
      </c>
    </row>
    <row r="243" spans="1:37">
      <c r="A243" s="703" t="s">
        <v>805</v>
      </c>
      <c r="B243" s="703" t="s">
        <v>331</v>
      </c>
      <c r="C243" s="703" t="s">
        <v>574</v>
      </c>
      <c r="D243" s="703" t="s">
        <v>575</v>
      </c>
      <c r="E243" s="703" t="s">
        <v>334</v>
      </c>
      <c r="F243" s="703" t="s">
        <v>335</v>
      </c>
      <c r="G243" s="703" t="s">
        <v>806</v>
      </c>
      <c r="H243" s="703" t="s">
        <v>334</v>
      </c>
      <c r="I243" s="703" t="s">
        <v>334</v>
      </c>
      <c r="J243" s="703" t="s">
        <v>577</v>
      </c>
      <c r="K243" s="704">
        <v>0</v>
      </c>
      <c r="L243" s="703" t="s">
        <v>334</v>
      </c>
      <c r="M243" s="702">
        <v>42886</v>
      </c>
      <c r="N243" s="702">
        <v>43206</v>
      </c>
      <c r="O243" s="703" t="s">
        <v>338</v>
      </c>
      <c r="P243" s="20">
        <v>1183.05</v>
      </c>
      <c r="Q243" s="20">
        <v>0</v>
      </c>
      <c r="R243" s="20">
        <v>0</v>
      </c>
      <c r="S243" s="20">
        <v>0</v>
      </c>
      <c r="T243" s="20">
        <v>1183.05</v>
      </c>
      <c r="U243" s="20">
        <v>1038.44</v>
      </c>
      <c r="V243" s="20">
        <v>-144.61000000000001</v>
      </c>
      <c r="W243" s="20">
        <v>-184.05</v>
      </c>
      <c r="X243" s="20">
        <v>-39.44</v>
      </c>
      <c r="Y243" s="20">
        <v>0</v>
      </c>
      <c r="Z243" s="20">
        <v>0</v>
      </c>
      <c r="AA243" s="20">
        <v>0</v>
      </c>
      <c r="AB243" s="20">
        <v>999</v>
      </c>
      <c r="AC243" t="s">
        <v>578</v>
      </c>
      <c r="AD243" t="s">
        <v>290</v>
      </c>
      <c r="AE243" s="702">
        <f t="shared" si="15"/>
        <v>43252</v>
      </c>
      <c r="AF243" s="289">
        <v>1965.1067601451962</v>
      </c>
      <c r="AG243">
        <f t="shared" si="16"/>
        <v>360</v>
      </c>
      <c r="AH243" s="289">
        <f t="shared" si="17"/>
        <v>5.4586298892922116</v>
      </c>
      <c r="AJ243" s="289">
        <f t="shared" si="18"/>
        <v>54</v>
      </c>
      <c r="AK243" s="289">
        <f t="shared" si="19"/>
        <v>294.76601402177943</v>
      </c>
    </row>
    <row r="244" spans="1:37">
      <c r="A244" s="703" t="s">
        <v>807</v>
      </c>
      <c r="B244" s="703" t="s">
        <v>331</v>
      </c>
      <c r="C244" s="703" t="s">
        <v>574</v>
      </c>
      <c r="D244" s="703" t="s">
        <v>575</v>
      </c>
      <c r="E244" s="703" t="s">
        <v>334</v>
      </c>
      <c r="F244" s="703" t="s">
        <v>335</v>
      </c>
      <c r="G244" s="703" t="s">
        <v>808</v>
      </c>
      <c r="H244" s="703" t="s">
        <v>334</v>
      </c>
      <c r="I244" s="703" t="s">
        <v>334</v>
      </c>
      <c r="J244" s="703" t="s">
        <v>577</v>
      </c>
      <c r="K244" s="704">
        <v>0</v>
      </c>
      <c r="L244" s="703" t="s">
        <v>334</v>
      </c>
      <c r="M244" s="702">
        <v>42886</v>
      </c>
      <c r="N244" s="702">
        <v>43206</v>
      </c>
      <c r="O244" s="703" t="s">
        <v>338</v>
      </c>
      <c r="P244" s="20">
        <v>2541.77</v>
      </c>
      <c r="Q244" s="20">
        <v>0</v>
      </c>
      <c r="R244" s="20">
        <v>0</v>
      </c>
      <c r="S244" s="20">
        <v>0</v>
      </c>
      <c r="T244" s="20">
        <v>2541.77</v>
      </c>
      <c r="U244" s="20">
        <v>2231.1</v>
      </c>
      <c r="V244" s="20">
        <v>-310.67</v>
      </c>
      <c r="W244" s="20">
        <v>-395.4</v>
      </c>
      <c r="X244" s="20">
        <v>-84.73</v>
      </c>
      <c r="Y244" s="20">
        <v>0</v>
      </c>
      <c r="Z244" s="20">
        <v>0</v>
      </c>
      <c r="AA244" s="20">
        <v>0</v>
      </c>
      <c r="AB244" s="20">
        <v>2146.37</v>
      </c>
      <c r="AC244" t="s">
        <v>578</v>
      </c>
      <c r="AD244" t="s">
        <v>290</v>
      </c>
      <c r="AE244" s="702">
        <f t="shared" si="15"/>
        <v>43252</v>
      </c>
      <c r="AF244" s="289">
        <v>4222.0104050836871</v>
      </c>
      <c r="AG244">
        <f t="shared" si="16"/>
        <v>360</v>
      </c>
      <c r="AH244" s="289">
        <f t="shared" si="17"/>
        <v>11.727806680788019</v>
      </c>
      <c r="AJ244" s="289">
        <f t="shared" si="18"/>
        <v>54</v>
      </c>
      <c r="AK244" s="289">
        <f t="shared" si="19"/>
        <v>633.30156076255298</v>
      </c>
    </row>
    <row r="245" spans="1:37">
      <c r="A245" s="703" t="s">
        <v>809</v>
      </c>
      <c r="B245" s="703" t="s">
        <v>331</v>
      </c>
      <c r="C245" s="703" t="s">
        <v>472</v>
      </c>
      <c r="D245" s="703" t="s">
        <v>334</v>
      </c>
      <c r="E245" s="703" t="s">
        <v>334</v>
      </c>
      <c r="F245" s="703" t="s">
        <v>474</v>
      </c>
      <c r="G245" s="703" t="s">
        <v>810</v>
      </c>
      <c r="H245" s="703" t="s">
        <v>811</v>
      </c>
      <c r="I245" s="703" t="s">
        <v>334</v>
      </c>
      <c r="J245" s="703" t="s">
        <v>476</v>
      </c>
      <c r="K245" s="704">
        <v>0</v>
      </c>
      <c r="L245" s="703" t="s">
        <v>334</v>
      </c>
      <c r="M245" s="702"/>
      <c r="N245" s="702">
        <v>43220</v>
      </c>
      <c r="O245" s="703" t="s">
        <v>338</v>
      </c>
      <c r="P245" s="20">
        <v>5600</v>
      </c>
      <c r="Q245" s="20">
        <v>0</v>
      </c>
      <c r="R245" s="20">
        <v>0</v>
      </c>
      <c r="S245" s="20">
        <v>0</v>
      </c>
      <c r="T245" s="20">
        <v>5600</v>
      </c>
      <c r="U245" s="20">
        <v>3546.67</v>
      </c>
      <c r="V245" s="20">
        <v>-2053.33</v>
      </c>
      <c r="W245" s="20">
        <v>-2613.33</v>
      </c>
      <c r="X245" s="20">
        <v>-560</v>
      </c>
      <c r="Y245" s="20">
        <v>0</v>
      </c>
      <c r="Z245" s="20">
        <v>0</v>
      </c>
      <c r="AA245" s="20">
        <v>0</v>
      </c>
      <c r="AB245" s="20">
        <v>2986.67</v>
      </c>
      <c r="AC245" t="s">
        <v>477</v>
      </c>
      <c r="AD245" t="s">
        <v>290</v>
      </c>
      <c r="AE245" s="702">
        <f t="shared" si="15"/>
        <v>43252</v>
      </c>
      <c r="AF245" s="289">
        <v>9301.8873731567564</v>
      </c>
      <c r="AG245">
        <f t="shared" si="16"/>
        <v>360</v>
      </c>
      <c r="AH245" s="289">
        <f t="shared" si="17"/>
        <v>25.838576036546545</v>
      </c>
      <c r="AJ245" s="289">
        <f t="shared" si="18"/>
        <v>54</v>
      </c>
      <c r="AK245" s="289">
        <f t="shared" si="19"/>
        <v>1395.2831059735133</v>
      </c>
    </row>
    <row r="246" spans="1:37">
      <c r="A246" s="703" t="s">
        <v>812</v>
      </c>
      <c r="B246" s="703" t="s">
        <v>331</v>
      </c>
      <c r="C246" s="703" t="s">
        <v>332</v>
      </c>
      <c r="D246" s="703" t="s">
        <v>333</v>
      </c>
      <c r="E246" s="703" t="s">
        <v>334</v>
      </c>
      <c r="F246" s="703" t="s">
        <v>335</v>
      </c>
      <c r="G246" s="703" t="s">
        <v>524</v>
      </c>
      <c r="H246" s="703" t="s">
        <v>334</v>
      </c>
      <c r="I246" s="703" t="s">
        <v>334</v>
      </c>
      <c r="J246" s="703" t="s">
        <v>337</v>
      </c>
      <c r="K246" s="704">
        <v>0</v>
      </c>
      <c r="L246" s="703" t="s">
        <v>334</v>
      </c>
      <c r="M246" s="702">
        <v>39478</v>
      </c>
      <c r="N246" s="702">
        <v>43235</v>
      </c>
      <c r="O246" s="703" t="s">
        <v>338</v>
      </c>
      <c r="P246" s="20">
        <v>44832.95</v>
      </c>
      <c r="Q246" s="20">
        <v>0</v>
      </c>
      <c r="R246" s="20">
        <v>0</v>
      </c>
      <c r="S246" s="20">
        <v>0</v>
      </c>
      <c r="T246" s="20">
        <v>44832.95</v>
      </c>
      <c r="U246" s="20">
        <v>39477.910000000003</v>
      </c>
      <c r="V246" s="20">
        <v>-5355.04</v>
      </c>
      <c r="W246" s="20">
        <v>-6849.47</v>
      </c>
      <c r="X246" s="20">
        <v>-1494.43</v>
      </c>
      <c r="Y246" s="20">
        <v>0</v>
      </c>
      <c r="Z246" s="20">
        <v>0</v>
      </c>
      <c r="AA246" s="20">
        <v>0</v>
      </c>
      <c r="AB246" s="20">
        <v>37983.480000000003</v>
      </c>
      <c r="AC246" t="s">
        <v>183</v>
      </c>
      <c r="AD246" t="s">
        <v>290</v>
      </c>
      <c r="AE246" s="702">
        <f t="shared" si="15"/>
        <v>43252</v>
      </c>
      <c r="AF246" s="289">
        <v>74469.830626137176</v>
      </c>
      <c r="AG246">
        <f t="shared" si="16"/>
        <v>360</v>
      </c>
      <c r="AH246" s="289">
        <f t="shared" si="17"/>
        <v>206.86064062815882</v>
      </c>
      <c r="AJ246" s="289">
        <f t="shared" si="18"/>
        <v>54</v>
      </c>
      <c r="AK246" s="289">
        <f t="shared" si="19"/>
        <v>11170.474593920577</v>
      </c>
    </row>
    <row r="247" spans="1:37">
      <c r="A247" s="703" t="s">
        <v>813</v>
      </c>
      <c r="B247" s="703" t="s">
        <v>331</v>
      </c>
      <c r="C247" s="703" t="s">
        <v>332</v>
      </c>
      <c r="D247" s="703" t="s">
        <v>333</v>
      </c>
      <c r="E247" s="703" t="s">
        <v>334</v>
      </c>
      <c r="F247" s="703" t="s">
        <v>335</v>
      </c>
      <c r="G247" s="703" t="s">
        <v>342</v>
      </c>
      <c r="H247" s="703" t="s">
        <v>334</v>
      </c>
      <c r="I247" s="703" t="s">
        <v>334</v>
      </c>
      <c r="J247" s="703" t="s">
        <v>337</v>
      </c>
      <c r="K247" s="704">
        <v>0</v>
      </c>
      <c r="L247" s="703" t="s">
        <v>334</v>
      </c>
      <c r="M247" s="702">
        <v>42886</v>
      </c>
      <c r="N247" s="702">
        <v>43235</v>
      </c>
      <c r="O247" s="703" t="s">
        <v>338</v>
      </c>
      <c r="P247" s="20">
        <v>61482.92</v>
      </c>
      <c r="Q247" s="20">
        <v>0</v>
      </c>
      <c r="R247" s="20">
        <v>0</v>
      </c>
      <c r="S247" s="20">
        <v>0</v>
      </c>
      <c r="T247" s="20">
        <v>61482.92</v>
      </c>
      <c r="U247" s="20">
        <v>54139.13</v>
      </c>
      <c r="V247" s="20">
        <v>-7343.79</v>
      </c>
      <c r="W247" s="20">
        <v>-9393.2199999999993</v>
      </c>
      <c r="X247" s="20">
        <v>-2049.4299999999998</v>
      </c>
      <c r="Y247" s="20">
        <v>0</v>
      </c>
      <c r="Z247" s="20">
        <v>0</v>
      </c>
      <c r="AA247" s="20">
        <v>0</v>
      </c>
      <c r="AB247" s="20">
        <v>52089.7</v>
      </c>
      <c r="AC247" t="s">
        <v>183</v>
      </c>
      <c r="AD247" t="s">
        <v>290</v>
      </c>
      <c r="AE247" s="702">
        <f t="shared" si="15"/>
        <v>43252</v>
      </c>
      <c r="AF247" s="289">
        <v>102126.28521657268</v>
      </c>
      <c r="AG247">
        <f t="shared" si="16"/>
        <v>360</v>
      </c>
      <c r="AH247" s="289">
        <f t="shared" si="17"/>
        <v>283.68412560159078</v>
      </c>
      <c r="AJ247" s="289">
        <f t="shared" si="18"/>
        <v>54</v>
      </c>
      <c r="AK247" s="289">
        <f t="shared" si="19"/>
        <v>15318.942782485901</v>
      </c>
    </row>
    <row r="248" spans="1:37">
      <c r="A248" s="703" t="s">
        <v>814</v>
      </c>
      <c r="B248" s="703" t="s">
        <v>331</v>
      </c>
      <c r="C248" s="703" t="s">
        <v>332</v>
      </c>
      <c r="D248" s="703" t="s">
        <v>333</v>
      </c>
      <c r="E248" s="703" t="s">
        <v>334</v>
      </c>
      <c r="F248" s="703" t="s">
        <v>335</v>
      </c>
      <c r="G248" s="703" t="s">
        <v>344</v>
      </c>
      <c r="H248" s="703" t="s">
        <v>334</v>
      </c>
      <c r="I248" s="703" t="s">
        <v>334</v>
      </c>
      <c r="J248" s="703" t="s">
        <v>337</v>
      </c>
      <c r="K248" s="704">
        <v>0</v>
      </c>
      <c r="L248" s="703" t="s">
        <v>334</v>
      </c>
      <c r="M248" s="702">
        <v>39478</v>
      </c>
      <c r="N248" s="702">
        <v>43235</v>
      </c>
      <c r="O248" s="703" t="s">
        <v>338</v>
      </c>
      <c r="P248" s="20">
        <v>58484.47</v>
      </c>
      <c r="Q248" s="20">
        <v>0</v>
      </c>
      <c r="R248" s="20">
        <v>0</v>
      </c>
      <c r="S248" s="20">
        <v>0</v>
      </c>
      <c r="T248" s="20">
        <v>58484.47</v>
      </c>
      <c r="U248" s="20">
        <v>51498.83</v>
      </c>
      <c r="V248" s="20">
        <v>-6985.64</v>
      </c>
      <c r="W248" s="20">
        <v>-8935.1200000000008</v>
      </c>
      <c r="X248" s="20">
        <v>-1949.48</v>
      </c>
      <c r="Y248" s="20">
        <v>0</v>
      </c>
      <c r="Z248" s="20">
        <v>0</v>
      </c>
      <c r="AA248" s="20">
        <v>0</v>
      </c>
      <c r="AB248" s="20">
        <v>49549.35</v>
      </c>
      <c r="AC248" t="s">
        <v>183</v>
      </c>
      <c r="AD248" t="s">
        <v>290</v>
      </c>
      <c r="AE248" s="702">
        <f t="shared" si="15"/>
        <v>43252</v>
      </c>
      <c r="AF248" s="289">
        <v>97145.705896208063</v>
      </c>
      <c r="AG248">
        <f t="shared" si="16"/>
        <v>360</v>
      </c>
      <c r="AH248" s="289">
        <f t="shared" si="17"/>
        <v>269.84918304502241</v>
      </c>
      <c r="AJ248" s="289">
        <f t="shared" si="18"/>
        <v>54</v>
      </c>
      <c r="AK248" s="289">
        <f t="shared" si="19"/>
        <v>14571.85588443121</v>
      </c>
    </row>
    <row r="249" spans="1:37">
      <c r="A249" s="703" t="s">
        <v>815</v>
      </c>
      <c r="B249" s="703" t="s">
        <v>331</v>
      </c>
      <c r="C249" s="703" t="s">
        <v>332</v>
      </c>
      <c r="D249" s="703" t="s">
        <v>333</v>
      </c>
      <c r="E249" s="703" t="s">
        <v>334</v>
      </c>
      <c r="F249" s="703" t="s">
        <v>335</v>
      </c>
      <c r="G249" s="703" t="s">
        <v>816</v>
      </c>
      <c r="H249" s="703" t="s">
        <v>334</v>
      </c>
      <c r="I249" s="703" t="s">
        <v>334</v>
      </c>
      <c r="J249" s="703" t="s">
        <v>337</v>
      </c>
      <c r="K249" s="704">
        <v>0</v>
      </c>
      <c r="L249" s="703" t="s">
        <v>334</v>
      </c>
      <c r="M249" s="702">
        <v>39478</v>
      </c>
      <c r="N249" s="702">
        <v>43235</v>
      </c>
      <c r="O249" s="703" t="s">
        <v>338</v>
      </c>
      <c r="P249" s="20">
        <v>1786</v>
      </c>
      <c r="Q249" s="20">
        <v>0</v>
      </c>
      <c r="R249" s="20">
        <v>0</v>
      </c>
      <c r="S249" s="20">
        <v>0</v>
      </c>
      <c r="T249" s="20">
        <v>1786</v>
      </c>
      <c r="U249" s="20">
        <v>1572.68</v>
      </c>
      <c r="V249" s="20">
        <v>-213.32</v>
      </c>
      <c r="W249" s="20">
        <v>-272.85000000000002</v>
      </c>
      <c r="X249" s="20">
        <v>-59.53</v>
      </c>
      <c r="Y249" s="20">
        <v>0</v>
      </c>
      <c r="Z249" s="20">
        <v>0</v>
      </c>
      <c r="AA249" s="20">
        <v>0</v>
      </c>
      <c r="AB249" s="20">
        <v>1513.15</v>
      </c>
      <c r="AC249" t="s">
        <v>183</v>
      </c>
      <c r="AD249" t="s">
        <v>290</v>
      </c>
      <c r="AE249" s="702">
        <f t="shared" si="15"/>
        <v>43252</v>
      </c>
      <c r="AF249" s="289">
        <v>2966.6376515103511</v>
      </c>
      <c r="AG249">
        <f t="shared" si="16"/>
        <v>360</v>
      </c>
      <c r="AH249" s="289">
        <f t="shared" si="17"/>
        <v>8.2406601430843089</v>
      </c>
      <c r="AJ249" s="289">
        <f t="shared" si="18"/>
        <v>54</v>
      </c>
      <c r="AK249" s="289">
        <f t="shared" si="19"/>
        <v>444.9956477265527</v>
      </c>
    </row>
    <row r="250" spans="1:37">
      <c r="A250" s="703" t="s">
        <v>817</v>
      </c>
      <c r="B250" s="703" t="s">
        <v>331</v>
      </c>
      <c r="C250" s="703" t="s">
        <v>332</v>
      </c>
      <c r="D250" s="703" t="s">
        <v>333</v>
      </c>
      <c r="E250" s="703" t="s">
        <v>334</v>
      </c>
      <c r="F250" s="703" t="s">
        <v>335</v>
      </c>
      <c r="G250" s="703" t="s">
        <v>818</v>
      </c>
      <c r="H250" s="703" t="s">
        <v>334</v>
      </c>
      <c r="I250" s="703" t="s">
        <v>334</v>
      </c>
      <c r="J250" s="703" t="s">
        <v>337</v>
      </c>
      <c r="K250" s="704">
        <v>0</v>
      </c>
      <c r="L250" s="703" t="s">
        <v>334</v>
      </c>
      <c r="M250" s="702">
        <v>39478</v>
      </c>
      <c r="N250" s="702">
        <v>43235</v>
      </c>
      <c r="O250" s="703" t="s">
        <v>338</v>
      </c>
      <c r="P250" s="20">
        <v>194650.87</v>
      </c>
      <c r="Q250" s="20">
        <v>0</v>
      </c>
      <c r="R250" s="20">
        <v>0</v>
      </c>
      <c r="S250" s="20">
        <v>0</v>
      </c>
      <c r="T250" s="20">
        <v>194650.87</v>
      </c>
      <c r="U250" s="20">
        <v>171400.91</v>
      </c>
      <c r="V250" s="20">
        <v>-23249.96</v>
      </c>
      <c r="W250" s="20">
        <v>-29738.32</v>
      </c>
      <c r="X250" s="20">
        <v>-6488.36</v>
      </c>
      <c r="Y250" s="20">
        <v>0</v>
      </c>
      <c r="Z250" s="20">
        <v>0</v>
      </c>
      <c r="AA250" s="20">
        <v>0</v>
      </c>
      <c r="AB250" s="20">
        <v>164912.54999999999</v>
      </c>
      <c r="AC250" t="s">
        <v>183</v>
      </c>
      <c r="AD250" t="s">
        <v>290</v>
      </c>
      <c r="AE250" s="702">
        <f t="shared" si="15"/>
        <v>43252</v>
      </c>
      <c r="AF250" s="289">
        <v>323325.08389767451</v>
      </c>
      <c r="AG250">
        <f t="shared" si="16"/>
        <v>360</v>
      </c>
      <c r="AH250" s="289">
        <f t="shared" si="17"/>
        <v>898.12523304909587</v>
      </c>
      <c r="AJ250" s="289">
        <f t="shared" si="18"/>
        <v>54</v>
      </c>
      <c r="AK250" s="289">
        <f t="shared" si="19"/>
        <v>48498.76258465118</v>
      </c>
    </row>
    <row r="251" spans="1:37">
      <c r="A251" s="703" t="s">
        <v>819</v>
      </c>
      <c r="B251" s="703" t="s">
        <v>331</v>
      </c>
      <c r="C251" s="703" t="s">
        <v>332</v>
      </c>
      <c r="D251" s="703" t="s">
        <v>333</v>
      </c>
      <c r="E251" s="703" t="s">
        <v>334</v>
      </c>
      <c r="F251" s="703" t="s">
        <v>335</v>
      </c>
      <c r="G251" s="703" t="s">
        <v>820</v>
      </c>
      <c r="H251" s="703" t="s">
        <v>334</v>
      </c>
      <c r="I251" s="703" t="s">
        <v>334</v>
      </c>
      <c r="J251" s="703" t="s">
        <v>337</v>
      </c>
      <c r="K251" s="704">
        <v>0</v>
      </c>
      <c r="L251" s="703" t="s">
        <v>334</v>
      </c>
      <c r="M251" s="702">
        <v>39478</v>
      </c>
      <c r="N251" s="702">
        <v>43235</v>
      </c>
      <c r="O251" s="703" t="s">
        <v>338</v>
      </c>
      <c r="P251" s="20">
        <v>5385.49</v>
      </c>
      <c r="Q251" s="20">
        <v>0</v>
      </c>
      <c r="R251" s="20">
        <v>0</v>
      </c>
      <c r="S251" s="20">
        <v>0</v>
      </c>
      <c r="T251" s="20">
        <v>5385.49</v>
      </c>
      <c r="U251" s="20">
        <v>4742.21</v>
      </c>
      <c r="V251" s="20">
        <v>-643.28</v>
      </c>
      <c r="W251" s="20">
        <v>-822.8</v>
      </c>
      <c r="X251" s="20">
        <v>-179.52</v>
      </c>
      <c r="Y251" s="20">
        <v>0</v>
      </c>
      <c r="Z251" s="20">
        <v>0</v>
      </c>
      <c r="AA251" s="20">
        <v>0</v>
      </c>
      <c r="AB251" s="20">
        <v>4562.6899999999996</v>
      </c>
      <c r="AC251" t="s">
        <v>183</v>
      </c>
      <c r="AD251" t="s">
        <v>290</v>
      </c>
      <c r="AE251" s="702">
        <f t="shared" si="15"/>
        <v>43252</v>
      </c>
      <c r="AF251" s="289">
        <v>8945.5752552253525</v>
      </c>
      <c r="AG251">
        <f t="shared" si="16"/>
        <v>360</v>
      </c>
      <c r="AH251" s="289">
        <f t="shared" si="17"/>
        <v>24.848820153403757</v>
      </c>
      <c r="AJ251" s="289">
        <f t="shared" si="18"/>
        <v>54</v>
      </c>
      <c r="AK251" s="289">
        <f t="shared" si="19"/>
        <v>1341.8362882838028</v>
      </c>
    </row>
    <row r="252" spans="1:37">
      <c r="A252" s="703" t="s">
        <v>821</v>
      </c>
      <c r="B252" s="703" t="s">
        <v>331</v>
      </c>
      <c r="C252" s="703" t="s">
        <v>332</v>
      </c>
      <c r="D252" s="703" t="s">
        <v>333</v>
      </c>
      <c r="E252" s="703" t="s">
        <v>334</v>
      </c>
      <c r="F252" s="703" t="s">
        <v>335</v>
      </c>
      <c r="G252" s="703" t="s">
        <v>822</v>
      </c>
      <c r="H252" s="703" t="s">
        <v>334</v>
      </c>
      <c r="I252" s="703" t="s">
        <v>334</v>
      </c>
      <c r="J252" s="703" t="s">
        <v>337</v>
      </c>
      <c r="K252" s="704">
        <v>0</v>
      </c>
      <c r="L252" s="703" t="s">
        <v>334</v>
      </c>
      <c r="M252" s="702">
        <v>39478</v>
      </c>
      <c r="N252" s="702">
        <v>43235</v>
      </c>
      <c r="O252" s="703" t="s">
        <v>338</v>
      </c>
      <c r="P252" s="20">
        <v>39978.46</v>
      </c>
      <c r="Q252" s="20">
        <v>0</v>
      </c>
      <c r="R252" s="20">
        <v>0</v>
      </c>
      <c r="S252" s="20">
        <v>0</v>
      </c>
      <c r="T252" s="20">
        <v>39978.46</v>
      </c>
      <c r="U252" s="20">
        <v>35203.24</v>
      </c>
      <c r="V252" s="20">
        <v>-4775.22</v>
      </c>
      <c r="W252" s="20">
        <v>-6107.84</v>
      </c>
      <c r="X252" s="20">
        <v>-1332.62</v>
      </c>
      <c r="Y252" s="20">
        <v>0</v>
      </c>
      <c r="Z252" s="20">
        <v>0</v>
      </c>
      <c r="AA252" s="20">
        <v>0</v>
      </c>
      <c r="AB252" s="20">
        <v>33870.620000000003</v>
      </c>
      <c r="AC252" t="s">
        <v>183</v>
      </c>
      <c r="AD252" t="s">
        <v>290</v>
      </c>
      <c r="AE252" s="702">
        <f t="shared" si="15"/>
        <v>43252</v>
      </c>
      <c r="AF252" s="289">
        <v>66406.273620045074</v>
      </c>
      <c r="AG252">
        <f t="shared" si="16"/>
        <v>360</v>
      </c>
      <c r="AH252" s="289">
        <f t="shared" si="17"/>
        <v>184.46187116679187</v>
      </c>
      <c r="AJ252" s="289">
        <f t="shared" si="18"/>
        <v>54</v>
      </c>
      <c r="AK252" s="289">
        <f t="shared" si="19"/>
        <v>9960.9410430067601</v>
      </c>
    </row>
    <row r="253" spans="1:37">
      <c r="A253" s="703" t="s">
        <v>823</v>
      </c>
      <c r="B253" s="703" t="s">
        <v>331</v>
      </c>
      <c r="C253" s="703" t="s">
        <v>332</v>
      </c>
      <c r="D253" s="703" t="s">
        <v>333</v>
      </c>
      <c r="E253" s="703" t="s">
        <v>334</v>
      </c>
      <c r="F253" s="703" t="s">
        <v>335</v>
      </c>
      <c r="G253" s="703" t="s">
        <v>824</v>
      </c>
      <c r="H253" s="703" t="s">
        <v>334</v>
      </c>
      <c r="I253" s="703" t="s">
        <v>334</v>
      </c>
      <c r="J253" s="703" t="s">
        <v>337</v>
      </c>
      <c r="K253" s="704">
        <v>0</v>
      </c>
      <c r="L253" s="703" t="s">
        <v>334</v>
      </c>
      <c r="M253" s="702">
        <v>42886</v>
      </c>
      <c r="N253" s="702">
        <v>43235</v>
      </c>
      <c r="O253" s="703" t="s">
        <v>338</v>
      </c>
      <c r="P253" s="20">
        <v>49203.05</v>
      </c>
      <c r="Q253" s="20">
        <v>0</v>
      </c>
      <c r="R253" s="20">
        <v>0</v>
      </c>
      <c r="S253" s="20">
        <v>0</v>
      </c>
      <c r="T253" s="20">
        <v>49203.05</v>
      </c>
      <c r="U253" s="20">
        <v>43326.02</v>
      </c>
      <c r="V253" s="20">
        <v>-5877.03</v>
      </c>
      <c r="W253" s="20">
        <v>-7517.13</v>
      </c>
      <c r="X253" s="20">
        <v>-1640.1</v>
      </c>
      <c r="Y253" s="20">
        <v>0</v>
      </c>
      <c r="Z253" s="20">
        <v>0</v>
      </c>
      <c r="AA253" s="20">
        <v>0</v>
      </c>
      <c r="AB253" s="20">
        <v>41685.919999999998</v>
      </c>
      <c r="AC253" t="s">
        <v>183</v>
      </c>
      <c r="AD253" t="s">
        <v>290</v>
      </c>
      <c r="AE253" s="702">
        <f t="shared" si="15"/>
        <v>43252</v>
      </c>
      <c r="AF253" s="289">
        <v>81728.790984964391</v>
      </c>
      <c r="AG253">
        <f t="shared" si="16"/>
        <v>360</v>
      </c>
      <c r="AH253" s="289">
        <f t="shared" si="17"/>
        <v>227.02441940267886</v>
      </c>
      <c r="AJ253" s="289">
        <f t="shared" si="18"/>
        <v>54</v>
      </c>
      <c r="AK253" s="289">
        <f t="shared" si="19"/>
        <v>12259.318647744658</v>
      </c>
    </row>
    <row r="254" spans="1:37">
      <c r="A254" s="703" t="s">
        <v>825</v>
      </c>
      <c r="B254" s="703" t="s">
        <v>331</v>
      </c>
      <c r="C254" s="703" t="s">
        <v>332</v>
      </c>
      <c r="D254" s="703" t="s">
        <v>333</v>
      </c>
      <c r="E254" s="703" t="s">
        <v>334</v>
      </c>
      <c r="F254" s="703" t="s">
        <v>335</v>
      </c>
      <c r="G254" s="703" t="s">
        <v>826</v>
      </c>
      <c r="H254" s="703" t="s">
        <v>334</v>
      </c>
      <c r="I254" s="703" t="s">
        <v>334</v>
      </c>
      <c r="J254" s="703" t="s">
        <v>337</v>
      </c>
      <c r="K254" s="704">
        <v>0</v>
      </c>
      <c r="L254" s="703" t="s">
        <v>334</v>
      </c>
      <c r="M254" s="702">
        <v>39478</v>
      </c>
      <c r="N254" s="702">
        <v>43235</v>
      </c>
      <c r="O254" s="703" t="s">
        <v>338</v>
      </c>
      <c r="P254" s="20">
        <v>90151.59</v>
      </c>
      <c r="Q254" s="20">
        <v>0</v>
      </c>
      <c r="R254" s="20">
        <v>0</v>
      </c>
      <c r="S254" s="20">
        <v>0</v>
      </c>
      <c r="T254" s="20">
        <v>90151.59</v>
      </c>
      <c r="U254" s="20">
        <v>79383.490000000005</v>
      </c>
      <c r="V254" s="20">
        <v>-10768.1</v>
      </c>
      <c r="W254" s="20">
        <v>-13773.15</v>
      </c>
      <c r="X254" s="20">
        <v>-3005.05</v>
      </c>
      <c r="Y254" s="20">
        <v>0</v>
      </c>
      <c r="Z254" s="20">
        <v>0</v>
      </c>
      <c r="AA254" s="20">
        <v>0</v>
      </c>
      <c r="AB254" s="20">
        <v>76378.44</v>
      </c>
      <c r="AC254" t="s">
        <v>183</v>
      </c>
      <c r="AD254" t="s">
        <v>290</v>
      </c>
      <c r="AE254" s="702">
        <f t="shared" si="15"/>
        <v>43252</v>
      </c>
      <c r="AF254" s="289">
        <v>149746.41726625088</v>
      </c>
      <c r="AG254">
        <f t="shared" si="16"/>
        <v>360</v>
      </c>
      <c r="AH254" s="289">
        <f t="shared" si="17"/>
        <v>415.96227018403022</v>
      </c>
      <c r="AJ254" s="289">
        <f t="shared" si="18"/>
        <v>54</v>
      </c>
      <c r="AK254" s="289">
        <f t="shared" si="19"/>
        <v>22461.962589937633</v>
      </c>
    </row>
    <row r="255" spans="1:37">
      <c r="A255" s="703" t="s">
        <v>827</v>
      </c>
      <c r="B255" s="703" t="s">
        <v>331</v>
      </c>
      <c r="C255" s="703" t="s">
        <v>332</v>
      </c>
      <c r="D255" s="703" t="s">
        <v>333</v>
      </c>
      <c r="E255" s="703" t="s">
        <v>334</v>
      </c>
      <c r="F255" s="703" t="s">
        <v>335</v>
      </c>
      <c r="G255" s="703" t="s">
        <v>828</v>
      </c>
      <c r="H255" s="703" t="s">
        <v>334</v>
      </c>
      <c r="I255" s="703" t="s">
        <v>334</v>
      </c>
      <c r="J255" s="703" t="s">
        <v>337</v>
      </c>
      <c r="K255" s="704">
        <v>0</v>
      </c>
      <c r="L255" s="703" t="s">
        <v>334</v>
      </c>
      <c r="M255" s="702">
        <v>39478</v>
      </c>
      <c r="N255" s="702">
        <v>43235</v>
      </c>
      <c r="O255" s="703" t="s">
        <v>338</v>
      </c>
      <c r="P255" s="20">
        <v>6722.38</v>
      </c>
      <c r="Q255" s="20">
        <v>0</v>
      </c>
      <c r="R255" s="20">
        <v>0</v>
      </c>
      <c r="S255" s="20">
        <v>0</v>
      </c>
      <c r="T255" s="20">
        <v>6722.38</v>
      </c>
      <c r="U255" s="20">
        <v>5919.43</v>
      </c>
      <c r="V255" s="20">
        <v>-802.95</v>
      </c>
      <c r="W255" s="20">
        <v>-1027.03</v>
      </c>
      <c r="X255" s="20">
        <v>-224.08</v>
      </c>
      <c r="Y255" s="20">
        <v>0</v>
      </c>
      <c r="Z255" s="20">
        <v>0</v>
      </c>
      <c r="AA255" s="20">
        <v>0</v>
      </c>
      <c r="AB255" s="20">
        <v>5695.35</v>
      </c>
      <c r="AC255" t="s">
        <v>183</v>
      </c>
      <c r="AD255" t="s">
        <v>290</v>
      </c>
      <c r="AE255" s="702">
        <f t="shared" si="15"/>
        <v>43252</v>
      </c>
      <c r="AF255" s="289">
        <v>11166.2181499217</v>
      </c>
      <c r="AG255">
        <f t="shared" si="16"/>
        <v>360</v>
      </c>
      <c r="AH255" s="289">
        <f t="shared" si="17"/>
        <v>31.01727263867139</v>
      </c>
      <c r="AJ255" s="289">
        <f t="shared" si="18"/>
        <v>54</v>
      </c>
      <c r="AK255" s="289">
        <f t="shared" si="19"/>
        <v>1674.932722488255</v>
      </c>
    </row>
    <row r="256" spans="1:37">
      <c r="A256" s="703" t="s">
        <v>829</v>
      </c>
      <c r="B256" s="703" t="s">
        <v>331</v>
      </c>
      <c r="C256" s="703" t="s">
        <v>332</v>
      </c>
      <c r="D256" s="703" t="s">
        <v>333</v>
      </c>
      <c r="E256" s="703" t="s">
        <v>334</v>
      </c>
      <c r="F256" s="703" t="s">
        <v>335</v>
      </c>
      <c r="G256" s="703" t="s">
        <v>830</v>
      </c>
      <c r="H256" s="703" t="s">
        <v>334</v>
      </c>
      <c r="I256" s="703" t="s">
        <v>334</v>
      </c>
      <c r="J256" s="703" t="s">
        <v>337</v>
      </c>
      <c r="K256" s="704">
        <v>0</v>
      </c>
      <c r="L256" s="703" t="s">
        <v>334</v>
      </c>
      <c r="M256" s="702">
        <v>39478</v>
      </c>
      <c r="N256" s="702">
        <v>43235</v>
      </c>
      <c r="O256" s="703" t="s">
        <v>338</v>
      </c>
      <c r="P256" s="20">
        <v>199638.71</v>
      </c>
      <c r="Q256" s="20">
        <v>0</v>
      </c>
      <c r="R256" s="20">
        <v>0</v>
      </c>
      <c r="S256" s="20">
        <v>0</v>
      </c>
      <c r="T256" s="20">
        <v>199638.71</v>
      </c>
      <c r="U256" s="20">
        <v>175792.99</v>
      </c>
      <c r="V256" s="20">
        <v>-23845.72</v>
      </c>
      <c r="W256" s="20">
        <v>-30500.34</v>
      </c>
      <c r="X256" s="20">
        <v>-6654.62</v>
      </c>
      <c r="Y256" s="20">
        <v>0</v>
      </c>
      <c r="Z256" s="20">
        <v>0</v>
      </c>
      <c r="AA256" s="20">
        <v>0</v>
      </c>
      <c r="AB256" s="20">
        <v>169138.37</v>
      </c>
      <c r="AC256" t="s">
        <v>183</v>
      </c>
      <c r="AD256" t="s">
        <v>290</v>
      </c>
      <c r="AE256" s="702">
        <f t="shared" si="15"/>
        <v>43252</v>
      </c>
      <c r="AF256" s="289">
        <v>331610.1420968399</v>
      </c>
      <c r="AG256">
        <f t="shared" si="16"/>
        <v>360</v>
      </c>
      <c r="AH256" s="289">
        <f t="shared" si="17"/>
        <v>921.13928360233308</v>
      </c>
      <c r="AJ256" s="289">
        <f t="shared" si="18"/>
        <v>54</v>
      </c>
      <c r="AK256" s="289">
        <f t="shared" si="19"/>
        <v>49741.521314525984</v>
      </c>
    </row>
    <row r="257" spans="1:37">
      <c r="A257" s="703" t="s">
        <v>831</v>
      </c>
      <c r="B257" s="703" t="s">
        <v>331</v>
      </c>
      <c r="C257" s="703" t="s">
        <v>332</v>
      </c>
      <c r="D257" s="703" t="s">
        <v>333</v>
      </c>
      <c r="E257" s="703" t="s">
        <v>334</v>
      </c>
      <c r="F257" s="703" t="s">
        <v>335</v>
      </c>
      <c r="G257" s="703" t="s">
        <v>832</v>
      </c>
      <c r="H257" s="703" t="s">
        <v>334</v>
      </c>
      <c r="I257" s="703" t="s">
        <v>334</v>
      </c>
      <c r="J257" s="703" t="s">
        <v>337</v>
      </c>
      <c r="K257" s="704">
        <v>0</v>
      </c>
      <c r="L257" s="703" t="s">
        <v>334</v>
      </c>
      <c r="M257" s="702">
        <v>42886</v>
      </c>
      <c r="N257" s="702">
        <v>43235</v>
      </c>
      <c r="O257" s="703" t="s">
        <v>338</v>
      </c>
      <c r="P257" s="20">
        <v>79158.64</v>
      </c>
      <c r="Q257" s="20">
        <v>0</v>
      </c>
      <c r="R257" s="20">
        <v>0</v>
      </c>
      <c r="S257" s="20">
        <v>0</v>
      </c>
      <c r="T257" s="20">
        <v>79158.64</v>
      </c>
      <c r="U257" s="20">
        <v>69703.58</v>
      </c>
      <c r="V257" s="20">
        <v>-9455.06</v>
      </c>
      <c r="W257" s="20">
        <v>-12093.68</v>
      </c>
      <c r="X257" s="20">
        <v>-2638.62</v>
      </c>
      <c r="Y257" s="20">
        <v>0</v>
      </c>
      <c r="Z257" s="20">
        <v>0</v>
      </c>
      <c r="AA257" s="20">
        <v>0</v>
      </c>
      <c r="AB257" s="20">
        <v>67064.960000000006</v>
      </c>
      <c r="AC257" t="s">
        <v>183</v>
      </c>
      <c r="AD257" t="s">
        <v>290</v>
      </c>
      <c r="AE257" s="702">
        <f t="shared" si="15"/>
        <v>43252</v>
      </c>
      <c r="AF257" s="289">
        <v>131486.56319504668</v>
      </c>
      <c r="AG257">
        <f t="shared" si="16"/>
        <v>360</v>
      </c>
      <c r="AH257" s="289">
        <f t="shared" si="17"/>
        <v>365.2404533195741</v>
      </c>
      <c r="AJ257" s="289">
        <f t="shared" si="18"/>
        <v>54</v>
      </c>
      <c r="AK257" s="289">
        <f t="shared" si="19"/>
        <v>19722.984479257</v>
      </c>
    </row>
    <row r="258" spans="1:37">
      <c r="A258" s="703" t="s">
        <v>833</v>
      </c>
      <c r="B258" s="703" t="s">
        <v>331</v>
      </c>
      <c r="C258" s="703" t="s">
        <v>332</v>
      </c>
      <c r="D258" s="703" t="s">
        <v>333</v>
      </c>
      <c r="E258" s="703" t="s">
        <v>334</v>
      </c>
      <c r="F258" s="703" t="s">
        <v>335</v>
      </c>
      <c r="G258" s="703" t="s">
        <v>834</v>
      </c>
      <c r="H258" s="703" t="s">
        <v>334</v>
      </c>
      <c r="I258" s="703" t="s">
        <v>334</v>
      </c>
      <c r="J258" s="703" t="s">
        <v>337</v>
      </c>
      <c r="K258" s="704">
        <v>0</v>
      </c>
      <c r="L258" s="703" t="s">
        <v>334</v>
      </c>
      <c r="M258" s="702">
        <v>39478</v>
      </c>
      <c r="N258" s="702">
        <v>43235</v>
      </c>
      <c r="O258" s="703" t="s">
        <v>338</v>
      </c>
      <c r="P258" s="20">
        <v>65507.75</v>
      </c>
      <c r="Q258" s="20">
        <v>0</v>
      </c>
      <c r="R258" s="20">
        <v>0</v>
      </c>
      <c r="S258" s="20">
        <v>0</v>
      </c>
      <c r="T258" s="20">
        <v>65507.75</v>
      </c>
      <c r="U258" s="20">
        <v>57683.22</v>
      </c>
      <c r="V258" s="20">
        <v>-7824.53</v>
      </c>
      <c r="W258" s="20">
        <v>-10008.120000000001</v>
      </c>
      <c r="X258" s="20">
        <v>-2183.59</v>
      </c>
      <c r="Y258" s="20">
        <v>0</v>
      </c>
      <c r="Z258" s="20">
        <v>0</v>
      </c>
      <c r="AA258" s="20">
        <v>0</v>
      </c>
      <c r="AB258" s="20">
        <v>55499.63</v>
      </c>
      <c r="AC258" t="s">
        <v>183</v>
      </c>
      <c r="AD258" t="s">
        <v>290</v>
      </c>
      <c r="AE258" s="702">
        <f t="shared" si="15"/>
        <v>43252</v>
      </c>
      <c r="AF258" s="289">
        <v>108811.73438730527</v>
      </c>
      <c r="AG258">
        <f t="shared" si="16"/>
        <v>360</v>
      </c>
      <c r="AH258" s="289">
        <f t="shared" si="17"/>
        <v>302.25481774251466</v>
      </c>
      <c r="AJ258" s="289">
        <f t="shared" si="18"/>
        <v>54</v>
      </c>
      <c r="AK258" s="289">
        <f t="shared" si="19"/>
        <v>16321.760158095793</v>
      </c>
    </row>
    <row r="259" spans="1:37">
      <c r="A259" s="703" t="s">
        <v>835</v>
      </c>
      <c r="B259" s="703" t="s">
        <v>331</v>
      </c>
      <c r="C259" s="703" t="s">
        <v>332</v>
      </c>
      <c r="D259" s="703" t="s">
        <v>333</v>
      </c>
      <c r="E259" s="703" t="s">
        <v>334</v>
      </c>
      <c r="F259" s="703" t="s">
        <v>335</v>
      </c>
      <c r="G259" s="703" t="s">
        <v>836</v>
      </c>
      <c r="H259" s="703" t="s">
        <v>334</v>
      </c>
      <c r="I259" s="703" t="s">
        <v>334</v>
      </c>
      <c r="J259" s="703" t="s">
        <v>337</v>
      </c>
      <c r="K259" s="704">
        <v>0</v>
      </c>
      <c r="L259" s="703" t="s">
        <v>334</v>
      </c>
      <c r="M259" s="702">
        <v>39478</v>
      </c>
      <c r="N259" s="702">
        <v>43235</v>
      </c>
      <c r="O259" s="703" t="s">
        <v>338</v>
      </c>
      <c r="P259" s="20">
        <v>1916.02</v>
      </c>
      <c r="Q259" s="20">
        <v>0</v>
      </c>
      <c r="R259" s="20">
        <v>0</v>
      </c>
      <c r="S259" s="20">
        <v>0</v>
      </c>
      <c r="T259" s="20">
        <v>1916.02</v>
      </c>
      <c r="U259" s="20">
        <v>1687.15</v>
      </c>
      <c r="V259" s="20">
        <v>-228.87</v>
      </c>
      <c r="W259" s="20">
        <v>-292.74</v>
      </c>
      <c r="X259" s="20">
        <v>-63.87</v>
      </c>
      <c r="Y259" s="20">
        <v>0</v>
      </c>
      <c r="Z259" s="20">
        <v>0</v>
      </c>
      <c r="AA259" s="20">
        <v>0</v>
      </c>
      <c r="AB259" s="20">
        <v>1623.28</v>
      </c>
      <c r="AC259" t="s">
        <v>183</v>
      </c>
      <c r="AD259" t="s">
        <v>290</v>
      </c>
      <c r="AE259" s="702">
        <f t="shared" si="15"/>
        <v>43252</v>
      </c>
      <c r="AF259" s="289">
        <v>3182.6075436992514</v>
      </c>
      <c r="AG259">
        <f t="shared" si="16"/>
        <v>360</v>
      </c>
      <c r="AH259" s="289">
        <f t="shared" si="17"/>
        <v>8.8405765102756977</v>
      </c>
      <c r="AJ259" s="289">
        <f t="shared" si="18"/>
        <v>54</v>
      </c>
      <c r="AK259" s="289">
        <f t="shared" si="19"/>
        <v>477.39113155488769</v>
      </c>
    </row>
    <row r="260" spans="1:37">
      <c r="A260" s="703" t="s">
        <v>837</v>
      </c>
      <c r="B260" s="703" t="s">
        <v>331</v>
      </c>
      <c r="C260" s="703" t="s">
        <v>332</v>
      </c>
      <c r="D260" s="703" t="s">
        <v>333</v>
      </c>
      <c r="E260" s="703" t="s">
        <v>334</v>
      </c>
      <c r="F260" s="703" t="s">
        <v>335</v>
      </c>
      <c r="G260" s="703" t="s">
        <v>838</v>
      </c>
      <c r="H260" s="703" t="s">
        <v>334</v>
      </c>
      <c r="I260" s="703" t="s">
        <v>334</v>
      </c>
      <c r="J260" s="703" t="s">
        <v>337</v>
      </c>
      <c r="K260" s="704">
        <v>0</v>
      </c>
      <c r="L260" s="703" t="s">
        <v>334</v>
      </c>
      <c r="M260" s="702">
        <v>39478</v>
      </c>
      <c r="N260" s="702">
        <v>43235</v>
      </c>
      <c r="O260" s="703" t="s">
        <v>338</v>
      </c>
      <c r="P260" s="20">
        <v>6553.99</v>
      </c>
      <c r="Q260" s="20">
        <v>0</v>
      </c>
      <c r="R260" s="20">
        <v>0</v>
      </c>
      <c r="S260" s="20">
        <v>0</v>
      </c>
      <c r="T260" s="20">
        <v>6553.99</v>
      </c>
      <c r="U260" s="20">
        <v>5771.14</v>
      </c>
      <c r="V260" s="20">
        <v>-782.85</v>
      </c>
      <c r="W260" s="20">
        <v>-1001.32</v>
      </c>
      <c r="X260" s="20">
        <v>-218.47</v>
      </c>
      <c r="Y260" s="20">
        <v>0</v>
      </c>
      <c r="Z260" s="20">
        <v>0</v>
      </c>
      <c r="AA260" s="20">
        <v>0</v>
      </c>
      <c r="AB260" s="20">
        <v>5552.67</v>
      </c>
      <c r="AC260" t="s">
        <v>183</v>
      </c>
      <c r="AD260" t="s">
        <v>290</v>
      </c>
      <c r="AE260" s="702">
        <f t="shared" si="15"/>
        <v>43252</v>
      </c>
      <c r="AF260" s="289">
        <v>10886.513718713508</v>
      </c>
      <c r="AG260">
        <f t="shared" si="16"/>
        <v>360</v>
      </c>
      <c r="AH260" s="289">
        <f t="shared" si="17"/>
        <v>30.240315885315301</v>
      </c>
      <c r="AJ260" s="289">
        <f t="shared" si="18"/>
        <v>54</v>
      </c>
      <c r="AK260" s="289">
        <f t="shared" si="19"/>
        <v>1632.9770578070263</v>
      </c>
    </row>
    <row r="261" spans="1:37">
      <c r="A261" s="703" t="s">
        <v>839</v>
      </c>
      <c r="B261" s="703" t="s">
        <v>331</v>
      </c>
      <c r="C261" s="703" t="s">
        <v>332</v>
      </c>
      <c r="D261" s="703" t="s">
        <v>333</v>
      </c>
      <c r="E261" s="703" t="s">
        <v>334</v>
      </c>
      <c r="F261" s="703" t="s">
        <v>335</v>
      </c>
      <c r="G261" s="703" t="s">
        <v>840</v>
      </c>
      <c r="H261" s="703" t="s">
        <v>334</v>
      </c>
      <c r="I261" s="703" t="s">
        <v>334</v>
      </c>
      <c r="J261" s="703" t="s">
        <v>337</v>
      </c>
      <c r="K261" s="704">
        <v>0</v>
      </c>
      <c r="L261" s="703" t="s">
        <v>334</v>
      </c>
      <c r="M261" s="702">
        <v>42886</v>
      </c>
      <c r="N261" s="702">
        <v>43235</v>
      </c>
      <c r="O261" s="703" t="s">
        <v>338</v>
      </c>
      <c r="P261" s="20">
        <v>7259.33</v>
      </c>
      <c r="Q261" s="20">
        <v>0</v>
      </c>
      <c r="R261" s="20">
        <v>0</v>
      </c>
      <c r="S261" s="20">
        <v>0</v>
      </c>
      <c r="T261" s="20">
        <v>7259.33</v>
      </c>
      <c r="U261" s="20">
        <v>6392.24</v>
      </c>
      <c r="V261" s="20">
        <v>-867.09</v>
      </c>
      <c r="W261" s="20">
        <v>-1109.07</v>
      </c>
      <c r="X261" s="20">
        <v>-241.98</v>
      </c>
      <c r="Y261" s="20">
        <v>0</v>
      </c>
      <c r="Z261" s="20">
        <v>0</v>
      </c>
      <c r="AA261" s="20">
        <v>0</v>
      </c>
      <c r="AB261" s="20">
        <v>6150.26</v>
      </c>
      <c r="AC261" t="s">
        <v>183</v>
      </c>
      <c r="AD261" t="s">
        <v>290</v>
      </c>
      <c r="AE261" s="702">
        <f t="shared" si="15"/>
        <v>43252</v>
      </c>
      <c r="AF261" s="289">
        <v>12058.119654388935</v>
      </c>
      <c r="AG261">
        <f t="shared" si="16"/>
        <v>360</v>
      </c>
      <c r="AH261" s="289">
        <f t="shared" si="17"/>
        <v>33.494776817747038</v>
      </c>
      <c r="AJ261" s="289">
        <f t="shared" si="18"/>
        <v>54</v>
      </c>
      <c r="AK261" s="289">
        <f t="shared" si="19"/>
        <v>1808.7179481583401</v>
      </c>
    </row>
    <row r="262" spans="1:37">
      <c r="A262" s="703" t="s">
        <v>841</v>
      </c>
      <c r="B262" s="703" t="s">
        <v>331</v>
      </c>
      <c r="C262" s="703" t="s">
        <v>332</v>
      </c>
      <c r="D262" s="703" t="s">
        <v>333</v>
      </c>
      <c r="E262" s="703" t="s">
        <v>334</v>
      </c>
      <c r="F262" s="703" t="s">
        <v>335</v>
      </c>
      <c r="G262" s="703" t="s">
        <v>842</v>
      </c>
      <c r="H262" s="703" t="s">
        <v>334</v>
      </c>
      <c r="I262" s="703" t="s">
        <v>334</v>
      </c>
      <c r="J262" s="703" t="s">
        <v>337</v>
      </c>
      <c r="K262" s="704">
        <v>0</v>
      </c>
      <c r="L262" s="703" t="s">
        <v>334</v>
      </c>
      <c r="M262" s="702">
        <v>39478</v>
      </c>
      <c r="N262" s="702">
        <v>43235</v>
      </c>
      <c r="O262" s="703" t="s">
        <v>338</v>
      </c>
      <c r="P262" s="20">
        <v>52969.440000000002</v>
      </c>
      <c r="Q262" s="20">
        <v>0</v>
      </c>
      <c r="R262" s="20">
        <v>0</v>
      </c>
      <c r="S262" s="20">
        <v>0</v>
      </c>
      <c r="T262" s="20">
        <v>52969.440000000002</v>
      </c>
      <c r="U262" s="20">
        <v>46642.53</v>
      </c>
      <c r="V262" s="20">
        <v>-6326.91</v>
      </c>
      <c r="W262" s="20">
        <v>-8092.56</v>
      </c>
      <c r="X262" s="20">
        <v>-1765.65</v>
      </c>
      <c r="Y262" s="20">
        <v>0</v>
      </c>
      <c r="Z262" s="20">
        <v>0</v>
      </c>
      <c r="AA262" s="20">
        <v>0</v>
      </c>
      <c r="AB262" s="20">
        <v>44876.88</v>
      </c>
      <c r="AC262" t="s">
        <v>183</v>
      </c>
      <c r="AD262" t="s">
        <v>290</v>
      </c>
      <c r="AE262" s="702">
        <f t="shared" si="15"/>
        <v>43252</v>
      </c>
      <c r="AF262" s="289">
        <v>87984.958053425784</v>
      </c>
      <c r="AG262">
        <f t="shared" si="16"/>
        <v>360</v>
      </c>
      <c r="AH262" s="289">
        <f t="shared" si="17"/>
        <v>244.40266125951607</v>
      </c>
      <c r="AJ262" s="289">
        <f t="shared" si="18"/>
        <v>54</v>
      </c>
      <c r="AK262" s="289">
        <f t="shared" si="19"/>
        <v>13197.743708013868</v>
      </c>
    </row>
    <row r="263" spans="1:37">
      <c r="A263" s="703" t="s">
        <v>843</v>
      </c>
      <c r="B263" s="703" t="s">
        <v>331</v>
      </c>
      <c r="C263" s="703" t="s">
        <v>332</v>
      </c>
      <c r="D263" s="703" t="s">
        <v>333</v>
      </c>
      <c r="E263" s="703" t="s">
        <v>334</v>
      </c>
      <c r="F263" s="703" t="s">
        <v>335</v>
      </c>
      <c r="G263" s="703" t="s">
        <v>844</v>
      </c>
      <c r="H263" s="703" t="s">
        <v>334</v>
      </c>
      <c r="I263" s="703" t="s">
        <v>334</v>
      </c>
      <c r="J263" s="703" t="s">
        <v>337</v>
      </c>
      <c r="K263" s="704">
        <v>0</v>
      </c>
      <c r="L263" s="703" t="s">
        <v>334</v>
      </c>
      <c r="M263" s="702">
        <v>39478</v>
      </c>
      <c r="N263" s="702">
        <v>43235</v>
      </c>
      <c r="O263" s="703" t="s">
        <v>338</v>
      </c>
      <c r="P263" s="20">
        <v>7450.32</v>
      </c>
      <c r="Q263" s="20">
        <v>0</v>
      </c>
      <c r="R263" s="20">
        <v>0</v>
      </c>
      <c r="S263" s="20">
        <v>0</v>
      </c>
      <c r="T263" s="20">
        <v>7450.32</v>
      </c>
      <c r="U263" s="20">
        <v>6560.43</v>
      </c>
      <c r="V263" s="20">
        <v>-889.89</v>
      </c>
      <c r="W263" s="20">
        <v>-1138.23</v>
      </c>
      <c r="X263" s="20">
        <v>-248.34</v>
      </c>
      <c r="Y263" s="20">
        <v>0</v>
      </c>
      <c r="Z263" s="20">
        <v>0</v>
      </c>
      <c r="AA263" s="20">
        <v>0</v>
      </c>
      <c r="AB263" s="20">
        <v>6312.09</v>
      </c>
      <c r="AC263" t="s">
        <v>183</v>
      </c>
      <c r="AD263" t="s">
        <v>290</v>
      </c>
      <c r="AE263" s="702">
        <f t="shared" ref="AE263:AE326" si="20">IF(N263&gt;=$AG$5,DATE(YEAR(N263),6,1),DATE(YEAR(N263),6,1))</f>
        <v>43252</v>
      </c>
      <c r="AF263" s="289">
        <v>12375.36384535308</v>
      </c>
      <c r="AG263">
        <f t="shared" ref="AG263:AG326" si="21">+IF(AD263="intangível",20*12,IF(AD263="Diferido",120,IF(AD263="Não vinculados",0,IF(AE263&lt;=$AG$5,F263*12,360))))</f>
        <v>360</v>
      </c>
      <c r="AH263" s="289">
        <f t="shared" ref="AH263:AH326" si="22">IF(AG263=0,0,AF263/AG263)</f>
        <v>34.376010681536336</v>
      </c>
      <c r="AJ263" s="289">
        <f t="shared" ref="AJ263:AJ326" si="23">+IF(AND(YEAR(AE263)&gt;=2018,YEAR(AE263)&lt;=2022),IF(DATEDIF(AE263,$AK$4,"m")&gt;=AG263,AG263,DATEDIF(AE263,$AK$4,"m")),0)</f>
        <v>54</v>
      </c>
      <c r="AK263" s="289">
        <f t="shared" ref="AK263:AK326" si="24">IF(AD263="Imobilizado",AJ263*AH263,0)</f>
        <v>1856.3045768029622</v>
      </c>
    </row>
    <row r="264" spans="1:37">
      <c r="A264" s="703" t="s">
        <v>845</v>
      </c>
      <c r="B264" s="703" t="s">
        <v>331</v>
      </c>
      <c r="C264" s="703" t="s">
        <v>332</v>
      </c>
      <c r="D264" s="703" t="s">
        <v>333</v>
      </c>
      <c r="E264" s="703" t="s">
        <v>334</v>
      </c>
      <c r="F264" s="703" t="s">
        <v>335</v>
      </c>
      <c r="G264" s="703" t="s">
        <v>846</v>
      </c>
      <c r="H264" s="703" t="s">
        <v>334</v>
      </c>
      <c r="I264" s="703" t="s">
        <v>334</v>
      </c>
      <c r="J264" s="703" t="s">
        <v>337</v>
      </c>
      <c r="K264" s="704">
        <v>0</v>
      </c>
      <c r="L264" s="703" t="s">
        <v>334</v>
      </c>
      <c r="M264" s="702">
        <v>39478</v>
      </c>
      <c r="N264" s="702">
        <v>43235</v>
      </c>
      <c r="O264" s="703" t="s">
        <v>338</v>
      </c>
      <c r="P264" s="20">
        <v>30221.94</v>
      </c>
      <c r="Q264" s="20">
        <v>0</v>
      </c>
      <c r="R264" s="20">
        <v>0</v>
      </c>
      <c r="S264" s="20">
        <v>0</v>
      </c>
      <c r="T264" s="20">
        <v>30221.94</v>
      </c>
      <c r="U264" s="20">
        <v>26612.09</v>
      </c>
      <c r="V264" s="20">
        <v>-3609.85</v>
      </c>
      <c r="W264" s="20">
        <v>-4617.25</v>
      </c>
      <c r="X264" s="20">
        <v>-1007.4</v>
      </c>
      <c r="Y264" s="20">
        <v>0</v>
      </c>
      <c r="Z264" s="20">
        <v>0</v>
      </c>
      <c r="AA264" s="20">
        <v>0</v>
      </c>
      <c r="AB264" s="20">
        <v>25604.69</v>
      </c>
      <c r="AC264" t="s">
        <v>183</v>
      </c>
      <c r="AD264" t="s">
        <v>290</v>
      </c>
      <c r="AE264" s="702">
        <f t="shared" si="20"/>
        <v>43252</v>
      </c>
      <c r="AF264" s="289">
        <v>50200.19322826805</v>
      </c>
      <c r="AG264">
        <f t="shared" si="21"/>
        <v>360</v>
      </c>
      <c r="AH264" s="289">
        <f t="shared" si="22"/>
        <v>139.44498118963347</v>
      </c>
      <c r="AJ264" s="289">
        <f t="shared" si="23"/>
        <v>54</v>
      </c>
      <c r="AK264" s="289">
        <f t="shared" si="24"/>
        <v>7530.0289842402071</v>
      </c>
    </row>
    <row r="265" spans="1:37">
      <c r="A265" s="703" t="s">
        <v>847</v>
      </c>
      <c r="B265" s="703" t="s">
        <v>331</v>
      </c>
      <c r="C265" s="703" t="s">
        <v>332</v>
      </c>
      <c r="D265" s="703" t="s">
        <v>333</v>
      </c>
      <c r="E265" s="703" t="s">
        <v>334</v>
      </c>
      <c r="F265" s="703" t="s">
        <v>335</v>
      </c>
      <c r="G265" s="703" t="s">
        <v>848</v>
      </c>
      <c r="H265" s="703" t="s">
        <v>334</v>
      </c>
      <c r="I265" s="703" t="s">
        <v>334</v>
      </c>
      <c r="J265" s="703" t="s">
        <v>337</v>
      </c>
      <c r="K265" s="704">
        <v>0</v>
      </c>
      <c r="L265" s="703" t="s">
        <v>334</v>
      </c>
      <c r="M265" s="702">
        <v>42886</v>
      </c>
      <c r="N265" s="702">
        <v>43235</v>
      </c>
      <c r="O265" s="703" t="s">
        <v>338</v>
      </c>
      <c r="P265" s="20">
        <v>1515.79</v>
      </c>
      <c r="Q265" s="20">
        <v>0</v>
      </c>
      <c r="R265" s="20">
        <v>0</v>
      </c>
      <c r="S265" s="20">
        <v>0</v>
      </c>
      <c r="T265" s="20">
        <v>1515.79</v>
      </c>
      <c r="U265" s="20">
        <v>1334.73</v>
      </c>
      <c r="V265" s="20">
        <v>-181.06</v>
      </c>
      <c r="W265" s="20">
        <v>-231.59</v>
      </c>
      <c r="X265" s="20">
        <v>-50.53</v>
      </c>
      <c r="Y265" s="20">
        <v>0</v>
      </c>
      <c r="Z265" s="20">
        <v>0</v>
      </c>
      <c r="AA265" s="20">
        <v>0</v>
      </c>
      <c r="AB265" s="20">
        <v>1284.2</v>
      </c>
      <c r="AC265" t="s">
        <v>183</v>
      </c>
      <c r="AD265" t="s">
        <v>290</v>
      </c>
      <c r="AE265" s="702">
        <f t="shared" si="20"/>
        <v>43252</v>
      </c>
      <c r="AF265" s="289">
        <v>2517.8049752423713</v>
      </c>
      <c r="AG265">
        <f t="shared" si="21"/>
        <v>360</v>
      </c>
      <c r="AH265" s="289">
        <f t="shared" si="22"/>
        <v>6.9939027090065871</v>
      </c>
      <c r="AJ265" s="289">
        <f t="shared" si="23"/>
        <v>54</v>
      </c>
      <c r="AK265" s="289">
        <f t="shared" si="24"/>
        <v>377.67074628635572</v>
      </c>
    </row>
    <row r="266" spans="1:37">
      <c r="A266" s="703" t="s">
        <v>849</v>
      </c>
      <c r="B266" s="703" t="s">
        <v>331</v>
      </c>
      <c r="C266" s="703" t="s">
        <v>332</v>
      </c>
      <c r="D266" s="703" t="s">
        <v>333</v>
      </c>
      <c r="E266" s="703" t="s">
        <v>334</v>
      </c>
      <c r="F266" s="703" t="s">
        <v>335</v>
      </c>
      <c r="G266" s="703" t="s">
        <v>850</v>
      </c>
      <c r="H266" s="703" t="s">
        <v>334</v>
      </c>
      <c r="I266" s="703" t="s">
        <v>334</v>
      </c>
      <c r="J266" s="703" t="s">
        <v>337</v>
      </c>
      <c r="K266" s="704">
        <v>0</v>
      </c>
      <c r="L266" s="703" t="s">
        <v>334</v>
      </c>
      <c r="M266" s="702">
        <v>39478</v>
      </c>
      <c r="N266" s="702">
        <v>43235</v>
      </c>
      <c r="O266" s="703" t="s">
        <v>338</v>
      </c>
      <c r="P266" s="20">
        <v>75619.05</v>
      </c>
      <c r="Q266" s="20">
        <v>0</v>
      </c>
      <c r="R266" s="20">
        <v>0</v>
      </c>
      <c r="S266" s="20">
        <v>0</v>
      </c>
      <c r="T266" s="20">
        <v>75619.05</v>
      </c>
      <c r="U266" s="20">
        <v>66586.759999999995</v>
      </c>
      <c r="V266" s="20">
        <v>-9032.2900000000009</v>
      </c>
      <c r="W266" s="20">
        <v>-11552.93</v>
      </c>
      <c r="X266" s="20">
        <v>-2520.64</v>
      </c>
      <c r="Y266" s="20">
        <v>0</v>
      </c>
      <c r="Z266" s="20">
        <v>0</v>
      </c>
      <c r="AA266" s="20">
        <v>0</v>
      </c>
      <c r="AB266" s="20">
        <v>64066.12</v>
      </c>
      <c r="AC266" t="s">
        <v>183</v>
      </c>
      <c r="AD266" t="s">
        <v>290</v>
      </c>
      <c r="AE266" s="702">
        <f t="shared" si="20"/>
        <v>43252</v>
      </c>
      <c r="AF266" s="289">
        <v>125607.12256519812</v>
      </c>
      <c r="AG266">
        <f t="shared" si="21"/>
        <v>360</v>
      </c>
      <c r="AH266" s="289">
        <f t="shared" si="22"/>
        <v>348.90867379221703</v>
      </c>
      <c r="AJ266" s="289">
        <f t="shared" si="23"/>
        <v>54</v>
      </c>
      <c r="AK266" s="289">
        <f t="shared" si="24"/>
        <v>18841.068384779719</v>
      </c>
    </row>
    <row r="267" spans="1:37">
      <c r="A267" s="703" t="s">
        <v>851</v>
      </c>
      <c r="B267" s="703" t="s">
        <v>331</v>
      </c>
      <c r="C267" s="703" t="s">
        <v>332</v>
      </c>
      <c r="D267" s="703" t="s">
        <v>333</v>
      </c>
      <c r="E267" s="703" t="s">
        <v>334</v>
      </c>
      <c r="F267" s="703" t="s">
        <v>335</v>
      </c>
      <c r="G267" s="703" t="s">
        <v>852</v>
      </c>
      <c r="H267" s="703" t="s">
        <v>334</v>
      </c>
      <c r="I267" s="703" t="s">
        <v>334</v>
      </c>
      <c r="J267" s="703" t="s">
        <v>337</v>
      </c>
      <c r="K267" s="704">
        <v>0</v>
      </c>
      <c r="L267" s="703" t="s">
        <v>334</v>
      </c>
      <c r="M267" s="702">
        <v>39478</v>
      </c>
      <c r="N267" s="702">
        <v>43235</v>
      </c>
      <c r="O267" s="703" t="s">
        <v>338</v>
      </c>
      <c r="P267" s="20">
        <v>30069.7</v>
      </c>
      <c r="Q267" s="20">
        <v>0</v>
      </c>
      <c r="R267" s="20">
        <v>0</v>
      </c>
      <c r="S267" s="20">
        <v>0</v>
      </c>
      <c r="T267" s="20">
        <v>30069.7</v>
      </c>
      <c r="U267" s="20">
        <v>26478.05</v>
      </c>
      <c r="V267" s="20">
        <v>-3591.65</v>
      </c>
      <c r="W267" s="20">
        <v>-4593.97</v>
      </c>
      <c r="X267" s="20">
        <v>-1002.32</v>
      </c>
      <c r="Y267" s="20">
        <v>0</v>
      </c>
      <c r="Z267" s="20">
        <v>0</v>
      </c>
      <c r="AA267" s="20">
        <v>0</v>
      </c>
      <c r="AB267" s="20">
        <v>25475.73</v>
      </c>
      <c r="AC267" t="s">
        <v>183</v>
      </c>
      <c r="AD267" t="s">
        <v>290</v>
      </c>
      <c r="AE267" s="702">
        <f t="shared" si="20"/>
        <v>43252</v>
      </c>
      <c r="AF267" s="289">
        <v>49947.314775823521</v>
      </c>
      <c r="AG267">
        <f t="shared" si="21"/>
        <v>360</v>
      </c>
      <c r="AH267" s="289">
        <f t="shared" si="22"/>
        <v>138.74254104395422</v>
      </c>
      <c r="AJ267" s="289">
        <f t="shared" si="23"/>
        <v>54</v>
      </c>
      <c r="AK267" s="289">
        <f t="shared" si="24"/>
        <v>7492.0972163735278</v>
      </c>
    </row>
    <row r="268" spans="1:37">
      <c r="A268" s="703" t="s">
        <v>853</v>
      </c>
      <c r="B268" s="703" t="s">
        <v>331</v>
      </c>
      <c r="C268" s="703" t="s">
        <v>332</v>
      </c>
      <c r="D268" s="703" t="s">
        <v>333</v>
      </c>
      <c r="E268" s="703" t="s">
        <v>334</v>
      </c>
      <c r="F268" s="703" t="s">
        <v>335</v>
      </c>
      <c r="G268" s="703" t="s">
        <v>854</v>
      </c>
      <c r="H268" s="703" t="s">
        <v>334</v>
      </c>
      <c r="I268" s="703" t="s">
        <v>334</v>
      </c>
      <c r="J268" s="703" t="s">
        <v>337</v>
      </c>
      <c r="K268" s="704">
        <v>0</v>
      </c>
      <c r="L268" s="703" t="s">
        <v>334</v>
      </c>
      <c r="M268" s="702">
        <v>39478</v>
      </c>
      <c r="N268" s="702">
        <v>43235</v>
      </c>
      <c r="O268" s="703" t="s">
        <v>338</v>
      </c>
      <c r="P268" s="20">
        <v>40.97</v>
      </c>
      <c r="Q268" s="20">
        <v>0</v>
      </c>
      <c r="R268" s="20">
        <v>0</v>
      </c>
      <c r="S268" s="20">
        <v>0</v>
      </c>
      <c r="T268" s="20">
        <v>40.97</v>
      </c>
      <c r="U268" s="20">
        <v>36.06</v>
      </c>
      <c r="V268" s="20">
        <v>-4.91</v>
      </c>
      <c r="W268" s="20">
        <v>-6.28</v>
      </c>
      <c r="X268" s="20">
        <v>-1.37</v>
      </c>
      <c r="Y268" s="20">
        <v>0</v>
      </c>
      <c r="Z268" s="20">
        <v>0</v>
      </c>
      <c r="AA268" s="20">
        <v>0</v>
      </c>
      <c r="AB268" s="20">
        <v>34.69</v>
      </c>
      <c r="AC268" t="s">
        <v>183</v>
      </c>
      <c r="AD268" t="s">
        <v>290</v>
      </c>
      <c r="AE268" s="702">
        <f t="shared" si="20"/>
        <v>43252</v>
      </c>
      <c r="AF268" s="289">
        <v>68.053272442541484</v>
      </c>
      <c r="AG268">
        <f t="shared" si="21"/>
        <v>360</v>
      </c>
      <c r="AH268" s="289">
        <f t="shared" si="22"/>
        <v>0.18903686789594856</v>
      </c>
      <c r="AJ268" s="289">
        <f t="shared" si="23"/>
        <v>54</v>
      </c>
      <c r="AK268" s="289">
        <f t="shared" si="24"/>
        <v>10.207990866381222</v>
      </c>
    </row>
    <row r="269" spans="1:37">
      <c r="A269" s="703" t="s">
        <v>855</v>
      </c>
      <c r="B269" s="703" t="s">
        <v>331</v>
      </c>
      <c r="C269" s="703" t="s">
        <v>332</v>
      </c>
      <c r="D269" s="703" t="s">
        <v>333</v>
      </c>
      <c r="E269" s="703" t="s">
        <v>334</v>
      </c>
      <c r="F269" s="703" t="s">
        <v>335</v>
      </c>
      <c r="G269" s="703" t="s">
        <v>856</v>
      </c>
      <c r="H269" s="703" t="s">
        <v>334</v>
      </c>
      <c r="I269" s="703" t="s">
        <v>334</v>
      </c>
      <c r="J269" s="703" t="s">
        <v>337</v>
      </c>
      <c r="K269" s="704">
        <v>0</v>
      </c>
      <c r="L269" s="703" t="s">
        <v>334</v>
      </c>
      <c r="M269" s="702">
        <v>39478</v>
      </c>
      <c r="N269" s="702">
        <v>43235</v>
      </c>
      <c r="O269" s="703" t="s">
        <v>338</v>
      </c>
      <c r="P269" s="20">
        <v>30784.18</v>
      </c>
      <c r="Q269" s="20">
        <v>0</v>
      </c>
      <c r="R269" s="20">
        <v>0</v>
      </c>
      <c r="S269" s="20">
        <v>0</v>
      </c>
      <c r="T269" s="20">
        <v>30784.18</v>
      </c>
      <c r="U269" s="20">
        <v>27107.18</v>
      </c>
      <c r="V269" s="20">
        <v>-3677</v>
      </c>
      <c r="W269" s="20">
        <v>-4703.1400000000003</v>
      </c>
      <c r="X269" s="20">
        <v>-1026.1400000000001</v>
      </c>
      <c r="Y269" s="20">
        <v>0</v>
      </c>
      <c r="Z269" s="20">
        <v>0</v>
      </c>
      <c r="AA269" s="20">
        <v>0</v>
      </c>
      <c r="AB269" s="20">
        <v>26081.040000000001</v>
      </c>
      <c r="AC269" t="s">
        <v>183</v>
      </c>
      <c r="AD269" t="s">
        <v>290</v>
      </c>
      <c r="AE269" s="702">
        <f t="shared" si="20"/>
        <v>43252</v>
      </c>
      <c r="AF269" s="289">
        <v>51134.102720532996</v>
      </c>
      <c r="AG269">
        <f t="shared" si="21"/>
        <v>360</v>
      </c>
      <c r="AH269" s="289">
        <f t="shared" si="22"/>
        <v>142.03917422370276</v>
      </c>
      <c r="AJ269" s="289">
        <f t="shared" si="23"/>
        <v>54</v>
      </c>
      <c r="AK269" s="289">
        <f t="shared" si="24"/>
        <v>7670.1154080799488</v>
      </c>
    </row>
    <row r="270" spans="1:37">
      <c r="A270" s="703" t="s">
        <v>857</v>
      </c>
      <c r="B270" s="703" t="s">
        <v>331</v>
      </c>
      <c r="C270" s="703" t="s">
        <v>332</v>
      </c>
      <c r="D270" s="703" t="s">
        <v>333</v>
      </c>
      <c r="E270" s="703" t="s">
        <v>334</v>
      </c>
      <c r="F270" s="703" t="s">
        <v>335</v>
      </c>
      <c r="G270" s="703" t="s">
        <v>858</v>
      </c>
      <c r="H270" s="703" t="s">
        <v>334</v>
      </c>
      <c r="I270" s="703" t="s">
        <v>334</v>
      </c>
      <c r="J270" s="703" t="s">
        <v>337</v>
      </c>
      <c r="K270" s="704">
        <v>0</v>
      </c>
      <c r="L270" s="703" t="s">
        <v>334</v>
      </c>
      <c r="M270" s="702">
        <v>39478</v>
      </c>
      <c r="N270" s="702">
        <v>43235</v>
      </c>
      <c r="O270" s="703" t="s">
        <v>338</v>
      </c>
      <c r="P270" s="20">
        <v>489.57</v>
      </c>
      <c r="Q270" s="20">
        <v>0</v>
      </c>
      <c r="R270" s="20">
        <v>0</v>
      </c>
      <c r="S270" s="20">
        <v>0</v>
      </c>
      <c r="T270" s="20">
        <v>489.57</v>
      </c>
      <c r="U270" s="20">
        <v>431.09</v>
      </c>
      <c r="V270" s="20">
        <v>-58.48</v>
      </c>
      <c r="W270" s="20">
        <v>-74.8</v>
      </c>
      <c r="X270" s="20">
        <v>-16.32</v>
      </c>
      <c r="Y270" s="20">
        <v>0</v>
      </c>
      <c r="Z270" s="20">
        <v>0</v>
      </c>
      <c r="AA270" s="20">
        <v>0</v>
      </c>
      <c r="AB270" s="20">
        <v>414.77</v>
      </c>
      <c r="AC270" t="s">
        <v>183</v>
      </c>
      <c r="AD270" t="s">
        <v>290</v>
      </c>
      <c r="AE270" s="702">
        <f t="shared" si="20"/>
        <v>43252</v>
      </c>
      <c r="AF270" s="289">
        <v>813.20089308506306</v>
      </c>
      <c r="AG270">
        <f t="shared" si="21"/>
        <v>360</v>
      </c>
      <c r="AH270" s="289">
        <f t="shared" si="22"/>
        <v>2.2588913696807307</v>
      </c>
      <c r="AJ270" s="289">
        <f t="shared" si="23"/>
        <v>54</v>
      </c>
      <c r="AK270" s="289">
        <f t="shared" si="24"/>
        <v>121.98013396275945</v>
      </c>
    </row>
    <row r="271" spans="1:37">
      <c r="A271" s="703" t="s">
        <v>859</v>
      </c>
      <c r="B271" s="703" t="s">
        <v>331</v>
      </c>
      <c r="C271" s="703" t="s">
        <v>332</v>
      </c>
      <c r="D271" s="703" t="s">
        <v>333</v>
      </c>
      <c r="E271" s="703" t="s">
        <v>334</v>
      </c>
      <c r="F271" s="703" t="s">
        <v>335</v>
      </c>
      <c r="G271" s="703" t="s">
        <v>860</v>
      </c>
      <c r="H271" s="703" t="s">
        <v>334</v>
      </c>
      <c r="I271" s="703" t="s">
        <v>334</v>
      </c>
      <c r="J271" s="703" t="s">
        <v>337</v>
      </c>
      <c r="K271" s="704">
        <v>0</v>
      </c>
      <c r="L271" s="703" t="s">
        <v>334</v>
      </c>
      <c r="M271" s="702">
        <v>42886</v>
      </c>
      <c r="N271" s="702">
        <v>43235</v>
      </c>
      <c r="O271" s="703" t="s">
        <v>338</v>
      </c>
      <c r="P271" s="20">
        <v>1893.79</v>
      </c>
      <c r="Q271" s="20">
        <v>0</v>
      </c>
      <c r="R271" s="20">
        <v>0</v>
      </c>
      <c r="S271" s="20">
        <v>0</v>
      </c>
      <c r="T271" s="20">
        <v>1893.79</v>
      </c>
      <c r="U271" s="20">
        <v>1667.58</v>
      </c>
      <c r="V271" s="20">
        <v>-226.21</v>
      </c>
      <c r="W271" s="20">
        <v>-289.33999999999997</v>
      </c>
      <c r="X271" s="20">
        <v>-63.13</v>
      </c>
      <c r="Y271" s="20">
        <v>0</v>
      </c>
      <c r="Z271" s="20">
        <v>0</v>
      </c>
      <c r="AA271" s="20">
        <v>0</v>
      </c>
      <c r="AB271" s="20">
        <v>1604.45</v>
      </c>
      <c r="AC271" t="s">
        <v>183</v>
      </c>
      <c r="AD271" t="s">
        <v>290</v>
      </c>
      <c r="AE271" s="702">
        <f t="shared" si="20"/>
        <v>43252</v>
      </c>
      <c r="AF271" s="289">
        <v>3145.6823729304524</v>
      </c>
      <c r="AG271">
        <f t="shared" si="21"/>
        <v>360</v>
      </c>
      <c r="AH271" s="289">
        <f t="shared" si="22"/>
        <v>8.7380065914734786</v>
      </c>
      <c r="AJ271" s="289">
        <f t="shared" si="23"/>
        <v>54</v>
      </c>
      <c r="AK271" s="289">
        <f t="shared" si="24"/>
        <v>471.85235593956781</v>
      </c>
    </row>
    <row r="272" spans="1:37">
      <c r="A272" s="703" t="s">
        <v>861</v>
      </c>
      <c r="B272" s="703" t="s">
        <v>331</v>
      </c>
      <c r="C272" s="703" t="s">
        <v>332</v>
      </c>
      <c r="D272" s="703" t="s">
        <v>333</v>
      </c>
      <c r="E272" s="703" t="s">
        <v>334</v>
      </c>
      <c r="F272" s="703" t="s">
        <v>335</v>
      </c>
      <c r="G272" s="703" t="s">
        <v>862</v>
      </c>
      <c r="H272" s="703" t="s">
        <v>334</v>
      </c>
      <c r="I272" s="703" t="s">
        <v>334</v>
      </c>
      <c r="J272" s="703" t="s">
        <v>337</v>
      </c>
      <c r="K272" s="704">
        <v>0</v>
      </c>
      <c r="L272" s="703" t="s">
        <v>334</v>
      </c>
      <c r="M272" s="702">
        <v>39478</v>
      </c>
      <c r="N272" s="702">
        <v>43235</v>
      </c>
      <c r="O272" s="703" t="s">
        <v>338</v>
      </c>
      <c r="P272" s="20">
        <v>8328.1</v>
      </c>
      <c r="Q272" s="20">
        <v>0</v>
      </c>
      <c r="R272" s="20">
        <v>0</v>
      </c>
      <c r="S272" s="20">
        <v>0</v>
      </c>
      <c r="T272" s="20">
        <v>8328.1</v>
      </c>
      <c r="U272" s="20">
        <v>7333.36</v>
      </c>
      <c r="V272" s="20">
        <v>-994.74</v>
      </c>
      <c r="W272" s="20">
        <v>-1272.3399999999999</v>
      </c>
      <c r="X272" s="20">
        <v>-277.60000000000002</v>
      </c>
      <c r="Y272" s="20">
        <v>0</v>
      </c>
      <c r="Z272" s="20">
        <v>0</v>
      </c>
      <c r="AA272" s="20">
        <v>0</v>
      </c>
      <c r="AB272" s="20">
        <v>7055.76</v>
      </c>
      <c r="AC272" t="s">
        <v>183</v>
      </c>
      <c r="AD272" t="s">
        <v>290</v>
      </c>
      <c r="AE272" s="702">
        <f t="shared" si="20"/>
        <v>43252</v>
      </c>
      <c r="AF272" s="289">
        <v>13833.40147006907</v>
      </c>
      <c r="AG272">
        <f t="shared" si="21"/>
        <v>360</v>
      </c>
      <c r="AH272" s="289">
        <f t="shared" si="22"/>
        <v>38.426115194636303</v>
      </c>
      <c r="AJ272" s="289">
        <f t="shared" si="23"/>
        <v>54</v>
      </c>
      <c r="AK272" s="289">
        <f t="shared" si="24"/>
        <v>2075.0102205103603</v>
      </c>
    </row>
    <row r="273" spans="1:37">
      <c r="A273" s="703" t="s">
        <v>863</v>
      </c>
      <c r="B273" s="703" t="s">
        <v>331</v>
      </c>
      <c r="C273" s="703" t="s">
        <v>332</v>
      </c>
      <c r="D273" s="703" t="s">
        <v>333</v>
      </c>
      <c r="E273" s="703" t="s">
        <v>334</v>
      </c>
      <c r="F273" s="703" t="s">
        <v>335</v>
      </c>
      <c r="G273" s="703" t="s">
        <v>864</v>
      </c>
      <c r="H273" s="703" t="s">
        <v>334</v>
      </c>
      <c r="I273" s="703" t="s">
        <v>334</v>
      </c>
      <c r="J273" s="703" t="s">
        <v>337</v>
      </c>
      <c r="K273" s="704">
        <v>0</v>
      </c>
      <c r="L273" s="703" t="s">
        <v>334</v>
      </c>
      <c r="M273" s="702">
        <v>39478</v>
      </c>
      <c r="N273" s="702">
        <v>43235</v>
      </c>
      <c r="O273" s="703" t="s">
        <v>338</v>
      </c>
      <c r="P273" s="20">
        <v>10441.26</v>
      </c>
      <c r="Q273" s="20">
        <v>0</v>
      </c>
      <c r="R273" s="20">
        <v>0</v>
      </c>
      <c r="S273" s="20">
        <v>0</v>
      </c>
      <c r="T273" s="20">
        <v>10441.26</v>
      </c>
      <c r="U273" s="20">
        <v>9194.1200000000008</v>
      </c>
      <c r="V273" s="20">
        <v>-1247.1400000000001</v>
      </c>
      <c r="W273" s="20">
        <v>-1595.18</v>
      </c>
      <c r="X273" s="20">
        <v>-348.04</v>
      </c>
      <c r="Y273" s="20">
        <v>0</v>
      </c>
      <c r="Z273" s="20">
        <v>0</v>
      </c>
      <c r="AA273" s="20">
        <v>0</v>
      </c>
      <c r="AB273" s="20">
        <v>8846.08</v>
      </c>
      <c r="AC273" t="s">
        <v>183</v>
      </c>
      <c r="AD273" t="s">
        <v>290</v>
      </c>
      <c r="AE273" s="702">
        <f t="shared" si="20"/>
        <v>43252</v>
      </c>
      <c r="AF273" s="289">
        <v>17343.46867032977</v>
      </c>
      <c r="AG273">
        <f t="shared" si="21"/>
        <v>360</v>
      </c>
      <c r="AH273" s="289">
        <f t="shared" si="22"/>
        <v>48.176301862027138</v>
      </c>
      <c r="AJ273" s="289">
        <f t="shared" si="23"/>
        <v>54</v>
      </c>
      <c r="AK273" s="289">
        <f t="shared" si="24"/>
        <v>2601.5203005494654</v>
      </c>
    </row>
    <row r="274" spans="1:37">
      <c r="A274" s="703" t="s">
        <v>865</v>
      </c>
      <c r="B274" s="703" t="s">
        <v>331</v>
      </c>
      <c r="C274" s="703" t="s">
        <v>332</v>
      </c>
      <c r="D274" s="703" t="s">
        <v>333</v>
      </c>
      <c r="E274" s="703" t="s">
        <v>334</v>
      </c>
      <c r="F274" s="703" t="s">
        <v>335</v>
      </c>
      <c r="G274" s="703" t="s">
        <v>866</v>
      </c>
      <c r="H274" s="703" t="s">
        <v>334</v>
      </c>
      <c r="I274" s="703" t="s">
        <v>334</v>
      </c>
      <c r="J274" s="703" t="s">
        <v>337</v>
      </c>
      <c r="K274" s="704">
        <v>0</v>
      </c>
      <c r="L274" s="703" t="s">
        <v>334</v>
      </c>
      <c r="M274" s="702">
        <v>42886</v>
      </c>
      <c r="N274" s="702">
        <v>43235</v>
      </c>
      <c r="O274" s="703" t="s">
        <v>338</v>
      </c>
      <c r="P274" s="20">
        <v>7544.65</v>
      </c>
      <c r="Q274" s="20">
        <v>0</v>
      </c>
      <c r="R274" s="20">
        <v>0</v>
      </c>
      <c r="S274" s="20">
        <v>0</v>
      </c>
      <c r="T274" s="20">
        <v>7544.65</v>
      </c>
      <c r="U274" s="20">
        <v>6643.48</v>
      </c>
      <c r="V274" s="20">
        <v>-901.17</v>
      </c>
      <c r="W274" s="20">
        <v>-1152.6600000000001</v>
      </c>
      <c r="X274" s="20">
        <v>-251.49</v>
      </c>
      <c r="Y274" s="20">
        <v>0</v>
      </c>
      <c r="Z274" s="20">
        <v>0</v>
      </c>
      <c r="AA274" s="20">
        <v>0</v>
      </c>
      <c r="AB274" s="20">
        <v>6391.99</v>
      </c>
      <c r="AC274" t="s">
        <v>183</v>
      </c>
      <c r="AD274" t="s">
        <v>290</v>
      </c>
      <c r="AE274" s="702">
        <f t="shared" si="20"/>
        <v>43252</v>
      </c>
      <c r="AF274" s="289">
        <v>12532.050816051271</v>
      </c>
      <c r="AG274">
        <f t="shared" si="21"/>
        <v>360</v>
      </c>
      <c r="AH274" s="289">
        <f t="shared" si="22"/>
        <v>34.811252266809085</v>
      </c>
      <c r="AJ274" s="289">
        <f t="shared" si="23"/>
        <v>54</v>
      </c>
      <c r="AK274" s="289">
        <f t="shared" si="24"/>
        <v>1879.8076224076906</v>
      </c>
    </row>
    <row r="275" spans="1:37">
      <c r="A275" s="703" t="s">
        <v>867</v>
      </c>
      <c r="B275" s="703" t="s">
        <v>331</v>
      </c>
      <c r="C275" s="703" t="s">
        <v>332</v>
      </c>
      <c r="D275" s="703" t="s">
        <v>333</v>
      </c>
      <c r="E275" s="703" t="s">
        <v>334</v>
      </c>
      <c r="F275" s="703" t="s">
        <v>335</v>
      </c>
      <c r="G275" s="703" t="s">
        <v>868</v>
      </c>
      <c r="H275" s="703" t="s">
        <v>334</v>
      </c>
      <c r="I275" s="703" t="s">
        <v>334</v>
      </c>
      <c r="J275" s="703" t="s">
        <v>337</v>
      </c>
      <c r="K275" s="704">
        <v>0</v>
      </c>
      <c r="L275" s="703" t="s">
        <v>334</v>
      </c>
      <c r="M275" s="702">
        <v>39478</v>
      </c>
      <c r="N275" s="702">
        <v>43235</v>
      </c>
      <c r="O275" s="703" t="s">
        <v>338</v>
      </c>
      <c r="P275" s="20">
        <v>256223.94</v>
      </c>
      <c r="Q275" s="20">
        <v>0</v>
      </c>
      <c r="R275" s="20">
        <v>0</v>
      </c>
      <c r="S275" s="20">
        <v>0</v>
      </c>
      <c r="T275" s="20">
        <v>256223.94</v>
      </c>
      <c r="U275" s="20">
        <v>225619.41</v>
      </c>
      <c r="V275" s="20">
        <v>-30604.53</v>
      </c>
      <c r="W275" s="20">
        <v>-39145.33</v>
      </c>
      <c r="X275" s="20">
        <v>-8540.7999999999993</v>
      </c>
      <c r="Y275" s="20">
        <v>0</v>
      </c>
      <c r="Z275" s="20">
        <v>0</v>
      </c>
      <c r="AA275" s="20">
        <v>0</v>
      </c>
      <c r="AB275" s="20">
        <v>217078.61</v>
      </c>
      <c r="AC275" t="s">
        <v>183</v>
      </c>
      <c r="AD275" t="s">
        <v>290</v>
      </c>
      <c r="AE275" s="702">
        <f t="shared" si="20"/>
        <v>43252</v>
      </c>
      <c r="AF275" s="289">
        <v>425601.11289044184</v>
      </c>
      <c r="AG275">
        <f t="shared" si="21"/>
        <v>360</v>
      </c>
      <c r="AH275" s="289">
        <f t="shared" si="22"/>
        <v>1182.2253135845606</v>
      </c>
      <c r="AJ275" s="289">
        <f t="shared" si="23"/>
        <v>54</v>
      </c>
      <c r="AK275" s="289">
        <f t="shared" si="24"/>
        <v>63840.166933566274</v>
      </c>
    </row>
    <row r="276" spans="1:37">
      <c r="A276" s="703" t="s">
        <v>869</v>
      </c>
      <c r="B276" s="703" t="s">
        <v>331</v>
      </c>
      <c r="C276" s="703" t="s">
        <v>332</v>
      </c>
      <c r="D276" s="703" t="s">
        <v>333</v>
      </c>
      <c r="E276" s="703" t="s">
        <v>334</v>
      </c>
      <c r="F276" s="703" t="s">
        <v>335</v>
      </c>
      <c r="G276" s="703" t="s">
        <v>870</v>
      </c>
      <c r="H276" s="703" t="s">
        <v>334</v>
      </c>
      <c r="I276" s="703" t="s">
        <v>334</v>
      </c>
      <c r="J276" s="703" t="s">
        <v>337</v>
      </c>
      <c r="K276" s="704">
        <v>0</v>
      </c>
      <c r="L276" s="703" t="s">
        <v>334</v>
      </c>
      <c r="M276" s="702">
        <v>39478</v>
      </c>
      <c r="N276" s="702">
        <v>43235</v>
      </c>
      <c r="O276" s="703" t="s">
        <v>338</v>
      </c>
      <c r="P276" s="20">
        <v>2967.54</v>
      </c>
      <c r="Q276" s="20">
        <v>0</v>
      </c>
      <c r="R276" s="20">
        <v>0</v>
      </c>
      <c r="S276" s="20">
        <v>0</v>
      </c>
      <c r="T276" s="20">
        <v>2967.54</v>
      </c>
      <c r="U276" s="20">
        <v>2613.08</v>
      </c>
      <c r="V276" s="20">
        <v>-354.46</v>
      </c>
      <c r="W276" s="20">
        <v>-453.38</v>
      </c>
      <c r="X276" s="20">
        <v>-98.92</v>
      </c>
      <c r="Y276" s="20">
        <v>0</v>
      </c>
      <c r="Z276" s="20">
        <v>0</v>
      </c>
      <c r="AA276" s="20">
        <v>0</v>
      </c>
      <c r="AB276" s="20">
        <v>2514.16</v>
      </c>
      <c r="AC276" t="s">
        <v>183</v>
      </c>
      <c r="AD276" t="s">
        <v>290</v>
      </c>
      <c r="AE276" s="702">
        <f t="shared" si="20"/>
        <v>43252</v>
      </c>
      <c r="AF276" s="289">
        <v>4929.2362241674291</v>
      </c>
      <c r="AG276">
        <f t="shared" si="21"/>
        <v>360</v>
      </c>
      <c r="AH276" s="289">
        <f t="shared" si="22"/>
        <v>13.692322844909524</v>
      </c>
      <c r="AJ276" s="289">
        <f t="shared" si="23"/>
        <v>54</v>
      </c>
      <c r="AK276" s="289">
        <f t="shared" si="24"/>
        <v>739.38543362511427</v>
      </c>
    </row>
    <row r="277" spans="1:37">
      <c r="A277" s="703" t="s">
        <v>871</v>
      </c>
      <c r="B277" s="703" t="s">
        <v>331</v>
      </c>
      <c r="C277" s="703" t="s">
        <v>332</v>
      </c>
      <c r="D277" s="703" t="s">
        <v>333</v>
      </c>
      <c r="E277" s="703" t="s">
        <v>334</v>
      </c>
      <c r="F277" s="703" t="s">
        <v>335</v>
      </c>
      <c r="G277" s="703" t="s">
        <v>872</v>
      </c>
      <c r="H277" s="703" t="s">
        <v>334</v>
      </c>
      <c r="I277" s="703" t="s">
        <v>334</v>
      </c>
      <c r="J277" s="703" t="s">
        <v>337</v>
      </c>
      <c r="K277" s="704">
        <v>0</v>
      </c>
      <c r="L277" s="703" t="s">
        <v>334</v>
      </c>
      <c r="M277" s="702">
        <v>42886</v>
      </c>
      <c r="N277" s="702">
        <v>43235</v>
      </c>
      <c r="O277" s="703" t="s">
        <v>338</v>
      </c>
      <c r="P277" s="20">
        <v>4029.09</v>
      </c>
      <c r="Q277" s="20">
        <v>0</v>
      </c>
      <c r="R277" s="20">
        <v>0</v>
      </c>
      <c r="S277" s="20">
        <v>0</v>
      </c>
      <c r="T277" s="20">
        <v>4029.09</v>
      </c>
      <c r="U277" s="20">
        <v>3547.85</v>
      </c>
      <c r="V277" s="20">
        <v>-481.24</v>
      </c>
      <c r="W277" s="20">
        <v>-615.54</v>
      </c>
      <c r="X277" s="20">
        <v>-134.30000000000001</v>
      </c>
      <c r="Y277" s="20">
        <v>0</v>
      </c>
      <c r="Z277" s="20">
        <v>0</v>
      </c>
      <c r="AA277" s="20">
        <v>0</v>
      </c>
      <c r="AB277" s="20">
        <v>3413.55</v>
      </c>
      <c r="AC277" t="s">
        <v>183</v>
      </c>
      <c r="AD277" t="s">
        <v>290</v>
      </c>
      <c r="AE277" s="702">
        <f t="shared" si="20"/>
        <v>43252</v>
      </c>
      <c r="AF277" s="289">
        <v>6692.5252493414573</v>
      </c>
      <c r="AG277">
        <f t="shared" si="21"/>
        <v>360</v>
      </c>
      <c r="AH277" s="289">
        <f t="shared" si="22"/>
        <v>18.59034791483738</v>
      </c>
      <c r="AJ277" s="289">
        <f t="shared" si="23"/>
        <v>54</v>
      </c>
      <c r="AK277" s="289">
        <f t="shared" si="24"/>
        <v>1003.8787874012186</v>
      </c>
    </row>
    <row r="278" spans="1:37">
      <c r="A278" s="703" t="s">
        <v>873</v>
      </c>
      <c r="B278" s="703" t="s">
        <v>331</v>
      </c>
      <c r="C278" s="703" t="s">
        <v>332</v>
      </c>
      <c r="D278" s="703" t="s">
        <v>333</v>
      </c>
      <c r="E278" s="703" t="s">
        <v>334</v>
      </c>
      <c r="F278" s="703" t="s">
        <v>335</v>
      </c>
      <c r="G278" s="703" t="s">
        <v>874</v>
      </c>
      <c r="H278" s="703" t="s">
        <v>334</v>
      </c>
      <c r="I278" s="703" t="s">
        <v>334</v>
      </c>
      <c r="J278" s="703" t="s">
        <v>337</v>
      </c>
      <c r="K278" s="704">
        <v>0</v>
      </c>
      <c r="L278" s="703" t="s">
        <v>334</v>
      </c>
      <c r="M278" s="702">
        <v>39478</v>
      </c>
      <c r="N278" s="702">
        <v>43235</v>
      </c>
      <c r="O278" s="703" t="s">
        <v>338</v>
      </c>
      <c r="P278" s="20">
        <v>14177.63</v>
      </c>
      <c r="Q278" s="20">
        <v>0</v>
      </c>
      <c r="R278" s="20">
        <v>0</v>
      </c>
      <c r="S278" s="20">
        <v>0</v>
      </c>
      <c r="T278" s="20">
        <v>14177.63</v>
      </c>
      <c r="U278" s="20">
        <v>12484.18</v>
      </c>
      <c r="V278" s="20">
        <v>-1693.45</v>
      </c>
      <c r="W278" s="20">
        <v>-2166.04</v>
      </c>
      <c r="X278" s="20">
        <v>-472.59</v>
      </c>
      <c r="Y278" s="20">
        <v>0</v>
      </c>
      <c r="Z278" s="20">
        <v>0</v>
      </c>
      <c r="AA278" s="20">
        <v>0</v>
      </c>
      <c r="AB278" s="20">
        <v>12011.59</v>
      </c>
      <c r="AC278" t="s">
        <v>183</v>
      </c>
      <c r="AD278" t="s">
        <v>290</v>
      </c>
      <c r="AE278" s="702">
        <f t="shared" si="20"/>
        <v>43252</v>
      </c>
      <c r="AF278" s="289">
        <v>23549.770978265788</v>
      </c>
      <c r="AG278">
        <f t="shared" si="21"/>
        <v>360</v>
      </c>
      <c r="AH278" s="289">
        <f t="shared" si="22"/>
        <v>65.416030495182738</v>
      </c>
      <c r="AJ278" s="289">
        <f t="shared" si="23"/>
        <v>54</v>
      </c>
      <c r="AK278" s="289">
        <f t="shared" si="24"/>
        <v>3532.4656467398677</v>
      </c>
    </row>
    <row r="279" spans="1:37">
      <c r="A279" s="703" t="s">
        <v>875</v>
      </c>
      <c r="B279" s="703" t="s">
        <v>331</v>
      </c>
      <c r="C279" s="703" t="s">
        <v>332</v>
      </c>
      <c r="D279" s="703" t="s">
        <v>333</v>
      </c>
      <c r="E279" s="703" t="s">
        <v>334</v>
      </c>
      <c r="F279" s="703" t="s">
        <v>335</v>
      </c>
      <c r="G279" s="703" t="s">
        <v>876</v>
      </c>
      <c r="H279" s="703" t="s">
        <v>334</v>
      </c>
      <c r="I279" s="703" t="s">
        <v>334</v>
      </c>
      <c r="J279" s="703" t="s">
        <v>337</v>
      </c>
      <c r="K279" s="704">
        <v>0</v>
      </c>
      <c r="L279" s="703" t="s">
        <v>334</v>
      </c>
      <c r="M279" s="702">
        <v>39478</v>
      </c>
      <c r="N279" s="702">
        <v>43235</v>
      </c>
      <c r="O279" s="703" t="s">
        <v>338</v>
      </c>
      <c r="P279" s="20">
        <v>20758.5</v>
      </c>
      <c r="Q279" s="20">
        <v>0</v>
      </c>
      <c r="R279" s="20">
        <v>0</v>
      </c>
      <c r="S279" s="20">
        <v>0</v>
      </c>
      <c r="T279" s="20">
        <v>20758.5</v>
      </c>
      <c r="U279" s="20">
        <v>18279.009999999998</v>
      </c>
      <c r="V279" s="20">
        <v>-2479.4899999999998</v>
      </c>
      <c r="W279" s="20">
        <v>-3171.44</v>
      </c>
      <c r="X279" s="20">
        <v>-691.95</v>
      </c>
      <c r="Y279" s="20">
        <v>0</v>
      </c>
      <c r="Z279" s="20">
        <v>0</v>
      </c>
      <c r="AA279" s="20">
        <v>0</v>
      </c>
      <c r="AB279" s="20">
        <v>17587.060000000001</v>
      </c>
      <c r="AC279" t="s">
        <v>183</v>
      </c>
      <c r="AD279" t="s">
        <v>290</v>
      </c>
      <c r="AE279" s="702">
        <f t="shared" si="20"/>
        <v>43252</v>
      </c>
      <c r="AF279" s="289">
        <v>34480.933756370454</v>
      </c>
      <c r="AG279">
        <f t="shared" si="21"/>
        <v>360</v>
      </c>
      <c r="AH279" s="289">
        <f t="shared" si="22"/>
        <v>95.780371545473486</v>
      </c>
      <c r="AJ279" s="289">
        <f t="shared" si="23"/>
        <v>54</v>
      </c>
      <c r="AK279" s="289">
        <f t="shared" si="24"/>
        <v>5172.1400634555685</v>
      </c>
    </row>
    <row r="280" spans="1:37">
      <c r="A280" s="703" t="s">
        <v>877</v>
      </c>
      <c r="B280" s="703" t="s">
        <v>331</v>
      </c>
      <c r="C280" s="703" t="s">
        <v>332</v>
      </c>
      <c r="D280" s="703" t="s">
        <v>333</v>
      </c>
      <c r="E280" s="703" t="s">
        <v>334</v>
      </c>
      <c r="F280" s="703" t="s">
        <v>335</v>
      </c>
      <c r="G280" s="703" t="s">
        <v>878</v>
      </c>
      <c r="H280" s="703" t="s">
        <v>334</v>
      </c>
      <c r="I280" s="703" t="s">
        <v>334</v>
      </c>
      <c r="J280" s="703" t="s">
        <v>337</v>
      </c>
      <c r="K280" s="704">
        <v>0</v>
      </c>
      <c r="L280" s="703" t="s">
        <v>334</v>
      </c>
      <c r="M280" s="702">
        <v>39478</v>
      </c>
      <c r="N280" s="702">
        <v>43235</v>
      </c>
      <c r="O280" s="703" t="s">
        <v>338</v>
      </c>
      <c r="P280" s="20">
        <v>1958.28</v>
      </c>
      <c r="Q280" s="20">
        <v>0</v>
      </c>
      <c r="R280" s="20">
        <v>0</v>
      </c>
      <c r="S280" s="20">
        <v>0</v>
      </c>
      <c r="T280" s="20">
        <v>1958.28</v>
      </c>
      <c r="U280" s="20">
        <v>1724.36</v>
      </c>
      <c r="V280" s="20">
        <v>-233.92</v>
      </c>
      <c r="W280" s="20">
        <v>-299.2</v>
      </c>
      <c r="X280" s="20">
        <v>-65.28</v>
      </c>
      <c r="Y280" s="20">
        <v>0</v>
      </c>
      <c r="Z280" s="20">
        <v>0</v>
      </c>
      <c r="AA280" s="20">
        <v>0</v>
      </c>
      <c r="AB280" s="20">
        <v>1659.08</v>
      </c>
      <c r="AC280" t="s">
        <v>183</v>
      </c>
      <c r="AD280" t="s">
        <v>290</v>
      </c>
      <c r="AE280" s="702">
        <f t="shared" si="20"/>
        <v>43252</v>
      </c>
      <c r="AF280" s="289">
        <v>3252.8035723402522</v>
      </c>
      <c r="AG280">
        <f t="shared" si="21"/>
        <v>360</v>
      </c>
      <c r="AH280" s="289">
        <f t="shared" si="22"/>
        <v>9.0355654787229227</v>
      </c>
      <c r="AJ280" s="289">
        <f t="shared" si="23"/>
        <v>54</v>
      </c>
      <c r="AK280" s="289">
        <f t="shared" si="24"/>
        <v>487.92053585103781</v>
      </c>
    </row>
    <row r="281" spans="1:37">
      <c r="A281" s="703" t="s">
        <v>879</v>
      </c>
      <c r="B281" s="703" t="s">
        <v>331</v>
      </c>
      <c r="C281" s="703" t="s">
        <v>332</v>
      </c>
      <c r="D281" s="703" t="s">
        <v>333</v>
      </c>
      <c r="E281" s="703" t="s">
        <v>334</v>
      </c>
      <c r="F281" s="703" t="s">
        <v>335</v>
      </c>
      <c r="G281" s="703" t="s">
        <v>880</v>
      </c>
      <c r="H281" s="703" t="s">
        <v>334</v>
      </c>
      <c r="I281" s="703" t="s">
        <v>334</v>
      </c>
      <c r="J281" s="703" t="s">
        <v>337</v>
      </c>
      <c r="K281" s="704">
        <v>0</v>
      </c>
      <c r="L281" s="703" t="s">
        <v>334</v>
      </c>
      <c r="M281" s="702">
        <v>42886</v>
      </c>
      <c r="N281" s="702">
        <v>43235</v>
      </c>
      <c r="O281" s="703" t="s">
        <v>338</v>
      </c>
      <c r="P281" s="20">
        <v>3802.38</v>
      </c>
      <c r="Q281" s="20">
        <v>0</v>
      </c>
      <c r="R281" s="20">
        <v>0</v>
      </c>
      <c r="S281" s="20">
        <v>0</v>
      </c>
      <c r="T281" s="20">
        <v>3802.38</v>
      </c>
      <c r="U281" s="20">
        <v>3348.19</v>
      </c>
      <c r="V281" s="20">
        <v>-454.19</v>
      </c>
      <c r="W281" s="20">
        <v>-580.94000000000005</v>
      </c>
      <c r="X281" s="20">
        <v>-126.75</v>
      </c>
      <c r="Y281" s="20">
        <v>0</v>
      </c>
      <c r="Z281" s="20">
        <v>0</v>
      </c>
      <c r="AA281" s="20">
        <v>0</v>
      </c>
      <c r="AB281" s="20">
        <v>3221.44</v>
      </c>
      <c r="AC281" t="s">
        <v>183</v>
      </c>
      <c r="AD281" t="s">
        <v>290</v>
      </c>
      <c r="AE281" s="702">
        <f t="shared" si="20"/>
        <v>43252</v>
      </c>
      <c r="AF281" s="289">
        <v>6315.9483053471049</v>
      </c>
      <c r="AG281">
        <f t="shared" si="21"/>
        <v>360</v>
      </c>
      <c r="AH281" s="289">
        <f t="shared" si="22"/>
        <v>17.544300848186403</v>
      </c>
      <c r="AJ281" s="289">
        <f t="shared" si="23"/>
        <v>54</v>
      </c>
      <c r="AK281" s="289">
        <f t="shared" si="24"/>
        <v>947.39224580206576</v>
      </c>
    </row>
    <row r="282" spans="1:37">
      <c r="A282" s="703" t="s">
        <v>881</v>
      </c>
      <c r="B282" s="703" t="s">
        <v>331</v>
      </c>
      <c r="C282" s="703" t="s">
        <v>332</v>
      </c>
      <c r="D282" s="703" t="s">
        <v>333</v>
      </c>
      <c r="E282" s="703" t="s">
        <v>334</v>
      </c>
      <c r="F282" s="703" t="s">
        <v>335</v>
      </c>
      <c r="G282" s="703" t="s">
        <v>882</v>
      </c>
      <c r="H282" s="703" t="s">
        <v>334</v>
      </c>
      <c r="I282" s="703" t="s">
        <v>334</v>
      </c>
      <c r="J282" s="703" t="s">
        <v>337</v>
      </c>
      <c r="K282" s="704">
        <v>0</v>
      </c>
      <c r="L282" s="703" t="s">
        <v>334</v>
      </c>
      <c r="M282" s="702">
        <v>39478</v>
      </c>
      <c r="N282" s="702">
        <v>43235</v>
      </c>
      <c r="O282" s="703" t="s">
        <v>338</v>
      </c>
      <c r="P282" s="20">
        <v>65109.919999999998</v>
      </c>
      <c r="Q282" s="20">
        <v>0</v>
      </c>
      <c r="R282" s="20">
        <v>0</v>
      </c>
      <c r="S282" s="20">
        <v>0</v>
      </c>
      <c r="T282" s="20">
        <v>65109.919999999998</v>
      </c>
      <c r="U282" s="20">
        <v>57332.9</v>
      </c>
      <c r="V282" s="20">
        <v>-7777.02</v>
      </c>
      <c r="W282" s="20">
        <v>-9947.35</v>
      </c>
      <c r="X282" s="20">
        <v>-2170.33</v>
      </c>
      <c r="Y282" s="20">
        <v>0</v>
      </c>
      <c r="Z282" s="20">
        <v>0</v>
      </c>
      <c r="AA282" s="20">
        <v>0</v>
      </c>
      <c r="AB282" s="20">
        <v>55162.57</v>
      </c>
      <c r="AC282" t="s">
        <v>183</v>
      </c>
      <c r="AD282" t="s">
        <v>290</v>
      </c>
      <c r="AE282" s="702">
        <f t="shared" si="20"/>
        <v>43252</v>
      </c>
      <c r="AF282" s="289">
        <v>108150.91834200831</v>
      </c>
      <c r="AG282">
        <f t="shared" si="21"/>
        <v>360</v>
      </c>
      <c r="AH282" s="289">
        <f t="shared" si="22"/>
        <v>300.41921761668976</v>
      </c>
      <c r="AJ282" s="289">
        <f t="shared" si="23"/>
        <v>54</v>
      </c>
      <c r="AK282" s="289">
        <f t="shared" si="24"/>
        <v>16222.637751301247</v>
      </c>
    </row>
    <row r="283" spans="1:37">
      <c r="A283" s="703" t="s">
        <v>883</v>
      </c>
      <c r="B283" s="703" t="s">
        <v>331</v>
      </c>
      <c r="C283" s="703" t="s">
        <v>332</v>
      </c>
      <c r="D283" s="703" t="s">
        <v>333</v>
      </c>
      <c r="E283" s="703" t="s">
        <v>334</v>
      </c>
      <c r="F283" s="703" t="s">
        <v>335</v>
      </c>
      <c r="G283" s="703" t="s">
        <v>884</v>
      </c>
      <c r="H283" s="703" t="s">
        <v>334</v>
      </c>
      <c r="I283" s="703" t="s">
        <v>334</v>
      </c>
      <c r="J283" s="703" t="s">
        <v>337</v>
      </c>
      <c r="K283" s="704">
        <v>0</v>
      </c>
      <c r="L283" s="703" t="s">
        <v>334</v>
      </c>
      <c r="M283" s="702">
        <v>39478</v>
      </c>
      <c r="N283" s="702">
        <v>43235</v>
      </c>
      <c r="O283" s="703" t="s">
        <v>338</v>
      </c>
      <c r="P283" s="20">
        <v>46191.25</v>
      </c>
      <c r="Q283" s="20">
        <v>0</v>
      </c>
      <c r="R283" s="20">
        <v>0</v>
      </c>
      <c r="S283" s="20">
        <v>0</v>
      </c>
      <c r="T283" s="20">
        <v>46191.25</v>
      </c>
      <c r="U283" s="20">
        <v>40673.96</v>
      </c>
      <c r="V283" s="20">
        <v>-5517.29</v>
      </c>
      <c r="W283" s="20">
        <v>-7057</v>
      </c>
      <c r="X283" s="20">
        <v>-1539.71</v>
      </c>
      <c r="Y283" s="20">
        <v>0</v>
      </c>
      <c r="Z283" s="20">
        <v>0</v>
      </c>
      <c r="AA283" s="20">
        <v>0</v>
      </c>
      <c r="AB283" s="20">
        <v>39134.25</v>
      </c>
      <c r="AC283" t="s">
        <v>183</v>
      </c>
      <c r="AD283" t="s">
        <v>290</v>
      </c>
      <c r="AE283" s="702">
        <f t="shared" si="20"/>
        <v>43252</v>
      </c>
      <c r="AF283" s="289">
        <v>76726.036629522685</v>
      </c>
      <c r="AG283">
        <f t="shared" si="21"/>
        <v>360</v>
      </c>
      <c r="AH283" s="289">
        <f t="shared" si="22"/>
        <v>213.12787952645189</v>
      </c>
      <c r="AJ283" s="289">
        <f t="shared" si="23"/>
        <v>54</v>
      </c>
      <c r="AK283" s="289">
        <f t="shared" si="24"/>
        <v>11508.905494428402</v>
      </c>
    </row>
    <row r="284" spans="1:37">
      <c r="A284" s="703" t="s">
        <v>885</v>
      </c>
      <c r="B284" s="703" t="s">
        <v>331</v>
      </c>
      <c r="C284" s="703" t="s">
        <v>332</v>
      </c>
      <c r="D284" s="703" t="s">
        <v>333</v>
      </c>
      <c r="E284" s="703" t="s">
        <v>334</v>
      </c>
      <c r="F284" s="703" t="s">
        <v>335</v>
      </c>
      <c r="G284" s="703" t="s">
        <v>886</v>
      </c>
      <c r="H284" s="703" t="s">
        <v>334</v>
      </c>
      <c r="I284" s="703" t="s">
        <v>334</v>
      </c>
      <c r="J284" s="703" t="s">
        <v>337</v>
      </c>
      <c r="K284" s="704">
        <v>0</v>
      </c>
      <c r="L284" s="703" t="s">
        <v>334</v>
      </c>
      <c r="M284" s="702">
        <v>39478</v>
      </c>
      <c r="N284" s="702">
        <v>43235</v>
      </c>
      <c r="O284" s="703" t="s">
        <v>338</v>
      </c>
      <c r="P284" s="20">
        <v>4098.59</v>
      </c>
      <c r="Q284" s="20">
        <v>0</v>
      </c>
      <c r="R284" s="20">
        <v>0</v>
      </c>
      <c r="S284" s="20">
        <v>0</v>
      </c>
      <c r="T284" s="20">
        <v>4098.59</v>
      </c>
      <c r="U284" s="20">
        <v>3609.04</v>
      </c>
      <c r="V284" s="20">
        <v>-489.55</v>
      </c>
      <c r="W284" s="20">
        <v>-626.16999999999996</v>
      </c>
      <c r="X284" s="20">
        <v>-136.62</v>
      </c>
      <c r="Y284" s="20">
        <v>0</v>
      </c>
      <c r="Z284" s="20">
        <v>0</v>
      </c>
      <c r="AA284" s="20">
        <v>0</v>
      </c>
      <c r="AB284" s="20">
        <v>3472.42</v>
      </c>
      <c r="AC284" t="s">
        <v>183</v>
      </c>
      <c r="AD284" t="s">
        <v>290</v>
      </c>
      <c r="AE284" s="702">
        <f t="shared" si="20"/>
        <v>43252</v>
      </c>
      <c r="AF284" s="289">
        <v>6807.9683158475982</v>
      </c>
      <c r="AG284">
        <f t="shared" si="21"/>
        <v>360</v>
      </c>
      <c r="AH284" s="289">
        <f t="shared" si="22"/>
        <v>18.91102309957666</v>
      </c>
      <c r="AJ284" s="289">
        <f t="shared" si="23"/>
        <v>54</v>
      </c>
      <c r="AK284" s="289">
        <f t="shared" si="24"/>
        <v>1021.1952473771396</v>
      </c>
    </row>
    <row r="285" spans="1:37">
      <c r="A285" s="703" t="s">
        <v>887</v>
      </c>
      <c r="B285" s="703" t="s">
        <v>331</v>
      </c>
      <c r="C285" s="703" t="s">
        <v>332</v>
      </c>
      <c r="D285" s="703" t="s">
        <v>333</v>
      </c>
      <c r="E285" s="703" t="s">
        <v>334</v>
      </c>
      <c r="F285" s="703" t="s">
        <v>335</v>
      </c>
      <c r="G285" s="703" t="s">
        <v>888</v>
      </c>
      <c r="H285" s="703" t="s">
        <v>334</v>
      </c>
      <c r="I285" s="703" t="s">
        <v>334</v>
      </c>
      <c r="J285" s="703" t="s">
        <v>337</v>
      </c>
      <c r="K285" s="704">
        <v>0</v>
      </c>
      <c r="L285" s="703" t="s">
        <v>334</v>
      </c>
      <c r="M285" s="702">
        <v>39478</v>
      </c>
      <c r="N285" s="702">
        <v>43235</v>
      </c>
      <c r="O285" s="703" t="s">
        <v>338</v>
      </c>
      <c r="P285" s="20">
        <v>19560.099999999999</v>
      </c>
      <c r="Q285" s="20">
        <v>0</v>
      </c>
      <c r="R285" s="20">
        <v>0</v>
      </c>
      <c r="S285" s="20">
        <v>0</v>
      </c>
      <c r="T285" s="20">
        <v>19560.099999999999</v>
      </c>
      <c r="U285" s="20">
        <v>17223.759999999998</v>
      </c>
      <c r="V285" s="20">
        <v>-2336.34</v>
      </c>
      <c r="W285" s="20">
        <v>-2988.34</v>
      </c>
      <c r="X285" s="20">
        <v>-652</v>
      </c>
      <c r="Y285" s="20">
        <v>0</v>
      </c>
      <c r="Z285" s="20">
        <v>0</v>
      </c>
      <c r="AA285" s="20">
        <v>0</v>
      </c>
      <c r="AB285" s="20">
        <v>16571.759999999998</v>
      </c>
      <c r="AC285" t="s">
        <v>183</v>
      </c>
      <c r="AD285" t="s">
        <v>290</v>
      </c>
      <c r="AE285" s="702">
        <f t="shared" si="20"/>
        <v>43252</v>
      </c>
      <c r="AF285" s="289">
        <v>32490.329858514906</v>
      </c>
      <c r="AG285">
        <f t="shared" si="21"/>
        <v>360</v>
      </c>
      <c r="AH285" s="289">
        <f t="shared" si="22"/>
        <v>90.250916273652521</v>
      </c>
      <c r="AJ285" s="289">
        <f t="shared" si="23"/>
        <v>54</v>
      </c>
      <c r="AK285" s="289">
        <f t="shared" si="24"/>
        <v>4873.5494787772359</v>
      </c>
    </row>
    <row r="286" spans="1:37">
      <c r="A286" s="703" t="s">
        <v>889</v>
      </c>
      <c r="B286" s="703" t="s">
        <v>331</v>
      </c>
      <c r="C286" s="703" t="s">
        <v>332</v>
      </c>
      <c r="D286" s="703" t="s">
        <v>333</v>
      </c>
      <c r="E286" s="703" t="s">
        <v>334</v>
      </c>
      <c r="F286" s="703" t="s">
        <v>335</v>
      </c>
      <c r="G286" s="703" t="s">
        <v>890</v>
      </c>
      <c r="H286" s="703" t="s">
        <v>334</v>
      </c>
      <c r="I286" s="703" t="s">
        <v>334</v>
      </c>
      <c r="J286" s="703" t="s">
        <v>337</v>
      </c>
      <c r="K286" s="704">
        <v>0</v>
      </c>
      <c r="L286" s="703" t="s">
        <v>334</v>
      </c>
      <c r="M286" s="702">
        <v>42886</v>
      </c>
      <c r="N286" s="702">
        <v>43235</v>
      </c>
      <c r="O286" s="703" t="s">
        <v>338</v>
      </c>
      <c r="P286" s="20">
        <v>7856.34</v>
      </c>
      <c r="Q286" s="20">
        <v>0</v>
      </c>
      <c r="R286" s="20">
        <v>0</v>
      </c>
      <c r="S286" s="20">
        <v>0</v>
      </c>
      <c r="T286" s="20">
        <v>7856.34</v>
      </c>
      <c r="U286" s="20">
        <v>6917.94</v>
      </c>
      <c r="V286" s="20">
        <v>-938.4</v>
      </c>
      <c r="W286" s="20">
        <v>-1200.28</v>
      </c>
      <c r="X286" s="20">
        <v>-261.88</v>
      </c>
      <c r="Y286" s="20">
        <v>0</v>
      </c>
      <c r="Z286" s="20">
        <v>0</v>
      </c>
      <c r="AA286" s="20">
        <v>0</v>
      </c>
      <c r="AB286" s="20">
        <v>6656.06</v>
      </c>
      <c r="AC286" t="s">
        <v>183</v>
      </c>
      <c r="AD286" t="s">
        <v>290</v>
      </c>
      <c r="AE286" s="702">
        <f t="shared" si="20"/>
        <v>43252</v>
      </c>
      <c r="AF286" s="289">
        <v>13049.783900933277</v>
      </c>
      <c r="AG286">
        <f t="shared" si="21"/>
        <v>360</v>
      </c>
      <c r="AH286" s="289">
        <f t="shared" si="22"/>
        <v>36.249399724814658</v>
      </c>
      <c r="AJ286" s="289">
        <f t="shared" si="23"/>
        <v>54</v>
      </c>
      <c r="AK286" s="289">
        <f t="shared" si="24"/>
        <v>1957.4675851399916</v>
      </c>
    </row>
    <row r="287" spans="1:37">
      <c r="A287" s="703" t="s">
        <v>891</v>
      </c>
      <c r="B287" s="703" t="s">
        <v>331</v>
      </c>
      <c r="C287" s="703" t="s">
        <v>332</v>
      </c>
      <c r="D287" s="703" t="s">
        <v>333</v>
      </c>
      <c r="E287" s="703" t="s">
        <v>334</v>
      </c>
      <c r="F287" s="703" t="s">
        <v>335</v>
      </c>
      <c r="G287" s="703" t="s">
        <v>892</v>
      </c>
      <c r="H287" s="703" t="s">
        <v>334</v>
      </c>
      <c r="I287" s="703" t="s">
        <v>334</v>
      </c>
      <c r="J287" s="703" t="s">
        <v>337</v>
      </c>
      <c r="K287" s="704">
        <v>0</v>
      </c>
      <c r="L287" s="703" t="s">
        <v>334</v>
      </c>
      <c r="M287" s="702">
        <v>39478</v>
      </c>
      <c r="N287" s="702">
        <v>43235</v>
      </c>
      <c r="O287" s="703" t="s">
        <v>338</v>
      </c>
      <c r="P287" s="20">
        <v>8930.3799999999992</v>
      </c>
      <c r="Q287" s="20">
        <v>0</v>
      </c>
      <c r="R287" s="20">
        <v>0</v>
      </c>
      <c r="S287" s="20">
        <v>0</v>
      </c>
      <c r="T287" s="20">
        <v>8930.3799999999992</v>
      </c>
      <c r="U287" s="20">
        <v>7863.69</v>
      </c>
      <c r="V287" s="20">
        <v>-1066.69</v>
      </c>
      <c r="W287" s="20">
        <v>-1364.37</v>
      </c>
      <c r="X287" s="20">
        <v>-297.68</v>
      </c>
      <c r="Y287" s="20">
        <v>0</v>
      </c>
      <c r="Z287" s="20">
        <v>0</v>
      </c>
      <c r="AA287" s="20">
        <v>0</v>
      </c>
      <c r="AB287" s="20">
        <v>7566.01</v>
      </c>
      <c r="AC287" t="s">
        <v>183</v>
      </c>
      <c r="AD287" t="s">
        <v>290</v>
      </c>
      <c r="AE287" s="702">
        <f t="shared" si="20"/>
        <v>43252</v>
      </c>
      <c r="AF287" s="289">
        <v>14833.819457052075</v>
      </c>
      <c r="AG287">
        <f t="shared" si="21"/>
        <v>360</v>
      </c>
      <c r="AH287" s="289">
        <f t="shared" si="22"/>
        <v>41.205054047366879</v>
      </c>
      <c r="AJ287" s="289">
        <f t="shared" si="23"/>
        <v>54</v>
      </c>
      <c r="AK287" s="289">
        <f t="shared" si="24"/>
        <v>2225.0729185578116</v>
      </c>
    </row>
    <row r="288" spans="1:37">
      <c r="A288" s="703" t="s">
        <v>893</v>
      </c>
      <c r="B288" s="703" t="s">
        <v>331</v>
      </c>
      <c r="C288" s="703" t="s">
        <v>332</v>
      </c>
      <c r="D288" s="703" t="s">
        <v>333</v>
      </c>
      <c r="E288" s="703" t="s">
        <v>334</v>
      </c>
      <c r="F288" s="703" t="s">
        <v>335</v>
      </c>
      <c r="G288" s="703" t="s">
        <v>894</v>
      </c>
      <c r="H288" s="703" t="s">
        <v>334</v>
      </c>
      <c r="I288" s="703" t="s">
        <v>334</v>
      </c>
      <c r="J288" s="703" t="s">
        <v>337</v>
      </c>
      <c r="K288" s="704">
        <v>0</v>
      </c>
      <c r="L288" s="703" t="s">
        <v>334</v>
      </c>
      <c r="M288" s="702">
        <v>42886</v>
      </c>
      <c r="N288" s="702">
        <v>43235</v>
      </c>
      <c r="O288" s="703" t="s">
        <v>338</v>
      </c>
      <c r="P288" s="20">
        <v>796.18</v>
      </c>
      <c r="Q288" s="20">
        <v>0</v>
      </c>
      <c r="R288" s="20">
        <v>0</v>
      </c>
      <c r="S288" s="20">
        <v>0</v>
      </c>
      <c r="T288" s="20">
        <v>796.18</v>
      </c>
      <c r="U288" s="20">
        <v>701.08</v>
      </c>
      <c r="V288" s="20">
        <v>-95.1</v>
      </c>
      <c r="W288" s="20">
        <v>-121.64</v>
      </c>
      <c r="X288" s="20">
        <v>-26.54</v>
      </c>
      <c r="Y288" s="20">
        <v>0</v>
      </c>
      <c r="Z288" s="20">
        <v>0</v>
      </c>
      <c r="AA288" s="20">
        <v>0</v>
      </c>
      <c r="AB288" s="20">
        <v>674.54</v>
      </c>
      <c r="AC288" t="s">
        <v>183</v>
      </c>
      <c r="AD288" t="s">
        <v>290</v>
      </c>
      <c r="AE288" s="702">
        <f t="shared" si="20"/>
        <v>43252</v>
      </c>
      <c r="AF288" s="289">
        <v>1322.4958372785618</v>
      </c>
      <c r="AG288">
        <f t="shared" si="21"/>
        <v>360</v>
      </c>
      <c r="AH288" s="289">
        <f t="shared" si="22"/>
        <v>3.6735995479960049</v>
      </c>
      <c r="AJ288" s="289">
        <f t="shared" si="23"/>
        <v>54</v>
      </c>
      <c r="AK288" s="289">
        <f t="shared" si="24"/>
        <v>198.37437559178426</v>
      </c>
    </row>
    <row r="289" spans="1:37">
      <c r="A289" s="703" t="s">
        <v>895</v>
      </c>
      <c r="B289" s="703" t="s">
        <v>331</v>
      </c>
      <c r="C289" s="703" t="s">
        <v>332</v>
      </c>
      <c r="D289" s="703" t="s">
        <v>333</v>
      </c>
      <c r="E289" s="703" t="s">
        <v>334</v>
      </c>
      <c r="F289" s="703" t="s">
        <v>335</v>
      </c>
      <c r="G289" s="703" t="s">
        <v>896</v>
      </c>
      <c r="H289" s="703" t="s">
        <v>334</v>
      </c>
      <c r="I289" s="703" t="s">
        <v>334</v>
      </c>
      <c r="J289" s="703" t="s">
        <v>337</v>
      </c>
      <c r="K289" s="704">
        <v>0</v>
      </c>
      <c r="L289" s="703" t="s">
        <v>334</v>
      </c>
      <c r="M289" s="702">
        <v>39478</v>
      </c>
      <c r="N289" s="702">
        <v>43235</v>
      </c>
      <c r="O289" s="703" t="s">
        <v>338</v>
      </c>
      <c r="P289" s="20">
        <v>2421.33</v>
      </c>
      <c r="Q289" s="20">
        <v>0</v>
      </c>
      <c r="R289" s="20">
        <v>0</v>
      </c>
      <c r="S289" s="20">
        <v>0</v>
      </c>
      <c r="T289" s="20">
        <v>2421.33</v>
      </c>
      <c r="U289" s="20">
        <v>2132.12</v>
      </c>
      <c r="V289" s="20">
        <v>-289.20999999999998</v>
      </c>
      <c r="W289" s="20">
        <v>-369.92</v>
      </c>
      <c r="X289" s="20">
        <v>-80.709999999999994</v>
      </c>
      <c r="Y289" s="20">
        <v>0</v>
      </c>
      <c r="Z289" s="20">
        <v>0</v>
      </c>
      <c r="AA289" s="20">
        <v>0</v>
      </c>
      <c r="AB289" s="20">
        <v>2051.41</v>
      </c>
      <c r="AC289" t="s">
        <v>183</v>
      </c>
      <c r="AD289" t="s">
        <v>290</v>
      </c>
      <c r="AE289" s="702">
        <f t="shared" si="20"/>
        <v>43252</v>
      </c>
      <c r="AF289" s="289">
        <v>4021.9533845081514</v>
      </c>
      <c r="AG289">
        <f t="shared" si="21"/>
        <v>360</v>
      </c>
      <c r="AH289" s="289">
        <f t="shared" si="22"/>
        <v>11.172092734744865</v>
      </c>
      <c r="AJ289" s="289">
        <f t="shared" si="23"/>
        <v>54</v>
      </c>
      <c r="AK289" s="289">
        <f t="shared" si="24"/>
        <v>603.29300767622271</v>
      </c>
    </row>
    <row r="290" spans="1:37">
      <c r="A290" s="703" t="s">
        <v>897</v>
      </c>
      <c r="B290" s="703" t="s">
        <v>331</v>
      </c>
      <c r="C290" s="703" t="s">
        <v>332</v>
      </c>
      <c r="D290" s="703" t="s">
        <v>333</v>
      </c>
      <c r="E290" s="703" t="s">
        <v>334</v>
      </c>
      <c r="F290" s="703" t="s">
        <v>335</v>
      </c>
      <c r="G290" s="703" t="s">
        <v>898</v>
      </c>
      <c r="H290" s="703" t="s">
        <v>334</v>
      </c>
      <c r="I290" s="703" t="s">
        <v>334</v>
      </c>
      <c r="J290" s="703" t="s">
        <v>337</v>
      </c>
      <c r="K290" s="704">
        <v>0</v>
      </c>
      <c r="L290" s="703" t="s">
        <v>334</v>
      </c>
      <c r="M290" s="702">
        <v>39478</v>
      </c>
      <c r="N290" s="702">
        <v>43235</v>
      </c>
      <c r="O290" s="703" t="s">
        <v>338</v>
      </c>
      <c r="P290" s="20">
        <v>43663.96</v>
      </c>
      <c r="Q290" s="20">
        <v>0</v>
      </c>
      <c r="R290" s="20">
        <v>0</v>
      </c>
      <c r="S290" s="20">
        <v>0</v>
      </c>
      <c r="T290" s="20">
        <v>43663.96</v>
      </c>
      <c r="U290" s="20">
        <v>38448.53</v>
      </c>
      <c r="V290" s="20">
        <v>-5215.43</v>
      </c>
      <c r="W290" s="20">
        <v>-6670.9</v>
      </c>
      <c r="X290" s="20">
        <v>-1455.47</v>
      </c>
      <c r="Y290" s="20">
        <v>0</v>
      </c>
      <c r="Z290" s="20">
        <v>0</v>
      </c>
      <c r="AA290" s="20">
        <v>0</v>
      </c>
      <c r="AB290" s="20">
        <v>36993.06</v>
      </c>
      <c r="AC290" t="s">
        <v>183</v>
      </c>
      <c r="AD290" t="s">
        <v>290</v>
      </c>
      <c r="AE290" s="702">
        <f t="shared" si="20"/>
        <v>43252</v>
      </c>
      <c r="AF290" s="289">
        <v>72528.078247503872</v>
      </c>
      <c r="AG290">
        <f t="shared" si="21"/>
        <v>360</v>
      </c>
      <c r="AH290" s="289">
        <f t="shared" si="22"/>
        <v>201.46688402084408</v>
      </c>
      <c r="AJ290" s="289">
        <f t="shared" si="23"/>
        <v>54</v>
      </c>
      <c r="AK290" s="289">
        <f t="shared" si="24"/>
        <v>10879.211737125581</v>
      </c>
    </row>
    <row r="291" spans="1:37">
      <c r="A291" s="703" t="s">
        <v>899</v>
      </c>
      <c r="B291" s="703" t="s">
        <v>331</v>
      </c>
      <c r="C291" s="703" t="s">
        <v>332</v>
      </c>
      <c r="D291" s="703" t="s">
        <v>333</v>
      </c>
      <c r="E291" s="703" t="s">
        <v>334</v>
      </c>
      <c r="F291" s="703" t="s">
        <v>335</v>
      </c>
      <c r="G291" s="703" t="s">
        <v>900</v>
      </c>
      <c r="H291" s="703" t="s">
        <v>334</v>
      </c>
      <c r="I291" s="703" t="s">
        <v>334</v>
      </c>
      <c r="J291" s="703" t="s">
        <v>337</v>
      </c>
      <c r="K291" s="704">
        <v>0</v>
      </c>
      <c r="L291" s="703" t="s">
        <v>334</v>
      </c>
      <c r="M291" s="702">
        <v>42886</v>
      </c>
      <c r="N291" s="702">
        <v>43235</v>
      </c>
      <c r="O291" s="703" t="s">
        <v>338</v>
      </c>
      <c r="P291" s="20">
        <v>2070.14</v>
      </c>
      <c r="Q291" s="20">
        <v>0</v>
      </c>
      <c r="R291" s="20">
        <v>0</v>
      </c>
      <c r="S291" s="20">
        <v>0</v>
      </c>
      <c r="T291" s="20">
        <v>2070.14</v>
      </c>
      <c r="U291" s="20">
        <v>1822.89</v>
      </c>
      <c r="V291" s="20">
        <v>-247.25</v>
      </c>
      <c r="W291" s="20">
        <v>-316.25</v>
      </c>
      <c r="X291" s="20">
        <v>-69</v>
      </c>
      <c r="Y291" s="20">
        <v>0</v>
      </c>
      <c r="Z291" s="20">
        <v>0</v>
      </c>
      <c r="AA291" s="20">
        <v>0</v>
      </c>
      <c r="AB291" s="20">
        <v>1753.89</v>
      </c>
      <c r="AC291" t="s">
        <v>183</v>
      </c>
      <c r="AD291" t="s">
        <v>290</v>
      </c>
      <c r="AE291" s="702">
        <f t="shared" si="20"/>
        <v>43252</v>
      </c>
      <c r="AF291" s="289">
        <v>3438.6087726190585</v>
      </c>
      <c r="AG291">
        <f t="shared" si="21"/>
        <v>360</v>
      </c>
      <c r="AH291" s="289">
        <f t="shared" si="22"/>
        <v>9.55169103505294</v>
      </c>
      <c r="AJ291" s="289">
        <f t="shared" si="23"/>
        <v>54</v>
      </c>
      <c r="AK291" s="289">
        <f t="shared" si="24"/>
        <v>515.79131589285873</v>
      </c>
    </row>
    <row r="292" spans="1:37">
      <c r="A292" s="703" t="s">
        <v>901</v>
      </c>
      <c r="B292" s="703" t="s">
        <v>331</v>
      </c>
      <c r="C292" s="703" t="s">
        <v>332</v>
      </c>
      <c r="D292" s="703" t="s">
        <v>333</v>
      </c>
      <c r="E292" s="703" t="s">
        <v>334</v>
      </c>
      <c r="F292" s="703" t="s">
        <v>335</v>
      </c>
      <c r="G292" s="703" t="s">
        <v>902</v>
      </c>
      <c r="H292" s="703" t="s">
        <v>334</v>
      </c>
      <c r="I292" s="703" t="s">
        <v>334</v>
      </c>
      <c r="J292" s="703" t="s">
        <v>337</v>
      </c>
      <c r="K292" s="704">
        <v>0</v>
      </c>
      <c r="L292" s="703" t="s">
        <v>334</v>
      </c>
      <c r="M292" s="702">
        <v>39478</v>
      </c>
      <c r="N292" s="702">
        <v>43235</v>
      </c>
      <c r="O292" s="703" t="s">
        <v>338</v>
      </c>
      <c r="P292" s="20">
        <v>8703.11</v>
      </c>
      <c r="Q292" s="20">
        <v>0</v>
      </c>
      <c r="R292" s="20">
        <v>0</v>
      </c>
      <c r="S292" s="20">
        <v>0</v>
      </c>
      <c r="T292" s="20">
        <v>8703.11</v>
      </c>
      <c r="U292" s="20">
        <v>7663.58</v>
      </c>
      <c r="V292" s="20">
        <v>-1039.53</v>
      </c>
      <c r="W292" s="20">
        <v>-1329.63</v>
      </c>
      <c r="X292" s="20">
        <v>-290.10000000000002</v>
      </c>
      <c r="Y292" s="20">
        <v>0</v>
      </c>
      <c r="Z292" s="20">
        <v>0</v>
      </c>
      <c r="AA292" s="20">
        <v>0</v>
      </c>
      <c r="AB292" s="20">
        <v>7373.48</v>
      </c>
      <c r="AC292" t="s">
        <v>183</v>
      </c>
      <c r="AD292" t="s">
        <v>290</v>
      </c>
      <c r="AE292" s="702">
        <f t="shared" si="20"/>
        <v>43252</v>
      </c>
      <c r="AF292" s="289">
        <v>14456.312324320412</v>
      </c>
      <c r="AG292">
        <f t="shared" si="21"/>
        <v>360</v>
      </c>
      <c r="AH292" s="289">
        <f t="shared" si="22"/>
        <v>40.156423123112255</v>
      </c>
      <c r="AJ292" s="289">
        <f t="shared" si="23"/>
        <v>54</v>
      </c>
      <c r="AK292" s="289">
        <f t="shared" si="24"/>
        <v>2168.4468486480619</v>
      </c>
    </row>
    <row r="293" spans="1:37">
      <c r="A293" s="703" t="s">
        <v>903</v>
      </c>
      <c r="B293" s="703" t="s">
        <v>331</v>
      </c>
      <c r="C293" s="703" t="s">
        <v>332</v>
      </c>
      <c r="D293" s="703" t="s">
        <v>333</v>
      </c>
      <c r="E293" s="703" t="s">
        <v>334</v>
      </c>
      <c r="F293" s="703" t="s">
        <v>335</v>
      </c>
      <c r="G293" s="703" t="s">
        <v>904</v>
      </c>
      <c r="H293" s="703" t="s">
        <v>334</v>
      </c>
      <c r="I293" s="703" t="s">
        <v>334</v>
      </c>
      <c r="J293" s="703" t="s">
        <v>337</v>
      </c>
      <c r="K293" s="704">
        <v>0</v>
      </c>
      <c r="L293" s="703" t="s">
        <v>334</v>
      </c>
      <c r="M293" s="702">
        <v>39478</v>
      </c>
      <c r="N293" s="702">
        <v>43235</v>
      </c>
      <c r="O293" s="703" t="s">
        <v>338</v>
      </c>
      <c r="P293" s="20">
        <v>149259.29999999999</v>
      </c>
      <c r="Q293" s="20">
        <v>0</v>
      </c>
      <c r="R293" s="20">
        <v>0</v>
      </c>
      <c r="S293" s="20">
        <v>0</v>
      </c>
      <c r="T293" s="20">
        <v>149259.29999999999</v>
      </c>
      <c r="U293" s="20">
        <v>131431.10999999999</v>
      </c>
      <c r="V293" s="20">
        <v>-17828.189999999999</v>
      </c>
      <c r="W293" s="20">
        <v>-22803.5</v>
      </c>
      <c r="X293" s="20">
        <v>-4975.3100000000004</v>
      </c>
      <c r="Y293" s="20">
        <v>0</v>
      </c>
      <c r="Z293" s="20">
        <v>0</v>
      </c>
      <c r="AA293" s="20">
        <v>0</v>
      </c>
      <c r="AB293" s="20">
        <v>126455.8</v>
      </c>
      <c r="AC293" t="s">
        <v>183</v>
      </c>
      <c r="AD293" t="s">
        <v>290</v>
      </c>
      <c r="AE293" s="702">
        <f t="shared" si="20"/>
        <v>43252</v>
      </c>
      <c r="AF293" s="289">
        <v>247927.3567850386</v>
      </c>
      <c r="AG293">
        <f t="shared" si="21"/>
        <v>360</v>
      </c>
      <c r="AH293" s="289">
        <f t="shared" si="22"/>
        <v>688.68710218066281</v>
      </c>
      <c r="AJ293" s="289">
        <f t="shared" si="23"/>
        <v>54</v>
      </c>
      <c r="AK293" s="289">
        <f t="shared" si="24"/>
        <v>37189.103517755793</v>
      </c>
    </row>
    <row r="294" spans="1:37">
      <c r="A294" s="703" t="s">
        <v>905</v>
      </c>
      <c r="B294" s="703" t="s">
        <v>331</v>
      </c>
      <c r="C294" s="703" t="s">
        <v>332</v>
      </c>
      <c r="D294" s="703" t="s">
        <v>333</v>
      </c>
      <c r="E294" s="703" t="s">
        <v>334</v>
      </c>
      <c r="F294" s="703" t="s">
        <v>335</v>
      </c>
      <c r="G294" s="703" t="s">
        <v>906</v>
      </c>
      <c r="H294" s="703" t="s">
        <v>334</v>
      </c>
      <c r="I294" s="703" t="s">
        <v>334</v>
      </c>
      <c r="J294" s="703" t="s">
        <v>337</v>
      </c>
      <c r="K294" s="704">
        <v>0</v>
      </c>
      <c r="L294" s="703" t="s">
        <v>334</v>
      </c>
      <c r="M294" s="702">
        <v>39478</v>
      </c>
      <c r="N294" s="702">
        <v>43235</v>
      </c>
      <c r="O294" s="703" t="s">
        <v>338</v>
      </c>
      <c r="P294" s="20">
        <v>77150.740000000005</v>
      </c>
      <c r="Q294" s="20">
        <v>0</v>
      </c>
      <c r="R294" s="20">
        <v>0</v>
      </c>
      <c r="S294" s="20">
        <v>0</v>
      </c>
      <c r="T294" s="20">
        <v>77150.740000000005</v>
      </c>
      <c r="U294" s="20">
        <v>67935.520000000004</v>
      </c>
      <c r="V294" s="20">
        <v>-9215.2199999999993</v>
      </c>
      <c r="W294" s="20">
        <v>-11786.91</v>
      </c>
      <c r="X294" s="20">
        <v>-2571.69</v>
      </c>
      <c r="Y294" s="20">
        <v>0</v>
      </c>
      <c r="Z294" s="20">
        <v>0</v>
      </c>
      <c r="AA294" s="20">
        <v>0</v>
      </c>
      <c r="AB294" s="20">
        <v>65363.83</v>
      </c>
      <c r="AC294" t="s">
        <v>183</v>
      </c>
      <c r="AD294" t="s">
        <v>290</v>
      </c>
      <c r="AE294" s="702">
        <f t="shared" si="20"/>
        <v>43252</v>
      </c>
      <c r="AF294" s="289">
        <v>128151.33825637499</v>
      </c>
      <c r="AG294">
        <f t="shared" si="21"/>
        <v>360</v>
      </c>
      <c r="AH294" s="289">
        <f t="shared" si="22"/>
        <v>355.97593960104166</v>
      </c>
      <c r="AJ294" s="289">
        <f t="shared" si="23"/>
        <v>54</v>
      </c>
      <c r="AK294" s="289">
        <f t="shared" si="24"/>
        <v>19222.700738456249</v>
      </c>
    </row>
    <row r="295" spans="1:37">
      <c r="A295" s="703" t="s">
        <v>907</v>
      </c>
      <c r="B295" s="703" t="s">
        <v>331</v>
      </c>
      <c r="C295" s="703" t="s">
        <v>332</v>
      </c>
      <c r="D295" s="703" t="s">
        <v>333</v>
      </c>
      <c r="E295" s="703" t="s">
        <v>334</v>
      </c>
      <c r="F295" s="703" t="s">
        <v>335</v>
      </c>
      <c r="G295" s="703" t="s">
        <v>908</v>
      </c>
      <c r="H295" s="703" t="s">
        <v>334</v>
      </c>
      <c r="I295" s="703" t="s">
        <v>334</v>
      </c>
      <c r="J295" s="703" t="s">
        <v>337</v>
      </c>
      <c r="K295" s="704">
        <v>0</v>
      </c>
      <c r="L295" s="703" t="s">
        <v>334</v>
      </c>
      <c r="M295" s="702">
        <v>39478</v>
      </c>
      <c r="N295" s="702">
        <v>43235</v>
      </c>
      <c r="O295" s="703" t="s">
        <v>338</v>
      </c>
      <c r="P295" s="20">
        <v>17490.62</v>
      </c>
      <c r="Q295" s="20">
        <v>0</v>
      </c>
      <c r="R295" s="20">
        <v>0</v>
      </c>
      <c r="S295" s="20">
        <v>0</v>
      </c>
      <c r="T295" s="20">
        <v>17490.62</v>
      </c>
      <c r="U295" s="20">
        <v>15401.46</v>
      </c>
      <c r="V295" s="20">
        <v>-2089.16</v>
      </c>
      <c r="W295" s="20">
        <v>-2672.18</v>
      </c>
      <c r="X295" s="20">
        <v>-583.02</v>
      </c>
      <c r="Y295" s="20">
        <v>0</v>
      </c>
      <c r="Z295" s="20">
        <v>0</v>
      </c>
      <c r="AA295" s="20">
        <v>0</v>
      </c>
      <c r="AB295" s="20">
        <v>14818.44</v>
      </c>
      <c r="AC295" t="s">
        <v>183</v>
      </c>
      <c r="AD295" t="s">
        <v>290</v>
      </c>
      <c r="AE295" s="702">
        <f t="shared" si="20"/>
        <v>43252</v>
      </c>
      <c r="AF295" s="289">
        <v>29052.817379764827</v>
      </c>
      <c r="AG295">
        <f t="shared" si="21"/>
        <v>360</v>
      </c>
      <c r="AH295" s="289">
        <f t="shared" si="22"/>
        <v>80.702270499346739</v>
      </c>
      <c r="AJ295" s="289">
        <f t="shared" si="23"/>
        <v>54</v>
      </c>
      <c r="AK295" s="289">
        <f t="shared" si="24"/>
        <v>4357.9226069647239</v>
      </c>
    </row>
    <row r="296" spans="1:37">
      <c r="A296" s="703" t="s">
        <v>909</v>
      </c>
      <c r="B296" s="703" t="s">
        <v>331</v>
      </c>
      <c r="C296" s="703" t="s">
        <v>332</v>
      </c>
      <c r="D296" s="703" t="s">
        <v>333</v>
      </c>
      <c r="E296" s="703" t="s">
        <v>334</v>
      </c>
      <c r="F296" s="703" t="s">
        <v>335</v>
      </c>
      <c r="G296" s="703" t="s">
        <v>910</v>
      </c>
      <c r="H296" s="703" t="s">
        <v>334</v>
      </c>
      <c r="I296" s="703" t="s">
        <v>334</v>
      </c>
      <c r="J296" s="703" t="s">
        <v>337</v>
      </c>
      <c r="K296" s="704">
        <v>0</v>
      </c>
      <c r="L296" s="703" t="s">
        <v>334</v>
      </c>
      <c r="M296" s="702">
        <v>42886</v>
      </c>
      <c r="N296" s="702">
        <v>43235</v>
      </c>
      <c r="O296" s="703" t="s">
        <v>338</v>
      </c>
      <c r="P296" s="20">
        <v>346.55</v>
      </c>
      <c r="Q296" s="20">
        <v>0</v>
      </c>
      <c r="R296" s="20">
        <v>0</v>
      </c>
      <c r="S296" s="20">
        <v>0</v>
      </c>
      <c r="T296" s="20">
        <v>346.55</v>
      </c>
      <c r="U296" s="20">
        <v>305.16000000000003</v>
      </c>
      <c r="V296" s="20">
        <v>-41.39</v>
      </c>
      <c r="W296" s="20">
        <v>-52.94</v>
      </c>
      <c r="X296" s="20">
        <v>-11.55</v>
      </c>
      <c r="Y296" s="20">
        <v>0</v>
      </c>
      <c r="Z296" s="20">
        <v>0</v>
      </c>
      <c r="AA296" s="20">
        <v>0</v>
      </c>
      <c r="AB296" s="20">
        <v>293.61</v>
      </c>
      <c r="AC296" t="s">
        <v>183</v>
      </c>
      <c r="AD296" t="s">
        <v>290</v>
      </c>
      <c r="AE296" s="702">
        <f t="shared" si="20"/>
        <v>43252</v>
      </c>
      <c r="AF296" s="289">
        <v>575.63733377990604</v>
      </c>
      <c r="AG296">
        <f t="shared" si="21"/>
        <v>360</v>
      </c>
      <c r="AH296" s="289">
        <f t="shared" si="22"/>
        <v>1.5989925938330722</v>
      </c>
      <c r="AJ296" s="289">
        <f t="shared" si="23"/>
        <v>54</v>
      </c>
      <c r="AK296" s="289">
        <f t="shared" si="24"/>
        <v>86.345600066985895</v>
      </c>
    </row>
    <row r="297" spans="1:37">
      <c r="A297" s="703" t="s">
        <v>911</v>
      </c>
      <c r="B297" s="703" t="s">
        <v>331</v>
      </c>
      <c r="C297" s="703" t="s">
        <v>332</v>
      </c>
      <c r="D297" s="703" t="s">
        <v>333</v>
      </c>
      <c r="E297" s="703" t="s">
        <v>334</v>
      </c>
      <c r="F297" s="703" t="s">
        <v>335</v>
      </c>
      <c r="G297" s="703" t="s">
        <v>912</v>
      </c>
      <c r="H297" s="703" t="s">
        <v>334</v>
      </c>
      <c r="I297" s="703" t="s">
        <v>334</v>
      </c>
      <c r="J297" s="703" t="s">
        <v>337</v>
      </c>
      <c r="K297" s="704">
        <v>0</v>
      </c>
      <c r="L297" s="703" t="s">
        <v>334</v>
      </c>
      <c r="M297" s="702">
        <v>41333</v>
      </c>
      <c r="N297" s="702">
        <v>43235</v>
      </c>
      <c r="O297" s="703" t="s">
        <v>338</v>
      </c>
      <c r="P297" s="20">
        <v>64235.82</v>
      </c>
      <c r="Q297" s="20">
        <v>0</v>
      </c>
      <c r="R297" s="20">
        <v>0</v>
      </c>
      <c r="S297" s="20">
        <v>0</v>
      </c>
      <c r="T297" s="20">
        <v>64235.82</v>
      </c>
      <c r="U297" s="20">
        <v>56563.22</v>
      </c>
      <c r="V297" s="20">
        <v>-7672.6</v>
      </c>
      <c r="W297" s="20">
        <v>-9813.7900000000009</v>
      </c>
      <c r="X297" s="20">
        <v>-2141.19</v>
      </c>
      <c r="Y297" s="20">
        <v>0</v>
      </c>
      <c r="Z297" s="20">
        <v>0</v>
      </c>
      <c r="AA297" s="20">
        <v>0</v>
      </c>
      <c r="AB297" s="20">
        <v>54422.03</v>
      </c>
      <c r="AC297" t="s">
        <v>183</v>
      </c>
      <c r="AD297" t="s">
        <v>290</v>
      </c>
      <c r="AE297" s="702">
        <f t="shared" si="20"/>
        <v>43252</v>
      </c>
      <c r="AF297" s="289">
        <v>106698.99338613755</v>
      </c>
      <c r="AG297">
        <f t="shared" si="21"/>
        <v>360</v>
      </c>
      <c r="AH297" s="289">
        <f t="shared" si="22"/>
        <v>296.38609273927096</v>
      </c>
      <c r="AJ297" s="289">
        <f t="shared" si="23"/>
        <v>54</v>
      </c>
      <c r="AK297" s="289">
        <f t="shared" si="24"/>
        <v>16004.849007920631</v>
      </c>
    </row>
    <row r="298" spans="1:37">
      <c r="A298" s="703" t="s">
        <v>913</v>
      </c>
      <c r="B298" s="703" t="s">
        <v>331</v>
      </c>
      <c r="C298" s="703" t="s">
        <v>332</v>
      </c>
      <c r="D298" s="703" t="s">
        <v>333</v>
      </c>
      <c r="E298" s="703" t="s">
        <v>334</v>
      </c>
      <c r="F298" s="703" t="s">
        <v>335</v>
      </c>
      <c r="G298" s="703" t="s">
        <v>914</v>
      </c>
      <c r="H298" s="703" t="s">
        <v>334</v>
      </c>
      <c r="I298" s="703" t="s">
        <v>334</v>
      </c>
      <c r="J298" s="703" t="s">
        <v>337</v>
      </c>
      <c r="K298" s="704">
        <v>0</v>
      </c>
      <c r="L298" s="703" t="s">
        <v>334</v>
      </c>
      <c r="M298" s="702">
        <v>42766</v>
      </c>
      <c r="N298" s="702">
        <v>43235</v>
      </c>
      <c r="O298" s="703" t="s">
        <v>338</v>
      </c>
      <c r="P298" s="20">
        <v>45980.33</v>
      </c>
      <c r="Q298" s="20">
        <v>0</v>
      </c>
      <c r="R298" s="20">
        <v>0</v>
      </c>
      <c r="S298" s="20">
        <v>0</v>
      </c>
      <c r="T298" s="20">
        <v>45980.33</v>
      </c>
      <c r="U298" s="20">
        <v>40488.230000000003</v>
      </c>
      <c r="V298" s="20">
        <v>-5492.1</v>
      </c>
      <c r="W298" s="20">
        <v>-7024.78</v>
      </c>
      <c r="X298" s="20">
        <v>-1532.68</v>
      </c>
      <c r="Y298" s="20">
        <v>0</v>
      </c>
      <c r="Z298" s="20">
        <v>0</v>
      </c>
      <c r="AA298" s="20">
        <v>0</v>
      </c>
      <c r="AB298" s="20">
        <v>38955.550000000003</v>
      </c>
      <c r="AC298" t="s">
        <v>183</v>
      </c>
      <c r="AD298" t="s">
        <v>290</v>
      </c>
      <c r="AE298" s="702">
        <f t="shared" si="20"/>
        <v>43252</v>
      </c>
      <c r="AF298" s="289">
        <v>76375.687685818004</v>
      </c>
      <c r="AG298">
        <f t="shared" si="21"/>
        <v>360</v>
      </c>
      <c r="AH298" s="289">
        <f t="shared" si="22"/>
        <v>212.15468801616112</v>
      </c>
      <c r="AJ298" s="289">
        <f t="shared" si="23"/>
        <v>54</v>
      </c>
      <c r="AK298" s="289">
        <f t="shared" si="24"/>
        <v>11456.3531528727</v>
      </c>
    </row>
    <row r="299" spans="1:37">
      <c r="A299" s="703" t="s">
        <v>915</v>
      </c>
      <c r="B299" s="703" t="s">
        <v>331</v>
      </c>
      <c r="C299" s="703" t="s">
        <v>332</v>
      </c>
      <c r="D299" s="703" t="s">
        <v>333</v>
      </c>
      <c r="E299" s="703" t="s">
        <v>334</v>
      </c>
      <c r="F299" s="703" t="s">
        <v>335</v>
      </c>
      <c r="G299" s="703" t="s">
        <v>916</v>
      </c>
      <c r="H299" s="703" t="s">
        <v>334</v>
      </c>
      <c r="I299" s="703" t="s">
        <v>334</v>
      </c>
      <c r="J299" s="703" t="s">
        <v>337</v>
      </c>
      <c r="K299" s="704">
        <v>0</v>
      </c>
      <c r="L299" s="703" t="s">
        <v>334</v>
      </c>
      <c r="M299" s="702">
        <v>42855</v>
      </c>
      <c r="N299" s="702">
        <v>43235</v>
      </c>
      <c r="O299" s="703" t="s">
        <v>338</v>
      </c>
      <c r="P299" s="20">
        <v>1003096.68</v>
      </c>
      <c r="Q299" s="20">
        <v>0</v>
      </c>
      <c r="R299" s="20">
        <v>0</v>
      </c>
      <c r="S299" s="20">
        <v>0</v>
      </c>
      <c r="T299" s="20">
        <v>1003096.68</v>
      </c>
      <c r="U299" s="20">
        <v>883282.34</v>
      </c>
      <c r="V299" s="20">
        <v>-119814.34</v>
      </c>
      <c r="W299" s="20">
        <v>-153250.9</v>
      </c>
      <c r="X299" s="20">
        <v>-33436.559999999998</v>
      </c>
      <c r="Y299" s="20">
        <v>0</v>
      </c>
      <c r="Z299" s="20">
        <v>0</v>
      </c>
      <c r="AA299" s="20">
        <v>0</v>
      </c>
      <c r="AB299" s="20">
        <v>849845.78</v>
      </c>
      <c r="AC299" t="s">
        <v>183</v>
      </c>
      <c r="AD299" t="s">
        <v>290</v>
      </c>
      <c r="AE299" s="702">
        <f t="shared" si="20"/>
        <v>43252</v>
      </c>
      <c r="AF299" s="289">
        <v>1666195.0610263327</v>
      </c>
      <c r="AG299">
        <f t="shared" si="21"/>
        <v>360</v>
      </c>
      <c r="AH299" s="289">
        <f t="shared" si="22"/>
        <v>4628.319613962035</v>
      </c>
      <c r="AJ299" s="289">
        <f t="shared" si="23"/>
        <v>54</v>
      </c>
      <c r="AK299" s="289">
        <f t="shared" si="24"/>
        <v>249929.25915394988</v>
      </c>
    </row>
    <row r="300" spans="1:37">
      <c r="A300" s="703" t="s">
        <v>917</v>
      </c>
      <c r="B300" s="703" t="s">
        <v>331</v>
      </c>
      <c r="C300" s="703" t="s">
        <v>332</v>
      </c>
      <c r="D300" s="703" t="s">
        <v>333</v>
      </c>
      <c r="E300" s="703" t="s">
        <v>334</v>
      </c>
      <c r="F300" s="703" t="s">
        <v>335</v>
      </c>
      <c r="G300" s="703" t="s">
        <v>918</v>
      </c>
      <c r="H300" s="703" t="s">
        <v>334</v>
      </c>
      <c r="I300" s="703" t="s">
        <v>334</v>
      </c>
      <c r="J300" s="703" t="s">
        <v>337</v>
      </c>
      <c r="K300" s="704">
        <v>0</v>
      </c>
      <c r="L300" s="703" t="s">
        <v>334</v>
      </c>
      <c r="M300" s="702">
        <v>42766</v>
      </c>
      <c r="N300" s="702">
        <v>43235</v>
      </c>
      <c r="O300" s="703" t="s">
        <v>338</v>
      </c>
      <c r="P300" s="20">
        <v>12684.58</v>
      </c>
      <c r="Q300" s="20">
        <v>0</v>
      </c>
      <c r="R300" s="20">
        <v>0</v>
      </c>
      <c r="S300" s="20">
        <v>0</v>
      </c>
      <c r="T300" s="20">
        <v>12684.58</v>
      </c>
      <c r="U300" s="20">
        <v>11169.48</v>
      </c>
      <c r="V300" s="20">
        <v>-1515.1</v>
      </c>
      <c r="W300" s="20">
        <v>-1937.92</v>
      </c>
      <c r="X300" s="20">
        <v>-422.82</v>
      </c>
      <c r="Y300" s="20">
        <v>0</v>
      </c>
      <c r="Z300" s="20">
        <v>0</v>
      </c>
      <c r="AA300" s="20">
        <v>0</v>
      </c>
      <c r="AB300" s="20">
        <v>10746.66</v>
      </c>
      <c r="AC300" t="s">
        <v>183</v>
      </c>
      <c r="AD300" t="s">
        <v>290</v>
      </c>
      <c r="AE300" s="702">
        <f t="shared" si="20"/>
        <v>43252</v>
      </c>
      <c r="AF300" s="289">
        <v>21069.738309963701</v>
      </c>
      <c r="AG300">
        <f t="shared" si="21"/>
        <v>360</v>
      </c>
      <c r="AH300" s="289">
        <f t="shared" si="22"/>
        <v>58.527050861010281</v>
      </c>
      <c r="AJ300" s="289">
        <f t="shared" si="23"/>
        <v>54</v>
      </c>
      <c r="AK300" s="289">
        <f t="shared" si="24"/>
        <v>3160.4607464945552</v>
      </c>
    </row>
    <row r="301" spans="1:37">
      <c r="A301" s="703" t="s">
        <v>919</v>
      </c>
      <c r="B301" s="703" t="s">
        <v>331</v>
      </c>
      <c r="C301" s="703" t="s">
        <v>332</v>
      </c>
      <c r="D301" s="703" t="s">
        <v>333</v>
      </c>
      <c r="E301" s="703" t="s">
        <v>334</v>
      </c>
      <c r="F301" s="703" t="s">
        <v>335</v>
      </c>
      <c r="G301" s="703" t="s">
        <v>920</v>
      </c>
      <c r="H301" s="703" t="s">
        <v>334</v>
      </c>
      <c r="I301" s="703" t="s">
        <v>334</v>
      </c>
      <c r="J301" s="703" t="s">
        <v>337</v>
      </c>
      <c r="K301" s="704">
        <v>0</v>
      </c>
      <c r="L301" s="703" t="s">
        <v>334</v>
      </c>
      <c r="M301" s="702">
        <v>39478</v>
      </c>
      <c r="N301" s="702">
        <v>43235</v>
      </c>
      <c r="O301" s="703" t="s">
        <v>338</v>
      </c>
      <c r="P301" s="20">
        <v>34394.199999999997</v>
      </c>
      <c r="Q301" s="20">
        <v>0</v>
      </c>
      <c r="R301" s="20">
        <v>0</v>
      </c>
      <c r="S301" s="20">
        <v>0</v>
      </c>
      <c r="T301" s="20">
        <v>34394.199999999997</v>
      </c>
      <c r="U301" s="20">
        <v>30286.01</v>
      </c>
      <c r="V301" s="20">
        <v>-4108.1899999999996</v>
      </c>
      <c r="W301" s="20">
        <v>-5254.66</v>
      </c>
      <c r="X301" s="20">
        <v>-1146.47</v>
      </c>
      <c r="Y301" s="20">
        <v>0</v>
      </c>
      <c r="Z301" s="20">
        <v>0</v>
      </c>
      <c r="AA301" s="20">
        <v>0</v>
      </c>
      <c r="AB301" s="20">
        <v>29139.54</v>
      </c>
      <c r="AC301" t="s">
        <v>183</v>
      </c>
      <c r="AD301" t="s">
        <v>290</v>
      </c>
      <c r="AE301" s="702">
        <f t="shared" si="20"/>
        <v>43252</v>
      </c>
      <c r="AF301" s="289">
        <v>57130.531194612158</v>
      </c>
      <c r="AG301">
        <f t="shared" si="21"/>
        <v>360</v>
      </c>
      <c r="AH301" s="289">
        <f t="shared" si="22"/>
        <v>158.69591998503378</v>
      </c>
      <c r="AJ301" s="289">
        <f t="shared" si="23"/>
        <v>54</v>
      </c>
      <c r="AK301" s="289">
        <f t="shared" si="24"/>
        <v>8569.5796791918237</v>
      </c>
    </row>
    <row r="302" spans="1:37">
      <c r="A302" s="703" t="s">
        <v>921</v>
      </c>
      <c r="B302" s="703" t="s">
        <v>331</v>
      </c>
      <c r="C302" s="703" t="s">
        <v>332</v>
      </c>
      <c r="D302" s="703" t="s">
        <v>333</v>
      </c>
      <c r="E302" s="703" t="s">
        <v>334</v>
      </c>
      <c r="F302" s="703" t="s">
        <v>335</v>
      </c>
      <c r="G302" s="703" t="s">
        <v>922</v>
      </c>
      <c r="H302" s="703" t="s">
        <v>334</v>
      </c>
      <c r="I302" s="703" t="s">
        <v>334</v>
      </c>
      <c r="J302" s="703" t="s">
        <v>337</v>
      </c>
      <c r="K302" s="704">
        <v>0</v>
      </c>
      <c r="L302" s="703" t="s">
        <v>334</v>
      </c>
      <c r="M302" s="702">
        <v>39478</v>
      </c>
      <c r="N302" s="702">
        <v>43235</v>
      </c>
      <c r="O302" s="703" t="s">
        <v>338</v>
      </c>
      <c r="P302" s="20">
        <v>33474.410000000003</v>
      </c>
      <c r="Q302" s="20">
        <v>0</v>
      </c>
      <c r="R302" s="20">
        <v>0</v>
      </c>
      <c r="S302" s="20">
        <v>0</v>
      </c>
      <c r="T302" s="20">
        <v>33474.410000000003</v>
      </c>
      <c r="U302" s="20">
        <v>29476.09</v>
      </c>
      <c r="V302" s="20">
        <v>-3998.32</v>
      </c>
      <c r="W302" s="20">
        <v>-5114.13</v>
      </c>
      <c r="X302" s="20">
        <v>-1115.81</v>
      </c>
      <c r="Y302" s="20">
        <v>0</v>
      </c>
      <c r="Z302" s="20">
        <v>0</v>
      </c>
      <c r="AA302" s="20">
        <v>0</v>
      </c>
      <c r="AB302" s="20">
        <v>28360.28</v>
      </c>
      <c r="AC302" t="s">
        <v>183</v>
      </c>
      <c r="AD302" t="s">
        <v>290</v>
      </c>
      <c r="AE302" s="702">
        <f t="shared" si="20"/>
        <v>43252</v>
      </c>
      <c r="AF302" s="289">
        <v>55602.712804084338</v>
      </c>
      <c r="AG302">
        <f t="shared" si="21"/>
        <v>360</v>
      </c>
      <c r="AH302" s="289">
        <f t="shared" si="22"/>
        <v>154.45198001134537</v>
      </c>
      <c r="AJ302" s="289">
        <f t="shared" si="23"/>
        <v>54</v>
      </c>
      <c r="AK302" s="289">
        <f t="shared" si="24"/>
        <v>8340.4069206126496</v>
      </c>
    </row>
    <row r="303" spans="1:37">
      <c r="A303" s="703" t="s">
        <v>923</v>
      </c>
      <c r="B303" s="703" t="s">
        <v>331</v>
      </c>
      <c r="C303" s="703" t="s">
        <v>332</v>
      </c>
      <c r="D303" s="703" t="s">
        <v>333</v>
      </c>
      <c r="E303" s="703" t="s">
        <v>334</v>
      </c>
      <c r="F303" s="703" t="s">
        <v>335</v>
      </c>
      <c r="G303" s="703" t="s">
        <v>924</v>
      </c>
      <c r="H303" s="703" t="s">
        <v>334</v>
      </c>
      <c r="I303" s="703" t="s">
        <v>334</v>
      </c>
      <c r="J303" s="703" t="s">
        <v>337</v>
      </c>
      <c r="K303" s="704">
        <v>0</v>
      </c>
      <c r="L303" s="703" t="s">
        <v>334</v>
      </c>
      <c r="M303" s="702">
        <v>42674</v>
      </c>
      <c r="N303" s="702">
        <v>43235</v>
      </c>
      <c r="O303" s="703" t="s">
        <v>338</v>
      </c>
      <c r="P303" s="20">
        <v>61409.88</v>
      </c>
      <c r="Q303" s="20">
        <v>0</v>
      </c>
      <c r="R303" s="20">
        <v>0</v>
      </c>
      <c r="S303" s="20">
        <v>0</v>
      </c>
      <c r="T303" s="20">
        <v>61409.88</v>
      </c>
      <c r="U303" s="20">
        <v>54074.8</v>
      </c>
      <c r="V303" s="20">
        <v>-7335.08</v>
      </c>
      <c r="W303" s="20">
        <v>-9382.08</v>
      </c>
      <c r="X303" s="20">
        <v>-2047</v>
      </c>
      <c r="Y303" s="20">
        <v>0</v>
      </c>
      <c r="Z303" s="20">
        <v>0</v>
      </c>
      <c r="AA303" s="20">
        <v>0</v>
      </c>
      <c r="AB303" s="20">
        <v>52027.8</v>
      </c>
      <c r="AC303" t="s">
        <v>183</v>
      </c>
      <c r="AD303" t="s">
        <v>290</v>
      </c>
      <c r="AE303" s="702">
        <f t="shared" si="20"/>
        <v>43252</v>
      </c>
      <c r="AF303" s="289">
        <v>102004.96202840564</v>
      </c>
      <c r="AG303">
        <f t="shared" si="21"/>
        <v>360</v>
      </c>
      <c r="AH303" s="289">
        <f t="shared" si="22"/>
        <v>283.34711674557121</v>
      </c>
      <c r="AJ303" s="289">
        <f t="shared" si="23"/>
        <v>54</v>
      </c>
      <c r="AK303" s="289">
        <f t="shared" si="24"/>
        <v>15300.744304260845</v>
      </c>
    </row>
    <row r="304" spans="1:37">
      <c r="A304" s="703" t="s">
        <v>925</v>
      </c>
      <c r="B304" s="703" t="s">
        <v>331</v>
      </c>
      <c r="C304" s="703" t="s">
        <v>332</v>
      </c>
      <c r="D304" s="703" t="s">
        <v>333</v>
      </c>
      <c r="E304" s="703" t="s">
        <v>334</v>
      </c>
      <c r="F304" s="703" t="s">
        <v>335</v>
      </c>
      <c r="G304" s="703" t="s">
        <v>926</v>
      </c>
      <c r="H304" s="703" t="s">
        <v>334</v>
      </c>
      <c r="I304" s="703" t="s">
        <v>334</v>
      </c>
      <c r="J304" s="703" t="s">
        <v>337</v>
      </c>
      <c r="K304" s="704">
        <v>0</v>
      </c>
      <c r="L304" s="703" t="s">
        <v>334</v>
      </c>
      <c r="M304" s="702">
        <v>39478</v>
      </c>
      <c r="N304" s="702">
        <v>43235</v>
      </c>
      <c r="O304" s="703" t="s">
        <v>338</v>
      </c>
      <c r="P304" s="20">
        <v>30596.54</v>
      </c>
      <c r="Q304" s="20">
        <v>0</v>
      </c>
      <c r="R304" s="20">
        <v>0</v>
      </c>
      <c r="S304" s="20">
        <v>0</v>
      </c>
      <c r="T304" s="20">
        <v>30596.54</v>
      </c>
      <c r="U304" s="20">
        <v>26941.97</v>
      </c>
      <c r="V304" s="20">
        <v>-3654.57</v>
      </c>
      <c r="W304" s="20">
        <v>-4674.45</v>
      </c>
      <c r="X304" s="20">
        <v>-1019.88</v>
      </c>
      <c r="Y304" s="20">
        <v>0</v>
      </c>
      <c r="Z304" s="20">
        <v>0</v>
      </c>
      <c r="AA304" s="20">
        <v>0</v>
      </c>
      <c r="AB304" s="20">
        <v>25922.09</v>
      </c>
      <c r="AC304" t="s">
        <v>183</v>
      </c>
      <c r="AD304" t="s">
        <v>290</v>
      </c>
      <c r="AE304" s="702">
        <f t="shared" si="20"/>
        <v>43252</v>
      </c>
      <c r="AF304" s="289">
        <v>50822.423051479578</v>
      </c>
      <c r="AG304">
        <f t="shared" si="21"/>
        <v>360</v>
      </c>
      <c r="AH304" s="289">
        <f t="shared" si="22"/>
        <v>141.17339736522106</v>
      </c>
      <c r="AJ304" s="289">
        <f t="shared" si="23"/>
        <v>54</v>
      </c>
      <c r="AK304" s="289">
        <f t="shared" si="24"/>
        <v>7623.3634577219373</v>
      </c>
    </row>
    <row r="305" spans="1:37">
      <c r="A305" s="703" t="s">
        <v>927</v>
      </c>
      <c r="B305" s="703" t="s">
        <v>331</v>
      </c>
      <c r="C305" s="703" t="s">
        <v>332</v>
      </c>
      <c r="D305" s="703" t="s">
        <v>333</v>
      </c>
      <c r="E305" s="703" t="s">
        <v>334</v>
      </c>
      <c r="F305" s="703" t="s">
        <v>335</v>
      </c>
      <c r="G305" s="703" t="s">
        <v>928</v>
      </c>
      <c r="H305" s="703" t="s">
        <v>334</v>
      </c>
      <c r="I305" s="703" t="s">
        <v>334</v>
      </c>
      <c r="J305" s="703" t="s">
        <v>337</v>
      </c>
      <c r="K305" s="704">
        <v>0</v>
      </c>
      <c r="L305" s="703" t="s">
        <v>334</v>
      </c>
      <c r="M305" s="702">
        <v>42766</v>
      </c>
      <c r="N305" s="702">
        <v>43235</v>
      </c>
      <c r="O305" s="703" t="s">
        <v>338</v>
      </c>
      <c r="P305" s="20">
        <v>2593.3200000000002</v>
      </c>
      <c r="Q305" s="20">
        <v>0</v>
      </c>
      <c r="R305" s="20">
        <v>0</v>
      </c>
      <c r="S305" s="20">
        <v>0</v>
      </c>
      <c r="T305" s="20">
        <v>2593.3200000000002</v>
      </c>
      <c r="U305" s="20">
        <v>2283.5700000000002</v>
      </c>
      <c r="V305" s="20">
        <v>-309.75</v>
      </c>
      <c r="W305" s="20">
        <v>-396.19</v>
      </c>
      <c r="X305" s="20">
        <v>-86.44</v>
      </c>
      <c r="Y305" s="20">
        <v>0</v>
      </c>
      <c r="Z305" s="20">
        <v>0</v>
      </c>
      <c r="AA305" s="20">
        <v>0</v>
      </c>
      <c r="AB305" s="20">
        <v>2197.13</v>
      </c>
      <c r="AC305" t="s">
        <v>183</v>
      </c>
      <c r="AD305" t="s">
        <v>290</v>
      </c>
      <c r="AE305" s="702">
        <f t="shared" si="20"/>
        <v>43252</v>
      </c>
      <c r="AF305" s="289">
        <v>4307.6376004562289</v>
      </c>
      <c r="AG305">
        <f t="shared" si="21"/>
        <v>360</v>
      </c>
      <c r="AH305" s="289">
        <f t="shared" si="22"/>
        <v>11.965660001267302</v>
      </c>
      <c r="AJ305" s="289">
        <f t="shared" si="23"/>
        <v>54</v>
      </c>
      <c r="AK305" s="289">
        <f t="shared" si="24"/>
        <v>646.14564006843432</v>
      </c>
    </row>
    <row r="306" spans="1:37">
      <c r="A306" s="703" t="s">
        <v>929</v>
      </c>
      <c r="B306" s="703" t="s">
        <v>331</v>
      </c>
      <c r="C306" s="703" t="s">
        <v>332</v>
      </c>
      <c r="D306" s="703" t="s">
        <v>333</v>
      </c>
      <c r="E306" s="703" t="s">
        <v>334</v>
      </c>
      <c r="F306" s="703" t="s">
        <v>335</v>
      </c>
      <c r="G306" s="703" t="s">
        <v>930</v>
      </c>
      <c r="H306" s="703" t="s">
        <v>334</v>
      </c>
      <c r="I306" s="703" t="s">
        <v>334</v>
      </c>
      <c r="J306" s="703" t="s">
        <v>337</v>
      </c>
      <c r="K306" s="704">
        <v>0</v>
      </c>
      <c r="L306" s="703" t="s">
        <v>334</v>
      </c>
      <c r="M306" s="702">
        <v>42613</v>
      </c>
      <c r="N306" s="702">
        <v>43235</v>
      </c>
      <c r="O306" s="703" t="s">
        <v>338</v>
      </c>
      <c r="P306" s="20">
        <v>428462.19</v>
      </c>
      <c r="Q306" s="20">
        <v>0</v>
      </c>
      <c r="R306" s="20">
        <v>0</v>
      </c>
      <c r="S306" s="20">
        <v>0</v>
      </c>
      <c r="T306" s="20">
        <v>428462.19</v>
      </c>
      <c r="U306" s="20">
        <v>377284.77</v>
      </c>
      <c r="V306" s="20">
        <v>-51177.42</v>
      </c>
      <c r="W306" s="20">
        <v>-65459.49</v>
      </c>
      <c r="X306" s="20">
        <v>-14282.07</v>
      </c>
      <c r="Y306" s="20">
        <v>0</v>
      </c>
      <c r="Z306" s="20">
        <v>0</v>
      </c>
      <c r="AA306" s="20">
        <v>0</v>
      </c>
      <c r="AB306" s="20">
        <v>363002.7</v>
      </c>
      <c r="AC306" t="s">
        <v>183</v>
      </c>
      <c r="AD306" t="s">
        <v>290</v>
      </c>
      <c r="AE306" s="702">
        <f t="shared" si="20"/>
        <v>43252</v>
      </c>
      <c r="AF306" s="289">
        <v>711697.68482787337</v>
      </c>
      <c r="AG306">
        <f t="shared" si="21"/>
        <v>360</v>
      </c>
      <c r="AH306" s="289">
        <f t="shared" si="22"/>
        <v>1976.9380134107594</v>
      </c>
      <c r="AJ306" s="289">
        <f t="shared" si="23"/>
        <v>54</v>
      </c>
      <c r="AK306" s="289">
        <f t="shared" si="24"/>
        <v>106754.65272418101</v>
      </c>
    </row>
    <row r="307" spans="1:37">
      <c r="A307" s="703" t="s">
        <v>931</v>
      </c>
      <c r="B307" s="703" t="s">
        <v>331</v>
      </c>
      <c r="C307" s="703" t="s">
        <v>332</v>
      </c>
      <c r="D307" s="703" t="s">
        <v>333</v>
      </c>
      <c r="E307" s="703" t="s">
        <v>334</v>
      </c>
      <c r="F307" s="703" t="s">
        <v>335</v>
      </c>
      <c r="G307" s="703" t="s">
        <v>932</v>
      </c>
      <c r="H307" s="703" t="s">
        <v>334</v>
      </c>
      <c r="I307" s="703" t="s">
        <v>334</v>
      </c>
      <c r="J307" s="703" t="s">
        <v>337</v>
      </c>
      <c r="K307" s="704">
        <v>0</v>
      </c>
      <c r="L307" s="703" t="s">
        <v>334</v>
      </c>
      <c r="M307" s="702">
        <v>42613</v>
      </c>
      <c r="N307" s="702">
        <v>43235</v>
      </c>
      <c r="O307" s="703" t="s">
        <v>338</v>
      </c>
      <c r="P307" s="20">
        <v>415735.26</v>
      </c>
      <c r="Q307" s="20">
        <v>0</v>
      </c>
      <c r="R307" s="20">
        <v>0</v>
      </c>
      <c r="S307" s="20">
        <v>0</v>
      </c>
      <c r="T307" s="20">
        <v>415735.26</v>
      </c>
      <c r="U307" s="20">
        <v>366078</v>
      </c>
      <c r="V307" s="20">
        <v>-49657.26</v>
      </c>
      <c r="W307" s="20">
        <v>-63515.1</v>
      </c>
      <c r="X307" s="20">
        <v>-13857.84</v>
      </c>
      <c r="Y307" s="20">
        <v>0</v>
      </c>
      <c r="Z307" s="20">
        <v>0</v>
      </c>
      <c r="AA307" s="20">
        <v>0</v>
      </c>
      <c r="AB307" s="20">
        <v>352220.15999999997</v>
      </c>
      <c r="AC307" t="s">
        <v>183</v>
      </c>
      <c r="AD307" t="s">
        <v>290</v>
      </c>
      <c r="AE307" s="702">
        <f t="shared" si="20"/>
        <v>43252</v>
      </c>
      <c r="AF307" s="289">
        <v>690557.60099465027</v>
      </c>
      <c r="AG307">
        <f t="shared" si="21"/>
        <v>360</v>
      </c>
      <c r="AH307" s="289">
        <f t="shared" si="22"/>
        <v>1918.2155583184731</v>
      </c>
      <c r="AJ307" s="289">
        <f t="shared" si="23"/>
        <v>54</v>
      </c>
      <c r="AK307" s="289">
        <f t="shared" si="24"/>
        <v>103583.64014919754</v>
      </c>
    </row>
    <row r="308" spans="1:37">
      <c r="A308" s="703" t="s">
        <v>933</v>
      </c>
      <c r="B308" s="703" t="s">
        <v>331</v>
      </c>
      <c r="C308" s="703" t="s">
        <v>332</v>
      </c>
      <c r="D308" s="703" t="s">
        <v>333</v>
      </c>
      <c r="E308" s="703" t="s">
        <v>334</v>
      </c>
      <c r="F308" s="703" t="s">
        <v>335</v>
      </c>
      <c r="G308" s="703" t="s">
        <v>934</v>
      </c>
      <c r="H308" s="703" t="s">
        <v>334</v>
      </c>
      <c r="I308" s="703" t="s">
        <v>334</v>
      </c>
      <c r="J308" s="703" t="s">
        <v>337</v>
      </c>
      <c r="K308" s="704">
        <v>0</v>
      </c>
      <c r="L308" s="703" t="s">
        <v>334</v>
      </c>
      <c r="M308" s="702">
        <v>42766</v>
      </c>
      <c r="N308" s="702">
        <v>43235</v>
      </c>
      <c r="O308" s="703" t="s">
        <v>338</v>
      </c>
      <c r="P308" s="20">
        <v>13856.88</v>
      </c>
      <c r="Q308" s="20">
        <v>0</v>
      </c>
      <c r="R308" s="20">
        <v>0</v>
      </c>
      <c r="S308" s="20">
        <v>0</v>
      </c>
      <c r="T308" s="20">
        <v>13856.88</v>
      </c>
      <c r="U308" s="20">
        <v>12201.74</v>
      </c>
      <c r="V308" s="20">
        <v>-1655.14</v>
      </c>
      <c r="W308" s="20">
        <v>-2117.04</v>
      </c>
      <c r="X308" s="20">
        <v>-461.9</v>
      </c>
      <c r="Y308" s="20">
        <v>0</v>
      </c>
      <c r="Z308" s="20">
        <v>0</v>
      </c>
      <c r="AA308" s="20">
        <v>0</v>
      </c>
      <c r="AB308" s="20">
        <v>11739.84</v>
      </c>
      <c r="AC308" t="s">
        <v>183</v>
      </c>
      <c r="AD308" t="s">
        <v>290</v>
      </c>
      <c r="AE308" s="702">
        <f t="shared" si="20"/>
        <v>43252</v>
      </c>
      <c r="AF308" s="289">
        <v>23016.98876845507</v>
      </c>
      <c r="AG308">
        <f t="shared" si="21"/>
        <v>360</v>
      </c>
      <c r="AH308" s="289">
        <f t="shared" si="22"/>
        <v>63.936079912375199</v>
      </c>
      <c r="AJ308" s="289">
        <f t="shared" si="23"/>
        <v>54</v>
      </c>
      <c r="AK308" s="289">
        <f t="shared" si="24"/>
        <v>3452.5483152682609</v>
      </c>
    </row>
    <row r="309" spans="1:37">
      <c r="A309" s="703" t="s">
        <v>935</v>
      </c>
      <c r="B309" s="703" t="s">
        <v>331</v>
      </c>
      <c r="C309" s="703" t="s">
        <v>332</v>
      </c>
      <c r="D309" s="703" t="s">
        <v>333</v>
      </c>
      <c r="E309" s="703" t="s">
        <v>334</v>
      </c>
      <c r="F309" s="703" t="s">
        <v>335</v>
      </c>
      <c r="G309" s="703" t="s">
        <v>936</v>
      </c>
      <c r="H309" s="703" t="s">
        <v>334</v>
      </c>
      <c r="I309" s="703" t="s">
        <v>334</v>
      </c>
      <c r="J309" s="703" t="s">
        <v>337</v>
      </c>
      <c r="K309" s="704">
        <v>0</v>
      </c>
      <c r="L309" s="703" t="s">
        <v>334</v>
      </c>
      <c r="M309" s="702">
        <v>42766</v>
      </c>
      <c r="N309" s="702">
        <v>43235</v>
      </c>
      <c r="O309" s="703" t="s">
        <v>338</v>
      </c>
      <c r="P309" s="20">
        <v>43619.12</v>
      </c>
      <c r="Q309" s="20">
        <v>0</v>
      </c>
      <c r="R309" s="20">
        <v>0</v>
      </c>
      <c r="S309" s="20">
        <v>0</v>
      </c>
      <c r="T309" s="20">
        <v>43619.12</v>
      </c>
      <c r="U309" s="20">
        <v>38409.06</v>
      </c>
      <c r="V309" s="20">
        <v>-5210.0600000000004</v>
      </c>
      <c r="W309" s="20">
        <v>-6664.03</v>
      </c>
      <c r="X309" s="20">
        <v>-1453.97</v>
      </c>
      <c r="Y309" s="20">
        <v>0</v>
      </c>
      <c r="Z309" s="20">
        <v>0</v>
      </c>
      <c r="AA309" s="20">
        <v>0</v>
      </c>
      <c r="AB309" s="20">
        <v>36955.089999999997</v>
      </c>
      <c r="AC309" t="s">
        <v>183</v>
      </c>
      <c r="AD309" t="s">
        <v>290</v>
      </c>
      <c r="AE309" s="702">
        <f t="shared" si="20"/>
        <v>43252</v>
      </c>
      <c r="AF309" s="289">
        <v>72453.596706465964</v>
      </c>
      <c r="AG309">
        <f t="shared" si="21"/>
        <v>360</v>
      </c>
      <c r="AH309" s="289">
        <f t="shared" si="22"/>
        <v>201.25999085129433</v>
      </c>
      <c r="AJ309" s="289">
        <f t="shared" si="23"/>
        <v>54</v>
      </c>
      <c r="AK309" s="289">
        <f t="shared" si="24"/>
        <v>10868.039505969893</v>
      </c>
    </row>
    <row r="310" spans="1:37">
      <c r="A310" s="703" t="s">
        <v>937</v>
      </c>
      <c r="B310" s="703" t="s">
        <v>331</v>
      </c>
      <c r="C310" s="703" t="s">
        <v>332</v>
      </c>
      <c r="D310" s="703" t="s">
        <v>333</v>
      </c>
      <c r="E310" s="703" t="s">
        <v>334</v>
      </c>
      <c r="F310" s="703" t="s">
        <v>335</v>
      </c>
      <c r="G310" s="703" t="s">
        <v>938</v>
      </c>
      <c r="H310" s="703" t="s">
        <v>334</v>
      </c>
      <c r="I310" s="703" t="s">
        <v>334</v>
      </c>
      <c r="J310" s="703" t="s">
        <v>337</v>
      </c>
      <c r="K310" s="704">
        <v>0</v>
      </c>
      <c r="L310" s="703" t="s">
        <v>334</v>
      </c>
      <c r="M310" s="702">
        <v>39478</v>
      </c>
      <c r="N310" s="702">
        <v>43235</v>
      </c>
      <c r="O310" s="703" t="s">
        <v>338</v>
      </c>
      <c r="P310" s="20">
        <v>1085897.02</v>
      </c>
      <c r="Q310" s="20">
        <v>0</v>
      </c>
      <c r="R310" s="20">
        <v>0</v>
      </c>
      <c r="S310" s="20">
        <v>0</v>
      </c>
      <c r="T310" s="20">
        <v>1085897.02</v>
      </c>
      <c r="U310" s="20">
        <v>956192.65</v>
      </c>
      <c r="V310" s="20">
        <v>-129704.37</v>
      </c>
      <c r="W310" s="20">
        <v>-165900.94</v>
      </c>
      <c r="X310" s="20">
        <v>-36196.57</v>
      </c>
      <c r="Y310" s="20">
        <v>0</v>
      </c>
      <c r="Z310" s="20">
        <v>0</v>
      </c>
      <c r="AA310" s="20">
        <v>0</v>
      </c>
      <c r="AB310" s="20">
        <v>919996.08</v>
      </c>
      <c r="AC310" t="s">
        <v>183</v>
      </c>
      <c r="AD310" t="s">
        <v>290</v>
      </c>
      <c r="AE310" s="702">
        <f t="shared" si="20"/>
        <v>43252</v>
      </c>
      <c r="AF310" s="289">
        <v>1803730.6748011697</v>
      </c>
      <c r="AG310">
        <f t="shared" si="21"/>
        <v>360</v>
      </c>
      <c r="AH310" s="289">
        <f t="shared" si="22"/>
        <v>5010.3629855588042</v>
      </c>
      <c r="AJ310" s="289">
        <f t="shared" si="23"/>
        <v>54</v>
      </c>
      <c r="AK310" s="289">
        <f t="shared" si="24"/>
        <v>270559.60122017545</v>
      </c>
    </row>
    <row r="311" spans="1:37">
      <c r="A311" s="703" t="s">
        <v>939</v>
      </c>
      <c r="B311" s="703" t="s">
        <v>331</v>
      </c>
      <c r="C311" s="703" t="s">
        <v>332</v>
      </c>
      <c r="D311" s="703" t="s">
        <v>333</v>
      </c>
      <c r="E311" s="703" t="s">
        <v>334</v>
      </c>
      <c r="F311" s="703" t="s">
        <v>335</v>
      </c>
      <c r="G311" s="703" t="s">
        <v>362</v>
      </c>
      <c r="H311" s="703" t="s">
        <v>334</v>
      </c>
      <c r="I311" s="703" t="s">
        <v>334</v>
      </c>
      <c r="J311" s="703" t="s">
        <v>337</v>
      </c>
      <c r="K311" s="704">
        <v>0</v>
      </c>
      <c r="L311" s="703" t="s">
        <v>334</v>
      </c>
      <c r="M311" s="702">
        <v>39478</v>
      </c>
      <c r="N311" s="702">
        <v>43235</v>
      </c>
      <c r="O311" s="703" t="s">
        <v>338</v>
      </c>
      <c r="P311" s="20">
        <v>468139.49</v>
      </c>
      <c r="Q311" s="20">
        <v>0</v>
      </c>
      <c r="R311" s="20">
        <v>0</v>
      </c>
      <c r="S311" s="20">
        <v>0</v>
      </c>
      <c r="T311" s="20">
        <v>468139.49</v>
      </c>
      <c r="U311" s="20">
        <v>412222.83</v>
      </c>
      <c r="V311" s="20">
        <v>-55916.66</v>
      </c>
      <c r="W311" s="20">
        <v>-71521.31</v>
      </c>
      <c r="X311" s="20">
        <v>-15604.65</v>
      </c>
      <c r="Y311" s="20">
        <v>0</v>
      </c>
      <c r="Z311" s="20">
        <v>0</v>
      </c>
      <c r="AA311" s="20">
        <v>0</v>
      </c>
      <c r="AB311" s="20">
        <v>396618.18</v>
      </c>
      <c r="AC311" t="s">
        <v>183</v>
      </c>
      <c r="AD311" t="s">
        <v>290</v>
      </c>
      <c r="AE311" s="702">
        <f t="shared" si="20"/>
        <v>43252</v>
      </c>
      <c r="AF311" s="289">
        <v>777603.71623340063</v>
      </c>
      <c r="AG311">
        <f t="shared" si="21"/>
        <v>360</v>
      </c>
      <c r="AH311" s="289">
        <f t="shared" si="22"/>
        <v>2160.0103228705575</v>
      </c>
      <c r="AJ311" s="289">
        <f t="shared" si="23"/>
        <v>54</v>
      </c>
      <c r="AK311" s="289">
        <f t="shared" si="24"/>
        <v>116640.55743501011</v>
      </c>
    </row>
    <row r="312" spans="1:37">
      <c r="A312" s="703" t="s">
        <v>940</v>
      </c>
      <c r="B312" s="703" t="s">
        <v>331</v>
      </c>
      <c r="C312" s="703" t="s">
        <v>332</v>
      </c>
      <c r="D312" s="703" t="s">
        <v>333</v>
      </c>
      <c r="E312" s="703" t="s">
        <v>334</v>
      </c>
      <c r="F312" s="703" t="s">
        <v>335</v>
      </c>
      <c r="G312" s="703" t="s">
        <v>374</v>
      </c>
      <c r="H312" s="703" t="s">
        <v>334</v>
      </c>
      <c r="I312" s="703" t="s">
        <v>334</v>
      </c>
      <c r="J312" s="703" t="s">
        <v>337</v>
      </c>
      <c r="K312" s="704">
        <v>0</v>
      </c>
      <c r="L312" s="703" t="s">
        <v>334</v>
      </c>
      <c r="M312" s="702">
        <v>39478</v>
      </c>
      <c r="N312" s="702">
        <v>43235</v>
      </c>
      <c r="O312" s="703" t="s">
        <v>338</v>
      </c>
      <c r="P312" s="20">
        <v>562989.76</v>
      </c>
      <c r="Q312" s="20">
        <v>0</v>
      </c>
      <c r="R312" s="20">
        <v>0</v>
      </c>
      <c r="S312" s="20">
        <v>0</v>
      </c>
      <c r="T312" s="20">
        <v>562989.76</v>
      </c>
      <c r="U312" s="20">
        <v>495743.75</v>
      </c>
      <c r="V312" s="20">
        <v>-67246.009999999995</v>
      </c>
      <c r="W312" s="20">
        <v>-86012.34</v>
      </c>
      <c r="X312" s="20">
        <v>-18766.330000000002</v>
      </c>
      <c r="Y312" s="20">
        <v>0</v>
      </c>
      <c r="Z312" s="20">
        <v>0</v>
      </c>
      <c r="AA312" s="20">
        <v>0</v>
      </c>
      <c r="AB312" s="20">
        <v>476977.42</v>
      </c>
      <c r="AC312" t="s">
        <v>183</v>
      </c>
      <c r="AD312" t="s">
        <v>290</v>
      </c>
      <c r="AE312" s="702">
        <f t="shared" si="20"/>
        <v>43252</v>
      </c>
      <c r="AF312" s="289">
        <v>935154.88210009877</v>
      </c>
      <c r="AG312">
        <f t="shared" si="21"/>
        <v>360</v>
      </c>
      <c r="AH312" s="289">
        <f t="shared" si="22"/>
        <v>2597.6524502780521</v>
      </c>
      <c r="AJ312" s="289">
        <f t="shared" si="23"/>
        <v>54</v>
      </c>
      <c r="AK312" s="289">
        <f t="shared" si="24"/>
        <v>140273.23231501481</v>
      </c>
    </row>
    <row r="313" spans="1:37">
      <c r="A313" s="703" t="s">
        <v>941</v>
      </c>
      <c r="B313" s="703" t="s">
        <v>331</v>
      </c>
      <c r="C313" s="703" t="s">
        <v>332</v>
      </c>
      <c r="D313" s="703" t="s">
        <v>333</v>
      </c>
      <c r="E313" s="703" t="s">
        <v>334</v>
      </c>
      <c r="F313" s="703" t="s">
        <v>335</v>
      </c>
      <c r="G313" s="703" t="s">
        <v>655</v>
      </c>
      <c r="H313" s="703" t="s">
        <v>334</v>
      </c>
      <c r="I313" s="703" t="s">
        <v>334</v>
      </c>
      <c r="J313" s="703" t="s">
        <v>337</v>
      </c>
      <c r="K313" s="704">
        <v>0</v>
      </c>
      <c r="L313" s="703" t="s">
        <v>334</v>
      </c>
      <c r="M313" s="702">
        <v>39478</v>
      </c>
      <c r="N313" s="702">
        <v>43235</v>
      </c>
      <c r="O313" s="703" t="s">
        <v>338</v>
      </c>
      <c r="P313" s="20">
        <v>255.08</v>
      </c>
      <c r="Q313" s="20">
        <v>0</v>
      </c>
      <c r="R313" s="20">
        <v>0</v>
      </c>
      <c r="S313" s="20">
        <v>0</v>
      </c>
      <c r="T313" s="20">
        <v>255.08</v>
      </c>
      <c r="U313" s="20">
        <v>224.62</v>
      </c>
      <c r="V313" s="20">
        <v>-30.46</v>
      </c>
      <c r="W313" s="20">
        <v>-38.96</v>
      </c>
      <c r="X313" s="20">
        <v>-8.5</v>
      </c>
      <c r="Y313" s="20">
        <v>0</v>
      </c>
      <c r="Z313" s="20">
        <v>0</v>
      </c>
      <c r="AA313" s="20">
        <v>0</v>
      </c>
      <c r="AB313" s="20">
        <v>216.12</v>
      </c>
      <c r="AC313" t="s">
        <v>183</v>
      </c>
      <c r="AD313" t="s">
        <v>290</v>
      </c>
      <c r="AE313" s="702">
        <f t="shared" si="20"/>
        <v>43252</v>
      </c>
      <c r="AF313" s="289">
        <v>423.70096984729031</v>
      </c>
      <c r="AG313">
        <f t="shared" si="21"/>
        <v>360</v>
      </c>
      <c r="AH313" s="289">
        <f t="shared" si="22"/>
        <v>1.1769471384646952</v>
      </c>
      <c r="AJ313" s="289">
        <f t="shared" si="23"/>
        <v>54</v>
      </c>
      <c r="AK313" s="289">
        <f t="shared" si="24"/>
        <v>63.555145477093539</v>
      </c>
    </row>
    <row r="314" spans="1:37">
      <c r="A314" s="703" t="s">
        <v>942</v>
      </c>
      <c r="B314" s="703" t="s">
        <v>331</v>
      </c>
      <c r="C314" s="703" t="s">
        <v>332</v>
      </c>
      <c r="D314" s="703" t="s">
        <v>333</v>
      </c>
      <c r="E314" s="703" t="s">
        <v>334</v>
      </c>
      <c r="F314" s="703" t="s">
        <v>335</v>
      </c>
      <c r="G314" s="703" t="s">
        <v>657</v>
      </c>
      <c r="H314" s="703" t="s">
        <v>334</v>
      </c>
      <c r="I314" s="703" t="s">
        <v>334</v>
      </c>
      <c r="J314" s="703" t="s">
        <v>337</v>
      </c>
      <c r="K314" s="704">
        <v>0</v>
      </c>
      <c r="L314" s="703" t="s">
        <v>334</v>
      </c>
      <c r="M314" s="702">
        <v>39478</v>
      </c>
      <c r="N314" s="702">
        <v>43235</v>
      </c>
      <c r="O314" s="703" t="s">
        <v>338</v>
      </c>
      <c r="P314" s="20">
        <v>1224486.8500000001</v>
      </c>
      <c r="Q314" s="20">
        <v>0</v>
      </c>
      <c r="R314" s="20">
        <v>0</v>
      </c>
      <c r="S314" s="20">
        <v>0</v>
      </c>
      <c r="T314" s="20">
        <v>1224486.8500000001</v>
      </c>
      <c r="U314" s="20">
        <v>1078228.69</v>
      </c>
      <c r="V314" s="20">
        <v>-146258.16</v>
      </c>
      <c r="W314" s="20">
        <v>-187074.39</v>
      </c>
      <c r="X314" s="20">
        <v>-40816.230000000003</v>
      </c>
      <c r="Y314" s="20">
        <v>0</v>
      </c>
      <c r="Z314" s="20">
        <v>0</v>
      </c>
      <c r="AA314" s="20">
        <v>0</v>
      </c>
      <c r="AB314" s="20">
        <v>1037412.46</v>
      </c>
      <c r="AC314" t="s">
        <v>183</v>
      </c>
      <c r="AD314" t="s">
        <v>290</v>
      </c>
      <c r="AE314" s="702">
        <f t="shared" si="20"/>
        <v>43252</v>
      </c>
      <c r="AF314" s="289">
        <v>2033935.4943949091</v>
      </c>
      <c r="AG314">
        <f t="shared" si="21"/>
        <v>360</v>
      </c>
      <c r="AH314" s="289">
        <f t="shared" si="22"/>
        <v>5649.8208177636361</v>
      </c>
      <c r="AJ314" s="289">
        <f t="shared" si="23"/>
        <v>54</v>
      </c>
      <c r="AK314" s="289">
        <f t="shared" si="24"/>
        <v>305090.32415923633</v>
      </c>
    </row>
    <row r="315" spans="1:37">
      <c r="A315" s="703" t="s">
        <v>943</v>
      </c>
      <c r="B315" s="703" t="s">
        <v>331</v>
      </c>
      <c r="C315" s="703" t="s">
        <v>332</v>
      </c>
      <c r="D315" s="703" t="s">
        <v>333</v>
      </c>
      <c r="E315" s="703" t="s">
        <v>334</v>
      </c>
      <c r="F315" s="703" t="s">
        <v>335</v>
      </c>
      <c r="G315" s="703" t="s">
        <v>944</v>
      </c>
      <c r="H315" s="703" t="s">
        <v>334</v>
      </c>
      <c r="I315" s="703" t="s">
        <v>334</v>
      </c>
      <c r="J315" s="703" t="s">
        <v>337</v>
      </c>
      <c r="K315" s="704">
        <v>0</v>
      </c>
      <c r="L315" s="703" t="s">
        <v>334</v>
      </c>
      <c r="M315" s="702">
        <v>41029</v>
      </c>
      <c r="N315" s="702">
        <v>43235</v>
      </c>
      <c r="O315" s="703" t="s">
        <v>338</v>
      </c>
      <c r="P315" s="20">
        <v>13663.07</v>
      </c>
      <c r="Q315" s="20">
        <v>0</v>
      </c>
      <c r="R315" s="20">
        <v>0</v>
      </c>
      <c r="S315" s="20">
        <v>0</v>
      </c>
      <c r="T315" s="20">
        <v>13663.07</v>
      </c>
      <c r="U315" s="20">
        <v>12031.08</v>
      </c>
      <c r="V315" s="20">
        <v>-1631.99</v>
      </c>
      <c r="W315" s="20">
        <v>-2087.4299999999998</v>
      </c>
      <c r="X315" s="20">
        <v>-455.44</v>
      </c>
      <c r="Y315" s="20">
        <v>0</v>
      </c>
      <c r="Z315" s="20">
        <v>0</v>
      </c>
      <c r="AA315" s="20">
        <v>0</v>
      </c>
      <c r="AB315" s="20">
        <v>11575.64</v>
      </c>
      <c r="AC315" t="s">
        <v>183</v>
      </c>
      <c r="AD315" t="s">
        <v>290</v>
      </c>
      <c r="AE315" s="702">
        <f t="shared" si="20"/>
        <v>43252</v>
      </c>
      <c r="AF315" s="289">
        <v>22695.060412778013</v>
      </c>
      <c r="AG315">
        <f t="shared" si="21"/>
        <v>360</v>
      </c>
      <c r="AH315" s="289">
        <f t="shared" si="22"/>
        <v>63.041834479938927</v>
      </c>
      <c r="AJ315" s="289">
        <f t="shared" si="23"/>
        <v>54</v>
      </c>
      <c r="AK315" s="289">
        <f t="shared" si="24"/>
        <v>3404.2590619167022</v>
      </c>
    </row>
    <row r="316" spans="1:37">
      <c r="A316" s="703" t="s">
        <v>945</v>
      </c>
      <c r="B316" s="703" t="s">
        <v>331</v>
      </c>
      <c r="C316" s="703" t="s">
        <v>332</v>
      </c>
      <c r="D316" s="703" t="s">
        <v>333</v>
      </c>
      <c r="E316" s="703" t="s">
        <v>334</v>
      </c>
      <c r="F316" s="703" t="s">
        <v>335</v>
      </c>
      <c r="G316" s="703" t="s">
        <v>946</v>
      </c>
      <c r="H316" s="703" t="s">
        <v>334</v>
      </c>
      <c r="I316" s="703" t="s">
        <v>334</v>
      </c>
      <c r="J316" s="703" t="s">
        <v>337</v>
      </c>
      <c r="K316" s="704">
        <v>0</v>
      </c>
      <c r="L316" s="703" t="s">
        <v>334</v>
      </c>
      <c r="M316" s="702">
        <v>41029</v>
      </c>
      <c r="N316" s="702">
        <v>43235</v>
      </c>
      <c r="O316" s="703" t="s">
        <v>338</v>
      </c>
      <c r="P316" s="20">
        <v>31330.639999999999</v>
      </c>
      <c r="Q316" s="20">
        <v>0</v>
      </c>
      <c r="R316" s="20">
        <v>0</v>
      </c>
      <c r="S316" s="20">
        <v>0</v>
      </c>
      <c r="T316" s="20">
        <v>31330.639999999999</v>
      </c>
      <c r="U316" s="20">
        <v>27588.38</v>
      </c>
      <c r="V316" s="20">
        <v>-3742.26</v>
      </c>
      <c r="W316" s="20">
        <v>-4786.6099999999997</v>
      </c>
      <c r="X316" s="20">
        <v>-1044.3499999999999</v>
      </c>
      <c r="Y316" s="20">
        <v>0</v>
      </c>
      <c r="Z316" s="20">
        <v>0</v>
      </c>
      <c r="AA316" s="20">
        <v>0</v>
      </c>
      <c r="AB316" s="20">
        <v>26544.03</v>
      </c>
      <c r="AC316" t="s">
        <v>183</v>
      </c>
      <c r="AD316" t="s">
        <v>290</v>
      </c>
      <c r="AE316" s="702">
        <f t="shared" si="20"/>
        <v>43252</v>
      </c>
      <c r="AF316" s="289">
        <v>52041.800823021425</v>
      </c>
      <c r="AG316">
        <f t="shared" si="21"/>
        <v>360</v>
      </c>
      <c r="AH316" s="289">
        <f t="shared" si="22"/>
        <v>144.56055784172619</v>
      </c>
      <c r="AJ316" s="289">
        <f t="shared" si="23"/>
        <v>54</v>
      </c>
      <c r="AK316" s="289">
        <f t="shared" si="24"/>
        <v>7806.2701234532142</v>
      </c>
    </row>
    <row r="317" spans="1:37">
      <c r="A317" s="703" t="s">
        <v>947</v>
      </c>
      <c r="B317" s="703" t="s">
        <v>331</v>
      </c>
      <c r="C317" s="703" t="s">
        <v>332</v>
      </c>
      <c r="D317" s="703" t="s">
        <v>333</v>
      </c>
      <c r="E317" s="703" t="s">
        <v>334</v>
      </c>
      <c r="F317" s="703" t="s">
        <v>335</v>
      </c>
      <c r="G317" s="703" t="s">
        <v>948</v>
      </c>
      <c r="H317" s="703" t="s">
        <v>334</v>
      </c>
      <c r="I317" s="703" t="s">
        <v>334</v>
      </c>
      <c r="J317" s="703" t="s">
        <v>337</v>
      </c>
      <c r="K317" s="704">
        <v>0</v>
      </c>
      <c r="L317" s="703" t="s">
        <v>334</v>
      </c>
      <c r="M317" s="702">
        <v>42855</v>
      </c>
      <c r="N317" s="702">
        <v>43235</v>
      </c>
      <c r="O317" s="703" t="s">
        <v>338</v>
      </c>
      <c r="P317" s="20">
        <v>250304.05</v>
      </c>
      <c r="Q317" s="20">
        <v>0</v>
      </c>
      <c r="R317" s="20">
        <v>0</v>
      </c>
      <c r="S317" s="20">
        <v>0</v>
      </c>
      <c r="T317" s="20">
        <v>250304.05</v>
      </c>
      <c r="U317" s="20">
        <v>220406.62</v>
      </c>
      <c r="V317" s="20">
        <v>-29897.43</v>
      </c>
      <c r="W317" s="20">
        <v>-38240.9</v>
      </c>
      <c r="X317" s="20">
        <v>-8343.4699999999993</v>
      </c>
      <c r="Y317" s="20">
        <v>0</v>
      </c>
      <c r="Z317" s="20">
        <v>0</v>
      </c>
      <c r="AA317" s="20">
        <v>0</v>
      </c>
      <c r="AB317" s="20">
        <v>212063.15</v>
      </c>
      <c r="AC317" t="s">
        <v>183</v>
      </c>
      <c r="AD317" t="s">
        <v>290</v>
      </c>
      <c r="AE317" s="702">
        <f t="shared" si="20"/>
        <v>43252</v>
      </c>
      <c r="AF317" s="289">
        <v>415767.87181160669</v>
      </c>
      <c r="AG317">
        <f t="shared" si="21"/>
        <v>360</v>
      </c>
      <c r="AH317" s="289">
        <f t="shared" si="22"/>
        <v>1154.9107550322408</v>
      </c>
      <c r="AJ317" s="289">
        <f t="shared" si="23"/>
        <v>54</v>
      </c>
      <c r="AK317" s="289">
        <f t="shared" si="24"/>
        <v>62365.180771741005</v>
      </c>
    </row>
    <row r="318" spans="1:37">
      <c r="A318" s="703" t="s">
        <v>949</v>
      </c>
      <c r="B318" s="703" t="s">
        <v>331</v>
      </c>
      <c r="C318" s="703" t="s">
        <v>390</v>
      </c>
      <c r="D318" s="703" t="s">
        <v>391</v>
      </c>
      <c r="E318" s="703" t="s">
        <v>334</v>
      </c>
      <c r="F318" s="703" t="s">
        <v>335</v>
      </c>
      <c r="G318" s="703" t="s">
        <v>426</v>
      </c>
      <c r="H318" s="703" t="s">
        <v>334</v>
      </c>
      <c r="I318" s="703" t="s">
        <v>334</v>
      </c>
      <c r="J318" s="703" t="s">
        <v>337</v>
      </c>
      <c r="K318" s="704">
        <v>0</v>
      </c>
      <c r="L318" s="703" t="s">
        <v>334</v>
      </c>
      <c r="M318" s="702">
        <v>42886</v>
      </c>
      <c r="N318" s="702">
        <v>43235</v>
      </c>
      <c r="O318" s="703" t="s">
        <v>338</v>
      </c>
      <c r="P318" s="20">
        <v>25457.47</v>
      </c>
      <c r="Q318" s="20">
        <v>0</v>
      </c>
      <c r="R318" s="20">
        <v>0</v>
      </c>
      <c r="S318" s="20">
        <v>0</v>
      </c>
      <c r="T318" s="20">
        <v>25457.47</v>
      </c>
      <c r="U318" s="20">
        <v>22416.720000000001</v>
      </c>
      <c r="V318" s="20">
        <v>-3040.75</v>
      </c>
      <c r="W318" s="20">
        <v>-3889.33</v>
      </c>
      <c r="X318" s="20">
        <v>-848.58</v>
      </c>
      <c r="Y318" s="20">
        <v>0</v>
      </c>
      <c r="Z318" s="20">
        <v>0</v>
      </c>
      <c r="AA318" s="20">
        <v>0</v>
      </c>
      <c r="AB318" s="20">
        <v>21568.14</v>
      </c>
      <c r="AC318" t="s">
        <v>188</v>
      </c>
      <c r="AD318" t="s">
        <v>290</v>
      </c>
      <c r="AE318" s="702">
        <f t="shared" si="20"/>
        <v>43252</v>
      </c>
      <c r="AF318" s="289">
        <v>42286.164061699448</v>
      </c>
      <c r="AG318">
        <f t="shared" si="21"/>
        <v>360</v>
      </c>
      <c r="AH318" s="289">
        <f t="shared" si="22"/>
        <v>117.46156683805403</v>
      </c>
      <c r="AJ318" s="289">
        <f t="shared" si="23"/>
        <v>54</v>
      </c>
      <c r="AK318" s="289">
        <f t="shared" si="24"/>
        <v>6342.9246092549174</v>
      </c>
    </row>
    <row r="319" spans="1:37">
      <c r="A319" s="703" t="s">
        <v>950</v>
      </c>
      <c r="B319" s="703" t="s">
        <v>331</v>
      </c>
      <c r="C319" s="703" t="s">
        <v>390</v>
      </c>
      <c r="D319" s="703" t="s">
        <v>391</v>
      </c>
      <c r="E319" s="703" t="s">
        <v>334</v>
      </c>
      <c r="F319" s="703" t="s">
        <v>335</v>
      </c>
      <c r="G319" s="703" t="s">
        <v>398</v>
      </c>
      <c r="H319" s="703" t="s">
        <v>334</v>
      </c>
      <c r="I319" s="703" t="s">
        <v>334</v>
      </c>
      <c r="J319" s="703" t="s">
        <v>337</v>
      </c>
      <c r="K319" s="704">
        <v>0</v>
      </c>
      <c r="L319" s="703" t="s">
        <v>334</v>
      </c>
      <c r="M319" s="702">
        <v>42886</v>
      </c>
      <c r="N319" s="702">
        <v>43235</v>
      </c>
      <c r="O319" s="703" t="s">
        <v>338</v>
      </c>
      <c r="P319" s="20">
        <v>9247.15</v>
      </c>
      <c r="Q319" s="20">
        <v>0</v>
      </c>
      <c r="R319" s="20">
        <v>0</v>
      </c>
      <c r="S319" s="20">
        <v>0</v>
      </c>
      <c r="T319" s="20">
        <v>9247.15</v>
      </c>
      <c r="U319" s="20">
        <v>8142.62</v>
      </c>
      <c r="V319" s="20">
        <v>-1104.53</v>
      </c>
      <c r="W319" s="20">
        <v>-1412.77</v>
      </c>
      <c r="X319" s="20">
        <v>-308.24</v>
      </c>
      <c r="Y319" s="20">
        <v>0</v>
      </c>
      <c r="Z319" s="20">
        <v>0</v>
      </c>
      <c r="AA319" s="20">
        <v>0</v>
      </c>
      <c r="AB319" s="20">
        <v>7834.38</v>
      </c>
      <c r="AC319" t="s">
        <v>188</v>
      </c>
      <c r="AD319" t="s">
        <v>290</v>
      </c>
      <c r="AE319" s="702">
        <f t="shared" si="20"/>
        <v>43252</v>
      </c>
      <c r="AF319" s="289">
        <v>15359.990682622589</v>
      </c>
      <c r="AG319">
        <f t="shared" si="21"/>
        <v>360</v>
      </c>
      <c r="AH319" s="289">
        <f t="shared" si="22"/>
        <v>42.666640785062746</v>
      </c>
      <c r="AJ319" s="289">
        <f t="shared" si="23"/>
        <v>54</v>
      </c>
      <c r="AK319" s="289">
        <f t="shared" si="24"/>
        <v>2303.9986023933884</v>
      </c>
    </row>
    <row r="320" spans="1:37">
      <c r="A320" s="703" t="s">
        <v>951</v>
      </c>
      <c r="B320" s="703" t="s">
        <v>331</v>
      </c>
      <c r="C320" s="703" t="s">
        <v>390</v>
      </c>
      <c r="D320" s="703" t="s">
        <v>391</v>
      </c>
      <c r="E320" s="703" t="s">
        <v>334</v>
      </c>
      <c r="F320" s="703" t="s">
        <v>335</v>
      </c>
      <c r="G320" s="703" t="s">
        <v>400</v>
      </c>
      <c r="H320" s="703" t="s">
        <v>334</v>
      </c>
      <c r="I320" s="703" t="s">
        <v>334</v>
      </c>
      <c r="J320" s="703" t="s">
        <v>337</v>
      </c>
      <c r="K320" s="704">
        <v>0</v>
      </c>
      <c r="L320" s="703" t="s">
        <v>334</v>
      </c>
      <c r="M320" s="702">
        <v>40574</v>
      </c>
      <c r="N320" s="702">
        <v>43235</v>
      </c>
      <c r="O320" s="703" t="s">
        <v>338</v>
      </c>
      <c r="P320" s="20">
        <v>7843.27</v>
      </c>
      <c r="Q320" s="20">
        <v>0</v>
      </c>
      <c r="R320" s="20">
        <v>0</v>
      </c>
      <c r="S320" s="20">
        <v>0</v>
      </c>
      <c r="T320" s="20">
        <v>7843.27</v>
      </c>
      <c r="U320" s="20">
        <v>6906.44</v>
      </c>
      <c r="V320" s="20">
        <v>-936.83</v>
      </c>
      <c r="W320" s="20">
        <v>-1198.27</v>
      </c>
      <c r="X320" s="20">
        <v>-261.44</v>
      </c>
      <c r="Y320" s="20">
        <v>0</v>
      </c>
      <c r="Z320" s="20">
        <v>0</v>
      </c>
      <c r="AA320" s="20">
        <v>0</v>
      </c>
      <c r="AB320" s="20">
        <v>6645</v>
      </c>
      <c r="AC320" t="s">
        <v>188</v>
      </c>
      <c r="AD320" t="s">
        <v>290</v>
      </c>
      <c r="AE320" s="702">
        <f t="shared" si="20"/>
        <v>43252</v>
      </c>
      <c r="AF320" s="289">
        <v>13028.073960224856</v>
      </c>
      <c r="AG320">
        <f t="shared" si="21"/>
        <v>360</v>
      </c>
      <c r="AH320" s="289">
        <f t="shared" si="22"/>
        <v>36.189094333957932</v>
      </c>
      <c r="AJ320" s="289">
        <f t="shared" si="23"/>
        <v>54</v>
      </c>
      <c r="AK320" s="289">
        <f t="shared" si="24"/>
        <v>1954.2110940337284</v>
      </c>
    </row>
    <row r="321" spans="1:37">
      <c r="A321" s="703" t="s">
        <v>952</v>
      </c>
      <c r="B321" s="703" t="s">
        <v>331</v>
      </c>
      <c r="C321" s="703" t="s">
        <v>390</v>
      </c>
      <c r="D321" s="703" t="s">
        <v>391</v>
      </c>
      <c r="E321" s="703" t="s">
        <v>334</v>
      </c>
      <c r="F321" s="703" t="s">
        <v>335</v>
      </c>
      <c r="G321" s="703" t="s">
        <v>402</v>
      </c>
      <c r="H321" s="703" t="s">
        <v>334</v>
      </c>
      <c r="I321" s="703" t="s">
        <v>334</v>
      </c>
      <c r="J321" s="703" t="s">
        <v>337</v>
      </c>
      <c r="K321" s="704">
        <v>0</v>
      </c>
      <c r="L321" s="703" t="s">
        <v>334</v>
      </c>
      <c r="M321" s="702">
        <v>42886</v>
      </c>
      <c r="N321" s="702">
        <v>43235</v>
      </c>
      <c r="O321" s="703" t="s">
        <v>338</v>
      </c>
      <c r="P321" s="20">
        <v>47685.63</v>
      </c>
      <c r="Q321" s="20">
        <v>0</v>
      </c>
      <c r="R321" s="20">
        <v>0</v>
      </c>
      <c r="S321" s="20">
        <v>0</v>
      </c>
      <c r="T321" s="20">
        <v>47685.63</v>
      </c>
      <c r="U321" s="20">
        <v>41989.85</v>
      </c>
      <c r="V321" s="20">
        <v>-5695.78</v>
      </c>
      <c r="W321" s="20">
        <v>-7285.3</v>
      </c>
      <c r="X321" s="20">
        <v>-1589.52</v>
      </c>
      <c r="Y321" s="20">
        <v>0</v>
      </c>
      <c r="Z321" s="20">
        <v>0</v>
      </c>
      <c r="AA321" s="20">
        <v>0</v>
      </c>
      <c r="AB321" s="20">
        <v>40400.33</v>
      </c>
      <c r="AC321" t="s">
        <v>188</v>
      </c>
      <c r="AD321" t="s">
        <v>290</v>
      </c>
      <c r="AE321" s="702">
        <f t="shared" si="20"/>
        <v>43252</v>
      </c>
      <c r="AF321" s="289">
        <v>79208.278496075887</v>
      </c>
      <c r="AG321">
        <f t="shared" si="21"/>
        <v>360</v>
      </c>
      <c r="AH321" s="289">
        <f t="shared" si="22"/>
        <v>220.02299582243302</v>
      </c>
      <c r="AJ321" s="289">
        <f t="shared" si="23"/>
        <v>54</v>
      </c>
      <c r="AK321" s="289">
        <f t="shared" si="24"/>
        <v>11881.241774411383</v>
      </c>
    </row>
    <row r="322" spans="1:37">
      <c r="A322" s="703" t="s">
        <v>953</v>
      </c>
      <c r="B322" s="703" t="s">
        <v>331</v>
      </c>
      <c r="C322" s="703" t="s">
        <v>390</v>
      </c>
      <c r="D322" s="703" t="s">
        <v>391</v>
      </c>
      <c r="E322" s="703" t="s">
        <v>334</v>
      </c>
      <c r="F322" s="703" t="s">
        <v>335</v>
      </c>
      <c r="G322" s="703" t="s">
        <v>424</v>
      </c>
      <c r="H322" s="703" t="s">
        <v>334</v>
      </c>
      <c r="I322" s="703" t="s">
        <v>334</v>
      </c>
      <c r="J322" s="703" t="s">
        <v>337</v>
      </c>
      <c r="K322" s="704">
        <v>0</v>
      </c>
      <c r="L322" s="703" t="s">
        <v>334</v>
      </c>
      <c r="M322" s="702">
        <v>42886</v>
      </c>
      <c r="N322" s="702">
        <v>43235</v>
      </c>
      <c r="O322" s="703" t="s">
        <v>338</v>
      </c>
      <c r="P322" s="20">
        <v>253.69</v>
      </c>
      <c r="Q322" s="20">
        <v>0</v>
      </c>
      <c r="R322" s="20">
        <v>0</v>
      </c>
      <c r="S322" s="20">
        <v>0</v>
      </c>
      <c r="T322" s="20">
        <v>253.69</v>
      </c>
      <c r="U322" s="20">
        <v>223.38</v>
      </c>
      <c r="V322" s="20">
        <v>-30.31</v>
      </c>
      <c r="W322" s="20">
        <v>-38.770000000000003</v>
      </c>
      <c r="X322" s="20">
        <v>-8.4600000000000009</v>
      </c>
      <c r="Y322" s="20">
        <v>0</v>
      </c>
      <c r="Z322" s="20">
        <v>0</v>
      </c>
      <c r="AA322" s="20">
        <v>0</v>
      </c>
      <c r="AB322" s="20">
        <v>214.92</v>
      </c>
      <c r="AC322" t="s">
        <v>188</v>
      </c>
      <c r="AD322" t="s">
        <v>290</v>
      </c>
      <c r="AE322" s="702">
        <f t="shared" si="20"/>
        <v>43252</v>
      </c>
      <c r="AF322" s="289">
        <v>421.39210851716746</v>
      </c>
      <c r="AG322">
        <f t="shared" si="21"/>
        <v>360</v>
      </c>
      <c r="AH322" s="289">
        <f t="shared" si="22"/>
        <v>1.1705336347699096</v>
      </c>
      <c r="AJ322" s="289">
        <f t="shared" si="23"/>
        <v>54</v>
      </c>
      <c r="AK322" s="289">
        <f t="shared" si="24"/>
        <v>63.208816277575117</v>
      </c>
    </row>
    <row r="323" spans="1:37">
      <c r="A323" s="703" t="s">
        <v>954</v>
      </c>
      <c r="B323" s="703" t="s">
        <v>331</v>
      </c>
      <c r="C323" s="703" t="s">
        <v>390</v>
      </c>
      <c r="D323" s="703" t="s">
        <v>391</v>
      </c>
      <c r="E323" s="703" t="s">
        <v>334</v>
      </c>
      <c r="F323" s="703" t="s">
        <v>335</v>
      </c>
      <c r="G323" s="703" t="s">
        <v>430</v>
      </c>
      <c r="H323" s="703" t="s">
        <v>334</v>
      </c>
      <c r="I323" s="703" t="s">
        <v>334</v>
      </c>
      <c r="J323" s="703" t="s">
        <v>337</v>
      </c>
      <c r="K323" s="704">
        <v>0</v>
      </c>
      <c r="L323" s="703" t="s">
        <v>334</v>
      </c>
      <c r="M323" s="702">
        <v>40574</v>
      </c>
      <c r="N323" s="702">
        <v>43235</v>
      </c>
      <c r="O323" s="703" t="s">
        <v>338</v>
      </c>
      <c r="P323" s="20">
        <v>3198.28</v>
      </c>
      <c r="Q323" s="20">
        <v>0</v>
      </c>
      <c r="R323" s="20">
        <v>0</v>
      </c>
      <c r="S323" s="20">
        <v>0</v>
      </c>
      <c r="T323" s="20">
        <v>3198.28</v>
      </c>
      <c r="U323" s="20">
        <v>2816.26</v>
      </c>
      <c r="V323" s="20">
        <v>-382.02</v>
      </c>
      <c r="W323" s="20">
        <v>-488.63</v>
      </c>
      <c r="X323" s="20">
        <v>-106.61</v>
      </c>
      <c r="Y323" s="20">
        <v>0</v>
      </c>
      <c r="Z323" s="20">
        <v>0</v>
      </c>
      <c r="AA323" s="20">
        <v>0</v>
      </c>
      <c r="AB323" s="20">
        <v>2709.65</v>
      </c>
      <c r="AC323" t="s">
        <v>188</v>
      </c>
      <c r="AD323" t="s">
        <v>290</v>
      </c>
      <c r="AE323" s="702">
        <f t="shared" si="20"/>
        <v>43252</v>
      </c>
      <c r="AF323" s="289">
        <v>5312.5072049678201</v>
      </c>
      <c r="AG323">
        <f t="shared" si="21"/>
        <v>360</v>
      </c>
      <c r="AH323" s="289">
        <f t="shared" si="22"/>
        <v>14.756964458243944</v>
      </c>
      <c r="AJ323" s="289">
        <f t="shared" si="23"/>
        <v>54</v>
      </c>
      <c r="AK323" s="289">
        <f t="shared" si="24"/>
        <v>796.876080745173</v>
      </c>
    </row>
    <row r="324" spans="1:37">
      <c r="A324" s="703" t="s">
        <v>955</v>
      </c>
      <c r="B324" s="703" t="s">
        <v>331</v>
      </c>
      <c r="C324" s="703" t="s">
        <v>390</v>
      </c>
      <c r="D324" s="703" t="s">
        <v>391</v>
      </c>
      <c r="E324" s="703" t="s">
        <v>334</v>
      </c>
      <c r="F324" s="703" t="s">
        <v>335</v>
      </c>
      <c r="G324" s="703" t="s">
        <v>404</v>
      </c>
      <c r="H324" s="703" t="s">
        <v>334</v>
      </c>
      <c r="I324" s="703" t="s">
        <v>334</v>
      </c>
      <c r="J324" s="703" t="s">
        <v>337</v>
      </c>
      <c r="K324" s="704">
        <v>0</v>
      </c>
      <c r="L324" s="703" t="s">
        <v>334</v>
      </c>
      <c r="M324" s="702">
        <v>42886</v>
      </c>
      <c r="N324" s="702">
        <v>43235</v>
      </c>
      <c r="O324" s="703" t="s">
        <v>338</v>
      </c>
      <c r="P324" s="20">
        <v>34134.06</v>
      </c>
      <c r="Q324" s="20">
        <v>0</v>
      </c>
      <c r="R324" s="20">
        <v>0</v>
      </c>
      <c r="S324" s="20">
        <v>0</v>
      </c>
      <c r="T324" s="20">
        <v>34134.06</v>
      </c>
      <c r="U324" s="20">
        <v>30056.94</v>
      </c>
      <c r="V324" s="20">
        <v>-4077.12</v>
      </c>
      <c r="W324" s="20">
        <v>-5214.92</v>
      </c>
      <c r="X324" s="20">
        <v>-1137.8</v>
      </c>
      <c r="Y324" s="20">
        <v>0</v>
      </c>
      <c r="Z324" s="20">
        <v>0</v>
      </c>
      <c r="AA324" s="20">
        <v>0</v>
      </c>
      <c r="AB324" s="20">
        <v>28919.14</v>
      </c>
      <c r="AC324" t="s">
        <v>188</v>
      </c>
      <c r="AD324" t="s">
        <v>290</v>
      </c>
      <c r="AE324" s="702">
        <f t="shared" si="20"/>
        <v>43252</v>
      </c>
      <c r="AF324" s="289">
        <v>56698.42530510269</v>
      </c>
      <c r="AG324">
        <f t="shared" si="21"/>
        <v>360</v>
      </c>
      <c r="AH324" s="289">
        <f t="shared" si="22"/>
        <v>157.49562584750748</v>
      </c>
      <c r="AJ324" s="289">
        <f t="shared" si="23"/>
        <v>54</v>
      </c>
      <c r="AK324" s="289">
        <f t="shared" si="24"/>
        <v>8504.7637957654042</v>
      </c>
    </row>
    <row r="325" spans="1:37">
      <c r="A325" s="703" t="s">
        <v>956</v>
      </c>
      <c r="B325" s="703" t="s">
        <v>331</v>
      </c>
      <c r="C325" s="703" t="s">
        <v>390</v>
      </c>
      <c r="D325" s="703" t="s">
        <v>391</v>
      </c>
      <c r="E325" s="703" t="s">
        <v>334</v>
      </c>
      <c r="F325" s="703" t="s">
        <v>335</v>
      </c>
      <c r="G325" s="703" t="s">
        <v>957</v>
      </c>
      <c r="H325" s="703" t="s">
        <v>334</v>
      </c>
      <c r="I325" s="703" t="s">
        <v>334</v>
      </c>
      <c r="J325" s="703" t="s">
        <v>337</v>
      </c>
      <c r="K325" s="704">
        <v>0</v>
      </c>
      <c r="L325" s="703" t="s">
        <v>334</v>
      </c>
      <c r="M325" s="702">
        <v>40574</v>
      </c>
      <c r="N325" s="702">
        <v>43235</v>
      </c>
      <c r="O325" s="703" t="s">
        <v>338</v>
      </c>
      <c r="P325" s="20">
        <v>7219.92</v>
      </c>
      <c r="Q325" s="20">
        <v>0</v>
      </c>
      <c r="R325" s="20">
        <v>0</v>
      </c>
      <c r="S325" s="20">
        <v>0</v>
      </c>
      <c r="T325" s="20">
        <v>7219.92</v>
      </c>
      <c r="U325" s="20">
        <v>6357.55</v>
      </c>
      <c r="V325" s="20">
        <v>-862.37</v>
      </c>
      <c r="W325" s="20">
        <v>-1103.03</v>
      </c>
      <c r="X325" s="20">
        <v>-240.66</v>
      </c>
      <c r="Y325" s="20">
        <v>0</v>
      </c>
      <c r="Z325" s="20">
        <v>0</v>
      </c>
      <c r="AA325" s="20">
        <v>0</v>
      </c>
      <c r="AB325" s="20">
        <v>6116.89</v>
      </c>
      <c r="AC325" t="s">
        <v>188</v>
      </c>
      <c r="AD325" t="s">
        <v>290</v>
      </c>
      <c r="AE325" s="702">
        <f t="shared" si="20"/>
        <v>43252</v>
      </c>
      <c r="AF325" s="289">
        <v>11992.657622000344</v>
      </c>
      <c r="AG325">
        <f t="shared" si="21"/>
        <v>360</v>
      </c>
      <c r="AH325" s="289">
        <f t="shared" si="22"/>
        <v>33.312937838889844</v>
      </c>
      <c r="AJ325" s="289">
        <f t="shared" si="23"/>
        <v>54</v>
      </c>
      <c r="AK325" s="289">
        <f t="shared" si="24"/>
        <v>1798.8986433000516</v>
      </c>
    </row>
    <row r="326" spans="1:37">
      <c r="A326" s="703" t="s">
        <v>958</v>
      </c>
      <c r="B326" s="703" t="s">
        <v>331</v>
      </c>
      <c r="C326" s="703" t="s">
        <v>390</v>
      </c>
      <c r="D326" s="703" t="s">
        <v>391</v>
      </c>
      <c r="E326" s="703" t="s">
        <v>334</v>
      </c>
      <c r="F326" s="703" t="s">
        <v>335</v>
      </c>
      <c r="G326" s="703" t="s">
        <v>959</v>
      </c>
      <c r="H326" s="703" t="s">
        <v>334</v>
      </c>
      <c r="I326" s="703" t="s">
        <v>334</v>
      </c>
      <c r="J326" s="703" t="s">
        <v>337</v>
      </c>
      <c r="K326" s="704">
        <v>0</v>
      </c>
      <c r="L326" s="703" t="s">
        <v>334</v>
      </c>
      <c r="M326" s="702">
        <v>40574</v>
      </c>
      <c r="N326" s="702">
        <v>43235</v>
      </c>
      <c r="O326" s="703" t="s">
        <v>338</v>
      </c>
      <c r="P326" s="20">
        <v>8219.4500000000007</v>
      </c>
      <c r="Q326" s="20">
        <v>0</v>
      </c>
      <c r="R326" s="20">
        <v>0</v>
      </c>
      <c r="S326" s="20">
        <v>0</v>
      </c>
      <c r="T326" s="20">
        <v>8219.4500000000007</v>
      </c>
      <c r="U326" s="20">
        <v>7237.69</v>
      </c>
      <c r="V326" s="20">
        <v>-981.76</v>
      </c>
      <c r="W326" s="20">
        <v>-1255.74</v>
      </c>
      <c r="X326" s="20">
        <v>-273.98</v>
      </c>
      <c r="Y326" s="20">
        <v>0</v>
      </c>
      <c r="Z326" s="20">
        <v>0</v>
      </c>
      <c r="AA326" s="20">
        <v>0</v>
      </c>
      <c r="AB326" s="20">
        <v>6963.71</v>
      </c>
      <c r="AC326" t="s">
        <v>188</v>
      </c>
      <c r="AD326" t="s">
        <v>290</v>
      </c>
      <c r="AE326" s="702">
        <f t="shared" si="20"/>
        <v>43252</v>
      </c>
      <c r="AF326" s="289">
        <v>13652.928244516661</v>
      </c>
      <c r="AG326">
        <f t="shared" si="21"/>
        <v>360</v>
      </c>
      <c r="AH326" s="289">
        <f t="shared" si="22"/>
        <v>37.92480067921295</v>
      </c>
      <c r="AJ326" s="289">
        <f t="shared" si="23"/>
        <v>54</v>
      </c>
      <c r="AK326" s="289">
        <f t="shared" si="24"/>
        <v>2047.9392366774994</v>
      </c>
    </row>
    <row r="327" spans="1:37">
      <c r="A327" s="703" t="s">
        <v>960</v>
      </c>
      <c r="B327" s="703" t="s">
        <v>331</v>
      </c>
      <c r="C327" s="703" t="s">
        <v>390</v>
      </c>
      <c r="D327" s="703" t="s">
        <v>391</v>
      </c>
      <c r="E327" s="703" t="s">
        <v>334</v>
      </c>
      <c r="F327" s="703" t="s">
        <v>335</v>
      </c>
      <c r="G327" s="703" t="s">
        <v>961</v>
      </c>
      <c r="H327" s="703" t="s">
        <v>334</v>
      </c>
      <c r="I327" s="703" t="s">
        <v>334</v>
      </c>
      <c r="J327" s="703" t="s">
        <v>337</v>
      </c>
      <c r="K327" s="704">
        <v>0</v>
      </c>
      <c r="L327" s="703" t="s">
        <v>334</v>
      </c>
      <c r="M327" s="702">
        <v>40574</v>
      </c>
      <c r="N327" s="702">
        <v>43235</v>
      </c>
      <c r="O327" s="703" t="s">
        <v>338</v>
      </c>
      <c r="P327" s="20">
        <v>1829.92</v>
      </c>
      <c r="Q327" s="20">
        <v>0</v>
      </c>
      <c r="R327" s="20">
        <v>0</v>
      </c>
      <c r="S327" s="20">
        <v>0</v>
      </c>
      <c r="T327" s="20">
        <v>1829.92</v>
      </c>
      <c r="U327" s="20">
        <v>1611.34</v>
      </c>
      <c r="V327" s="20">
        <v>-218.58</v>
      </c>
      <c r="W327" s="20">
        <v>-279.58</v>
      </c>
      <c r="X327" s="20">
        <v>-61</v>
      </c>
      <c r="Y327" s="20">
        <v>0</v>
      </c>
      <c r="Z327" s="20">
        <v>0</v>
      </c>
      <c r="AA327" s="20">
        <v>0</v>
      </c>
      <c r="AB327" s="20">
        <v>1550.34</v>
      </c>
      <c r="AC327" t="s">
        <v>188</v>
      </c>
      <c r="AD327" t="s">
        <v>290</v>
      </c>
      <c r="AE327" s="702">
        <f t="shared" ref="AE327:AE390" si="25">IF(N327&gt;=$AG$5,DATE(YEAR(N327),6,1),DATE(YEAR(N327),6,1))</f>
        <v>43252</v>
      </c>
      <c r="AF327" s="289">
        <v>3039.5910253369666</v>
      </c>
      <c r="AG327">
        <f t="shared" ref="AG327:AG390" si="26">+IF(AD327="intangível",20*12,IF(AD327="Diferido",120,IF(AD327="Não vinculados",0,IF(AE327&lt;=$AG$5,F327*12,360))))</f>
        <v>360</v>
      </c>
      <c r="AH327" s="289">
        <f t="shared" ref="AH327:AH390" si="27">IF(AG327=0,0,AF327/AG327)</f>
        <v>8.4433084037137967</v>
      </c>
      <c r="AJ327" s="289">
        <f t="shared" ref="AJ327:AJ390" si="28">+IF(AND(YEAR(AE327)&gt;=2018,YEAR(AE327)&lt;=2022),IF(DATEDIF(AE327,$AK$4,"m")&gt;=AG327,AG327,DATEDIF(AE327,$AK$4,"m")),0)</f>
        <v>54</v>
      </c>
      <c r="AK327" s="289">
        <f t="shared" ref="AK327:AK390" si="29">IF(AD327="Imobilizado",AJ327*AH327,0)</f>
        <v>455.93865380054501</v>
      </c>
    </row>
    <row r="328" spans="1:37">
      <c r="A328" s="703" t="s">
        <v>962</v>
      </c>
      <c r="B328" s="703" t="s">
        <v>331</v>
      </c>
      <c r="C328" s="703" t="s">
        <v>390</v>
      </c>
      <c r="D328" s="703" t="s">
        <v>391</v>
      </c>
      <c r="E328" s="703" t="s">
        <v>334</v>
      </c>
      <c r="F328" s="703" t="s">
        <v>335</v>
      </c>
      <c r="G328" s="703" t="s">
        <v>963</v>
      </c>
      <c r="H328" s="703" t="s">
        <v>334</v>
      </c>
      <c r="I328" s="703" t="s">
        <v>334</v>
      </c>
      <c r="J328" s="703" t="s">
        <v>337</v>
      </c>
      <c r="K328" s="704">
        <v>0</v>
      </c>
      <c r="L328" s="703" t="s">
        <v>334</v>
      </c>
      <c r="M328" s="702">
        <v>40574</v>
      </c>
      <c r="N328" s="702">
        <v>43235</v>
      </c>
      <c r="O328" s="703" t="s">
        <v>338</v>
      </c>
      <c r="P328" s="20">
        <v>9452.6</v>
      </c>
      <c r="Q328" s="20">
        <v>0</v>
      </c>
      <c r="R328" s="20">
        <v>0</v>
      </c>
      <c r="S328" s="20">
        <v>0</v>
      </c>
      <c r="T328" s="20">
        <v>9452.6</v>
      </c>
      <c r="U328" s="20">
        <v>8323.5300000000007</v>
      </c>
      <c r="V328" s="20">
        <v>-1129.07</v>
      </c>
      <c r="W328" s="20">
        <v>-1444.16</v>
      </c>
      <c r="X328" s="20">
        <v>-315.08999999999997</v>
      </c>
      <c r="Y328" s="20">
        <v>0</v>
      </c>
      <c r="Z328" s="20">
        <v>0</v>
      </c>
      <c r="AA328" s="20">
        <v>0</v>
      </c>
      <c r="AB328" s="20">
        <v>8008.44</v>
      </c>
      <c r="AC328" t="s">
        <v>188</v>
      </c>
      <c r="AD328" t="s">
        <v>290</v>
      </c>
      <c r="AE328" s="702">
        <f t="shared" si="25"/>
        <v>43252</v>
      </c>
      <c r="AF328" s="289">
        <v>15701.253675625278</v>
      </c>
      <c r="AG328">
        <f t="shared" si="26"/>
        <v>360</v>
      </c>
      <c r="AH328" s="289">
        <f t="shared" si="27"/>
        <v>43.614593543403551</v>
      </c>
      <c r="AJ328" s="289">
        <f t="shared" si="28"/>
        <v>54</v>
      </c>
      <c r="AK328" s="289">
        <f t="shared" si="29"/>
        <v>2355.1880513437918</v>
      </c>
    </row>
    <row r="329" spans="1:37">
      <c r="A329" s="703" t="s">
        <v>964</v>
      </c>
      <c r="B329" s="703" t="s">
        <v>331</v>
      </c>
      <c r="C329" s="703" t="s">
        <v>390</v>
      </c>
      <c r="D329" s="703" t="s">
        <v>391</v>
      </c>
      <c r="E329" s="703" t="s">
        <v>334</v>
      </c>
      <c r="F329" s="703" t="s">
        <v>335</v>
      </c>
      <c r="G329" s="703" t="s">
        <v>965</v>
      </c>
      <c r="H329" s="703" t="s">
        <v>334</v>
      </c>
      <c r="I329" s="703" t="s">
        <v>334</v>
      </c>
      <c r="J329" s="703" t="s">
        <v>337</v>
      </c>
      <c r="K329" s="704">
        <v>0</v>
      </c>
      <c r="L329" s="703" t="s">
        <v>334</v>
      </c>
      <c r="M329" s="702">
        <v>40574</v>
      </c>
      <c r="N329" s="702">
        <v>43235</v>
      </c>
      <c r="O329" s="703" t="s">
        <v>338</v>
      </c>
      <c r="P329" s="20">
        <v>4163.4799999999996</v>
      </c>
      <c r="Q329" s="20">
        <v>0</v>
      </c>
      <c r="R329" s="20">
        <v>0</v>
      </c>
      <c r="S329" s="20">
        <v>0</v>
      </c>
      <c r="T329" s="20">
        <v>4163.4799999999996</v>
      </c>
      <c r="U329" s="20">
        <v>3666.18</v>
      </c>
      <c r="V329" s="20">
        <v>-497.3</v>
      </c>
      <c r="W329" s="20">
        <v>-636.08000000000004</v>
      </c>
      <c r="X329" s="20">
        <v>-138.78</v>
      </c>
      <c r="Y329" s="20">
        <v>0</v>
      </c>
      <c r="Z329" s="20">
        <v>0</v>
      </c>
      <c r="AA329" s="20">
        <v>0</v>
      </c>
      <c r="AB329" s="20">
        <v>3527.4</v>
      </c>
      <c r="AC329" t="s">
        <v>188</v>
      </c>
      <c r="AD329" t="s">
        <v>290</v>
      </c>
      <c r="AE329" s="702">
        <f t="shared" si="25"/>
        <v>43252</v>
      </c>
      <c r="AF329" s="289">
        <v>6915.7539357840515</v>
      </c>
      <c r="AG329">
        <f t="shared" si="26"/>
        <v>360</v>
      </c>
      <c r="AH329" s="289">
        <f t="shared" si="27"/>
        <v>19.210427599400141</v>
      </c>
      <c r="AJ329" s="289">
        <f t="shared" si="28"/>
        <v>54</v>
      </c>
      <c r="AK329" s="289">
        <f t="shared" si="29"/>
        <v>1037.3630903676076</v>
      </c>
    </row>
    <row r="330" spans="1:37">
      <c r="A330" s="703" t="s">
        <v>966</v>
      </c>
      <c r="B330" s="703" t="s">
        <v>331</v>
      </c>
      <c r="C330" s="703" t="s">
        <v>390</v>
      </c>
      <c r="D330" s="703" t="s">
        <v>391</v>
      </c>
      <c r="E330" s="703" t="s">
        <v>334</v>
      </c>
      <c r="F330" s="703" t="s">
        <v>335</v>
      </c>
      <c r="G330" s="703" t="s">
        <v>967</v>
      </c>
      <c r="H330" s="703" t="s">
        <v>334</v>
      </c>
      <c r="I330" s="703" t="s">
        <v>334</v>
      </c>
      <c r="J330" s="703" t="s">
        <v>337</v>
      </c>
      <c r="K330" s="704">
        <v>0</v>
      </c>
      <c r="L330" s="703" t="s">
        <v>334</v>
      </c>
      <c r="M330" s="702">
        <v>40574</v>
      </c>
      <c r="N330" s="702">
        <v>43235</v>
      </c>
      <c r="O330" s="703" t="s">
        <v>338</v>
      </c>
      <c r="P330" s="20">
        <v>1274.22</v>
      </c>
      <c r="Q330" s="20">
        <v>0</v>
      </c>
      <c r="R330" s="20">
        <v>0</v>
      </c>
      <c r="S330" s="20">
        <v>0</v>
      </c>
      <c r="T330" s="20">
        <v>1274.22</v>
      </c>
      <c r="U330" s="20">
        <v>1122.03</v>
      </c>
      <c r="V330" s="20">
        <v>-152.19</v>
      </c>
      <c r="W330" s="20">
        <v>-194.66</v>
      </c>
      <c r="X330" s="20">
        <v>-42.47</v>
      </c>
      <c r="Y330" s="20">
        <v>0</v>
      </c>
      <c r="Z330" s="20">
        <v>0</v>
      </c>
      <c r="AA330" s="20">
        <v>0</v>
      </c>
      <c r="AB330" s="20">
        <v>1079.56</v>
      </c>
      <c r="AC330" t="s">
        <v>188</v>
      </c>
      <c r="AD330" t="s">
        <v>290</v>
      </c>
      <c r="AE330" s="702">
        <f t="shared" si="25"/>
        <v>43252</v>
      </c>
      <c r="AF330" s="289">
        <v>2116.5448086828219</v>
      </c>
      <c r="AG330">
        <f t="shared" si="26"/>
        <v>360</v>
      </c>
      <c r="AH330" s="289">
        <f t="shared" si="27"/>
        <v>5.8792911352300612</v>
      </c>
      <c r="AJ330" s="289">
        <f t="shared" si="28"/>
        <v>54</v>
      </c>
      <c r="AK330" s="289">
        <f t="shared" si="29"/>
        <v>317.4817213024233</v>
      </c>
    </row>
    <row r="331" spans="1:37">
      <c r="A331" s="703" t="s">
        <v>968</v>
      </c>
      <c r="B331" s="703" t="s">
        <v>331</v>
      </c>
      <c r="C331" s="703" t="s">
        <v>390</v>
      </c>
      <c r="D331" s="703" t="s">
        <v>391</v>
      </c>
      <c r="E331" s="703" t="s">
        <v>334</v>
      </c>
      <c r="F331" s="703" t="s">
        <v>335</v>
      </c>
      <c r="G331" s="703" t="s">
        <v>969</v>
      </c>
      <c r="H331" s="703" t="s">
        <v>334</v>
      </c>
      <c r="I331" s="703" t="s">
        <v>334</v>
      </c>
      <c r="J331" s="703" t="s">
        <v>337</v>
      </c>
      <c r="K331" s="704">
        <v>0</v>
      </c>
      <c r="L331" s="703" t="s">
        <v>334</v>
      </c>
      <c r="M331" s="702">
        <v>40574</v>
      </c>
      <c r="N331" s="702">
        <v>43235</v>
      </c>
      <c r="O331" s="703" t="s">
        <v>338</v>
      </c>
      <c r="P331" s="20">
        <v>4669.17</v>
      </c>
      <c r="Q331" s="20">
        <v>0</v>
      </c>
      <c r="R331" s="20">
        <v>0</v>
      </c>
      <c r="S331" s="20">
        <v>0</v>
      </c>
      <c r="T331" s="20">
        <v>4669.17</v>
      </c>
      <c r="U331" s="20">
        <v>4111.46</v>
      </c>
      <c r="V331" s="20">
        <v>-557.71</v>
      </c>
      <c r="W331" s="20">
        <v>-713.35</v>
      </c>
      <c r="X331" s="20">
        <v>-155.63999999999999</v>
      </c>
      <c r="Y331" s="20">
        <v>0</v>
      </c>
      <c r="Z331" s="20">
        <v>0</v>
      </c>
      <c r="AA331" s="20">
        <v>0</v>
      </c>
      <c r="AB331" s="20">
        <v>3955.82</v>
      </c>
      <c r="AC331" t="s">
        <v>188</v>
      </c>
      <c r="AD331" t="s">
        <v>290</v>
      </c>
      <c r="AE331" s="702">
        <f t="shared" si="25"/>
        <v>43252</v>
      </c>
      <c r="AF331" s="289">
        <v>7755.730976093274</v>
      </c>
      <c r="AG331">
        <f t="shared" si="26"/>
        <v>360</v>
      </c>
      <c r="AH331" s="289">
        <f t="shared" si="27"/>
        <v>21.543697155814648</v>
      </c>
      <c r="AJ331" s="289">
        <f t="shared" si="28"/>
        <v>54</v>
      </c>
      <c r="AK331" s="289">
        <f t="shared" si="29"/>
        <v>1163.359646413991</v>
      </c>
    </row>
    <row r="332" spans="1:37">
      <c r="A332" s="703" t="s">
        <v>970</v>
      </c>
      <c r="B332" s="703" t="s">
        <v>331</v>
      </c>
      <c r="C332" s="703" t="s">
        <v>390</v>
      </c>
      <c r="D332" s="703" t="s">
        <v>391</v>
      </c>
      <c r="E332" s="703" t="s">
        <v>334</v>
      </c>
      <c r="F332" s="703" t="s">
        <v>335</v>
      </c>
      <c r="G332" s="703" t="s">
        <v>971</v>
      </c>
      <c r="H332" s="703" t="s">
        <v>334</v>
      </c>
      <c r="I332" s="703" t="s">
        <v>334</v>
      </c>
      <c r="J332" s="703" t="s">
        <v>337</v>
      </c>
      <c r="K332" s="704">
        <v>0</v>
      </c>
      <c r="L332" s="703" t="s">
        <v>334</v>
      </c>
      <c r="M332" s="702">
        <v>40574</v>
      </c>
      <c r="N332" s="702">
        <v>43235</v>
      </c>
      <c r="O332" s="703" t="s">
        <v>338</v>
      </c>
      <c r="P332" s="20">
        <v>2974.9</v>
      </c>
      <c r="Q332" s="20">
        <v>0</v>
      </c>
      <c r="R332" s="20">
        <v>0</v>
      </c>
      <c r="S332" s="20">
        <v>0</v>
      </c>
      <c r="T332" s="20">
        <v>2974.9</v>
      </c>
      <c r="U332" s="20">
        <v>2619.5700000000002</v>
      </c>
      <c r="V332" s="20">
        <v>-355.33</v>
      </c>
      <c r="W332" s="20">
        <v>-454.49</v>
      </c>
      <c r="X332" s="20">
        <v>-99.16</v>
      </c>
      <c r="Y332" s="20">
        <v>0</v>
      </c>
      <c r="Z332" s="20">
        <v>0</v>
      </c>
      <c r="AA332" s="20">
        <v>0</v>
      </c>
      <c r="AB332" s="20">
        <v>2520.41</v>
      </c>
      <c r="AC332" t="s">
        <v>188</v>
      </c>
      <c r="AD332" t="s">
        <v>290</v>
      </c>
      <c r="AE332" s="702">
        <f t="shared" si="25"/>
        <v>43252</v>
      </c>
      <c r="AF332" s="289">
        <v>4941.4615618578637</v>
      </c>
      <c r="AG332">
        <f t="shared" si="26"/>
        <v>360</v>
      </c>
      <c r="AH332" s="289">
        <f t="shared" si="27"/>
        <v>13.726282116271843</v>
      </c>
      <c r="AJ332" s="289">
        <f t="shared" si="28"/>
        <v>54</v>
      </c>
      <c r="AK332" s="289">
        <f t="shared" si="29"/>
        <v>741.21923427867955</v>
      </c>
    </row>
    <row r="333" spans="1:37">
      <c r="A333" s="703" t="s">
        <v>972</v>
      </c>
      <c r="B333" s="703" t="s">
        <v>331</v>
      </c>
      <c r="C333" s="703" t="s">
        <v>390</v>
      </c>
      <c r="D333" s="703" t="s">
        <v>391</v>
      </c>
      <c r="E333" s="703" t="s">
        <v>334</v>
      </c>
      <c r="F333" s="703" t="s">
        <v>335</v>
      </c>
      <c r="G333" s="703" t="s">
        <v>973</v>
      </c>
      <c r="H333" s="703" t="s">
        <v>334</v>
      </c>
      <c r="I333" s="703" t="s">
        <v>334</v>
      </c>
      <c r="J333" s="703" t="s">
        <v>337</v>
      </c>
      <c r="K333" s="704">
        <v>0</v>
      </c>
      <c r="L333" s="703" t="s">
        <v>334</v>
      </c>
      <c r="M333" s="702">
        <v>40574</v>
      </c>
      <c r="N333" s="702">
        <v>43235</v>
      </c>
      <c r="O333" s="703" t="s">
        <v>338</v>
      </c>
      <c r="P333" s="20">
        <v>459</v>
      </c>
      <c r="Q333" s="20">
        <v>0</v>
      </c>
      <c r="R333" s="20">
        <v>0</v>
      </c>
      <c r="S333" s="20">
        <v>0</v>
      </c>
      <c r="T333" s="20">
        <v>459</v>
      </c>
      <c r="U333" s="20">
        <v>404.17</v>
      </c>
      <c r="V333" s="20">
        <v>-54.83</v>
      </c>
      <c r="W333" s="20">
        <v>-70.13</v>
      </c>
      <c r="X333" s="20">
        <v>-15.3</v>
      </c>
      <c r="Y333" s="20">
        <v>0</v>
      </c>
      <c r="Z333" s="20">
        <v>0</v>
      </c>
      <c r="AA333" s="20">
        <v>0</v>
      </c>
      <c r="AB333" s="20">
        <v>388.87</v>
      </c>
      <c r="AC333" t="s">
        <v>188</v>
      </c>
      <c r="AD333" t="s">
        <v>290</v>
      </c>
      <c r="AE333" s="702">
        <f t="shared" si="25"/>
        <v>43252</v>
      </c>
      <c r="AF333" s="289">
        <v>762.42255433552702</v>
      </c>
      <c r="AG333">
        <f t="shared" si="26"/>
        <v>360</v>
      </c>
      <c r="AH333" s="289">
        <f t="shared" si="27"/>
        <v>2.1178404287097972</v>
      </c>
      <c r="AJ333" s="289">
        <f t="shared" si="28"/>
        <v>54</v>
      </c>
      <c r="AK333" s="289">
        <f t="shared" si="29"/>
        <v>114.36338315032904</v>
      </c>
    </row>
    <row r="334" spans="1:37">
      <c r="A334" s="703" t="s">
        <v>974</v>
      </c>
      <c r="B334" s="703" t="s">
        <v>331</v>
      </c>
      <c r="C334" s="703" t="s">
        <v>390</v>
      </c>
      <c r="D334" s="703" t="s">
        <v>391</v>
      </c>
      <c r="E334" s="703" t="s">
        <v>334</v>
      </c>
      <c r="F334" s="703" t="s">
        <v>335</v>
      </c>
      <c r="G334" s="703" t="s">
        <v>975</v>
      </c>
      <c r="H334" s="703" t="s">
        <v>334</v>
      </c>
      <c r="I334" s="703" t="s">
        <v>334</v>
      </c>
      <c r="J334" s="703" t="s">
        <v>337</v>
      </c>
      <c r="K334" s="704">
        <v>0</v>
      </c>
      <c r="L334" s="703" t="s">
        <v>334</v>
      </c>
      <c r="M334" s="702">
        <v>40574</v>
      </c>
      <c r="N334" s="702">
        <v>43235</v>
      </c>
      <c r="O334" s="703" t="s">
        <v>338</v>
      </c>
      <c r="P334" s="20">
        <v>306</v>
      </c>
      <c r="Q334" s="20">
        <v>0</v>
      </c>
      <c r="R334" s="20">
        <v>0</v>
      </c>
      <c r="S334" s="20">
        <v>0</v>
      </c>
      <c r="T334" s="20">
        <v>306</v>
      </c>
      <c r="U334" s="20">
        <v>269.45</v>
      </c>
      <c r="V334" s="20">
        <v>-36.549999999999997</v>
      </c>
      <c r="W334" s="20">
        <v>-46.75</v>
      </c>
      <c r="X334" s="20">
        <v>-10.199999999999999</v>
      </c>
      <c r="Y334" s="20">
        <v>0</v>
      </c>
      <c r="Z334" s="20">
        <v>0</v>
      </c>
      <c r="AA334" s="20">
        <v>0</v>
      </c>
      <c r="AB334" s="20">
        <v>259.25</v>
      </c>
      <c r="AC334" t="s">
        <v>188</v>
      </c>
      <c r="AD334" t="s">
        <v>290</v>
      </c>
      <c r="AE334" s="702">
        <f t="shared" si="25"/>
        <v>43252</v>
      </c>
      <c r="AF334" s="289">
        <v>508.28170289035137</v>
      </c>
      <c r="AG334">
        <f t="shared" si="26"/>
        <v>360</v>
      </c>
      <c r="AH334" s="289">
        <f t="shared" si="27"/>
        <v>1.411893619139865</v>
      </c>
      <c r="AJ334" s="289">
        <f t="shared" si="28"/>
        <v>54</v>
      </c>
      <c r="AK334" s="289">
        <f t="shared" si="29"/>
        <v>76.242255433552714</v>
      </c>
    </row>
    <row r="335" spans="1:37">
      <c r="A335" s="703" t="s">
        <v>976</v>
      </c>
      <c r="B335" s="703" t="s">
        <v>331</v>
      </c>
      <c r="C335" s="703" t="s">
        <v>390</v>
      </c>
      <c r="D335" s="703" t="s">
        <v>391</v>
      </c>
      <c r="E335" s="703" t="s">
        <v>334</v>
      </c>
      <c r="F335" s="703" t="s">
        <v>335</v>
      </c>
      <c r="G335" s="703" t="s">
        <v>977</v>
      </c>
      <c r="H335" s="703" t="s">
        <v>334</v>
      </c>
      <c r="I335" s="703" t="s">
        <v>334</v>
      </c>
      <c r="J335" s="703" t="s">
        <v>337</v>
      </c>
      <c r="K335" s="704">
        <v>0</v>
      </c>
      <c r="L335" s="703" t="s">
        <v>334</v>
      </c>
      <c r="M335" s="702">
        <v>42886</v>
      </c>
      <c r="N335" s="702">
        <v>43235</v>
      </c>
      <c r="O335" s="703" t="s">
        <v>338</v>
      </c>
      <c r="P335" s="20">
        <v>9756.08</v>
      </c>
      <c r="Q335" s="20">
        <v>0</v>
      </c>
      <c r="R335" s="20">
        <v>0</v>
      </c>
      <c r="S335" s="20">
        <v>0</v>
      </c>
      <c r="T335" s="20">
        <v>9756.08</v>
      </c>
      <c r="U335" s="20">
        <v>8590.7800000000007</v>
      </c>
      <c r="V335" s="20">
        <v>-1165.3</v>
      </c>
      <c r="W335" s="20">
        <v>-1490.5</v>
      </c>
      <c r="X335" s="20">
        <v>-325.2</v>
      </c>
      <c r="Y335" s="20">
        <v>0</v>
      </c>
      <c r="Z335" s="20">
        <v>0</v>
      </c>
      <c r="AA335" s="20">
        <v>0</v>
      </c>
      <c r="AB335" s="20">
        <v>8265.58</v>
      </c>
      <c r="AC335" t="s">
        <v>188</v>
      </c>
      <c r="AD335" t="s">
        <v>290</v>
      </c>
      <c r="AE335" s="702">
        <f t="shared" si="25"/>
        <v>43252</v>
      </c>
      <c r="AF335" s="289">
        <v>16205.349529197707</v>
      </c>
      <c r="AG335">
        <f t="shared" si="26"/>
        <v>360</v>
      </c>
      <c r="AH335" s="289">
        <f t="shared" si="27"/>
        <v>45.014859803326964</v>
      </c>
      <c r="AJ335" s="289">
        <f t="shared" si="28"/>
        <v>54</v>
      </c>
      <c r="AK335" s="289">
        <f t="shared" si="29"/>
        <v>2430.8024293796561</v>
      </c>
    </row>
    <row r="336" spans="1:37">
      <c r="A336" s="703" t="s">
        <v>978</v>
      </c>
      <c r="B336" s="703" t="s">
        <v>331</v>
      </c>
      <c r="C336" s="703" t="s">
        <v>390</v>
      </c>
      <c r="D336" s="703" t="s">
        <v>391</v>
      </c>
      <c r="E336" s="703" t="s">
        <v>334</v>
      </c>
      <c r="F336" s="703" t="s">
        <v>335</v>
      </c>
      <c r="G336" s="703" t="s">
        <v>979</v>
      </c>
      <c r="H336" s="703" t="s">
        <v>334</v>
      </c>
      <c r="I336" s="703" t="s">
        <v>334</v>
      </c>
      <c r="J336" s="703" t="s">
        <v>337</v>
      </c>
      <c r="K336" s="704">
        <v>0</v>
      </c>
      <c r="L336" s="703" t="s">
        <v>334</v>
      </c>
      <c r="M336" s="702">
        <v>42886</v>
      </c>
      <c r="N336" s="702">
        <v>43235</v>
      </c>
      <c r="O336" s="703" t="s">
        <v>338</v>
      </c>
      <c r="P336" s="20">
        <v>329.7</v>
      </c>
      <c r="Q336" s="20">
        <v>0</v>
      </c>
      <c r="R336" s="20">
        <v>0</v>
      </c>
      <c r="S336" s="20">
        <v>0</v>
      </c>
      <c r="T336" s="20">
        <v>329.7</v>
      </c>
      <c r="U336" s="20">
        <v>290.32</v>
      </c>
      <c r="V336" s="20">
        <v>-39.380000000000003</v>
      </c>
      <c r="W336" s="20">
        <v>-50.37</v>
      </c>
      <c r="X336" s="20">
        <v>-10.99</v>
      </c>
      <c r="Y336" s="20">
        <v>0</v>
      </c>
      <c r="Z336" s="20">
        <v>0</v>
      </c>
      <c r="AA336" s="20">
        <v>0</v>
      </c>
      <c r="AB336" s="20">
        <v>279.33</v>
      </c>
      <c r="AC336" t="s">
        <v>188</v>
      </c>
      <c r="AD336" t="s">
        <v>290</v>
      </c>
      <c r="AE336" s="702">
        <f t="shared" si="25"/>
        <v>43252</v>
      </c>
      <c r="AF336" s="289">
        <v>547.64861909460399</v>
      </c>
      <c r="AG336">
        <f t="shared" si="26"/>
        <v>360</v>
      </c>
      <c r="AH336" s="289">
        <f t="shared" si="27"/>
        <v>1.5212461641516777</v>
      </c>
      <c r="AJ336" s="289">
        <f t="shared" si="28"/>
        <v>54</v>
      </c>
      <c r="AK336" s="289">
        <f t="shared" si="29"/>
        <v>82.14729286419059</v>
      </c>
    </row>
    <row r="337" spans="1:37">
      <c r="A337" s="703" t="s">
        <v>980</v>
      </c>
      <c r="B337" s="703" t="s">
        <v>331</v>
      </c>
      <c r="C337" s="703" t="s">
        <v>390</v>
      </c>
      <c r="D337" s="703" t="s">
        <v>391</v>
      </c>
      <c r="E337" s="703" t="s">
        <v>334</v>
      </c>
      <c r="F337" s="703" t="s">
        <v>335</v>
      </c>
      <c r="G337" s="703" t="s">
        <v>981</v>
      </c>
      <c r="H337" s="703" t="s">
        <v>334</v>
      </c>
      <c r="I337" s="703" t="s">
        <v>334</v>
      </c>
      <c r="J337" s="703" t="s">
        <v>337</v>
      </c>
      <c r="K337" s="704">
        <v>0</v>
      </c>
      <c r="L337" s="703" t="s">
        <v>334</v>
      </c>
      <c r="M337" s="702">
        <v>40574</v>
      </c>
      <c r="N337" s="702">
        <v>43235</v>
      </c>
      <c r="O337" s="703" t="s">
        <v>338</v>
      </c>
      <c r="P337" s="20">
        <v>292.51</v>
      </c>
      <c r="Q337" s="20">
        <v>0</v>
      </c>
      <c r="R337" s="20">
        <v>0</v>
      </c>
      <c r="S337" s="20">
        <v>0</v>
      </c>
      <c r="T337" s="20">
        <v>292.51</v>
      </c>
      <c r="U337" s="20">
        <v>257.57</v>
      </c>
      <c r="V337" s="20">
        <v>-34.94</v>
      </c>
      <c r="W337" s="20">
        <v>-44.69</v>
      </c>
      <c r="X337" s="20">
        <v>-9.75</v>
      </c>
      <c r="Y337" s="20">
        <v>0</v>
      </c>
      <c r="Z337" s="20">
        <v>0</v>
      </c>
      <c r="AA337" s="20">
        <v>0</v>
      </c>
      <c r="AB337" s="20">
        <v>247.82</v>
      </c>
      <c r="AC337" t="s">
        <v>188</v>
      </c>
      <c r="AD337" t="s">
        <v>290</v>
      </c>
      <c r="AE337" s="702">
        <f t="shared" si="25"/>
        <v>43252</v>
      </c>
      <c r="AF337" s="289">
        <v>485.87412062894333</v>
      </c>
      <c r="AG337">
        <f t="shared" si="26"/>
        <v>360</v>
      </c>
      <c r="AH337" s="289">
        <f t="shared" si="27"/>
        <v>1.3496503350803981</v>
      </c>
      <c r="AJ337" s="289">
        <f t="shared" si="28"/>
        <v>54</v>
      </c>
      <c r="AK337" s="289">
        <f t="shared" si="29"/>
        <v>72.881118094341502</v>
      </c>
    </row>
    <row r="338" spans="1:37">
      <c r="A338" s="703" t="s">
        <v>982</v>
      </c>
      <c r="B338" s="703" t="s">
        <v>331</v>
      </c>
      <c r="C338" s="703" t="s">
        <v>390</v>
      </c>
      <c r="D338" s="703" t="s">
        <v>391</v>
      </c>
      <c r="E338" s="703" t="s">
        <v>334</v>
      </c>
      <c r="F338" s="703" t="s">
        <v>335</v>
      </c>
      <c r="G338" s="703" t="s">
        <v>983</v>
      </c>
      <c r="H338" s="703" t="s">
        <v>334</v>
      </c>
      <c r="I338" s="703" t="s">
        <v>334</v>
      </c>
      <c r="J338" s="703" t="s">
        <v>337</v>
      </c>
      <c r="K338" s="704">
        <v>0</v>
      </c>
      <c r="L338" s="703" t="s">
        <v>334</v>
      </c>
      <c r="M338" s="702">
        <v>42886</v>
      </c>
      <c r="N338" s="702">
        <v>43235</v>
      </c>
      <c r="O338" s="703" t="s">
        <v>338</v>
      </c>
      <c r="P338" s="20">
        <v>5519.46</v>
      </c>
      <c r="Q338" s="20">
        <v>0</v>
      </c>
      <c r="R338" s="20">
        <v>0</v>
      </c>
      <c r="S338" s="20">
        <v>0</v>
      </c>
      <c r="T338" s="20">
        <v>5519.46</v>
      </c>
      <c r="U338" s="20">
        <v>4860.2</v>
      </c>
      <c r="V338" s="20">
        <v>-659.26</v>
      </c>
      <c r="W338" s="20">
        <v>-843.24</v>
      </c>
      <c r="X338" s="20">
        <v>-183.98</v>
      </c>
      <c r="Y338" s="20">
        <v>0</v>
      </c>
      <c r="Z338" s="20">
        <v>0</v>
      </c>
      <c r="AA338" s="20">
        <v>0</v>
      </c>
      <c r="AB338" s="20">
        <v>4676.22</v>
      </c>
      <c r="AC338" t="s">
        <v>188</v>
      </c>
      <c r="AD338" t="s">
        <v>290</v>
      </c>
      <c r="AE338" s="702">
        <f t="shared" si="25"/>
        <v>43252</v>
      </c>
      <c r="AF338" s="289">
        <v>9168.1063001149632</v>
      </c>
      <c r="AG338">
        <f t="shared" si="26"/>
        <v>360</v>
      </c>
      <c r="AH338" s="289">
        <f t="shared" si="27"/>
        <v>25.466961944763788</v>
      </c>
      <c r="AJ338" s="289">
        <f t="shared" si="28"/>
        <v>54</v>
      </c>
      <c r="AK338" s="289">
        <f t="shared" si="29"/>
        <v>1375.2159450172446</v>
      </c>
    </row>
    <row r="339" spans="1:37">
      <c r="A339" s="703" t="s">
        <v>984</v>
      </c>
      <c r="B339" s="703" t="s">
        <v>331</v>
      </c>
      <c r="C339" s="703" t="s">
        <v>390</v>
      </c>
      <c r="D339" s="703" t="s">
        <v>391</v>
      </c>
      <c r="E339" s="703" t="s">
        <v>334</v>
      </c>
      <c r="F339" s="703" t="s">
        <v>335</v>
      </c>
      <c r="G339" s="703" t="s">
        <v>985</v>
      </c>
      <c r="H339" s="703" t="s">
        <v>334</v>
      </c>
      <c r="I339" s="703" t="s">
        <v>334</v>
      </c>
      <c r="J339" s="703" t="s">
        <v>337</v>
      </c>
      <c r="K339" s="704">
        <v>0</v>
      </c>
      <c r="L339" s="703" t="s">
        <v>334</v>
      </c>
      <c r="M339" s="702">
        <v>42886</v>
      </c>
      <c r="N339" s="702">
        <v>43235</v>
      </c>
      <c r="O339" s="703" t="s">
        <v>338</v>
      </c>
      <c r="P339" s="20">
        <v>15068.91</v>
      </c>
      <c r="Q339" s="20">
        <v>0</v>
      </c>
      <c r="R339" s="20">
        <v>0</v>
      </c>
      <c r="S339" s="20">
        <v>0</v>
      </c>
      <c r="T339" s="20">
        <v>15068.91</v>
      </c>
      <c r="U339" s="20">
        <v>13269</v>
      </c>
      <c r="V339" s="20">
        <v>-1799.91</v>
      </c>
      <c r="W339" s="20">
        <v>-2302.21</v>
      </c>
      <c r="X339" s="20">
        <v>-502.3</v>
      </c>
      <c r="Y339" s="20">
        <v>0</v>
      </c>
      <c r="Z339" s="20">
        <v>0</v>
      </c>
      <c r="AA339" s="20">
        <v>0</v>
      </c>
      <c r="AB339" s="20">
        <v>12766.7</v>
      </c>
      <c r="AC339" t="s">
        <v>188</v>
      </c>
      <c r="AD339" t="s">
        <v>290</v>
      </c>
      <c r="AE339" s="702">
        <f t="shared" si="25"/>
        <v>43252</v>
      </c>
      <c r="AF339" s="289">
        <v>25030.232795756354</v>
      </c>
      <c r="AG339">
        <f t="shared" si="26"/>
        <v>360</v>
      </c>
      <c r="AH339" s="289">
        <f t="shared" si="27"/>
        <v>69.528424432656536</v>
      </c>
      <c r="AJ339" s="289">
        <f t="shared" si="28"/>
        <v>54</v>
      </c>
      <c r="AK339" s="289">
        <f t="shared" si="29"/>
        <v>3754.5349193634529</v>
      </c>
    </row>
    <row r="340" spans="1:37">
      <c r="A340" s="703" t="s">
        <v>986</v>
      </c>
      <c r="B340" s="703" t="s">
        <v>331</v>
      </c>
      <c r="C340" s="703" t="s">
        <v>390</v>
      </c>
      <c r="D340" s="703" t="s">
        <v>391</v>
      </c>
      <c r="E340" s="703" t="s">
        <v>334</v>
      </c>
      <c r="F340" s="703" t="s">
        <v>335</v>
      </c>
      <c r="G340" s="703" t="s">
        <v>987</v>
      </c>
      <c r="H340" s="703" t="s">
        <v>334</v>
      </c>
      <c r="I340" s="703" t="s">
        <v>334</v>
      </c>
      <c r="J340" s="703" t="s">
        <v>337</v>
      </c>
      <c r="K340" s="704">
        <v>0</v>
      </c>
      <c r="L340" s="703" t="s">
        <v>334</v>
      </c>
      <c r="M340" s="702">
        <v>42886</v>
      </c>
      <c r="N340" s="702">
        <v>43235</v>
      </c>
      <c r="O340" s="703" t="s">
        <v>338</v>
      </c>
      <c r="P340" s="20">
        <v>3967.83</v>
      </c>
      <c r="Q340" s="20">
        <v>0</v>
      </c>
      <c r="R340" s="20">
        <v>0</v>
      </c>
      <c r="S340" s="20">
        <v>0</v>
      </c>
      <c r="T340" s="20">
        <v>3967.83</v>
      </c>
      <c r="U340" s="20">
        <v>3493.9</v>
      </c>
      <c r="V340" s="20">
        <v>-473.93</v>
      </c>
      <c r="W340" s="20">
        <v>-606.19000000000005</v>
      </c>
      <c r="X340" s="20">
        <v>-132.26</v>
      </c>
      <c r="Y340" s="20">
        <v>0</v>
      </c>
      <c r="Z340" s="20">
        <v>0</v>
      </c>
      <c r="AA340" s="20">
        <v>0</v>
      </c>
      <c r="AB340" s="20">
        <v>3361.64</v>
      </c>
      <c r="AC340" t="s">
        <v>188</v>
      </c>
      <c r="AD340" t="s">
        <v>290</v>
      </c>
      <c r="AE340" s="702">
        <f t="shared" si="25"/>
        <v>43252</v>
      </c>
      <c r="AF340" s="289">
        <v>6590.7692456843879</v>
      </c>
      <c r="AG340">
        <f t="shared" si="26"/>
        <v>360</v>
      </c>
      <c r="AH340" s="289">
        <f t="shared" si="27"/>
        <v>18.3076923491233</v>
      </c>
      <c r="AJ340" s="289">
        <f t="shared" si="28"/>
        <v>54</v>
      </c>
      <c r="AK340" s="289">
        <f t="shared" si="29"/>
        <v>988.61538685265828</v>
      </c>
    </row>
    <row r="341" spans="1:37">
      <c r="A341" s="703" t="s">
        <v>988</v>
      </c>
      <c r="B341" s="703" t="s">
        <v>331</v>
      </c>
      <c r="C341" s="703" t="s">
        <v>390</v>
      </c>
      <c r="D341" s="703" t="s">
        <v>391</v>
      </c>
      <c r="E341" s="703" t="s">
        <v>334</v>
      </c>
      <c r="F341" s="703" t="s">
        <v>335</v>
      </c>
      <c r="G341" s="703" t="s">
        <v>989</v>
      </c>
      <c r="H341" s="703" t="s">
        <v>334</v>
      </c>
      <c r="I341" s="703" t="s">
        <v>334</v>
      </c>
      <c r="J341" s="703" t="s">
        <v>337</v>
      </c>
      <c r="K341" s="704">
        <v>0</v>
      </c>
      <c r="L341" s="703" t="s">
        <v>334</v>
      </c>
      <c r="M341" s="702">
        <v>42886</v>
      </c>
      <c r="N341" s="702">
        <v>43235</v>
      </c>
      <c r="O341" s="703" t="s">
        <v>338</v>
      </c>
      <c r="P341" s="20">
        <v>3685.43</v>
      </c>
      <c r="Q341" s="20">
        <v>0</v>
      </c>
      <c r="R341" s="20">
        <v>0</v>
      </c>
      <c r="S341" s="20">
        <v>0</v>
      </c>
      <c r="T341" s="20">
        <v>3685.43</v>
      </c>
      <c r="U341" s="20">
        <v>3245.22</v>
      </c>
      <c r="V341" s="20">
        <v>-440.21</v>
      </c>
      <c r="W341" s="20">
        <v>-563.05999999999995</v>
      </c>
      <c r="X341" s="20">
        <v>-122.85</v>
      </c>
      <c r="Y341" s="20">
        <v>0</v>
      </c>
      <c r="Z341" s="20">
        <v>0</v>
      </c>
      <c r="AA341" s="20">
        <v>0</v>
      </c>
      <c r="AB341" s="20">
        <v>3122.37</v>
      </c>
      <c r="AC341" t="s">
        <v>188</v>
      </c>
      <c r="AD341" t="s">
        <v>290</v>
      </c>
      <c r="AE341" s="702">
        <f t="shared" si="25"/>
        <v>43252</v>
      </c>
      <c r="AF341" s="289">
        <v>6121.6883538666261</v>
      </c>
      <c r="AG341">
        <f t="shared" si="26"/>
        <v>360</v>
      </c>
      <c r="AH341" s="289">
        <f t="shared" si="27"/>
        <v>17.004689871851738</v>
      </c>
      <c r="AJ341" s="289">
        <f t="shared" si="28"/>
        <v>54</v>
      </c>
      <c r="AK341" s="289">
        <f t="shared" si="29"/>
        <v>918.2532530799939</v>
      </c>
    </row>
    <row r="342" spans="1:37">
      <c r="A342" s="703" t="s">
        <v>990</v>
      </c>
      <c r="B342" s="703" t="s">
        <v>331</v>
      </c>
      <c r="C342" s="703" t="s">
        <v>390</v>
      </c>
      <c r="D342" s="703" t="s">
        <v>391</v>
      </c>
      <c r="E342" s="703" t="s">
        <v>334</v>
      </c>
      <c r="F342" s="703" t="s">
        <v>335</v>
      </c>
      <c r="G342" s="703" t="s">
        <v>991</v>
      </c>
      <c r="H342" s="703" t="s">
        <v>334</v>
      </c>
      <c r="I342" s="703" t="s">
        <v>334</v>
      </c>
      <c r="J342" s="703" t="s">
        <v>337</v>
      </c>
      <c r="K342" s="704">
        <v>0</v>
      </c>
      <c r="L342" s="703" t="s">
        <v>334</v>
      </c>
      <c r="M342" s="702">
        <v>42886</v>
      </c>
      <c r="N342" s="702">
        <v>43235</v>
      </c>
      <c r="O342" s="703" t="s">
        <v>338</v>
      </c>
      <c r="P342" s="20">
        <v>30606.11</v>
      </c>
      <c r="Q342" s="20">
        <v>0</v>
      </c>
      <c r="R342" s="20">
        <v>0</v>
      </c>
      <c r="S342" s="20">
        <v>0</v>
      </c>
      <c r="T342" s="20">
        <v>30606.11</v>
      </c>
      <c r="U342" s="20">
        <v>26950.39</v>
      </c>
      <c r="V342" s="20">
        <v>-3655.72</v>
      </c>
      <c r="W342" s="20">
        <v>-4675.92</v>
      </c>
      <c r="X342" s="20">
        <v>-1020.2</v>
      </c>
      <c r="Y342" s="20">
        <v>0</v>
      </c>
      <c r="Z342" s="20">
        <v>0</v>
      </c>
      <c r="AA342" s="20">
        <v>0</v>
      </c>
      <c r="AB342" s="20">
        <v>25930.19</v>
      </c>
      <c r="AC342" t="s">
        <v>188</v>
      </c>
      <c r="AD342" t="s">
        <v>290</v>
      </c>
      <c r="AE342" s="702">
        <f t="shared" si="25"/>
        <v>43252</v>
      </c>
      <c r="AF342" s="289">
        <v>50838.319312579777</v>
      </c>
      <c r="AG342">
        <f t="shared" si="26"/>
        <v>360</v>
      </c>
      <c r="AH342" s="289">
        <f t="shared" si="27"/>
        <v>141.21755364605494</v>
      </c>
      <c r="AJ342" s="289">
        <f t="shared" si="28"/>
        <v>54</v>
      </c>
      <c r="AK342" s="289">
        <f t="shared" si="29"/>
        <v>7625.7478968869664</v>
      </c>
    </row>
    <row r="343" spans="1:37">
      <c r="A343" s="703" t="s">
        <v>992</v>
      </c>
      <c r="B343" s="703" t="s">
        <v>331</v>
      </c>
      <c r="C343" s="703" t="s">
        <v>390</v>
      </c>
      <c r="D343" s="703" t="s">
        <v>391</v>
      </c>
      <c r="E343" s="703" t="s">
        <v>334</v>
      </c>
      <c r="F343" s="703" t="s">
        <v>335</v>
      </c>
      <c r="G343" s="703" t="s">
        <v>993</v>
      </c>
      <c r="H343" s="703" t="s">
        <v>334</v>
      </c>
      <c r="I343" s="703" t="s">
        <v>334</v>
      </c>
      <c r="J343" s="703" t="s">
        <v>337</v>
      </c>
      <c r="K343" s="704">
        <v>0</v>
      </c>
      <c r="L343" s="703" t="s">
        <v>334</v>
      </c>
      <c r="M343" s="702">
        <v>42886</v>
      </c>
      <c r="N343" s="702">
        <v>43235</v>
      </c>
      <c r="O343" s="703" t="s">
        <v>338</v>
      </c>
      <c r="P343" s="20">
        <v>6183.48</v>
      </c>
      <c r="Q343" s="20">
        <v>0</v>
      </c>
      <c r="R343" s="20">
        <v>0</v>
      </c>
      <c r="S343" s="20">
        <v>0</v>
      </c>
      <c r="T343" s="20">
        <v>6183.48</v>
      </c>
      <c r="U343" s="20">
        <v>5444.89</v>
      </c>
      <c r="V343" s="20">
        <v>-738.59</v>
      </c>
      <c r="W343" s="20">
        <v>-944.71</v>
      </c>
      <c r="X343" s="20">
        <v>-206.12</v>
      </c>
      <c r="Y343" s="20">
        <v>0</v>
      </c>
      <c r="Z343" s="20">
        <v>0</v>
      </c>
      <c r="AA343" s="20">
        <v>0</v>
      </c>
      <c r="AB343" s="20">
        <v>5238.7700000000004</v>
      </c>
      <c r="AC343" t="s">
        <v>188</v>
      </c>
      <c r="AD343" t="s">
        <v>290</v>
      </c>
      <c r="AE343" s="702">
        <f t="shared" si="25"/>
        <v>43252</v>
      </c>
      <c r="AF343" s="289">
        <v>10271.077595387023</v>
      </c>
      <c r="AG343">
        <f t="shared" si="26"/>
        <v>360</v>
      </c>
      <c r="AH343" s="289">
        <f t="shared" si="27"/>
        <v>28.530771098297286</v>
      </c>
      <c r="AJ343" s="289">
        <f t="shared" si="28"/>
        <v>54</v>
      </c>
      <c r="AK343" s="289">
        <f t="shared" si="29"/>
        <v>1540.6616393080535</v>
      </c>
    </row>
    <row r="344" spans="1:37">
      <c r="A344" s="703" t="s">
        <v>994</v>
      </c>
      <c r="B344" s="703" t="s">
        <v>331</v>
      </c>
      <c r="C344" s="703" t="s">
        <v>390</v>
      </c>
      <c r="D344" s="703" t="s">
        <v>391</v>
      </c>
      <c r="E344" s="703" t="s">
        <v>334</v>
      </c>
      <c r="F344" s="703" t="s">
        <v>335</v>
      </c>
      <c r="G344" s="703" t="s">
        <v>995</v>
      </c>
      <c r="H344" s="703" t="s">
        <v>334</v>
      </c>
      <c r="I344" s="703" t="s">
        <v>334</v>
      </c>
      <c r="J344" s="703" t="s">
        <v>337</v>
      </c>
      <c r="K344" s="704">
        <v>0</v>
      </c>
      <c r="L344" s="703" t="s">
        <v>334</v>
      </c>
      <c r="M344" s="702">
        <v>42886</v>
      </c>
      <c r="N344" s="702">
        <v>43235</v>
      </c>
      <c r="O344" s="703" t="s">
        <v>338</v>
      </c>
      <c r="P344" s="20">
        <v>6577.96</v>
      </c>
      <c r="Q344" s="20">
        <v>0</v>
      </c>
      <c r="R344" s="20">
        <v>0</v>
      </c>
      <c r="S344" s="20">
        <v>0</v>
      </c>
      <c r="T344" s="20">
        <v>6577.96</v>
      </c>
      <c r="U344" s="20">
        <v>5792.25</v>
      </c>
      <c r="V344" s="20">
        <v>-785.71</v>
      </c>
      <c r="W344" s="20">
        <v>-1004.98</v>
      </c>
      <c r="X344" s="20">
        <v>-219.27</v>
      </c>
      <c r="Y344" s="20">
        <v>0</v>
      </c>
      <c r="Z344" s="20">
        <v>0</v>
      </c>
      <c r="AA344" s="20">
        <v>0</v>
      </c>
      <c r="AB344" s="20">
        <v>5572.98</v>
      </c>
      <c r="AC344" t="s">
        <v>188</v>
      </c>
      <c r="AD344" t="s">
        <v>290</v>
      </c>
      <c r="AE344" s="702">
        <f t="shared" si="25"/>
        <v>43252</v>
      </c>
      <c r="AF344" s="289">
        <v>10926.329118773252</v>
      </c>
      <c r="AG344">
        <f t="shared" si="26"/>
        <v>360</v>
      </c>
      <c r="AH344" s="289">
        <f t="shared" si="27"/>
        <v>30.350914218814587</v>
      </c>
      <c r="AJ344" s="289">
        <f t="shared" si="28"/>
        <v>54</v>
      </c>
      <c r="AK344" s="289">
        <f t="shared" si="29"/>
        <v>1638.9493678159877</v>
      </c>
    </row>
    <row r="345" spans="1:37">
      <c r="A345" s="703" t="s">
        <v>996</v>
      </c>
      <c r="B345" s="703" t="s">
        <v>331</v>
      </c>
      <c r="C345" s="703" t="s">
        <v>390</v>
      </c>
      <c r="D345" s="703" t="s">
        <v>391</v>
      </c>
      <c r="E345" s="703" t="s">
        <v>334</v>
      </c>
      <c r="F345" s="703" t="s">
        <v>335</v>
      </c>
      <c r="G345" s="703" t="s">
        <v>997</v>
      </c>
      <c r="H345" s="703" t="s">
        <v>334</v>
      </c>
      <c r="I345" s="703" t="s">
        <v>334</v>
      </c>
      <c r="J345" s="703" t="s">
        <v>337</v>
      </c>
      <c r="K345" s="704">
        <v>0</v>
      </c>
      <c r="L345" s="703" t="s">
        <v>334</v>
      </c>
      <c r="M345" s="702">
        <v>42886</v>
      </c>
      <c r="N345" s="702">
        <v>43235</v>
      </c>
      <c r="O345" s="703" t="s">
        <v>338</v>
      </c>
      <c r="P345" s="20">
        <v>1837.71</v>
      </c>
      <c r="Q345" s="20">
        <v>0</v>
      </c>
      <c r="R345" s="20">
        <v>0</v>
      </c>
      <c r="S345" s="20">
        <v>0</v>
      </c>
      <c r="T345" s="20">
        <v>1837.71</v>
      </c>
      <c r="U345" s="20">
        <v>1618.2</v>
      </c>
      <c r="V345" s="20">
        <v>-219.51</v>
      </c>
      <c r="W345" s="20">
        <v>-280.77</v>
      </c>
      <c r="X345" s="20">
        <v>-61.26</v>
      </c>
      <c r="Y345" s="20">
        <v>0</v>
      </c>
      <c r="Z345" s="20">
        <v>0</v>
      </c>
      <c r="AA345" s="20">
        <v>0</v>
      </c>
      <c r="AB345" s="20">
        <v>1556.94</v>
      </c>
      <c r="AC345" t="s">
        <v>188</v>
      </c>
      <c r="AD345" t="s">
        <v>290</v>
      </c>
      <c r="AE345" s="702">
        <f t="shared" si="25"/>
        <v>43252</v>
      </c>
      <c r="AF345" s="289">
        <v>3052.5306150935539</v>
      </c>
      <c r="AG345">
        <f t="shared" si="26"/>
        <v>360</v>
      </c>
      <c r="AH345" s="289">
        <f t="shared" si="27"/>
        <v>8.4792517085932051</v>
      </c>
      <c r="AJ345" s="289">
        <f t="shared" si="28"/>
        <v>54</v>
      </c>
      <c r="AK345" s="289">
        <f t="shared" si="29"/>
        <v>457.87959226403308</v>
      </c>
    </row>
    <row r="346" spans="1:37">
      <c r="A346" s="703" t="s">
        <v>998</v>
      </c>
      <c r="B346" s="703" t="s">
        <v>331</v>
      </c>
      <c r="C346" s="703" t="s">
        <v>390</v>
      </c>
      <c r="D346" s="703" t="s">
        <v>391</v>
      </c>
      <c r="E346" s="703" t="s">
        <v>334</v>
      </c>
      <c r="F346" s="703" t="s">
        <v>335</v>
      </c>
      <c r="G346" s="703" t="s">
        <v>999</v>
      </c>
      <c r="H346" s="703" t="s">
        <v>334</v>
      </c>
      <c r="I346" s="703" t="s">
        <v>334</v>
      </c>
      <c r="J346" s="703" t="s">
        <v>337</v>
      </c>
      <c r="K346" s="704">
        <v>0</v>
      </c>
      <c r="L346" s="703" t="s">
        <v>334</v>
      </c>
      <c r="M346" s="702">
        <v>42886</v>
      </c>
      <c r="N346" s="702">
        <v>43235</v>
      </c>
      <c r="O346" s="703" t="s">
        <v>338</v>
      </c>
      <c r="P346" s="20">
        <v>3778.38</v>
      </c>
      <c r="Q346" s="20">
        <v>0</v>
      </c>
      <c r="R346" s="20">
        <v>0</v>
      </c>
      <c r="S346" s="20">
        <v>0</v>
      </c>
      <c r="T346" s="20">
        <v>3778.38</v>
      </c>
      <c r="U346" s="20">
        <v>3327.06</v>
      </c>
      <c r="V346" s="20">
        <v>-451.32</v>
      </c>
      <c r="W346" s="20">
        <v>-577.27</v>
      </c>
      <c r="X346" s="20">
        <v>-125.95</v>
      </c>
      <c r="Y346" s="20">
        <v>0</v>
      </c>
      <c r="Z346" s="20">
        <v>0</v>
      </c>
      <c r="AA346" s="20">
        <v>0</v>
      </c>
      <c r="AB346" s="20">
        <v>3201.11</v>
      </c>
      <c r="AC346" t="s">
        <v>188</v>
      </c>
      <c r="AD346" t="s">
        <v>290</v>
      </c>
      <c r="AE346" s="702">
        <f t="shared" si="25"/>
        <v>43252</v>
      </c>
      <c r="AF346" s="289">
        <v>6276.0830737478618</v>
      </c>
      <c r="AG346">
        <f t="shared" si="26"/>
        <v>360</v>
      </c>
      <c r="AH346" s="289">
        <f t="shared" si="27"/>
        <v>17.43356409374406</v>
      </c>
      <c r="AJ346" s="289">
        <f t="shared" si="28"/>
        <v>54</v>
      </c>
      <c r="AK346" s="289">
        <f t="shared" si="29"/>
        <v>941.4124610621792</v>
      </c>
    </row>
    <row r="347" spans="1:37">
      <c r="A347" s="703" t="s">
        <v>1000</v>
      </c>
      <c r="B347" s="703" t="s">
        <v>331</v>
      </c>
      <c r="C347" s="703" t="s">
        <v>390</v>
      </c>
      <c r="D347" s="703" t="s">
        <v>391</v>
      </c>
      <c r="E347" s="703" t="s">
        <v>334</v>
      </c>
      <c r="F347" s="703" t="s">
        <v>335</v>
      </c>
      <c r="G347" s="703" t="s">
        <v>1001</v>
      </c>
      <c r="H347" s="703" t="s">
        <v>334</v>
      </c>
      <c r="I347" s="703" t="s">
        <v>334</v>
      </c>
      <c r="J347" s="703" t="s">
        <v>337</v>
      </c>
      <c r="K347" s="704">
        <v>0</v>
      </c>
      <c r="L347" s="703" t="s">
        <v>334</v>
      </c>
      <c r="M347" s="702">
        <v>42886</v>
      </c>
      <c r="N347" s="702">
        <v>43235</v>
      </c>
      <c r="O347" s="703" t="s">
        <v>338</v>
      </c>
      <c r="P347" s="20">
        <v>1264.33</v>
      </c>
      <c r="Q347" s="20">
        <v>0</v>
      </c>
      <c r="R347" s="20">
        <v>0</v>
      </c>
      <c r="S347" s="20">
        <v>0</v>
      </c>
      <c r="T347" s="20">
        <v>1264.33</v>
      </c>
      <c r="U347" s="20">
        <v>1113.33</v>
      </c>
      <c r="V347" s="20">
        <v>-151</v>
      </c>
      <c r="W347" s="20">
        <v>-193.14</v>
      </c>
      <c r="X347" s="20">
        <v>-42.14</v>
      </c>
      <c r="Y347" s="20">
        <v>0</v>
      </c>
      <c r="Z347" s="20">
        <v>0</v>
      </c>
      <c r="AA347" s="20">
        <v>0</v>
      </c>
      <c r="AB347" s="20">
        <v>1071.19</v>
      </c>
      <c r="AC347" t="s">
        <v>188</v>
      </c>
      <c r="AD347" t="s">
        <v>290</v>
      </c>
      <c r="AE347" s="702">
        <f t="shared" si="25"/>
        <v>43252</v>
      </c>
      <c r="AF347" s="289">
        <v>2100.1170111613001</v>
      </c>
      <c r="AG347">
        <f t="shared" si="26"/>
        <v>360</v>
      </c>
      <c r="AH347" s="289">
        <f t="shared" si="27"/>
        <v>5.8336583643369444</v>
      </c>
      <c r="AJ347" s="289">
        <f t="shared" si="28"/>
        <v>54</v>
      </c>
      <c r="AK347" s="289">
        <f t="shared" si="29"/>
        <v>315.01755167419498</v>
      </c>
    </row>
    <row r="348" spans="1:37">
      <c r="A348" s="703" t="s">
        <v>1002</v>
      </c>
      <c r="B348" s="703" t="s">
        <v>331</v>
      </c>
      <c r="C348" s="703" t="s">
        <v>390</v>
      </c>
      <c r="D348" s="703" t="s">
        <v>391</v>
      </c>
      <c r="E348" s="703" t="s">
        <v>334</v>
      </c>
      <c r="F348" s="703" t="s">
        <v>335</v>
      </c>
      <c r="G348" s="703" t="s">
        <v>1003</v>
      </c>
      <c r="H348" s="703" t="s">
        <v>334</v>
      </c>
      <c r="I348" s="703" t="s">
        <v>334</v>
      </c>
      <c r="J348" s="703" t="s">
        <v>337</v>
      </c>
      <c r="K348" s="704">
        <v>0</v>
      </c>
      <c r="L348" s="703" t="s">
        <v>334</v>
      </c>
      <c r="M348" s="702">
        <v>42886</v>
      </c>
      <c r="N348" s="702">
        <v>43235</v>
      </c>
      <c r="O348" s="703" t="s">
        <v>338</v>
      </c>
      <c r="P348" s="20">
        <v>522.78</v>
      </c>
      <c r="Q348" s="20">
        <v>0</v>
      </c>
      <c r="R348" s="20">
        <v>0</v>
      </c>
      <c r="S348" s="20">
        <v>0</v>
      </c>
      <c r="T348" s="20">
        <v>522.78</v>
      </c>
      <c r="U348" s="20">
        <v>460.32</v>
      </c>
      <c r="V348" s="20">
        <v>-62.46</v>
      </c>
      <c r="W348" s="20">
        <v>-79.89</v>
      </c>
      <c r="X348" s="20">
        <v>-17.43</v>
      </c>
      <c r="Y348" s="20">
        <v>0</v>
      </c>
      <c r="Z348" s="20">
        <v>0</v>
      </c>
      <c r="AA348" s="20">
        <v>0</v>
      </c>
      <c r="AB348" s="20">
        <v>442.89</v>
      </c>
      <c r="AC348" t="s">
        <v>188</v>
      </c>
      <c r="AD348" t="s">
        <v>290</v>
      </c>
      <c r="AE348" s="702">
        <f t="shared" si="25"/>
        <v>43252</v>
      </c>
      <c r="AF348" s="289">
        <v>868.36440731051596</v>
      </c>
      <c r="AG348">
        <f t="shared" si="26"/>
        <v>360</v>
      </c>
      <c r="AH348" s="289">
        <f t="shared" si="27"/>
        <v>2.4121233536403222</v>
      </c>
      <c r="AJ348" s="289">
        <f t="shared" si="28"/>
        <v>54</v>
      </c>
      <c r="AK348" s="289">
        <f t="shared" si="29"/>
        <v>130.25466109657739</v>
      </c>
    </row>
    <row r="349" spans="1:37">
      <c r="A349" s="703" t="s">
        <v>1004</v>
      </c>
      <c r="B349" s="703" t="s">
        <v>331</v>
      </c>
      <c r="C349" s="703" t="s">
        <v>390</v>
      </c>
      <c r="D349" s="703" t="s">
        <v>391</v>
      </c>
      <c r="E349" s="703" t="s">
        <v>334</v>
      </c>
      <c r="F349" s="703" t="s">
        <v>335</v>
      </c>
      <c r="G349" s="703" t="s">
        <v>1005</v>
      </c>
      <c r="H349" s="703" t="s">
        <v>334</v>
      </c>
      <c r="I349" s="703" t="s">
        <v>334</v>
      </c>
      <c r="J349" s="703" t="s">
        <v>337</v>
      </c>
      <c r="K349" s="704">
        <v>0</v>
      </c>
      <c r="L349" s="703" t="s">
        <v>334</v>
      </c>
      <c r="M349" s="702">
        <v>42886</v>
      </c>
      <c r="N349" s="702">
        <v>43235</v>
      </c>
      <c r="O349" s="703" t="s">
        <v>338</v>
      </c>
      <c r="P349" s="20">
        <v>2478.6799999999998</v>
      </c>
      <c r="Q349" s="20">
        <v>0</v>
      </c>
      <c r="R349" s="20">
        <v>0</v>
      </c>
      <c r="S349" s="20">
        <v>0</v>
      </c>
      <c r="T349" s="20">
        <v>2478.6799999999998</v>
      </c>
      <c r="U349" s="20">
        <v>2182.62</v>
      </c>
      <c r="V349" s="20">
        <v>-296.06</v>
      </c>
      <c r="W349" s="20">
        <v>-378.68</v>
      </c>
      <c r="X349" s="20">
        <v>-82.62</v>
      </c>
      <c r="Y349" s="20">
        <v>0</v>
      </c>
      <c r="Z349" s="20">
        <v>0</v>
      </c>
      <c r="AA349" s="20">
        <v>0</v>
      </c>
      <c r="AB349" s="20">
        <v>2100</v>
      </c>
      <c r="AC349" t="s">
        <v>188</v>
      </c>
      <c r="AD349" t="s">
        <v>290</v>
      </c>
      <c r="AE349" s="702">
        <f t="shared" si="25"/>
        <v>43252</v>
      </c>
      <c r="AF349" s="289">
        <v>4117.2146775171759</v>
      </c>
      <c r="AG349">
        <f t="shared" si="26"/>
        <v>360</v>
      </c>
      <c r="AH349" s="289">
        <f t="shared" si="27"/>
        <v>11.43670743754771</v>
      </c>
      <c r="AJ349" s="289">
        <f t="shared" si="28"/>
        <v>54</v>
      </c>
      <c r="AK349" s="289">
        <f t="shared" si="29"/>
        <v>617.5822016275763</v>
      </c>
    </row>
    <row r="350" spans="1:37">
      <c r="A350" s="703" t="s">
        <v>1006</v>
      </c>
      <c r="B350" s="703" t="s">
        <v>331</v>
      </c>
      <c r="C350" s="703" t="s">
        <v>390</v>
      </c>
      <c r="D350" s="703" t="s">
        <v>391</v>
      </c>
      <c r="E350" s="703" t="s">
        <v>334</v>
      </c>
      <c r="F350" s="703" t="s">
        <v>335</v>
      </c>
      <c r="G350" s="703" t="s">
        <v>1007</v>
      </c>
      <c r="H350" s="703" t="s">
        <v>334</v>
      </c>
      <c r="I350" s="703" t="s">
        <v>334</v>
      </c>
      <c r="J350" s="703" t="s">
        <v>337</v>
      </c>
      <c r="K350" s="704">
        <v>0</v>
      </c>
      <c r="L350" s="703" t="s">
        <v>334</v>
      </c>
      <c r="M350" s="702">
        <v>40574</v>
      </c>
      <c r="N350" s="702">
        <v>43235</v>
      </c>
      <c r="O350" s="703" t="s">
        <v>338</v>
      </c>
      <c r="P350" s="20">
        <v>454.99</v>
      </c>
      <c r="Q350" s="20">
        <v>0</v>
      </c>
      <c r="R350" s="20">
        <v>0</v>
      </c>
      <c r="S350" s="20">
        <v>0</v>
      </c>
      <c r="T350" s="20">
        <v>454.99</v>
      </c>
      <c r="U350" s="20">
        <v>400.63</v>
      </c>
      <c r="V350" s="20">
        <v>-54.36</v>
      </c>
      <c r="W350" s="20">
        <v>-69.53</v>
      </c>
      <c r="X350" s="20">
        <v>-15.17</v>
      </c>
      <c r="Y350" s="20">
        <v>0</v>
      </c>
      <c r="Z350" s="20">
        <v>0</v>
      </c>
      <c r="AA350" s="20">
        <v>0</v>
      </c>
      <c r="AB350" s="20">
        <v>385.46</v>
      </c>
      <c r="AC350" t="s">
        <v>188</v>
      </c>
      <c r="AD350" t="s">
        <v>290</v>
      </c>
      <c r="AE350" s="702">
        <f t="shared" si="25"/>
        <v>43252</v>
      </c>
      <c r="AF350" s="289">
        <v>755.7617385558201</v>
      </c>
      <c r="AG350">
        <f t="shared" si="26"/>
        <v>360</v>
      </c>
      <c r="AH350" s="289">
        <f t="shared" si="27"/>
        <v>2.099338162655056</v>
      </c>
      <c r="AJ350" s="289">
        <f t="shared" si="28"/>
        <v>54</v>
      </c>
      <c r="AK350" s="289">
        <f t="shared" si="29"/>
        <v>113.36426078337303</v>
      </c>
    </row>
    <row r="351" spans="1:37">
      <c r="A351" s="703" t="s">
        <v>1008</v>
      </c>
      <c r="B351" s="703" t="s">
        <v>331</v>
      </c>
      <c r="C351" s="703" t="s">
        <v>390</v>
      </c>
      <c r="D351" s="703" t="s">
        <v>391</v>
      </c>
      <c r="E351" s="703" t="s">
        <v>334</v>
      </c>
      <c r="F351" s="703" t="s">
        <v>335</v>
      </c>
      <c r="G351" s="703" t="s">
        <v>1009</v>
      </c>
      <c r="H351" s="703" t="s">
        <v>334</v>
      </c>
      <c r="I351" s="703" t="s">
        <v>334</v>
      </c>
      <c r="J351" s="703" t="s">
        <v>337</v>
      </c>
      <c r="K351" s="704">
        <v>0</v>
      </c>
      <c r="L351" s="703" t="s">
        <v>334</v>
      </c>
      <c r="M351" s="702">
        <v>42886</v>
      </c>
      <c r="N351" s="702">
        <v>43235</v>
      </c>
      <c r="O351" s="703" t="s">
        <v>338</v>
      </c>
      <c r="P351" s="20">
        <v>2051.04</v>
      </c>
      <c r="Q351" s="20">
        <v>0</v>
      </c>
      <c r="R351" s="20">
        <v>0</v>
      </c>
      <c r="S351" s="20">
        <v>0</v>
      </c>
      <c r="T351" s="20">
        <v>2051.04</v>
      </c>
      <c r="U351" s="20">
        <v>1806.05</v>
      </c>
      <c r="V351" s="20">
        <v>-244.99</v>
      </c>
      <c r="W351" s="20">
        <v>-313.36</v>
      </c>
      <c r="X351" s="20">
        <v>-68.37</v>
      </c>
      <c r="Y351" s="20">
        <v>0</v>
      </c>
      <c r="Z351" s="20">
        <v>0</v>
      </c>
      <c r="AA351" s="20">
        <v>0</v>
      </c>
      <c r="AB351" s="20">
        <v>1737.68</v>
      </c>
      <c r="AC351" t="s">
        <v>188</v>
      </c>
      <c r="AD351" t="s">
        <v>290</v>
      </c>
      <c r="AE351" s="702">
        <f t="shared" si="25"/>
        <v>43252</v>
      </c>
      <c r="AF351" s="289">
        <v>3406.8826924713271</v>
      </c>
      <c r="AG351">
        <f t="shared" si="26"/>
        <v>360</v>
      </c>
      <c r="AH351" s="289">
        <f t="shared" si="27"/>
        <v>9.4635630346425756</v>
      </c>
      <c r="AJ351" s="289">
        <f t="shared" si="28"/>
        <v>54</v>
      </c>
      <c r="AK351" s="289">
        <f t="shared" si="29"/>
        <v>511.03240387069911</v>
      </c>
    </row>
    <row r="352" spans="1:37">
      <c r="A352" s="703" t="s">
        <v>1010</v>
      </c>
      <c r="B352" s="703" t="s">
        <v>331</v>
      </c>
      <c r="C352" s="703" t="s">
        <v>390</v>
      </c>
      <c r="D352" s="703" t="s">
        <v>391</v>
      </c>
      <c r="E352" s="703" t="s">
        <v>334</v>
      </c>
      <c r="F352" s="703" t="s">
        <v>335</v>
      </c>
      <c r="G352" s="703" t="s">
        <v>1011</v>
      </c>
      <c r="H352" s="703" t="s">
        <v>334</v>
      </c>
      <c r="I352" s="703" t="s">
        <v>334</v>
      </c>
      <c r="J352" s="703" t="s">
        <v>337</v>
      </c>
      <c r="K352" s="704">
        <v>0</v>
      </c>
      <c r="L352" s="703" t="s">
        <v>334</v>
      </c>
      <c r="M352" s="702">
        <v>42886</v>
      </c>
      <c r="N352" s="702">
        <v>43235</v>
      </c>
      <c r="O352" s="703" t="s">
        <v>338</v>
      </c>
      <c r="P352" s="20">
        <v>1732.2</v>
      </c>
      <c r="Q352" s="20">
        <v>0</v>
      </c>
      <c r="R352" s="20">
        <v>0</v>
      </c>
      <c r="S352" s="20">
        <v>0</v>
      </c>
      <c r="T352" s="20">
        <v>1732.2</v>
      </c>
      <c r="U352" s="20">
        <v>1525.3</v>
      </c>
      <c r="V352" s="20">
        <v>-206.9</v>
      </c>
      <c r="W352" s="20">
        <v>-264.64</v>
      </c>
      <c r="X352" s="20">
        <v>-57.74</v>
      </c>
      <c r="Y352" s="20">
        <v>0</v>
      </c>
      <c r="Z352" s="20">
        <v>0</v>
      </c>
      <c r="AA352" s="20">
        <v>0</v>
      </c>
      <c r="AB352" s="20">
        <v>1467.56</v>
      </c>
      <c r="AC352" t="s">
        <v>188</v>
      </c>
      <c r="AD352" t="s">
        <v>290</v>
      </c>
      <c r="AE352" s="702">
        <f t="shared" si="25"/>
        <v>43252</v>
      </c>
      <c r="AF352" s="289">
        <v>2877.2730906753809</v>
      </c>
      <c r="AG352">
        <f t="shared" si="26"/>
        <v>360</v>
      </c>
      <c r="AH352" s="289">
        <f t="shared" si="27"/>
        <v>7.9924252518760577</v>
      </c>
      <c r="AJ352" s="289">
        <f t="shared" si="28"/>
        <v>54</v>
      </c>
      <c r="AK352" s="289">
        <f t="shared" si="29"/>
        <v>431.59096360130712</v>
      </c>
    </row>
    <row r="353" spans="1:37">
      <c r="A353" s="703" t="s">
        <v>1012</v>
      </c>
      <c r="B353" s="703" t="s">
        <v>331</v>
      </c>
      <c r="C353" s="703" t="s">
        <v>390</v>
      </c>
      <c r="D353" s="703" t="s">
        <v>391</v>
      </c>
      <c r="E353" s="703" t="s">
        <v>334</v>
      </c>
      <c r="F353" s="703" t="s">
        <v>335</v>
      </c>
      <c r="G353" s="703" t="s">
        <v>1013</v>
      </c>
      <c r="H353" s="703" t="s">
        <v>334</v>
      </c>
      <c r="I353" s="703" t="s">
        <v>334</v>
      </c>
      <c r="J353" s="703" t="s">
        <v>337</v>
      </c>
      <c r="K353" s="704">
        <v>0</v>
      </c>
      <c r="L353" s="703" t="s">
        <v>334</v>
      </c>
      <c r="M353" s="702">
        <v>40574</v>
      </c>
      <c r="N353" s="702">
        <v>43235</v>
      </c>
      <c r="O353" s="703" t="s">
        <v>338</v>
      </c>
      <c r="P353" s="20">
        <v>98.12</v>
      </c>
      <c r="Q353" s="20">
        <v>0</v>
      </c>
      <c r="R353" s="20">
        <v>0</v>
      </c>
      <c r="S353" s="20">
        <v>0</v>
      </c>
      <c r="T353" s="20">
        <v>98.12</v>
      </c>
      <c r="U353" s="20">
        <v>86.4</v>
      </c>
      <c r="V353" s="20">
        <v>-11.72</v>
      </c>
      <c r="W353" s="20">
        <v>-14.99</v>
      </c>
      <c r="X353" s="20">
        <v>-3.27</v>
      </c>
      <c r="Y353" s="20">
        <v>0</v>
      </c>
      <c r="Z353" s="20">
        <v>0</v>
      </c>
      <c r="AA353" s="20">
        <v>0</v>
      </c>
      <c r="AB353" s="20">
        <v>83.13</v>
      </c>
      <c r="AC353" t="s">
        <v>188</v>
      </c>
      <c r="AD353" t="s">
        <v>290</v>
      </c>
      <c r="AE353" s="702">
        <f t="shared" si="25"/>
        <v>43252</v>
      </c>
      <c r="AF353" s="289">
        <v>162.98235518823947</v>
      </c>
      <c r="AG353">
        <f t="shared" si="26"/>
        <v>360</v>
      </c>
      <c r="AH353" s="289">
        <f t="shared" si="27"/>
        <v>0.45272876441177629</v>
      </c>
      <c r="AJ353" s="289">
        <f t="shared" si="28"/>
        <v>54</v>
      </c>
      <c r="AK353" s="289">
        <f t="shared" si="29"/>
        <v>24.447353278235919</v>
      </c>
    </row>
    <row r="354" spans="1:37">
      <c r="A354" s="703" t="s">
        <v>1014</v>
      </c>
      <c r="B354" s="703" t="s">
        <v>331</v>
      </c>
      <c r="C354" s="703" t="s">
        <v>390</v>
      </c>
      <c r="D354" s="703" t="s">
        <v>391</v>
      </c>
      <c r="E354" s="703" t="s">
        <v>334</v>
      </c>
      <c r="F354" s="703" t="s">
        <v>335</v>
      </c>
      <c r="G354" s="703" t="s">
        <v>1015</v>
      </c>
      <c r="H354" s="703" t="s">
        <v>334</v>
      </c>
      <c r="I354" s="703" t="s">
        <v>334</v>
      </c>
      <c r="J354" s="703" t="s">
        <v>337</v>
      </c>
      <c r="K354" s="704">
        <v>0</v>
      </c>
      <c r="L354" s="703" t="s">
        <v>334</v>
      </c>
      <c r="M354" s="702">
        <v>40574</v>
      </c>
      <c r="N354" s="702">
        <v>43235</v>
      </c>
      <c r="O354" s="703" t="s">
        <v>338</v>
      </c>
      <c r="P354" s="20">
        <v>5268.25</v>
      </c>
      <c r="Q354" s="20">
        <v>0</v>
      </c>
      <c r="R354" s="20">
        <v>0</v>
      </c>
      <c r="S354" s="20">
        <v>0</v>
      </c>
      <c r="T354" s="20">
        <v>5268.25</v>
      </c>
      <c r="U354" s="20">
        <v>4638.9799999999996</v>
      </c>
      <c r="V354" s="20">
        <v>-629.27</v>
      </c>
      <c r="W354" s="20">
        <v>-804.88</v>
      </c>
      <c r="X354" s="20">
        <v>-175.61</v>
      </c>
      <c r="Y354" s="20">
        <v>0</v>
      </c>
      <c r="Z354" s="20">
        <v>0</v>
      </c>
      <c r="AA354" s="20">
        <v>0</v>
      </c>
      <c r="AB354" s="20">
        <v>4463.37</v>
      </c>
      <c r="AC354" t="s">
        <v>188</v>
      </c>
      <c r="AD354" t="s">
        <v>290</v>
      </c>
      <c r="AE354" s="702">
        <f t="shared" si="25"/>
        <v>43252</v>
      </c>
      <c r="AF354" s="289">
        <v>8750.8335988630497</v>
      </c>
      <c r="AG354">
        <f t="shared" si="26"/>
        <v>360</v>
      </c>
      <c r="AH354" s="289">
        <f t="shared" si="27"/>
        <v>24.307871107952916</v>
      </c>
      <c r="AJ354" s="289">
        <f t="shared" si="28"/>
        <v>54</v>
      </c>
      <c r="AK354" s="289">
        <f t="shared" si="29"/>
        <v>1312.6250398294576</v>
      </c>
    </row>
    <row r="355" spans="1:37">
      <c r="A355" s="703" t="s">
        <v>1016</v>
      </c>
      <c r="B355" s="703" t="s">
        <v>331</v>
      </c>
      <c r="C355" s="703" t="s">
        <v>390</v>
      </c>
      <c r="D355" s="703" t="s">
        <v>391</v>
      </c>
      <c r="E355" s="703" t="s">
        <v>334</v>
      </c>
      <c r="F355" s="703" t="s">
        <v>335</v>
      </c>
      <c r="G355" s="703" t="s">
        <v>1017</v>
      </c>
      <c r="H355" s="703" t="s">
        <v>334</v>
      </c>
      <c r="I355" s="703" t="s">
        <v>334</v>
      </c>
      <c r="J355" s="703" t="s">
        <v>337</v>
      </c>
      <c r="K355" s="704">
        <v>0</v>
      </c>
      <c r="L355" s="703" t="s">
        <v>334</v>
      </c>
      <c r="M355" s="702">
        <v>42886</v>
      </c>
      <c r="N355" s="702">
        <v>43235</v>
      </c>
      <c r="O355" s="703" t="s">
        <v>338</v>
      </c>
      <c r="P355" s="20">
        <v>11301.81</v>
      </c>
      <c r="Q355" s="20">
        <v>0</v>
      </c>
      <c r="R355" s="20">
        <v>0</v>
      </c>
      <c r="S355" s="20">
        <v>0</v>
      </c>
      <c r="T355" s="20">
        <v>11301.81</v>
      </c>
      <c r="U355" s="20">
        <v>9951.86</v>
      </c>
      <c r="V355" s="20">
        <v>-1349.95</v>
      </c>
      <c r="W355" s="20">
        <v>-1726.68</v>
      </c>
      <c r="X355" s="20">
        <v>-376.73</v>
      </c>
      <c r="Y355" s="20">
        <v>0</v>
      </c>
      <c r="Z355" s="20">
        <v>0</v>
      </c>
      <c r="AA355" s="20">
        <v>0</v>
      </c>
      <c r="AB355" s="20">
        <v>9575.1299999999992</v>
      </c>
      <c r="AC355" t="s">
        <v>188</v>
      </c>
      <c r="AD355" t="s">
        <v>290</v>
      </c>
      <c r="AE355" s="702">
        <f t="shared" si="25"/>
        <v>43252</v>
      </c>
      <c r="AF355" s="289">
        <v>18772.886380860135</v>
      </c>
      <c r="AG355">
        <f t="shared" si="26"/>
        <v>360</v>
      </c>
      <c r="AH355" s="289">
        <f t="shared" si="27"/>
        <v>52.146906613500377</v>
      </c>
      <c r="AJ355" s="289">
        <f t="shared" si="28"/>
        <v>54</v>
      </c>
      <c r="AK355" s="289">
        <f t="shared" si="29"/>
        <v>2815.9329571290205</v>
      </c>
    </row>
    <row r="356" spans="1:37">
      <c r="A356" s="703" t="s">
        <v>1018</v>
      </c>
      <c r="B356" s="703" t="s">
        <v>331</v>
      </c>
      <c r="C356" s="703" t="s">
        <v>390</v>
      </c>
      <c r="D356" s="703" t="s">
        <v>391</v>
      </c>
      <c r="E356" s="703" t="s">
        <v>334</v>
      </c>
      <c r="F356" s="703" t="s">
        <v>335</v>
      </c>
      <c r="G356" s="703" t="s">
        <v>1019</v>
      </c>
      <c r="H356" s="703" t="s">
        <v>334</v>
      </c>
      <c r="I356" s="703" t="s">
        <v>334</v>
      </c>
      <c r="J356" s="703" t="s">
        <v>337</v>
      </c>
      <c r="K356" s="704">
        <v>0</v>
      </c>
      <c r="L356" s="703" t="s">
        <v>334</v>
      </c>
      <c r="M356" s="702">
        <v>42886</v>
      </c>
      <c r="N356" s="702">
        <v>43235</v>
      </c>
      <c r="O356" s="703" t="s">
        <v>338</v>
      </c>
      <c r="P356" s="20">
        <v>1225.3800000000001</v>
      </c>
      <c r="Q356" s="20">
        <v>0</v>
      </c>
      <c r="R356" s="20">
        <v>0</v>
      </c>
      <c r="S356" s="20">
        <v>0</v>
      </c>
      <c r="T356" s="20">
        <v>1225.3800000000001</v>
      </c>
      <c r="U356" s="20">
        <v>1079</v>
      </c>
      <c r="V356" s="20">
        <v>-146.38</v>
      </c>
      <c r="W356" s="20">
        <v>-187.23</v>
      </c>
      <c r="X356" s="20">
        <v>-40.85</v>
      </c>
      <c r="Y356" s="20">
        <v>0</v>
      </c>
      <c r="Z356" s="20">
        <v>0</v>
      </c>
      <c r="AA356" s="20">
        <v>0</v>
      </c>
      <c r="AB356" s="20">
        <v>1038.1500000000001</v>
      </c>
      <c r="AC356" t="s">
        <v>188</v>
      </c>
      <c r="AD356" t="s">
        <v>290</v>
      </c>
      <c r="AE356" s="702">
        <f t="shared" si="25"/>
        <v>43252</v>
      </c>
      <c r="AF356" s="289">
        <v>2035.4190623783618</v>
      </c>
      <c r="AG356">
        <f t="shared" si="26"/>
        <v>360</v>
      </c>
      <c r="AH356" s="289">
        <f t="shared" si="27"/>
        <v>5.6539418399398942</v>
      </c>
      <c r="AJ356" s="289">
        <f t="shared" si="28"/>
        <v>54</v>
      </c>
      <c r="AK356" s="289">
        <f t="shared" si="29"/>
        <v>305.3128593567543</v>
      </c>
    </row>
    <row r="357" spans="1:37">
      <c r="A357" s="703" t="s">
        <v>1020</v>
      </c>
      <c r="B357" s="703" t="s">
        <v>331</v>
      </c>
      <c r="C357" s="703" t="s">
        <v>390</v>
      </c>
      <c r="D357" s="703" t="s">
        <v>391</v>
      </c>
      <c r="E357" s="703" t="s">
        <v>334</v>
      </c>
      <c r="F357" s="703" t="s">
        <v>335</v>
      </c>
      <c r="G357" s="703" t="s">
        <v>1021</v>
      </c>
      <c r="H357" s="703" t="s">
        <v>334</v>
      </c>
      <c r="I357" s="703" t="s">
        <v>334</v>
      </c>
      <c r="J357" s="703" t="s">
        <v>337</v>
      </c>
      <c r="K357" s="704">
        <v>0</v>
      </c>
      <c r="L357" s="703" t="s">
        <v>334</v>
      </c>
      <c r="M357" s="702">
        <v>42886</v>
      </c>
      <c r="N357" s="702">
        <v>43235</v>
      </c>
      <c r="O357" s="703" t="s">
        <v>338</v>
      </c>
      <c r="P357" s="20">
        <v>14662.72</v>
      </c>
      <c r="Q357" s="20">
        <v>0</v>
      </c>
      <c r="R357" s="20">
        <v>0</v>
      </c>
      <c r="S357" s="20">
        <v>0</v>
      </c>
      <c r="T357" s="20">
        <v>14662.72</v>
      </c>
      <c r="U357" s="20">
        <v>12911.33</v>
      </c>
      <c r="V357" s="20">
        <v>-1751.39</v>
      </c>
      <c r="W357" s="20">
        <v>-2240.15</v>
      </c>
      <c r="X357" s="20">
        <v>-488.76</v>
      </c>
      <c r="Y357" s="20">
        <v>0</v>
      </c>
      <c r="Z357" s="20">
        <v>0</v>
      </c>
      <c r="AA357" s="20">
        <v>0</v>
      </c>
      <c r="AB357" s="20">
        <v>12422.57</v>
      </c>
      <c r="AC357" t="s">
        <v>188</v>
      </c>
      <c r="AD357" t="s">
        <v>290</v>
      </c>
      <c r="AE357" s="702">
        <f t="shared" si="25"/>
        <v>43252</v>
      </c>
      <c r="AF357" s="289">
        <v>24355.530361452325</v>
      </c>
      <c r="AG357">
        <f t="shared" si="26"/>
        <v>360</v>
      </c>
      <c r="AH357" s="289">
        <f t="shared" si="27"/>
        <v>67.654251004034236</v>
      </c>
      <c r="AJ357" s="289">
        <f t="shared" si="28"/>
        <v>54</v>
      </c>
      <c r="AK357" s="289">
        <f t="shared" si="29"/>
        <v>3653.3295542178489</v>
      </c>
    </row>
    <row r="358" spans="1:37">
      <c r="A358" s="703" t="s">
        <v>1022</v>
      </c>
      <c r="B358" s="703" t="s">
        <v>331</v>
      </c>
      <c r="C358" s="703" t="s">
        <v>390</v>
      </c>
      <c r="D358" s="703" t="s">
        <v>391</v>
      </c>
      <c r="E358" s="703" t="s">
        <v>334</v>
      </c>
      <c r="F358" s="703" t="s">
        <v>335</v>
      </c>
      <c r="G358" s="703" t="s">
        <v>1023</v>
      </c>
      <c r="H358" s="703" t="s">
        <v>334</v>
      </c>
      <c r="I358" s="703" t="s">
        <v>334</v>
      </c>
      <c r="J358" s="703" t="s">
        <v>337</v>
      </c>
      <c r="K358" s="704">
        <v>0</v>
      </c>
      <c r="L358" s="703" t="s">
        <v>334</v>
      </c>
      <c r="M358" s="702">
        <v>40574</v>
      </c>
      <c r="N358" s="702">
        <v>43235</v>
      </c>
      <c r="O358" s="703" t="s">
        <v>338</v>
      </c>
      <c r="P358" s="20">
        <v>3675.54</v>
      </c>
      <c r="Q358" s="20">
        <v>0</v>
      </c>
      <c r="R358" s="20">
        <v>0</v>
      </c>
      <c r="S358" s="20">
        <v>0</v>
      </c>
      <c r="T358" s="20">
        <v>3675.54</v>
      </c>
      <c r="U358" s="20">
        <v>3236.51</v>
      </c>
      <c r="V358" s="20">
        <v>-439.03</v>
      </c>
      <c r="W358" s="20">
        <v>-561.54999999999995</v>
      </c>
      <c r="X358" s="20">
        <v>-122.52</v>
      </c>
      <c r="Y358" s="20">
        <v>0</v>
      </c>
      <c r="Z358" s="20">
        <v>0</v>
      </c>
      <c r="AA358" s="20">
        <v>0</v>
      </c>
      <c r="AB358" s="20">
        <v>3113.99</v>
      </c>
      <c r="AC358" t="s">
        <v>188</v>
      </c>
      <c r="AD358" t="s">
        <v>290</v>
      </c>
      <c r="AE358" s="702">
        <f t="shared" si="25"/>
        <v>43252</v>
      </c>
      <c r="AF358" s="289">
        <v>6105.2605563451043</v>
      </c>
      <c r="AG358">
        <f t="shared" si="26"/>
        <v>360</v>
      </c>
      <c r="AH358" s="289">
        <f t="shared" si="27"/>
        <v>16.959057100958624</v>
      </c>
      <c r="AJ358" s="289">
        <f t="shared" si="28"/>
        <v>54</v>
      </c>
      <c r="AK358" s="289">
        <f t="shared" si="29"/>
        <v>915.78908345176569</v>
      </c>
    </row>
    <row r="359" spans="1:37">
      <c r="A359" s="703" t="s">
        <v>1024</v>
      </c>
      <c r="B359" s="703" t="s">
        <v>331</v>
      </c>
      <c r="C359" s="703" t="s">
        <v>390</v>
      </c>
      <c r="D359" s="703" t="s">
        <v>391</v>
      </c>
      <c r="E359" s="703" t="s">
        <v>334</v>
      </c>
      <c r="F359" s="703" t="s">
        <v>335</v>
      </c>
      <c r="G359" s="703" t="s">
        <v>1025</v>
      </c>
      <c r="H359" s="703" t="s">
        <v>334</v>
      </c>
      <c r="I359" s="703" t="s">
        <v>334</v>
      </c>
      <c r="J359" s="703" t="s">
        <v>337</v>
      </c>
      <c r="K359" s="704">
        <v>0</v>
      </c>
      <c r="L359" s="703" t="s">
        <v>334</v>
      </c>
      <c r="M359" s="702">
        <v>42886</v>
      </c>
      <c r="N359" s="702">
        <v>43235</v>
      </c>
      <c r="O359" s="703" t="s">
        <v>338</v>
      </c>
      <c r="P359" s="20">
        <v>6601.76</v>
      </c>
      <c r="Q359" s="20">
        <v>0</v>
      </c>
      <c r="R359" s="20">
        <v>0</v>
      </c>
      <c r="S359" s="20">
        <v>0</v>
      </c>
      <c r="T359" s="20">
        <v>6601.76</v>
      </c>
      <c r="U359" s="20">
        <v>5813.21</v>
      </c>
      <c r="V359" s="20">
        <v>-788.55</v>
      </c>
      <c r="W359" s="20">
        <v>-1008.61</v>
      </c>
      <c r="X359" s="20">
        <v>-220.06</v>
      </c>
      <c r="Y359" s="20">
        <v>0</v>
      </c>
      <c r="Z359" s="20">
        <v>0</v>
      </c>
      <c r="AA359" s="20">
        <v>0</v>
      </c>
      <c r="AB359" s="20">
        <v>5593.15</v>
      </c>
      <c r="AC359" t="s">
        <v>188</v>
      </c>
      <c r="AD359" t="s">
        <v>290</v>
      </c>
      <c r="AE359" s="702">
        <f t="shared" si="25"/>
        <v>43252</v>
      </c>
      <c r="AF359" s="289">
        <v>10965.86214010917</v>
      </c>
      <c r="AG359">
        <f t="shared" si="26"/>
        <v>360</v>
      </c>
      <c r="AH359" s="289">
        <f t="shared" si="27"/>
        <v>30.460728166969915</v>
      </c>
      <c r="AJ359" s="289">
        <f t="shared" si="28"/>
        <v>54</v>
      </c>
      <c r="AK359" s="289">
        <f t="shared" si="29"/>
        <v>1644.8793210163753</v>
      </c>
    </row>
    <row r="360" spans="1:37">
      <c r="A360" s="703" t="s">
        <v>1026</v>
      </c>
      <c r="B360" s="703" t="s">
        <v>331</v>
      </c>
      <c r="C360" s="703" t="s">
        <v>390</v>
      </c>
      <c r="D360" s="703" t="s">
        <v>391</v>
      </c>
      <c r="E360" s="703" t="s">
        <v>334</v>
      </c>
      <c r="F360" s="703" t="s">
        <v>335</v>
      </c>
      <c r="G360" s="703" t="s">
        <v>1027</v>
      </c>
      <c r="H360" s="703" t="s">
        <v>334</v>
      </c>
      <c r="I360" s="703" t="s">
        <v>334</v>
      </c>
      <c r="J360" s="703" t="s">
        <v>337</v>
      </c>
      <c r="K360" s="704">
        <v>0</v>
      </c>
      <c r="L360" s="703" t="s">
        <v>334</v>
      </c>
      <c r="M360" s="702">
        <v>43100</v>
      </c>
      <c r="N360" s="702">
        <v>43235</v>
      </c>
      <c r="O360" s="703" t="s">
        <v>338</v>
      </c>
      <c r="P360" s="20">
        <v>2720.16</v>
      </c>
      <c r="Q360" s="20">
        <v>0</v>
      </c>
      <c r="R360" s="20">
        <v>0</v>
      </c>
      <c r="S360" s="20">
        <v>0</v>
      </c>
      <c r="T360" s="20">
        <v>2720.16</v>
      </c>
      <c r="U360" s="20">
        <v>2395.2600000000002</v>
      </c>
      <c r="V360" s="20">
        <v>-324.89999999999998</v>
      </c>
      <c r="W360" s="20">
        <v>-415.57</v>
      </c>
      <c r="X360" s="20">
        <v>-90.67</v>
      </c>
      <c r="Y360" s="20">
        <v>0</v>
      </c>
      <c r="Z360" s="20">
        <v>0</v>
      </c>
      <c r="AA360" s="20">
        <v>0</v>
      </c>
      <c r="AB360" s="20">
        <v>2304.59</v>
      </c>
      <c r="AC360" t="s">
        <v>188</v>
      </c>
      <c r="AD360" t="s">
        <v>290</v>
      </c>
      <c r="AE360" s="702">
        <f t="shared" si="25"/>
        <v>43252</v>
      </c>
      <c r="AF360" s="289">
        <v>4518.3253494582286</v>
      </c>
      <c r="AG360">
        <f t="shared" si="26"/>
        <v>360</v>
      </c>
      <c r="AH360" s="289">
        <f t="shared" si="27"/>
        <v>12.550903748495079</v>
      </c>
      <c r="AJ360" s="289">
        <f t="shared" si="28"/>
        <v>54</v>
      </c>
      <c r="AK360" s="289">
        <f t="shared" si="29"/>
        <v>677.74880241873427</v>
      </c>
    </row>
    <row r="361" spans="1:37">
      <c r="A361" s="703" t="s">
        <v>1028</v>
      </c>
      <c r="B361" s="703" t="s">
        <v>331</v>
      </c>
      <c r="C361" s="703" t="s">
        <v>390</v>
      </c>
      <c r="D361" s="703" t="s">
        <v>391</v>
      </c>
      <c r="E361" s="703" t="s">
        <v>334</v>
      </c>
      <c r="F361" s="703" t="s">
        <v>335</v>
      </c>
      <c r="G361" s="703" t="s">
        <v>1029</v>
      </c>
      <c r="H361" s="703" t="s">
        <v>334</v>
      </c>
      <c r="I361" s="703" t="s">
        <v>334</v>
      </c>
      <c r="J361" s="703" t="s">
        <v>337</v>
      </c>
      <c r="K361" s="704">
        <v>0</v>
      </c>
      <c r="L361" s="703" t="s">
        <v>334</v>
      </c>
      <c r="M361" s="702">
        <v>40574</v>
      </c>
      <c r="N361" s="702">
        <v>43235</v>
      </c>
      <c r="O361" s="703" t="s">
        <v>338</v>
      </c>
      <c r="P361" s="20">
        <v>2918.34</v>
      </c>
      <c r="Q361" s="20">
        <v>0</v>
      </c>
      <c r="R361" s="20">
        <v>0</v>
      </c>
      <c r="S361" s="20">
        <v>0</v>
      </c>
      <c r="T361" s="20">
        <v>2918.34</v>
      </c>
      <c r="U361" s="20">
        <v>2569.75</v>
      </c>
      <c r="V361" s="20">
        <v>-348.59</v>
      </c>
      <c r="W361" s="20">
        <v>-445.87</v>
      </c>
      <c r="X361" s="20">
        <v>-97.28</v>
      </c>
      <c r="Y361" s="20">
        <v>0</v>
      </c>
      <c r="Z361" s="20">
        <v>0</v>
      </c>
      <c r="AA361" s="20">
        <v>0</v>
      </c>
      <c r="AB361" s="20">
        <v>2472.4699999999998</v>
      </c>
      <c r="AC361" t="s">
        <v>188</v>
      </c>
      <c r="AD361" t="s">
        <v>290</v>
      </c>
      <c r="AE361" s="702">
        <f t="shared" si="25"/>
        <v>43252</v>
      </c>
      <c r="AF361" s="289">
        <v>4847.5124993889804</v>
      </c>
      <c r="AG361">
        <f t="shared" si="26"/>
        <v>360</v>
      </c>
      <c r="AH361" s="289">
        <f t="shared" si="27"/>
        <v>13.465312498302723</v>
      </c>
      <c r="AJ361" s="289">
        <f t="shared" si="28"/>
        <v>54</v>
      </c>
      <c r="AK361" s="289">
        <f t="shared" si="29"/>
        <v>727.12687490834696</v>
      </c>
    </row>
    <row r="362" spans="1:37">
      <c r="A362" s="703" t="s">
        <v>1030</v>
      </c>
      <c r="B362" s="703" t="s">
        <v>331</v>
      </c>
      <c r="C362" s="703" t="s">
        <v>390</v>
      </c>
      <c r="D362" s="703" t="s">
        <v>391</v>
      </c>
      <c r="E362" s="703" t="s">
        <v>334</v>
      </c>
      <c r="F362" s="703" t="s">
        <v>335</v>
      </c>
      <c r="G362" s="703" t="s">
        <v>1031</v>
      </c>
      <c r="H362" s="703" t="s">
        <v>334</v>
      </c>
      <c r="I362" s="703" t="s">
        <v>334</v>
      </c>
      <c r="J362" s="703" t="s">
        <v>337</v>
      </c>
      <c r="K362" s="704">
        <v>0</v>
      </c>
      <c r="L362" s="703" t="s">
        <v>334</v>
      </c>
      <c r="M362" s="702">
        <v>42886</v>
      </c>
      <c r="N362" s="702">
        <v>43235</v>
      </c>
      <c r="O362" s="703" t="s">
        <v>338</v>
      </c>
      <c r="P362" s="20">
        <v>11365.11</v>
      </c>
      <c r="Q362" s="20">
        <v>0</v>
      </c>
      <c r="R362" s="20">
        <v>0</v>
      </c>
      <c r="S362" s="20">
        <v>0</v>
      </c>
      <c r="T362" s="20">
        <v>11365.11</v>
      </c>
      <c r="U362" s="20">
        <v>10007.6</v>
      </c>
      <c r="V362" s="20">
        <v>-1357.51</v>
      </c>
      <c r="W362" s="20">
        <v>-1736.35</v>
      </c>
      <c r="X362" s="20">
        <v>-378.84</v>
      </c>
      <c r="Y362" s="20">
        <v>0</v>
      </c>
      <c r="Z362" s="20">
        <v>0</v>
      </c>
      <c r="AA362" s="20">
        <v>0</v>
      </c>
      <c r="AB362" s="20">
        <v>9628.76</v>
      </c>
      <c r="AC362" t="s">
        <v>188</v>
      </c>
      <c r="AD362" t="s">
        <v>290</v>
      </c>
      <c r="AE362" s="702">
        <f t="shared" si="25"/>
        <v>43252</v>
      </c>
      <c r="AF362" s="289">
        <v>18878.030929203142</v>
      </c>
      <c r="AG362">
        <f t="shared" si="26"/>
        <v>360</v>
      </c>
      <c r="AH362" s="289">
        <f t="shared" si="27"/>
        <v>52.438974803342063</v>
      </c>
      <c r="AJ362" s="289">
        <f t="shared" si="28"/>
        <v>54</v>
      </c>
      <c r="AK362" s="289">
        <f t="shared" si="29"/>
        <v>2831.7046393804712</v>
      </c>
    </row>
    <row r="363" spans="1:37">
      <c r="A363" s="703" t="s">
        <v>1032</v>
      </c>
      <c r="B363" s="703" t="s">
        <v>331</v>
      </c>
      <c r="C363" s="703" t="s">
        <v>390</v>
      </c>
      <c r="D363" s="703" t="s">
        <v>391</v>
      </c>
      <c r="E363" s="703" t="s">
        <v>334</v>
      </c>
      <c r="F363" s="703" t="s">
        <v>335</v>
      </c>
      <c r="G363" s="703" t="s">
        <v>1033</v>
      </c>
      <c r="H363" s="703" t="s">
        <v>334</v>
      </c>
      <c r="I363" s="703" t="s">
        <v>334</v>
      </c>
      <c r="J363" s="703" t="s">
        <v>337</v>
      </c>
      <c r="K363" s="704">
        <v>0</v>
      </c>
      <c r="L363" s="703" t="s">
        <v>334</v>
      </c>
      <c r="M363" s="702">
        <v>42886</v>
      </c>
      <c r="N363" s="702">
        <v>43235</v>
      </c>
      <c r="O363" s="703" t="s">
        <v>338</v>
      </c>
      <c r="P363" s="20">
        <v>6540.19</v>
      </c>
      <c r="Q363" s="20">
        <v>0</v>
      </c>
      <c r="R363" s="20">
        <v>0</v>
      </c>
      <c r="S363" s="20">
        <v>0</v>
      </c>
      <c r="T363" s="20">
        <v>6540.19</v>
      </c>
      <c r="U363" s="20">
        <v>5758.99</v>
      </c>
      <c r="V363" s="20">
        <v>-781.2</v>
      </c>
      <c r="W363" s="20">
        <v>-999.21</v>
      </c>
      <c r="X363" s="20">
        <v>-218.01</v>
      </c>
      <c r="Y363" s="20">
        <v>0</v>
      </c>
      <c r="Z363" s="20">
        <v>0</v>
      </c>
      <c r="AA363" s="20">
        <v>0</v>
      </c>
      <c r="AB363" s="20">
        <v>5540.98</v>
      </c>
      <c r="AC363" t="s">
        <v>188</v>
      </c>
      <c r="AD363" t="s">
        <v>290</v>
      </c>
      <c r="AE363" s="702">
        <f t="shared" si="25"/>
        <v>43252</v>
      </c>
      <c r="AF363" s="289">
        <v>10863.591210543944</v>
      </c>
      <c r="AG363">
        <f t="shared" si="26"/>
        <v>360</v>
      </c>
      <c r="AH363" s="289">
        <f t="shared" si="27"/>
        <v>30.176642251510955</v>
      </c>
      <c r="AJ363" s="289">
        <f t="shared" si="28"/>
        <v>54</v>
      </c>
      <c r="AK363" s="289">
        <f t="shared" si="29"/>
        <v>1629.5386815815916</v>
      </c>
    </row>
    <row r="364" spans="1:37">
      <c r="A364" s="703" t="s">
        <v>1034</v>
      </c>
      <c r="B364" s="703" t="s">
        <v>331</v>
      </c>
      <c r="C364" s="703" t="s">
        <v>390</v>
      </c>
      <c r="D364" s="703" t="s">
        <v>391</v>
      </c>
      <c r="E364" s="703" t="s">
        <v>334</v>
      </c>
      <c r="F364" s="703" t="s">
        <v>335</v>
      </c>
      <c r="G364" s="703" t="s">
        <v>1035</v>
      </c>
      <c r="H364" s="703" t="s">
        <v>334</v>
      </c>
      <c r="I364" s="703" t="s">
        <v>334</v>
      </c>
      <c r="J364" s="703" t="s">
        <v>337</v>
      </c>
      <c r="K364" s="704">
        <v>0</v>
      </c>
      <c r="L364" s="703" t="s">
        <v>334</v>
      </c>
      <c r="M364" s="702">
        <v>42886</v>
      </c>
      <c r="N364" s="702">
        <v>43235</v>
      </c>
      <c r="O364" s="703" t="s">
        <v>338</v>
      </c>
      <c r="P364" s="20">
        <v>2679</v>
      </c>
      <c r="Q364" s="20">
        <v>0</v>
      </c>
      <c r="R364" s="20">
        <v>0</v>
      </c>
      <c r="S364" s="20">
        <v>0</v>
      </c>
      <c r="T364" s="20">
        <v>2679</v>
      </c>
      <c r="U364" s="20">
        <v>2359.0100000000002</v>
      </c>
      <c r="V364" s="20">
        <v>-319.99</v>
      </c>
      <c r="W364" s="20">
        <v>-409.29</v>
      </c>
      <c r="X364" s="20">
        <v>-89.3</v>
      </c>
      <c r="Y364" s="20">
        <v>0</v>
      </c>
      <c r="Z364" s="20">
        <v>0</v>
      </c>
      <c r="AA364" s="20">
        <v>0</v>
      </c>
      <c r="AB364" s="20">
        <v>2269.71</v>
      </c>
      <c r="AC364" t="s">
        <v>188</v>
      </c>
      <c r="AD364" t="s">
        <v>290</v>
      </c>
      <c r="AE364" s="702">
        <f t="shared" si="25"/>
        <v>43252</v>
      </c>
      <c r="AF364" s="289">
        <v>4449.9564772655267</v>
      </c>
      <c r="AG364">
        <f t="shared" si="26"/>
        <v>360</v>
      </c>
      <c r="AH364" s="289">
        <f t="shared" si="27"/>
        <v>12.360990214626463</v>
      </c>
      <c r="AJ364" s="289">
        <f t="shared" si="28"/>
        <v>54</v>
      </c>
      <c r="AK364" s="289">
        <f t="shared" si="29"/>
        <v>667.49347158982903</v>
      </c>
    </row>
    <row r="365" spans="1:37">
      <c r="A365" s="703" t="s">
        <v>1036</v>
      </c>
      <c r="B365" s="703" t="s">
        <v>331</v>
      </c>
      <c r="C365" s="703" t="s">
        <v>390</v>
      </c>
      <c r="D365" s="703" t="s">
        <v>391</v>
      </c>
      <c r="E365" s="703" t="s">
        <v>334</v>
      </c>
      <c r="F365" s="703" t="s">
        <v>335</v>
      </c>
      <c r="G365" s="703" t="s">
        <v>1037</v>
      </c>
      <c r="H365" s="703" t="s">
        <v>334</v>
      </c>
      <c r="I365" s="703" t="s">
        <v>334</v>
      </c>
      <c r="J365" s="703" t="s">
        <v>337</v>
      </c>
      <c r="K365" s="704">
        <v>0</v>
      </c>
      <c r="L365" s="703" t="s">
        <v>334</v>
      </c>
      <c r="M365" s="702">
        <v>40574</v>
      </c>
      <c r="N365" s="702">
        <v>43235</v>
      </c>
      <c r="O365" s="703" t="s">
        <v>338</v>
      </c>
      <c r="P365" s="20">
        <v>13146.2</v>
      </c>
      <c r="Q365" s="20">
        <v>0</v>
      </c>
      <c r="R365" s="20">
        <v>0</v>
      </c>
      <c r="S365" s="20">
        <v>0</v>
      </c>
      <c r="T365" s="20">
        <v>13146.2</v>
      </c>
      <c r="U365" s="20">
        <v>11575.95</v>
      </c>
      <c r="V365" s="20">
        <v>-1570.25</v>
      </c>
      <c r="W365" s="20">
        <v>-2008.46</v>
      </c>
      <c r="X365" s="20">
        <v>-438.21</v>
      </c>
      <c r="Y365" s="20">
        <v>0</v>
      </c>
      <c r="Z365" s="20">
        <v>0</v>
      </c>
      <c r="AA365" s="20">
        <v>0</v>
      </c>
      <c r="AB365" s="20">
        <v>11137.74</v>
      </c>
      <c r="AC365" t="s">
        <v>188</v>
      </c>
      <c r="AD365" t="s">
        <v>290</v>
      </c>
      <c r="AE365" s="702">
        <f t="shared" si="25"/>
        <v>43252</v>
      </c>
      <c r="AF365" s="289">
        <v>21836.512818748812</v>
      </c>
      <c r="AG365">
        <f t="shared" si="26"/>
        <v>360</v>
      </c>
      <c r="AH365" s="289">
        <f t="shared" si="27"/>
        <v>60.65698005208003</v>
      </c>
      <c r="AJ365" s="289">
        <f t="shared" si="28"/>
        <v>54</v>
      </c>
      <c r="AK365" s="289">
        <f t="shared" si="29"/>
        <v>3275.4769228123214</v>
      </c>
    </row>
    <row r="366" spans="1:37">
      <c r="A366" s="703" t="s">
        <v>1038</v>
      </c>
      <c r="B366" s="703" t="s">
        <v>331</v>
      </c>
      <c r="C366" s="703" t="s">
        <v>390</v>
      </c>
      <c r="D366" s="703" t="s">
        <v>391</v>
      </c>
      <c r="E366" s="703" t="s">
        <v>334</v>
      </c>
      <c r="F366" s="703" t="s">
        <v>335</v>
      </c>
      <c r="G366" s="703" t="s">
        <v>1039</v>
      </c>
      <c r="H366" s="703" t="s">
        <v>334</v>
      </c>
      <c r="I366" s="703" t="s">
        <v>334</v>
      </c>
      <c r="J366" s="703" t="s">
        <v>337</v>
      </c>
      <c r="K366" s="704">
        <v>0</v>
      </c>
      <c r="L366" s="703" t="s">
        <v>334</v>
      </c>
      <c r="M366" s="702">
        <v>42886</v>
      </c>
      <c r="N366" s="702">
        <v>43235</v>
      </c>
      <c r="O366" s="703" t="s">
        <v>338</v>
      </c>
      <c r="P366" s="20">
        <v>3810.69</v>
      </c>
      <c r="Q366" s="20">
        <v>0</v>
      </c>
      <c r="R366" s="20">
        <v>0</v>
      </c>
      <c r="S366" s="20">
        <v>0</v>
      </c>
      <c r="T366" s="20">
        <v>3810.69</v>
      </c>
      <c r="U366" s="20">
        <v>3355.53</v>
      </c>
      <c r="V366" s="20">
        <v>-455.16</v>
      </c>
      <c r="W366" s="20">
        <v>-582.17999999999995</v>
      </c>
      <c r="X366" s="20">
        <v>-127.02</v>
      </c>
      <c r="Y366" s="20">
        <v>0</v>
      </c>
      <c r="Z366" s="20">
        <v>0</v>
      </c>
      <c r="AA366" s="20">
        <v>0</v>
      </c>
      <c r="AB366" s="20">
        <v>3228.51</v>
      </c>
      <c r="AC366" t="s">
        <v>188</v>
      </c>
      <c r="AD366" t="s">
        <v>290</v>
      </c>
      <c r="AE366" s="702">
        <f t="shared" si="25"/>
        <v>43252</v>
      </c>
      <c r="AF366" s="289">
        <v>6329.7516417883426</v>
      </c>
      <c r="AG366">
        <f t="shared" si="26"/>
        <v>360</v>
      </c>
      <c r="AH366" s="289">
        <f t="shared" si="27"/>
        <v>17.582643449412064</v>
      </c>
      <c r="AJ366" s="289">
        <f t="shared" si="28"/>
        <v>54</v>
      </c>
      <c r="AK366" s="289">
        <f t="shared" si="29"/>
        <v>949.46274626825141</v>
      </c>
    </row>
    <row r="367" spans="1:37">
      <c r="A367" s="703" t="s">
        <v>1040</v>
      </c>
      <c r="B367" s="703" t="s">
        <v>331</v>
      </c>
      <c r="C367" s="703" t="s">
        <v>390</v>
      </c>
      <c r="D367" s="703" t="s">
        <v>391</v>
      </c>
      <c r="E367" s="703" t="s">
        <v>334</v>
      </c>
      <c r="F367" s="703" t="s">
        <v>335</v>
      </c>
      <c r="G367" s="703" t="s">
        <v>1041</v>
      </c>
      <c r="H367" s="703" t="s">
        <v>334</v>
      </c>
      <c r="I367" s="703" t="s">
        <v>334</v>
      </c>
      <c r="J367" s="703" t="s">
        <v>337</v>
      </c>
      <c r="K367" s="704">
        <v>0</v>
      </c>
      <c r="L367" s="703" t="s">
        <v>334</v>
      </c>
      <c r="M367" s="702">
        <v>42886</v>
      </c>
      <c r="N367" s="702">
        <v>43235</v>
      </c>
      <c r="O367" s="703" t="s">
        <v>338</v>
      </c>
      <c r="P367" s="20">
        <v>251.58</v>
      </c>
      <c r="Q367" s="20">
        <v>0</v>
      </c>
      <c r="R367" s="20">
        <v>0</v>
      </c>
      <c r="S367" s="20">
        <v>0</v>
      </c>
      <c r="T367" s="20">
        <v>251.58</v>
      </c>
      <c r="U367" s="20">
        <v>221.52</v>
      </c>
      <c r="V367" s="20">
        <v>-30.06</v>
      </c>
      <c r="W367" s="20">
        <v>-38.450000000000003</v>
      </c>
      <c r="X367" s="20">
        <v>-8.39</v>
      </c>
      <c r="Y367" s="20">
        <v>0</v>
      </c>
      <c r="Z367" s="20">
        <v>0</v>
      </c>
      <c r="AA367" s="20">
        <v>0</v>
      </c>
      <c r="AB367" s="20">
        <v>213.13</v>
      </c>
      <c r="AC367" t="s">
        <v>188</v>
      </c>
      <c r="AD367" t="s">
        <v>290</v>
      </c>
      <c r="AE367" s="702">
        <f t="shared" si="25"/>
        <v>43252</v>
      </c>
      <c r="AF367" s="289">
        <v>417.88729023906723</v>
      </c>
      <c r="AG367">
        <f t="shared" si="26"/>
        <v>360</v>
      </c>
      <c r="AH367" s="289">
        <f t="shared" si="27"/>
        <v>1.1607980284418533</v>
      </c>
      <c r="AJ367" s="289">
        <f t="shared" si="28"/>
        <v>54</v>
      </c>
      <c r="AK367" s="289">
        <f t="shared" si="29"/>
        <v>62.683093535860081</v>
      </c>
    </row>
    <row r="368" spans="1:37">
      <c r="A368" s="703" t="s">
        <v>1042</v>
      </c>
      <c r="B368" s="703" t="s">
        <v>331</v>
      </c>
      <c r="C368" s="703" t="s">
        <v>390</v>
      </c>
      <c r="D368" s="703" t="s">
        <v>391</v>
      </c>
      <c r="E368" s="703" t="s">
        <v>334</v>
      </c>
      <c r="F368" s="703" t="s">
        <v>335</v>
      </c>
      <c r="G368" s="703" t="s">
        <v>1043</v>
      </c>
      <c r="H368" s="703" t="s">
        <v>334</v>
      </c>
      <c r="I368" s="703" t="s">
        <v>334</v>
      </c>
      <c r="J368" s="703" t="s">
        <v>337</v>
      </c>
      <c r="K368" s="704">
        <v>0</v>
      </c>
      <c r="L368" s="703" t="s">
        <v>334</v>
      </c>
      <c r="M368" s="702">
        <v>40574</v>
      </c>
      <c r="N368" s="702">
        <v>43235</v>
      </c>
      <c r="O368" s="703" t="s">
        <v>338</v>
      </c>
      <c r="P368" s="20">
        <v>9133.6</v>
      </c>
      <c r="Q368" s="20">
        <v>0</v>
      </c>
      <c r="R368" s="20">
        <v>0</v>
      </c>
      <c r="S368" s="20">
        <v>0</v>
      </c>
      <c r="T368" s="20">
        <v>9133.6</v>
      </c>
      <c r="U368" s="20">
        <v>8042.65</v>
      </c>
      <c r="V368" s="20">
        <v>-1090.95</v>
      </c>
      <c r="W368" s="20">
        <v>-1395.4</v>
      </c>
      <c r="X368" s="20">
        <v>-304.45</v>
      </c>
      <c r="Y368" s="20">
        <v>0</v>
      </c>
      <c r="Z368" s="20">
        <v>0</v>
      </c>
      <c r="AA368" s="20">
        <v>0</v>
      </c>
      <c r="AB368" s="20">
        <v>7738.2</v>
      </c>
      <c r="AC368" t="s">
        <v>188</v>
      </c>
      <c r="AD368" t="s">
        <v>290</v>
      </c>
      <c r="AE368" s="702">
        <f t="shared" si="25"/>
        <v>43252</v>
      </c>
      <c r="AF368" s="289">
        <v>15171.378305618671</v>
      </c>
      <c r="AG368">
        <f t="shared" si="26"/>
        <v>360</v>
      </c>
      <c r="AH368" s="289">
        <f t="shared" si="27"/>
        <v>42.142717515607423</v>
      </c>
      <c r="AJ368" s="289">
        <f t="shared" si="28"/>
        <v>54</v>
      </c>
      <c r="AK368" s="289">
        <f t="shared" si="29"/>
        <v>2275.706745842801</v>
      </c>
    </row>
    <row r="369" spans="1:37">
      <c r="A369" s="703" t="s">
        <v>1044</v>
      </c>
      <c r="B369" s="703" t="s">
        <v>331</v>
      </c>
      <c r="C369" s="703" t="s">
        <v>390</v>
      </c>
      <c r="D369" s="703" t="s">
        <v>391</v>
      </c>
      <c r="E369" s="703" t="s">
        <v>334</v>
      </c>
      <c r="F369" s="703" t="s">
        <v>335</v>
      </c>
      <c r="G369" s="703" t="s">
        <v>1045</v>
      </c>
      <c r="H369" s="703" t="s">
        <v>334</v>
      </c>
      <c r="I369" s="703" t="s">
        <v>334</v>
      </c>
      <c r="J369" s="703" t="s">
        <v>337</v>
      </c>
      <c r="K369" s="704">
        <v>0</v>
      </c>
      <c r="L369" s="703" t="s">
        <v>334</v>
      </c>
      <c r="M369" s="702">
        <v>42886</v>
      </c>
      <c r="N369" s="702">
        <v>43235</v>
      </c>
      <c r="O369" s="703" t="s">
        <v>338</v>
      </c>
      <c r="P369" s="20">
        <v>785.9</v>
      </c>
      <c r="Q369" s="20">
        <v>0</v>
      </c>
      <c r="R369" s="20">
        <v>0</v>
      </c>
      <c r="S369" s="20">
        <v>0</v>
      </c>
      <c r="T369" s="20">
        <v>785.9</v>
      </c>
      <c r="U369" s="20">
        <v>692.02</v>
      </c>
      <c r="V369" s="20">
        <v>-93.88</v>
      </c>
      <c r="W369" s="20">
        <v>-120.08</v>
      </c>
      <c r="X369" s="20">
        <v>-26.2</v>
      </c>
      <c r="Y369" s="20">
        <v>0</v>
      </c>
      <c r="Z369" s="20">
        <v>0</v>
      </c>
      <c r="AA369" s="20">
        <v>0</v>
      </c>
      <c r="AB369" s="20">
        <v>665.82</v>
      </c>
      <c r="AC369" t="s">
        <v>188</v>
      </c>
      <c r="AD369" t="s">
        <v>290</v>
      </c>
      <c r="AE369" s="702">
        <f t="shared" si="25"/>
        <v>43252</v>
      </c>
      <c r="AF369" s="289">
        <v>1305.4202297435527</v>
      </c>
      <c r="AG369">
        <f t="shared" si="26"/>
        <v>360</v>
      </c>
      <c r="AH369" s="289">
        <f t="shared" si="27"/>
        <v>3.6261673048432019</v>
      </c>
      <c r="AJ369" s="289">
        <f t="shared" si="28"/>
        <v>54</v>
      </c>
      <c r="AK369" s="289">
        <f t="shared" si="29"/>
        <v>195.81303446153291</v>
      </c>
    </row>
    <row r="370" spans="1:37">
      <c r="A370" s="703" t="s">
        <v>1046</v>
      </c>
      <c r="B370" s="703" t="s">
        <v>331</v>
      </c>
      <c r="C370" s="703" t="s">
        <v>390</v>
      </c>
      <c r="D370" s="703" t="s">
        <v>391</v>
      </c>
      <c r="E370" s="703" t="s">
        <v>334</v>
      </c>
      <c r="F370" s="703" t="s">
        <v>335</v>
      </c>
      <c r="G370" s="703" t="s">
        <v>1047</v>
      </c>
      <c r="H370" s="703" t="s">
        <v>334</v>
      </c>
      <c r="I370" s="703" t="s">
        <v>334</v>
      </c>
      <c r="J370" s="703" t="s">
        <v>337</v>
      </c>
      <c r="K370" s="704">
        <v>0</v>
      </c>
      <c r="L370" s="703" t="s">
        <v>334</v>
      </c>
      <c r="M370" s="702">
        <v>42886</v>
      </c>
      <c r="N370" s="702">
        <v>43235</v>
      </c>
      <c r="O370" s="703" t="s">
        <v>338</v>
      </c>
      <c r="P370" s="20">
        <v>98.12</v>
      </c>
      <c r="Q370" s="20">
        <v>0</v>
      </c>
      <c r="R370" s="20">
        <v>0</v>
      </c>
      <c r="S370" s="20">
        <v>0</v>
      </c>
      <c r="T370" s="20">
        <v>98.12</v>
      </c>
      <c r="U370" s="20">
        <v>86.4</v>
      </c>
      <c r="V370" s="20">
        <v>-11.72</v>
      </c>
      <c r="W370" s="20">
        <v>-14.99</v>
      </c>
      <c r="X370" s="20">
        <v>-3.27</v>
      </c>
      <c r="Y370" s="20">
        <v>0</v>
      </c>
      <c r="Z370" s="20">
        <v>0</v>
      </c>
      <c r="AA370" s="20">
        <v>0</v>
      </c>
      <c r="AB370" s="20">
        <v>83.13</v>
      </c>
      <c r="AC370" t="s">
        <v>188</v>
      </c>
      <c r="AD370" t="s">
        <v>290</v>
      </c>
      <c r="AE370" s="702">
        <f t="shared" si="25"/>
        <v>43252</v>
      </c>
      <c r="AF370" s="289">
        <v>162.98235518823947</v>
      </c>
      <c r="AG370">
        <f t="shared" si="26"/>
        <v>360</v>
      </c>
      <c r="AH370" s="289">
        <f t="shared" si="27"/>
        <v>0.45272876441177629</v>
      </c>
      <c r="AJ370" s="289">
        <f t="shared" si="28"/>
        <v>54</v>
      </c>
      <c r="AK370" s="289">
        <f t="shared" si="29"/>
        <v>24.447353278235919</v>
      </c>
    </row>
    <row r="371" spans="1:37">
      <c r="A371" s="703" t="s">
        <v>1048</v>
      </c>
      <c r="B371" s="703" t="s">
        <v>331</v>
      </c>
      <c r="C371" s="703" t="s">
        <v>390</v>
      </c>
      <c r="D371" s="703" t="s">
        <v>391</v>
      </c>
      <c r="E371" s="703" t="s">
        <v>334</v>
      </c>
      <c r="F371" s="703" t="s">
        <v>335</v>
      </c>
      <c r="G371" s="703" t="s">
        <v>1049</v>
      </c>
      <c r="H371" s="703" t="s">
        <v>334</v>
      </c>
      <c r="I371" s="703" t="s">
        <v>334</v>
      </c>
      <c r="J371" s="703" t="s">
        <v>337</v>
      </c>
      <c r="K371" s="704">
        <v>0</v>
      </c>
      <c r="L371" s="703" t="s">
        <v>334</v>
      </c>
      <c r="M371" s="702">
        <v>40574</v>
      </c>
      <c r="N371" s="702">
        <v>43235</v>
      </c>
      <c r="O371" s="703" t="s">
        <v>338</v>
      </c>
      <c r="P371" s="20">
        <v>7037.8</v>
      </c>
      <c r="Q371" s="20">
        <v>0</v>
      </c>
      <c r="R371" s="20">
        <v>0</v>
      </c>
      <c r="S371" s="20">
        <v>0</v>
      </c>
      <c r="T371" s="20">
        <v>7037.8</v>
      </c>
      <c r="U371" s="20">
        <v>6197.18</v>
      </c>
      <c r="V371" s="20">
        <v>-840.62</v>
      </c>
      <c r="W371" s="20">
        <v>-1075.21</v>
      </c>
      <c r="X371" s="20">
        <v>-234.59</v>
      </c>
      <c r="Y371" s="20">
        <v>0</v>
      </c>
      <c r="Z371" s="20">
        <v>0</v>
      </c>
      <c r="AA371" s="20">
        <v>0</v>
      </c>
      <c r="AB371" s="20">
        <v>5962.59</v>
      </c>
      <c r="AC371" t="s">
        <v>188</v>
      </c>
      <c r="AD371" t="s">
        <v>290</v>
      </c>
      <c r="AE371" s="702">
        <f t="shared" si="25"/>
        <v>43252</v>
      </c>
      <c r="AF371" s="289">
        <v>11690.146956214752</v>
      </c>
      <c r="AG371">
        <f t="shared" si="26"/>
        <v>360</v>
      </c>
      <c r="AH371" s="289">
        <f t="shared" si="27"/>
        <v>32.472630433929865</v>
      </c>
      <c r="AJ371" s="289">
        <f t="shared" si="28"/>
        <v>54</v>
      </c>
      <c r="AK371" s="289">
        <f t="shared" si="29"/>
        <v>1753.5220434322127</v>
      </c>
    </row>
    <row r="372" spans="1:37">
      <c r="A372" s="703" t="s">
        <v>1050</v>
      </c>
      <c r="B372" s="703" t="s">
        <v>331</v>
      </c>
      <c r="C372" s="703" t="s">
        <v>390</v>
      </c>
      <c r="D372" s="703" t="s">
        <v>391</v>
      </c>
      <c r="E372" s="703" t="s">
        <v>334</v>
      </c>
      <c r="F372" s="703" t="s">
        <v>335</v>
      </c>
      <c r="G372" s="703" t="s">
        <v>1051</v>
      </c>
      <c r="H372" s="703" t="s">
        <v>334</v>
      </c>
      <c r="I372" s="703" t="s">
        <v>334</v>
      </c>
      <c r="J372" s="703" t="s">
        <v>337</v>
      </c>
      <c r="K372" s="704">
        <v>0</v>
      </c>
      <c r="L372" s="703" t="s">
        <v>334</v>
      </c>
      <c r="M372" s="702">
        <v>43100</v>
      </c>
      <c r="N372" s="702">
        <v>43235</v>
      </c>
      <c r="O372" s="703" t="s">
        <v>338</v>
      </c>
      <c r="P372" s="20">
        <v>6.87</v>
      </c>
      <c r="Q372" s="20">
        <v>0</v>
      </c>
      <c r="R372" s="20">
        <v>0</v>
      </c>
      <c r="S372" s="20">
        <v>0</v>
      </c>
      <c r="T372" s="20">
        <v>6.87</v>
      </c>
      <c r="U372" s="20">
        <v>6.05</v>
      </c>
      <c r="V372" s="20">
        <v>-0.82</v>
      </c>
      <c r="W372" s="20">
        <v>-1.05</v>
      </c>
      <c r="X372" s="20">
        <v>-0.23</v>
      </c>
      <c r="Y372" s="20">
        <v>0</v>
      </c>
      <c r="Z372" s="20">
        <v>0</v>
      </c>
      <c r="AA372" s="20">
        <v>0</v>
      </c>
      <c r="AB372" s="20">
        <v>5.82</v>
      </c>
      <c r="AC372" t="s">
        <v>188</v>
      </c>
      <c r="AD372" t="s">
        <v>290</v>
      </c>
      <c r="AE372" s="702">
        <f t="shared" si="25"/>
        <v>43252</v>
      </c>
      <c r="AF372" s="289">
        <v>11.411422545283378</v>
      </c>
      <c r="AG372">
        <f t="shared" si="26"/>
        <v>360</v>
      </c>
      <c r="AH372" s="289">
        <f t="shared" si="27"/>
        <v>3.1698395959120496E-2</v>
      </c>
      <c r="AJ372" s="289">
        <f t="shared" si="28"/>
        <v>54</v>
      </c>
      <c r="AK372" s="289">
        <f t="shared" si="29"/>
        <v>1.7117133817925068</v>
      </c>
    </row>
    <row r="373" spans="1:37">
      <c r="A373" s="703" t="s">
        <v>1052</v>
      </c>
      <c r="B373" s="703" t="s">
        <v>331</v>
      </c>
      <c r="C373" s="703" t="s">
        <v>390</v>
      </c>
      <c r="D373" s="703" t="s">
        <v>391</v>
      </c>
      <c r="E373" s="703" t="s">
        <v>334</v>
      </c>
      <c r="F373" s="703" t="s">
        <v>335</v>
      </c>
      <c r="G373" s="703" t="s">
        <v>1053</v>
      </c>
      <c r="H373" s="703" t="s">
        <v>334</v>
      </c>
      <c r="I373" s="703" t="s">
        <v>334</v>
      </c>
      <c r="J373" s="703" t="s">
        <v>337</v>
      </c>
      <c r="K373" s="704">
        <v>0</v>
      </c>
      <c r="L373" s="703" t="s">
        <v>334</v>
      </c>
      <c r="M373" s="702">
        <v>40574</v>
      </c>
      <c r="N373" s="702">
        <v>43235</v>
      </c>
      <c r="O373" s="703" t="s">
        <v>338</v>
      </c>
      <c r="P373" s="20">
        <v>2119.36</v>
      </c>
      <c r="Q373" s="20">
        <v>0</v>
      </c>
      <c r="R373" s="20">
        <v>0</v>
      </c>
      <c r="S373" s="20">
        <v>0</v>
      </c>
      <c r="T373" s="20">
        <v>2119.36</v>
      </c>
      <c r="U373" s="20">
        <v>1866.2</v>
      </c>
      <c r="V373" s="20">
        <v>-253.16</v>
      </c>
      <c r="W373" s="20">
        <v>-323.81</v>
      </c>
      <c r="X373" s="20">
        <v>-70.650000000000006</v>
      </c>
      <c r="Y373" s="20">
        <v>0</v>
      </c>
      <c r="Z373" s="20">
        <v>0</v>
      </c>
      <c r="AA373" s="20">
        <v>0</v>
      </c>
      <c r="AB373" s="20">
        <v>1795.55</v>
      </c>
      <c r="AC373" t="s">
        <v>188</v>
      </c>
      <c r="AD373" t="s">
        <v>290</v>
      </c>
      <c r="AE373" s="702">
        <f t="shared" si="25"/>
        <v>43252</v>
      </c>
      <c r="AF373" s="289">
        <v>3520.36571842384</v>
      </c>
      <c r="AG373">
        <f t="shared" si="26"/>
        <v>360</v>
      </c>
      <c r="AH373" s="289">
        <f t="shared" si="27"/>
        <v>9.7787936622884448</v>
      </c>
      <c r="AJ373" s="289">
        <f t="shared" si="28"/>
        <v>54</v>
      </c>
      <c r="AK373" s="289">
        <f t="shared" si="29"/>
        <v>528.05485776357602</v>
      </c>
    </row>
    <row r="374" spans="1:37">
      <c r="A374" s="703" t="s">
        <v>1054</v>
      </c>
      <c r="B374" s="703" t="s">
        <v>331</v>
      </c>
      <c r="C374" s="703" t="s">
        <v>390</v>
      </c>
      <c r="D374" s="703" t="s">
        <v>391</v>
      </c>
      <c r="E374" s="703" t="s">
        <v>334</v>
      </c>
      <c r="F374" s="703" t="s">
        <v>335</v>
      </c>
      <c r="G374" s="703" t="s">
        <v>1055</v>
      </c>
      <c r="H374" s="703" t="s">
        <v>334</v>
      </c>
      <c r="I374" s="703" t="s">
        <v>334</v>
      </c>
      <c r="J374" s="703" t="s">
        <v>337</v>
      </c>
      <c r="K374" s="704">
        <v>0</v>
      </c>
      <c r="L374" s="703" t="s">
        <v>334</v>
      </c>
      <c r="M374" s="702">
        <v>42886</v>
      </c>
      <c r="N374" s="702">
        <v>43235</v>
      </c>
      <c r="O374" s="703" t="s">
        <v>338</v>
      </c>
      <c r="P374" s="20">
        <v>263.23</v>
      </c>
      <c r="Q374" s="20">
        <v>0</v>
      </c>
      <c r="R374" s="20">
        <v>0</v>
      </c>
      <c r="S374" s="20">
        <v>0</v>
      </c>
      <c r="T374" s="20">
        <v>263.23</v>
      </c>
      <c r="U374" s="20">
        <v>231.8</v>
      </c>
      <c r="V374" s="20">
        <v>-31.43</v>
      </c>
      <c r="W374" s="20">
        <v>-40.200000000000003</v>
      </c>
      <c r="X374" s="20">
        <v>-8.77</v>
      </c>
      <c r="Y374" s="20">
        <v>0</v>
      </c>
      <c r="Z374" s="20">
        <v>0</v>
      </c>
      <c r="AA374" s="20">
        <v>0</v>
      </c>
      <c r="AB374" s="20">
        <v>223.03</v>
      </c>
      <c r="AC374" t="s">
        <v>188</v>
      </c>
      <c r="AD374" t="s">
        <v>290</v>
      </c>
      <c r="AE374" s="702">
        <f t="shared" si="25"/>
        <v>43252</v>
      </c>
      <c r="AF374" s="289">
        <v>437.23853807786662</v>
      </c>
      <c r="AG374">
        <f t="shared" si="26"/>
        <v>360</v>
      </c>
      <c r="AH374" s="289">
        <f t="shared" si="27"/>
        <v>1.2145514946607405</v>
      </c>
      <c r="AJ374" s="289">
        <f t="shared" si="28"/>
        <v>54</v>
      </c>
      <c r="AK374" s="289">
        <f t="shared" si="29"/>
        <v>65.585780711679988</v>
      </c>
    </row>
    <row r="375" spans="1:37">
      <c r="A375" s="703" t="s">
        <v>1056</v>
      </c>
      <c r="B375" s="703" t="s">
        <v>331</v>
      </c>
      <c r="C375" s="703" t="s">
        <v>390</v>
      </c>
      <c r="D375" s="703" t="s">
        <v>391</v>
      </c>
      <c r="E375" s="703" t="s">
        <v>334</v>
      </c>
      <c r="F375" s="703" t="s">
        <v>335</v>
      </c>
      <c r="G375" s="703" t="s">
        <v>1057</v>
      </c>
      <c r="H375" s="703" t="s">
        <v>334</v>
      </c>
      <c r="I375" s="703" t="s">
        <v>334</v>
      </c>
      <c r="J375" s="703" t="s">
        <v>337</v>
      </c>
      <c r="K375" s="704">
        <v>0</v>
      </c>
      <c r="L375" s="703" t="s">
        <v>334</v>
      </c>
      <c r="M375" s="702">
        <v>42886</v>
      </c>
      <c r="N375" s="702">
        <v>43235</v>
      </c>
      <c r="O375" s="703" t="s">
        <v>338</v>
      </c>
      <c r="P375" s="20">
        <v>306.43</v>
      </c>
      <c r="Q375" s="20">
        <v>0</v>
      </c>
      <c r="R375" s="20">
        <v>0</v>
      </c>
      <c r="S375" s="20">
        <v>0</v>
      </c>
      <c r="T375" s="20">
        <v>306.43</v>
      </c>
      <c r="U375" s="20">
        <v>269.83999999999997</v>
      </c>
      <c r="V375" s="20">
        <v>-36.590000000000003</v>
      </c>
      <c r="W375" s="20">
        <v>-46.8</v>
      </c>
      <c r="X375" s="20">
        <v>-10.210000000000001</v>
      </c>
      <c r="Y375" s="20">
        <v>0</v>
      </c>
      <c r="Z375" s="20">
        <v>0</v>
      </c>
      <c r="AA375" s="20">
        <v>0</v>
      </c>
      <c r="AB375" s="20">
        <v>259.63</v>
      </c>
      <c r="AC375" t="s">
        <v>188</v>
      </c>
      <c r="AD375" t="s">
        <v>290</v>
      </c>
      <c r="AE375" s="702">
        <f t="shared" si="25"/>
        <v>43252</v>
      </c>
      <c r="AF375" s="289">
        <v>508.99595495650448</v>
      </c>
      <c r="AG375">
        <f t="shared" si="26"/>
        <v>360</v>
      </c>
      <c r="AH375" s="289">
        <f t="shared" si="27"/>
        <v>1.413877652656957</v>
      </c>
      <c r="AJ375" s="289">
        <f t="shared" si="28"/>
        <v>54</v>
      </c>
      <c r="AK375" s="289">
        <f t="shared" si="29"/>
        <v>76.349393243475674</v>
      </c>
    </row>
    <row r="376" spans="1:37">
      <c r="A376" s="703" t="s">
        <v>1058</v>
      </c>
      <c r="B376" s="703" t="s">
        <v>331</v>
      </c>
      <c r="C376" s="703" t="s">
        <v>390</v>
      </c>
      <c r="D376" s="703" t="s">
        <v>391</v>
      </c>
      <c r="E376" s="703" t="s">
        <v>334</v>
      </c>
      <c r="F376" s="703" t="s">
        <v>335</v>
      </c>
      <c r="G376" s="703" t="s">
        <v>1059</v>
      </c>
      <c r="H376" s="703" t="s">
        <v>334</v>
      </c>
      <c r="I376" s="703" t="s">
        <v>334</v>
      </c>
      <c r="J376" s="703" t="s">
        <v>337</v>
      </c>
      <c r="K376" s="704">
        <v>0</v>
      </c>
      <c r="L376" s="703" t="s">
        <v>334</v>
      </c>
      <c r="M376" s="702">
        <v>42886</v>
      </c>
      <c r="N376" s="702">
        <v>43235</v>
      </c>
      <c r="O376" s="703" t="s">
        <v>338</v>
      </c>
      <c r="P376" s="20">
        <v>446.5</v>
      </c>
      <c r="Q376" s="20">
        <v>0</v>
      </c>
      <c r="R376" s="20">
        <v>0</v>
      </c>
      <c r="S376" s="20">
        <v>0</v>
      </c>
      <c r="T376" s="20">
        <v>446.5</v>
      </c>
      <c r="U376" s="20">
        <v>393.18</v>
      </c>
      <c r="V376" s="20">
        <v>-53.32</v>
      </c>
      <c r="W376" s="20">
        <v>-68.2</v>
      </c>
      <c r="X376" s="20">
        <v>-14.88</v>
      </c>
      <c r="Y376" s="20">
        <v>0</v>
      </c>
      <c r="Z376" s="20">
        <v>0</v>
      </c>
      <c r="AA376" s="20">
        <v>0</v>
      </c>
      <c r="AB376" s="20">
        <v>378.3</v>
      </c>
      <c r="AC376" t="s">
        <v>188</v>
      </c>
      <c r="AD376" t="s">
        <v>290</v>
      </c>
      <c r="AE376" s="702">
        <f t="shared" si="25"/>
        <v>43252</v>
      </c>
      <c r="AF376" s="289">
        <v>741.65941287758778</v>
      </c>
      <c r="AG376">
        <f t="shared" si="26"/>
        <v>360</v>
      </c>
      <c r="AH376" s="289">
        <f t="shared" si="27"/>
        <v>2.0601650357710772</v>
      </c>
      <c r="AJ376" s="289">
        <f t="shared" si="28"/>
        <v>54</v>
      </c>
      <c r="AK376" s="289">
        <f t="shared" si="29"/>
        <v>111.24891193163818</v>
      </c>
    </row>
    <row r="377" spans="1:37">
      <c r="A377" s="703" t="s">
        <v>1060</v>
      </c>
      <c r="B377" s="703" t="s">
        <v>331</v>
      </c>
      <c r="C377" s="703" t="s">
        <v>390</v>
      </c>
      <c r="D377" s="703" t="s">
        <v>391</v>
      </c>
      <c r="E377" s="703" t="s">
        <v>334</v>
      </c>
      <c r="F377" s="703" t="s">
        <v>335</v>
      </c>
      <c r="G377" s="703" t="s">
        <v>1061</v>
      </c>
      <c r="H377" s="703" t="s">
        <v>334</v>
      </c>
      <c r="I377" s="703" t="s">
        <v>334</v>
      </c>
      <c r="J377" s="703" t="s">
        <v>337</v>
      </c>
      <c r="K377" s="704">
        <v>0</v>
      </c>
      <c r="L377" s="703" t="s">
        <v>334</v>
      </c>
      <c r="M377" s="702">
        <v>42947</v>
      </c>
      <c r="N377" s="702">
        <v>43235</v>
      </c>
      <c r="O377" s="703" t="s">
        <v>338</v>
      </c>
      <c r="P377" s="20">
        <v>1379.68</v>
      </c>
      <c r="Q377" s="20">
        <v>0</v>
      </c>
      <c r="R377" s="20">
        <v>0</v>
      </c>
      <c r="S377" s="20">
        <v>0</v>
      </c>
      <c r="T377" s="20">
        <v>1379.68</v>
      </c>
      <c r="U377" s="20">
        <v>1214.8800000000001</v>
      </c>
      <c r="V377" s="20">
        <v>-164.8</v>
      </c>
      <c r="W377" s="20">
        <v>-210.79</v>
      </c>
      <c r="X377" s="20">
        <v>-45.99</v>
      </c>
      <c r="Y377" s="20">
        <v>0</v>
      </c>
      <c r="Z377" s="20">
        <v>0</v>
      </c>
      <c r="AA377" s="20">
        <v>0</v>
      </c>
      <c r="AB377" s="20">
        <v>1168.8900000000001</v>
      </c>
      <c r="AC377" t="s">
        <v>188</v>
      </c>
      <c r="AD377" t="s">
        <v>290</v>
      </c>
      <c r="AE377" s="702">
        <f t="shared" si="25"/>
        <v>43252</v>
      </c>
      <c r="AF377" s="289">
        <v>2291.7192805351633</v>
      </c>
      <c r="AG377">
        <f t="shared" si="26"/>
        <v>360</v>
      </c>
      <c r="AH377" s="289">
        <f t="shared" si="27"/>
        <v>6.365886890375454</v>
      </c>
      <c r="AJ377" s="289">
        <f t="shared" si="28"/>
        <v>54</v>
      </c>
      <c r="AK377" s="289">
        <f t="shared" si="29"/>
        <v>343.75789208027453</v>
      </c>
    </row>
    <row r="378" spans="1:37">
      <c r="A378" s="703" t="s">
        <v>1062</v>
      </c>
      <c r="B378" s="703" t="s">
        <v>331</v>
      </c>
      <c r="C378" s="703" t="s">
        <v>390</v>
      </c>
      <c r="D378" s="703" t="s">
        <v>391</v>
      </c>
      <c r="E378" s="703" t="s">
        <v>334</v>
      </c>
      <c r="F378" s="703" t="s">
        <v>335</v>
      </c>
      <c r="G378" s="703" t="s">
        <v>438</v>
      </c>
      <c r="H378" s="703" t="s">
        <v>334</v>
      </c>
      <c r="I378" s="703" t="s">
        <v>334</v>
      </c>
      <c r="J378" s="703" t="s">
        <v>337</v>
      </c>
      <c r="K378" s="704">
        <v>0</v>
      </c>
      <c r="L378" s="703" t="s">
        <v>334</v>
      </c>
      <c r="M378" s="702">
        <v>42886</v>
      </c>
      <c r="N378" s="702">
        <v>43235</v>
      </c>
      <c r="O378" s="703" t="s">
        <v>338</v>
      </c>
      <c r="P378" s="20">
        <v>107482.61</v>
      </c>
      <c r="Q378" s="20">
        <v>0</v>
      </c>
      <c r="R378" s="20">
        <v>0</v>
      </c>
      <c r="S378" s="20">
        <v>0</v>
      </c>
      <c r="T378" s="20">
        <v>107482.61</v>
      </c>
      <c r="U378" s="20">
        <v>94644.42</v>
      </c>
      <c r="V378" s="20">
        <v>-12838.19</v>
      </c>
      <c r="W378" s="20">
        <v>-16420.939999999999</v>
      </c>
      <c r="X378" s="20">
        <v>-3582.75</v>
      </c>
      <c r="Y378" s="20">
        <v>0</v>
      </c>
      <c r="Z378" s="20">
        <v>0</v>
      </c>
      <c r="AA378" s="20">
        <v>0</v>
      </c>
      <c r="AB378" s="20">
        <v>91061.67</v>
      </c>
      <c r="AC378" t="s">
        <v>188</v>
      </c>
      <c r="AD378" t="s">
        <v>290</v>
      </c>
      <c r="AE378" s="702">
        <f t="shared" si="25"/>
        <v>43252</v>
      </c>
      <c r="AF378" s="289">
        <v>178534.13085588074</v>
      </c>
      <c r="AG378">
        <f t="shared" si="26"/>
        <v>360</v>
      </c>
      <c r="AH378" s="289">
        <f t="shared" si="27"/>
        <v>495.92814126633539</v>
      </c>
      <c r="AJ378" s="289">
        <f t="shared" si="28"/>
        <v>54</v>
      </c>
      <c r="AK378" s="289">
        <f t="shared" si="29"/>
        <v>26780.119628382112</v>
      </c>
    </row>
    <row r="379" spans="1:37">
      <c r="A379" s="703" t="s">
        <v>1063</v>
      </c>
      <c r="B379" s="703" t="s">
        <v>331</v>
      </c>
      <c r="C379" s="703" t="s">
        <v>390</v>
      </c>
      <c r="D379" s="703" t="s">
        <v>391</v>
      </c>
      <c r="E379" s="703" t="s">
        <v>334</v>
      </c>
      <c r="F379" s="703" t="s">
        <v>335</v>
      </c>
      <c r="G379" s="703" t="s">
        <v>440</v>
      </c>
      <c r="H379" s="703" t="s">
        <v>334</v>
      </c>
      <c r="I379" s="703" t="s">
        <v>334</v>
      </c>
      <c r="J379" s="703" t="s">
        <v>337</v>
      </c>
      <c r="K379" s="704">
        <v>0</v>
      </c>
      <c r="L379" s="703" t="s">
        <v>334</v>
      </c>
      <c r="M379" s="702">
        <v>42886</v>
      </c>
      <c r="N379" s="702">
        <v>43235</v>
      </c>
      <c r="O379" s="703" t="s">
        <v>338</v>
      </c>
      <c r="P379" s="20">
        <v>63536.78</v>
      </c>
      <c r="Q379" s="20">
        <v>0</v>
      </c>
      <c r="R379" s="20">
        <v>0</v>
      </c>
      <c r="S379" s="20">
        <v>0</v>
      </c>
      <c r="T379" s="20">
        <v>63536.78</v>
      </c>
      <c r="U379" s="20">
        <v>55947.67</v>
      </c>
      <c r="V379" s="20">
        <v>-7589.11</v>
      </c>
      <c r="W379" s="20">
        <v>-9707</v>
      </c>
      <c r="X379" s="20">
        <v>-2117.89</v>
      </c>
      <c r="Y379" s="20">
        <v>0</v>
      </c>
      <c r="Z379" s="20">
        <v>0</v>
      </c>
      <c r="AA379" s="20">
        <v>0</v>
      </c>
      <c r="AB379" s="20">
        <v>53829.78</v>
      </c>
      <c r="AC379" t="s">
        <v>188</v>
      </c>
      <c r="AD379" t="s">
        <v>290</v>
      </c>
      <c r="AE379" s="702">
        <f t="shared" si="25"/>
        <v>43252</v>
      </c>
      <c r="AF379" s="289">
        <v>105537.85207375692</v>
      </c>
      <c r="AG379">
        <f t="shared" si="26"/>
        <v>360</v>
      </c>
      <c r="AH379" s="289">
        <f t="shared" si="27"/>
        <v>293.16070020488036</v>
      </c>
      <c r="AJ379" s="289">
        <f t="shared" si="28"/>
        <v>54</v>
      </c>
      <c r="AK379" s="289">
        <f t="shared" si="29"/>
        <v>15830.677811063539</v>
      </c>
    </row>
    <row r="380" spans="1:37">
      <c r="A380" s="703" t="s">
        <v>1064</v>
      </c>
      <c r="B380" s="703" t="s">
        <v>331</v>
      </c>
      <c r="C380" s="703" t="s">
        <v>390</v>
      </c>
      <c r="D380" s="703" t="s">
        <v>391</v>
      </c>
      <c r="E380" s="703" t="s">
        <v>334</v>
      </c>
      <c r="F380" s="703" t="s">
        <v>335</v>
      </c>
      <c r="G380" s="703" t="s">
        <v>552</v>
      </c>
      <c r="H380" s="703" t="s">
        <v>334</v>
      </c>
      <c r="I380" s="703" t="s">
        <v>334</v>
      </c>
      <c r="J380" s="703" t="s">
        <v>337</v>
      </c>
      <c r="K380" s="704">
        <v>0</v>
      </c>
      <c r="L380" s="703" t="s">
        <v>334</v>
      </c>
      <c r="M380" s="702">
        <v>42886</v>
      </c>
      <c r="N380" s="702">
        <v>43235</v>
      </c>
      <c r="O380" s="703" t="s">
        <v>338</v>
      </c>
      <c r="P380" s="20">
        <v>339.7</v>
      </c>
      <c r="Q380" s="20">
        <v>0</v>
      </c>
      <c r="R380" s="20">
        <v>0</v>
      </c>
      <c r="S380" s="20">
        <v>0</v>
      </c>
      <c r="T380" s="20">
        <v>339.7</v>
      </c>
      <c r="U380" s="20">
        <v>299.13</v>
      </c>
      <c r="V380" s="20">
        <v>-40.57</v>
      </c>
      <c r="W380" s="20">
        <v>-51.89</v>
      </c>
      <c r="X380" s="20">
        <v>-11.32</v>
      </c>
      <c r="Y380" s="20">
        <v>0</v>
      </c>
      <c r="Z380" s="20">
        <v>0</v>
      </c>
      <c r="AA380" s="20">
        <v>0</v>
      </c>
      <c r="AB380" s="20">
        <v>287.81</v>
      </c>
      <c r="AC380" t="s">
        <v>188</v>
      </c>
      <c r="AD380" t="s">
        <v>290</v>
      </c>
      <c r="AE380" s="702">
        <f t="shared" si="25"/>
        <v>43252</v>
      </c>
      <c r="AF380" s="289">
        <v>564.25913226095531</v>
      </c>
      <c r="AG380">
        <f t="shared" si="26"/>
        <v>360</v>
      </c>
      <c r="AH380" s="289">
        <f t="shared" si="27"/>
        <v>1.5673864785026537</v>
      </c>
      <c r="AJ380" s="289">
        <f t="shared" si="28"/>
        <v>54</v>
      </c>
      <c r="AK380" s="289">
        <f t="shared" si="29"/>
        <v>84.638869839143297</v>
      </c>
    </row>
    <row r="381" spans="1:37">
      <c r="A381" s="703" t="s">
        <v>1065</v>
      </c>
      <c r="B381" s="703" t="s">
        <v>331</v>
      </c>
      <c r="C381" s="703" t="s">
        <v>574</v>
      </c>
      <c r="D381" s="703" t="s">
        <v>575</v>
      </c>
      <c r="E381" s="703" t="s">
        <v>334</v>
      </c>
      <c r="F381" s="703" t="s">
        <v>335</v>
      </c>
      <c r="G381" s="703" t="s">
        <v>1066</v>
      </c>
      <c r="H381" s="703" t="s">
        <v>334</v>
      </c>
      <c r="I381" s="703" t="s">
        <v>334</v>
      </c>
      <c r="J381" s="703" t="s">
        <v>577</v>
      </c>
      <c r="K381" s="704">
        <v>0</v>
      </c>
      <c r="L381" s="703" t="s">
        <v>334</v>
      </c>
      <c r="M381" s="702">
        <v>42521</v>
      </c>
      <c r="N381" s="702">
        <v>43235</v>
      </c>
      <c r="O381" s="703" t="s">
        <v>338</v>
      </c>
      <c r="P381" s="20">
        <v>9903.1299999999992</v>
      </c>
      <c r="Q381" s="20">
        <v>0</v>
      </c>
      <c r="R381" s="20">
        <v>0</v>
      </c>
      <c r="S381" s="20">
        <v>0</v>
      </c>
      <c r="T381" s="20">
        <v>9903.1299999999992</v>
      </c>
      <c r="U381" s="20">
        <v>8720.27</v>
      </c>
      <c r="V381" s="20">
        <v>-1182.8599999999999</v>
      </c>
      <c r="W381" s="20">
        <v>-1512.96</v>
      </c>
      <c r="X381" s="20">
        <v>-330.1</v>
      </c>
      <c r="Y381" s="20">
        <v>0</v>
      </c>
      <c r="Z381" s="20">
        <v>0</v>
      </c>
      <c r="AA381" s="20">
        <v>0</v>
      </c>
      <c r="AB381" s="20">
        <v>8390.17</v>
      </c>
      <c r="AC381" t="s">
        <v>578</v>
      </c>
      <c r="AD381" t="s">
        <v>290</v>
      </c>
      <c r="AE381" s="702">
        <f t="shared" si="25"/>
        <v>43252</v>
      </c>
      <c r="AF381" s="289">
        <v>16449.607125308903</v>
      </c>
      <c r="AG381">
        <f t="shared" si="26"/>
        <v>360</v>
      </c>
      <c r="AH381" s="289">
        <f t="shared" si="27"/>
        <v>45.693353125858067</v>
      </c>
      <c r="AJ381" s="289">
        <f t="shared" si="28"/>
        <v>54</v>
      </c>
      <c r="AK381" s="289">
        <f t="shared" si="29"/>
        <v>2467.4410687963355</v>
      </c>
    </row>
    <row r="382" spans="1:37">
      <c r="A382" s="703" t="s">
        <v>1067</v>
      </c>
      <c r="B382" s="703" t="s">
        <v>331</v>
      </c>
      <c r="C382" s="703" t="s">
        <v>574</v>
      </c>
      <c r="D382" s="703" t="s">
        <v>575</v>
      </c>
      <c r="E382" s="703" t="s">
        <v>334</v>
      </c>
      <c r="F382" s="703" t="s">
        <v>335</v>
      </c>
      <c r="G382" s="703" t="s">
        <v>1068</v>
      </c>
      <c r="H382" s="703" t="s">
        <v>334</v>
      </c>
      <c r="I382" s="703" t="s">
        <v>334</v>
      </c>
      <c r="J382" s="703" t="s">
        <v>577</v>
      </c>
      <c r="K382" s="704">
        <v>0</v>
      </c>
      <c r="L382" s="703" t="s">
        <v>334</v>
      </c>
      <c r="M382" s="702">
        <v>42521</v>
      </c>
      <c r="N382" s="702">
        <v>43235</v>
      </c>
      <c r="O382" s="703" t="s">
        <v>338</v>
      </c>
      <c r="P382" s="20">
        <v>2091.3000000000002</v>
      </c>
      <c r="Q382" s="20">
        <v>0</v>
      </c>
      <c r="R382" s="20">
        <v>0</v>
      </c>
      <c r="S382" s="20">
        <v>0</v>
      </c>
      <c r="T382" s="20">
        <v>2091.3000000000002</v>
      </c>
      <c r="U382" s="20">
        <v>1841.51</v>
      </c>
      <c r="V382" s="20">
        <v>-249.79</v>
      </c>
      <c r="W382" s="20">
        <v>-319.5</v>
      </c>
      <c r="X382" s="20">
        <v>-69.709999999999994</v>
      </c>
      <c r="Y382" s="20">
        <v>0</v>
      </c>
      <c r="Z382" s="20">
        <v>0</v>
      </c>
      <c r="AA382" s="20">
        <v>0</v>
      </c>
      <c r="AB382" s="20">
        <v>1771.8</v>
      </c>
      <c r="AC382" t="s">
        <v>578</v>
      </c>
      <c r="AD382" t="s">
        <v>290</v>
      </c>
      <c r="AE382" s="702">
        <f t="shared" si="25"/>
        <v>43252</v>
      </c>
      <c r="AF382" s="289">
        <v>3473.756618479058</v>
      </c>
      <c r="AG382">
        <f t="shared" si="26"/>
        <v>360</v>
      </c>
      <c r="AH382" s="289">
        <f t="shared" si="27"/>
        <v>9.649323940219606</v>
      </c>
      <c r="AJ382" s="289">
        <f t="shared" si="28"/>
        <v>54</v>
      </c>
      <c r="AK382" s="289">
        <f t="shared" si="29"/>
        <v>521.06349277185871</v>
      </c>
    </row>
    <row r="383" spans="1:37">
      <c r="A383" s="703" t="s">
        <v>1069</v>
      </c>
      <c r="B383" s="703" t="s">
        <v>331</v>
      </c>
      <c r="C383" s="703" t="s">
        <v>574</v>
      </c>
      <c r="D383" s="703" t="s">
        <v>575</v>
      </c>
      <c r="E383" s="703" t="s">
        <v>334</v>
      </c>
      <c r="F383" s="703" t="s">
        <v>335</v>
      </c>
      <c r="G383" s="703" t="s">
        <v>1070</v>
      </c>
      <c r="H383" s="703" t="s">
        <v>334</v>
      </c>
      <c r="I383" s="703" t="s">
        <v>334</v>
      </c>
      <c r="J383" s="703" t="s">
        <v>577</v>
      </c>
      <c r="K383" s="704">
        <v>0</v>
      </c>
      <c r="L383" s="703" t="s">
        <v>334</v>
      </c>
      <c r="M383" s="702">
        <v>42766</v>
      </c>
      <c r="N383" s="702">
        <v>43235</v>
      </c>
      <c r="O383" s="703" t="s">
        <v>338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t="s">
        <v>578</v>
      </c>
      <c r="AD383" t="s">
        <v>290</v>
      </c>
      <c r="AE383" s="702">
        <f t="shared" si="25"/>
        <v>43252</v>
      </c>
      <c r="AF383" s="289">
        <v>0</v>
      </c>
      <c r="AG383">
        <f t="shared" si="26"/>
        <v>360</v>
      </c>
      <c r="AH383" s="289">
        <f t="shared" si="27"/>
        <v>0</v>
      </c>
      <c r="AJ383" s="289">
        <f t="shared" si="28"/>
        <v>54</v>
      </c>
      <c r="AK383" s="289">
        <f t="shared" si="29"/>
        <v>0</v>
      </c>
    </row>
    <row r="384" spans="1:37">
      <c r="A384" s="703" t="s">
        <v>1071</v>
      </c>
      <c r="B384" s="703" t="s">
        <v>331</v>
      </c>
      <c r="C384" s="703" t="s">
        <v>574</v>
      </c>
      <c r="D384" s="703" t="s">
        <v>575</v>
      </c>
      <c r="E384" s="703" t="s">
        <v>334</v>
      </c>
      <c r="F384" s="703" t="s">
        <v>335</v>
      </c>
      <c r="G384" s="703" t="s">
        <v>1072</v>
      </c>
      <c r="H384" s="703" t="s">
        <v>334</v>
      </c>
      <c r="I384" s="703" t="s">
        <v>334</v>
      </c>
      <c r="J384" s="703" t="s">
        <v>577</v>
      </c>
      <c r="K384" s="704">
        <v>0</v>
      </c>
      <c r="L384" s="703" t="s">
        <v>334</v>
      </c>
      <c r="M384" s="702">
        <v>42794</v>
      </c>
      <c r="N384" s="702">
        <v>43235</v>
      </c>
      <c r="O384" s="703" t="s">
        <v>338</v>
      </c>
      <c r="P384" s="20">
        <v>2288361.4</v>
      </c>
      <c r="Q384" s="20">
        <v>0</v>
      </c>
      <c r="R384" s="20">
        <v>0</v>
      </c>
      <c r="S384" s="20">
        <v>0</v>
      </c>
      <c r="T384" s="20">
        <v>2288361.4</v>
      </c>
      <c r="U384" s="20">
        <v>2015029.35</v>
      </c>
      <c r="V384" s="20">
        <v>-273332.05</v>
      </c>
      <c r="W384" s="20">
        <v>-349610.76</v>
      </c>
      <c r="X384" s="20">
        <v>-76278.710000000006</v>
      </c>
      <c r="Y384" s="20">
        <v>0</v>
      </c>
      <c r="Z384" s="20">
        <v>0</v>
      </c>
      <c r="AA384" s="20">
        <v>0</v>
      </c>
      <c r="AB384" s="20">
        <v>1938750.64</v>
      </c>
      <c r="AC384" t="s">
        <v>578</v>
      </c>
      <c r="AD384" t="s">
        <v>290</v>
      </c>
      <c r="AE384" s="702">
        <f t="shared" si="25"/>
        <v>43252</v>
      </c>
      <c r="AF384" s="289">
        <v>3801085.7164070206</v>
      </c>
      <c r="AG384">
        <f t="shared" si="26"/>
        <v>360</v>
      </c>
      <c r="AH384" s="289">
        <f t="shared" si="27"/>
        <v>10558.571434463945</v>
      </c>
      <c r="AJ384" s="289">
        <f t="shared" si="28"/>
        <v>54</v>
      </c>
      <c r="AK384" s="289">
        <f t="shared" si="29"/>
        <v>570162.85746105306</v>
      </c>
    </row>
    <row r="385" spans="1:37">
      <c r="A385" s="703" t="s">
        <v>1073</v>
      </c>
      <c r="B385" s="703" t="s">
        <v>331</v>
      </c>
      <c r="C385" s="703" t="s">
        <v>574</v>
      </c>
      <c r="D385" s="703" t="s">
        <v>575</v>
      </c>
      <c r="E385" s="703" t="s">
        <v>334</v>
      </c>
      <c r="F385" s="703" t="s">
        <v>335</v>
      </c>
      <c r="G385" s="703" t="s">
        <v>1074</v>
      </c>
      <c r="H385" s="703" t="s">
        <v>334</v>
      </c>
      <c r="I385" s="703" t="s">
        <v>334</v>
      </c>
      <c r="J385" s="703" t="s">
        <v>577</v>
      </c>
      <c r="K385" s="704">
        <v>0</v>
      </c>
      <c r="L385" s="703" t="s">
        <v>334</v>
      </c>
      <c r="M385" s="702">
        <v>42825</v>
      </c>
      <c r="N385" s="702">
        <v>43235</v>
      </c>
      <c r="O385" s="703" t="s">
        <v>338</v>
      </c>
      <c r="P385" s="20">
        <v>2828838.44</v>
      </c>
      <c r="Q385" s="20">
        <v>0</v>
      </c>
      <c r="R385" s="20">
        <v>0</v>
      </c>
      <c r="S385" s="20">
        <v>0</v>
      </c>
      <c r="T385" s="20">
        <v>2828838.44</v>
      </c>
      <c r="U385" s="20">
        <v>2490949.42</v>
      </c>
      <c r="V385" s="20">
        <v>-337889.02</v>
      </c>
      <c r="W385" s="20">
        <v>-432183.63</v>
      </c>
      <c r="X385" s="20">
        <v>-94294.61</v>
      </c>
      <c r="Y385" s="20">
        <v>0</v>
      </c>
      <c r="Z385" s="20">
        <v>0</v>
      </c>
      <c r="AA385" s="20">
        <v>0</v>
      </c>
      <c r="AB385" s="20">
        <v>2396654.81</v>
      </c>
      <c r="AC385" t="s">
        <v>578</v>
      </c>
      <c r="AD385" t="s">
        <v>290</v>
      </c>
      <c r="AE385" s="702">
        <f t="shared" si="25"/>
        <v>43252</v>
      </c>
      <c r="AF385" s="289">
        <v>4698845.8153100815</v>
      </c>
      <c r="AG385">
        <f t="shared" si="26"/>
        <v>360</v>
      </c>
      <c r="AH385" s="289">
        <f t="shared" si="27"/>
        <v>13052.349486972449</v>
      </c>
      <c r="AJ385" s="289">
        <f t="shared" si="28"/>
        <v>54</v>
      </c>
      <c r="AK385" s="289">
        <f t="shared" si="29"/>
        <v>704826.87229651224</v>
      </c>
    </row>
    <row r="386" spans="1:37">
      <c r="A386" s="703" t="s">
        <v>1075</v>
      </c>
      <c r="B386" s="703" t="s">
        <v>331</v>
      </c>
      <c r="C386" s="703" t="s">
        <v>574</v>
      </c>
      <c r="D386" s="703" t="s">
        <v>575</v>
      </c>
      <c r="E386" s="703" t="s">
        <v>334</v>
      </c>
      <c r="F386" s="703" t="s">
        <v>335</v>
      </c>
      <c r="G386" s="703" t="s">
        <v>1076</v>
      </c>
      <c r="H386" s="703" t="s">
        <v>334</v>
      </c>
      <c r="I386" s="703" t="s">
        <v>334</v>
      </c>
      <c r="J386" s="703" t="s">
        <v>577</v>
      </c>
      <c r="K386" s="704">
        <v>0</v>
      </c>
      <c r="L386" s="703" t="s">
        <v>334</v>
      </c>
      <c r="M386" s="702">
        <v>42825</v>
      </c>
      <c r="N386" s="702">
        <v>43235</v>
      </c>
      <c r="O386" s="703" t="s">
        <v>338</v>
      </c>
      <c r="P386" s="20">
        <v>37322.559999999998</v>
      </c>
      <c r="Q386" s="20">
        <v>0</v>
      </c>
      <c r="R386" s="20">
        <v>0</v>
      </c>
      <c r="S386" s="20">
        <v>0</v>
      </c>
      <c r="T386" s="20">
        <v>37322.559999999998</v>
      </c>
      <c r="U386" s="20">
        <v>32864.57</v>
      </c>
      <c r="V386" s="20">
        <v>-4457.99</v>
      </c>
      <c r="W386" s="20">
        <v>-5702.08</v>
      </c>
      <c r="X386" s="20">
        <v>-1244.0899999999999</v>
      </c>
      <c r="Y386" s="20">
        <v>0</v>
      </c>
      <c r="Z386" s="20">
        <v>0</v>
      </c>
      <c r="AA386" s="20">
        <v>0</v>
      </c>
      <c r="AB386" s="20">
        <v>31620.48</v>
      </c>
      <c r="AC386" t="s">
        <v>578</v>
      </c>
      <c r="AD386" t="s">
        <v>290</v>
      </c>
      <c r="AE386" s="702">
        <f t="shared" si="25"/>
        <v>43252</v>
      </c>
      <c r="AF386" s="289">
        <v>61994.687428193814</v>
      </c>
      <c r="AG386">
        <f t="shared" si="26"/>
        <v>360</v>
      </c>
      <c r="AH386" s="289">
        <f t="shared" si="27"/>
        <v>172.20746507831615</v>
      </c>
      <c r="AJ386" s="289">
        <f t="shared" si="28"/>
        <v>54</v>
      </c>
      <c r="AK386" s="289">
        <f t="shared" si="29"/>
        <v>9299.2031142290725</v>
      </c>
    </row>
    <row r="387" spans="1:37">
      <c r="A387" s="703" t="s">
        <v>1077</v>
      </c>
      <c r="B387" s="703" t="s">
        <v>331</v>
      </c>
      <c r="C387" s="703" t="s">
        <v>574</v>
      </c>
      <c r="D387" s="703" t="s">
        <v>575</v>
      </c>
      <c r="E387" s="703" t="s">
        <v>334</v>
      </c>
      <c r="F387" s="703" t="s">
        <v>335</v>
      </c>
      <c r="G387" s="703" t="s">
        <v>1078</v>
      </c>
      <c r="H387" s="703" t="s">
        <v>334</v>
      </c>
      <c r="I387" s="703" t="s">
        <v>334</v>
      </c>
      <c r="J387" s="703" t="s">
        <v>577</v>
      </c>
      <c r="K387" s="704">
        <v>0</v>
      </c>
      <c r="L387" s="703" t="s">
        <v>334</v>
      </c>
      <c r="M387" s="702">
        <v>42886</v>
      </c>
      <c r="N387" s="702">
        <v>43235</v>
      </c>
      <c r="O387" s="703" t="s">
        <v>338</v>
      </c>
      <c r="P387" s="20">
        <v>1368.61</v>
      </c>
      <c r="Q387" s="20">
        <v>0</v>
      </c>
      <c r="R387" s="20">
        <v>0</v>
      </c>
      <c r="S387" s="20">
        <v>0</v>
      </c>
      <c r="T387" s="20">
        <v>1368.61</v>
      </c>
      <c r="U387" s="20">
        <v>1205.1400000000001</v>
      </c>
      <c r="V387" s="20">
        <v>-163.47</v>
      </c>
      <c r="W387" s="20">
        <v>-209.09</v>
      </c>
      <c r="X387" s="20">
        <v>-45.62</v>
      </c>
      <c r="Y387" s="20">
        <v>0</v>
      </c>
      <c r="Z387" s="20">
        <v>0</v>
      </c>
      <c r="AA387" s="20">
        <v>0</v>
      </c>
      <c r="AB387" s="20">
        <v>1159.52</v>
      </c>
      <c r="AC387" t="s">
        <v>578</v>
      </c>
      <c r="AD387" t="s">
        <v>290</v>
      </c>
      <c r="AE387" s="702">
        <f t="shared" si="25"/>
        <v>43252</v>
      </c>
      <c r="AF387" s="289">
        <v>2273.3314424600121</v>
      </c>
      <c r="AG387">
        <f t="shared" si="26"/>
        <v>360</v>
      </c>
      <c r="AH387" s="289">
        <f t="shared" si="27"/>
        <v>6.3148095623889224</v>
      </c>
      <c r="AJ387" s="289">
        <f t="shared" si="28"/>
        <v>54</v>
      </c>
      <c r="AK387" s="289">
        <f t="shared" si="29"/>
        <v>340.99971636900182</v>
      </c>
    </row>
    <row r="388" spans="1:37">
      <c r="A388" s="703" t="s">
        <v>1079</v>
      </c>
      <c r="B388" s="703" t="s">
        <v>331</v>
      </c>
      <c r="C388" s="703" t="s">
        <v>574</v>
      </c>
      <c r="D388" s="703" t="s">
        <v>575</v>
      </c>
      <c r="E388" s="703" t="s">
        <v>334</v>
      </c>
      <c r="F388" s="703" t="s">
        <v>335</v>
      </c>
      <c r="G388" s="703" t="s">
        <v>1080</v>
      </c>
      <c r="H388" s="703" t="s">
        <v>334</v>
      </c>
      <c r="I388" s="703" t="s">
        <v>334</v>
      </c>
      <c r="J388" s="703" t="s">
        <v>577</v>
      </c>
      <c r="K388" s="704">
        <v>0</v>
      </c>
      <c r="L388" s="703" t="s">
        <v>334</v>
      </c>
      <c r="M388" s="702">
        <v>42766</v>
      </c>
      <c r="N388" s="702">
        <v>43235</v>
      </c>
      <c r="O388" s="703" t="s">
        <v>338</v>
      </c>
      <c r="P388" s="20">
        <v>3190421.58</v>
      </c>
      <c r="Q388" s="20">
        <v>0</v>
      </c>
      <c r="R388" s="20">
        <v>0</v>
      </c>
      <c r="S388" s="20">
        <v>0</v>
      </c>
      <c r="T388" s="20">
        <v>3190421.58</v>
      </c>
      <c r="U388" s="20">
        <v>2809343.43</v>
      </c>
      <c r="V388" s="20">
        <v>-381078.15</v>
      </c>
      <c r="W388" s="20">
        <v>-487425.54</v>
      </c>
      <c r="X388" s="20">
        <v>-106347.39</v>
      </c>
      <c r="Y388" s="20">
        <v>0</v>
      </c>
      <c r="Z388" s="20">
        <v>0</v>
      </c>
      <c r="AA388" s="20">
        <v>0</v>
      </c>
      <c r="AB388" s="20">
        <v>2702996.04</v>
      </c>
      <c r="AC388" t="s">
        <v>578</v>
      </c>
      <c r="AD388" t="s">
        <v>290</v>
      </c>
      <c r="AE388" s="702">
        <f t="shared" si="25"/>
        <v>43252</v>
      </c>
      <c r="AF388" s="289">
        <v>5299453.9660801478</v>
      </c>
      <c r="AG388">
        <f t="shared" si="26"/>
        <v>360</v>
      </c>
      <c r="AH388" s="289">
        <f t="shared" si="27"/>
        <v>14720.705461333744</v>
      </c>
      <c r="AJ388" s="289">
        <f t="shared" si="28"/>
        <v>54</v>
      </c>
      <c r="AK388" s="289">
        <f t="shared" si="29"/>
        <v>794918.09491202224</v>
      </c>
    </row>
    <row r="389" spans="1:37">
      <c r="A389" s="703" t="s">
        <v>1081</v>
      </c>
      <c r="B389" s="703" t="s">
        <v>331</v>
      </c>
      <c r="C389" s="703" t="s">
        <v>574</v>
      </c>
      <c r="D389" s="703" t="s">
        <v>575</v>
      </c>
      <c r="E389" s="703" t="s">
        <v>334</v>
      </c>
      <c r="F389" s="703" t="s">
        <v>335</v>
      </c>
      <c r="G389" s="703" t="s">
        <v>1082</v>
      </c>
      <c r="H389" s="703" t="s">
        <v>334</v>
      </c>
      <c r="I389" s="703" t="s">
        <v>334</v>
      </c>
      <c r="J389" s="703" t="s">
        <v>577</v>
      </c>
      <c r="K389" s="704">
        <v>0</v>
      </c>
      <c r="L389" s="703" t="s">
        <v>334</v>
      </c>
      <c r="M389" s="702">
        <v>42825</v>
      </c>
      <c r="N389" s="702">
        <v>43235</v>
      </c>
      <c r="O389" s="703" t="s">
        <v>338</v>
      </c>
      <c r="P389" s="20">
        <v>37322.559999999998</v>
      </c>
      <c r="Q389" s="20">
        <v>0</v>
      </c>
      <c r="R389" s="20">
        <v>0</v>
      </c>
      <c r="S389" s="20">
        <v>0</v>
      </c>
      <c r="T389" s="20">
        <v>37322.559999999998</v>
      </c>
      <c r="U389" s="20">
        <v>32864.57</v>
      </c>
      <c r="V389" s="20">
        <v>-4457.99</v>
      </c>
      <c r="W389" s="20">
        <v>-5702.08</v>
      </c>
      <c r="X389" s="20">
        <v>-1244.0899999999999</v>
      </c>
      <c r="Y389" s="20">
        <v>0</v>
      </c>
      <c r="Z389" s="20">
        <v>0</v>
      </c>
      <c r="AA389" s="20">
        <v>0</v>
      </c>
      <c r="AB389" s="20">
        <v>31620.48</v>
      </c>
      <c r="AC389" t="s">
        <v>578</v>
      </c>
      <c r="AD389" t="s">
        <v>290</v>
      </c>
      <c r="AE389" s="702">
        <f t="shared" si="25"/>
        <v>43252</v>
      </c>
      <c r="AF389" s="289">
        <v>61994.687428193814</v>
      </c>
      <c r="AG389">
        <f t="shared" si="26"/>
        <v>360</v>
      </c>
      <c r="AH389" s="289">
        <f t="shared" si="27"/>
        <v>172.20746507831615</v>
      </c>
      <c r="AJ389" s="289">
        <f t="shared" si="28"/>
        <v>54</v>
      </c>
      <c r="AK389" s="289">
        <f t="shared" si="29"/>
        <v>9299.2031142290725</v>
      </c>
    </row>
    <row r="390" spans="1:37">
      <c r="A390" s="703" t="s">
        <v>1083</v>
      </c>
      <c r="B390" s="703" t="s">
        <v>331</v>
      </c>
      <c r="C390" s="703" t="s">
        <v>574</v>
      </c>
      <c r="D390" s="703" t="s">
        <v>575</v>
      </c>
      <c r="E390" s="703" t="s">
        <v>334</v>
      </c>
      <c r="F390" s="703" t="s">
        <v>335</v>
      </c>
      <c r="G390" s="703" t="s">
        <v>1084</v>
      </c>
      <c r="H390" s="703" t="s">
        <v>334</v>
      </c>
      <c r="I390" s="703" t="s">
        <v>334</v>
      </c>
      <c r="J390" s="703" t="s">
        <v>577</v>
      </c>
      <c r="K390" s="704">
        <v>0</v>
      </c>
      <c r="L390" s="703" t="s">
        <v>334</v>
      </c>
      <c r="M390" s="702">
        <v>42825</v>
      </c>
      <c r="N390" s="702">
        <v>43235</v>
      </c>
      <c r="O390" s="703" t="s">
        <v>338</v>
      </c>
      <c r="P390" s="20">
        <v>36693.360000000001</v>
      </c>
      <c r="Q390" s="20">
        <v>0</v>
      </c>
      <c r="R390" s="20">
        <v>0</v>
      </c>
      <c r="S390" s="20">
        <v>0</v>
      </c>
      <c r="T390" s="20">
        <v>36693.360000000001</v>
      </c>
      <c r="U390" s="20">
        <v>32310.55</v>
      </c>
      <c r="V390" s="20">
        <v>-4382.8100000000004</v>
      </c>
      <c r="W390" s="20">
        <v>-5605.92</v>
      </c>
      <c r="X390" s="20">
        <v>-1223.1099999999999</v>
      </c>
      <c r="Y390" s="20">
        <v>0</v>
      </c>
      <c r="Z390" s="20">
        <v>0</v>
      </c>
      <c r="AA390" s="20">
        <v>0</v>
      </c>
      <c r="AB390" s="20">
        <v>31087.439999999999</v>
      </c>
      <c r="AC390" t="s">
        <v>578</v>
      </c>
      <c r="AD390" t="s">
        <v>290</v>
      </c>
      <c r="AE390" s="702">
        <f t="shared" si="25"/>
        <v>43252</v>
      </c>
      <c r="AF390" s="289">
        <v>60949.553939767</v>
      </c>
      <c r="AG390">
        <f t="shared" si="26"/>
        <v>360</v>
      </c>
      <c r="AH390" s="289">
        <f t="shared" si="27"/>
        <v>169.30431649935278</v>
      </c>
      <c r="AJ390" s="289">
        <f t="shared" si="28"/>
        <v>54</v>
      </c>
      <c r="AK390" s="289">
        <f t="shared" si="29"/>
        <v>9142.4330909650507</v>
      </c>
    </row>
    <row r="391" spans="1:37">
      <c r="A391" s="703" t="s">
        <v>1085</v>
      </c>
      <c r="B391" s="703" t="s">
        <v>331</v>
      </c>
      <c r="C391" s="703" t="s">
        <v>574</v>
      </c>
      <c r="D391" s="703" t="s">
        <v>575</v>
      </c>
      <c r="E391" s="703" t="s">
        <v>334</v>
      </c>
      <c r="F391" s="703" t="s">
        <v>335</v>
      </c>
      <c r="G391" s="703" t="s">
        <v>1086</v>
      </c>
      <c r="H391" s="703" t="s">
        <v>334</v>
      </c>
      <c r="I391" s="703" t="s">
        <v>334</v>
      </c>
      <c r="J391" s="703" t="s">
        <v>577</v>
      </c>
      <c r="K391" s="704">
        <v>0</v>
      </c>
      <c r="L391" s="703" t="s">
        <v>334</v>
      </c>
      <c r="M391" s="702">
        <v>42825</v>
      </c>
      <c r="N391" s="702">
        <v>43235</v>
      </c>
      <c r="O391" s="703" t="s">
        <v>338</v>
      </c>
      <c r="P391" s="20">
        <v>40911.69</v>
      </c>
      <c r="Q391" s="20">
        <v>0</v>
      </c>
      <c r="R391" s="20">
        <v>0</v>
      </c>
      <c r="S391" s="20">
        <v>0</v>
      </c>
      <c r="T391" s="20">
        <v>40911.69</v>
      </c>
      <c r="U391" s="20">
        <v>36025.019999999997</v>
      </c>
      <c r="V391" s="20">
        <v>-4886.67</v>
      </c>
      <c r="W391" s="20">
        <v>-6250.39</v>
      </c>
      <c r="X391" s="20">
        <v>-1363.72</v>
      </c>
      <c r="Y391" s="20">
        <v>0</v>
      </c>
      <c r="Z391" s="20">
        <v>0</v>
      </c>
      <c r="AA391" s="20">
        <v>0</v>
      </c>
      <c r="AB391" s="20">
        <v>34661.300000000003</v>
      </c>
      <c r="AC391" t="s">
        <v>578</v>
      </c>
      <c r="AD391" t="s">
        <v>290</v>
      </c>
      <c r="AE391" s="702">
        <f t="shared" ref="AE391:AE454" si="30">IF(N391&gt;=$AG$5,DATE(YEAR(N391),6,1),DATE(YEAR(N391),6,1))</f>
        <v>43252</v>
      </c>
      <c r="AF391" s="289">
        <v>67956.416540268488</v>
      </c>
      <c r="AG391">
        <f t="shared" ref="AG391:AG454" si="31">+IF(AD391="intangível",20*12,IF(AD391="Diferido",120,IF(AD391="Não vinculados",0,IF(AE391&lt;=$AG$5,F391*12,360))))</f>
        <v>360</v>
      </c>
      <c r="AH391" s="289">
        <f t="shared" ref="AH391:AH454" si="32">IF(AG391=0,0,AF391/AG391)</f>
        <v>188.76782372296802</v>
      </c>
      <c r="AJ391" s="289">
        <f t="shared" ref="AJ391:AJ454" si="33">+IF(AND(YEAR(AE391)&gt;=2018,YEAR(AE391)&lt;=2022),IF(DATEDIF(AE391,$AK$4,"m")&gt;=AG391,AG391,DATEDIF(AE391,$AK$4,"m")),0)</f>
        <v>54</v>
      </c>
      <c r="AK391" s="289">
        <f t="shared" ref="AK391:AK454" si="34">IF(AD391="Imobilizado",AJ391*AH391,0)</f>
        <v>10193.462481040273</v>
      </c>
    </row>
    <row r="392" spans="1:37">
      <c r="A392" s="703" t="s">
        <v>1087</v>
      </c>
      <c r="B392" s="703" t="s">
        <v>331</v>
      </c>
      <c r="C392" s="703" t="s">
        <v>586</v>
      </c>
      <c r="D392" s="703" t="s">
        <v>486</v>
      </c>
      <c r="E392" s="703" t="s">
        <v>587</v>
      </c>
      <c r="F392" s="703" t="s">
        <v>335</v>
      </c>
      <c r="G392" s="703" t="s">
        <v>1088</v>
      </c>
      <c r="H392" s="703" t="s">
        <v>334</v>
      </c>
      <c r="I392" s="703" t="s">
        <v>334</v>
      </c>
      <c r="J392" s="703" t="s">
        <v>337</v>
      </c>
      <c r="K392" s="704">
        <v>0</v>
      </c>
      <c r="L392" s="703" t="s">
        <v>334</v>
      </c>
      <c r="M392" s="702">
        <v>40390</v>
      </c>
      <c r="N392" s="702">
        <v>43235</v>
      </c>
      <c r="O392" s="703" t="s">
        <v>338</v>
      </c>
      <c r="P392" s="20">
        <v>150118.68</v>
      </c>
      <c r="Q392" s="20">
        <v>0</v>
      </c>
      <c r="R392" s="20">
        <v>0</v>
      </c>
      <c r="S392" s="20">
        <v>0</v>
      </c>
      <c r="T392" s="20">
        <v>150118.68</v>
      </c>
      <c r="U392" s="20">
        <v>132187.82999999999</v>
      </c>
      <c r="V392" s="20">
        <v>-17930.849999999999</v>
      </c>
      <c r="W392" s="20">
        <v>-22934.81</v>
      </c>
      <c r="X392" s="20">
        <v>-5003.96</v>
      </c>
      <c r="Y392" s="20">
        <v>0</v>
      </c>
      <c r="Z392" s="20">
        <v>0</v>
      </c>
      <c r="AA392" s="20">
        <v>0</v>
      </c>
      <c r="AB392" s="20">
        <v>127183.87</v>
      </c>
      <c r="AC392" t="s">
        <v>589</v>
      </c>
      <c r="AD392" t="s">
        <v>290</v>
      </c>
      <c r="AE392" s="702">
        <f t="shared" si="30"/>
        <v>43252</v>
      </c>
      <c r="AF392" s="289">
        <v>249354.8310655285</v>
      </c>
      <c r="AG392">
        <f t="shared" si="31"/>
        <v>360</v>
      </c>
      <c r="AH392" s="289">
        <f t="shared" si="32"/>
        <v>692.65230851535694</v>
      </c>
      <c r="AJ392" s="289">
        <f t="shared" si="33"/>
        <v>54</v>
      </c>
      <c r="AK392" s="289">
        <f t="shared" si="34"/>
        <v>37403.224659829277</v>
      </c>
    </row>
    <row r="393" spans="1:37">
      <c r="A393" s="703" t="s">
        <v>1089</v>
      </c>
      <c r="B393" s="703" t="s">
        <v>331</v>
      </c>
      <c r="C393" s="703" t="s">
        <v>586</v>
      </c>
      <c r="D393" s="703" t="s">
        <v>486</v>
      </c>
      <c r="E393" s="703" t="s">
        <v>587</v>
      </c>
      <c r="F393" s="703" t="s">
        <v>335</v>
      </c>
      <c r="G393" s="703" t="s">
        <v>1090</v>
      </c>
      <c r="H393" s="703" t="s">
        <v>334</v>
      </c>
      <c r="I393" s="703" t="s">
        <v>334</v>
      </c>
      <c r="J393" s="703" t="s">
        <v>337</v>
      </c>
      <c r="K393" s="704">
        <v>0</v>
      </c>
      <c r="L393" s="703" t="s">
        <v>334</v>
      </c>
      <c r="M393" s="702">
        <v>40390</v>
      </c>
      <c r="N393" s="702">
        <v>43235</v>
      </c>
      <c r="O393" s="703" t="s">
        <v>338</v>
      </c>
      <c r="P393" s="20">
        <v>56751.199999999997</v>
      </c>
      <c r="Q393" s="20">
        <v>0</v>
      </c>
      <c r="R393" s="20">
        <v>0</v>
      </c>
      <c r="S393" s="20">
        <v>0</v>
      </c>
      <c r="T393" s="20">
        <v>56751.199999999997</v>
      </c>
      <c r="U393" s="20">
        <v>49972.57</v>
      </c>
      <c r="V393" s="20">
        <v>-6778.63</v>
      </c>
      <c r="W393" s="20">
        <v>-8670.34</v>
      </c>
      <c r="X393" s="20">
        <v>-1891.71</v>
      </c>
      <c r="Y393" s="20">
        <v>0</v>
      </c>
      <c r="Z393" s="20">
        <v>0</v>
      </c>
      <c r="AA393" s="20">
        <v>0</v>
      </c>
      <c r="AB393" s="20">
        <v>48080.86</v>
      </c>
      <c r="AC393" t="s">
        <v>589</v>
      </c>
      <c r="AD393" t="s">
        <v>290</v>
      </c>
      <c r="AE393" s="702">
        <f t="shared" si="30"/>
        <v>43252</v>
      </c>
      <c r="AF393" s="289">
        <v>94266.655480623871</v>
      </c>
      <c r="AG393">
        <f t="shared" si="31"/>
        <v>360</v>
      </c>
      <c r="AH393" s="289">
        <f t="shared" si="32"/>
        <v>261.85182077951077</v>
      </c>
      <c r="AJ393" s="289">
        <f t="shared" si="33"/>
        <v>54</v>
      </c>
      <c r="AK393" s="289">
        <f t="shared" si="34"/>
        <v>14139.998322093581</v>
      </c>
    </row>
    <row r="394" spans="1:37">
      <c r="A394" s="703" t="s">
        <v>1091</v>
      </c>
      <c r="B394" s="703" t="s">
        <v>331</v>
      </c>
      <c r="C394" s="703" t="s">
        <v>586</v>
      </c>
      <c r="D394" s="703" t="s">
        <v>486</v>
      </c>
      <c r="E394" s="703" t="s">
        <v>587</v>
      </c>
      <c r="F394" s="703" t="s">
        <v>335</v>
      </c>
      <c r="G394" s="703" t="s">
        <v>1092</v>
      </c>
      <c r="H394" s="703" t="s">
        <v>334</v>
      </c>
      <c r="I394" s="703" t="s">
        <v>334</v>
      </c>
      <c r="J394" s="703" t="s">
        <v>337</v>
      </c>
      <c r="K394" s="704">
        <v>0</v>
      </c>
      <c r="L394" s="703" t="s">
        <v>334</v>
      </c>
      <c r="M394" s="702">
        <v>40390</v>
      </c>
      <c r="N394" s="702">
        <v>43235</v>
      </c>
      <c r="O394" s="703" t="s">
        <v>338</v>
      </c>
      <c r="P394" s="20">
        <v>179894.47</v>
      </c>
      <c r="Q394" s="20">
        <v>0</v>
      </c>
      <c r="R394" s="20">
        <v>0</v>
      </c>
      <c r="S394" s="20">
        <v>0</v>
      </c>
      <c r="T394" s="20">
        <v>179894.47</v>
      </c>
      <c r="U394" s="20">
        <v>158407.07999999999</v>
      </c>
      <c r="V394" s="20">
        <v>-21487.39</v>
      </c>
      <c r="W394" s="20">
        <v>-27483.87</v>
      </c>
      <c r="X394" s="20">
        <v>-5996.48</v>
      </c>
      <c r="Y394" s="20">
        <v>0</v>
      </c>
      <c r="Z394" s="20">
        <v>0</v>
      </c>
      <c r="AA394" s="20">
        <v>0</v>
      </c>
      <c r="AB394" s="20">
        <v>152410.6</v>
      </c>
      <c r="AC394" t="s">
        <v>589</v>
      </c>
      <c r="AD394" t="s">
        <v>290</v>
      </c>
      <c r="AE394" s="702">
        <f t="shared" si="30"/>
        <v>43252</v>
      </c>
      <c r="AF394" s="289">
        <v>298813.94624887983</v>
      </c>
      <c r="AG394">
        <f t="shared" si="31"/>
        <v>360</v>
      </c>
      <c r="AH394" s="289">
        <f t="shared" si="32"/>
        <v>830.03873958022177</v>
      </c>
      <c r="AJ394" s="289">
        <f t="shared" si="33"/>
        <v>54</v>
      </c>
      <c r="AK394" s="289">
        <f t="shared" si="34"/>
        <v>44822.091937331978</v>
      </c>
    </row>
    <row r="395" spans="1:37">
      <c r="A395" s="703" t="s">
        <v>1093</v>
      </c>
      <c r="B395" s="703" t="s">
        <v>331</v>
      </c>
      <c r="C395" s="703" t="s">
        <v>586</v>
      </c>
      <c r="D395" s="703" t="s">
        <v>486</v>
      </c>
      <c r="E395" s="703" t="s">
        <v>587</v>
      </c>
      <c r="F395" s="703" t="s">
        <v>335</v>
      </c>
      <c r="G395" s="703" t="s">
        <v>1094</v>
      </c>
      <c r="H395" s="703" t="s">
        <v>334</v>
      </c>
      <c r="I395" s="703" t="s">
        <v>334</v>
      </c>
      <c r="J395" s="703" t="s">
        <v>337</v>
      </c>
      <c r="K395" s="704">
        <v>0</v>
      </c>
      <c r="L395" s="703" t="s">
        <v>334</v>
      </c>
      <c r="M395" s="702">
        <v>40390</v>
      </c>
      <c r="N395" s="702">
        <v>43235</v>
      </c>
      <c r="O395" s="703" t="s">
        <v>338</v>
      </c>
      <c r="P395" s="20">
        <v>91063.53</v>
      </c>
      <c r="Q395" s="20">
        <v>0</v>
      </c>
      <c r="R395" s="20">
        <v>0</v>
      </c>
      <c r="S395" s="20">
        <v>0</v>
      </c>
      <c r="T395" s="20">
        <v>91063.53</v>
      </c>
      <c r="U395" s="20">
        <v>80186.5</v>
      </c>
      <c r="V395" s="20">
        <v>-10877.03</v>
      </c>
      <c r="W395" s="20">
        <v>-13912.48</v>
      </c>
      <c r="X395" s="20">
        <v>-3035.45</v>
      </c>
      <c r="Y395" s="20">
        <v>0</v>
      </c>
      <c r="Z395" s="20">
        <v>0</v>
      </c>
      <c r="AA395" s="20">
        <v>0</v>
      </c>
      <c r="AB395" s="20">
        <v>77151.05</v>
      </c>
      <c r="AC395" t="s">
        <v>589</v>
      </c>
      <c r="AD395" t="s">
        <v>290</v>
      </c>
      <c r="AE395" s="702">
        <f t="shared" si="30"/>
        <v>43252</v>
      </c>
      <c r="AF395" s="289">
        <v>151261.19640394312</v>
      </c>
      <c r="AG395">
        <f t="shared" si="31"/>
        <v>360</v>
      </c>
      <c r="AH395" s="289">
        <f t="shared" si="32"/>
        <v>420.16999001095309</v>
      </c>
      <c r="AJ395" s="289">
        <f t="shared" si="33"/>
        <v>54</v>
      </c>
      <c r="AK395" s="289">
        <f t="shared" si="34"/>
        <v>22689.179460591466</v>
      </c>
    </row>
    <row r="396" spans="1:37">
      <c r="A396" s="703" t="s">
        <v>1095</v>
      </c>
      <c r="B396" s="703" t="s">
        <v>331</v>
      </c>
      <c r="C396" s="703" t="s">
        <v>586</v>
      </c>
      <c r="D396" s="703" t="s">
        <v>486</v>
      </c>
      <c r="E396" s="703" t="s">
        <v>587</v>
      </c>
      <c r="F396" s="703" t="s">
        <v>335</v>
      </c>
      <c r="G396" s="703" t="s">
        <v>1096</v>
      </c>
      <c r="H396" s="703" t="s">
        <v>334</v>
      </c>
      <c r="I396" s="703" t="s">
        <v>334</v>
      </c>
      <c r="J396" s="703" t="s">
        <v>337</v>
      </c>
      <c r="K396" s="704">
        <v>0</v>
      </c>
      <c r="L396" s="703" t="s">
        <v>334</v>
      </c>
      <c r="M396" s="702">
        <v>40390</v>
      </c>
      <c r="N396" s="702">
        <v>43235</v>
      </c>
      <c r="O396" s="703" t="s">
        <v>338</v>
      </c>
      <c r="P396" s="20">
        <v>256258.66</v>
      </c>
      <c r="Q396" s="20">
        <v>0</v>
      </c>
      <c r="R396" s="20">
        <v>0</v>
      </c>
      <c r="S396" s="20">
        <v>0</v>
      </c>
      <c r="T396" s="20">
        <v>256258.66</v>
      </c>
      <c r="U396" s="20">
        <v>225649.97</v>
      </c>
      <c r="V396" s="20">
        <v>-30608.69</v>
      </c>
      <c r="W396" s="20">
        <v>-39150.65</v>
      </c>
      <c r="X396" s="20">
        <v>-8541.9599999999991</v>
      </c>
      <c r="Y396" s="20">
        <v>0</v>
      </c>
      <c r="Z396" s="20">
        <v>0</v>
      </c>
      <c r="AA396" s="20">
        <v>0</v>
      </c>
      <c r="AB396" s="20">
        <v>217108.01</v>
      </c>
      <c r="AC396" t="s">
        <v>589</v>
      </c>
      <c r="AD396" t="s">
        <v>290</v>
      </c>
      <c r="AE396" s="702">
        <f t="shared" si="30"/>
        <v>43252</v>
      </c>
      <c r="AF396" s="289">
        <v>425658.78459215548</v>
      </c>
      <c r="AG396">
        <f t="shared" si="31"/>
        <v>360</v>
      </c>
      <c r="AH396" s="289">
        <f t="shared" si="32"/>
        <v>1182.3855127559875</v>
      </c>
      <c r="AJ396" s="289">
        <f t="shared" si="33"/>
        <v>54</v>
      </c>
      <c r="AK396" s="289">
        <f t="shared" si="34"/>
        <v>63848.817688823328</v>
      </c>
    </row>
    <row r="397" spans="1:37">
      <c r="A397" s="703" t="s">
        <v>1097</v>
      </c>
      <c r="B397" s="703" t="s">
        <v>331</v>
      </c>
      <c r="C397" s="703" t="s">
        <v>586</v>
      </c>
      <c r="D397" s="703" t="s">
        <v>486</v>
      </c>
      <c r="E397" s="703" t="s">
        <v>587</v>
      </c>
      <c r="F397" s="703" t="s">
        <v>335</v>
      </c>
      <c r="G397" s="703" t="s">
        <v>1098</v>
      </c>
      <c r="H397" s="703" t="s">
        <v>334</v>
      </c>
      <c r="I397" s="703" t="s">
        <v>334</v>
      </c>
      <c r="J397" s="703" t="s">
        <v>337</v>
      </c>
      <c r="K397" s="704">
        <v>0</v>
      </c>
      <c r="L397" s="703" t="s">
        <v>334</v>
      </c>
      <c r="M397" s="702">
        <v>40390</v>
      </c>
      <c r="N397" s="702">
        <v>43235</v>
      </c>
      <c r="O397" s="703" t="s">
        <v>338</v>
      </c>
      <c r="P397" s="20">
        <v>35627.35</v>
      </c>
      <c r="Q397" s="20">
        <v>0</v>
      </c>
      <c r="R397" s="20">
        <v>0</v>
      </c>
      <c r="S397" s="20">
        <v>0</v>
      </c>
      <c r="T397" s="20">
        <v>35627.35</v>
      </c>
      <c r="U397" s="20">
        <v>31371.86</v>
      </c>
      <c r="V397" s="20">
        <v>-4255.49</v>
      </c>
      <c r="W397" s="20">
        <v>-5443.07</v>
      </c>
      <c r="X397" s="20">
        <v>-1187.58</v>
      </c>
      <c r="Y397" s="20">
        <v>0</v>
      </c>
      <c r="Z397" s="20">
        <v>0</v>
      </c>
      <c r="AA397" s="20">
        <v>0</v>
      </c>
      <c r="AB397" s="20">
        <v>30184.28</v>
      </c>
      <c r="AC397" t="s">
        <v>589</v>
      </c>
      <c r="AD397" t="s">
        <v>290</v>
      </c>
      <c r="AE397" s="702">
        <f t="shared" si="30"/>
        <v>43252</v>
      </c>
      <c r="AF397" s="289">
        <v>59178.856625720779</v>
      </c>
      <c r="AG397">
        <f t="shared" si="31"/>
        <v>360</v>
      </c>
      <c r="AH397" s="289">
        <f t="shared" si="32"/>
        <v>164.38571284922438</v>
      </c>
      <c r="AJ397" s="289">
        <f t="shared" si="33"/>
        <v>54</v>
      </c>
      <c r="AK397" s="289">
        <f t="shared" si="34"/>
        <v>8876.8284938581164</v>
      </c>
    </row>
    <row r="398" spans="1:37">
      <c r="A398" s="703" t="s">
        <v>1099</v>
      </c>
      <c r="B398" s="703" t="s">
        <v>331</v>
      </c>
      <c r="C398" s="703" t="s">
        <v>586</v>
      </c>
      <c r="D398" s="703" t="s">
        <v>486</v>
      </c>
      <c r="E398" s="703" t="s">
        <v>587</v>
      </c>
      <c r="F398" s="703" t="s">
        <v>335</v>
      </c>
      <c r="G398" s="703" t="s">
        <v>1100</v>
      </c>
      <c r="H398" s="703" t="s">
        <v>334</v>
      </c>
      <c r="I398" s="703" t="s">
        <v>334</v>
      </c>
      <c r="J398" s="703" t="s">
        <v>337</v>
      </c>
      <c r="K398" s="704">
        <v>0</v>
      </c>
      <c r="L398" s="703" t="s">
        <v>334</v>
      </c>
      <c r="M398" s="702">
        <v>42766</v>
      </c>
      <c r="N398" s="702">
        <v>43235</v>
      </c>
      <c r="O398" s="703" t="s">
        <v>338</v>
      </c>
      <c r="P398" s="20">
        <v>115337.21</v>
      </c>
      <c r="Q398" s="20">
        <v>0</v>
      </c>
      <c r="R398" s="20">
        <v>0</v>
      </c>
      <c r="S398" s="20">
        <v>0</v>
      </c>
      <c r="T398" s="20">
        <v>115337.21</v>
      </c>
      <c r="U398" s="20">
        <v>101560.83</v>
      </c>
      <c r="V398" s="20">
        <v>-13776.38</v>
      </c>
      <c r="W398" s="20">
        <v>-17620.95</v>
      </c>
      <c r="X398" s="20">
        <v>-3844.57</v>
      </c>
      <c r="Y398" s="20">
        <v>0</v>
      </c>
      <c r="Z398" s="20">
        <v>0</v>
      </c>
      <c r="AA398" s="20">
        <v>0</v>
      </c>
      <c r="AB398" s="20">
        <v>97716.26</v>
      </c>
      <c r="AC398" t="s">
        <v>589</v>
      </c>
      <c r="AD398" t="s">
        <v>290</v>
      </c>
      <c r="AE398" s="702">
        <f t="shared" si="30"/>
        <v>43252</v>
      </c>
      <c r="AF398" s="289">
        <v>191581.02452752308</v>
      </c>
      <c r="AG398">
        <f t="shared" si="31"/>
        <v>360</v>
      </c>
      <c r="AH398" s="289">
        <f t="shared" si="32"/>
        <v>532.16951257645303</v>
      </c>
      <c r="AJ398" s="289">
        <f t="shared" si="33"/>
        <v>54</v>
      </c>
      <c r="AK398" s="289">
        <f t="shared" si="34"/>
        <v>28737.153679128463</v>
      </c>
    </row>
    <row r="399" spans="1:37">
      <c r="A399" s="703" t="s">
        <v>1101</v>
      </c>
      <c r="B399" s="703" t="s">
        <v>331</v>
      </c>
      <c r="C399" s="703" t="s">
        <v>586</v>
      </c>
      <c r="D399" s="703" t="s">
        <v>486</v>
      </c>
      <c r="E399" s="703" t="s">
        <v>587</v>
      </c>
      <c r="F399" s="703" t="s">
        <v>335</v>
      </c>
      <c r="G399" s="703" t="s">
        <v>1102</v>
      </c>
      <c r="H399" s="703" t="s">
        <v>334</v>
      </c>
      <c r="I399" s="703" t="s">
        <v>334</v>
      </c>
      <c r="J399" s="703" t="s">
        <v>337</v>
      </c>
      <c r="K399" s="704">
        <v>0</v>
      </c>
      <c r="L399" s="703" t="s">
        <v>334</v>
      </c>
      <c r="M399" s="702">
        <v>42766</v>
      </c>
      <c r="N399" s="702">
        <v>43235</v>
      </c>
      <c r="O399" s="703" t="s">
        <v>338</v>
      </c>
      <c r="P399" s="20">
        <v>231</v>
      </c>
      <c r="Q399" s="20">
        <v>0</v>
      </c>
      <c r="R399" s="20">
        <v>0</v>
      </c>
      <c r="S399" s="20">
        <v>0</v>
      </c>
      <c r="T399" s="20">
        <v>231</v>
      </c>
      <c r="U399" s="20">
        <v>203.41</v>
      </c>
      <c r="V399" s="20">
        <v>-27.59</v>
      </c>
      <c r="W399" s="20">
        <v>-35.29</v>
      </c>
      <c r="X399" s="20">
        <v>-7.7</v>
      </c>
      <c r="Y399" s="20">
        <v>0</v>
      </c>
      <c r="Z399" s="20">
        <v>0</v>
      </c>
      <c r="AA399" s="20">
        <v>0</v>
      </c>
      <c r="AB399" s="20">
        <v>195.71</v>
      </c>
      <c r="AC399" t="s">
        <v>589</v>
      </c>
      <c r="AD399" t="s">
        <v>290</v>
      </c>
      <c r="AE399" s="702">
        <f t="shared" si="30"/>
        <v>43252</v>
      </c>
      <c r="AF399" s="289">
        <v>383.70285414271621</v>
      </c>
      <c r="AG399">
        <f t="shared" si="31"/>
        <v>360</v>
      </c>
      <c r="AH399" s="289">
        <f t="shared" si="32"/>
        <v>1.065841261507545</v>
      </c>
      <c r="AJ399" s="289">
        <f t="shared" si="33"/>
        <v>54</v>
      </c>
      <c r="AK399" s="289">
        <f t="shared" si="34"/>
        <v>57.555428121407431</v>
      </c>
    </row>
    <row r="400" spans="1:37">
      <c r="A400" s="703" t="s">
        <v>1103</v>
      </c>
      <c r="B400" s="703" t="s">
        <v>331</v>
      </c>
      <c r="C400" s="703" t="s">
        <v>586</v>
      </c>
      <c r="D400" s="703" t="s">
        <v>486</v>
      </c>
      <c r="E400" s="703" t="s">
        <v>587</v>
      </c>
      <c r="F400" s="703" t="s">
        <v>335</v>
      </c>
      <c r="G400" s="703" t="s">
        <v>1104</v>
      </c>
      <c r="H400" s="703" t="s">
        <v>334</v>
      </c>
      <c r="I400" s="703" t="s">
        <v>334</v>
      </c>
      <c r="J400" s="703" t="s">
        <v>337</v>
      </c>
      <c r="K400" s="704">
        <v>0</v>
      </c>
      <c r="L400" s="703" t="s">
        <v>334</v>
      </c>
      <c r="M400" s="702">
        <v>42766</v>
      </c>
      <c r="N400" s="702">
        <v>43235</v>
      </c>
      <c r="O400" s="703" t="s">
        <v>338</v>
      </c>
      <c r="P400" s="20">
        <v>20783.259999999998</v>
      </c>
      <c r="Q400" s="20">
        <v>0</v>
      </c>
      <c r="R400" s="20">
        <v>0</v>
      </c>
      <c r="S400" s="20">
        <v>0</v>
      </c>
      <c r="T400" s="20">
        <v>20783.259999999998</v>
      </c>
      <c r="U400" s="20">
        <v>18300.8</v>
      </c>
      <c r="V400" s="20">
        <v>-2482.46</v>
      </c>
      <c r="W400" s="20">
        <v>-3175.24</v>
      </c>
      <c r="X400" s="20">
        <v>-692.78</v>
      </c>
      <c r="Y400" s="20">
        <v>0</v>
      </c>
      <c r="Z400" s="20">
        <v>0</v>
      </c>
      <c r="AA400" s="20">
        <v>0</v>
      </c>
      <c r="AB400" s="20">
        <v>17608.02</v>
      </c>
      <c r="AC400" t="s">
        <v>589</v>
      </c>
      <c r="AD400" t="s">
        <v>290</v>
      </c>
      <c r="AE400" s="702">
        <f t="shared" si="30"/>
        <v>43252</v>
      </c>
      <c r="AF400" s="289">
        <v>34522.06138697033</v>
      </c>
      <c r="AG400">
        <f t="shared" si="31"/>
        <v>360</v>
      </c>
      <c r="AH400" s="289">
        <f t="shared" si="32"/>
        <v>95.894614963806475</v>
      </c>
      <c r="AJ400" s="289">
        <f t="shared" si="33"/>
        <v>54</v>
      </c>
      <c r="AK400" s="289">
        <f t="shared" si="34"/>
        <v>5178.3092080455499</v>
      </c>
    </row>
    <row r="401" spans="1:37">
      <c r="A401" s="703" t="s">
        <v>1105</v>
      </c>
      <c r="B401" s="703" t="s">
        <v>331</v>
      </c>
      <c r="C401" s="703" t="s">
        <v>586</v>
      </c>
      <c r="D401" s="703" t="s">
        <v>486</v>
      </c>
      <c r="E401" s="703" t="s">
        <v>587</v>
      </c>
      <c r="F401" s="703" t="s">
        <v>335</v>
      </c>
      <c r="G401" s="703" t="s">
        <v>1106</v>
      </c>
      <c r="H401" s="703" t="s">
        <v>334</v>
      </c>
      <c r="I401" s="703" t="s">
        <v>334</v>
      </c>
      <c r="J401" s="703" t="s">
        <v>337</v>
      </c>
      <c r="K401" s="704">
        <v>0</v>
      </c>
      <c r="L401" s="703" t="s">
        <v>334</v>
      </c>
      <c r="M401" s="702">
        <v>42766</v>
      </c>
      <c r="N401" s="702">
        <v>43235</v>
      </c>
      <c r="O401" s="703" t="s">
        <v>338</v>
      </c>
      <c r="P401" s="20">
        <v>158179.98000000001</v>
      </c>
      <c r="Q401" s="20">
        <v>0</v>
      </c>
      <c r="R401" s="20">
        <v>0</v>
      </c>
      <c r="S401" s="20">
        <v>0</v>
      </c>
      <c r="T401" s="20">
        <v>158179.98000000001</v>
      </c>
      <c r="U401" s="20">
        <v>139286.25</v>
      </c>
      <c r="V401" s="20">
        <v>-18893.73</v>
      </c>
      <c r="W401" s="20">
        <v>-24166.400000000001</v>
      </c>
      <c r="X401" s="20">
        <v>-5272.67</v>
      </c>
      <c r="Y401" s="20">
        <v>0</v>
      </c>
      <c r="Z401" s="20">
        <v>0</v>
      </c>
      <c r="AA401" s="20">
        <v>0</v>
      </c>
      <c r="AB401" s="20">
        <v>134013.57999999999</v>
      </c>
      <c r="AC401" t="s">
        <v>589</v>
      </c>
      <c r="AD401" t="s">
        <v>290</v>
      </c>
      <c r="AE401" s="702">
        <f t="shared" si="30"/>
        <v>43252</v>
      </c>
      <c r="AF401" s="289">
        <v>262745.06404431933</v>
      </c>
      <c r="AG401">
        <f t="shared" si="31"/>
        <v>360</v>
      </c>
      <c r="AH401" s="289">
        <f t="shared" si="32"/>
        <v>729.8474001231092</v>
      </c>
      <c r="AJ401" s="289">
        <f t="shared" si="33"/>
        <v>54</v>
      </c>
      <c r="AK401" s="289">
        <f t="shared" si="34"/>
        <v>39411.759606647895</v>
      </c>
    </row>
    <row r="402" spans="1:37">
      <c r="A402" s="703" t="s">
        <v>1107</v>
      </c>
      <c r="B402" s="703" t="s">
        <v>331</v>
      </c>
      <c r="C402" s="703" t="s">
        <v>586</v>
      </c>
      <c r="D402" s="703" t="s">
        <v>486</v>
      </c>
      <c r="E402" s="703" t="s">
        <v>587</v>
      </c>
      <c r="F402" s="703" t="s">
        <v>335</v>
      </c>
      <c r="G402" s="703" t="s">
        <v>1108</v>
      </c>
      <c r="H402" s="703" t="s">
        <v>334</v>
      </c>
      <c r="I402" s="703" t="s">
        <v>334</v>
      </c>
      <c r="J402" s="703" t="s">
        <v>337</v>
      </c>
      <c r="K402" s="704">
        <v>0</v>
      </c>
      <c r="L402" s="703" t="s">
        <v>334</v>
      </c>
      <c r="M402" s="702">
        <v>42766</v>
      </c>
      <c r="N402" s="702">
        <v>43235</v>
      </c>
      <c r="O402" s="703" t="s">
        <v>338</v>
      </c>
      <c r="P402" s="20">
        <v>221317.52</v>
      </c>
      <c r="Q402" s="20">
        <v>0</v>
      </c>
      <c r="R402" s="20">
        <v>0</v>
      </c>
      <c r="S402" s="20">
        <v>0</v>
      </c>
      <c r="T402" s="20">
        <v>221317.52</v>
      </c>
      <c r="U402" s="20">
        <v>194882.37</v>
      </c>
      <c r="V402" s="20">
        <v>-26435.15</v>
      </c>
      <c r="W402" s="20">
        <v>-33812.400000000001</v>
      </c>
      <c r="X402" s="20">
        <v>-7377.25</v>
      </c>
      <c r="Y402" s="20">
        <v>0</v>
      </c>
      <c r="Z402" s="20">
        <v>0</v>
      </c>
      <c r="AA402" s="20">
        <v>0</v>
      </c>
      <c r="AB402" s="20">
        <v>187505.12</v>
      </c>
      <c r="AC402" t="s">
        <v>589</v>
      </c>
      <c r="AD402" t="s">
        <v>290</v>
      </c>
      <c r="AE402" s="702">
        <f t="shared" si="30"/>
        <v>43252</v>
      </c>
      <c r="AF402" s="289">
        <v>367619.75799042283</v>
      </c>
      <c r="AG402">
        <f t="shared" si="31"/>
        <v>360</v>
      </c>
      <c r="AH402" s="289">
        <f t="shared" si="32"/>
        <v>1021.1659944178411</v>
      </c>
      <c r="AJ402" s="289">
        <f t="shared" si="33"/>
        <v>54</v>
      </c>
      <c r="AK402" s="289">
        <f t="shared" si="34"/>
        <v>55142.963698563421</v>
      </c>
    </row>
    <row r="403" spans="1:37">
      <c r="A403" s="703" t="s">
        <v>1109</v>
      </c>
      <c r="B403" s="703" t="s">
        <v>331</v>
      </c>
      <c r="C403" s="703" t="s">
        <v>586</v>
      </c>
      <c r="D403" s="703" t="s">
        <v>486</v>
      </c>
      <c r="E403" s="703" t="s">
        <v>587</v>
      </c>
      <c r="F403" s="703" t="s">
        <v>335</v>
      </c>
      <c r="G403" s="703" t="s">
        <v>1110</v>
      </c>
      <c r="H403" s="703" t="s">
        <v>334</v>
      </c>
      <c r="I403" s="703" t="s">
        <v>334</v>
      </c>
      <c r="J403" s="703" t="s">
        <v>337</v>
      </c>
      <c r="K403" s="704">
        <v>0</v>
      </c>
      <c r="L403" s="703" t="s">
        <v>334</v>
      </c>
      <c r="M403" s="702">
        <v>42766</v>
      </c>
      <c r="N403" s="702">
        <v>43235</v>
      </c>
      <c r="O403" s="703" t="s">
        <v>338</v>
      </c>
      <c r="P403" s="20">
        <v>175409.06</v>
      </c>
      <c r="Q403" s="20">
        <v>0</v>
      </c>
      <c r="R403" s="20">
        <v>0</v>
      </c>
      <c r="S403" s="20">
        <v>0</v>
      </c>
      <c r="T403" s="20">
        <v>175409.06</v>
      </c>
      <c r="U403" s="20">
        <v>154457.42000000001</v>
      </c>
      <c r="V403" s="20">
        <v>-20951.64</v>
      </c>
      <c r="W403" s="20">
        <v>-26798.61</v>
      </c>
      <c r="X403" s="20">
        <v>-5846.97</v>
      </c>
      <c r="Y403" s="20">
        <v>0</v>
      </c>
      <c r="Z403" s="20">
        <v>0</v>
      </c>
      <c r="AA403" s="20">
        <v>0</v>
      </c>
      <c r="AB403" s="20">
        <v>148610.45000000001</v>
      </c>
      <c r="AC403" t="s">
        <v>589</v>
      </c>
      <c r="AD403" t="s">
        <v>290</v>
      </c>
      <c r="AE403" s="702">
        <f t="shared" si="30"/>
        <v>43252</v>
      </c>
      <c r="AF403" s="289">
        <v>291363.4500627314</v>
      </c>
      <c r="AG403">
        <f t="shared" si="31"/>
        <v>360</v>
      </c>
      <c r="AH403" s="289">
        <f t="shared" si="32"/>
        <v>809.34291684092057</v>
      </c>
      <c r="AJ403" s="289">
        <f t="shared" si="33"/>
        <v>54</v>
      </c>
      <c r="AK403" s="289">
        <f t="shared" si="34"/>
        <v>43704.517509409714</v>
      </c>
    </row>
    <row r="404" spans="1:37">
      <c r="A404" s="703" t="s">
        <v>1111</v>
      </c>
      <c r="B404" s="703" t="s">
        <v>331</v>
      </c>
      <c r="C404" s="703" t="s">
        <v>586</v>
      </c>
      <c r="D404" s="703" t="s">
        <v>486</v>
      </c>
      <c r="E404" s="703" t="s">
        <v>587</v>
      </c>
      <c r="F404" s="703" t="s">
        <v>335</v>
      </c>
      <c r="G404" s="703" t="s">
        <v>1112</v>
      </c>
      <c r="H404" s="703" t="s">
        <v>334</v>
      </c>
      <c r="I404" s="703" t="s">
        <v>334</v>
      </c>
      <c r="J404" s="703" t="s">
        <v>337</v>
      </c>
      <c r="K404" s="704">
        <v>0</v>
      </c>
      <c r="L404" s="703" t="s">
        <v>334</v>
      </c>
      <c r="M404" s="702">
        <v>42766</v>
      </c>
      <c r="N404" s="702">
        <v>43235</v>
      </c>
      <c r="O404" s="703" t="s">
        <v>338</v>
      </c>
      <c r="P404" s="20">
        <v>153866</v>
      </c>
      <c r="Q404" s="20">
        <v>0</v>
      </c>
      <c r="R404" s="20">
        <v>0</v>
      </c>
      <c r="S404" s="20">
        <v>0</v>
      </c>
      <c r="T404" s="20">
        <v>153866</v>
      </c>
      <c r="U404" s="20">
        <v>135487.54999999999</v>
      </c>
      <c r="V404" s="20">
        <v>-18378.45</v>
      </c>
      <c r="W404" s="20">
        <v>-23507.32</v>
      </c>
      <c r="X404" s="20">
        <v>-5128.87</v>
      </c>
      <c r="Y404" s="20">
        <v>0</v>
      </c>
      <c r="Z404" s="20">
        <v>0</v>
      </c>
      <c r="AA404" s="20">
        <v>0</v>
      </c>
      <c r="AB404" s="20">
        <v>130358.68</v>
      </c>
      <c r="AC404" t="s">
        <v>589</v>
      </c>
      <c r="AD404" t="s">
        <v>290</v>
      </c>
      <c r="AE404" s="702">
        <f t="shared" si="30"/>
        <v>43252</v>
      </c>
      <c r="AF404" s="289">
        <v>255579.32188538168</v>
      </c>
      <c r="AG404">
        <f t="shared" si="31"/>
        <v>360</v>
      </c>
      <c r="AH404" s="289">
        <f t="shared" si="32"/>
        <v>709.94256079272691</v>
      </c>
      <c r="AJ404" s="289">
        <f t="shared" si="33"/>
        <v>54</v>
      </c>
      <c r="AK404" s="289">
        <f t="shared" si="34"/>
        <v>38336.898282807255</v>
      </c>
    </row>
    <row r="405" spans="1:37">
      <c r="A405" s="703" t="s">
        <v>1113</v>
      </c>
      <c r="B405" s="703" t="s">
        <v>331</v>
      </c>
      <c r="C405" s="703" t="s">
        <v>586</v>
      </c>
      <c r="D405" s="703" t="s">
        <v>486</v>
      </c>
      <c r="E405" s="703" t="s">
        <v>587</v>
      </c>
      <c r="F405" s="703" t="s">
        <v>335</v>
      </c>
      <c r="G405" s="703" t="s">
        <v>1114</v>
      </c>
      <c r="H405" s="703" t="s">
        <v>334</v>
      </c>
      <c r="I405" s="703" t="s">
        <v>334</v>
      </c>
      <c r="J405" s="703" t="s">
        <v>337</v>
      </c>
      <c r="K405" s="704">
        <v>0</v>
      </c>
      <c r="L405" s="703" t="s">
        <v>334</v>
      </c>
      <c r="M405" s="702">
        <v>42766</v>
      </c>
      <c r="N405" s="702">
        <v>43235</v>
      </c>
      <c r="O405" s="703" t="s">
        <v>338</v>
      </c>
      <c r="P405" s="20">
        <v>14650</v>
      </c>
      <c r="Q405" s="20">
        <v>0</v>
      </c>
      <c r="R405" s="20">
        <v>0</v>
      </c>
      <c r="S405" s="20">
        <v>0</v>
      </c>
      <c r="T405" s="20">
        <v>14650</v>
      </c>
      <c r="U405" s="20">
        <v>12900.15</v>
      </c>
      <c r="V405" s="20">
        <v>-1749.85</v>
      </c>
      <c r="W405" s="20">
        <v>-2238.1799999999998</v>
      </c>
      <c r="X405" s="20">
        <v>-488.33</v>
      </c>
      <c r="Y405" s="20">
        <v>0</v>
      </c>
      <c r="Z405" s="20">
        <v>0</v>
      </c>
      <c r="AA405" s="20">
        <v>0</v>
      </c>
      <c r="AB405" s="20">
        <v>12411.82</v>
      </c>
      <c r="AC405" t="s">
        <v>589</v>
      </c>
      <c r="AD405" t="s">
        <v>290</v>
      </c>
      <c r="AE405" s="702">
        <f t="shared" si="30"/>
        <v>43252</v>
      </c>
      <c r="AF405" s="289">
        <v>24334.40178870473</v>
      </c>
      <c r="AG405">
        <f t="shared" si="31"/>
        <v>360</v>
      </c>
      <c r="AH405" s="289">
        <f t="shared" si="32"/>
        <v>67.595560524179803</v>
      </c>
      <c r="AJ405" s="289">
        <f t="shared" si="33"/>
        <v>54</v>
      </c>
      <c r="AK405" s="289">
        <f t="shared" si="34"/>
        <v>3650.1602683057095</v>
      </c>
    </row>
    <row r="406" spans="1:37">
      <c r="A406" s="703" t="s">
        <v>1115</v>
      </c>
      <c r="B406" s="703" t="s">
        <v>331</v>
      </c>
      <c r="C406" s="703" t="s">
        <v>586</v>
      </c>
      <c r="D406" s="703" t="s">
        <v>486</v>
      </c>
      <c r="E406" s="703" t="s">
        <v>587</v>
      </c>
      <c r="F406" s="703" t="s">
        <v>335</v>
      </c>
      <c r="G406" s="703" t="s">
        <v>1116</v>
      </c>
      <c r="H406" s="703" t="s">
        <v>334</v>
      </c>
      <c r="I406" s="703" t="s">
        <v>334</v>
      </c>
      <c r="J406" s="703" t="s">
        <v>337</v>
      </c>
      <c r="K406" s="704">
        <v>0</v>
      </c>
      <c r="L406" s="703" t="s">
        <v>334</v>
      </c>
      <c r="M406" s="702">
        <v>42766</v>
      </c>
      <c r="N406" s="702">
        <v>43235</v>
      </c>
      <c r="O406" s="703" t="s">
        <v>338</v>
      </c>
      <c r="P406" s="20">
        <v>50276.13</v>
      </c>
      <c r="Q406" s="20">
        <v>0</v>
      </c>
      <c r="R406" s="20">
        <v>0</v>
      </c>
      <c r="S406" s="20">
        <v>0</v>
      </c>
      <c r="T406" s="20">
        <v>50276.13</v>
      </c>
      <c r="U406" s="20">
        <v>44270.93</v>
      </c>
      <c r="V406" s="20">
        <v>-6005.2</v>
      </c>
      <c r="W406" s="20">
        <v>-7681.07</v>
      </c>
      <c r="X406" s="20">
        <v>-1675.87</v>
      </c>
      <c r="Y406" s="20">
        <v>0</v>
      </c>
      <c r="Z406" s="20">
        <v>0</v>
      </c>
      <c r="AA406" s="20">
        <v>0</v>
      </c>
      <c r="AB406" s="20">
        <v>42595.06</v>
      </c>
      <c r="AC406" t="s">
        <v>589</v>
      </c>
      <c r="AD406" t="s">
        <v>290</v>
      </c>
      <c r="AE406" s="702">
        <f t="shared" si="30"/>
        <v>43252</v>
      </c>
      <c r="AF406" s="289">
        <v>83511.231931819217</v>
      </c>
      <c r="AG406">
        <f t="shared" si="31"/>
        <v>360</v>
      </c>
      <c r="AH406" s="289">
        <f t="shared" si="32"/>
        <v>231.97564425505337</v>
      </c>
      <c r="AJ406" s="289">
        <f t="shared" si="33"/>
        <v>54</v>
      </c>
      <c r="AK406" s="289">
        <f t="shared" si="34"/>
        <v>12526.684789772882</v>
      </c>
    </row>
    <row r="407" spans="1:37">
      <c r="A407" s="703" t="s">
        <v>1117</v>
      </c>
      <c r="B407" s="703" t="s">
        <v>331</v>
      </c>
      <c r="C407" s="703" t="s">
        <v>586</v>
      </c>
      <c r="D407" s="703" t="s">
        <v>486</v>
      </c>
      <c r="E407" s="703" t="s">
        <v>587</v>
      </c>
      <c r="F407" s="703" t="s">
        <v>335</v>
      </c>
      <c r="G407" s="703" t="s">
        <v>1118</v>
      </c>
      <c r="H407" s="703" t="s">
        <v>334</v>
      </c>
      <c r="I407" s="703" t="s">
        <v>334</v>
      </c>
      <c r="J407" s="703" t="s">
        <v>337</v>
      </c>
      <c r="K407" s="704">
        <v>0</v>
      </c>
      <c r="L407" s="703" t="s">
        <v>334</v>
      </c>
      <c r="M407" s="702">
        <v>43039</v>
      </c>
      <c r="N407" s="702">
        <v>43235</v>
      </c>
      <c r="O407" s="703" t="s">
        <v>338</v>
      </c>
      <c r="P407" s="20">
        <v>581856.41</v>
      </c>
      <c r="Q407" s="20">
        <v>0</v>
      </c>
      <c r="R407" s="20">
        <v>0</v>
      </c>
      <c r="S407" s="20">
        <v>0</v>
      </c>
      <c r="T407" s="20">
        <v>581856.41</v>
      </c>
      <c r="U407" s="20">
        <v>512356.91</v>
      </c>
      <c r="V407" s="20">
        <v>-69499.5</v>
      </c>
      <c r="W407" s="20">
        <v>-88894.71</v>
      </c>
      <c r="X407" s="20">
        <v>-19395.21</v>
      </c>
      <c r="Y407" s="20">
        <v>0</v>
      </c>
      <c r="Z407" s="20">
        <v>0</v>
      </c>
      <c r="AA407" s="20">
        <v>0</v>
      </c>
      <c r="AB407" s="20">
        <v>492961.7</v>
      </c>
      <c r="AC407" t="s">
        <v>589</v>
      </c>
      <c r="AD407" t="s">
        <v>290</v>
      </c>
      <c r="AE407" s="702">
        <f t="shared" si="30"/>
        <v>43252</v>
      </c>
      <c r="AF407" s="289">
        <v>966493.35592309304</v>
      </c>
      <c r="AG407">
        <f t="shared" si="31"/>
        <v>360</v>
      </c>
      <c r="AH407" s="289">
        <f t="shared" si="32"/>
        <v>2684.7037664530362</v>
      </c>
      <c r="AJ407" s="289">
        <f t="shared" si="33"/>
        <v>54</v>
      </c>
      <c r="AK407" s="289">
        <f t="shared" si="34"/>
        <v>144974.00338846396</v>
      </c>
    </row>
    <row r="408" spans="1:37">
      <c r="A408" s="703" t="s">
        <v>1119</v>
      </c>
      <c r="B408" s="703" t="s">
        <v>331</v>
      </c>
      <c r="C408" s="703" t="s">
        <v>586</v>
      </c>
      <c r="D408" s="703" t="s">
        <v>486</v>
      </c>
      <c r="E408" s="703" t="s">
        <v>587</v>
      </c>
      <c r="F408" s="703" t="s">
        <v>335</v>
      </c>
      <c r="G408" s="703" t="s">
        <v>1120</v>
      </c>
      <c r="H408" s="703" t="s">
        <v>334</v>
      </c>
      <c r="I408" s="703" t="s">
        <v>334</v>
      </c>
      <c r="J408" s="703" t="s">
        <v>337</v>
      </c>
      <c r="K408" s="704">
        <v>0</v>
      </c>
      <c r="L408" s="703" t="s">
        <v>334</v>
      </c>
      <c r="M408" s="702">
        <v>40390</v>
      </c>
      <c r="N408" s="702">
        <v>43235</v>
      </c>
      <c r="O408" s="703" t="s">
        <v>338</v>
      </c>
      <c r="P408" s="20">
        <v>87187.26</v>
      </c>
      <c r="Q408" s="20">
        <v>0</v>
      </c>
      <c r="R408" s="20">
        <v>0</v>
      </c>
      <c r="S408" s="20">
        <v>0</v>
      </c>
      <c r="T408" s="20">
        <v>87187.26</v>
      </c>
      <c r="U408" s="20">
        <v>76773.23</v>
      </c>
      <c r="V408" s="20">
        <v>-10414.030000000001</v>
      </c>
      <c r="W408" s="20">
        <v>-13320.27</v>
      </c>
      <c r="X408" s="20">
        <v>-2906.24</v>
      </c>
      <c r="Y408" s="20">
        <v>0</v>
      </c>
      <c r="Z408" s="20">
        <v>0</v>
      </c>
      <c r="AA408" s="20">
        <v>0</v>
      </c>
      <c r="AB408" s="20">
        <v>73866.990000000005</v>
      </c>
      <c r="AC408" t="s">
        <v>589</v>
      </c>
      <c r="AD408" t="s">
        <v>290</v>
      </c>
      <c r="AE408" s="702">
        <f t="shared" si="30"/>
        <v>43252</v>
      </c>
      <c r="AF408" s="289">
        <v>144822.51301680983</v>
      </c>
      <c r="AG408">
        <f t="shared" si="31"/>
        <v>360</v>
      </c>
      <c r="AH408" s="289">
        <f t="shared" si="32"/>
        <v>402.28475838002731</v>
      </c>
      <c r="AJ408" s="289">
        <f t="shared" si="33"/>
        <v>54</v>
      </c>
      <c r="AK408" s="289">
        <f t="shared" si="34"/>
        <v>21723.376952521474</v>
      </c>
    </row>
    <row r="409" spans="1:37">
      <c r="A409" s="703" t="s">
        <v>1121</v>
      </c>
      <c r="B409" s="703" t="s">
        <v>331</v>
      </c>
      <c r="C409" s="703" t="s">
        <v>586</v>
      </c>
      <c r="D409" s="703" t="s">
        <v>486</v>
      </c>
      <c r="E409" s="703" t="s">
        <v>587</v>
      </c>
      <c r="F409" s="703" t="s">
        <v>335</v>
      </c>
      <c r="G409" s="703" t="s">
        <v>1122</v>
      </c>
      <c r="H409" s="703" t="s">
        <v>334</v>
      </c>
      <c r="I409" s="703" t="s">
        <v>334</v>
      </c>
      <c r="J409" s="703" t="s">
        <v>337</v>
      </c>
      <c r="K409" s="704">
        <v>0</v>
      </c>
      <c r="L409" s="703" t="s">
        <v>334</v>
      </c>
      <c r="M409" s="702">
        <v>43039</v>
      </c>
      <c r="N409" s="702">
        <v>43235</v>
      </c>
      <c r="O409" s="703" t="s">
        <v>338</v>
      </c>
      <c r="P409" s="20">
        <v>69000</v>
      </c>
      <c r="Q409" s="20">
        <v>0</v>
      </c>
      <c r="R409" s="20">
        <v>0</v>
      </c>
      <c r="S409" s="20">
        <v>0</v>
      </c>
      <c r="T409" s="20">
        <v>69000</v>
      </c>
      <c r="U409" s="20">
        <v>60758.33</v>
      </c>
      <c r="V409" s="20">
        <v>-8241.67</v>
      </c>
      <c r="W409" s="20">
        <v>-10541.67</v>
      </c>
      <c r="X409" s="20">
        <v>-2300</v>
      </c>
      <c r="Y409" s="20">
        <v>0</v>
      </c>
      <c r="Z409" s="20">
        <v>0</v>
      </c>
      <c r="AA409" s="20">
        <v>0</v>
      </c>
      <c r="AB409" s="20">
        <v>58458.33</v>
      </c>
      <c r="AC409" t="s">
        <v>589</v>
      </c>
      <c r="AD409" t="s">
        <v>290</v>
      </c>
      <c r="AE409" s="702">
        <f t="shared" si="30"/>
        <v>43252</v>
      </c>
      <c r="AF409" s="289">
        <v>114612.54084782432</v>
      </c>
      <c r="AG409">
        <f t="shared" si="31"/>
        <v>360</v>
      </c>
      <c r="AH409" s="289">
        <f t="shared" si="32"/>
        <v>318.36816902173422</v>
      </c>
      <c r="AJ409" s="289">
        <f t="shared" si="33"/>
        <v>54</v>
      </c>
      <c r="AK409" s="289">
        <f t="shared" si="34"/>
        <v>17191.881127173649</v>
      </c>
    </row>
    <row r="410" spans="1:37">
      <c r="A410" s="703" t="s">
        <v>1123</v>
      </c>
      <c r="B410" s="703" t="s">
        <v>331</v>
      </c>
      <c r="C410" s="703" t="s">
        <v>1124</v>
      </c>
      <c r="D410" s="703" t="s">
        <v>1125</v>
      </c>
      <c r="E410" s="703" t="s">
        <v>334</v>
      </c>
      <c r="F410" s="703" t="s">
        <v>335</v>
      </c>
      <c r="G410" s="703" t="s">
        <v>1126</v>
      </c>
      <c r="H410" s="703" t="s">
        <v>334</v>
      </c>
      <c r="I410" s="703" t="s">
        <v>334</v>
      </c>
      <c r="J410" s="703" t="s">
        <v>337</v>
      </c>
      <c r="K410" s="704">
        <v>0</v>
      </c>
      <c r="L410" s="703" t="s">
        <v>334</v>
      </c>
      <c r="M410" s="702">
        <v>40968</v>
      </c>
      <c r="N410" s="702">
        <v>43235</v>
      </c>
      <c r="O410" s="703" t="s">
        <v>338</v>
      </c>
      <c r="P410" s="20">
        <v>445996.63</v>
      </c>
      <c r="Q410" s="20">
        <v>0</v>
      </c>
      <c r="R410" s="20">
        <v>0</v>
      </c>
      <c r="S410" s="20">
        <v>0</v>
      </c>
      <c r="T410" s="20">
        <v>445996.63</v>
      </c>
      <c r="U410" s="20">
        <v>392724.82</v>
      </c>
      <c r="V410" s="20">
        <v>-53271.81</v>
      </c>
      <c r="W410" s="20">
        <v>-68138.36</v>
      </c>
      <c r="X410" s="20">
        <v>-14866.55</v>
      </c>
      <c r="Y410" s="20">
        <v>0</v>
      </c>
      <c r="Z410" s="20">
        <v>0</v>
      </c>
      <c r="AA410" s="20">
        <v>0</v>
      </c>
      <c r="AB410" s="20">
        <v>377858.27</v>
      </c>
      <c r="AC410" t="s">
        <v>1127</v>
      </c>
      <c r="AD410" t="s">
        <v>290</v>
      </c>
      <c r="AE410" s="702">
        <f t="shared" si="30"/>
        <v>43252</v>
      </c>
      <c r="AF410" s="289">
        <v>740823.28947633319</v>
      </c>
      <c r="AG410">
        <f t="shared" si="31"/>
        <v>360</v>
      </c>
      <c r="AH410" s="289">
        <f t="shared" si="32"/>
        <v>2057.8424707675922</v>
      </c>
      <c r="AJ410" s="289">
        <f t="shared" si="33"/>
        <v>54</v>
      </c>
      <c r="AK410" s="289">
        <f t="shared" si="34"/>
        <v>111123.49342144998</v>
      </c>
    </row>
    <row r="411" spans="1:37">
      <c r="A411" s="703" t="s">
        <v>1128</v>
      </c>
      <c r="B411" s="703" t="s">
        <v>331</v>
      </c>
      <c r="C411" s="703" t="s">
        <v>1124</v>
      </c>
      <c r="D411" s="703" t="s">
        <v>1125</v>
      </c>
      <c r="E411" s="703" t="s">
        <v>334</v>
      </c>
      <c r="F411" s="703" t="s">
        <v>335</v>
      </c>
      <c r="G411" s="703" t="s">
        <v>1129</v>
      </c>
      <c r="H411" s="703" t="s">
        <v>334</v>
      </c>
      <c r="I411" s="703" t="s">
        <v>334</v>
      </c>
      <c r="J411" s="703" t="s">
        <v>337</v>
      </c>
      <c r="K411" s="704">
        <v>0</v>
      </c>
      <c r="L411" s="703" t="s">
        <v>334</v>
      </c>
      <c r="M411" s="702">
        <v>40968</v>
      </c>
      <c r="N411" s="702">
        <v>43235</v>
      </c>
      <c r="O411" s="703" t="s">
        <v>338</v>
      </c>
      <c r="P411" s="20">
        <v>100637.41</v>
      </c>
      <c r="Q411" s="20">
        <v>0</v>
      </c>
      <c r="R411" s="20">
        <v>0</v>
      </c>
      <c r="S411" s="20">
        <v>0</v>
      </c>
      <c r="T411" s="20">
        <v>100637.41</v>
      </c>
      <c r="U411" s="20">
        <v>88616.83</v>
      </c>
      <c r="V411" s="20">
        <v>-12020.58</v>
      </c>
      <c r="W411" s="20">
        <v>-15375.16</v>
      </c>
      <c r="X411" s="20">
        <v>-3354.58</v>
      </c>
      <c r="Y411" s="20">
        <v>0</v>
      </c>
      <c r="Z411" s="20">
        <v>0</v>
      </c>
      <c r="AA411" s="20">
        <v>0</v>
      </c>
      <c r="AB411" s="20">
        <v>85262.25</v>
      </c>
      <c r="AC411" t="s">
        <v>1127</v>
      </c>
      <c r="AD411" t="s">
        <v>290</v>
      </c>
      <c r="AE411" s="702">
        <f t="shared" si="30"/>
        <v>43252</v>
      </c>
      <c r="AF411" s="289">
        <v>167163.90238324992</v>
      </c>
      <c r="AG411">
        <f t="shared" si="31"/>
        <v>360</v>
      </c>
      <c r="AH411" s="289">
        <f t="shared" si="32"/>
        <v>464.34417328680536</v>
      </c>
      <c r="AJ411" s="289">
        <f t="shared" si="33"/>
        <v>54</v>
      </c>
      <c r="AK411" s="289">
        <f t="shared" si="34"/>
        <v>25074.585357487489</v>
      </c>
    </row>
    <row r="412" spans="1:37">
      <c r="A412" s="703" t="s">
        <v>1130</v>
      </c>
      <c r="B412" s="703" t="s">
        <v>331</v>
      </c>
      <c r="C412" s="703" t="s">
        <v>1124</v>
      </c>
      <c r="D412" s="703" t="s">
        <v>1125</v>
      </c>
      <c r="E412" s="703" t="s">
        <v>334</v>
      </c>
      <c r="F412" s="703" t="s">
        <v>335</v>
      </c>
      <c r="G412" s="703" t="s">
        <v>1131</v>
      </c>
      <c r="H412" s="703" t="s">
        <v>334</v>
      </c>
      <c r="I412" s="703" t="s">
        <v>334</v>
      </c>
      <c r="J412" s="703" t="s">
        <v>337</v>
      </c>
      <c r="K412" s="704">
        <v>0</v>
      </c>
      <c r="L412" s="703" t="s">
        <v>334</v>
      </c>
      <c r="M412" s="702">
        <v>40968</v>
      </c>
      <c r="N412" s="702">
        <v>43235</v>
      </c>
      <c r="O412" s="703" t="s">
        <v>338</v>
      </c>
      <c r="P412" s="20">
        <v>551650.24</v>
      </c>
      <c r="Q412" s="20">
        <v>0</v>
      </c>
      <c r="R412" s="20">
        <v>0</v>
      </c>
      <c r="S412" s="20">
        <v>0</v>
      </c>
      <c r="T412" s="20">
        <v>551650.24</v>
      </c>
      <c r="U412" s="20">
        <v>485758.69</v>
      </c>
      <c r="V412" s="20">
        <v>-65891.55</v>
      </c>
      <c r="W412" s="20">
        <v>-84279.89</v>
      </c>
      <c r="X412" s="20">
        <v>-18388.34</v>
      </c>
      <c r="Y412" s="20">
        <v>0</v>
      </c>
      <c r="Z412" s="20">
        <v>0</v>
      </c>
      <c r="AA412" s="20">
        <v>0</v>
      </c>
      <c r="AB412" s="20">
        <v>467370.35</v>
      </c>
      <c r="AC412" t="s">
        <v>1127</v>
      </c>
      <c r="AD412" t="s">
        <v>290</v>
      </c>
      <c r="AE412" s="702">
        <f t="shared" si="30"/>
        <v>43252</v>
      </c>
      <c r="AF412" s="289">
        <v>916319.35747408832</v>
      </c>
      <c r="AG412">
        <f t="shared" si="31"/>
        <v>360</v>
      </c>
      <c r="AH412" s="289">
        <f t="shared" si="32"/>
        <v>2545.331548539134</v>
      </c>
      <c r="AJ412" s="289">
        <f t="shared" si="33"/>
        <v>54</v>
      </c>
      <c r="AK412" s="289">
        <f t="shared" si="34"/>
        <v>137447.90362111325</v>
      </c>
    </row>
    <row r="413" spans="1:37">
      <c r="A413" s="703" t="s">
        <v>1132</v>
      </c>
      <c r="B413" s="703" t="s">
        <v>331</v>
      </c>
      <c r="C413" s="703" t="s">
        <v>1124</v>
      </c>
      <c r="D413" s="703" t="s">
        <v>1125</v>
      </c>
      <c r="E413" s="703" t="s">
        <v>334</v>
      </c>
      <c r="F413" s="703" t="s">
        <v>335</v>
      </c>
      <c r="G413" s="703" t="s">
        <v>1133</v>
      </c>
      <c r="H413" s="703" t="s">
        <v>334</v>
      </c>
      <c r="I413" s="703" t="s">
        <v>334</v>
      </c>
      <c r="J413" s="703" t="s">
        <v>337</v>
      </c>
      <c r="K413" s="704">
        <v>0</v>
      </c>
      <c r="L413" s="703" t="s">
        <v>334</v>
      </c>
      <c r="M413" s="702">
        <v>40968</v>
      </c>
      <c r="N413" s="702">
        <v>43235</v>
      </c>
      <c r="O413" s="703" t="s">
        <v>338</v>
      </c>
      <c r="P413" s="20">
        <v>14592.12</v>
      </c>
      <c r="Q413" s="20">
        <v>0</v>
      </c>
      <c r="R413" s="20">
        <v>0</v>
      </c>
      <c r="S413" s="20">
        <v>0</v>
      </c>
      <c r="T413" s="20">
        <v>14592.12</v>
      </c>
      <c r="U413" s="20">
        <v>12849.18</v>
      </c>
      <c r="V413" s="20">
        <v>-1742.94</v>
      </c>
      <c r="W413" s="20">
        <v>-2229.34</v>
      </c>
      <c r="X413" s="20">
        <v>-486.4</v>
      </c>
      <c r="Y413" s="20">
        <v>0</v>
      </c>
      <c r="Z413" s="20">
        <v>0</v>
      </c>
      <c r="AA413" s="20">
        <v>0</v>
      </c>
      <c r="AB413" s="20">
        <v>12362.78</v>
      </c>
      <c r="AC413" t="s">
        <v>1127</v>
      </c>
      <c r="AD413" t="s">
        <v>290</v>
      </c>
      <c r="AE413" s="702">
        <f t="shared" si="30"/>
        <v>43252</v>
      </c>
      <c r="AF413" s="289">
        <v>24238.260138497888</v>
      </c>
      <c r="AG413">
        <f t="shared" si="31"/>
        <v>360</v>
      </c>
      <c r="AH413" s="289">
        <f t="shared" si="32"/>
        <v>67.328500384716349</v>
      </c>
      <c r="AJ413" s="289">
        <f t="shared" si="33"/>
        <v>54</v>
      </c>
      <c r="AK413" s="289">
        <f t="shared" si="34"/>
        <v>3635.739020774683</v>
      </c>
    </row>
    <row r="414" spans="1:37">
      <c r="A414" s="703" t="s">
        <v>1134</v>
      </c>
      <c r="B414" s="703" t="s">
        <v>331</v>
      </c>
      <c r="C414" s="703" t="s">
        <v>1124</v>
      </c>
      <c r="D414" s="703" t="s">
        <v>1125</v>
      </c>
      <c r="E414" s="703" t="s">
        <v>334</v>
      </c>
      <c r="F414" s="703" t="s">
        <v>335</v>
      </c>
      <c r="G414" s="703" t="s">
        <v>1135</v>
      </c>
      <c r="H414" s="703" t="s">
        <v>334</v>
      </c>
      <c r="I414" s="703" t="s">
        <v>334</v>
      </c>
      <c r="J414" s="703" t="s">
        <v>337</v>
      </c>
      <c r="K414" s="704">
        <v>0</v>
      </c>
      <c r="L414" s="703" t="s">
        <v>334</v>
      </c>
      <c r="M414" s="702">
        <v>40968</v>
      </c>
      <c r="N414" s="702">
        <v>43235</v>
      </c>
      <c r="O414" s="703" t="s">
        <v>338</v>
      </c>
      <c r="P414" s="20">
        <v>262127.34</v>
      </c>
      <c r="Q414" s="20">
        <v>0</v>
      </c>
      <c r="R414" s="20">
        <v>0</v>
      </c>
      <c r="S414" s="20">
        <v>0</v>
      </c>
      <c r="T414" s="20">
        <v>262127.34</v>
      </c>
      <c r="U414" s="20">
        <v>230817.68</v>
      </c>
      <c r="V414" s="20">
        <v>-31309.66</v>
      </c>
      <c r="W414" s="20">
        <v>-40047.24</v>
      </c>
      <c r="X414" s="20">
        <v>-8737.58</v>
      </c>
      <c r="Y414" s="20">
        <v>0</v>
      </c>
      <c r="Z414" s="20">
        <v>0</v>
      </c>
      <c r="AA414" s="20">
        <v>0</v>
      </c>
      <c r="AB414" s="20">
        <v>222080.1</v>
      </c>
      <c r="AC414" t="s">
        <v>1127</v>
      </c>
      <c r="AD414" t="s">
        <v>290</v>
      </c>
      <c r="AE414" s="702">
        <f t="shared" si="30"/>
        <v>43252</v>
      </c>
      <c r="AF414" s="289">
        <v>435406.96323306568</v>
      </c>
      <c r="AG414">
        <f t="shared" si="31"/>
        <v>360</v>
      </c>
      <c r="AH414" s="289">
        <f t="shared" si="32"/>
        <v>1209.4637867585157</v>
      </c>
      <c r="AJ414" s="289">
        <f t="shared" si="33"/>
        <v>54</v>
      </c>
      <c r="AK414" s="289">
        <f t="shared" si="34"/>
        <v>65311.044484959843</v>
      </c>
    </row>
    <row r="415" spans="1:37">
      <c r="A415" s="703" t="s">
        <v>1136</v>
      </c>
      <c r="B415" s="703" t="s">
        <v>331</v>
      </c>
      <c r="C415" s="703" t="s">
        <v>1124</v>
      </c>
      <c r="D415" s="703" t="s">
        <v>1125</v>
      </c>
      <c r="E415" s="703" t="s">
        <v>334</v>
      </c>
      <c r="F415" s="703" t="s">
        <v>335</v>
      </c>
      <c r="G415" s="703" t="s">
        <v>1137</v>
      </c>
      <c r="H415" s="703" t="s">
        <v>334</v>
      </c>
      <c r="I415" s="703" t="s">
        <v>334</v>
      </c>
      <c r="J415" s="703" t="s">
        <v>337</v>
      </c>
      <c r="K415" s="704">
        <v>0</v>
      </c>
      <c r="L415" s="703" t="s">
        <v>334</v>
      </c>
      <c r="M415" s="702">
        <v>40968</v>
      </c>
      <c r="N415" s="702">
        <v>43235</v>
      </c>
      <c r="O415" s="703" t="s">
        <v>338</v>
      </c>
      <c r="P415" s="20">
        <v>13003.06</v>
      </c>
      <c r="Q415" s="20">
        <v>0</v>
      </c>
      <c r="R415" s="20">
        <v>0</v>
      </c>
      <c r="S415" s="20">
        <v>0</v>
      </c>
      <c r="T415" s="20">
        <v>13003.06</v>
      </c>
      <c r="U415" s="20">
        <v>11449.9</v>
      </c>
      <c r="V415" s="20">
        <v>-1553.16</v>
      </c>
      <c r="W415" s="20">
        <v>-1986.6</v>
      </c>
      <c r="X415" s="20">
        <v>-433.44</v>
      </c>
      <c r="Y415" s="20">
        <v>0</v>
      </c>
      <c r="Z415" s="20">
        <v>0</v>
      </c>
      <c r="AA415" s="20">
        <v>0</v>
      </c>
      <c r="AB415" s="20">
        <v>11016.46</v>
      </c>
      <c r="AC415" t="s">
        <v>1127</v>
      </c>
      <c r="AD415" t="s">
        <v>290</v>
      </c>
      <c r="AE415" s="702">
        <f t="shared" si="30"/>
        <v>43252</v>
      </c>
      <c r="AF415" s="289">
        <v>21598.749933285657</v>
      </c>
      <c r="AG415">
        <f t="shared" si="31"/>
        <v>360</v>
      </c>
      <c r="AH415" s="289">
        <f t="shared" si="32"/>
        <v>59.996527592460161</v>
      </c>
      <c r="AJ415" s="289">
        <f t="shared" si="33"/>
        <v>54</v>
      </c>
      <c r="AK415" s="289">
        <f t="shared" si="34"/>
        <v>3239.8124899928489</v>
      </c>
    </row>
    <row r="416" spans="1:37">
      <c r="A416" s="703" t="s">
        <v>1138</v>
      </c>
      <c r="B416" s="703" t="s">
        <v>331</v>
      </c>
      <c r="C416" s="703" t="s">
        <v>1124</v>
      </c>
      <c r="D416" s="703" t="s">
        <v>1125</v>
      </c>
      <c r="E416" s="703" t="s">
        <v>334</v>
      </c>
      <c r="F416" s="703" t="s">
        <v>335</v>
      </c>
      <c r="G416" s="703" t="s">
        <v>1139</v>
      </c>
      <c r="H416" s="703" t="s">
        <v>334</v>
      </c>
      <c r="I416" s="703" t="s">
        <v>334</v>
      </c>
      <c r="J416" s="703" t="s">
        <v>337</v>
      </c>
      <c r="K416" s="704">
        <v>0</v>
      </c>
      <c r="L416" s="703" t="s">
        <v>334</v>
      </c>
      <c r="M416" s="702">
        <v>40968</v>
      </c>
      <c r="N416" s="702">
        <v>43235</v>
      </c>
      <c r="O416" s="703" t="s">
        <v>338</v>
      </c>
      <c r="P416" s="20">
        <v>56600.75</v>
      </c>
      <c r="Q416" s="20">
        <v>0</v>
      </c>
      <c r="R416" s="20">
        <v>0</v>
      </c>
      <c r="S416" s="20">
        <v>0</v>
      </c>
      <c r="T416" s="20">
        <v>56600.75</v>
      </c>
      <c r="U416" s="20">
        <v>49840.11</v>
      </c>
      <c r="V416" s="20">
        <v>-6760.64</v>
      </c>
      <c r="W416" s="20">
        <v>-8647.33</v>
      </c>
      <c r="X416" s="20">
        <v>-1886.69</v>
      </c>
      <c r="Y416" s="20">
        <v>0</v>
      </c>
      <c r="Z416" s="20">
        <v>0</v>
      </c>
      <c r="AA416" s="20">
        <v>0</v>
      </c>
      <c r="AB416" s="20">
        <v>47953.42</v>
      </c>
      <c r="AC416" t="s">
        <v>1127</v>
      </c>
      <c r="AD416" t="s">
        <v>290</v>
      </c>
      <c r="AE416" s="702">
        <f t="shared" si="30"/>
        <v>43252</v>
      </c>
      <c r="AF416" s="289">
        <v>94016.750310036121</v>
      </c>
      <c r="AG416">
        <f t="shared" si="31"/>
        <v>360</v>
      </c>
      <c r="AH416" s="289">
        <f t="shared" si="32"/>
        <v>261.15763975010032</v>
      </c>
      <c r="AJ416" s="289">
        <f t="shared" si="33"/>
        <v>54</v>
      </c>
      <c r="AK416" s="289">
        <f t="shared" si="34"/>
        <v>14102.512546505417</v>
      </c>
    </row>
    <row r="417" spans="1:37">
      <c r="A417" s="703" t="s">
        <v>1140</v>
      </c>
      <c r="B417" s="703" t="s">
        <v>331</v>
      </c>
      <c r="C417" s="703" t="s">
        <v>1124</v>
      </c>
      <c r="D417" s="703" t="s">
        <v>1125</v>
      </c>
      <c r="E417" s="703" t="s">
        <v>334</v>
      </c>
      <c r="F417" s="703" t="s">
        <v>335</v>
      </c>
      <c r="G417" s="703" t="s">
        <v>1141</v>
      </c>
      <c r="H417" s="703" t="s">
        <v>334</v>
      </c>
      <c r="I417" s="703" t="s">
        <v>334</v>
      </c>
      <c r="J417" s="703" t="s">
        <v>337</v>
      </c>
      <c r="K417" s="704">
        <v>0</v>
      </c>
      <c r="L417" s="703" t="s">
        <v>334</v>
      </c>
      <c r="M417" s="702">
        <v>40968</v>
      </c>
      <c r="N417" s="702">
        <v>43235</v>
      </c>
      <c r="O417" s="703" t="s">
        <v>338</v>
      </c>
      <c r="P417" s="20">
        <v>4126.6899999999996</v>
      </c>
      <c r="Q417" s="20">
        <v>0</v>
      </c>
      <c r="R417" s="20">
        <v>0</v>
      </c>
      <c r="S417" s="20">
        <v>0</v>
      </c>
      <c r="T417" s="20">
        <v>4126.6899999999996</v>
      </c>
      <c r="U417" s="20">
        <v>3633.77</v>
      </c>
      <c r="V417" s="20">
        <v>-492.92</v>
      </c>
      <c r="W417" s="20">
        <v>-630.48</v>
      </c>
      <c r="X417" s="20">
        <v>-137.56</v>
      </c>
      <c r="Y417" s="20">
        <v>0</v>
      </c>
      <c r="Z417" s="20">
        <v>0</v>
      </c>
      <c r="AA417" s="20">
        <v>0</v>
      </c>
      <c r="AB417" s="20">
        <v>3496.21</v>
      </c>
      <c r="AC417" t="s">
        <v>1127</v>
      </c>
      <c r="AD417" t="s">
        <v>290</v>
      </c>
      <c r="AE417" s="702">
        <f t="shared" si="30"/>
        <v>43252</v>
      </c>
      <c r="AF417" s="289">
        <v>6854.6438578450443</v>
      </c>
      <c r="AG417">
        <f t="shared" si="31"/>
        <v>360</v>
      </c>
      <c r="AH417" s="289">
        <f t="shared" si="32"/>
        <v>19.040677382902899</v>
      </c>
      <c r="AJ417" s="289">
        <f t="shared" si="33"/>
        <v>54</v>
      </c>
      <c r="AK417" s="289">
        <f t="shared" si="34"/>
        <v>1028.1965786767566</v>
      </c>
    </row>
    <row r="418" spans="1:37">
      <c r="A418" s="703" t="s">
        <v>1142</v>
      </c>
      <c r="B418" s="703" t="s">
        <v>331</v>
      </c>
      <c r="C418" s="703" t="s">
        <v>1124</v>
      </c>
      <c r="D418" s="703" t="s">
        <v>1125</v>
      </c>
      <c r="E418" s="703" t="s">
        <v>334</v>
      </c>
      <c r="F418" s="703" t="s">
        <v>335</v>
      </c>
      <c r="G418" s="703" t="s">
        <v>1143</v>
      </c>
      <c r="H418" s="703" t="s">
        <v>334</v>
      </c>
      <c r="I418" s="703" t="s">
        <v>334</v>
      </c>
      <c r="J418" s="703" t="s">
        <v>337</v>
      </c>
      <c r="K418" s="704">
        <v>0</v>
      </c>
      <c r="L418" s="703" t="s">
        <v>334</v>
      </c>
      <c r="M418" s="702">
        <v>40968</v>
      </c>
      <c r="N418" s="702">
        <v>43235</v>
      </c>
      <c r="O418" s="703" t="s">
        <v>338</v>
      </c>
      <c r="P418" s="20">
        <v>16410.43</v>
      </c>
      <c r="Q418" s="20">
        <v>0</v>
      </c>
      <c r="R418" s="20">
        <v>0</v>
      </c>
      <c r="S418" s="20">
        <v>0</v>
      </c>
      <c r="T418" s="20">
        <v>16410.43</v>
      </c>
      <c r="U418" s="20">
        <v>14450.31</v>
      </c>
      <c r="V418" s="20">
        <v>-1960.12</v>
      </c>
      <c r="W418" s="20">
        <v>-2507.13</v>
      </c>
      <c r="X418" s="20">
        <v>-547.01</v>
      </c>
      <c r="Y418" s="20">
        <v>0</v>
      </c>
      <c r="Z418" s="20">
        <v>0</v>
      </c>
      <c r="AA418" s="20">
        <v>0</v>
      </c>
      <c r="AB418" s="20">
        <v>13903.3</v>
      </c>
      <c r="AC418" t="s">
        <v>1127</v>
      </c>
      <c r="AD418" t="s">
        <v>290</v>
      </c>
      <c r="AE418" s="702">
        <f t="shared" si="30"/>
        <v>43252</v>
      </c>
      <c r="AF418" s="289">
        <v>27258.56635804872</v>
      </c>
      <c r="AG418">
        <f t="shared" si="31"/>
        <v>360</v>
      </c>
      <c r="AH418" s="289">
        <f t="shared" si="32"/>
        <v>75.718239883468669</v>
      </c>
      <c r="AJ418" s="289">
        <f t="shared" si="33"/>
        <v>54</v>
      </c>
      <c r="AK418" s="289">
        <f t="shared" si="34"/>
        <v>4088.784953707308</v>
      </c>
    </row>
    <row r="419" spans="1:37">
      <c r="A419" s="703" t="s">
        <v>1144</v>
      </c>
      <c r="B419" s="703" t="s">
        <v>331</v>
      </c>
      <c r="C419" s="703" t="s">
        <v>1124</v>
      </c>
      <c r="D419" s="703" t="s">
        <v>1125</v>
      </c>
      <c r="E419" s="703" t="s">
        <v>334</v>
      </c>
      <c r="F419" s="703" t="s">
        <v>335</v>
      </c>
      <c r="G419" s="703" t="s">
        <v>1145</v>
      </c>
      <c r="H419" s="703" t="s">
        <v>334</v>
      </c>
      <c r="I419" s="703" t="s">
        <v>334</v>
      </c>
      <c r="J419" s="703" t="s">
        <v>337</v>
      </c>
      <c r="K419" s="704">
        <v>0</v>
      </c>
      <c r="L419" s="703" t="s">
        <v>334</v>
      </c>
      <c r="M419" s="702">
        <v>40968</v>
      </c>
      <c r="N419" s="702">
        <v>43235</v>
      </c>
      <c r="O419" s="703" t="s">
        <v>338</v>
      </c>
      <c r="P419" s="20">
        <v>11392.68</v>
      </c>
      <c r="Q419" s="20">
        <v>0</v>
      </c>
      <c r="R419" s="20">
        <v>0</v>
      </c>
      <c r="S419" s="20">
        <v>0</v>
      </c>
      <c r="T419" s="20">
        <v>11392.68</v>
      </c>
      <c r="U419" s="20">
        <v>10031.879999999999</v>
      </c>
      <c r="V419" s="20">
        <v>-1360.8</v>
      </c>
      <c r="W419" s="20">
        <v>-1740.56</v>
      </c>
      <c r="X419" s="20">
        <v>-379.76</v>
      </c>
      <c r="Y419" s="20">
        <v>0</v>
      </c>
      <c r="Z419" s="20">
        <v>0</v>
      </c>
      <c r="AA419" s="20">
        <v>0</v>
      </c>
      <c r="AB419" s="20">
        <v>9652.1200000000008</v>
      </c>
      <c r="AC419" t="s">
        <v>1127</v>
      </c>
      <c r="AD419" t="s">
        <v>290</v>
      </c>
      <c r="AE419" s="702">
        <f t="shared" si="30"/>
        <v>43252</v>
      </c>
      <c r="AF419" s="289">
        <v>18923.826114002772</v>
      </c>
      <c r="AG419">
        <f t="shared" si="31"/>
        <v>360</v>
      </c>
      <c r="AH419" s="289">
        <f t="shared" si="32"/>
        <v>52.566183650007702</v>
      </c>
      <c r="AJ419" s="289">
        <f t="shared" si="33"/>
        <v>54</v>
      </c>
      <c r="AK419" s="289">
        <f t="shared" si="34"/>
        <v>2838.5739171004161</v>
      </c>
    </row>
    <row r="420" spans="1:37">
      <c r="A420" s="703" t="s">
        <v>1146</v>
      </c>
      <c r="B420" s="703" t="s">
        <v>331</v>
      </c>
      <c r="C420" s="703" t="s">
        <v>1124</v>
      </c>
      <c r="D420" s="703" t="s">
        <v>1125</v>
      </c>
      <c r="E420" s="703" t="s">
        <v>334</v>
      </c>
      <c r="F420" s="703" t="s">
        <v>335</v>
      </c>
      <c r="G420" s="703" t="s">
        <v>1147</v>
      </c>
      <c r="H420" s="703" t="s">
        <v>334</v>
      </c>
      <c r="I420" s="703" t="s">
        <v>334</v>
      </c>
      <c r="J420" s="703" t="s">
        <v>337</v>
      </c>
      <c r="K420" s="704">
        <v>0</v>
      </c>
      <c r="L420" s="703" t="s">
        <v>334</v>
      </c>
      <c r="M420" s="702">
        <v>40968</v>
      </c>
      <c r="N420" s="702">
        <v>43235</v>
      </c>
      <c r="O420" s="703" t="s">
        <v>338</v>
      </c>
      <c r="P420" s="20">
        <v>105346.82</v>
      </c>
      <c r="Q420" s="20">
        <v>0</v>
      </c>
      <c r="R420" s="20">
        <v>0</v>
      </c>
      <c r="S420" s="20">
        <v>0</v>
      </c>
      <c r="T420" s="20">
        <v>105346.82</v>
      </c>
      <c r="U420" s="20">
        <v>92763.73</v>
      </c>
      <c r="V420" s="20">
        <v>-12583.09</v>
      </c>
      <c r="W420" s="20">
        <v>-16094.65</v>
      </c>
      <c r="X420" s="20">
        <v>-3511.56</v>
      </c>
      <c r="Y420" s="20">
        <v>0</v>
      </c>
      <c r="Z420" s="20">
        <v>0</v>
      </c>
      <c r="AA420" s="20">
        <v>0</v>
      </c>
      <c r="AB420" s="20">
        <v>89252.17</v>
      </c>
      <c r="AC420" t="s">
        <v>1127</v>
      </c>
      <c r="AD420" t="s">
        <v>290</v>
      </c>
      <c r="AE420" s="702">
        <f t="shared" si="30"/>
        <v>43252</v>
      </c>
      <c r="AF420" s="289">
        <v>174986.4740643246</v>
      </c>
      <c r="AG420">
        <f t="shared" si="31"/>
        <v>360</v>
      </c>
      <c r="AH420" s="289">
        <f t="shared" si="32"/>
        <v>486.07353906756833</v>
      </c>
      <c r="AJ420" s="289">
        <f t="shared" si="33"/>
        <v>54</v>
      </c>
      <c r="AK420" s="289">
        <f t="shared" si="34"/>
        <v>26247.97110964869</v>
      </c>
    </row>
    <row r="421" spans="1:37">
      <c r="A421" s="703" t="s">
        <v>1148</v>
      </c>
      <c r="B421" s="703" t="s">
        <v>331</v>
      </c>
      <c r="C421" s="703" t="s">
        <v>1124</v>
      </c>
      <c r="D421" s="703" t="s">
        <v>1125</v>
      </c>
      <c r="E421" s="703" t="s">
        <v>334</v>
      </c>
      <c r="F421" s="703" t="s">
        <v>335</v>
      </c>
      <c r="G421" s="703" t="s">
        <v>1149</v>
      </c>
      <c r="H421" s="703" t="s">
        <v>334</v>
      </c>
      <c r="I421" s="703" t="s">
        <v>334</v>
      </c>
      <c r="J421" s="703" t="s">
        <v>337</v>
      </c>
      <c r="K421" s="704">
        <v>0</v>
      </c>
      <c r="L421" s="703" t="s">
        <v>334</v>
      </c>
      <c r="M421" s="702">
        <v>40968</v>
      </c>
      <c r="N421" s="702">
        <v>43235</v>
      </c>
      <c r="O421" s="703" t="s">
        <v>338</v>
      </c>
      <c r="P421" s="20">
        <v>433.75</v>
      </c>
      <c r="Q421" s="20">
        <v>0</v>
      </c>
      <c r="R421" s="20">
        <v>0</v>
      </c>
      <c r="S421" s="20">
        <v>0</v>
      </c>
      <c r="T421" s="20">
        <v>433.75</v>
      </c>
      <c r="U421" s="20">
        <v>381.94</v>
      </c>
      <c r="V421" s="20">
        <v>-51.81</v>
      </c>
      <c r="W421" s="20">
        <v>-66.27</v>
      </c>
      <c r="X421" s="20">
        <v>-14.46</v>
      </c>
      <c r="Y421" s="20">
        <v>0</v>
      </c>
      <c r="Z421" s="20">
        <v>0</v>
      </c>
      <c r="AA421" s="20">
        <v>0</v>
      </c>
      <c r="AB421" s="20">
        <v>367.48</v>
      </c>
      <c r="AC421" t="s">
        <v>1127</v>
      </c>
      <c r="AD421" t="s">
        <v>290</v>
      </c>
      <c r="AE421" s="702">
        <f t="shared" si="30"/>
        <v>43252</v>
      </c>
      <c r="AF421" s="289">
        <v>720.48100859048986</v>
      </c>
      <c r="AG421">
        <f t="shared" si="31"/>
        <v>360</v>
      </c>
      <c r="AH421" s="289">
        <f t="shared" si="32"/>
        <v>2.0013361349735828</v>
      </c>
      <c r="AJ421" s="289">
        <f t="shared" si="33"/>
        <v>54</v>
      </c>
      <c r="AK421" s="289">
        <f t="shared" si="34"/>
        <v>108.07215128857347</v>
      </c>
    </row>
    <row r="422" spans="1:37">
      <c r="A422" s="703" t="s">
        <v>1150</v>
      </c>
      <c r="B422" s="703" t="s">
        <v>331</v>
      </c>
      <c r="C422" s="703" t="s">
        <v>1124</v>
      </c>
      <c r="D422" s="703" t="s">
        <v>1125</v>
      </c>
      <c r="E422" s="703" t="s">
        <v>334</v>
      </c>
      <c r="F422" s="703" t="s">
        <v>335</v>
      </c>
      <c r="G422" s="703" t="s">
        <v>1151</v>
      </c>
      <c r="H422" s="703" t="s">
        <v>334</v>
      </c>
      <c r="I422" s="703" t="s">
        <v>334</v>
      </c>
      <c r="J422" s="703" t="s">
        <v>337</v>
      </c>
      <c r="K422" s="704">
        <v>0</v>
      </c>
      <c r="L422" s="703" t="s">
        <v>334</v>
      </c>
      <c r="M422" s="702">
        <v>40968</v>
      </c>
      <c r="N422" s="702">
        <v>43235</v>
      </c>
      <c r="O422" s="703" t="s">
        <v>338</v>
      </c>
      <c r="P422" s="20">
        <v>12448.58</v>
      </c>
      <c r="Q422" s="20">
        <v>0</v>
      </c>
      <c r="R422" s="20">
        <v>0</v>
      </c>
      <c r="S422" s="20">
        <v>0</v>
      </c>
      <c r="T422" s="20">
        <v>12448.58</v>
      </c>
      <c r="U422" s="20">
        <v>10961.67</v>
      </c>
      <c r="V422" s="20">
        <v>-1486.91</v>
      </c>
      <c r="W422" s="20">
        <v>-1901.86</v>
      </c>
      <c r="X422" s="20">
        <v>-414.95</v>
      </c>
      <c r="Y422" s="20">
        <v>0</v>
      </c>
      <c r="Z422" s="20">
        <v>0</v>
      </c>
      <c r="AA422" s="20">
        <v>0</v>
      </c>
      <c r="AB422" s="20">
        <v>10546.72</v>
      </c>
      <c r="AC422" t="s">
        <v>1127</v>
      </c>
      <c r="AD422" t="s">
        <v>290</v>
      </c>
      <c r="AE422" s="702">
        <f t="shared" si="30"/>
        <v>43252</v>
      </c>
      <c r="AF422" s="289">
        <v>20677.730199237809</v>
      </c>
      <c r="AG422">
        <f t="shared" si="31"/>
        <v>360</v>
      </c>
      <c r="AH422" s="289">
        <f t="shared" si="32"/>
        <v>57.438139442327248</v>
      </c>
      <c r="AJ422" s="289">
        <f t="shared" si="33"/>
        <v>54</v>
      </c>
      <c r="AK422" s="289">
        <f t="shared" si="34"/>
        <v>3101.6595298856714</v>
      </c>
    </row>
    <row r="423" spans="1:37">
      <c r="A423" s="703" t="s">
        <v>1152</v>
      </c>
      <c r="B423" s="703" t="s">
        <v>331</v>
      </c>
      <c r="C423" s="703" t="s">
        <v>1124</v>
      </c>
      <c r="D423" s="703" t="s">
        <v>1125</v>
      </c>
      <c r="E423" s="703" t="s">
        <v>334</v>
      </c>
      <c r="F423" s="703" t="s">
        <v>335</v>
      </c>
      <c r="G423" s="703" t="s">
        <v>1153</v>
      </c>
      <c r="H423" s="703" t="s">
        <v>334</v>
      </c>
      <c r="I423" s="703" t="s">
        <v>334</v>
      </c>
      <c r="J423" s="703" t="s">
        <v>337</v>
      </c>
      <c r="K423" s="704">
        <v>0</v>
      </c>
      <c r="L423" s="703" t="s">
        <v>334</v>
      </c>
      <c r="M423" s="702">
        <v>40968</v>
      </c>
      <c r="N423" s="702">
        <v>43235</v>
      </c>
      <c r="O423" s="703" t="s">
        <v>338</v>
      </c>
      <c r="P423" s="20">
        <v>25137.599999999999</v>
      </c>
      <c r="Q423" s="20">
        <v>0</v>
      </c>
      <c r="R423" s="20">
        <v>0</v>
      </c>
      <c r="S423" s="20">
        <v>0</v>
      </c>
      <c r="T423" s="20">
        <v>25137.599999999999</v>
      </c>
      <c r="U423" s="20">
        <v>22135.05</v>
      </c>
      <c r="V423" s="20">
        <v>-3002.55</v>
      </c>
      <c r="W423" s="20">
        <v>-3840.47</v>
      </c>
      <c r="X423" s="20">
        <v>-837.92</v>
      </c>
      <c r="Y423" s="20">
        <v>0</v>
      </c>
      <c r="Z423" s="20">
        <v>0</v>
      </c>
      <c r="AA423" s="20">
        <v>0</v>
      </c>
      <c r="AB423" s="20">
        <v>21297.13</v>
      </c>
      <c r="AC423" t="s">
        <v>1127</v>
      </c>
      <c r="AD423" t="s">
        <v>290</v>
      </c>
      <c r="AE423" s="702">
        <f t="shared" si="30"/>
        <v>43252</v>
      </c>
      <c r="AF423" s="289">
        <v>41754.843577047373</v>
      </c>
      <c r="AG423">
        <f t="shared" si="31"/>
        <v>360</v>
      </c>
      <c r="AH423" s="289">
        <f t="shared" si="32"/>
        <v>115.98567660290936</v>
      </c>
      <c r="AJ423" s="289">
        <f t="shared" si="33"/>
        <v>54</v>
      </c>
      <c r="AK423" s="289">
        <f t="shared" si="34"/>
        <v>6263.2265365571056</v>
      </c>
    </row>
    <row r="424" spans="1:37">
      <c r="A424" s="703" t="s">
        <v>1154</v>
      </c>
      <c r="B424" s="703" t="s">
        <v>331</v>
      </c>
      <c r="C424" s="703" t="s">
        <v>1124</v>
      </c>
      <c r="D424" s="703" t="s">
        <v>1125</v>
      </c>
      <c r="E424" s="703" t="s">
        <v>334</v>
      </c>
      <c r="F424" s="703" t="s">
        <v>335</v>
      </c>
      <c r="G424" s="703" t="s">
        <v>1155</v>
      </c>
      <c r="H424" s="703" t="s">
        <v>334</v>
      </c>
      <c r="I424" s="703" t="s">
        <v>334</v>
      </c>
      <c r="J424" s="703" t="s">
        <v>337</v>
      </c>
      <c r="K424" s="704">
        <v>0</v>
      </c>
      <c r="L424" s="703" t="s">
        <v>334</v>
      </c>
      <c r="M424" s="702">
        <v>40968</v>
      </c>
      <c r="N424" s="702">
        <v>43235</v>
      </c>
      <c r="O424" s="703" t="s">
        <v>338</v>
      </c>
      <c r="P424" s="20">
        <v>2561.54</v>
      </c>
      <c r="Q424" s="20">
        <v>0</v>
      </c>
      <c r="R424" s="20">
        <v>0</v>
      </c>
      <c r="S424" s="20">
        <v>0</v>
      </c>
      <c r="T424" s="20">
        <v>2561.54</v>
      </c>
      <c r="U424" s="20">
        <v>2255.59</v>
      </c>
      <c r="V424" s="20">
        <v>-305.95</v>
      </c>
      <c r="W424" s="20">
        <v>-391.33</v>
      </c>
      <c r="X424" s="20">
        <v>-85.38</v>
      </c>
      <c r="Y424" s="20">
        <v>0</v>
      </c>
      <c r="Z424" s="20">
        <v>0</v>
      </c>
      <c r="AA424" s="20">
        <v>0</v>
      </c>
      <c r="AB424" s="20">
        <v>2170.21</v>
      </c>
      <c r="AC424" t="s">
        <v>1127</v>
      </c>
      <c r="AD424" t="s">
        <v>290</v>
      </c>
      <c r="AE424" s="702">
        <f t="shared" si="30"/>
        <v>43252</v>
      </c>
      <c r="AF424" s="289">
        <v>4254.8493896135642</v>
      </c>
      <c r="AG424">
        <f t="shared" si="31"/>
        <v>360</v>
      </c>
      <c r="AH424" s="289">
        <f t="shared" si="32"/>
        <v>11.819026082259901</v>
      </c>
      <c r="AJ424" s="289">
        <f t="shared" si="33"/>
        <v>54</v>
      </c>
      <c r="AK424" s="289">
        <f t="shared" si="34"/>
        <v>638.22740844203463</v>
      </c>
    </row>
    <row r="425" spans="1:37">
      <c r="A425" s="703" t="s">
        <v>1156</v>
      </c>
      <c r="B425" s="703" t="s">
        <v>331</v>
      </c>
      <c r="C425" s="703" t="s">
        <v>1124</v>
      </c>
      <c r="D425" s="703" t="s">
        <v>1125</v>
      </c>
      <c r="E425" s="703" t="s">
        <v>334</v>
      </c>
      <c r="F425" s="703" t="s">
        <v>335</v>
      </c>
      <c r="G425" s="703" t="s">
        <v>1157</v>
      </c>
      <c r="H425" s="703" t="s">
        <v>334</v>
      </c>
      <c r="I425" s="703" t="s">
        <v>334</v>
      </c>
      <c r="J425" s="703" t="s">
        <v>337</v>
      </c>
      <c r="K425" s="704">
        <v>0</v>
      </c>
      <c r="L425" s="703" t="s">
        <v>334</v>
      </c>
      <c r="M425" s="702">
        <v>40968</v>
      </c>
      <c r="N425" s="702">
        <v>43235</v>
      </c>
      <c r="O425" s="703" t="s">
        <v>338</v>
      </c>
      <c r="P425" s="20">
        <v>68831.08</v>
      </c>
      <c r="Q425" s="20">
        <v>0</v>
      </c>
      <c r="R425" s="20">
        <v>0</v>
      </c>
      <c r="S425" s="20">
        <v>0</v>
      </c>
      <c r="T425" s="20">
        <v>68831.08</v>
      </c>
      <c r="U425" s="20">
        <v>60609.59</v>
      </c>
      <c r="V425" s="20">
        <v>-8221.49</v>
      </c>
      <c r="W425" s="20">
        <v>-10515.86</v>
      </c>
      <c r="X425" s="20">
        <v>-2294.37</v>
      </c>
      <c r="Y425" s="20">
        <v>0</v>
      </c>
      <c r="Z425" s="20">
        <v>0</v>
      </c>
      <c r="AA425" s="20">
        <v>0</v>
      </c>
      <c r="AB425" s="20">
        <v>58315.22</v>
      </c>
      <c r="AC425" t="s">
        <v>1127</v>
      </c>
      <c r="AD425" t="s">
        <v>290</v>
      </c>
      <c r="AE425" s="702">
        <f t="shared" si="30"/>
        <v>43252</v>
      </c>
      <c r="AF425" s="289">
        <v>114331.95605941831</v>
      </c>
      <c r="AG425">
        <f t="shared" si="31"/>
        <v>360</v>
      </c>
      <c r="AH425" s="289">
        <f t="shared" si="32"/>
        <v>317.58876683171752</v>
      </c>
      <c r="AJ425" s="289">
        <f t="shared" si="33"/>
        <v>54</v>
      </c>
      <c r="AK425" s="289">
        <f t="shared" si="34"/>
        <v>17149.793408912745</v>
      </c>
    </row>
    <row r="426" spans="1:37">
      <c r="A426" s="703" t="s">
        <v>1158</v>
      </c>
      <c r="B426" s="703" t="s">
        <v>331</v>
      </c>
      <c r="C426" s="703" t="s">
        <v>1124</v>
      </c>
      <c r="D426" s="703" t="s">
        <v>1125</v>
      </c>
      <c r="E426" s="703" t="s">
        <v>334</v>
      </c>
      <c r="F426" s="703" t="s">
        <v>335</v>
      </c>
      <c r="G426" s="703" t="s">
        <v>1159</v>
      </c>
      <c r="H426" s="703" t="s">
        <v>334</v>
      </c>
      <c r="I426" s="703" t="s">
        <v>334</v>
      </c>
      <c r="J426" s="703" t="s">
        <v>337</v>
      </c>
      <c r="K426" s="704">
        <v>0</v>
      </c>
      <c r="L426" s="703" t="s">
        <v>334</v>
      </c>
      <c r="M426" s="702">
        <v>40968</v>
      </c>
      <c r="N426" s="702">
        <v>43235</v>
      </c>
      <c r="O426" s="703" t="s">
        <v>338</v>
      </c>
      <c r="P426" s="20">
        <v>208.23</v>
      </c>
      <c r="Q426" s="20">
        <v>0</v>
      </c>
      <c r="R426" s="20">
        <v>0</v>
      </c>
      <c r="S426" s="20">
        <v>0</v>
      </c>
      <c r="T426" s="20">
        <v>208.23</v>
      </c>
      <c r="U426" s="20">
        <v>183.36</v>
      </c>
      <c r="V426" s="20">
        <v>-24.87</v>
      </c>
      <c r="W426" s="20">
        <v>-31.81</v>
      </c>
      <c r="X426" s="20">
        <v>-6.94</v>
      </c>
      <c r="Y426" s="20">
        <v>0</v>
      </c>
      <c r="Z426" s="20">
        <v>0</v>
      </c>
      <c r="AA426" s="20">
        <v>0</v>
      </c>
      <c r="AB426" s="20">
        <v>176.42</v>
      </c>
      <c r="AC426" t="s">
        <v>1127</v>
      </c>
      <c r="AD426" t="s">
        <v>290</v>
      </c>
      <c r="AE426" s="702">
        <f t="shared" si="30"/>
        <v>43252</v>
      </c>
      <c r="AF426" s="289">
        <v>345.88071566293416</v>
      </c>
      <c r="AG426">
        <f t="shared" si="31"/>
        <v>360</v>
      </c>
      <c r="AH426" s="289">
        <f t="shared" si="32"/>
        <v>0.96077976573037271</v>
      </c>
      <c r="AJ426" s="289">
        <f t="shared" si="33"/>
        <v>54</v>
      </c>
      <c r="AK426" s="289">
        <f t="shared" si="34"/>
        <v>51.882107349440126</v>
      </c>
    </row>
    <row r="427" spans="1:37">
      <c r="A427" s="703" t="s">
        <v>1160</v>
      </c>
      <c r="B427" s="703" t="s">
        <v>331</v>
      </c>
      <c r="C427" s="703" t="s">
        <v>1124</v>
      </c>
      <c r="D427" s="703" t="s">
        <v>1125</v>
      </c>
      <c r="E427" s="703" t="s">
        <v>334</v>
      </c>
      <c r="F427" s="703" t="s">
        <v>335</v>
      </c>
      <c r="G427" s="703" t="s">
        <v>1161</v>
      </c>
      <c r="H427" s="703" t="s">
        <v>334</v>
      </c>
      <c r="I427" s="703" t="s">
        <v>334</v>
      </c>
      <c r="J427" s="703" t="s">
        <v>337</v>
      </c>
      <c r="K427" s="704">
        <v>0</v>
      </c>
      <c r="L427" s="703" t="s">
        <v>334</v>
      </c>
      <c r="M427" s="702">
        <v>40968</v>
      </c>
      <c r="N427" s="702">
        <v>43235</v>
      </c>
      <c r="O427" s="703" t="s">
        <v>338</v>
      </c>
      <c r="P427" s="20">
        <v>862180.5</v>
      </c>
      <c r="Q427" s="20">
        <v>0</v>
      </c>
      <c r="R427" s="20">
        <v>0</v>
      </c>
      <c r="S427" s="20">
        <v>0</v>
      </c>
      <c r="T427" s="20">
        <v>862180.5</v>
      </c>
      <c r="U427" s="20">
        <v>759197.83</v>
      </c>
      <c r="V427" s="20">
        <v>-102982.67</v>
      </c>
      <c r="W427" s="20">
        <v>-131722.01999999999</v>
      </c>
      <c r="X427" s="20">
        <v>-28739.35</v>
      </c>
      <c r="Y427" s="20">
        <v>0</v>
      </c>
      <c r="Z427" s="20">
        <v>0</v>
      </c>
      <c r="AA427" s="20">
        <v>0</v>
      </c>
      <c r="AB427" s="20">
        <v>730458.48</v>
      </c>
      <c r="AC427" t="s">
        <v>1127</v>
      </c>
      <c r="AD427" t="s">
        <v>290</v>
      </c>
      <c r="AE427" s="702">
        <f t="shared" si="30"/>
        <v>43252</v>
      </c>
      <c r="AF427" s="289">
        <v>1432126.054702139</v>
      </c>
      <c r="AG427">
        <f t="shared" si="31"/>
        <v>360</v>
      </c>
      <c r="AH427" s="289">
        <f t="shared" si="32"/>
        <v>3978.127929728164</v>
      </c>
      <c r="AJ427" s="289">
        <f t="shared" si="33"/>
        <v>54</v>
      </c>
      <c r="AK427" s="289">
        <f t="shared" si="34"/>
        <v>214818.90820532085</v>
      </c>
    </row>
    <row r="428" spans="1:37">
      <c r="A428" s="703" t="s">
        <v>1162</v>
      </c>
      <c r="B428" s="703" t="s">
        <v>331</v>
      </c>
      <c r="C428" s="703" t="s">
        <v>1124</v>
      </c>
      <c r="D428" s="703" t="s">
        <v>1125</v>
      </c>
      <c r="E428" s="703" t="s">
        <v>334</v>
      </c>
      <c r="F428" s="703" t="s">
        <v>335</v>
      </c>
      <c r="G428" s="703" t="s">
        <v>1163</v>
      </c>
      <c r="H428" s="703" t="s">
        <v>334</v>
      </c>
      <c r="I428" s="703" t="s">
        <v>334</v>
      </c>
      <c r="J428" s="703" t="s">
        <v>337</v>
      </c>
      <c r="K428" s="704">
        <v>0</v>
      </c>
      <c r="L428" s="703" t="s">
        <v>334</v>
      </c>
      <c r="M428" s="702">
        <v>40968</v>
      </c>
      <c r="N428" s="702">
        <v>43235</v>
      </c>
      <c r="O428" s="703" t="s">
        <v>338</v>
      </c>
      <c r="P428" s="20">
        <v>81452.42</v>
      </c>
      <c r="Q428" s="20">
        <v>0</v>
      </c>
      <c r="R428" s="20">
        <v>0</v>
      </c>
      <c r="S428" s="20">
        <v>0</v>
      </c>
      <c r="T428" s="20">
        <v>81452.42</v>
      </c>
      <c r="U428" s="20">
        <v>71723.38</v>
      </c>
      <c r="V428" s="20">
        <v>-9729.0400000000009</v>
      </c>
      <c r="W428" s="20">
        <v>-12444.12</v>
      </c>
      <c r="X428" s="20">
        <v>-2715.08</v>
      </c>
      <c r="Y428" s="20">
        <v>0</v>
      </c>
      <c r="Z428" s="20">
        <v>0</v>
      </c>
      <c r="AA428" s="20">
        <v>0</v>
      </c>
      <c r="AB428" s="20">
        <v>69008.3</v>
      </c>
      <c r="AC428" t="s">
        <v>1127</v>
      </c>
      <c r="AD428" t="s">
        <v>290</v>
      </c>
      <c r="AE428" s="702">
        <f t="shared" si="30"/>
        <v>43252</v>
      </c>
      <c r="AF428" s="289">
        <v>135296.64948411801</v>
      </c>
      <c r="AG428">
        <f t="shared" si="31"/>
        <v>360</v>
      </c>
      <c r="AH428" s="289">
        <f t="shared" si="32"/>
        <v>375.82402634477228</v>
      </c>
      <c r="AJ428" s="289">
        <f t="shared" si="33"/>
        <v>54</v>
      </c>
      <c r="AK428" s="289">
        <f t="shared" si="34"/>
        <v>20294.497422617704</v>
      </c>
    </row>
    <row r="429" spans="1:37">
      <c r="A429" s="703" t="s">
        <v>1164</v>
      </c>
      <c r="B429" s="703" t="s">
        <v>331</v>
      </c>
      <c r="C429" s="703" t="s">
        <v>1124</v>
      </c>
      <c r="D429" s="703" t="s">
        <v>1125</v>
      </c>
      <c r="E429" s="703" t="s">
        <v>334</v>
      </c>
      <c r="F429" s="703" t="s">
        <v>335</v>
      </c>
      <c r="G429" s="703" t="s">
        <v>1165</v>
      </c>
      <c r="H429" s="703" t="s">
        <v>334</v>
      </c>
      <c r="I429" s="703" t="s">
        <v>334</v>
      </c>
      <c r="J429" s="703" t="s">
        <v>337</v>
      </c>
      <c r="K429" s="704">
        <v>0</v>
      </c>
      <c r="L429" s="703" t="s">
        <v>334</v>
      </c>
      <c r="M429" s="702">
        <v>40968</v>
      </c>
      <c r="N429" s="702">
        <v>43235</v>
      </c>
      <c r="O429" s="703" t="s">
        <v>338</v>
      </c>
      <c r="P429" s="20">
        <v>375306.85</v>
      </c>
      <c r="Q429" s="20">
        <v>0</v>
      </c>
      <c r="R429" s="20">
        <v>0</v>
      </c>
      <c r="S429" s="20">
        <v>0</v>
      </c>
      <c r="T429" s="20">
        <v>375306.85</v>
      </c>
      <c r="U429" s="20">
        <v>330478.53000000003</v>
      </c>
      <c r="V429" s="20">
        <v>-44828.32</v>
      </c>
      <c r="W429" s="20">
        <v>-57338.55</v>
      </c>
      <c r="X429" s="20">
        <v>-12510.23</v>
      </c>
      <c r="Y429" s="20">
        <v>0</v>
      </c>
      <c r="Z429" s="20">
        <v>0</v>
      </c>
      <c r="AA429" s="20">
        <v>0</v>
      </c>
      <c r="AB429" s="20">
        <v>317968.3</v>
      </c>
      <c r="AC429" t="s">
        <v>1127</v>
      </c>
      <c r="AD429" t="s">
        <v>290</v>
      </c>
      <c r="AE429" s="702">
        <f t="shared" si="30"/>
        <v>43252</v>
      </c>
      <c r="AF429" s="289">
        <v>623403.93733468512</v>
      </c>
      <c r="AG429">
        <f t="shared" si="31"/>
        <v>360</v>
      </c>
      <c r="AH429" s="289">
        <f t="shared" si="32"/>
        <v>1731.6776037074587</v>
      </c>
      <c r="AJ429" s="289">
        <f t="shared" si="33"/>
        <v>54</v>
      </c>
      <c r="AK429" s="289">
        <f t="shared" si="34"/>
        <v>93510.590600202777</v>
      </c>
    </row>
    <row r="430" spans="1:37">
      <c r="A430" s="703" t="s">
        <v>1166</v>
      </c>
      <c r="B430" s="703" t="s">
        <v>331</v>
      </c>
      <c r="C430" s="703" t="s">
        <v>1124</v>
      </c>
      <c r="D430" s="703" t="s">
        <v>1125</v>
      </c>
      <c r="E430" s="703" t="s">
        <v>334</v>
      </c>
      <c r="F430" s="703" t="s">
        <v>335</v>
      </c>
      <c r="G430" s="703" t="s">
        <v>1167</v>
      </c>
      <c r="H430" s="703" t="s">
        <v>334</v>
      </c>
      <c r="I430" s="703" t="s">
        <v>334</v>
      </c>
      <c r="J430" s="703" t="s">
        <v>337</v>
      </c>
      <c r="K430" s="704">
        <v>0</v>
      </c>
      <c r="L430" s="703" t="s">
        <v>334</v>
      </c>
      <c r="M430" s="702">
        <v>40968</v>
      </c>
      <c r="N430" s="702">
        <v>43235</v>
      </c>
      <c r="O430" s="703" t="s">
        <v>338</v>
      </c>
      <c r="P430" s="20">
        <v>9687.91</v>
      </c>
      <c r="Q430" s="20">
        <v>0</v>
      </c>
      <c r="R430" s="20">
        <v>0</v>
      </c>
      <c r="S430" s="20">
        <v>0</v>
      </c>
      <c r="T430" s="20">
        <v>9687.91</v>
      </c>
      <c r="U430" s="20">
        <v>8530.74</v>
      </c>
      <c r="V430" s="20">
        <v>-1157.17</v>
      </c>
      <c r="W430" s="20">
        <v>-1480.1</v>
      </c>
      <c r="X430" s="20">
        <v>-322.93</v>
      </c>
      <c r="Y430" s="20">
        <v>0</v>
      </c>
      <c r="Z430" s="20">
        <v>0</v>
      </c>
      <c r="AA430" s="20">
        <v>0</v>
      </c>
      <c r="AB430" s="20">
        <v>8207.81</v>
      </c>
      <c r="AC430" t="s">
        <v>1127</v>
      </c>
      <c r="AD430" t="s">
        <v>290</v>
      </c>
      <c r="AE430" s="702">
        <f t="shared" si="30"/>
        <v>43252</v>
      </c>
      <c r="AF430" s="289">
        <v>16092.115660942691</v>
      </c>
      <c r="AG430">
        <f t="shared" si="31"/>
        <v>360</v>
      </c>
      <c r="AH430" s="289">
        <f t="shared" si="32"/>
        <v>44.700321280396366</v>
      </c>
      <c r="AJ430" s="289">
        <f t="shared" si="33"/>
        <v>54</v>
      </c>
      <c r="AK430" s="289">
        <f t="shared" si="34"/>
        <v>2413.8173491414036</v>
      </c>
    </row>
    <row r="431" spans="1:37">
      <c r="A431" s="703" t="s">
        <v>1168</v>
      </c>
      <c r="B431" s="703" t="s">
        <v>331</v>
      </c>
      <c r="C431" s="703" t="s">
        <v>1124</v>
      </c>
      <c r="D431" s="703" t="s">
        <v>1125</v>
      </c>
      <c r="E431" s="703" t="s">
        <v>334</v>
      </c>
      <c r="F431" s="703" t="s">
        <v>335</v>
      </c>
      <c r="G431" s="703" t="s">
        <v>1169</v>
      </c>
      <c r="H431" s="703" t="s">
        <v>334</v>
      </c>
      <c r="I431" s="703" t="s">
        <v>334</v>
      </c>
      <c r="J431" s="703" t="s">
        <v>337</v>
      </c>
      <c r="K431" s="704">
        <v>0</v>
      </c>
      <c r="L431" s="703" t="s">
        <v>334</v>
      </c>
      <c r="M431" s="702">
        <v>40968</v>
      </c>
      <c r="N431" s="702">
        <v>43235</v>
      </c>
      <c r="O431" s="703" t="s">
        <v>338</v>
      </c>
      <c r="P431" s="20">
        <v>105682.37</v>
      </c>
      <c r="Q431" s="20">
        <v>0</v>
      </c>
      <c r="R431" s="20">
        <v>0</v>
      </c>
      <c r="S431" s="20">
        <v>0</v>
      </c>
      <c r="T431" s="20">
        <v>105682.37</v>
      </c>
      <c r="U431" s="20">
        <v>93059.19</v>
      </c>
      <c r="V431" s="20">
        <v>-12623.18</v>
      </c>
      <c r="W431" s="20">
        <v>-16145.93</v>
      </c>
      <c r="X431" s="20">
        <v>-3522.75</v>
      </c>
      <c r="Y431" s="20">
        <v>0</v>
      </c>
      <c r="Z431" s="20">
        <v>0</v>
      </c>
      <c r="AA431" s="20">
        <v>0</v>
      </c>
      <c r="AB431" s="20">
        <v>89536.44</v>
      </c>
      <c r="AC431" t="s">
        <v>1127</v>
      </c>
      <c r="AD431" t="s">
        <v>290</v>
      </c>
      <c r="AE431" s="702">
        <f t="shared" si="30"/>
        <v>43252</v>
      </c>
      <c r="AF431" s="289">
        <v>175543.83983362149</v>
      </c>
      <c r="AG431">
        <f t="shared" si="31"/>
        <v>360</v>
      </c>
      <c r="AH431" s="289">
        <f t="shared" si="32"/>
        <v>487.62177731561525</v>
      </c>
      <c r="AJ431" s="289">
        <f t="shared" si="33"/>
        <v>54</v>
      </c>
      <c r="AK431" s="289">
        <f t="shared" si="34"/>
        <v>26331.575975043223</v>
      </c>
    </row>
    <row r="432" spans="1:37">
      <c r="A432" s="703" t="s">
        <v>1170</v>
      </c>
      <c r="B432" s="703" t="s">
        <v>331</v>
      </c>
      <c r="C432" s="703" t="s">
        <v>1124</v>
      </c>
      <c r="D432" s="703" t="s">
        <v>1125</v>
      </c>
      <c r="E432" s="703" t="s">
        <v>334</v>
      </c>
      <c r="F432" s="703" t="s">
        <v>335</v>
      </c>
      <c r="G432" s="703" t="s">
        <v>1171</v>
      </c>
      <c r="H432" s="703" t="s">
        <v>334</v>
      </c>
      <c r="I432" s="703" t="s">
        <v>334</v>
      </c>
      <c r="J432" s="703" t="s">
        <v>337</v>
      </c>
      <c r="K432" s="704">
        <v>0</v>
      </c>
      <c r="L432" s="703" t="s">
        <v>334</v>
      </c>
      <c r="M432" s="702">
        <v>40968</v>
      </c>
      <c r="N432" s="702">
        <v>43235</v>
      </c>
      <c r="O432" s="703" t="s">
        <v>338</v>
      </c>
      <c r="P432" s="20">
        <v>302652.09000000003</v>
      </c>
      <c r="Q432" s="20">
        <v>0</v>
      </c>
      <c r="R432" s="20">
        <v>0</v>
      </c>
      <c r="S432" s="20">
        <v>0</v>
      </c>
      <c r="T432" s="20">
        <v>302652.09000000003</v>
      </c>
      <c r="U432" s="20">
        <v>266501.99</v>
      </c>
      <c r="V432" s="20">
        <v>-36150.1</v>
      </c>
      <c r="W432" s="20">
        <v>-46238.5</v>
      </c>
      <c r="X432" s="20">
        <v>-10088.4</v>
      </c>
      <c r="Y432" s="20">
        <v>0</v>
      </c>
      <c r="Z432" s="20">
        <v>0</v>
      </c>
      <c r="AA432" s="20">
        <v>0</v>
      </c>
      <c r="AB432" s="20">
        <v>256413.59</v>
      </c>
      <c r="AC432" t="s">
        <v>1127</v>
      </c>
      <c r="AD432" t="s">
        <v>290</v>
      </c>
      <c r="AE432" s="702">
        <f t="shared" si="30"/>
        <v>43252</v>
      </c>
      <c r="AF432" s="289">
        <v>502720.65257687547</v>
      </c>
      <c r="AG432">
        <f t="shared" si="31"/>
        <v>360</v>
      </c>
      <c r="AH432" s="289">
        <f t="shared" si="32"/>
        <v>1396.4462571579875</v>
      </c>
      <c r="AJ432" s="289">
        <f t="shared" si="33"/>
        <v>54</v>
      </c>
      <c r="AK432" s="289">
        <f t="shared" si="34"/>
        <v>75408.097886531323</v>
      </c>
    </row>
    <row r="433" spans="1:37">
      <c r="A433" s="703" t="s">
        <v>1172</v>
      </c>
      <c r="B433" s="703" t="s">
        <v>331</v>
      </c>
      <c r="C433" s="703" t="s">
        <v>1124</v>
      </c>
      <c r="D433" s="703" t="s">
        <v>1125</v>
      </c>
      <c r="E433" s="703" t="s">
        <v>334</v>
      </c>
      <c r="F433" s="703" t="s">
        <v>335</v>
      </c>
      <c r="G433" s="703" t="s">
        <v>1173</v>
      </c>
      <c r="H433" s="703" t="s">
        <v>334</v>
      </c>
      <c r="I433" s="703" t="s">
        <v>334</v>
      </c>
      <c r="J433" s="703" t="s">
        <v>337</v>
      </c>
      <c r="K433" s="704">
        <v>0</v>
      </c>
      <c r="L433" s="703" t="s">
        <v>334</v>
      </c>
      <c r="M433" s="702">
        <v>40968</v>
      </c>
      <c r="N433" s="702">
        <v>43235</v>
      </c>
      <c r="O433" s="703" t="s">
        <v>338</v>
      </c>
      <c r="P433" s="20">
        <v>33841.97</v>
      </c>
      <c r="Q433" s="20">
        <v>0</v>
      </c>
      <c r="R433" s="20">
        <v>0</v>
      </c>
      <c r="S433" s="20">
        <v>0</v>
      </c>
      <c r="T433" s="20">
        <v>33841.97</v>
      </c>
      <c r="U433" s="20">
        <v>29799.72</v>
      </c>
      <c r="V433" s="20">
        <v>-4042.25</v>
      </c>
      <c r="W433" s="20">
        <v>-5170.32</v>
      </c>
      <c r="X433" s="20">
        <v>-1128.07</v>
      </c>
      <c r="Y433" s="20">
        <v>0</v>
      </c>
      <c r="Z433" s="20">
        <v>0</v>
      </c>
      <c r="AA433" s="20">
        <v>0</v>
      </c>
      <c r="AB433" s="20">
        <v>28671.65</v>
      </c>
      <c r="AC433" t="s">
        <v>1127</v>
      </c>
      <c r="AD433" t="s">
        <v>290</v>
      </c>
      <c r="AE433" s="702">
        <f t="shared" si="30"/>
        <v>43252</v>
      </c>
      <c r="AF433" s="289">
        <v>56213.248826026742</v>
      </c>
      <c r="AG433">
        <f t="shared" si="31"/>
        <v>360</v>
      </c>
      <c r="AH433" s="289">
        <f t="shared" si="32"/>
        <v>156.14791340562985</v>
      </c>
      <c r="AJ433" s="289">
        <f t="shared" si="33"/>
        <v>54</v>
      </c>
      <c r="AK433" s="289">
        <f t="shared" si="34"/>
        <v>8431.9873239040116</v>
      </c>
    </row>
    <row r="434" spans="1:37">
      <c r="A434" s="703" t="s">
        <v>1174</v>
      </c>
      <c r="B434" s="703" t="s">
        <v>331</v>
      </c>
      <c r="C434" s="703" t="s">
        <v>1124</v>
      </c>
      <c r="D434" s="703" t="s">
        <v>1125</v>
      </c>
      <c r="E434" s="703" t="s">
        <v>334</v>
      </c>
      <c r="F434" s="703" t="s">
        <v>335</v>
      </c>
      <c r="G434" s="703" t="s">
        <v>1175</v>
      </c>
      <c r="H434" s="703" t="s">
        <v>334</v>
      </c>
      <c r="I434" s="703" t="s">
        <v>334</v>
      </c>
      <c r="J434" s="703" t="s">
        <v>337</v>
      </c>
      <c r="K434" s="704">
        <v>0</v>
      </c>
      <c r="L434" s="703" t="s">
        <v>334</v>
      </c>
      <c r="M434" s="702">
        <v>40968</v>
      </c>
      <c r="N434" s="702">
        <v>43235</v>
      </c>
      <c r="O434" s="703" t="s">
        <v>338</v>
      </c>
      <c r="P434" s="20">
        <v>90330.52</v>
      </c>
      <c r="Q434" s="20">
        <v>0</v>
      </c>
      <c r="R434" s="20">
        <v>0</v>
      </c>
      <c r="S434" s="20">
        <v>0</v>
      </c>
      <c r="T434" s="20">
        <v>90330.52</v>
      </c>
      <c r="U434" s="20">
        <v>79541.03</v>
      </c>
      <c r="V434" s="20">
        <v>-10789.49</v>
      </c>
      <c r="W434" s="20">
        <v>-13800.51</v>
      </c>
      <c r="X434" s="20">
        <v>-3011.02</v>
      </c>
      <c r="Y434" s="20">
        <v>0</v>
      </c>
      <c r="Z434" s="20">
        <v>0</v>
      </c>
      <c r="AA434" s="20">
        <v>0</v>
      </c>
      <c r="AB434" s="20">
        <v>76530.009999999995</v>
      </c>
      <c r="AC434" t="s">
        <v>1127</v>
      </c>
      <c r="AD434" t="s">
        <v>290</v>
      </c>
      <c r="AE434" s="702">
        <f t="shared" si="30"/>
        <v>43252</v>
      </c>
      <c r="AF434" s="289">
        <v>150043.62917833641</v>
      </c>
      <c r="AG434">
        <f t="shared" si="31"/>
        <v>360</v>
      </c>
      <c r="AH434" s="289">
        <f t="shared" si="32"/>
        <v>416.78785882871227</v>
      </c>
      <c r="AJ434" s="289">
        <f t="shared" si="33"/>
        <v>54</v>
      </c>
      <c r="AK434" s="289">
        <f t="shared" si="34"/>
        <v>22506.544376750462</v>
      </c>
    </row>
    <row r="435" spans="1:37">
      <c r="A435" s="703" t="s">
        <v>1176</v>
      </c>
      <c r="B435" s="703" t="s">
        <v>331</v>
      </c>
      <c r="C435" s="703" t="s">
        <v>1124</v>
      </c>
      <c r="D435" s="703" t="s">
        <v>1125</v>
      </c>
      <c r="E435" s="703" t="s">
        <v>334</v>
      </c>
      <c r="F435" s="703" t="s">
        <v>335</v>
      </c>
      <c r="G435" s="703" t="s">
        <v>1177</v>
      </c>
      <c r="H435" s="703" t="s">
        <v>334</v>
      </c>
      <c r="I435" s="703" t="s">
        <v>334</v>
      </c>
      <c r="J435" s="703" t="s">
        <v>337</v>
      </c>
      <c r="K435" s="704">
        <v>0</v>
      </c>
      <c r="L435" s="703" t="s">
        <v>334</v>
      </c>
      <c r="M435" s="702">
        <v>40968</v>
      </c>
      <c r="N435" s="702">
        <v>43235</v>
      </c>
      <c r="O435" s="703" t="s">
        <v>338</v>
      </c>
      <c r="P435" s="20">
        <v>48318.77</v>
      </c>
      <c r="Q435" s="20">
        <v>0</v>
      </c>
      <c r="R435" s="20">
        <v>0</v>
      </c>
      <c r="S435" s="20">
        <v>0</v>
      </c>
      <c r="T435" s="20">
        <v>48318.77</v>
      </c>
      <c r="U435" s="20">
        <v>42547.35</v>
      </c>
      <c r="V435" s="20">
        <v>-5771.42</v>
      </c>
      <c r="W435" s="20">
        <v>-7382.05</v>
      </c>
      <c r="X435" s="20">
        <v>-1610.63</v>
      </c>
      <c r="Y435" s="20">
        <v>0</v>
      </c>
      <c r="Z435" s="20">
        <v>0</v>
      </c>
      <c r="AA435" s="20">
        <v>0</v>
      </c>
      <c r="AB435" s="20">
        <v>40936.720000000001</v>
      </c>
      <c r="AC435" t="s">
        <v>1127</v>
      </c>
      <c r="AD435" t="s">
        <v>290</v>
      </c>
      <c r="AE435" s="702">
        <f t="shared" si="30"/>
        <v>43252</v>
      </c>
      <c r="AF435" s="289">
        <v>80259.956526690265</v>
      </c>
      <c r="AG435">
        <f t="shared" si="31"/>
        <v>360</v>
      </c>
      <c r="AH435" s="289">
        <f t="shared" si="32"/>
        <v>222.94432368525074</v>
      </c>
      <c r="AJ435" s="289">
        <f t="shared" si="33"/>
        <v>54</v>
      </c>
      <c r="AK435" s="289">
        <f t="shared" si="34"/>
        <v>12038.99347900354</v>
      </c>
    </row>
    <row r="436" spans="1:37">
      <c r="A436" s="703" t="s">
        <v>1178</v>
      </c>
      <c r="B436" s="703" t="s">
        <v>331</v>
      </c>
      <c r="C436" s="703" t="s">
        <v>1124</v>
      </c>
      <c r="D436" s="703" t="s">
        <v>1125</v>
      </c>
      <c r="E436" s="703" t="s">
        <v>334</v>
      </c>
      <c r="F436" s="703" t="s">
        <v>335</v>
      </c>
      <c r="G436" s="703" t="s">
        <v>1179</v>
      </c>
      <c r="H436" s="703" t="s">
        <v>334</v>
      </c>
      <c r="I436" s="703" t="s">
        <v>334</v>
      </c>
      <c r="J436" s="703" t="s">
        <v>337</v>
      </c>
      <c r="K436" s="704">
        <v>0</v>
      </c>
      <c r="L436" s="703" t="s">
        <v>334</v>
      </c>
      <c r="M436" s="702">
        <v>40968</v>
      </c>
      <c r="N436" s="702">
        <v>43235</v>
      </c>
      <c r="O436" s="703" t="s">
        <v>338</v>
      </c>
      <c r="P436" s="20">
        <v>119962.84</v>
      </c>
      <c r="Q436" s="20">
        <v>0</v>
      </c>
      <c r="R436" s="20">
        <v>0</v>
      </c>
      <c r="S436" s="20">
        <v>0</v>
      </c>
      <c r="T436" s="20">
        <v>119962.84</v>
      </c>
      <c r="U436" s="20">
        <v>105633.95</v>
      </c>
      <c r="V436" s="20">
        <v>-14328.89</v>
      </c>
      <c r="W436" s="20">
        <v>-18327.650000000001</v>
      </c>
      <c r="X436" s="20">
        <v>-3998.76</v>
      </c>
      <c r="Y436" s="20">
        <v>0</v>
      </c>
      <c r="Z436" s="20">
        <v>0</v>
      </c>
      <c r="AA436" s="20">
        <v>0</v>
      </c>
      <c r="AB436" s="20">
        <v>101635.19</v>
      </c>
      <c r="AC436" t="s">
        <v>1127</v>
      </c>
      <c r="AD436" t="s">
        <v>290</v>
      </c>
      <c r="AE436" s="702">
        <f t="shared" si="30"/>
        <v>43252</v>
      </c>
      <c r="AF436" s="289">
        <v>199264.43332929004</v>
      </c>
      <c r="AG436">
        <f t="shared" si="31"/>
        <v>360</v>
      </c>
      <c r="AH436" s="289">
        <f t="shared" si="32"/>
        <v>553.51231480358342</v>
      </c>
      <c r="AJ436" s="289">
        <f t="shared" si="33"/>
        <v>54</v>
      </c>
      <c r="AK436" s="289">
        <f t="shared" si="34"/>
        <v>29889.664999393506</v>
      </c>
    </row>
    <row r="437" spans="1:37">
      <c r="A437" s="703" t="s">
        <v>1180</v>
      </c>
      <c r="B437" s="703" t="s">
        <v>331</v>
      </c>
      <c r="C437" s="703" t="s">
        <v>1124</v>
      </c>
      <c r="D437" s="703" t="s">
        <v>1125</v>
      </c>
      <c r="E437" s="703" t="s">
        <v>334</v>
      </c>
      <c r="F437" s="703" t="s">
        <v>335</v>
      </c>
      <c r="G437" s="703" t="s">
        <v>1181</v>
      </c>
      <c r="H437" s="703" t="s">
        <v>334</v>
      </c>
      <c r="I437" s="703" t="s">
        <v>334</v>
      </c>
      <c r="J437" s="703" t="s">
        <v>337</v>
      </c>
      <c r="K437" s="704">
        <v>0</v>
      </c>
      <c r="L437" s="703" t="s">
        <v>334</v>
      </c>
      <c r="M437" s="702">
        <v>40968</v>
      </c>
      <c r="N437" s="702">
        <v>43235</v>
      </c>
      <c r="O437" s="703" t="s">
        <v>338</v>
      </c>
      <c r="P437" s="20">
        <v>994.25</v>
      </c>
      <c r="Q437" s="20">
        <v>0</v>
      </c>
      <c r="R437" s="20">
        <v>0</v>
      </c>
      <c r="S437" s="20">
        <v>0</v>
      </c>
      <c r="T437" s="20">
        <v>994.25</v>
      </c>
      <c r="U437" s="20">
        <v>875.5</v>
      </c>
      <c r="V437" s="20">
        <v>-118.75</v>
      </c>
      <c r="W437" s="20">
        <v>-151.88999999999999</v>
      </c>
      <c r="X437" s="20">
        <v>-33.14</v>
      </c>
      <c r="Y437" s="20">
        <v>0</v>
      </c>
      <c r="Z437" s="20">
        <v>0</v>
      </c>
      <c r="AA437" s="20">
        <v>0</v>
      </c>
      <c r="AB437" s="20">
        <v>842.36</v>
      </c>
      <c r="AC437" t="s">
        <v>1127</v>
      </c>
      <c r="AD437" t="s">
        <v>290</v>
      </c>
      <c r="AE437" s="702">
        <f t="shared" si="30"/>
        <v>43252</v>
      </c>
      <c r="AF437" s="289">
        <v>1651.5002715644832</v>
      </c>
      <c r="AG437">
        <f t="shared" si="31"/>
        <v>360</v>
      </c>
      <c r="AH437" s="289">
        <f t="shared" si="32"/>
        <v>4.5875007543457871</v>
      </c>
      <c r="AJ437" s="289">
        <f t="shared" si="33"/>
        <v>54</v>
      </c>
      <c r="AK437" s="289">
        <f t="shared" si="34"/>
        <v>247.72504073467249</v>
      </c>
    </row>
    <row r="438" spans="1:37">
      <c r="A438" s="703" t="s">
        <v>1182</v>
      </c>
      <c r="B438" s="703" t="s">
        <v>331</v>
      </c>
      <c r="C438" s="703" t="s">
        <v>1124</v>
      </c>
      <c r="D438" s="703" t="s">
        <v>1125</v>
      </c>
      <c r="E438" s="703" t="s">
        <v>334</v>
      </c>
      <c r="F438" s="703" t="s">
        <v>335</v>
      </c>
      <c r="G438" s="703" t="s">
        <v>1183</v>
      </c>
      <c r="H438" s="703" t="s">
        <v>334</v>
      </c>
      <c r="I438" s="703" t="s">
        <v>334</v>
      </c>
      <c r="J438" s="703" t="s">
        <v>337</v>
      </c>
      <c r="K438" s="704">
        <v>0</v>
      </c>
      <c r="L438" s="703" t="s">
        <v>334</v>
      </c>
      <c r="M438" s="702">
        <v>40968</v>
      </c>
      <c r="N438" s="702">
        <v>43235</v>
      </c>
      <c r="O438" s="703" t="s">
        <v>338</v>
      </c>
      <c r="P438" s="20">
        <v>459.24</v>
      </c>
      <c r="Q438" s="20">
        <v>0</v>
      </c>
      <c r="R438" s="20">
        <v>0</v>
      </c>
      <c r="S438" s="20">
        <v>0</v>
      </c>
      <c r="T438" s="20">
        <v>459.24</v>
      </c>
      <c r="U438" s="20">
        <v>404.38</v>
      </c>
      <c r="V438" s="20">
        <v>-54.86</v>
      </c>
      <c r="W438" s="20">
        <v>-70.17</v>
      </c>
      <c r="X438" s="20">
        <v>-15.31</v>
      </c>
      <c r="Y438" s="20">
        <v>0</v>
      </c>
      <c r="Z438" s="20">
        <v>0</v>
      </c>
      <c r="AA438" s="20">
        <v>0</v>
      </c>
      <c r="AB438" s="20">
        <v>389.07</v>
      </c>
      <c r="AC438" t="s">
        <v>1127</v>
      </c>
      <c r="AD438" t="s">
        <v>290</v>
      </c>
      <c r="AE438" s="702">
        <f t="shared" si="30"/>
        <v>43252</v>
      </c>
      <c r="AF438" s="289">
        <v>762.82120665151945</v>
      </c>
      <c r="AG438">
        <f t="shared" si="31"/>
        <v>360</v>
      </c>
      <c r="AH438" s="289">
        <f t="shared" si="32"/>
        <v>2.1189477962542207</v>
      </c>
      <c r="AJ438" s="289">
        <f t="shared" si="33"/>
        <v>54</v>
      </c>
      <c r="AK438" s="289">
        <f t="shared" si="34"/>
        <v>114.42318099772791</v>
      </c>
    </row>
    <row r="439" spans="1:37">
      <c r="A439" s="703" t="s">
        <v>1184</v>
      </c>
      <c r="B439" s="703" t="s">
        <v>331</v>
      </c>
      <c r="C439" s="703" t="s">
        <v>1124</v>
      </c>
      <c r="D439" s="703" t="s">
        <v>1125</v>
      </c>
      <c r="E439" s="703" t="s">
        <v>334</v>
      </c>
      <c r="F439" s="703" t="s">
        <v>335</v>
      </c>
      <c r="G439" s="703" t="s">
        <v>1185</v>
      </c>
      <c r="H439" s="703" t="s">
        <v>334</v>
      </c>
      <c r="I439" s="703" t="s">
        <v>334</v>
      </c>
      <c r="J439" s="703" t="s">
        <v>337</v>
      </c>
      <c r="K439" s="704">
        <v>0</v>
      </c>
      <c r="L439" s="703" t="s">
        <v>334</v>
      </c>
      <c r="M439" s="702">
        <v>40939</v>
      </c>
      <c r="N439" s="702">
        <v>43235</v>
      </c>
      <c r="O439" s="703" t="s">
        <v>338</v>
      </c>
      <c r="P439" s="20">
        <v>65086.559999999998</v>
      </c>
      <c r="Q439" s="20">
        <v>0</v>
      </c>
      <c r="R439" s="20">
        <v>0</v>
      </c>
      <c r="S439" s="20">
        <v>0</v>
      </c>
      <c r="T439" s="20">
        <v>65086.559999999998</v>
      </c>
      <c r="U439" s="20">
        <v>57312.34</v>
      </c>
      <c r="V439" s="20">
        <v>-7774.22</v>
      </c>
      <c r="W439" s="20">
        <v>-9943.77</v>
      </c>
      <c r="X439" s="20">
        <v>-2169.5500000000002</v>
      </c>
      <c r="Y439" s="20">
        <v>0</v>
      </c>
      <c r="Z439" s="20">
        <v>0</v>
      </c>
      <c r="AA439" s="20">
        <v>0</v>
      </c>
      <c r="AB439" s="20">
        <v>55142.79</v>
      </c>
      <c r="AC439" t="s">
        <v>1127</v>
      </c>
      <c r="AD439" t="s">
        <v>290</v>
      </c>
      <c r="AE439" s="702">
        <f t="shared" si="30"/>
        <v>43252</v>
      </c>
      <c r="AF439" s="289">
        <v>108112.11618325172</v>
      </c>
      <c r="AG439">
        <f t="shared" si="31"/>
        <v>360</v>
      </c>
      <c r="AH439" s="289">
        <f t="shared" si="32"/>
        <v>300.31143384236589</v>
      </c>
      <c r="AJ439" s="289">
        <f t="shared" si="33"/>
        <v>54</v>
      </c>
      <c r="AK439" s="289">
        <f t="shared" si="34"/>
        <v>16216.817427487758</v>
      </c>
    </row>
    <row r="440" spans="1:37">
      <c r="A440" s="703" t="s">
        <v>1186</v>
      </c>
      <c r="B440" s="703" t="s">
        <v>331</v>
      </c>
      <c r="C440" s="703" t="s">
        <v>1124</v>
      </c>
      <c r="D440" s="703" t="s">
        <v>1125</v>
      </c>
      <c r="E440" s="703" t="s">
        <v>334</v>
      </c>
      <c r="F440" s="703" t="s">
        <v>335</v>
      </c>
      <c r="G440" s="703" t="s">
        <v>1187</v>
      </c>
      <c r="H440" s="703" t="s">
        <v>334</v>
      </c>
      <c r="I440" s="703" t="s">
        <v>334</v>
      </c>
      <c r="J440" s="703" t="s">
        <v>337</v>
      </c>
      <c r="K440" s="704">
        <v>0</v>
      </c>
      <c r="L440" s="703" t="s">
        <v>334</v>
      </c>
      <c r="M440" s="702">
        <v>40939</v>
      </c>
      <c r="N440" s="702">
        <v>43235</v>
      </c>
      <c r="O440" s="703" t="s">
        <v>338</v>
      </c>
      <c r="P440" s="20">
        <v>45607.88</v>
      </c>
      <c r="Q440" s="20">
        <v>0</v>
      </c>
      <c r="R440" s="20">
        <v>0</v>
      </c>
      <c r="S440" s="20">
        <v>0</v>
      </c>
      <c r="T440" s="20">
        <v>45607.88</v>
      </c>
      <c r="U440" s="20">
        <v>40160.28</v>
      </c>
      <c r="V440" s="20">
        <v>-5447.6</v>
      </c>
      <c r="W440" s="20">
        <v>-6967.86</v>
      </c>
      <c r="X440" s="20">
        <v>-1520.26</v>
      </c>
      <c r="Y440" s="20">
        <v>0</v>
      </c>
      <c r="Z440" s="20">
        <v>0</v>
      </c>
      <c r="AA440" s="20">
        <v>0</v>
      </c>
      <c r="AB440" s="20">
        <v>38640.019999999997</v>
      </c>
      <c r="AC440" t="s">
        <v>1127</v>
      </c>
      <c r="AD440" t="s">
        <v>290</v>
      </c>
      <c r="AE440" s="702">
        <f t="shared" si="30"/>
        <v>43252</v>
      </c>
      <c r="AF440" s="289">
        <v>75757.029122937238</v>
      </c>
      <c r="AG440">
        <f t="shared" si="31"/>
        <v>360</v>
      </c>
      <c r="AH440" s="289">
        <f t="shared" si="32"/>
        <v>210.436192008159</v>
      </c>
      <c r="AJ440" s="289">
        <f t="shared" si="33"/>
        <v>54</v>
      </c>
      <c r="AK440" s="289">
        <f t="shared" si="34"/>
        <v>11363.554368440586</v>
      </c>
    </row>
    <row r="441" spans="1:37">
      <c r="A441" s="703" t="s">
        <v>1188</v>
      </c>
      <c r="B441" s="703" t="s">
        <v>331</v>
      </c>
      <c r="C441" s="703" t="s">
        <v>1124</v>
      </c>
      <c r="D441" s="703" t="s">
        <v>1125</v>
      </c>
      <c r="E441" s="703" t="s">
        <v>334</v>
      </c>
      <c r="F441" s="703" t="s">
        <v>335</v>
      </c>
      <c r="G441" s="703" t="s">
        <v>1189</v>
      </c>
      <c r="H441" s="703" t="s">
        <v>334</v>
      </c>
      <c r="I441" s="703" t="s">
        <v>334</v>
      </c>
      <c r="J441" s="703" t="s">
        <v>337</v>
      </c>
      <c r="K441" s="704">
        <v>0</v>
      </c>
      <c r="L441" s="703" t="s">
        <v>334</v>
      </c>
      <c r="M441" s="702">
        <v>40939</v>
      </c>
      <c r="N441" s="702">
        <v>43235</v>
      </c>
      <c r="O441" s="703" t="s">
        <v>338</v>
      </c>
      <c r="P441" s="20">
        <v>139106</v>
      </c>
      <c r="Q441" s="20">
        <v>0</v>
      </c>
      <c r="R441" s="20">
        <v>0</v>
      </c>
      <c r="S441" s="20">
        <v>0</v>
      </c>
      <c r="T441" s="20">
        <v>139106</v>
      </c>
      <c r="U441" s="20">
        <v>122490.55</v>
      </c>
      <c r="V441" s="20">
        <v>-16615.45</v>
      </c>
      <c r="W441" s="20">
        <v>-21252.32</v>
      </c>
      <c r="X441" s="20">
        <v>-4636.87</v>
      </c>
      <c r="Y441" s="20">
        <v>0</v>
      </c>
      <c r="Z441" s="20">
        <v>0</v>
      </c>
      <c r="AA441" s="20">
        <v>0</v>
      </c>
      <c r="AB441" s="20">
        <v>117853.68</v>
      </c>
      <c r="AC441" t="s">
        <v>1127</v>
      </c>
      <c r="AD441" t="s">
        <v>290</v>
      </c>
      <c r="AE441" s="702">
        <f t="shared" si="30"/>
        <v>43252</v>
      </c>
      <c r="AF441" s="289">
        <v>231062.20445184709</v>
      </c>
      <c r="AG441">
        <f t="shared" si="31"/>
        <v>360</v>
      </c>
      <c r="AH441" s="289">
        <f t="shared" si="32"/>
        <v>641.83945681068633</v>
      </c>
      <c r="AJ441" s="289">
        <f t="shared" si="33"/>
        <v>54</v>
      </c>
      <c r="AK441" s="289">
        <f t="shared" si="34"/>
        <v>34659.33066777706</v>
      </c>
    </row>
    <row r="442" spans="1:37">
      <c r="A442" s="703" t="s">
        <v>1190</v>
      </c>
      <c r="B442" s="703" t="s">
        <v>331</v>
      </c>
      <c r="C442" s="703" t="s">
        <v>1124</v>
      </c>
      <c r="D442" s="703" t="s">
        <v>1125</v>
      </c>
      <c r="E442" s="703" t="s">
        <v>334</v>
      </c>
      <c r="F442" s="703" t="s">
        <v>335</v>
      </c>
      <c r="G442" s="703" t="s">
        <v>1191</v>
      </c>
      <c r="H442" s="703" t="s">
        <v>334</v>
      </c>
      <c r="I442" s="703" t="s">
        <v>334</v>
      </c>
      <c r="J442" s="703" t="s">
        <v>337</v>
      </c>
      <c r="K442" s="704">
        <v>0</v>
      </c>
      <c r="L442" s="703" t="s">
        <v>334</v>
      </c>
      <c r="M442" s="702">
        <v>40968</v>
      </c>
      <c r="N442" s="702">
        <v>43236</v>
      </c>
      <c r="O442" s="703" t="s">
        <v>338</v>
      </c>
      <c r="P442" s="20">
        <v>307704.7</v>
      </c>
      <c r="Q442" s="20">
        <v>0</v>
      </c>
      <c r="R442" s="20">
        <v>0</v>
      </c>
      <c r="S442" s="20">
        <v>0</v>
      </c>
      <c r="T442" s="20">
        <v>307704.7</v>
      </c>
      <c r="U442" s="20">
        <v>270951.09000000003</v>
      </c>
      <c r="V442" s="20">
        <v>-36753.61</v>
      </c>
      <c r="W442" s="20">
        <v>-47010.43</v>
      </c>
      <c r="X442" s="20">
        <v>-10256.82</v>
      </c>
      <c r="Y442" s="20">
        <v>0</v>
      </c>
      <c r="Z442" s="20">
        <v>0</v>
      </c>
      <c r="AA442" s="20">
        <v>0</v>
      </c>
      <c r="AB442" s="20">
        <v>260694.27</v>
      </c>
      <c r="AC442" t="s">
        <v>1127</v>
      </c>
      <c r="AD442" t="s">
        <v>290</v>
      </c>
      <c r="AE442" s="702">
        <f t="shared" si="30"/>
        <v>43252</v>
      </c>
      <c r="AF442" s="289">
        <v>511113.29706981924</v>
      </c>
      <c r="AG442">
        <f t="shared" si="31"/>
        <v>360</v>
      </c>
      <c r="AH442" s="289">
        <f t="shared" si="32"/>
        <v>1419.7591585272758</v>
      </c>
      <c r="AJ442" s="289">
        <f t="shared" si="33"/>
        <v>54</v>
      </c>
      <c r="AK442" s="289">
        <f t="shared" si="34"/>
        <v>76666.994560472885</v>
      </c>
    </row>
    <row r="443" spans="1:37">
      <c r="A443" s="703" t="s">
        <v>1192</v>
      </c>
      <c r="B443" s="703" t="s">
        <v>331</v>
      </c>
      <c r="C443" s="703" t="s">
        <v>1124</v>
      </c>
      <c r="D443" s="703" t="s">
        <v>1125</v>
      </c>
      <c r="E443" s="703" t="s">
        <v>334</v>
      </c>
      <c r="F443" s="703" t="s">
        <v>335</v>
      </c>
      <c r="G443" s="703" t="s">
        <v>1193</v>
      </c>
      <c r="H443" s="703" t="s">
        <v>334</v>
      </c>
      <c r="I443" s="703" t="s">
        <v>334</v>
      </c>
      <c r="J443" s="703" t="s">
        <v>337</v>
      </c>
      <c r="K443" s="704">
        <v>0</v>
      </c>
      <c r="L443" s="703" t="s">
        <v>334</v>
      </c>
      <c r="M443" s="702">
        <v>40968</v>
      </c>
      <c r="N443" s="702">
        <v>43236</v>
      </c>
      <c r="O443" s="703" t="s">
        <v>338</v>
      </c>
      <c r="P443" s="20">
        <v>3134.85</v>
      </c>
      <c r="Q443" s="20">
        <v>0</v>
      </c>
      <c r="R443" s="20">
        <v>0</v>
      </c>
      <c r="S443" s="20">
        <v>0</v>
      </c>
      <c r="T443" s="20">
        <v>3134.85</v>
      </c>
      <c r="U443" s="20">
        <v>2760.39</v>
      </c>
      <c r="V443" s="20">
        <v>-374.46</v>
      </c>
      <c r="W443" s="20">
        <v>-478.96</v>
      </c>
      <c r="X443" s="20">
        <v>-104.5</v>
      </c>
      <c r="Y443" s="20">
        <v>0</v>
      </c>
      <c r="Z443" s="20">
        <v>0</v>
      </c>
      <c r="AA443" s="20">
        <v>0</v>
      </c>
      <c r="AB443" s="20">
        <v>2655.89</v>
      </c>
      <c r="AC443" t="s">
        <v>1127</v>
      </c>
      <c r="AD443" t="s">
        <v>290</v>
      </c>
      <c r="AE443" s="702">
        <f t="shared" si="30"/>
        <v>43252</v>
      </c>
      <c r="AF443" s="289">
        <v>5207.1467199536528</v>
      </c>
      <c r="AG443">
        <f t="shared" si="31"/>
        <v>360</v>
      </c>
      <c r="AH443" s="289">
        <f t="shared" si="32"/>
        <v>14.464296444315702</v>
      </c>
      <c r="AJ443" s="289">
        <f t="shared" si="33"/>
        <v>54</v>
      </c>
      <c r="AK443" s="289">
        <f t="shared" si="34"/>
        <v>781.07200799304792</v>
      </c>
    </row>
    <row r="444" spans="1:37">
      <c r="A444" s="703" t="s">
        <v>1194</v>
      </c>
      <c r="B444" s="703" t="s">
        <v>331</v>
      </c>
      <c r="C444" s="703" t="s">
        <v>390</v>
      </c>
      <c r="D444" s="703" t="s">
        <v>391</v>
      </c>
      <c r="E444" s="703" t="s">
        <v>334</v>
      </c>
      <c r="F444" s="703" t="s">
        <v>335</v>
      </c>
      <c r="G444" s="703" t="s">
        <v>1195</v>
      </c>
      <c r="H444" s="703" t="s">
        <v>334</v>
      </c>
      <c r="I444" s="703" t="s">
        <v>334</v>
      </c>
      <c r="J444" s="703" t="s">
        <v>337</v>
      </c>
      <c r="K444" s="704">
        <v>0</v>
      </c>
      <c r="L444" s="703" t="s">
        <v>334</v>
      </c>
      <c r="M444" s="702">
        <v>42886</v>
      </c>
      <c r="N444" s="702">
        <v>43237</v>
      </c>
      <c r="O444" s="703" t="s">
        <v>338</v>
      </c>
      <c r="P444" s="20">
        <v>89954.69</v>
      </c>
      <c r="Q444" s="20">
        <v>0</v>
      </c>
      <c r="R444" s="20">
        <v>0</v>
      </c>
      <c r="S444" s="20">
        <v>0</v>
      </c>
      <c r="T444" s="20">
        <v>89954.69</v>
      </c>
      <c r="U444" s="20">
        <v>79210.100000000006</v>
      </c>
      <c r="V444" s="20">
        <v>-10744.59</v>
      </c>
      <c r="W444" s="20">
        <v>-13743.08</v>
      </c>
      <c r="X444" s="20">
        <v>-2998.49</v>
      </c>
      <c r="Y444" s="20">
        <v>0</v>
      </c>
      <c r="Z444" s="20">
        <v>0</v>
      </c>
      <c r="AA444" s="20">
        <v>0</v>
      </c>
      <c r="AB444" s="20">
        <v>76211.61</v>
      </c>
      <c r="AC444" t="s">
        <v>188</v>
      </c>
      <c r="AD444" t="s">
        <v>290</v>
      </c>
      <c r="AE444" s="702">
        <f t="shared" si="30"/>
        <v>43252</v>
      </c>
      <c r="AF444" s="289">
        <v>149419.35626200543</v>
      </c>
      <c r="AG444">
        <f t="shared" si="31"/>
        <v>360</v>
      </c>
      <c r="AH444" s="289">
        <f t="shared" si="32"/>
        <v>415.0537673944595</v>
      </c>
      <c r="AJ444" s="289">
        <f t="shared" si="33"/>
        <v>54</v>
      </c>
      <c r="AK444" s="289">
        <f t="shared" si="34"/>
        <v>22412.903439300811</v>
      </c>
    </row>
    <row r="445" spans="1:37">
      <c r="A445" s="703" t="s">
        <v>1196</v>
      </c>
      <c r="B445" s="703" t="s">
        <v>331</v>
      </c>
      <c r="C445" s="703" t="s">
        <v>390</v>
      </c>
      <c r="D445" s="703" t="s">
        <v>391</v>
      </c>
      <c r="E445" s="703" t="s">
        <v>334</v>
      </c>
      <c r="F445" s="703" t="s">
        <v>335</v>
      </c>
      <c r="G445" s="703" t="s">
        <v>1197</v>
      </c>
      <c r="H445" s="703" t="s">
        <v>334</v>
      </c>
      <c r="I445" s="703" t="s">
        <v>334</v>
      </c>
      <c r="J445" s="703" t="s">
        <v>337</v>
      </c>
      <c r="K445" s="704">
        <v>0</v>
      </c>
      <c r="L445" s="703" t="s">
        <v>334</v>
      </c>
      <c r="M445" s="702">
        <v>42886</v>
      </c>
      <c r="N445" s="702">
        <v>43237</v>
      </c>
      <c r="O445" s="703" t="s">
        <v>338</v>
      </c>
      <c r="P445" s="20">
        <v>24548.82</v>
      </c>
      <c r="Q445" s="20">
        <v>0</v>
      </c>
      <c r="R445" s="20">
        <v>0</v>
      </c>
      <c r="S445" s="20">
        <v>0</v>
      </c>
      <c r="T445" s="20">
        <v>24548.82</v>
      </c>
      <c r="U445" s="20">
        <v>21616.61</v>
      </c>
      <c r="V445" s="20">
        <v>-2932.21</v>
      </c>
      <c r="W445" s="20">
        <v>-3750.5</v>
      </c>
      <c r="X445" s="20">
        <v>-818.29</v>
      </c>
      <c r="Y445" s="20">
        <v>0</v>
      </c>
      <c r="Z445" s="20">
        <v>0</v>
      </c>
      <c r="AA445" s="20">
        <v>0</v>
      </c>
      <c r="AB445" s="20">
        <v>20798.32</v>
      </c>
      <c r="AC445" t="s">
        <v>188</v>
      </c>
      <c r="AD445" t="s">
        <v>290</v>
      </c>
      <c r="AE445" s="702">
        <f t="shared" si="30"/>
        <v>43252</v>
      </c>
      <c r="AF445" s="289">
        <v>40776.849782838937</v>
      </c>
      <c r="AG445">
        <f t="shared" si="31"/>
        <v>360</v>
      </c>
      <c r="AH445" s="289">
        <f t="shared" si="32"/>
        <v>113.2690271745526</v>
      </c>
      <c r="AJ445" s="289">
        <f t="shared" si="33"/>
        <v>54</v>
      </c>
      <c r="AK445" s="289">
        <f t="shared" si="34"/>
        <v>6116.5274674258408</v>
      </c>
    </row>
    <row r="446" spans="1:37">
      <c r="A446" s="703" t="s">
        <v>1198</v>
      </c>
      <c r="B446" s="703" t="s">
        <v>331</v>
      </c>
      <c r="C446" s="703" t="s">
        <v>390</v>
      </c>
      <c r="D446" s="703" t="s">
        <v>391</v>
      </c>
      <c r="E446" s="703" t="s">
        <v>334</v>
      </c>
      <c r="F446" s="703" t="s">
        <v>335</v>
      </c>
      <c r="G446" s="703" t="s">
        <v>1199</v>
      </c>
      <c r="H446" s="703" t="s">
        <v>334</v>
      </c>
      <c r="I446" s="703" t="s">
        <v>334</v>
      </c>
      <c r="J446" s="703" t="s">
        <v>337</v>
      </c>
      <c r="K446" s="704">
        <v>0</v>
      </c>
      <c r="L446" s="703" t="s">
        <v>334</v>
      </c>
      <c r="M446" s="702">
        <v>42886</v>
      </c>
      <c r="N446" s="702">
        <v>43237</v>
      </c>
      <c r="O446" s="703" t="s">
        <v>338</v>
      </c>
      <c r="P446" s="20">
        <v>37848</v>
      </c>
      <c r="Q446" s="20">
        <v>0</v>
      </c>
      <c r="R446" s="20">
        <v>0</v>
      </c>
      <c r="S446" s="20">
        <v>0</v>
      </c>
      <c r="T446" s="20">
        <v>37848</v>
      </c>
      <c r="U446" s="20">
        <v>33327.269999999997</v>
      </c>
      <c r="V446" s="20">
        <v>-4520.7299999999996</v>
      </c>
      <c r="W446" s="20">
        <v>-5782.33</v>
      </c>
      <c r="X446" s="20">
        <v>-1261.5999999999999</v>
      </c>
      <c r="Y446" s="20">
        <v>0</v>
      </c>
      <c r="Z446" s="20">
        <v>0</v>
      </c>
      <c r="AA446" s="20">
        <v>0</v>
      </c>
      <c r="AB446" s="20">
        <v>32065.67</v>
      </c>
      <c r="AC446" t="s">
        <v>188</v>
      </c>
      <c r="AD446" t="s">
        <v>290</v>
      </c>
      <c r="AE446" s="702">
        <f t="shared" si="30"/>
        <v>43252</v>
      </c>
      <c r="AF446" s="289">
        <v>62867.470232006592</v>
      </c>
      <c r="AG446">
        <f t="shared" si="31"/>
        <v>360</v>
      </c>
      <c r="AH446" s="289">
        <f t="shared" si="32"/>
        <v>174.63186175557388</v>
      </c>
      <c r="AJ446" s="289">
        <f t="shared" si="33"/>
        <v>54</v>
      </c>
      <c r="AK446" s="289">
        <f t="shared" si="34"/>
        <v>9430.1205348009898</v>
      </c>
    </row>
    <row r="447" spans="1:37">
      <c r="A447" s="703" t="s">
        <v>1200</v>
      </c>
      <c r="B447" s="703" t="s">
        <v>331</v>
      </c>
      <c r="C447" s="703" t="s">
        <v>390</v>
      </c>
      <c r="D447" s="703" t="s">
        <v>391</v>
      </c>
      <c r="E447" s="703" t="s">
        <v>334</v>
      </c>
      <c r="F447" s="703" t="s">
        <v>335</v>
      </c>
      <c r="G447" s="703" t="s">
        <v>1201</v>
      </c>
      <c r="H447" s="703" t="s">
        <v>334</v>
      </c>
      <c r="I447" s="703" t="s">
        <v>334</v>
      </c>
      <c r="J447" s="703" t="s">
        <v>337</v>
      </c>
      <c r="K447" s="704">
        <v>0</v>
      </c>
      <c r="L447" s="703" t="s">
        <v>334</v>
      </c>
      <c r="M447" s="702">
        <v>42886</v>
      </c>
      <c r="N447" s="702">
        <v>43237</v>
      </c>
      <c r="O447" s="703" t="s">
        <v>338</v>
      </c>
      <c r="P447" s="20">
        <v>16293.43</v>
      </c>
      <c r="Q447" s="20">
        <v>0</v>
      </c>
      <c r="R447" s="20">
        <v>0</v>
      </c>
      <c r="S447" s="20">
        <v>0</v>
      </c>
      <c r="T447" s="20">
        <v>16293.43</v>
      </c>
      <c r="U447" s="20">
        <v>14347.28</v>
      </c>
      <c r="V447" s="20">
        <v>-1946.15</v>
      </c>
      <c r="W447" s="20">
        <v>-2489.2600000000002</v>
      </c>
      <c r="X447" s="20">
        <v>-543.11</v>
      </c>
      <c r="Y447" s="20">
        <v>0</v>
      </c>
      <c r="Z447" s="20">
        <v>0</v>
      </c>
      <c r="AA447" s="20">
        <v>0</v>
      </c>
      <c r="AB447" s="20">
        <v>13804.17</v>
      </c>
      <c r="AC447" t="s">
        <v>188</v>
      </c>
      <c r="AD447" t="s">
        <v>290</v>
      </c>
      <c r="AE447" s="702">
        <f t="shared" si="30"/>
        <v>43252</v>
      </c>
      <c r="AF447" s="289">
        <v>27064.223354002406</v>
      </c>
      <c r="AG447">
        <f t="shared" si="31"/>
        <v>360</v>
      </c>
      <c r="AH447" s="289">
        <f t="shared" si="32"/>
        <v>75.178398205562246</v>
      </c>
      <c r="AJ447" s="289">
        <f t="shared" si="33"/>
        <v>54</v>
      </c>
      <c r="AK447" s="289">
        <f t="shared" si="34"/>
        <v>4059.6335031003614</v>
      </c>
    </row>
    <row r="448" spans="1:37">
      <c r="A448" s="703" t="s">
        <v>1202</v>
      </c>
      <c r="B448" s="703" t="s">
        <v>331</v>
      </c>
      <c r="C448" s="703" t="s">
        <v>390</v>
      </c>
      <c r="D448" s="703" t="s">
        <v>391</v>
      </c>
      <c r="E448" s="703" t="s">
        <v>334</v>
      </c>
      <c r="F448" s="703" t="s">
        <v>335</v>
      </c>
      <c r="G448" s="703" t="s">
        <v>1203</v>
      </c>
      <c r="H448" s="703" t="s">
        <v>334</v>
      </c>
      <c r="I448" s="703" t="s">
        <v>334</v>
      </c>
      <c r="J448" s="703" t="s">
        <v>337</v>
      </c>
      <c r="K448" s="704">
        <v>0</v>
      </c>
      <c r="L448" s="703" t="s">
        <v>334</v>
      </c>
      <c r="M448" s="702">
        <v>42886</v>
      </c>
      <c r="N448" s="702">
        <v>43237</v>
      </c>
      <c r="O448" s="703" t="s">
        <v>338</v>
      </c>
      <c r="P448" s="20">
        <v>1468.45</v>
      </c>
      <c r="Q448" s="20">
        <v>0</v>
      </c>
      <c r="R448" s="20">
        <v>0</v>
      </c>
      <c r="S448" s="20">
        <v>0</v>
      </c>
      <c r="T448" s="20">
        <v>1468.45</v>
      </c>
      <c r="U448" s="20">
        <v>1293.05</v>
      </c>
      <c r="V448" s="20">
        <v>-175.4</v>
      </c>
      <c r="W448" s="20">
        <v>-224.35</v>
      </c>
      <c r="X448" s="20">
        <v>-48.95</v>
      </c>
      <c r="Y448" s="20">
        <v>0</v>
      </c>
      <c r="Z448" s="20">
        <v>0</v>
      </c>
      <c r="AA448" s="20">
        <v>0</v>
      </c>
      <c r="AB448" s="20">
        <v>1244.0999999999999</v>
      </c>
      <c r="AC448" t="s">
        <v>188</v>
      </c>
      <c r="AD448" t="s">
        <v>290</v>
      </c>
      <c r="AE448" s="702">
        <f t="shared" si="30"/>
        <v>43252</v>
      </c>
      <c r="AF448" s="289">
        <v>2439.1708059128641</v>
      </c>
      <c r="AG448">
        <f t="shared" si="31"/>
        <v>360</v>
      </c>
      <c r="AH448" s="289">
        <f t="shared" si="32"/>
        <v>6.7754744608690674</v>
      </c>
      <c r="AJ448" s="289">
        <f t="shared" si="33"/>
        <v>54</v>
      </c>
      <c r="AK448" s="289">
        <f t="shared" si="34"/>
        <v>365.87562088692965</v>
      </c>
    </row>
    <row r="449" spans="1:37">
      <c r="A449" s="703" t="s">
        <v>1204</v>
      </c>
      <c r="B449" s="703" t="s">
        <v>331</v>
      </c>
      <c r="C449" s="703" t="s">
        <v>454</v>
      </c>
      <c r="D449" s="703" t="s">
        <v>334</v>
      </c>
      <c r="E449" s="703" t="s">
        <v>334</v>
      </c>
      <c r="F449" s="703" t="s">
        <v>455</v>
      </c>
      <c r="G449" s="703" t="s">
        <v>1205</v>
      </c>
      <c r="H449" s="703" t="s">
        <v>1206</v>
      </c>
      <c r="I449" s="703" t="s">
        <v>334</v>
      </c>
      <c r="J449" s="703" t="s">
        <v>458</v>
      </c>
      <c r="K449" s="704">
        <v>13</v>
      </c>
      <c r="L449" s="703" t="s">
        <v>463</v>
      </c>
      <c r="M449" s="702"/>
      <c r="N449" s="702">
        <v>43251</v>
      </c>
      <c r="O449" s="703" t="s">
        <v>338</v>
      </c>
      <c r="P449" s="20">
        <v>113092.41</v>
      </c>
      <c r="Q449" s="20">
        <v>0</v>
      </c>
      <c r="R449" s="20">
        <v>0</v>
      </c>
      <c r="S449" s="20">
        <v>0</v>
      </c>
      <c r="T449" s="20">
        <v>113092.41</v>
      </c>
      <c r="U449" s="20">
        <v>94726</v>
      </c>
      <c r="V449" s="20">
        <v>-18366.41</v>
      </c>
      <c r="W449" s="20">
        <v>-24021.03</v>
      </c>
      <c r="X449" s="20">
        <v>-5654.62</v>
      </c>
      <c r="Y449" s="20">
        <v>0</v>
      </c>
      <c r="Z449" s="20">
        <v>0</v>
      </c>
      <c r="AA449" s="20">
        <v>0</v>
      </c>
      <c r="AB449" s="20">
        <v>89071.38</v>
      </c>
      <c r="AC449" t="s">
        <v>459</v>
      </c>
      <c r="AD449" t="s">
        <v>290</v>
      </c>
      <c r="AE449" s="702">
        <f t="shared" si="30"/>
        <v>43252</v>
      </c>
      <c r="AF449" s="289">
        <v>187852.29653194052</v>
      </c>
      <c r="AG449">
        <f t="shared" si="31"/>
        <v>360</v>
      </c>
      <c r="AH449" s="289">
        <f t="shared" si="32"/>
        <v>521.8119348109459</v>
      </c>
      <c r="AJ449" s="289">
        <f t="shared" si="33"/>
        <v>54</v>
      </c>
      <c r="AK449" s="289">
        <f t="shared" si="34"/>
        <v>28177.844479791078</v>
      </c>
    </row>
    <row r="450" spans="1:37">
      <c r="A450" s="703" t="s">
        <v>1207</v>
      </c>
      <c r="B450" s="703" t="s">
        <v>331</v>
      </c>
      <c r="C450" s="703" t="s">
        <v>472</v>
      </c>
      <c r="D450" s="703" t="s">
        <v>334</v>
      </c>
      <c r="E450" s="703" t="s">
        <v>334</v>
      </c>
      <c r="F450" s="703" t="s">
        <v>474</v>
      </c>
      <c r="G450" s="703" t="s">
        <v>810</v>
      </c>
      <c r="H450" s="703" t="s">
        <v>1208</v>
      </c>
      <c r="I450" s="703" t="s">
        <v>334</v>
      </c>
      <c r="J450" s="703" t="s">
        <v>476</v>
      </c>
      <c r="K450" s="704">
        <v>0</v>
      </c>
      <c r="L450" s="703" t="s">
        <v>334</v>
      </c>
      <c r="M450" s="702"/>
      <c r="N450" s="702">
        <v>43251</v>
      </c>
      <c r="O450" s="703" t="s">
        <v>338</v>
      </c>
      <c r="P450" s="20">
        <v>116723.1</v>
      </c>
      <c r="Q450" s="20">
        <v>0</v>
      </c>
      <c r="R450" s="20">
        <v>0</v>
      </c>
      <c r="S450" s="20">
        <v>0</v>
      </c>
      <c r="T450" s="20">
        <v>116723.1</v>
      </c>
      <c r="U450" s="20">
        <v>77051.17</v>
      </c>
      <c r="V450" s="20">
        <v>-39671.93</v>
      </c>
      <c r="W450" s="20">
        <v>-51344.24</v>
      </c>
      <c r="X450" s="20">
        <v>-11672.31</v>
      </c>
      <c r="Y450" s="20">
        <v>0</v>
      </c>
      <c r="Z450" s="20">
        <v>0</v>
      </c>
      <c r="AA450" s="20">
        <v>0</v>
      </c>
      <c r="AB450" s="20">
        <v>65378.86</v>
      </c>
      <c r="AC450" t="s">
        <v>477</v>
      </c>
      <c r="AD450" t="s">
        <v>290</v>
      </c>
      <c r="AE450" s="702">
        <f t="shared" si="30"/>
        <v>43252</v>
      </c>
      <c r="AF450" s="289">
        <v>193883.05893673454</v>
      </c>
      <c r="AG450">
        <f t="shared" si="31"/>
        <v>360</v>
      </c>
      <c r="AH450" s="289">
        <f t="shared" si="32"/>
        <v>538.56405260204042</v>
      </c>
      <c r="AJ450" s="289">
        <f t="shared" si="33"/>
        <v>54</v>
      </c>
      <c r="AK450" s="289">
        <f t="shared" si="34"/>
        <v>29082.458840510182</v>
      </c>
    </row>
    <row r="451" spans="1:37">
      <c r="A451" s="703" t="s">
        <v>1209</v>
      </c>
      <c r="B451" s="703" t="s">
        <v>484</v>
      </c>
      <c r="C451" s="703" t="s">
        <v>1210</v>
      </c>
      <c r="D451" s="703" t="s">
        <v>391</v>
      </c>
      <c r="E451" s="703" t="s">
        <v>334</v>
      </c>
      <c r="F451" s="703" t="s">
        <v>487</v>
      </c>
      <c r="G451" s="703" t="s">
        <v>1211</v>
      </c>
      <c r="H451" s="703" t="s">
        <v>334</v>
      </c>
      <c r="I451" s="703" t="s">
        <v>334</v>
      </c>
      <c r="J451" s="703" t="s">
        <v>490</v>
      </c>
      <c r="K451" s="704">
        <v>0</v>
      </c>
      <c r="L451" s="703" t="s">
        <v>334</v>
      </c>
      <c r="M451" s="702">
        <v>40968</v>
      </c>
      <c r="N451" s="702">
        <v>43251</v>
      </c>
      <c r="O451" s="703" t="s">
        <v>338</v>
      </c>
      <c r="P451" s="20">
        <v>149972.29</v>
      </c>
      <c r="Q451" s="20">
        <v>375714.32</v>
      </c>
      <c r="R451" s="20">
        <v>-431729.78</v>
      </c>
      <c r="S451" s="20">
        <v>0</v>
      </c>
      <c r="T451" s="20">
        <v>93956.83</v>
      </c>
      <c r="U451" s="20">
        <v>149972.29</v>
      </c>
      <c r="V451" s="20">
        <v>0</v>
      </c>
      <c r="W451" s="20">
        <v>0</v>
      </c>
      <c r="X451" s="20">
        <v>0</v>
      </c>
      <c r="Y451" s="20">
        <v>0</v>
      </c>
      <c r="Z451" s="20">
        <v>0</v>
      </c>
      <c r="AA451" s="20">
        <v>0</v>
      </c>
      <c r="AB451" s="20">
        <v>93956.83</v>
      </c>
      <c r="AC451" t="s">
        <v>1212</v>
      </c>
      <c r="AD451" t="s">
        <v>492</v>
      </c>
      <c r="AE451" s="702">
        <f t="shared" si="30"/>
        <v>43252</v>
      </c>
      <c r="AF451" s="289">
        <v>156067.11617836356</v>
      </c>
      <c r="AG451">
        <f t="shared" si="31"/>
        <v>360</v>
      </c>
      <c r="AH451" s="289">
        <f t="shared" si="32"/>
        <v>433.51976716212101</v>
      </c>
      <c r="AJ451" s="289">
        <f t="shared" si="33"/>
        <v>54</v>
      </c>
      <c r="AK451" s="289">
        <f t="shared" si="34"/>
        <v>0</v>
      </c>
    </row>
    <row r="452" spans="1:37">
      <c r="A452" s="703" t="s">
        <v>1213</v>
      </c>
      <c r="B452" s="703" t="s">
        <v>484</v>
      </c>
      <c r="C452" s="703" t="s">
        <v>1214</v>
      </c>
      <c r="D452" s="703" t="s">
        <v>575</v>
      </c>
      <c r="E452" s="703" t="s">
        <v>334</v>
      </c>
      <c r="F452" s="703" t="s">
        <v>487</v>
      </c>
      <c r="G452" s="703" t="s">
        <v>1215</v>
      </c>
      <c r="H452" s="703" t="s">
        <v>1216</v>
      </c>
      <c r="I452" s="703" t="s">
        <v>334</v>
      </c>
      <c r="J452" s="703" t="s">
        <v>1217</v>
      </c>
      <c r="K452" s="704">
        <v>0</v>
      </c>
      <c r="L452" s="703" t="s">
        <v>334</v>
      </c>
      <c r="M452" s="702"/>
      <c r="N452" s="702">
        <v>43251</v>
      </c>
      <c r="O452" s="703" t="s">
        <v>338</v>
      </c>
      <c r="P452" s="20">
        <v>3537490.58</v>
      </c>
      <c r="Q452" s="20">
        <v>0</v>
      </c>
      <c r="R452" s="20">
        <v>-3537490.58</v>
      </c>
      <c r="S452" s="20">
        <v>0</v>
      </c>
      <c r="T452" s="20">
        <v>0</v>
      </c>
      <c r="U452" s="20">
        <v>3537490.58</v>
      </c>
      <c r="V452" s="20">
        <v>0</v>
      </c>
      <c r="W452" s="20">
        <v>0</v>
      </c>
      <c r="X452" s="20">
        <v>0</v>
      </c>
      <c r="Y452" s="20">
        <v>0</v>
      </c>
      <c r="Z452" s="20">
        <v>0</v>
      </c>
      <c r="AA452" s="20">
        <v>0</v>
      </c>
      <c r="AB452" s="20">
        <v>0</v>
      </c>
      <c r="AC452" t="s">
        <v>1218</v>
      </c>
      <c r="AD452" t="s">
        <v>492</v>
      </c>
      <c r="AE452" s="702">
        <f t="shared" si="30"/>
        <v>43252</v>
      </c>
      <c r="AF452" s="289">
        <v>0</v>
      </c>
      <c r="AG452">
        <f t="shared" si="31"/>
        <v>360</v>
      </c>
      <c r="AH452" s="289">
        <f t="shared" si="32"/>
        <v>0</v>
      </c>
      <c r="AJ452" s="289">
        <f t="shared" si="33"/>
        <v>54</v>
      </c>
      <c r="AK452" s="289">
        <f t="shared" si="34"/>
        <v>0</v>
      </c>
    </row>
    <row r="453" spans="1:37">
      <c r="A453" s="703" t="s">
        <v>1219</v>
      </c>
      <c r="B453" s="703" t="s">
        <v>331</v>
      </c>
      <c r="C453" s="703" t="s">
        <v>574</v>
      </c>
      <c r="D453" s="703" t="s">
        <v>575</v>
      </c>
      <c r="E453" s="703" t="s">
        <v>334</v>
      </c>
      <c r="F453" s="703" t="s">
        <v>335</v>
      </c>
      <c r="G453" s="703" t="s">
        <v>1220</v>
      </c>
      <c r="H453" s="703" t="s">
        <v>1220</v>
      </c>
      <c r="I453" s="703" t="s">
        <v>334</v>
      </c>
      <c r="J453" s="703" t="s">
        <v>577</v>
      </c>
      <c r="K453" s="704">
        <v>0</v>
      </c>
      <c r="L453" s="703" t="s">
        <v>334</v>
      </c>
      <c r="M453" s="702">
        <v>42521</v>
      </c>
      <c r="N453" s="702">
        <v>43266</v>
      </c>
      <c r="O453" s="703" t="s">
        <v>338</v>
      </c>
      <c r="P453" s="20">
        <v>0</v>
      </c>
      <c r="Q453" s="20">
        <v>0</v>
      </c>
      <c r="R453" s="20">
        <v>0</v>
      </c>
      <c r="S453" s="20">
        <v>0</v>
      </c>
      <c r="T453" s="20">
        <v>0</v>
      </c>
      <c r="U453" s="20">
        <v>0</v>
      </c>
      <c r="V453" s="20">
        <v>0</v>
      </c>
      <c r="W453" s="20">
        <v>0</v>
      </c>
      <c r="X453" s="20">
        <v>0</v>
      </c>
      <c r="Y453" s="20">
        <v>0</v>
      </c>
      <c r="Z453" s="20">
        <v>0</v>
      </c>
      <c r="AA453" s="20">
        <v>0</v>
      </c>
      <c r="AB453" s="20">
        <v>0</v>
      </c>
      <c r="AC453" t="s">
        <v>578</v>
      </c>
      <c r="AD453" t="s">
        <v>290</v>
      </c>
      <c r="AE453" s="702">
        <f t="shared" si="30"/>
        <v>43252</v>
      </c>
      <c r="AF453" s="289">
        <v>0</v>
      </c>
      <c r="AG453">
        <f t="shared" si="31"/>
        <v>360</v>
      </c>
      <c r="AH453" s="289">
        <f t="shared" si="32"/>
        <v>0</v>
      </c>
      <c r="AJ453" s="289">
        <f t="shared" si="33"/>
        <v>54</v>
      </c>
      <c r="AK453" s="289">
        <f t="shared" si="34"/>
        <v>0</v>
      </c>
    </row>
    <row r="454" spans="1:37">
      <c r="A454" s="703" t="s">
        <v>1221</v>
      </c>
      <c r="B454" s="703" t="s">
        <v>331</v>
      </c>
      <c r="C454" s="703" t="s">
        <v>574</v>
      </c>
      <c r="D454" s="703" t="s">
        <v>575</v>
      </c>
      <c r="E454" s="703" t="s">
        <v>334</v>
      </c>
      <c r="F454" s="703" t="s">
        <v>335</v>
      </c>
      <c r="G454" s="703" t="s">
        <v>1222</v>
      </c>
      <c r="H454" s="703" t="s">
        <v>1222</v>
      </c>
      <c r="I454" s="703" t="s">
        <v>334</v>
      </c>
      <c r="J454" s="703" t="s">
        <v>577</v>
      </c>
      <c r="K454" s="704">
        <v>0</v>
      </c>
      <c r="L454" s="703" t="s">
        <v>334</v>
      </c>
      <c r="M454" s="702">
        <v>42521</v>
      </c>
      <c r="N454" s="702">
        <v>43266</v>
      </c>
      <c r="O454" s="703" t="s">
        <v>338</v>
      </c>
      <c r="P454" s="20">
        <v>0</v>
      </c>
      <c r="Q454" s="20">
        <v>0</v>
      </c>
      <c r="R454" s="20">
        <v>0</v>
      </c>
      <c r="S454" s="20">
        <v>0</v>
      </c>
      <c r="T454" s="20">
        <v>0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0</v>
      </c>
      <c r="AA454" s="20">
        <v>0</v>
      </c>
      <c r="AB454" s="20">
        <v>0</v>
      </c>
      <c r="AC454" t="s">
        <v>578</v>
      </c>
      <c r="AD454" t="s">
        <v>290</v>
      </c>
      <c r="AE454" s="702">
        <f t="shared" si="30"/>
        <v>43252</v>
      </c>
      <c r="AF454" s="289">
        <v>0</v>
      </c>
      <c r="AG454">
        <f t="shared" si="31"/>
        <v>360</v>
      </c>
      <c r="AH454" s="289">
        <f t="shared" si="32"/>
        <v>0</v>
      </c>
      <c r="AJ454" s="289">
        <f t="shared" si="33"/>
        <v>54</v>
      </c>
      <c r="AK454" s="289">
        <f t="shared" si="34"/>
        <v>0</v>
      </c>
    </row>
    <row r="455" spans="1:37">
      <c r="A455" s="703" t="s">
        <v>1223</v>
      </c>
      <c r="B455" s="703" t="s">
        <v>331</v>
      </c>
      <c r="C455" s="703" t="s">
        <v>574</v>
      </c>
      <c r="D455" s="703" t="s">
        <v>575</v>
      </c>
      <c r="E455" s="703" t="s">
        <v>334</v>
      </c>
      <c r="F455" s="703" t="s">
        <v>335</v>
      </c>
      <c r="G455" s="703" t="s">
        <v>1224</v>
      </c>
      <c r="H455" s="703" t="s">
        <v>1224</v>
      </c>
      <c r="I455" s="703" t="s">
        <v>334</v>
      </c>
      <c r="J455" s="703" t="s">
        <v>577</v>
      </c>
      <c r="K455" s="704">
        <v>0</v>
      </c>
      <c r="L455" s="703" t="s">
        <v>334</v>
      </c>
      <c r="M455" s="702">
        <v>42521</v>
      </c>
      <c r="N455" s="702">
        <v>43266</v>
      </c>
      <c r="O455" s="703" t="s">
        <v>338</v>
      </c>
      <c r="P455" s="20">
        <v>0</v>
      </c>
      <c r="Q455" s="20">
        <v>0</v>
      </c>
      <c r="R455" s="20">
        <v>0</v>
      </c>
      <c r="S455" s="20">
        <v>0</v>
      </c>
      <c r="T455" s="20">
        <v>0</v>
      </c>
      <c r="U455" s="20">
        <v>0</v>
      </c>
      <c r="V455" s="20">
        <v>0</v>
      </c>
      <c r="W455" s="20">
        <v>0</v>
      </c>
      <c r="X455" s="20">
        <v>0</v>
      </c>
      <c r="Y455" s="20">
        <v>0</v>
      </c>
      <c r="Z455" s="20">
        <v>0</v>
      </c>
      <c r="AA455" s="20">
        <v>0</v>
      </c>
      <c r="AB455" s="20">
        <v>0</v>
      </c>
      <c r="AC455" t="s">
        <v>578</v>
      </c>
      <c r="AD455" t="s">
        <v>290</v>
      </c>
      <c r="AE455" s="702">
        <f t="shared" ref="AE455:AE518" si="35">IF(N455&gt;=$AG$5,DATE(YEAR(N455),6,1),DATE(YEAR(N455),6,1))</f>
        <v>43252</v>
      </c>
      <c r="AF455" s="289">
        <v>0</v>
      </c>
      <c r="AG455">
        <f t="shared" ref="AG455:AG518" si="36">+IF(AD455="intangível",20*12,IF(AD455="Diferido",120,IF(AD455="Não vinculados",0,IF(AE455&lt;=$AG$5,F455*12,360))))</f>
        <v>360</v>
      </c>
      <c r="AH455" s="289">
        <f t="shared" ref="AH455:AH518" si="37">IF(AG455=0,0,AF455/AG455)</f>
        <v>0</v>
      </c>
      <c r="AJ455" s="289">
        <f t="shared" ref="AJ455:AJ518" si="38">+IF(AND(YEAR(AE455)&gt;=2018,YEAR(AE455)&lt;=2022),IF(DATEDIF(AE455,$AK$4,"m")&gt;=AG455,AG455,DATEDIF(AE455,$AK$4,"m")),0)</f>
        <v>54</v>
      </c>
      <c r="AK455" s="289">
        <f t="shared" ref="AK455:AK518" si="39">IF(AD455="Imobilizado",AJ455*AH455,0)</f>
        <v>0</v>
      </c>
    </row>
    <row r="456" spans="1:37">
      <c r="A456" s="703" t="s">
        <v>1225</v>
      </c>
      <c r="B456" s="703" t="s">
        <v>331</v>
      </c>
      <c r="C456" s="703" t="s">
        <v>586</v>
      </c>
      <c r="D456" s="703" t="s">
        <v>486</v>
      </c>
      <c r="E456" s="703" t="s">
        <v>587</v>
      </c>
      <c r="F456" s="703" t="s">
        <v>335</v>
      </c>
      <c r="G456" s="703" t="s">
        <v>1226</v>
      </c>
      <c r="H456" s="703" t="s">
        <v>1226</v>
      </c>
      <c r="I456" s="703" t="s">
        <v>334</v>
      </c>
      <c r="J456" s="703" t="s">
        <v>337</v>
      </c>
      <c r="K456" s="704">
        <v>0</v>
      </c>
      <c r="L456" s="703" t="s">
        <v>334</v>
      </c>
      <c r="M456" s="702">
        <v>40390</v>
      </c>
      <c r="N456" s="702">
        <v>43266</v>
      </c>
      <c r="O456" s="703" t="s">
        <v>338</v>
      </c>
      <c r="P456" s="20">
        <v>0</v>
      </c>
      <c r="Q456" s="20">
        <v>0</v>
      </c>
      <c r="R456" s="20">
        <v>0</v>
      </c>
      <c r="S456" s="20">
        <v>0</v>
      </c>
      <c r="T456" s="20">
        <v>0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0</v>
      </c>
      <c r="AA456" s="20">
        <v>0</v>
      </c>
      <c r="AB456" s="20">
        <v>0</v>
      </c>
      <c r="AC456" t="s">
        <v>589</v>
      </c>
      <c r="AD456" t="s">
        <v>290</v>
      </c>
      <c r="AE456" s="702">
        <f t="shared" si="35"/>
        <v>43252</v>
      </c>
      <c r="AF456" s="289">
        <v>0</v>
      </c>
      <c r="AG456">
        <f t="shared" si="36"/>
        <v>360</v>
      </c>
      <c r="AH456" s="289">
        <f t="shared" si="37"/>
        <v>0</v>
      </c>
      <c r="AJ456" s="289">
        <f t="shared" si="38"/>
        <v>54</v>
      </c>
      <c r="AK456" s="289">
        <f t="shared" si="39"/>
        <v>0</v>
      </c>
    </row>
    <row r="457" spans="1:37">
      <c r="A457" s="703" t="s">
        <v>1227</v>
      </c>
      <c r="B457" s="703" t="s">
        <v>331</v>
      </c>
      <c r="C457" s="703" t="s">
        <v>586</v>
      </c>
      <c r="D457" s="703" t="s">
        <v>486</v>
      </c>
      <c r="E457" s="703" t="s">
        <v>587</v>
      </c>
      <c r="F457" s="703" t="s">
        <v>335</v>
      </c>
      <c r="G457" s="703" t="s">
        <v>1228</v>
      </c>
      <c r="H457" s="703" t="s">
        <v>1228</v>
      </c>
      <c r="I457" s="703" t="s">
        <v>334</v>
      </c>
      <c r="J457" s="703" t="s">
        <v>337</v>
      </c>
      <c r="K457" s="704">
        <v>0</v>
      </c>
      <c r="L457" s="703" t="s">
        <v>334</v>
      </c>
      <c r="M457" s="702">
        <v>40390</v>
      </c>
      <c r="N457" s="702">
        <v>43266</v>
      </c>
      <c r="O457" s="703" t="s">
        <v>338</v>
      </c>
      <c r="P457" s="20">
        <v>2234.02</v>
      </c>
      <c r="Q457" s="20">
        <v>0</v>
      </c>
      <c r="R457" s="20">
        <v>0</v>
      </c>
      <c r="S457" s="20">
        <v>0</v>
      </c>
      <c r="T457" s="20">
        <v>2234.02</v>
      </c>
      <c r="U457" s="20">
        <v>2004.4</v>
      </c>
      <c r="V457" s="20">
        <v>-229.62</v>
      </c>
      <c r="W457" s="20">
        <v>-304.08999999999997</v>
      </c>
      <c r="X457" s="20">
        <v>-74.47</v>
      </c>
      <c r="Y457" s="20">
        <v>0</v>
      </c>
      <c r="Z457" s="20">
        <v>0</v>
      </c>
      <c r="AA457" s="20">
        <v>0</v>
      </c>
      <c r="AB457" s="20">
        <v>1929.93</v>
      </c>
      <c r="AC457" t="s">
        <v>589</v>
      </c>
      <c r="AD457" t="s">
        <v>290</v>
      </c>
      <c r="AE457" s="702">
        <f t="shared" si="35"/>
        <v>43252</v>
      </c>
      <c r="AF457" s="289">
        <v>3710.8218623892249</v>
      </c>
      <c r="AG457">
        <f t="shared" si="36"/>
        <v>360</v>
      </c>
      <c r="AH457" s="289">
        <f t="shared" si="37"/>
        <v>10.307838506636736</v>
      </c>
      <c r="AJ457" s="289">
        <f t="shared" si="38"/>
        <v>54</v>
      </c>
      <c r="AK457" s="289">
        <f t="shared" si="39"/>
        <v>556.6232793583838</v>
      </c>
    </row>
    <row r="458" spans="1:37">
      <c r="A458" s="703" t="s">
        <v>1229</v>
      </c>
      <c r="B458" s="703" t="s">
        <v>331</v>
      </c>
      <c r="C458" s="703" t="s">
        <v>586</v>
      </c>
      <c r="D458" s="703" t="s">
        <v>486</v>
      </c>
      <c r="E458" s="703" t="s">
        <v>587</v>
      </c>
      <c r="F458" s="703" t="s">
        <v>335</v>
      </c>
      <c r="G458" s="703" t="s">
        <v>1230</v>
      </c>
      <c r="H458" s="703" t="s">
        <v>1230</v>
      </c>
      <c r="I458" s="703" t="s">
        <v>334</v>
      </c>
      <c r="J458" s="703" t="s">
        <v>337</v>
      </c>
      <c r="K458" s="704">
        <v>0</v>
      </c>
      <c r="L458" s="703" t="s">
        <v>334</v>
      </c>
      <c r="M458" s="702">
        <v>40390</v>
      </c>
      <c r="N458" s="702">
        <v>43266</v>
      </c>
      <c r="O458" s="703" t="s">
        <v>338</v>
      </c>
      <c r="P458" s="20">
        <v>1198.25</v>
      </c>
      <c r="Q458" s="20">
        <v>0</v>
      </c>
      <c r="R458" s="20">
        <v>0</v>
      </c>
      <c r="S458" s="20">
        <v>0</v>
      </c>
      <c r="T458" s="20">
        <v>1198.25</v>
      </c>
      <c r="U458" s="20">
        <v>1075.0999999999999</v>
      </c>
      <c r="V458" s="20">
        <v>-123.15</v>
      </c>
      <c r="W458" s="20">
        <v>-163.09</v>
      </c>
      <c r="X458" s="20">
        <v>-39.94</v>
      </c>
      <c r="Y458" s="20">
        <v>0</v>
      </c>
      <c r="Z458" s="20">
        <v>0</v>
      </c>
      <c r="AA458" s="20">
        <v>0</v>
      </c>
      <c r="AB458" s="20">
        <v>1035.1600000000001</v>
      </c>
      <c r="AC458" t="s">
        <v>589</v>
      </c>
      <c r="AD458" t="s">
        <v>290</v>
      </c>
      <c r="AE458" s="702">
        <f t="shared" si="35"/>
        <v>43252</v>
      </c>
      <c r="AF458" s="289">
        <v>1990.3547401580506</v>
      </c>
      <c r="AG458">
        <f t="shared" si="36"/>
        <v>360</v>
      </c>
      <c r="AH458" s="289">
        <f t="shared" si="37"/>
        <v>5.528763167105696</v>
      </c>
      <c r="AJ458" s="289">
        <f t="shared" si="38"/>
        <v>54</v>
      </c>
      <c r="AK458" s="289">
        <f t="shared" si="39"/>
        <v>298.5532110237076</v>
      </c>
    </row>
    <row r="459" spans="1:37">
      <c r="A459" s="703" t="s">
        <v>1231</v>
      </c>
      <c r="B459" s="703" t="s">
        <v>331</v>
      </c>
      <c r="C459" s="703" t="s">
        <v>586</v>
      </c>
      <c r="D459" s="703" t="s">
        <v>486</v>
      </c>
      <c r="E459" s="703" t="s">
        <v>587</v>
      </c>
      <c r="F459" s="703" t="s">
        <v>335</v>
      </c>
      <c r="G459" s="703" t="s">
        <v>1232</v>
      </c>
      <c r="H459" s="703" t="s">
        <v>1232</v>
      </c>
      <c r="I459" s="703" t="s">
        <v>334</v>
      </c>
      <c r="J459" s="703" t="s">
        <v>337</v>
      </c>
      <c r="K459" s="704">
        <v>0</v>
      </c>
      <c r="L459" s="703" t="s">
        <v>334</v>
      </c>
      <c r="M459" s="702">
        <v>40390</v>
      </c>
      <c r="N459" s="702">
        <v>43266</v>
      </c>
      <c r="O459" s="703" t="s">
        <v>338</v>
      </c>
      <c r="P459" s="20">
        <v>46066.44</v>
      </c>
      <c r="Q459" s="20">
        <v>0</v>
      </c>
      <c r="R459" s="20">
        <v>0</v>
      </c>
      <c r="S459" s="20">
        <v>0</v>
      </c>
      <c r="T459" s="20">
        <v>46066.44</v>
      </c>
      <c r="U459" s="20">
        <v>41331.83</v>
      </c>
      <c r="V459" s="20">
        <v>-4734.6099999999997</v>
      </c>
      <c r="W459" s="20">
        <v>-6270.16</v>
      </c>
      <c r="X459" s="20">
        <v>-1535.55</v>
      </c>
      <c r="Y459" s="20">
        <v>0</v>
      </c>
      <c r="Z459" s="20">
        <v>0</v>
      </c>
      <c r="AA459" s="20">
        <v>0</v>
      </c>
      <c r="AB459" s="20">
        <v>39796.28</v>
      </c>
      <c r="AC459" t="s">
        <v>589</v>
      </c>
      <c r="AD459" t="s">
        <v>290</v>
      </c>
      <c r="AE459" s="702">
        <f t="shared" si="35"/>
        <v>43252</v>
      </c>
      <c r="AF459" s="289">
        <v>76518.720814693457</v>
      </c>
      <c r="AG459">
        <f t="shared" si="36"/>
        <v>360</v>
      </c>
      <c r="AH459" s="289">
        <f t="shared" si="37"/>
        <v>212.55200226303739</v>
      </c>
      <c r="AJ459" s="289">
        <f t="shared" si="38"/>
        <v>54</v>
      </c>
      <c r="AK459" s="289">
        <f t="shared" si="39"/>
        <v>11477.80812220402</v>
      </c>
    </row>
    <row r="460" spans="1:37">
      <c r="A460" s="703" t="s">
        <v>1233</v>
      </c>
      <c r="B460" s="703" t="s">
        <v>331</v>
      </c>
      <c r="C460" s="703" t="s">
        <v>586</v>
      </c>
      <c r="D460" s="703" t="s">
        <v>486</v>
      </c>
      <c r="E460" s="703" t="s">
        <v>587</v>
      </c>
      <c r="F460" s="703" t="s">
        <v>335</v>
      </c>
      <c r="G460" s="703" t="s">
        <v>1234</v>
      </c>
      <c r="H460" s="703" t="s">
        <v>1234</v>
      </c>
      <c r="I460" s="703" t="s">
        <v>334</v>
      </c>
      <c r="J460" s="703" t="s">
        <v>337</v>
      </c>
      <c r="K460" s="704">
        <v>0</v>
      </c>
      <c r="L460" s="703" t="s">
        <v>334</v>
      </c>
      <c r="M460" s="702">
        <v>40390</v>
      </c>
      <c r="N460" s="702">
        <v>43266</v>
      </c>
      <c r="O460" s="703" t="s">
        <v>338</v>
      </c>
      <c r="P460" s="20">
        <v>23251.69</v>
      </c>
      <c r="Q460" s="20">
        <v>0</v>
      </c>
      <c r="R460" s="20">
        <v>0</v>
      </c>
      <c r="S460" s="20">
        <v>0</v>
      </c>
      <c r="T460" s="20">
        <v>23251.69</v>
      </c>
      <c r="U460" s="20">
        <v>20861.919999999998</v>
      </c>
      <c r="V460" s="20">
        <v>-2389.77</v>
      </c>
      <c r="W460" s="20">
        <v>-3164.83</v>
      </c>
      <c r="X460" s="20">
        <v>-775.06</v>
      </c>
      <c r="Y460" s="20">
        <v>0</v>
      </c>
      <c r="Z460" s="20">
        <v>0</v>
      </c>
      <c r="AA460" s="20">
        <v>0</v>
      </c>
      <c r="AB460" s="20">
        <v>20086.86</v>
      </c>
      <c r="AC460" t="s">
        <v>589</v>
      </c>
      <c r="AD460" t="s">
        <v>290</v>
      </c>
      <c r="AE460" s="702">
        <f t="shared" si="35"/>
        <v>43252</v>
      </c>
      <c r="AF460" s="289">
        <v>38622.250288492003</v>
      </c>
      <c r="AG460">
        <f t="shared" si="36"/>
        <v>360</v>
      </c>
      <c r="AH460" s="289">
        <f t="shared" si="37"/>
        <v>107.28402857914445</v>
      </c>
      <c r="AJ460" s="289">
        <f t="shared" si="38"/>
        <v>54</v>
      </c>
      <c r="AK460" s="289">
        <f t="shared" si="39"/>
        <v>5793.3375432738003</v>
      </c>
    </row>
    <row r="461" spans="1:37">
      <c r="A461" s="703" t="s">
        <v>1235</v>
      </c>
      <c r="B461" s="703" t="s">
        <v>331</v>
      </c>
      <c r="C461" s="703" t="s">
        <v>586</v>
      </c>
      <c r="D461" s="703" t="s">
        <v>486</v>
      </c>
      <c r="E461" s="703" t="s">
        <v>587</v>
      </c>
      <c r="F461" s="703" t="s">
        <v>335</v>
      </c>
      <c r="G461" s="703" t="s">
        <v>1236</v>
      </c>
      <c r="H461" s="703" t="s">
        <v>1236</v>
      </c>
      <c r="I461" s="703" t="s">
        <v>334</v>
      </c>
      <c r="J461" s="703" t="s">
        <v>337</v>
      </c>
      <c r="K461" s="704">
        <v>0</v>
      </c>
      <c r="L461" s="703" t="s">
        <v>334</v>
      </c>
      <c r="M461" s="702">
        <v>40390</v>
      </c>
      <c r="N461" s="702">
        <v>43266</v>
      </c>
      <c r="O461" s="703" t="s">
        <v>338</v>
      </c>
      <c r="P461" s="20">
        <v>0</v>
      </c>
      <c r="Q461" s="20">
        <v>0</v>
      </c>
      <c r="R461" s="20">
        <v>0</v>
      </c>
      <c r="S461" s="20">
        <v>0</v>
      </c>
      <c r="T461" s="20">
        <v>0</v>
      </c>
      <c r="U461" s="20">
        <v>0</v>
      </c>
      <c r="V461" s="20">
        <v>0</v>
      </c>
      <c r="W461" s="20">
        <v>0</v>
      </c>
      <c r="X461" s="20">
        <v>0</v>
      </c>
      <c r="Y461" s="20">
        <v>0</v>
      </c>
      <c r="Z461" s="20">
        <v>0</v>
      </c>
      <c r="AA461" s="20">
        <v>0</v>
      </c>
      <c r="AB461" s="20">
        <v>0</v>
      </c>
      <c r="AC461" t="s">
        <v>589</v>
      </c>
      <c r="AD461" t="s">
        <v>290</v>
      </c>
      <c r="AE461" s="702">
        <f t="shared" si="35"/>
        <v>43252</v>
      </c>
      <c r="AF461" s="289">
        <v>0</v>
      </c>
      <c r="AG461">
        <f t="shared" si="36"/>
        <v>360</v>
      </c>
      <c r="AH461" s="289">
        <f t="shared" si="37"/>
        <v>0</v>
      </c>
      <c r="AJ461" s="289">
        <f t="shared" si="38"/>
        <v>54</v>
      </c>
      <c r="AK461" s="289">
        <f t="shared" si="39"/>
        <v>0</v>
      </c>
    </row>
    <row r="462" spans="1:37">
      <c r="A462" s="703" t="s">
        <v>1237</v>
      </c>
      <c r="B462" s="703" t="s">
        <v>331</v>
      </c>
      <c r="C462" s="703" t="s">
        <v>586</v>
      </c>
      <c r="D462" s="703" t="s">
        <v>486</v>
      </c>
      <c r="E462" s="703" t="s">
        <v>587</v>
      </c>
      <c r="F462" s="703" t="s">
        <v>335</v>
      </c>
      <c r="G462" s="703" t="s">
        <v>1238</v>
      </c>
      <c r="H462" s="703" t="s">
        <v>1239</v>
      </c>
      <c r="I462" s="703" t="s">
        <v>334</v>
      </c>
      <c r="J462" s="703" t="s">
        <v>337</v>
      </c>
      <c r="K462" s="704">
        <v>0</v>
      </c>
      <c r="L462" s="703" t="s">
        <v>334</v>
      </c>
      <c r="M462" s="702">
        <v>40390</v>
      </c>
      <c r="N462" s="702">
        <v>43266</v>
      </c>
      <c r="O462" s="703" t="s">
        <v>338</v>
      </c>
      <c r="P462" s="20">
        <v>3102.38</v>
      </c>
      <c r="Q462" s="20">
        <v>0</v>
      </c>
      <c r="R462" s="20">
        <v>0</v>
      </c>
      <c r="S462" s="20">
        <v>0</v>
      </c>
      <c r="T462" s="20">
        <v>3102.38</v>
      </c>
      <c r="U462" s="20">
        <v>2783.53</v>
      </c>
      <c r="V462" s="20">
        <v>-318.85000000000002</v>
      </c>
      <c r="W462" s="20">
        <v>-422.26</v>
      </c>
      <c r="X462" s="20">
        <v>-103.41</v>
      </c>
      <c r="Y462" s="20">
        <v>0</v>
      </c>
      <c r="Z462" s="20">
        <v>0</v>
      </c>
      <c r="AA462" s="20">
        <v>0</v>
      </c>
      <c r="AB462" s="20">
        <v>2680.12</v>
      </c>
      <c r="AC462" t="s">
        <v>589</v>
      </c>
      <c r="AD462" t="s">
        <v>290</v>
      </c>
      <c r="AE462" s="702">
        <f t="shared" si="35"/>
        <v>43252</v>
      </c>
      <c r="AF462" s="289">
        <v>5153.2123837025101</v>
      </c>
      <c r="AG462">
        <f t="shared" si="36"/>
        <v>360</v>
      </c>
      <c r="AH462" s="289">
        <f t="shared" si="37"/>
        <v>14.314478843618083</v>
      </c>
      <c r="AJ462" s="289">
        <f t="shared" si="38"/>
        <v>54</v>
      </c>
      <c r="AK462" s="289">
        <f t="shared" si="39"/>
        <v>772.98185755537645</v>
      </c>
    </row>
    <row r="463" spans="1:37">
      <c r="A463" s="703" t="s">
        <v>1240</v>
      </c>
      <c r="B463" s="703" t="s">
        <v>331</v>
      </c>
      <c r="C463" s="703" t="s">
        <v>332</v>
      </c>
      <c r="D463" s="703" t="s">
        <v>333</v>
      </c>
      <c r="E463" s="703" t="s">
        <v>334</v>
      </c>
      <c r="F463" s="703" t="s">
        <v>335</v>
      </c>
      <c r="G463" s="703" t="s">
        <v>682</v>
      </c>
      <c r="H463" s="703" t="s">
        <v>334</v>
      </c>
      <c r="I463" s="703" t="s">
        <v>334</v>
      </c>
      <c r="J463" s="703" t="s">
        <v>337</v>
      </c>
      <c r="K463" s="704">
        <v>0</v>
      </c>
      <c r="L463" s="703" t="s">
        <v>334</v>
      </c>
      <c r="M463" s="702">
        <v>42886</v>
      </c>
      <c r="N463" s="702">
        <v>43271</v>
      </c>
      <c r="O463" s="703" t="s">
        <v>338</v>
      </c>
      <c r="P463" s="20">
        <v>74123.149999999994</v>
      </c>
      <c r="Q463" s="20">
        <v>0</v>
      </c>
      <c r="R463" s="20">
        <v>0</v>
      </c>
      <c r="S463" s="20">
        <v>0</v>
      </c>
      <c r="T463" s="20">
        <v>74123.149999999994</v>
      </c>
      <c r="U463" s="20">
        <v>65876.59</v>
      </c>
      <c r="V463" s="20">
        <v>-8246.56</v>
      </c>
      <c r="W463" s="20">
        <v>-10717.33</v>
      </c>
      <c r="X463" s="20">
        <v>-2470.77</v>
      </c>
      <c r="Y463" s="20">
        <v>0</v>
      </c>
      <c r="Z463" s="20">
        <v>0</v>
      </c>
      <c r="AA463" s="20">
        <v>0</v>
      </c>
      <c r="AB463" s="20">
        <v>63405.82</v>
      </c>
      <c r="AC463" t="s">
        <v>183</v>
      </c>
      <c r="AD463" t="s">
        <v>290</v>
      </c>
      <c r="AE463" s="702">
        <f t="shared" si="35"/>
        <v>43252</v>
      </c>
      <c r="AF463" s="289">
        <v>123122.3559006436</v>
      </c>
      <c r="AG463">
        <f t="shared" si="36"/>
        <v>360</v>
      </c>
      <c r="AH463" s="289">
        <f t="shared" si="37"/>
        <v>342.00654416845441</v>
      </c>
      <c r="AJ463" s="289">
        <f t="shared" si="38"/>
        <v>54</v>
      </c>
      <c r="AK463" s="289">
        <f t="shared" si="39"/>
        <v>18468.35338509654</v>
      </c>
    </row>
    <row r="464" spans="1:37">
      <c r="A464" s="703" t="s">
        <v>1241</v>
      </c>
      <c r="B464" s="703" t="s">
        <v>331</v>
      </c>
      <c r="C464" s="703" t="s">
        <v>332</v>
      </c>
      <c r="D464" s="703" t="s">
        <v>333</v>
      </c>
      <c r="E464" s="703" t="s">
        <v>334</v>
      </c>
      <c r="F464" s="703" t="s">
        <v>335</v>
      </c>
      <c r="G464" s="703" t="s">
        <v>1242</v>
      </c>
      <c r="H464" s="703" t="s">
        <v>334</v>
      </c>
      <c r="I464" s="703" t="s">
        <v>334</v>
      </c>
      <c r="J464" s="703" t="s">
        <v>337</v>
      </c>
      <c r="K464" s="704">
        <v>0</v>
      </c>
      <c r="L464" s="703" t="s">
        <v>334</v>
      </c>
      <c r="M464" s="702">
        <v>42613</v>
      </c>
      <c r="N464" s="702">
        <v>43271</v>
      </c>
      <c r="O464" s="703" t="s">
        <v>338</v>
      </c>
      <c r="P464" s="20">
        <v>8896.2000000000007</v>
      </c>
      <c r="Q464" s="20">
        <v>0</v>
      </c>
      <c r="R464" s="20">
        <v>0</v>
      </c>
      <c r="S464" s="20">
        <v>0</v>
      </c>
      <c r="T464" s="20">
        <v>8896.2000000000007</v>
      </c>
      <c r="U464" s="20">
        <v>7858.31</v>
      </c>
      <c r="V464" s="20">
        <v>-1037.8900000000001</v>
      </c>
      <c r="W464" s="20">
        <v>-1334.43</v>
      </c>
      <c r="X464" s="20">
        <v>-296.54000000000002</v>
      </c>
      <c r="Y464" s="20">
        <v>0</v>
      </c>
      <c r="Z464" s="20">
        <v>0</v>
      </c>
      <c r="AA464" s="20">
        <v>0</v>
      </c>
      <c r="AB464" s="20">
        <v>7561.77</v>
      </c>
      <c r="AC464" t="s">
        <v>183</v>
      </c>
      <c r="AD464" t="s">
        <v>290</v>
      </c>
      <c r="AE464" s="702">
        <f t="shared" si="35"/>
        <v>43252</v>
      </c>
      <c r="AF464" s="289">
        <v>14777.04472304949</v>
      </c>
      <c r="AG464">
        <f t="shared" si="36"/>
        <v>360</v>
      </c>
      <c r="AH464" s="289">
        <f t="shared" si="37"/>
        <v>41.047346452915249</v>
      </c>
      <c r="AJ464" s="289">
        <f t="shared" si="38"/>
        <v>54</v>
      </c>
      <c r="AK464" s="289">
        <f t="shared" si="39"/>
        <v>2216.5567084574236</v>
      </c>
    </row>
    <row r="465" spans="1:37">
      <c r="A465" s="703" t="s">
        <v>1243</v>
      </c>
      <c r="B465" s="703" t="s">
        <v>331</v>
      </c>
      <c r="C465" s="703" t="s">
        <v>332</v>
      </c>
      <c r="D465" s="703" t="s">
        <v>333</v>
      </c>
      <c r="E465" s="703" t="s">
        <v>334</v>
      </c>
      <c r="F465" s="703" t="s">
        <v>335</v>
      </c>
      <c r="G465" s="703" t="s">
        <v>1244</v>
      </c>
      <c r="H465" s="703" t="s">
        <v>334</v>
      </c>
      <c r="I465" s="703" t="s">
        <v>334</v>
      </c>
      <c r="J465" s="703" t="s">
        <v>337</v>
      </c>
      <c r="K465" s="704">
        <v>0</v>
      </c>
      <c r="L465" s="703" t="s">
        <v>334</v>
      </c>
      <c r="M465" s="702">
        <v>42766</v>
      </c>
      <c r="N465" s="702">
        <v>43273</v>
      </c>
      <c r="O465" s="703" t="s">
        <v>338</v>
      </c>
      <c r="P465" s="20">
        <v>17101032.27</v>
      </c>
      <c r="Q465" s="20">
        <v>0</v>
      </c>
      <c r="R465" s="20">
        <v>0</v>
      </c>
      <c r="S465" s="20">
        <v>0</v>
      </c>
      <c r="T465" s="20">
        <v>17101032.27</v>
      </c>
      <c r="U465" s="20">
        <v>15105911.84</v>
      </c>
      <c r="V465" s="20">
        <v>-1995120.43</v>
      </c>
      <c r="W465" s="20">
        <v>-2565154.84</v>
      </c>
      <c r="X465" s="20">
        <v>-570034.41</v>
      </c>
      <c r="Y465" s="20">
        <v>0</v>
      </c>
      <c r="Z465" s="20">
        <v>0</v>
      </c>
      <c r="AA465" s="20">
        <v>0</v>
      </c>
      <c r="AB465" s="20">
        <v>14535877.43</v>
      </c>
      <c r="AC465" t="s">
        <v>183</v>
      </c>
      <c r="AD465" t="s">
        <v>290</v>
      </c>
      <c r="AE465" s="702">
        <f t="shared" si="35"/>
        <v>43252</v>
      </c>
      <c r="AF465" s="289">
        <v>28405692.167903431</v>
      </c>
      <c r="AG465">
        <f t="shared" si="36"/>
        <v>360</v>
      </c>
      <c r="AH465" s="289">
        <f t="shared" si="37"/>
        <v>78904.700466398412</v>
      </c>
      <c r="AJ465" s="289">
        <f t="shared" si="38"/>
        <v>54</v>
      </c>
      <c r="AK465" s="289">
        <f t="shared" si="39"/>
        <v>4260853.8251855141</v>
      </c>
    </row>
    <row r="466" spans="1:37">
      <c r="A466" s="703" t="s">
        <v>1245</v>
      </c>
      <c r="B466" s="703" t="s">
        <v>331</v>
      </c>
      <c r="C466" s="703" t="s">
        <v>332</v>
      </c>
      <c r="D466" s="703" t="s">
        <v>333</v>
      </c>
      <c r="E466" s="703" t="s">
        <v>334</v>
      </c>
      <c r="F466" s="703" t="s">
        <v>335</v>
      </c>
      <c r="G466" s="703" t="s">
        <v>1246</v>
      </c>
      <c r="H466" s="703" t="s">
        <v>334</v>
      </c>
      <c r="I466" s="703" t="s">
        <v>334</v>
      </c>
      <c r="J466" s="703" t="s">
        <v>337</v>
      </c>
      <c r="K466" s="704">
        <v>0</v>
      </c>
      <c r="L466" s="703" t="s">
        <v>334</v>
      </c>
      <c r="M466" s="702">
        <v>41029</v>
      </c>
      <c r="N466" s="702">
        <v>43273</v>
      </c>
      <c r="O466" s="703" t="s">
        <v>338</v>
      </c>
      <c r="P466" s="20">
        <v>36001.24</v>
      </c>
      <c r="Q466" s="20">
        <v>0</v>
      </c>
      <c r="R466" s="20">
        <v>0</v>
      </c>
      <c r="S466" s="20">
        <v>0</v>
      </c>
      <c r="T466" s="20">
        <v>36001.24</v>
      </c>
      <c r="U466" s="20">
        <v>31801.1</v>
      </c>
      <c r="V466" s="20">
        <v>-4200.1400000000003</v>
      </c>
      <c r="W466" s="20">
        <v>-5400.18</v>
      </c>
      <c r="X466" s="20">
        <v>-1200.04</v>
      </c>
      <c r="Y466" s="20">
        <v>0</v>
      </c>
      <c r="Z466" s="20">
        <v>0</v>
      </c>
      <c r="AA466" s="20">
        <v>0</v>
      </c>
      <c r="AB466" s="20">
        <v>30601.06</v>
      </c>
      <c r="AC466" t="s">
        <v>183</v>
      </c>
      <c r="AD466" t="s">
        <v>290</v>
      </c>
      <c r="AE466" s="702">
        <f t="shared" si="35"/>
        <v>43252</v>
      </c>
      <c r="AF466" s="289">
        <v>59799.907102497484</v>
      </c>
      <c r="AG466">
        <f t="shared" si="36"/>
        <v>360</v>
      </c>
      <c r="AH466" s="289">
        <f t="shared" si="37"/>
        <v>166.11085306249302</v>
      </c>
      <c r="AJ466" s="289">
        <f t="shared" si="38"/>
        <v>54</v>
      </c>
      <c r="AK466" s="289">
        <f t="shared" si="39"/>
        <v>8969.9860653746236</v>
      </c>
    </row>
    <row r="467" spans="1:37">
      <c r="A467" s="703" t="s">
        <v>1247</v>
      </c>
      <c r="B467" s="703" t="s">
        <v>331</v>
      </c>
      <c r="C467" s="703" t="s">
        <v>332</v>
      </c>
      <c r="D467" s="703" t="s">
        <v>333</v>
      </c>
      <c r="E467" s="703" t="s">
        <v>334</v>
      </c>
      <c r="F467" s="703" t="s">
        <v>335</v>
      </c>
      <c r="G467" s="703" t="s">
        <v>1248</v>
      </c>
      <c r="H467" s="703" t="s">
        <v>334</v>
      </c>
      <c r="I467" s="703" t="s">
        <v>334</v>
      </c>
      <c r="J467" s="703" t="s">
        <v>337</v>
      </c>
      <c r="K467" s="704">
        <v>0</v>
      </c>
      <c r="L467" s="703" t="s">
        <v>334</v>
      </c>
      <c r="M467" s="702">
        <v>42766</v>
      </c>
      <c r="N467" s="702">
        <v>43273</v>
      </c>
      <c r="O467" s="703" t="s">
        <v>338</v>
      </c>
      <c r="P467" s="20">
        <v>188720.54</v>
      </c>
      <c r="Q467" s="20">
        <v>0</v>
      </c>
      <c r="R467" s="20">
        <v>0</v>
      </c>
      <c r="S467" s="20">
        <v>0</v>
      </c>
      <c r="T467" s="20">
        <v>188720.54</v>
      </c>
      <c r="U467" s="20">
        <v>166703.16</v>
      </c>
      <c r="V467" s="20">
        <v>-22017.38</v>
      </c>
      <c r="W467" s="20">
        <v>-28308.06</v>
      </c>
      <c r="X467" s="20">
        <v>-6290.68</v>
      </c>
      <c r="Y467" s="20">
        <v>0</v>
      </c>
      <c r="Z467" s="20">
        <v>0</v>
      </c>
      <c r="AA467" s="20">
        <v>0</v>
      </c>
      <c r="AB467" s="20">
        <v>160412.48000000001</v>
      </c>
      <c r="AC467" t="s">
        <v>183</v>
      </c>
      <c r="AD467" t="s">
        <v>290</v>
      </c>
      <c r="AE467" s="702">
        <f t="shared" si="35"/>
        <v>43252</v>
      </c>
      <c r="AF467" s="289">
        <v>313474.5014430937</v>
      </c>
      <c r="AG467">
        <f t="shared" si="36"/>
        <v>360</v>
      </c>
      <c r="AH467" s="289">
        <f t="shared" si="37"/>
        <v>870.76250400859362</v>
      </c>
      <c r="AJ467" s="289">
        <f t="shared" si="38"/>
        <v>54</v>
      </c>
      <c r="AK467" s="289">
        <f t="shared" si="39"/>
        <v>47021.175216464057</v>
      </c>
    </row>
    <row r="468" spans="1:37">
      <c r="A468" s="703" t="s">
        <v>1249</v>
      </c>
      <c r="B468" s="703" t="s">
        <v>331</v>
      </c>
      <c r="C468" s="703" t="s">
        <v>332</v>
      </c>
      <c r="D468" s="703" t="s">
        <v>333</v>
      </c>
      <c r="E468" s="703" t="s">
        <v>334</v>
      </c>
      <c r="F468" s="703" t="s">
        <v>335</v>
      </c>
      <c r="G468" s="703" t="s">
        <v>1250</v>
      </c>
      <c r="H468" s="703" t="s">
        <v>334</v>
      </c>
      <c r="I468" s="703" t="s">
        <v>334</v>
      </c>
      <c r="J468" s="703" t="s">
        <v>337</v>
      </c>
      <c r="K468" s="704">
        <v>0</v>
      </c>
      <c r="L468" s="703" t="s">
        <v>334</v>
      </c>
      <c r="M468" s="702">
        <v>42613</v>
      </c>
      <c r="N468" s="702">
        <v>43273</v>
      </c>
      <c r="O468" s="703" t="s">
        <v>338</v>
      </c>
      <c r="P468" s="20">
        <v>22467.919999999998</v>
      </c>
      <c r="Q468" s="20">
        <v>0</v>
      </c>
      <c r="R468" s="20">
        <v>0</v>
      </c>
      <c r="S468" s="20">
        <v>0</v>
      </c>
      <c r="T468" s="20">
        <v>22467.919999999998</v>
      </c>
      <c r="U468" s="20">
        <v>19846.66</v>
      </c>
      <c r="V468" s="20">
        <v>-2621.2600000000002</v>
      </c>
      <c r="W468" s="20">
        <v>-3370.19</v>
      </c>
      <c r="X468" s="20">
        <v>-748.93</v>
      </c>
      <c r="Y468" s="20">
        <v>0</v>
      </c>
      <c r="Z468" s="20">
        <v>0</v>
      </c>
      <c r="AA468" s="20">
        <v>0</v>
      </c>
      <c r="AB468" s="20">
        <v>19097.73</v>
      </c>
      <c r="AC468" t="s">
        <v>183</v>
      </c>
      <c r="AD468" t="s">
        <v>290</v>
      </c>
      <c r="AE468" s="702">
        <f t="shared" si="35"/>
        <v>43252</v>
      </c>
      <c r="AF468" s="289">
        <v>37320.368098052881</v>
      </c>
      <c r="AG468">
        <f t="shared" si="36"/>
        <v>360</v>
      </c>
      <c r="AH468" s="289">
        <f t="shared" si="37"/>
        <v>103.667689161258</v>
      </c>
      <c r="AJ468" s="289">
        <f t="shared" si="38"/>
        <v>54</v>
      </c>
      <c r="AK468" s="289">
        <f t="shared" si="39"/>
        <v>5598.0552147079316</v>
      </c>
    </row>
    <row r="469" spans="1:37">
      <c r="A469" s="703" t="s">
        <v>1251</v>
      </c>
      <c r="B469" s="703" t="s">
        <v>331</v>
      </c>
      <c r="C469" s="703" t="s">
        <v>332</v>
      </c>
      <c r="D469" s="703" t="s">
        <v>333</v>
      </c>
      <c r="E469" s="703" t="s">
        <v>334</v>
      </c>
      <c r="F469" s="703" t="s">
        <v>335</v>
      </c>
      <c r="G469" s="703" t="s">
        <v>1252</v>
      </c>
      <c r="H469" s="703" t="s">
        <v>334</v>
      </c>
      <c r="I469" s="703" t="s">
        <v>334</v>
      </c>
      <c r="J469" s="703" t="s">
        <v>337</v>
      </c>
      <c r="K469" s="704">
        <v>0</v>
      </c>
      <c r="L469" s="703" t="s">
        <v>334</v>
      </c>
      <c r="M469" s="702">
        <v>42613</v>
      </c>
      <c r="N469" s="702">
        <v>43273</v>
      </c>
      <c r="O469" s="703" t="s">
        <v>338</v>
      </c>
      <c r="P469" s="20">
        <v>107602.83</v>
      </c>
      <c r="Q469" s="20">
        <v>0</v>
      </c>
      <c r="R469" s="20">
        <v>0</v>
      </c>
      <c r="S469" s="20">
        <v>0</v>
      </c>
      <c r="T469" s="20">
        <v>107602.83</v>
      </c>
      <c r="U469" s="20">
        <v>95049.17</v>
      </c>
      <c r="V469" s="20">
        <v>-12553.66</v>
      </c>
      <c r="W469" s="20">
        <v>-16140.42</v>
      </c>
      <c r="X469" s="20">
        <v>-3586.76</v>
      </c>
      <c r="Y469" s="20">
        <v>0</v>
      </c>
      <c r="Z469" s="20">
        <v>0</v>
      </c>
      <c r="AA469" s="20">
        <v>0</v>
      </c>
      <c r="AB469" s="20">
        <v>91462.41</v>
      </c>
      <c r="AC469" t="s">
        <v>183</v>
      </c>
      <c r="AD469" t="s">
        <v>290</v>
      </c>
      <c r="AE469" s="702">
        <f t="shared" si="35"/>
        <v>43252</v>
      </c>
      <c r="AF469" s="289">
        <v>178733.82244516662</v>
      </c>
      <c r="AG469">
        <f t="shared" si="36"/>
        <v>360</v>
      </c>
      <c r="AH469" s="289">
        <f t="shared" si="37"/>
        <v>496.48284012546281</v>
      </c>
      <c r="AJ469" s="289">
        <f t="shared" si="38"/>
        <v>54</v>
      </c>
      <c r="AK469" s="289">
        <f t="shared" si="39"/>
        <v>26810.073366774992</v>
      </c>
    </row>
    <row r="470" spans="1:37">
      <c r="A470" s="703" t="s">
        <v>1253</v>
      </c>
      <c r="B470" s="703" t="s">
        <v>331</v>
      </c>
      <c r="C470" s="703" t="s">
        <v>332</v>
      </c>
      <c r="D470" s="703" t="s">
        <v>333</v>
      </c>
      <c r="E470" s="703" t="s">
        <v>334</v>
      </c>
      <c r="F470" s="703" t="s">
        <v>335</v>
      </c>
      <c r="G470" s="703" t="s">
        <v>1254</v>
      </c>
      <c r="H470" s="703" t="s">
        <v>334</v>
      </c>
      <c r="I470" s="703" t="s">
        <v>334</v>
      </c>
      <c r="J470" s="703" t="s">
        <v>337</v>
      </c>
      <c r="K470" s="704">
        <v>0</v>
      </c>
      <c r="L470" s="703" t="s">
        <v>334</v>
      </c>
      <c r="M470" s="702">
        <v>42613</v>
      </c>
      <c r="N470" s="702">
        <v>43273</v>
      </c>
      <c r="O470" s="703" t="s">
        <v>338</v>
      </c>
      <c r="P470" s="20">
        <v>132807.13</v>
      </c>
      <c r="Q470" s="20">
        <v>0</v>
      </c>
      <c r="R470" s="20">
        <v>0</v>
      </c>
      <c r="S470" s="20">
        <v>0</v>
      </c>
      <c r="T470" s="20">
        <v>132807.13</v>
      </c>
      <c r="U470" s="20">
        <v>117312.98</v>
      </c>
      <c r="V470" s="20">
        <v>-15494.15</v>
      </c>
      <c r="W470" s="20">
        <v>-19921.05</v>
      </c>
      <c r="X470" s="20">
        <v>-4426.8999999999996</v>
      </c>
      <c r="Y470" s="20">
        <v>0</v>
      </c>
      <c r="Z470" s="20">
        <v>0</v>
      </c>
      <c r="AA470" s="20">
        <v>0</v>
      </c>
      <c r="AB470" s="20">
        <v>112886.08</v>
      </c>
      <c r="AC470" t="s">
        <v>183</v>
      </c>
      <c r="AD470" t="s">
        <v>290</v>
      </c>
      <c r="AE470" s="702">
        <f t="shared" si="35"/>
        <v>43252</v>
      </c>
      <c r="AF470" s="289">
        <v>220599.45814503354</v>
      </c>
      <c r="AG470">
        <f t="shared" si="36"/>
        <v>360</v>
      </c>
      <c r="AH470" s="289">
        <f t="shared" si="37"/>
        <v>612.77627262509316</v>
      </c>
      <c r="AJ470" s="289">
        <f t="shared" si="38"/>
        <v>54</v>
      </c>
      <c r="AK470" s="289">
        <f t="shared" si="39"/>
        <v>33089.918721755028</v>
      </c>
    </row>
    <row r="471" spans="1:37">
      <c r="A471" s="703" t="s">
        <v>1255</v>
      </c>
      <c r="B471" s="703" t="s">
        <v>331</v>
      </c>
      <c r="C471" s="703" t="s">
        <v>332</v>
      </c>
      <c r="D471" s="703" t="s">
        <v>333</v>
      </c>
      <c r="E471" s="703" t="s">
        <v>334</v>
      </c>
      <c r="F471" s="703" t="s">
        <v>335</v>
      </c>
      <c r="G471" s="703" t="s">
        <v>1256</v>
      </c>
      <c r="H471" s="703" t="s">
        <v>334</v>
      </c>
      <c r="I471" s="703" t="s">
        <v>334</v>
      </c>
      <c r="J471" s="703" t="s">
        <v>337</v>
      </c>
      <c r="K471" s="704">
        <v>0</v>
      </c>
      <c r="L471" s="703" t="s">
        <v>334</v>
      </c>
      <c r="M471" s="702">
        <v>42766</v>
      </c>
      <c r="N471" s="702">
        <v>43273</v>
      </c>
      <c r="O471" s="703" t="s">
        <v>338</v>
      </c>
      <c r="P471" s="20">
        <v>336.35</v>
      </c>
      <c r="Q471" s="20">
        <v>0</v>
      </c>
      <c r="R471" s="20">
        <v>0</v>
      </c>
      <c r="S471" s="20">
        <v>0</v>
      </c>
      <c r="T471" s="20">
        <v>336.35</v>
      </c>
      <c r="U471" s="20">
        <v>297.11</v>
      </c>
      <c r="V471" s="20">
        <v>-39.24</v>
      </c>
      <c r="W471" s="20">
        <v>-50.45</v>
      </c>
      <c r="X471" s="20">
        <v>-11.21</v>
      </c>
      <c r="Y471" s="20">
        <v>0</v>
      </c>
      <c r="Z471" s="20">
        <v>0</v>
      </c>
      <c r="AA471" s="20">
        <v>0</v>
      </c>
      <c r="AB471" s="20">
        <v>285.89999999999998</v>
      </c>
      <c r="AC471" t="s">
        <v>183</v>
      </c>
      <c r="AD471" t="s">
        <v>290</v>
      </c>
      <c r="AE471" s="702">
        <f t="shared" si="35"/>
        <v>43252</v>
      </c>
      <c r="AF471" s="289">
        <v>558.69461035022778</v>
      </c>
      <c r="AG471">
        <f t="shared" si="36"/>
        <v>360</v>
      </c>
      <c r="AH471" s="289">
        <f t="shared" si="37"/>
        <v>1.5519294731950772</v>
      </c>
      <c r="AJ471" s="289">
        <f t="shared" si="38"/>
        <v>54</v>
      </c>
      <c r="AK471" s="289">
        <f t="shared" si="39"/>
        <v>83.804191552534178</v>
      </c>
    </row>
    <row r="472" spans="1:37">
      <c r="A472" s="703" t="s">
        <v>1257</v>
      </c>
      <c r="B472" s="703" t="s">
        <v>331</v>
      </c>
      <c r="C472" s="703" t="s">
        <v>574</v>
      </c>
      <c r="D472" s="703" t="s">
        <v>575</v>
      </c>
      <c r="E472" s="703" t="s">
        <v>334</v>
      </c>
      <c r="F472" s="703" t="s">
        <v>335</v>
      </c>
      <c r="G472" s="703" t="s">
        <v>1258</v>
      </c>
      <c r="H472" s="703" t="s">
        <v>334</v>
      </c>
      <c r="I472" s="703" t="s">
        <v>334</v>
      </c>
      <c r="J472" s="703" t="s">
        <v>577</v>
      </c>
      <c r="K472" s="704">
        <v>0</v>
      </c>
      <c r="L472" s="703" t="s">
        <v>334</v>
      </c>
      <c r="M472" s="702">
        <v>42766</v>
      </c>
      <c r="N472" s="702">
        <v>43273</v>
      </c>
      <c r="O472" s="703" t="s">
        <v>338</v>
      </c>
      <c r="P472" s="20">
        <v>1913438.63</v>
      </c>
      <c r="Q472" s="20">
        <v>0</v>
      </c>
      <c r="R472" s="20">
        <v>0</v>
      </c>
      <c r="S472" s="20">
        <v>0</v>
      </c>
      <c r="T472" s="20">
        <v>1913438.63</v>
      </c>
      <c r="U472" s="20">
        <v>1690204.12</v>
      </c>
      <c r="V472" s="20">
        <v>-223234.51</v>
      </c>
      <c r="W472" s="20">
        <v>-287015.8</v>
      </c>
      <c r="X472" s="20">
        <v>-63781.29</v>
      </c>
      <c r="Y472" s="20">
        <v>0</v>
      </c>
      <c r="Z472" s="20">
        <v>0</v>
      </c>
      <c r="AA472" s="20">
        <v>0</v>
      </c>
      <c r="AB472" s="20">
        <v>1626422.83</v>
      </c>
      <c r="AC472" t="s">
        <v>578</v>
      </c>
      <c r="AD472" t="s">
        <v>290</v>
      </c>
      <c r="AE472" s="702">
        <f t="shared" si="35"/>
        <v>43252</v>
      </c>
      <c r="AF472" s="289">
        <v>3178319.7556620291</v>
      </c>
      <c r="AG472">
        <f t="shared" si="36"/>
        <v>360</v>
      </c>
      <c r="AH472" s="289">
        <f t="shared" si="37"/>
        <v>8828.6659879500803</v>
      </c>
      <c r="AJ472" s="289">
        <f t="shared" si="38"/>
        <v>54</v>
      </c>
      <c r="AK472" s="289">
        <f t="shared" si="39"/>
        <v>476747.96334930434</v>
      </c>
    </row>
    <row r="473" spans="1:37">
      <c r="A473" s="703" t="s">
        <v>1259</v>
      </c>
      <c r="B473" s="703" t="s">
        <v>331</v>
      </c>
      <c r="C473" s="703" t="s">
        <v>574</v>
      </c>
      <c r="D473" s="703" t="s">
        <v>575</v>
      </c>
      <c r="E473" s="703" t="s">
        <v>334</v>
      </c>
      <c r="F473" s="703" t="s">
        <v>335</v>
      </c>
      <c r="G473" s="703" t="s">
        <v>1070</v>
      </c>
      <c r="H473" s="703" t="s">
        <v>334</v>
      </c>
      <c r="I473" s="703" t="s">
        <v>334</v>
      </c>
      <c r="J473" s="703" t="s">
        <v>577</v>
      </c>
      <c r="K473" s="704">
        <v>0</v>
      </c>
      <c r="L473" s="703" t="s">
        <v>334</v>
      </c>
      <c r="M473" s="702">
        <v>42766</v>
      </c>
      <c r="N473" s="702">
        <v>43273</v>
      </c>
      <c r="O473" s="703" t="s">
        <v>338</v>
      </c>
      <c r="P473" s="20">
        <v>2567960.0499999998</v>
      </c>
      <c r="Q473" s="20">
        <v>0</v>
      </c>
      <c r="R473" s="20">
        <v>0</v>
      </c>
      <c r="S473" s="20">
        <v>0</v>
      </c>
      <c r="T473" s="20">
        <v>2567960.0499999998</v>
      </c>
      <c r="U473" s="20">
        <v>2268364.71</v>
      </c>
      <c r="V473" s="20">
        <v>-299595.34000000003</v>
      </c>
      <c r="W473" s="20">
        <v>-385194.01</v>
      </c>
      <c r="X473" s="20">
        <v>-85598.67</v>
      </c>
      <c r="Y473" s="20">
        <v>0</v>
      </c>
      <c r="Z473" s="20">
        <v>0</v>
      </c>
      <c r="AA473" s="20">
        <v>0</v>
      </c>
      <c r="AB473" s="20">
        <v>2182766.04</v>
      </c>
      <c r="AC473" t="s">
        <v>578</v>
      </c>
      <c r="AD473" t="s">
        <v>290</v>
      </c>
      <c r="AE473" s="702">
        <f t="shared" si="35"/>
        <v>43252</v>
      </c>
      <c r="AF473" s="289">
        <v>4265513.4221189264</v>
      </c>
      <c r="AG473">
        <f t="shared" si="36"/>
        <v>360</v>
      </c>
      <c r="AH473" s="289">
        <f t="shared" si="37"/>
        <v>11848.648394774795</v>
      </c>
      <c r="AJ473" s="289">
        <f t="shared" si="38"/>
        <v>54</v>
      </c>
      <c r="AK473" s="289">
        <f t="shared" si="39"/>
        <v>639827.01331783889</v>
      </c>
    </row>
    <row r="474" spans="1:37">
      <c r="A474" s="703" t="s">
        <v>1260</v>
      </c>
      <c r="B474" s="703" t="s">
        <v>331</v>
      </c>
      <c r="C474" s="703" t="s">
        <v>574</v>
      </c>
      <c r="D474" s="703" t="s">
        <v>575</v>
      </c>
      <c r="E474" s="703" t="s">
        <v>334</v>
      </c>
      <c r="F474" s="703" t="s">
        <v>335</v>
      </c>
      <c r="G474" s="703" t="s">
        <v>1261</v>
      </c>
      <c r="H474" s="703" t="s">
        <v>334</v>
      </c>
      <c r="I474" s="703" t="s">
        <v>334</v>
      </c>
      <c r="J474" s="703" t="s">
        <v>577</v>
      </c>
      <c r="K474" s="704">
        <v>0</v>
      </c>
      <c r="L474" s="703" t="s">
        <v>334</v>
      </c>
      <c r="M474" s="702">
        <v>42766</v>
      </c>
      <c r="N474" s="702">
        <v>43273</v>
      </c>
      <c r="O474" s="703" t="s">
        <v>338</v>
      </c>
      <c r="P474" s="20">
        <v>1894932.88</v>
      </c>
      <c r="Q474" s="20">
        <v>0</v>
      </c>
      <c r="R474" s="20">
        <v>0</v>
      </c>
      <c r="S474" s="20">
        <v>0</v>
      </c>
      <c r="T474" s="20">
        <v>1894932.88</v>
      </c>
      <c r="U474" s="20">
        <v>1673857.38</v>
      </c>
      <c r="V474" s="20">
        <v>-221075.5</v>
      </c>
      <c r="W474" s="20">
        <v>-284239.93</v>
      </c>
      <c r="X474" s="20">
        <v>-63164.43</v>
      </c>
      <c r="Y474" s="20">
        <v>0</v>
      </c>
      <c r="Z474" s="20">
        <v>0</v>
      </c>
      <c r="AA474" s="20">
        <v>0</v>
      </c>
      <c r="AB474" s="20">
        <v>1610692.95</v>
      </c>
      <c r="AC474" t="s">
        <v>578</v>
      </c>
      <c r="AD474" t="s">
        <v>290</v>
      </c>
      <c r="AE474" s="702">
        <f t="shared" si="35"/>
        <v>43252</v>
      </c>
      <c r="AF474" s="289">
        <v>3147580.7552592084</v>
      </c>
      <c r="AG474">
        <f t="shared" si="36"/>
        <v>360</v>
      </c>
      <c r="AH474" s="289">
        <f t="shared" si="37"/>
        <v>8743.2798757200235</v>
      </c>
      <c r="AJ474" s="289">
        <f t="shared" si="38"/>
        <v>54</v>
      </c>
      <c r="AK474" s="289">
        <f t="shared" si="39"/>
        <v>472137.11328888126</v>
      </c>
    </row>
    <row r="475" spans="1:37">
      <c r="A475" s="703" t="s">
        <v>1262</v>
      </c>
      <c r="B475" s="703" t="s">
        <v>331</v>
      </c>
      <c r="C475" s="703" t="s">
        <v>574</v>
      </c>
      <c r="D475" s="703" t="s">
        <v>575</v>
      </c>
      <c r="E475" s="703" t="s">
        <v>334</v>
      </c>
      <c r="F475" s="703" t="s">
        <v>335</v>
      </c>
      <c r="G475" s="703" t="s">
        <v>1263</v>
      </c>
      <c r="H475" s="703" t="s">
        <v>334</v>
      </c>
      <c r="I475" s="703" t="s">
        <v>334</v>
      </c>
      <c r="J475" s="703" t="s">
        <v>577</v>
      </c>
      <c r="K475" s="704">
        <v>0</v>
      </c>
      <c r="L475" s="703" t="s">
        <v>334</v>
      </c>
      <c r="M475" s="702">
        <v>42825</v>
      </c>
      <c r="N475" s="702">
        <v>43273</v>
      </c>
      <c r="O475" s="703" t="s">
        <v>338</v>
      </c>
      <c r="P475" s="20">
        <v>362702.83</v>
      </c>
      <c r="Q475" s="20">
        <v>0</v>
      </c>
      <c r="R475" s="20">
        <v>0</v>
      </c>
      <c r="S475" s="20">
        <v>0</v>
      </c>
      <c r="T475" s="20">
        <v>362702.83</v>
      </c>
      <c r="U475" s="20">
        <v>320387.51</v>
      </c>
      <c r="V475" s="20">
        <v>-42315.32</v>
      </c>
      <c r="W475" s="20">
        <v>-54405.41</v>
      </c>
      <c r="X475" s="20">
        <v>-12090.09</v>
      </c>
      <c r="Y475" s="20">
        <v>0</v>
      </c>
      <c r="Z475" s="20">
        <v>0</v>
      </c>
      <c r="AA475" s="20">
        <v>0</v>
      </c>
      <c r="AB475" s="20">
        <v>308297.42</v>
      </c>
      <c r="AC475" t="s">
        <v>578</v>
      </c>
      <c r="AD475" t="s">
        <v>290</v>
      </c>
      <c r="AE475" s="702">
        <f t="shared" si="35"/>
        <v>43252</v>
      </c>
      <c r="AF475" s="289">
        <v>602468.01331878954</v>
      </c>
      <c r="AG475">
        <f t="shared" si="36"/>
        <v>360</v>
      </c>
      <c r="AH475" s="289">
        <f t="shared" si="37"/>
        <v>1673.5222592188597</v>
      </c>
      <c r="AJ475" s="289">
        <f t="shared" si="38"/>
        <v>54</v>
      </c>
      <c r="AK475" s="289">
        <f t="shared" si="39"/>
        <v>90370.201997818425</v>
      </c>
    </row>
    <row r="476" spans="1:37">
      <c r="A476" s="703" t="s">
        <v>1264</v>
      </c>
      <c r="B476" s="703" t="s">
        <v>331</v>
      </c>
      <c r="C476" s="703" t="s">
        <v>574</v>
      </c>
      <c r="D476" s="703" t="s">
        <v>575</v>
      </c>
      <c r="E476" s="703" t="s">
        <v>334</v>
      </c>
      <c r="F476" s="703" t="s">
        <v>335</v>
      </c>
      <c r="G476" s="703" t="s">
        <v>1265</v>
      </c>
      <c r="H476" s="703" t="s">
        <v>334</v>
      </c>
      <c r="I476" s="703" t="s">
        <v>334</v>
      </c>
      <c r="J476" s="703" t="s">
        <v>577</v>
      </c>
      <c r="K476" s="704">
        <v>0</v>
      </c>
      <c r="L476" s="703" t="s">
        <v>334</v>
      </c>
      <c r="M476" s="702">
        <v>42978</v>
      </c>
      <c r="N476" s="702">
        <v>43273</v>
      </c>
      <c r="O476" s="703" t="s">
        <v>338</v>
      </c>
      <c r="P476" s="20">
        <v>435929.24</v>
      </c>
      <c r="Q476" s="20">
        <v>0</v>
      </c>
      <c r="R476" s="20">
        <v>0</v>
      </c>
      <c r="S476" s="20">
        <v>0</v>
      </c>
      <c r="T476" s="20">
        <v>435929.24</v>
      </c>
      <c r="U476" s="20">
        <v>385070.84</v>
      </c>
      <c r="V476" s="20">
        <v>-50858.400000000001</v>
      </c>
      <c r="W476" s="20">
        <v>-65389.37</v>
      </c>
      <c r="X476" s="20">
        <v>-14530.97</v>
      </c>
      <c r="Y476" s="20">
        <v>0</v>
      </c>
      <c r="Z476" s="20">
        <v>0</v>
      </c>
      <c r="AA476" s="20">
        <v>0</v>
      </c>
      <c r="AB476" s="20">
        <v>370539.87</v>
      </c>
      <c r="AC476" t="s">
        <v>578</v>
      </c>
      <c r="AD476" t="s">
        <v>290</v>
      </c>
      <c r="AE476" s="702">
        <f t="shared" si="35"/>
        <v>43252</v>
      </c>
      <c r="AF476" s="289">
        <v>724100.83806175378</v>
      </c>
      <c r="AG476">
        <f t="shared" si="36"/>
        <v>360</v>
      </c>
      <c r="AH476" s="289">
        <f t="shared" si="37"/>
        <v>2011.3912168382049</v>
      </c>
      <c r="AJ476" s="289">
        <f t="shared" si="38"/>
        <v>54</v>
      </c>
      <c r="AK476" s="289">
        <f t="shared" si="39"/>
        <v>108615.12570926305</v>
      </c>
    </row>
    <row r="477" spans="1:37">
      <c r="A477" s="703" t="s">
        <v>1266</v>
      </c>
      <c r="B477" s="703" t="s">
        <v>331</v>
      </c>
      <c r="C477" s="703" t="s">
        <v>574</v>
      </c>
      <c r="D477" s="703" t="s">
        <v>575</v>
      </c>
      <c r="E477" s="703" t="s">
        <v>334</v>
      </c>
      <c r="F477" s="703" t="s">
        <v>335</v>
      </c>
      <c r="G477" s="703" t="s">
        <v>1267</v>
      </c>
      <c r="H477" s="703" t="s">
        <v>334</v>
      </c>
      <c r="I477" s="703" t="s">
        <v>334</v>
      </c>
      <c r="J477" s="703" t="s">
        <v>577</v>
      </c>
      <c r="K477" s="704">
        <v>0</v>
      </c>
      <c r="L477" s="703" t="s">
        <v>334</v>
      </c>
      <c r="M477" s="702">
        <v>42855</v>
      </c>
      <c r="N477" s="702">
        <v>43273</v>
      </c>
      <c r="O477" s="703" t="s">
        <v>338</v>
      </c>
      <c r="P477" s="20">
        <v>222037.58</v>
      </c>
      <c r="Q477" s="20">
        <v>0</v>
      </c>
      <c r="R477" s="20">
        <v>0</v>
      </c>
      <c r="S477" s="20">
        <v>0</v>
      </c>
      <c r="T477" s="20">
        <v>222037.58</v>
      </c>
      <c r="U477" s="20">
        <v>196133.2</v>
      </c>
      <c r="V477" s="20">
        <v>-25904.38</v>
      </c>
      <c r="W477" s="20">
        <v>-33305.629999999997</v>
      </c>
      <c r="X477" s="20">
        <v>-7401.25</v>
      </c>
      <c r="Y477" s="20">
        <v>0</v>
      </c>
      <c r="Z477" s="20">
        <v>0</v>
      </c>
      <c r="AA477" s="20">
        <v>0</v>
      </c>
      <c r="AB477" s="20">
        <v>188731.95</v>
      </c>
      <c r="AC477" t="s">
        <v>578</v>
      </c>
      <c r="AD477" t="s">
        <v>290</v>
      </c>
      <c r="AE477" s="702">
        <f t="shared" si="35"/>
        <v>43252</v>
      </c>
      <c r="AF477" s="289">
        <v>368815.8146014791</v>
      </c>
      <c r="AG477">
        <f t="shared" si="36"/>
        <v>360</v>
      </c>
      <c r="AH477" s="289">
        <f t="shared" si="37"/>
        <v>1024.4883738929975</v>
      </c>
      <c r="AJ477" s="289">
        <f t="shared" si="38"/>
        <v>54</v>
      </c>
      <c r="AK477" s="289">
        <f t="shared" si="39"/>
        <v>55322.372190221868</v>
      </c>
    </row>
    <row r="478" spans="1:37">
      <c r="A478" s="703" t="s">
        <v>1268</v>
      </c>
      <c r="B478" s="703" t="s">
        <v>331</v>
      </c>
      <c r="C478" s="703" t="s">
        <v>574</v>
      </c>
      <c r="D478" s="703" t="s">
        <v>575</v>
      </c>
      <c r="E478" s="703" t="s">
        <v>334</v>
      </c>
      <c r="F478" s="703" t="s">
        <v>335</v>
      </c>
      <c r="G478" s="703" t="s">
        <v>1269</v>
      </c>
      <c r="H478" s="703" t="s">
        <v>334</v>
      </c>
      <c r="I478" s="703" t="s">
        <v>334</v>
      </c>
      <c r="J478" s="703" t="s">
        <v>577</v>
      </c>
      <c r="K478" s="704">
        <v>0</v>
      </c>
      <c r="L478" s="703" t="s">
        <v>334</v>
      </c>
      <c r="M478" s="702">
        <v>42916</v>
      </c>
      <c r="N478" s="702">
        <v>43273</v>
      </c>
      <c r="O478" s="703" t="s">
        <v>338</v>
      </c>
      <c r="P478" s="20">
        <v>206884.58</v>
      </c>
      <c r="Q478" s="20">
        <v>0</v>
      </c>
      <c r="R478" s="20">
        <v>0</v>
      </c>
      <c r="S478" s="20">
        <v>0</v>
      </c>
      <c r="T478" s="20">
        <v>206884.58</v>
      </c>
      <c r="U478" s="20">
        <v>182748.05</v>
      </c>
      <c r="V478" s="20">
        <v>-24136.53</v>
      </c>
      <c r="W478" s="20">
        <v>-31032.68</v>
      </c>
      <c r="X478" s="20">
        <v>-6896.15</v>
      </c>
      <c r="Y478" s="20">
        <v>0</v>
      </c>
      <c r="Z478" s="20">
        <v>0</v>
      </c>
      <c r="AA478" s="20">
        <v>0</v>
      </c>
      <c r="AB478" s="20">
        <v>175851.9</v>
      </c>
      <c r="AC478" t="s">
        <v>578</v>
      </c>
      <c r="AD478" t="s">
        <v>290</v>
      </c>
      <c r="AE478" s="702">
        <f t="shared" si="35"/>
        <v>43252</v>
      </c>
      <c r="AF478" s="289">
        <v>343645.90400050691</v>
      </c>
      <c r="AG478">
        <f t="shared" si="36"/>
        <v>360</v>
      </c>
      <c r="AH478" s="289">
        <f t="shared" si="37"/>
        <v>954.57195555696364</v>
      </c>
      <c r="AJ478" s="289">
        <f t="shared" si="38"/>
        <v>54</v>
      </c>
      <c r="AK478" s="289">
        <f t="shared" si="39"/>
        <v>51546.885600076035</v>
      </c>
    </row>
    <row r="479" spans="1:37">
      <c r="A479" s="703" t="s">
        <v>1270</v>
      </c>
      <c r="B479" s="703" t="s">
        <v>331</v>
      </c>
      <c r="C479" s="703" t="s">
        <v>574</v>
      </c>
      <c r="D479" s="703" t="s">
        <v>575</v>
      </c>
      <c r="E479" s="703" t="s">
        <v>334</v>
      </c>
      <c r="F479" s="703" t="s">
        <v>335</v>
      </c>
      <c r="G479" s="703" t="s">
        <v>1271</v>
      </c>
      <c r="H479" s="703" t="s">
        <v>334</v>
      </c>
      <c r="I479" s="703" t="s">
        <v>334</v>
      </c>
      <c r="J479" s="703" t="s">
        <v>577</v>
      </c>
      <c r="K479" s="704">
        <v>0</v>
      </c>
      <c r="L479" s="703" t="s">
        <v>334</v>
      </c>
      <c r="M479" s="702">
        <v>42825</v>
      </c>
      <c r="N479" s="702">
        <v>43273</v>
      </c>
      <c r="O479" s="703" t="s">
        <v>338</v>
      </c>
      <c r="P479" s="20">
        <v>184007.49</v>
      </c>
      <c r="Q479" s="20">
        <v>0</v>
      </c>
      <c r="R479" s="20">
        <v>0</v>
      </c>
      <c r="S479" s="20">
        <v>0</v>
      </c>
      <c r="T479" s="20">
        <v>184007.49</v>
      </c>
      <c r="U479" s="20">
        <v>162539.96</v>
      </c>
      <c r="V479" s="20">
        <v>-21467.53</v>
      </c>
      <c r="W479" s="20">
        <v>-27601.11</v>
      </c>
      <c r="X479" s="20">
        <v>-6133.58</v>
      </c>
      <c r="Y479" s="20">
        <v>0</v>
      </c>
      <c r="Z479" s="20">
        <v>0</v>
      </c>
      <c r="AA479" s="20">
        <v>0</v>
      </c>
      <c r="AB479" s="20">
        <v>156406.38</v>
      </c>
      <c r="AC479" t="s">
        <v>578</v>
      </c>
      <c r="AD479" t="s">
        <v>290</v>
      </c>
      <c r="AE479" s="702">
        <f t="shared" si="35"/>
        <v>43252</v>
      </c>
      <c r="AF479" s="289">
        <v>305645.8835352264</v>
      </c>
      <c r="AG479">
        <f t="shared" si="36"/>
        <v>360</v>
      </c>
      <c r="AH479" s="289">
        <f t="shared" si="37"/>
        <v>849.01634315340664</v>
      </c>
      <c r="AJ479" s="289">
        <f t="shared" si="38"/>
        <v>54</v>
      </c>
      <c r="AK479" s="289">
        <f t="shared" si="39"/>
        <v>45846.882530283961</v>
      </c>
    </row>
    <row r="480" spans="1:37">
      <c r="A480" s="703" t="s">
        <v>1272</v>
      </c>
      <c r="B480" s="703" t="s">
        <v>331</v>
      </c>
      <c r="C480" s="703" t="s">
        <v>574</v>
      </c>
      <c r="D480" s="703" t="s">
        <v>575</v>
      </c>
      <c r="E480" s="703" t="s">
        <v>334</v>
      </c>
      <c r="F480" s="703" t="s">
        <v>335</v>
      </c>
      <c r="G480" s="703" t="s">
        <v>1273</v>
      </c>
      <c r="H480" s="703" t="s">
        <v>334</v>
      </c>
      <c r="I480" s="703" t="s">
        <v>334</v>
      </c>
      <c r="J480" s="703" t="s">
        <v>577</v>
      </c>
      <c r="K480" s="704">
        <v>0</v>
      </c>
      <c r="L480" s="703" t="s">
        <v>334</v>
      </c>
      <c r="M480" s="702">
        <v>42855</v>
      </c>
      <c r="N480" s="702">
        <v>43273</v>
      </c>
      <c r="O480" s="703" t="s">
        <v>338</v>
      </c>
      <c r="P480" s="20">
        <v>70750.52</v>
      </c>
      <c r="Q480" s="20">
        <v>0</v>
      </c>
      <c r="R480" s="20">
        <v>0</v>
      </c>
      <c r="S480" s="20">
        <v>0</v>
      </c>
      <c r="T480" s="20">
        <v>70750.52</v>
      </c>
      <c r="U480" s="20">
        <v>62496.29</v>
      </c>
      <c r="V480" s="20">
        <v>-8254.23</v>
      </c>
      <c r="W480" s="20">
        <v>-10612.58</v>
      </c>
      <c r="X480" s="20">
        <v>-2358.35</v>
      </c>
      <c r="Y480" s="20">
        <v>0</v>
      </c>
      <c r="Z480" s="20">
        <v>0</v>
      </c>
      <c r="AA480" s="20">
        <v>0</v>
      </c>
      <c r="AB480" s="20">
        <v>60137.94</v>
      </c>
      <c r="AC480" t="s">
        <v>578</v>
      </c>
      <c r="AD480" t="s">
        <v>290</v>
      </c>
      <c r="AE480" s="702">
        <f t="shared" si="35"/>
        <v>43252</v>
      </c>
      <c r="AF480" s="289">
        <v>117520.24439862047</v>
      </c>
      <c r="AG480">
        <f t="shared" si="36"/>
        <v>360</v>
      </c>
      <c r="AH480" s="289">
        <f t="shared" si="37"/>
        <v>326.44512332950131</v>
      </c>
      <c r="AJ480" s="289">
        <f t="shared" si="38"/>
        <v>54</v>
      </c>
      <c r="AK480" s="289">
        <f t="shared" si="39"/>
        <v>17628.03665979307</v>
      </c>
    </row>
    <row r="481" spans="1:37">
      <c r="A481" s="703" t="s">
        <v>1274</v>
      </c>
      <c r="B481" s="703" t="s">
        <v>331</v>
      </c>
      <c r="C481" s="703" t="s">
        <v>574</v>
      </c>
      <c r="D481" s="703" t="s">
        <v>575</v>
      </c>
      <c r="E481" s="703" t="s">
        <v>334</v>
      </c>
      <c r="F481" s="703" t="s">
        <v>335</v>
      </c>
      <c r="G481" s="703" t="s">
        <v>1275</v>
      </c>
      <c r="H481" s="703" t="s">
        <v>334</v>
      </c>
      <c r="I481" s="703" t="s">
        <v>334</v>
      </c>
      <c r="J481" s="703" t="s">
        <v>577</v>
      </c>
      <c r="K481" s="704">
        <v>0</v>
      </c>
      <c r="L481" s="703" t="s">
        <v>334</v>
      </c>
      <c r="M481" s="702">
        <v>42978</v>
      </c>
      <c r="N481" s="702">
        <v>43273</v>
      </c>
      <c r="O481" s="703" t="s">
        <v>338</v>
      </c>
      <c r="P481" s="20">
        <v>122711.45</v>
      </c>
      <c r="Q481" s="20">
        <v>0</v>
      </c>
      <c r="R481" s="20">
        <v>0</v>
      </c>
      <c r="S481" s="20">
        <v>0</v>
      </c>
      <c r="T481" s="20">
        <v>122711.45</v>
      </c>
      <c r="U481" s="20">
        <v>108395.12</v>
      </c>
      <c r="V481" s="20">
        <v>-14316.33</v>
      </c>
      <c r="W481" s="20">
        <v>-18406.71</v>
      </c>
      <c r="X481" s="20">
        <v>-4090.38</v>
      </c>
      <c r="Y481" s="20">
        <v>0</v>
      </c>
      <c r="Z481" s="20">
        <v>0</v>
      </c>
      <c r="AA481" s="20">
        <v>0</v>
      </c>
      <c r="AB481" s="20">
        <v>104304.74</v>
      </c>
      <c r="AC481" t="s">
        <v>578</v>
      </c>
      <c r="AD481" t="s">
        <v>290</v>
      </c>
      <c r="AE481" s="702">
        <f t="shared" si="35"/>
        <v>43252</v>
      </c>
      <c r="AF481" s="289">
        <v>203830.01558870653</v>
      </c>
      <c r="AG481">
        <f t="shared" si="36"/>
        <v>360</v>
      </c>
      <c r="AH481" s="289">
        <f t="shared" si="37"/>
        <v>566.19448774640705</v>
      </c>
      <c r="AJ481" s="289">
        <f t="shared" si="38"/>
        <v>54</v>
      </c>
      <c r="AK481" s="289">
        <f t="shared" si="39"/>
        <v>30574.502338305982</v>
      </c>
    </row>
    <row r="482" spans="1:37">
      <c r="A482" s="703" t="s">
        <v>1276</v>
      </c>
      <c r="B482" s="703" t="s">
        <v>331</v>
      </c>
      <c r="C482" s="703" t="s">
        <v>574</v>
      </c>
      <c r="D482" s="703" t="s">
        <v>575</v>
      </c>
      <c r="E482" s="703" t="s">
        <v>334</v>
      </c>
      <c r="F482" s="703" t="s">
        <v>335</v>
      </c>
      <c r="G482" s="703" t="s">
        <v>1277</v>
      </c>
      <c r="H482" s="703" t="s">
        <v>334</v>
      </c>
      <c r="I482" s="703" t="s">
        <v>334</v>
      </c>
      <c r="J482" s="703" t="s">
        <v>577</v>
      </c>
      <c r="K482" s="704">
        <v>0</v>
      </c>
      <c r="L482" s="703" t="s">
        <v>334</v>
      </c>
      <c r="M482" s="702">
        <v>42825</v>
      </c>
      <c r="N482" s="702">
        <v>43273</v>
      </c>
      <c r="O482" s="703" t="s">
        <v>338</v>
      </c>
      <c r="P482" s="20">
        <v>315287.49</v>
      </c>
      <c r="Q482" s="20">
        <v>0</v>
      </c>
      <c r="R482" s="20">
        <v>0</v>
      </c>
      <c r="S482" s="20">
        <v>0</v>
      </c>
      <c r="T482" s="20">
        <v>315287.49</v>
      </c>
      <c r="U482" s="20">
        <v>278503.96000000002</v>
      </c>
      <c r="V482" s="20">
        <v>-36783.53</v>
      </c>
      <c r="W482" s="20">
        <v>-47293.11</v>
      </c>
      <c r="X482" s="20">
        <v>-10509.58</v>
      </c>
      <c r="Y482" s="20">
        <v>0</v>
      </c>
      <c r="Z482" s="20">
        <v>0</v>
      </c>
      <c r="AA482" s="20">
        <v>0</v>
      </c>
      <c r="AB482" s="20">
        <v>267994.38</v>
      </c>
      <c r="AC482" t="s">
        <v>578</v>
      </c>
      <c r="AD482" t="s">
        <v>290</v>
      </c>
      <c r="AE482" s="702">
        <f t="shared" si="35"/>
        <v>43252</v>
      </c>
      <c r="AF482" s="289">
        <v>523708.70038308698</v>
      </c>
      <c r="AG482">
        <f t="shared" si="36"/>
        <v>360</v>
      </c>
      <c r="AH482" s="289">
        <f t="shared" si="37"/>
        <v>1454.7463899530194</v>
      </c>
      <c r="AJ482" s="289">
        <f t="shared" si="38"/>
        <v>54</v>
      </c>
      <c r="AK482" s="289">
        <f t="shared" si="39"/>
        <v>78556.305057463047</v>
      </c>
    </row>
    <row r="483" spans="1:37">
      <c r="A483" s="703" t="s">
        <v>1278</v>
      </c>
      <c r="B483" s="703" t="s">
        <v>331</v>
      </c>
      <c r="C483" s="703" t="s">
        <v>574</v>
      </c>
      <c r="D483" s="703" t="s">
        <v>575</v>
      </c>
      <c r="E483" s="703" t="s">
        <v>334</v>
      </c>
      <c r="F483" s="703" t="s">
        <v>335</v>
      </c>
      <c r="G483" s="703" t="s">
        <v>1279</v>
      </c>
      <c r="H483" s="703" t="s">
        <v>334</v>
      </c>
      <c r="I483" s="703" t="s">
        <v>334</v>
      </c>
      <c r="J483" s="703" t="s">
        <v>577</v>
      </c>
      <c r="K483" s="704">
        <v>0</v>
      </c>
      <c r="L483" s="703" t="s">
        <v>334</v>
      </c>
      <c r="M483" s="702">
        <v>42766</v>
      </c>
      <c r="N483" s="702">
        <v>43273</v>
      </c>
      <c r="O483" s="703" t="s">
        <v>338</v>
      </c>
      <c r="P483" s="20">
        <v>750557.84</v>
      </c>
      <c r="Q483" s="20">
        <v>0</v>
      </c>
      <c r="R483" s="20">
        <v>0</v>
      </c>
      <c r="S483" s="20">
        <v>0</v>
      </c>
      <c r="T483" s="20">
        <v>750557.84</v>
      </c>
      <c r="U483" s="20">
        <v>662992.76</v>
      </c>
      <c r="V483" s="20">
        <v>-87565.08</v>
      </c>
      <c r="W483" s="20">
        <v>-112583.67</v>
      </c>
      <c r="X483" s="20">
        <v>-25018.59</v>
      </c>
      <c r="Y483" s="20">
        <v>0</v>
      </c>
      <c r="Z483" s="20">
        <v>0</v>
      </c>
      <c r="AA483" s="20">
        <v>0</v>
      </c>
      <c r="AB483" s="20">
        <v>637974.17000000004</v>
      </c>
      <c r="AC483" t="s">
        <v>578</v>
      </c>
      <c r="AD483" t="s">
        <v>290</v>
      </c>
      <c r="AE483" s="702">
        <f t="shared" si="35"/>
        <v>43252</v>
      </c>
      <c r="AF483" s="289">
        <v>1246715.0883428231</v>
      </c>
      <c r="AG483">
        <f t="shared" si="36"/>
        <v>360</v>
      </c>
      <c r="AH483" s="289">
        <f t="shared" si="37"/>
        <v>3463.097467618953</v>
      </c>
      <c r="AJ483" s="289">
        <f t="shared" si="38"/>
        <v>54</v>
      </c>
      <c r="AK483" s="289">
        <f t="shared" si="39"/>
        <v>187007.26325142346</v>
      </c>
    </row>
    <row r="484" spans="1:37">
      <c r="A484" s="703" t="s">
        <v>1280</v>
      </c>
      <c r="B484" s="703" t="s">
        <v>331</v>
      </c>
      <c r="C484" s="703" t="s">
        <v>574</v>
      </c>
      <c r="D484" s="703" t="s">
        <v>575</v>
      </c>
      <c r="E484" s="703" t="s">
        <v>334</v>
      </c>
      <c r="F484" s="703" t="s">
        <v>335</v>
      </c>
      <c r="G484" s="703" t="s">
        <v>1281</v>
      </c>
      <c r="H484" s="703" t="s">
        <v>334</v>
      </c>
      <c r="I484" s="703" t="s">
        <v>334</v>
      </c>
      <c r="J484" s="703" t="s">
        <v>577</v>
      </c>
      <c r="K484" s="704">
        <v>0</v>
      </c>
      <c r="L484" s="703" t="s">
        <v>334</v>
      </c>
      <c r="M484" s="702">
        <v>42766</v>
      </c>
      <c r="N484" s="702">
        <v>43273</v>
      </c>
      <c r="O484" s="703" t="s">
        <v>338</v>
      </c>
      <c r="P484" s="20">
        <v>247488.29</v>
      </c>
      <c r="Q484" s="20">
        <v>0</v>
      </c>
      <c r="R484" s="20">
        <v>0</v>
      </c>
      <c r="S484" s="20">
        <v>0</v>
      </c>
      <c r="T484" s="20">
        <v>247488.29</v>
      </c>
      <c r="U484" s="20">
        <v>218614.66</v>
      </c>
      <c r="V484" s="20">
        <v>-28873.63</v>
      </c>
      <c r="W484" s="20">
        <v>-37123.24</v>
      </c>
      <c r="X484" s="20">
        <v>-8249.61</v>
      </c>
      <c r="Y484" s="20">
        <v>0</v>
      </c>
      <c r="Z484" s="20">
        <v>0</v>
      </c>
      <c r="AA484" s="20">
        <v>0</v>
      </c>
      <c r="AB484" s="20">
        <v>210365.05</v>
      </c>
      <c r="AC484" t="s">
        <v>578</v>
      </c>
      <c r="AD484" t="s">
        <v>290</v>
      </c>
      <c r="AE484" s="702">
        <f t="shared" si="35"/>
        <v>43252</v>
      </c>
      <c r="AF484" s="289">
        <v>411090.74995627813</v>
      </c>
      <c r="AG484">
        <f t="shared" si="36"/>
        <v>360</v>
      </c>
      <c r="AH484" s="289">
        <f t="shared" si="37"/>
        <v>1141.9187498785504</v>
      </c>
      <c r="AJ484" s="289">
        <f t="shared" si="38"/>
        <v>54</v>
      </c>
      <c r="AK484" s="289">
        <f t="shared" si="39"/>
        <v>61663.612493441724</v>
      </c>
    </row>
    <row r="485" spans="1:37">
      <c r="A485" s="703" t="s">
        <v>1282</v>
      </c>
      <c r="B485" s="703" t="s">
        <v>331</v>
      </c>
      <c r="C485" s="703" t="s">
        <v>574</v>
      </c>
      <c r="D485" s="703" t="s">
        <v>575</v>
      </c>
      <c r="E485" s="703" t="s">
        <v>334</v>
      </c>
      <c r="F485" s="703" t="s">
        <v>335</v>
      </c>
      <c r="G485" s="703" t="s">
        <v>1283</v>
      </c>
      <c r="H485" s="703" t="s">
        <v>334</v>
      </c>
      <c r="I485" s="703" t="s">
        <v>334</v>
      </c>
      <c r="J485" s="703" t="s">
        <v>577</v>
      </c>
      <c r="K485" s="704">
        <v>0</v>
      </c>
      <c r="L485" s="703" t="s">
        <v>334</v>
      </c>
      <c r="M485" s="702">
        <v>42674</v>
      </c>
      <c r="N485" s="702">
        <v>43273</v>
      </c>
      <c r="O485" s="703" t="s">
        <v>338</v>
      </c>
      <c r="P485" s="20">
        <v>58786.28</v>
      </c>
      <c r="Q485" s="20">
        <v>0</v>
      </c>
      <c r="R485" s="20">
        <v>0</v>
      </c>
      <c r="S485" s="20">
        <v>0</v>
      </c>
      <c r="T485" s="20">
        <v>58786.28</v>
      </c>
      <c r="U485" s="20">
        <v>51927.89</v>
      </c>
      <c r="V485" s="20">
        <v>-6858.39</v>
      </c>
      <c r="W485" s="20">
        <v>-8817.93</v>
      </c>
      <c r="X485" s="20">
        <v>-1959.54</v>
      </c>
      <c r="Y485" s="20">
        <v>0</v>
      </c>
      <c r="Z485" s="20">
        <v>0</v>
      </c>
      <c r="AA485" s="20">
        <v>0</v>
      </c>
      <c r="AB485" s="20">
        <v>49968.35</v>
      </c>
      <c r="AC485" t="s">
        <v>578</v>
      </c>
      <c r="AD485" t="s">
        <v>290</v>
      </c>
      <c r="AE485" s="702">
        <f t="shared" si="35"/>
        <v>43252</v>
      </c>
      <c r="AF485" s="289">
        <v>97647.027794081703</v>
      </c>
      <c r="AG485">
        <f t="shared" si="36"/>
        <v>360</v>
      </c>
      <c r="AH485" s="289">
        <f t="shared" si="37"/>
        <v>271.24174387244915</v>
      </c>
      <c r="AJ485" s="289">
        <f t="shared" si="38"/>
        <v>54</v>
      </c>
      <c r="AK485" s="289">
        <f t="shared" si="39"/>
        <v>14647.054169112254</v>
      </c>
    </row>
    <row r="486" spans="1:37">
      <c r="A486" s="703" t="s">
        <v>1284</v>
      </c>
      <c r="B486" s="703" t="s">
        <v>331</v>
      </c>
      <c r="C486" s="703" t="s">
        <v>586</v>
      </c>
      <c r="D486" s="703" t="s">
        <v>486</v>
      </c>
      <c r="E486" s="703" t="s">
        <v>587</v>
      </c>
      <c r="F486" s="703" t="s">
        <v>335</v>
      </c>
      <c r="G486" s="703" t="s">
        <v>1285</v>
      </c>
      <c r="H486" s="703" t="s">
        <v>334</v>
      </c>
      <c r="I486" s="703" t="s">
        <v>334</v>
      </c>
      <c r="J486" s="703" t="s">
        <v>337</v>
      </c>
      <c r="K486" s="704">
        <v>0</v>
      </c>
      <c r="L486" s="703" t="s">
        <v>334</v>
      </c>
      <c r="M486" s="702">
        <v>40390</v>
      </c>
      <c r="N486" s="702">
        <v>43273</v>
      </c>
      <c r="O486" s="703" t="s">
        <v>338</v>
      </c>
      <c r="P486" s="20">
        <v>315691.28000000003</v>
      </c>
      <c r="Q486" s="20">
        <v>0</v>
      </c>
      <c r="R486" s="20">
        <v>0</v>
      </c>
      <c r="S486" s="20">
        <v>0</v>
      </c>
      <c r="T486" s="20">
        <v>315691.28000000003</v>
      </c>
      <c r="U486" s="20">
        <v>278860.64</v>
      </c>
      <c r="V486" s="20">
        <v>-36830.639999999999</v>
      </c>
      <c r="W486" s="20">
        <v>-47353.68</v>
      </c>
      <c r="X486" s="20">
        <v>-10523.04</v>
      </c>
      <c r="Y486" s="20">
        <v>0</v>
      </c>
      <c r="Z486" s="20">
        <v>0</v>
      </c>
      <c r="AA486" s="20">
        <v>0</v>
      </c>
      <c r="AB486" s="20">
        <v>268337.59999999998</v>
      </c>
      <c r="AC486" t="s">
        <v>589</v>
      </c>
      <c r="AD486" t="s">
        <v>290</v>
      </c>
      <c r="AE486" s="702">
        <f t="shared" si="35"/>
        <v>43252</v>
      </c>
      <c r="AF486" s="289">
        <v>524379.4162942312</v>
      </c>
      <c r="AG486">
        <f t="shared" si="36"/>
        <v>360</v>
      </c>
      <c r="AH486" s="289">
        <f t="shared" si="37"/>
        <v>1456.6094897061978</v>
      </c>
      <c r="AJ486" s="289">
        <f t="shared" si="38"/>
        <v>54</v>
      </c>
      <c r="AK486" s="289">
        <f t="shared" si="39"/>
        <v>78656.912444134679</v>
      </c>
    </row>
    <row r="487" spans="1:37">
      <c r="A487" s="703" t="s">
        <v>1286</v>
      </c>
      <c r="B487" s="703" t="s">
        <v>331</v>
      </c>
      <c r="C487" s="703" t="s">
        <v>586</v>
      </c>
      <c r="D487" s="703" t="s">
        <v>486</v>
      </c>
      <c r="E487" s="703" t="s">
        <v>587</v>
      </c>
      <c r="F487" s="703" t="s">
        <v>335</v>
      </c>
      <c r="G487" s="703" t="s">
        <v>1287</v>
      </c>
      <c r="H487" s="703" t="s">
        <v>334</v>
      </c>
      <c r="I487" s="703" t="s">
        <v>334</v>
      </c>
      <c r="J487" s="703" t="s">
        <v>337</v>
      </c>
      <c r="K487" s="704">
        <v>0</v>
      </c>
      <c r="L487" s="703" t="s">
        <v>334</v>
      </c>
      <c r="M487" s="702">
        <v>42766</v>
      </c>
      <c r="N487" s="702">
        <v>43273</v>
      </c>
      <c r="O487" s="703" t="s">
        <v>338</v>
      </c>
      <c r="P487" s="20">
        <v>56403.01</v>
      </c>
      <c r="Q487" s="20">
        <v>0</v>
      </c>
      <c r="R487" s="20">
        <v>0</v>
      </c>
      <c r="S487" s="20">
        <v>0</v>
      </c>
      <c r="T487" s="20">
        <v>56403.01</v>
      </c>
      <c r="U487" s="20">
        <v>49822.66</v>
      </c>
      <c r="V487" s="20">
        <v>-6580.35</v>
      </c>
      <c r="W487" s="20">
        <v>-8460.4500000000007</v>
      </c>
      <c r="X487" s="20">
        <v>-1880.1</v>
      </c>
      <c r="Y487" s="20">
        <v>0</v>
      </c>
      <c r="Z487" s="20">
        <v>0</v>
      </c>
      <c r="AA487" s="20">
        <v>0</v>
      </c>
      <c r="AB487" s="20">
        <v>47942.559999999998</v>
      </c>
      <c r="AC487" t="s">
        <v>589</v>
      </c>
      <c r="AD487" t="s">
        <v>290</v>
      </c>
      <c r="AE487" s="702">
        <f t="shared" si="35"/>
        <v>43252</v>
      </c>
      <c r="AF487" s="289">
        <v>93688.294022684684</v>
      </c>
      <c r="AG487">
        <f t="shared" si="36"/>
        <v>360</v>
      </c>
      <c r="AH487" s="289">
        <f t="shared" si="37"/>
        <v>260.2452611741241</v>
      </c>
      <c r="AJ487" s="289">
        <f t="shared" si="38"/>
        <v>54</v>
      </c>
      <c r="AK487" s="289">
        <f t="shared" si="39"/>
        <v>14053.244103402702</v>
      </c>
    </row>
    <row r="488" spans="1:37">
      <c r="A488" s="703" t="s">
        <v>1288</v>
      </c>
      <c r="B488" s="703" t="s">
        <v>331</v>
      </c>
      <c r="C488" s="703" t="s">
        <v>586</v>
      </c>
      <c r="D488" s="703" t="s">
        <v>486</v>
      </c>
      <c r="E488" s="703" t="s">
        <v>587</v>
      </c>
      <c r="F488" s="703" t="s">
        <v>335</v>
      </c>
      <c r="G488" s="703" t="s">
        <v>1289</v>
      </c>
      <c r="H488" s="703" t="s">
        <v>334</v>
      </c>
      <c r="I488" s="703" t="s">
        <v>334</v>
      </c>
      <c r="J488" s="703" t="s">
        <v>337</v>
      </c>
      <c r="K488" s="704">
        <v>0</v>
      </c>
      <c r="L488" s="703" t="s">
        <v>334</v>
      </c>
      <c r="M488" s="702">
        <v>42766</v>
      </c>
      <c r="N488" s="702">
        <v>43273</v>
      </c>
      <c r="O488" s="703" t="s">
        <v>338</v>
      </c>
      <c r="P488" s="20">
        <v>219005.1</v>
      </c>
      <c r="Q488" s="20">
        <v>0</v>
      </c>
      <c r="R488" s="20">
        <v>0</v>
      </c>
      <c r="S488" s="20">
        <v>0</v>
      </c>
      <c r="T488" s="20">
        <v>219005.1</v>
      </c>
      <c r="U488" s="20">
        <v>193454.5</v>
      </c>
      <c r="V488" s="20">
        <v>-25550.6</v>
      </c>
      <c r="W488" s="20">
        <v>-32850.769999999997</v>
      </c>
      <c r="X488" s="20">
        <v>-7300.17</v>
      </c>
      <c r="Y488" s="20">
        <v>0</v>
      </c>
      <c r="Z488" s="20">
        <v>0</v>
      </c>
      <c r="AA488" s="20">
        <v>0</v>
      </c>
      <c r="AB488" s="20">
        <v>186154.33</v>
      </c>
      <c r="AC488" t="s">
        <v>589</v>
      </c>
      <c r="AD488" t="s">
        <v>290</v>
      </c>
      <c r="AE488" s="702">
        <f t="shared" si="35"/>
        <v>43252</v>
      </c>
      <c r="AF488" s="289">
        <v>363778.70970480941</v>
      </c>
      <c r="AG488">
        <f t="shared" si="36"/>
        <v>360</v>
      </c>
      <c r="AH488" s="289">
        <f t="shared" si="37"/>
        <v>1010.4964158466928</v>
      </c>
      <c r="AJ488" s="289">
        <f t="shared" si="38"/>
        <v>54</v>
      </c>
      <c r="AK488" s="289">
        <f t="shared" si="39"/>
        <v>54566.806455721409</v>
      </c>
    </row>
    <row r="489" spans="1:37">
      <c r="A489" s="703" t="s">
        <v>1290</v>
      </c>
      <c r="B489" s="703" t="s">
        <v>331</v>
      </c>
      <c r="C489" s="703" t="s">
        <v>1124</v>
      </c>
      <c r="D489" s="703" t="s">
        <v>1125</v>
      </c>
      <c r="E489" s="703" t="s">
        <v>334</v>
      </c>
      <c r="F489" s="703" t="s">
        <v>335</v>
      </c>
      <c r="G489" s="703" t="s">
        <v>1291</v>
      </c>
      <c r="H489" s="703" t="s">
        <v>334</v>
      </c>
      <c r="I489" s="703" t="s">
        <v>334</v>
      </c>
      <c r="J489" s="703" t="s">
        <v>337</v>
      </c>
      <c r="K489" s="704">
        <v>0</v>
      </c>
      <c r="L489" s="703" t="s">
        <v>334</v>
      </c>
      <c r="M489" s="702">
        <v>40968</v>
      </c>
      <c r="N489" s="702">
        <v>43273</v>
      </c>
      <c r="O489" s="703" t="s">
        <v>338</v>
      </c>
      <c r="P489" s="20">
        <v>121455.53</v>
      </c>
      <c r="Q489" s="20">
        <v>0</v>
      </c>
      <c r="R489" s="20">
        <v>0</v>
      </c>
      <c r="S489" s="20">
        <v>0</v>
      </c>
      <c r="T489" s="20">
        <v>121455.53</v>
      </c>
      <c r="U489" s="20">
        <v>107285.71</v>
      </c>
      <c r="V489" s="20">
        <v>-14169.82</v>
      </c>
      <c r="W489" s="20">
        <v>-18218.34</v>
      </c>
      <c r="X489" s="20">
        <v>-4048.52</v>
      </c>
      <c r="Y489" s="20">
        <v>0</v>
      </c>
      <c r="Z489" s="20">
        <v>0</v>
      </c>
      <c r="AA489" s="20">
        <v>0</v>
      </c>
      <c r="AB489" s="20">
        <v>103237.19</v>
      </c>
      <c r="AC489" t="s">
        <v>1127</v>
      </c>
      <c r="AD489" t="s">
        <v>290</v>
      </c>
      <c r="AE489" s="702">
        <f t="shared" si="35"/>
        <v>43252</v>
      </c>
      <c r="AF489" s="289">
        <v>201743.86801911812</v>
      </c>
      <c r="AG489">
        <f t="shared" si="36"/>
        <v>360</v>
      </c>
      <c r="AH489" s="289">
        <f t="shared" si="37"/>
        <v>560.39963338643918</v>
      </c>
      <c r="AJ489" s="289">
        <f t="shared" si="38"/>
        <v>54</v>
      </c>
      <c r="AK489" s="289">
        <f t="shared" si="39"/>
        <v>30261.580202867717</v>
      </c>
    </row>
    <row r="490" spans="1:37">
      <c r="A490" s="703" t="s">
        <v>1292</v>
      </c>
      <c r="B490" s="703" t="s">
        <v>331</v>
      </c>
      <c r="C490" s="703" t="s">
        <v>472</v>
      </c>
      <c r="D490" s="703" t="s">
        <v>334</v>
      </c>
      <c r="E490" s="703" t="s">
        <v>334</v>
      </c>
      <c r="F490" s="703" t="s">
        <v>474</v>
      </c>
      <c r="G490" s="703" t="s">
        <v>519</v>
      </c>
      <c r="H490" s="703" t="s">
        <v>1293</v>
      </c>
      <c r="I490" s="703" t="s">
        <v>334</v>
      </c>
      <c r="J490" s="703" t="s">
        <v>476</v>
      </c>
      <c r="K490" s="704">
        <v>0</v>
      </c>
      <c r="L490" s="703" t="s">
        <v>334</v>
      </c>
      <c r="M490" s="702"/>
      <c r="N490" s="702">
        <v>43281</v>
      </c>
      <c r="O490" s="703" t="s">
        <v>338</v>
      </c>
      <c r="P490" s="20">
        <v>425641.2</v>
      </c>
      <c r="Q490" s="20">
        <v>0</v>
      </c>
      <c r="R490" s="20">
        <v>0</v>
      </c>
      <c r="S490" s="20">
        <v>0</v>
      </c>
      <c r="T490" s="20">
        <v>425641.2</v>
      </c>
      <c r="U490" s="20">
        <v>279415.13</v>
      </c>
      <c r="V490" s="20">
        <v>-146226.07</v>
      </c>
      <c r="W490" s="20">
        <v>-188790.19</v>
      </c>
      <c r="X490" s="20">
        <v>-42564.12</v>
      </c>
      <c r="Y490" s="20">
        <v>0</v>
      </c>
      <c r="Z490" s="20">
        <v>0</v>
      </c>
      <c r="AA490" s="20">
        <v>0</v>
      </c>
      <c r="AB490" s="20">
        <v>236851.01</v>
      </c>
      <c r="AC490" t="s">
        <v>477</v>
      </c>
      <c r="AD490" t="s">
        <v>290</v>
      </c>
      <c r="AE490" s="702">
        <f t="shared" si="35"/>
        <v>43252</v>
      </c>
      <c r="AF490" s="289">
        <v>707011.87567415892</v>
      </c>
      <c r="AG490">
        <f t="shared" si="36"/>
        <v>360</v>
      </c>
      <c r="AH490" s="289">
        <f t="shared" si="37"/>
        <v>1963.9218768726637</v>
      </c>
      <c r="AJ490" s="289">
        <f t="shared" si="38"/>
        <v>54</v>
      </c>
      <c r="AK490" s="289">
        <f t="shared" si="39"/>
        <v>106051.78135112383</v>
      </c>
    </row>
    <row r="491" spans="1:37">
      <c r="A491" s="703" t="s">
        <v>1294</v>
      </c>
      <c r="B491" s="703" t="s">
        <v>331</v>
      </c>
      <c r="C491" s="703" t="s">
        <v>332</v>
      </c>
      <c r="D491" s="703" t="s">
        <v>333</v>
      </c>
      <c r="E491" s="703" t="s">
        <v>334</v>
      </c>
      <c r="F491" s="703" t="s">
        <v>335</v>
      </c>
      <c r="G491" s="703" t="s">
        <v>570</v>
      </c>
      <c r="H491" s="703" t="s">
        <v>334</v>
      </c>
      <c r="I491" s="703" t="s">
        <v>334</v>
      </c>
      <c r="J491" s="703" t="s">
        <v>337</v>
      </c>
      <c r="K491" s="704">
        <v>0</v>
      </c>
      <c r="L491" s="703" t="s">
        <v>334</v>
      </c>
      <c r="M491" s="702">
        <v>43190</v>
      </c>
      <c r="N491" s="702">
        <v>43291</v>
      </c>
      <c r="O491" s="703" t="s">
        <v>338</v>
      </c>
      <c r="P491" s="20">
        <v>202843.19</v>
      </c>
      <c r="Q491" s="20">
        <v>0</v>
      </c>
      <c r="R491" s="20">
        <v>0</v>
      </c>
      <c r="S491" s="20">
        <v>0</v>
      </c>
      <c r="T491" s="20">
        <v>202843.19</v>
      </c>
      <c r="U491" s="20">
        <v>179741.6</v>
      </c>
      <c r="V491" s="20">
        <v>-23101.59</v>
      </c>
      <c r="W491" s="20">
        <v>-29863.03</v>
      </c>
      <c r="X491" s="20">
        <v>-6761.44</v>
      </c>
      <c r="Y491" s="20">
        <v>0</v>
      </c>
      <c r="Z491" s="20">
        <v>0</v>
      </c>
      <c r="AA491" s="20">
        <v>0</v>
      </c>
      <c r="AB491" s="20">
        <v>172980.16</v>
      </c>
      <c r="AC491" t="s">
        <v>183</v>
      </c>
      <c r="AD491" t="s">
        <v>290</v>
      </c>
      <c r="AE491" s="702">
        <f t="shared" si="35"/>
        <v>43252</v>
      </c>
      <c r="AF491" s="289">
        <v>336932.94781997084</v>
      </c>
      <c r="AG491">
        <f t="shared" si="36"/>
        <v>360</v>
      </c>
      <c r="AH491" s="289">
        <f t="shared" si="37"/>
        <v>935.92485505547461</v>
      </c>
      <c r="AJ491" s="289">
        <f t="shared" si="38"/>
        <v>54</v>
      </c>
      <c r="AK491" s="289">
        <f t="shared" si="39"/>
        <v>50539.94217299563</v>
      </c>
    </row>
    <row r="492" spans="1:37">
      <c r="A492" s="703" t="s">
        <v>1295</v>
      </c>
      <c r="B492" s="703" t="s">
        <v>331</v>
      </c>
      <c r="C492" s="703" t="s">
        <v>332</v>
      </c>
      <c r="D492" s="703" t="s">
        <v>333</v>
      </c>
      <c r="E492" s="703" t="s">
        <v>334</v>
      </c>
      <c r="F492" s="703" t="s">
        <v>335</v>
      </c>
      <c r="G492" s="703" t="s">
        <v>1296</v>
      </c>
      <c r="H492" s="703" t="s">
        <v>334</v>
      </c>
      <c r="I492" s="703" t="s">
        <v>334</v>
      </c>
      <c r="J492" s="703" t="s">
        <v>337</v>
      </c>
      <c r="K492" s="704">
        <v>0</v>
      </c>
      <c r="L492" s="703" t="s">
        <v>334</v>
      </c>
      <c r="M492" s="702">
        <v>42124</v>
      </c>
      <c r="N492" s="702">
        <v>43291</v>
      </c>
      <c r="O492" s="703" t="s">
        <v>338</v>
      </c>
      <c r="P492" s="20">
        <v>35339.72</v>
      </c>
      <c r="Q492" s="20">
        <v>0</v>
      </c>
      <c r="R492" s="20">
        <v>0</v>
      </c>
      <c r="S492" s="20">
        <v>0</v>
      </c>
      <c r="T492" s="20">
        <v>35339.72</v>
      </c>
      <c r="U492" s="20">
        <v>31314.92</v>
      </c>
      <c r="V492" s="20">
        <v>-4024.8</v>
      </c>
      <c r="W492" s="20">
        <v>-5202.79</v>
      </c>
      <c r="X492" s="20">
        <v>-1177.99</v>
      </c>
      <c r="Y492" s="20">
        <v>0</v>
      </c>
      <c r="Z492" s="20">
        <v>0</v>
      </c>
      <c r="AA492" s="20">
        <v>0</v>
      </c>
      <c r="AB492" s="20">
        <v>30136.93</v>
      </c>
      <c r="AC492" t="s">
        <v>183</v>
      </c>
      <c r="AD492" t="s">
        <v>290</v>
      </c>
      <c r="AE492" s="702">
        <f t="shared" si="35"/>
        <v>43252</v>
      </c>
      <c r="AF492" s="289">
        <v>58701.08843551702</v>
      </c>
      <c r="AG492">
        <f t="shared" si="36"/>
        <v>360</v>
      </c>
      <c r="AH492" s="289">
        <f t="shared" si="37"/>
        <v>163.05857898754726</v>
      </c>
      <c r="AJ492" s="289">
        <f t="shared" si="38"/>
        <v>54</v>
      </c>
      <c r="AK492" s="289">
        <f t="shared" si="39"/>
        <v>8805.1632653275519</v>
      </c>
    </row>
    <row r="493" spans="1:37">
      <c r="A493" s="703" t="s">
        <v>1297</v>
      </c>
      <c r="B493" s="703" t="s">
        <v>331</v>
      </c>
      <c r="C493" s="703" t="s">
        <v>574</v>
      </c>
      <c r="D493" s="703" t="s">
        <v>575</v>
      </c>
      <c r="E493" s="703" t="s">
        <v>334</v>
      </c>
      <c r="F493" s="703" t="s">
        <v>335</v>
      </c>
      <c r="G493" s="703" t="s">
        <v>1298</v>
      </c>
      <c r="H493" s="703" t="s">
        <v>334</v>
      </c>
      <c r="I493" s="703" t="s">
        <v>334</v>
      </c>
      <c r="J493" s="703" t="s">
        <v>577</v>
      </c>
      <c r="K493" s="704">
        <v>0</v>
      </c>
      <c r="L493" s="703" t="s">
        <v>334</v>
      </c>
      <c r="M493" s="702">
        <v>42521</v>
      </c>
      <c r="N493" s="702">
        <v>43291</v>
      </c>
      <c r="O493" s="703" t="s">
        <v>338</v>
      </c>
      <c r="P493" s="20">
        <v>16590.52</v>
      </c>
      <c r="Q493" s="20">
        <v>0</v>
      </c>
      <c r="R493" s="20">
        <v>0</v>
      </c>
      <c r="S493" s="20">
        <v>0</v>
      </c>
      <c r="T493" s="20">
        <v>16590.52</v>
      </c>
      <c r="U493" s="20">
        <v>14701.04</v>
      </c>
      <c r="V493" s="20">
        <v>-1889.48</v>
      </c>
      <c r="W493" s="20">
        <v>-2442.5</v>
      </c>
      <c r="X493" s="20">
        <v>-553.02</v>
      </c>
      <c r="Y493" s="20">
        <v>0</v>
      </c>
      <c r="Z493" s="20">
        <v>0</v>
      </c>
      <c r="AA493" s="20">
        <v>0</v>
      </c>
      <c r="AB493" s="20">
        <v>14148.02</v>
      </c>
      <c r="AC493" t="s">
        <v>578</v>
      </c>
      <c r="AD493" t="s">
        <v>290</v>
      </c>
      <c r="AE493" s="702">
        <f t="shared" si="35"/>
        <v>43252</v>
      </c>
      <c r="AF493" s="289">
        <v>27557.705089661544</v>
      </c>
      <c r="AG493">
        <f t="shared" si="36"/>
        <v>360</v>
      </c>
      <c r="AH493" s="289">
        <f t="shared" si="37"/>
        <v>76.549180804615403</v>
      </c>
      <c r="AJ493" s="289">
        <f t="shared" si="38"/>
        <v>54</v>
      </c>
      <c r="AK493" s="289">
        <f t="shared" si="39"/>
        <v>4133.6557634492319</v>
      </c>
    </row>
    <row r="494" spans="1:37">
      <c r="A494" s="703" t="s">
        <v>1299</v>
      </c>
      <c r="B494" s="703" t="s">
        <v>331</v>
      </c>
      <c r="C494" s="703" t="s">
        <v>574</v>
      </c>
      <c r="D494" s="703" t="s">
        <v>575</v>
      </c>
      <c r="E494" s="703" t="s">
        <v>334</v>
      </c>
      <c r="F494" s="703" t="s">
        <v>335</v>
      </c>
      <c r="G494" s="703" t="s">
        <v>1300</v>
      </c>
      <c r="H494" s="703" t="s">
        <v>334</v>
      </c>
      <c r="I494" s="703" t="s">
        <v>334</v>
      </c>
      <c r="J494" s="703" t="s">
        <v>577</v>
      </c>
      <c r="K494" s="704">
        <v>0</v>
      </c>
      <c r="L494" s="703" t="s">
        <v>334</v>
      </c>
      <c r="M494" s="702">
        <v>42521</v>
      </c>
      <c r="N494" s="702">
        <v>43291</v>
      </c>
      <c r="O494" s="703" t="s">
        <v>338</v>
      </c>
      <c r="P494" s="20">
        <v>4147.63</v>
      </c>
      <c r="Q494" s="20">
        <v>0</v>
      </c>
      <c r="R494" s="20">
        <v>0</v>
      </c>
      <c r="S494" s="20">
        <v>0</v>
      </c>
      <c r="T494" s="20">
        <v>4147.63</v>
      </c>
      <c r="U494" s="20">
        <v>3675.27</v>
      </c>
      <c r="V494" s="20">
        <v>-472.36</v>
      </c>
      <c r="W494" s="20">
        <v>-610.61</v>
      </c>
      <c r="X494" s="20">
        <v>-138.25</v>
      </c>
      <c r="Y494" s="20">
        <v>0</v>
      </c>
      <c r="Z494" s="20">
        <v>0</v>
      </c>
      <c r="AA494" s="20">
        <v>0</v>
      </c>
      <c r="AB494" s="20">
        <v>3537.02</v>
      </c>
      <c r="AC494" t="s">
        <v>578</v>
      </c>
      <c r="AD494" t="s">
        <v>290</v>
      </c>
      <c r="AE494" s="702">
        <f t="shared" si="35"/>
        <v>43252</v>
      </c>
      <c r="AF494" s="289">
        <v>6889.4262724153859</v>
      </c>
      <c r="AG494">
        <f t="shared" si="36"/>
        <v>360</v>
      </c>
      <c r="AH494" s="289">
        <f t="shared" si="37"/>
        <v>19.137295201153851</v>
      </c>
      <c r="AJ494" s="289">
        <f t="shared" si="38"/>
        <v>54</v>
      </c>
      <c r="AK494" s="289">
        <f t="shared" si="39"/>
        <v>1033.413940862308</v>
      </c>
    </row>
    <row r="495" spans="1:37">
      <c r="A495" s="703" t="s">
        <v>1301</v>
      </c>
      <c r="B495" s="703" t="s">
        <v>331</v>
      </c>
      <c r="C495" s="703" t="s">
        <v>574</v>
      </c>
      <c r="D495" s="703" t="s">
        <v>575</v>
      </c>
      <c r="E495" s="703" t="s">
        <v>334</v>
      </c>
      <c r="F495" s="703" t="s">
        <v>335</v>
      </c>
      <c r="G495" s="703" t="s">
        <v>1302</v>
      </c>
      <c r="H495" s="703" t="s">
        <v>334</v>
      </c>
      <c r="I495" s="703" t="s">
        <v>334</v>
      </c>
      <c r="J495" s="703" t="s">
        <v>577</v>
      </c>
      <c r="K495" s="704">
        <v>0</v>
      </c>
      <c r="L495" s="703" t="s">
        <v>334</v>
      </c>
      <c r="M495" s="702">
        <v>42521</v>
      </c>
      <c r="N495" s="702">
        <v>43291</v>
      </c>
      <c r="O495" s="703" t="s">
        <v>338</v>
      </c>
      <c r="P495" s="20">
        <v>1382.54</v>
      </c>
      <c r="Q495" s="20">
        <v>0</v>
      </c>
      <c r="R495" s="20">
        <v>0</v>
      </c>
      <c r="S495" s="20">
        <v>0</v>
      </c>
      <c r="T495" s="20">
        <v>1382.54</v>
      </c>
      <c r="U495" s="20">
        <v>1225.0999999999999</v>
      </c>
      <c r="V495" s="20">
        <v>-157.44</v>
      </c>
      <c r="W495" s="20">
        <v>-203.52</v>
      </c>
      <c r="X495" s="20">
        <v>-46.08</v>
      </c>
      <c r="Y495" s="20">
        <v>0</v>
      </c>
      <c r="Z495" s="20">
        <v>0</v>
      </c>
      <c r="AA495" s="20">
        <v>0</v>
      </c>
      <c r="AB495" s="20">
        <v>1179.02</v>
      </c>
      <c r="AC495" t="s">
        <v>578</v>
      </c>
      <c r="AD495" t="s">
        <v>290</v>
      </c>
      <c r="AE495" s="702">
        <f t="shared" si="35"/>
        <v>43252</v>
      </c>
      <c r="AF495" s="289">
        <v>2296.4698873007396</v>
      </c>
      <c r="AG495">
        <f t="shared" si="36"/>
        <v>360</v>
      </c>
      <c r="AH495" s="289">
        <f t="shared" si="37"/>
        <v>6.3790830202798325</v>
      </c>
      <c r="AJ495" s="289">
        <f t="shared" si="38"/>
        <v>54</v>
      </c>
      <c r="AK495" s="289">
        <f t="shared" si="39"/>
        <v>344.47048309511098</v>
      </c>
    </row>
    <row r="496" spans="1:37">
      <c r="A496" s="703" t="s">
        <v>1303</v>
      </c>
      <c r="B496" s="703" t="s">
        <v>331</v>
      </c>
      <c r="C496" s="703" t="s">
        <v>574</v>
      </c>
      <c r="D496" s="703" t="s">
        <v>575</v>
      </c>
      <c r="E496" s="703" t="s">
        <v>334</v>
      </c>
      <c r="F496" s="703" t="s">
        <v>335</v>
      </c>
      <c r="G496" s="703" t="s">
        <v>1304</v>
      </c>
      <c r="H496" s="703" t="s">
        <v>334</v>
      </c>
      <c r="I496" s="703" t="s">
        <v>334</v>
      </c>
      <c r="J496" s="703" t="s">
        <v>577</v>
      </c>
      <c r="K496" s="704">
        <v>0</v>
      </c>
      <c r="L496" s="703" t="s">
        <v>334</v>
      </c>
      <c r="M496" s="702">
        <v>42521</v>
      </c>
      <c r="N496" s="702">
        <v>43291</v>
      </c>
      <c r="O496" s="703" t="s">
        <v>338</v>
      </c>
      <c r="P496" s="20">
        <v>1382.54</v>
      </c>
      <c r="Q496" s="20">
        <v>0</v>
      </c>
      <c r="R496" s="20">
        <v>0</v>
      </c>
      <c r="S496" s="20">
        <v>0</v>
      </c>
      <c r="T496" s="20">
        <v>1382.54</v>
      </c>
      <c r="U496" s="20">
        <v>1225.0999999999999</v>
      </c>
      <c r="V496" s="20">
        <v>-157.44</v>
      </c>
      <c r="W496" s="20">
        <v>-203.52</v>
      </c>
      <c r="X496" s="20">
        <v>-46.08</v>
      </c>
      <c r="Y496" s="20">
        <v>0</v>
      </c>
      <c r="Z496" s="20">
        <v>0</v>
      </c>
      <c r="AA496" s="20">
        <v>0</v>
      </c>
      <c r="AB496" s="20">
        <v>1179.02</v>
      </c>
      <c r="AC496" t="s">
        <v>578</v>
      </c>
      <c r="AD496" t="s">
        <v>290</v>
      </c>
      <c r="AE496" s="702">
        <f t="shared" si="35"/>
        <v>43252</v>
      </c>
      <c r="AF496" s="289">
        <v>2296.4698873007396</v>
      </c>
      <c r="AG496">
        <f t="shared" si="36"/>
        <v>360</v>
      </c>
      <c r="AH496" s="289">
        <f t="shared" si="37"/>
        <v>6.3790830202798325</v>
      </c>
      <c r="AJ496" s="289">
        <f t="shared" si="38"/>
        <v>54</v>
      </c>
      <c r="AK496" s="289">
        <f t="shared" si="39"/>
        <v>344.47048309511098</v>
      </c>
    </row>
    <row r="497" spans="1:37">
      <c r="A497" s="703" t="s">
        <v>1305</v>
      </c>
      <c r="B497" s="703" t="s">
        <v>331</v>
      </c>
      <c r="C497" s="703" t="s">
        <v>574</v>
      </c>
      <c r="D497" s="703" t="s">
        <v>575</v>
      </c>
      <c r="E497" s="703" t="s">
        <v>334</v>
      </c>
      <c r="F497" s="703" t="s">
        <v>335</v>
      </c>
      <c r="G497" s="703" t="s">
        <v>1306</v>
      </c>
      <c r="H497" s="703" t="s">
        <v>334</v>
      </c>
      <c r="I497" s="703" t="s">
        <v>334</v>
      </c>
      <c r="J497" s="703" t="s">
        <v>577</v>
      </c>
      <c r="K497" s="704">
        <v>0</v>
      </c>
      <c r="L497" s="703" t="s">
        <v>334</v>
      </c>
      <c r="M497" s="702">
        <v>42521</v>
      </c>
      <c r="N497" s="702">
        <v>43291</v>
      </c>
      <c r="O497" s="703" t="s">
        <v>338</v>
      </c>
      <c r="P497" s="20">
        <v>1382.54</v>
      </c>
      <c r="Q497" s="20">
        <v>0</v>
      </c>
      <c r="R497" s="20">
        <v>0</v>
      </c>
      <c r="S497" s="20">
        <v>0</v>
      </c>
      <c r="T497" s="20">
        <v>1382.54</v>
      </c>
      <c r="U497" s="20">
        <v>1225.0999999999999</v>
      </c>
      <c r="V497" s="20">
        <v>-157.44</v>
      </c>
      <c r="W497" s="20">
        <v>-203.52</v>
      </c>
      <c r="X497" s="20">
        <v>-46.08</v>
      </c>
      <c r="Y497" s="20">
        <v>0</v>
      </c>
      <c r="Z497" s="20">
        <v>0</v>
      </c>
      <c r="AA497" s="20">
        <v>0</v>
      </c>
      <c r="AB497" s="20">
        <v>1179.02</v>
      </c>
      <c r="AC497" t="s">
        <v>578</v>
      </c>
      <c r="AD497" t="s">
        <v>290</v>
      </c>
      <c r="AE497" s="702">
        <f t="shared" si="35"/>
        <v>43252</v>
      </c>
      <c r="AF497" s="289">
        <v>2296.4698873007396</v>
      </c>
      <c r="AG497">
        <f t="shared" si="36"/>
        <v>360</v>
      </c>
      <c r="AH497" s="289">
        <f t="shared" si="37"/>
        <v>6.3790830202798325</v>
      </c>
      <c r="AJ497" s="289">
        <f t="shared" si="38"/>
        <v>54</v>
      </c>
      <c r="AK497" s="289">
        <f t="shared" si="39"/>
        <v>344.47048309511098</v>
      </c>
    </row>
    <row r="498" spans="1:37">
      <c r="A498" s="703" t="s">
        <v>1307</v>
      </c>
      <c r="B498" s="703" t="s">
        <v>331</v>
      </c>
      <c r="C498" s="703" t="s">
        <v>574</v>
      </c>
      <c r="D498" s="703" t="s">
        <v>575</v>
      </c>
      <c r="E498" s="703" t="s">
        <v>334</v>
      </c>
      <c r="F498" s="703" t="s">
        <v>335</v>
      </c>
      <c r="G498" s="703" t="s">
        <v>1308</v>
      </c>
      <c r="H498" s="703" t="s">
        <v>334</v>
      </c>
      <c r="I498" s="703" t="s">
        <v>334</v>
      </c>
      <c r="J498" s="703" t="s">
        <v>577</v>
      </c>
      <c r="K498" s="704">
        <v>0</v>
      </c>
      <c r="L498" s="703" t="s">
        <v>334</v>
      </c>
      <c r="M498" s="702">
        <v>42521</v>
      </c>
      <c r="N498" s="702">
        <v>43291</v>
      </c>
      <c r="O498" s="703" t="s">
        <v>338</v>
      </c>
      <c r="P498" s="20">
        <v>1542.84</v>
      </c>
      <c r="Q498" s="20">
        <v>0</v>
      </c>
      <c r="R498" s="20">
        <v>0</v>
      </c>
      <c r="S498" s="20">
        <v>0</v>
      </c>
      <c r="T498" s="20">
        <v>1542.84</v>
      </c>
      <c r="U498" s="20">
        <v>1367.12</v>
      </c>
      <c r="V498" s="20">
        <v>-175.72</v>
      </c>
      <c r="W498" s="20">
        <v>-227.15</v>
      </c>
      <c r="X498" s="20">
        <v>-51.43</v>
      </c>
      <c r="Y498" s="20">
        <v>0</v>
      </c>
      <c r="Z498" s="20">
        <v>0</v>
      </c>
      <c r="AA498" s="20">
        <v>0</v>
      </c>
      <c r="AB498" s="20">
        <v>1315.69</v>
      </c>
      <c r="AC498" t="s">
        <v>578</v>
      </c>
      <c r="AD498" t="s">
        <v>290</v>
      </c>
      <c r="AE498" s="702">
        <f t="shared" si="35"/>
        <v>43252</v>
      </c>
      <c r="AF498" s="289">
        <v>2562.7364133573515</v>
      </c>
      <c r="AG498">
        <f t="shared" si="36"/>
        <v>360</v>
      </c>
      <c r="AH498" s="289">
        <f t="shared" si="37"/>
        <v>7.1187122593259762</v>
      </c>
      <c r="AJ498" s="289">
        <f t="shared" si="38"/>
        <v>54</v>
      </c>
      <c r="AK498" s="289">
        <f t="shared" si="39"/>
        <v>384.41046200360273</v>
      </c>
    </row>
    <row r="499" spans="1:37">
      <c r="A499" s="703" t="s">
        <v>1309</v>
      </c>
      <c r="B499" s="703" t="s">
        <v>331</v>
      </c>
      <c r="C499" s="703" t="s">
        <v>574</v>
      </c>
      <c r="D499" s="703" t="s">
        <v>575</v>
      </c>
      <c r="E499" s="703" t="s">
        <v>334</v>
      </c>
      <c r="F499" s="703" t="s">
        <v>335</v>
      </c>
      <c r="G499" s="703" t="s">
        <v>1310</v>
      </c>
      <c r="H499" s="703" t="s">
        <v>334</v>
      </c>
      <c r="I499" s="703" t="s">
        <v>334</v>
      </c>
      <c r="J499" s="703" t="s">
        <v>577</v>
      </c>
      <c r="K499" s="704">
        <v>0</v>
      </c>
      <c r="L499" s="703" t="s">
        <v>334</v>
      </c>
      <c r="M499" s="702">
        <v>42521</v>
      </c>
      <c r="N499" s="702">
        <v>43291</v>
      </c>
      <c r="O499" s="703" t="s">
        <v>338</v>
      </c>
      <c r="P499" s="20">
        <v>1981.77</v>
      </c>
      <c r="Q499" s="20">
        <v>0</v>
      </c>
      <c r="R499" s="20">
        <v>0</v>
      </c>
      <c r="S499" s="20">
        <v>0</v>
      </c>
      <c r="T499" s="20">
        <v>1981.77</v>
      </c>
      <c r="U499" s="20">
        <v>1756.07</v>
      </c>
      <c r="V499" s="20">
        <v>-225.7</v>
      </c>
      <c r="W499" s="20">
        <v>-291.76</v>
      </c>
      <c r="X499" s="20">
        <v>-66.06</v>
      </c>
      <c r="Y499" s="20">
        <v>0</v>
      </c>
      <c r="Z499" s="20">
        <v>0</v>
      </c>
      <c r="AA499" s="20">
        <v>0</v>
      </c>
      <c r="AB499" s="20">
        <v>1690.01</v>
      </c>
      <c r="AC499" t="s">
        <v>578</v>
      </c>
      <c r="AD499" t="s">
        <v>290</v>
      </c>
      <c r="AE499" s="702">
        <f t="shared" si="35"/>
        <v>43252</v>
      </c>
      <c r="AF499" s="289">
        <v>3291.8216677680116</v>
      </c>
      <c r="AG499">
        <f t="shared" si="36"/>
        <v>360</v>
      </c>
      <c r="AH499" s="289">
        <f t="shared" si="37"/>
        <v>9.1439490771333656</v>
      </c>
      <c r="AJ499" s="289">
        <f t="shared" si="38"/>
        <v>54</v>
      </c>
      <c r="AK499" s="289">
        <f t="shared" si="39"/>
        <v>493.77325016520172</v>
      </c>
    </row>
    <row r="500" spans="1:37">
      <c r="A500" s="703" t="s">
        <v>1311</v>
      </c>
      <c r="B500" s="703" t="s">
        <v>331</v>
      </c>
      <c r="C500" s="703" t="s">
        <v>574</v>
      </c>
      <c r="D500" s="703" t="s">
        <v>575</v>
      </c>
      <c r="E500" s="703" t="s">
        <v>334</v>
      </c>
      <c r="F500" s="703" t="s">
        <v>335</v>
      </c>
      <c r="G500" s="703" t="s">
        <v>1312</v>
      </c>
      <c r="H500" s="703" t="s">
        <v>334</v>
      </c>
      <c r="I500" s="703" t="s">
        <v>334</v>
      </c>
      <c r="J500" s="703" t="s">
        <v>577</v>
      </c>
      <c r="K500" s="704">
        <v>0</v>
      </c>
      <c r="L500" s="703" t="s">
        <v>334</v>
      </c>
      <c r="M500" s="702">
        <v>43190</v>
      </c>
      <c r="N500" s="702">
        <v>43291</v>
      </c>
      <c r="O500" s="703" t="s">
        <v>338</v>
      </c>
      <c r="P500" s="20">
        <v>14038.97</v>
      </c>
      <c r="Q500" s="20">
        <v>0</v>
      </c>
      <c r="R500" s="20">
        <v>0</v>
      </c>
      <c r="S500" s="20">
        <v>0</v>
      </c>
      <c r="T500" s="20">
        <v>14038.97</v>
      </c>
      <c r="U500" s="20">
        <v>12440.07</v>
      </c>
      <c r="V500" s="20">
        <v>-1598.9</v>
      </c>
      <c r="W500" s="20">
        <v>-2066.87</v>
      </c>
      <c r="X500" s="20">
        <v>-467.97</v>
      </c>
      <c r="Y500" s="20">
        <v>0</v>
      </c>
      <c r="Z500" s="20">
        <v>0</v>
      </c>
      <c r="AA500" s="20">
        <v>0</v>
      </c>
      <c r="AB500" s="20">
        <v>11972.1</v>
      </c>
      <c r="AC500" t="s">
        <v>578</v>
      </c>
      <c r="AD500" t="s">
        <v>290</v>
      </c>
      <c r="AE500" s="702">
        <f t="shared" si="35"/>
        <v>43252</v>
      </c>
      <c r="AF500" s="289">
        <v>23319.449602701159</v>
      </c>
      <c r="AG500">
        <f t="shared" si="36"/>
        <v>360</v>
      </c>
      <c r="AH500" s="289">
        <f t="shared" si="37"/>
        <v>64.776248896392104</v>
      </c>
      <c r="AJ500" s="289">
        <f t="shared" si="38"/>
        <v>54</v>
      </c>
      <c r="AK500" s="289">
        <f t="shared" si="39"/>
        <v>3497.9174404051737</v>
      </c>
    </row>
    <row r="501" spans="1:37">
      <c r="A501" s="703" t="s">
        <v>1313</v>
      </c>
      <c r="B501" s="703" t="s">
        <v>331</v>
      </c>
      <c r="C501" s="703" t="s">
        <v>574</v>
      </c>
      <c r="D501" s="703" t="s">
        <v>575</v>
      </c>
      <c r="E501" s="703" t="s">
        <v>334</v>
      </c>
      <c r="F501" s="703" t="s">
        <v>335</v>
      </c>
      <c r="G501" s="703" t="s">
        <v>1314</v>
      </c>
      <c r="H501" s="703" t="s">
        <v>334</v>
      </c>
      <c r="I501" s="703" t="s">
        <v>334</v>
      </c>
      <c r="J501" s="703" t="s">
        <v>577</v>
      </c>
      <c r="K501" s="704">
        <v>0</v>
      </c>
      <c r="L501" s="703" t="s">
        <v>334</v>
      </c>
      <c r="M501" s="702">
        <v>42521</v>
      </c>
      <c r="N501" s="702">
        <v>43291</v>
      </c>
      <c r="O501" s="703" t="s">
        <v>338</v>
      </c>
      <c r="P501" s="20">
        <v>1382.54</v>
      </c>
      <c r="Q501" s="20">
        <v>0</v>
      </c>
      <c r="R501" s="20">
        <v>0</v>
      </c>
      <c r="S501" s="20">
        <v>0</v>
      </c>
      <c r="T501" s="20">
        <v>1382.54</v>
      </c>
      <c r="U501" s="20">
        <v>1225.0999999999999</v>
      </c>
      <c r="V501" s="20">
        <v>-157.44</v>
      </c>
      <c r="W501" s="20">
        <v>-203.52</v>
      </c>
      <c r="X501" s="20">
        <v>-46.08</v>
      </c>
      <c r="Y501" s="20">
        <v>0</v>
      </c>
      <c r="Z501" s="20">
        <v>0</v>
      </c>
      <c r="AA501" s="20">
        <v>0</v>
      </c>
      <c r="AB501" s="20">
        <v>1179.02</v>
      </c>
      <c r="AC501" t="s">
        <v>578</v>
      </c>
      <c r="AD501" t="s">
        <v>290</v>
      </c>
      <c r="AE501" s="702">
        <f t="shared" si="35"/>
        <v>43252</v>
      </c>
      <c r="AF501" s="289">
        <v>2296.4698873007396</v>
      </c>
      <c r="AG501">
        <f t="shared" si="36"/>
        <v>360</v>
      </c>
      <c r="AH501" s="289">
        <f t="shared" si="37"/>
        <v>6.3790830202798325</v>
      </c>
      <c r="AJ501" s="289">
        <f t="shared" si="38"/>
        <v>54</v>
      </c>
      <c r="AK501" s="289">
        <f t="shared" si="39"/>
        <v>344.47048309511098</v>
      </c>
    </row>
    <row r="502" spans="1:37">
      <c r="A502" s="703" t="s">
        <v>1315</v>
      </c>
      <c r="B502" s="703" t="s">
        <v>331</v>
      </c>
      <c r="C502" s="703" t="s">
        <v>574</v>
      </c>
      <c r="D502" s="703" t="s">
        <v>575</v>
      </c>
      <c r="E502" s="703" t="s">
        <v>334</v>
      </c>
      <c r="F502" s="703" t="s">
        <v>335</v>
      </c>
      <c r="G502" s="703" t="s">
        <v>1316</v>
      </c>
      <c r="H502" s="703" t="s">
        <v>334</v>
      </c>
      <c r="I502" s="703" t="s">
        <v>334</v>
      </c>
      <c r="J502" s="703" t="s">
        <v>577</v>
      </c>
      <c r="K502" s="704">
        <v>0</v>
      </c>
      <c r="L502" s="703" t="s">
        <v>334</v>
      </c>
      <c r="M502" s="702">
        <v>42521</v>
      </c>
      <c r="N502" s="702">
        <v>43291</v>
      </c>
      <c r="O502" s="703" t="s">
        <v>338</v>
      </c>
      <c r="P502" s="20">
        <v>1382.54</v>
      </c>
      <c r="Q502" s="20">
        <v>0</v>
      </c>
      <c r="R502" s="20">
        <v>0</v>
      </c>
      <c r="S502" s="20">
        <v>0</v>
      </c>
      <c r="T502" s="20">
        <v>1382.54</v>
      </c>
      <c r="U502" s="20">
        <v>1225.0999999999999</v>
      </c>
      <c r="V502" s="20">
        <v>-157.44</v>
      </c>
      <c r="W502" s="20">
        <v>-203.52</v>
      </c>
      <c r="X502" s="20">
        <v>-46.08</v>
      </c>
      <c r="Y502" s="20">
        <v>0</v>
      </c>
      <c r="Z502" s="20">
        <v>0</v>
      </c>
      <c r="AA502" s="20">
        <v>0</v>
      </c>
      <c r="AB502" s="20">
        <v>1179.02</v>
      </c>
      <c r="AC502" t="s">
        <v>578</v>
      </c>
      <c r="AD502" t="s">
        <v>290</v>
      </c>
      <c r="AE502" s="702">
        <f t="shared" si="35"/>
        <v>43252</v>
      </c>
      <c r="AF502" s="289">
        <v>2296.4698873007396</v>
      </c>
      <c r="AG502">
        <f t="shared" si="36"/>
        <v>360</v>
      </c>
      <c r="AH502" s="289">
        <f t="shared" si="37"/>
        <v>6.3790830202798325</v>
      </c>
      <c r="AJ502" s="289">
        <f t="shared" si="38"/>
        <v>54</v>
      </c>
      <c r="AK502" s="289">
        <f t="shared" si="39"/>
        <v>344.47048309511098</v>
      </c>
    </row>
    <row r="503" spans="1:37">
      <c r="A503" s="703" t="s">
        <v>1317</v>
      </c>
      <c r="B503" s="703" t="s">
        <v>331</v>
      </c>
      <c r="C503" s="703" t="s">
        <v>574</v>
      </c>
      <c r="D503" s="703" t="s">
        <v>575</v>
      </c>
      <c r="E503" s="703" t="s">
        <v>334</v>
      </c>
      <c r="F503" s="703" t="s">
        <v>335</v>
      </c>
      <c r="G503" s="703" t="s">
        <v>1318</v>
      </c>
      <c r="H503" s="703" t="s">
        <v>334</v>
      </c>
      <c r="I503" s="703" t="s">
        <v>334</v>
      </c>
      <c r="J503" s="703" t="s">
        <v>577</v>
      </c>
      <c r="K503" s="704">
        <v>0</v>
      </c>
      <c r="L503" s="703" t="s">
        <v>334</v>
      </c>
      <c r="M503" s="702">
        <v>42521</v>
      </c>
      <c r="N503" s="702">
        <v>43291</v>
      </c>
      <c r="O503" s="703" t="s">
        <v>338</v>
      </c>
      <c r="P503" s="20">
        <v>5530.17</v>
      </c>
      <c r="Q503" s="20">
        <v>0</v>
      </c>
      <c r="R503" s="20">
        <v>0</v>
      </c>
      <c r="S503" s="20">
        <v>0</v>
      </c>
      <c r="T503" s="20">
        <v>5530.17</v>
      </c>
      <c r="U503" s="20">
        <v>4900.34</v>
      </c>
      <c r="V503" s="20">
        <v>-629.83000000000004</v>
      </c>
      <c r="W503" s="20">
        <v>-814.17</v>
      </c>
      <c r="X503" s="20">
        <v>-184.34</v>
      </c>
      <c r="Y503" s="20">
        <v>0</v>
      </c>
      <c r="Z503" s="20">
        <v>0</v>
      </c>
      <c r="AA503" s="20">
        <v>0</v>
      </c>
      <c r="AB503" s="20">
        <v>4716</v>
      </c>
      <c r="AC503" t="s">
        <v>578</v>
      </c>
      <c r="AD503" t="s">
        <v>290</v>
      </c>
      <c r="AE503" s="702">
        <f t="shared" si="35"/>
        <v>43252</v>
      </c>
      <c r="AF503" s="289">
        <v>9185.8961597161251</v>
      </c>
      <c r="AG503">
        <f t="shared" si="36"/>
        <v>360</v>
      </c>
      <c r="AH503" s="289">
        <f t="shared" si="37"/>
        <v>25.51637822143368</v>
      </c>
      <c r="AJ503" s="289">
        <f t="shared" si="38"/>
        <v>54</v>
      </c>
      <c r="AK503" s="289">
        <f t="shared" si="39"/>
        <v>1377.8844239574187</v>
      </c>
    </row>
    <row r="504" spans="1:37">
      <c r="A504" s="703" t="s">
        <v>1319</v>
      </c>
      <c r="B504" s="703" t="s">
        <v>331</v>
      </c>
      <c r="C504" s="703" t="s">
        <v>574</v>
      </c>
      <c r="D504" s="703" t="s">
        <v>575</v>
      </c>
      <c r="E504" s="703" t="s">
        <v>334</v>
      </c>
      <c r="F504" s="703" t="s">
        <v>335</v>
      </c>
      <c r="G504" s="703" t="s">
        <v>1320</v>
      </c>
      <c r="H504" s="703" t="s">
        <v>334</v>
      </c>
      <c r="I504" s="703" t="s">
        <v>334</v>
      </c>
      <c r="J504" s="703" t="s">
        <v>577</v>
      </c>
      <c r="K504" s="704">
        <v>0</v>
      </c>
      <c r="L504" s="703" t="s">
        <v>334</v>
      </c>
      <c r="M504" s="702">
        <v>42521</v>
      </c>
      <c r="N504" s="702">
        <v>43291</v>
      </c>
      <c r="O504" s="703" t="s">
        <v>338</v>
      </c>
      <c r="P504" s="20">
        <v>4495.99</v>
      </c>
      <c r="Q504" s="20">
        <v>0</v>
      </c>
      <c r="R504" s="20">
        <v>0</v>
      </c>
      <c r="S504" s="20">
        <v>0</v>
      </c>
      <c r="T504" s="20">
        <v>4495.99</v>
      </c>
      <c r="U504" s="20">
        <v>3983.94</v>
      </c>
      <c r="V504" s="20">
        <v>-512.04999999999995</v>
      </c>
      <c r="W504" s="20">
        <v>-661.92</v>
      </c>
      <c r="X504" s="20">
        <v>-149.87</v>
      </c>
      <c r="Y504" s="20">
        <v>0</v>
      </c>
      <c r="Z504" s="20">
        <v>0</v>
      </c>
      <c r="AA504" s="20">
        <v>0</v>
      </c>
      <c r="AB504" s="20">
        <v>3834.07</v>
      </c>
      <c r="AC504" t="s">
        <v>578</v>
      </c>
      <c r="AD504" t="s">
        <v>290</v>
      </c>
      <c r="AE504" s="702">
        <f t="shared" si="35"/>
        <v>43252</v>
      </c>
      <c r="AF504" s="289">
        <v>7468.0701090783996</v>
      </c>
      <c r="AG504">
        <f t="shared" si="36"/>
        <v>360</v>
      </c>
      <c r="AH504" s="289">
        <f t="shared" si="37"/>
        <v>20.744639191884442</v>
      </c>
      <c r="AJ504" s="289">
        <f t="shared" si="38"/>
        <v>54</v>
      </c>
      <c r="AK504" s="289">
        <f t="shared" si="39"/>
        <v>1120.2105163617598</v>
      </c>
    </row>
    <row r="505" spans="1:37">
      <c r="A505" s="703" t="s">
        <v>1321</v>
      </c>
      <c r="B505" s="703" t="s">
        <v>331</v>
      </c>
      <c r="C505" s="703" t="s">
        <v>574</v>
      </c>
      <c r="D505" s="703" t="s">
        <v>575</v>
      </c>
      <c r="E505" s="703" t="s">
        <v>334</v>
      </c>
      <c r="F505" s="703" t="s">
        <v>335</v>
      </c>
      <c r="G505" s="703" t="s">
        <v>1322</v>
      </c>
      <c r="H505" s="703" t="s">
        <v>334</v>
      </c>
      <c r="I505" s="703" t="s">
        <v>334</v>
      </c>
      <c r="J505" s="703" t="s">
        <v>577</v>
      </c>
      <c r="K505" s="704">
        <v>0</v>
      </c>
      <c r="L505" s="703" t="s">
        <v>334</v>
      </c>
      <c r="M505" s="702">
        <v>42521</v>
      </c>
      <c r="N505" s="702">
        <v>43291</v>
      </c>
      <c r="O505" s="703" t="s">
        <v>338</v>
      </c>
      <c r="P505" s="20">
        <v>95900.57</v>
      </c>
      <c r="Q505" s="20">
        <v>0</v>
      </c>
      <c r="R505" s="20">
        <v>0</v>
      </c>
      <c r="S505" s="20">
        <v>0</v>
      </c>
      <c r="T505" s="20">
        <v>95900.57</v>
      </c>
      <c r="U505" s="20">
        <v>84978.55</v>
      </c>
      <c r="V505" s="20">
        <v>-10922.02</v>
      </c>
      <c r="W505" s="20">
        <v>-14118.71</v>
      </c>
      <c r="X505" s="20">
        <v>-3196.69</v>
      </c>
      <c r="Y505" s="20">
        <v>0</v>
      </c>
      <c r="Z505" s="20">
        <v>0</v>
      </c>
      <c r="AA505" s="20">
        <v>0</v>
      </c>
      <c r="AB505" s="20">
        <v>81781.86</v>
      </c>
      <c r="AC505" t="s">
        <v>578</v>
      </c>
      <c r="AD505" t="s">
        <v>290</v>
      </c>
      <c r="AE505" s="702">
        <f t="shared" si="35"/>
        <v>43252</v>
      </c>
      <c r="AF505" s="289">
        <v>159295.76806455996</v>
      </c>
      <c r="AG505">
        <f t="shared" si="36"/>
        <v>360</v>
      </c>
      <c r="AH505" s="289">
        <f t="shared" si="37"/>
        <v>442.48824462377769</v>
      </c>
      <c r="AJ505" s="289">
        <f t="shared" si="38"/>
        <v>54</v>
      </c>
      <c r="AK505" s="289">
        <f t="shared" si="39"/>
        <v>23894.365209683994</v>
      </c>
    </row>
    <row r="506" spans="1:37">
      <c r="A506" s="703" t="s">
        <v>1323</v>
      </c>
      <c r="B506" s="703" t="s">
        <v>331</v>
      </c>
      <c r="C506" s="703" t="s">
        <v>574</v>
      </c>
      <c r="D506" s="703" t="s">
        <v>575</v>
      </c>
      <c r="E506" s="703" t="s">
        <v>334</v>
      </c>
      <c r="F506" s="703" t="s">
        <v>335</v>
      </c>
      <c r="G506" s="703" t="s">
        <v>1324</v>
      </c>
      <c r="H506" s="703" t="s">
        <v>334</v>
      </c>
      <c r="I506" s="703" t="s">
        <v>334</v>
      </c>
      <c r="J506" s="703" t="s">
        <v>577</v>
      </c>
      <c r="K506" s="704">
        <v>0</v>
      </c>
      <c r="L506" s="703" t="s">
        <v>334</v>
      </c>
      <c r="M506" s="702">
        <v>42521</v>
      </c>
      <c r="N506" s="702">
        <v>43291</v>
      </c>
      <c r="O506" s="703" t="s">
        <v>338</v>
      </c>
      <c r="P506" s="20">
        <v>69179.520000000004</v>
      </c>
      <c r="Q506" s="20">
        <v>0</v>
      </c>
      <c r="R506" s="20">
        <v>0</v>
      </c>
      <c r="S506" s="20">
        <v>0</v>
      </c>
      <c r="T506" s="20">
        <v>69179.520000000004</v>
      </c>
      <c r="U506" s="20">
        <v>61300.75</v>
      </c>
      <c r="V506" s="20">
        <v>-7878.77</v>
      </c>
      <c r="W506" s="20">
        <v>-10184.75</v>
      </c>
      <c r="X506" s="20">
        <v>-2305.98</v>
      </c>
      <c r="Y506" s="20">
        <v>0</v>
      </c>
      <c r="Z506" s="20">
        <v>0</v>
      </c>
      <c r="AA506" s="20">
        <v>0</v>
      </c>
      <c r="AB506" s="20">
        <v>58994.77</v>
      </c>
      <c r="AC506" t="s">
        <v>578</v>
      </c>
      <c r="AD506" t="s">
        <v>290</v>
      </c>
      <c r="AE506" s="702">
        <f t="shared" si="35"/>
        <v>43252</v>
      </c>
      <c r="AF506" s="289">
        <v>114910.73278018668</v>
      </c>
      <c r="AG506">
        <f t="shared" si="36"/>
        <v>360</v>
      </c>
      <c r="AH506" s="289">
        <f t="shared" si="37"/>
        <v>319.19647994496302</v>
      </c>
      <c r="AJ506" s="289">
        <f t="shared" si="38"/>
        <v>54</v>
      </c>
      <c r="AK506" s="289">
        <f t="shared" si="39"/>
        <v>17236.609917028003</v>
      </c>
    </row>
    <row r="507" spans="1:37">
      <c r="A507" s="703" t="s">
        <v>1325</v>
      </c>
      <c r="B507" s="703" t="s">
        <v>331</v>
      </c>
      <c r="C507" s="703" t="s">
        <v>586</v>
      </c>
      <c r="D507" s="703" t="s">
        <v>486</v>
      </c>
      <c r="E507" s="703" t="s">
        <v>587</v>
      </c>
      <c r="F507" s="703" t="s">
        <v>335</v>
      </c>
      <c r="G507" s="703" t="s">
        <v>1326</v>
      </c>
      <c r="H507" s="703" t="s">
        <v>334</v>
      </c>
      <c r="I507" s="703" t="s">
        <v>334</v>
      </c>
      <c r="J507" s="703" t="s">
        <v>337</v>
      </c>
      <c r="K507" s="704">
        <v>0</v>
      </c>
      <c r="L507" s="703" t="s">
        <v>334</v>
      </c>
      <c r="M507" s="702">
        <v>40390</v>
      </c>
      <c r="N507" s="702">
        <v>43291</v>
      </c>
      <c r="O507" s="703" t="s">
        <v>338</v>
      </c>
      <c r="P507" s="20">
        <v>3615.61</v>
      </c>
      <c r="Q507" s="20">
        <v>0</v>
      </c>
      <c r="R507" s="20">
        <v>0</v>
      </c>
      <c r="S507" s="20">
        <v>0</v>
      </c>
      <c r="T507" s="20">
        <v>3615.61</v>
      </c>
      <c r="U507" s="20">
        <v>3203.83</v>
      </c>
      <c r="V507" s="20">
        <v>-411.78</v>
      </c>
      <c r="W507" s="20">
        <v>-532.29999999999995</v>
      </c>
      <c r="X507" s="20">
        <v>-120.52</v>
      </c>
      <c r="Y507" s="20">
        <v>0</v>
      </c>
      <c r="Z507" s="20">
        <v>0</v>
      </c>
      <c r="AA507" s="20">
        <v>0</v>
      </c>
      <c r="AB507" s="20">
        <v>3083.31</v>
      </c>
      <c r="AC507" t="s">
        <v>589</v>
      </c>
      <c r="AD507" t="s">
        <v>290</v>
      </c>
      <c r="AE507" s="702">
        <f t="shared" si="35"/>
        <v>43252</v>
      </c>
      <c r="AF507" s="289">
        <v>6005.7137509391605</v>
      </c>
      <c r="AG507">
        <f t="shared" si="36"/>
        <v>360</v>
      </c>
      <c r="AH507" s="289">
        <f t="shared" si="37"/>
        <v>16.682538197053223</v>
      </c>
      <c r="AJ507" s="289">
        <f t="shared" si="38"/>
        <v>54</v>
      </c>
      <c r="AK507" s="289">
        <f t="shared" si="39"/>
        <v>900.85706264087401</v>
      </c>
    </row>
    <row r="508" spans="1:37">
      <c r="A508" s="703" t="s">
        <v>1327</v>
      </c>
      <c r="B508" s="703" t="s">
        <v>331</v>
      </c>
      <c r="C508" s="703" t="s">
        <v>586</v>
      </c>
      <c r="D508" s="703" t="s">
        <v>486</v>
      </c>
      <c r="E508" s="703" t="s">
        <v>587</v>
      </c>
      <c r="F508" s="703" t="s">
        <v>335</v>
      </c>
      <c r="G508" s="703" t="s">
        <v>1328</v>
      </c>
      <c r="H508" s="703" t="s">
        <v>334</v>
      </c>
      <c r="I508" s="703" t="s">
        <v>334</v>
      </c>
      <c r="J508" s="703" t="s">
        <v>337</v>
      </c>
      <c r="K508" s="704">
        <v>0</v>
      </c>
      <c r="L508" s="703" t="s">
        <v>334</v>
      </c>
      <c r="M508" s="702">
        <v>40390</v>
      </c>
      <c r="N508" s="702">
        <v>43291</v>
      </c>
      <c r="O508" s="703" t="s">
        <v>338</v>
      </c>
      <c r="P508" s="20">
        <v>10940.95</v>
      </c>
      <c r="Q508" s="20">
        <v>0</v>
      </c>
      <c r="R508" s="20">
        <v>0</v>
      </c>
      <c r="S508" s="20">
        <v>0</v>
      </c>
      <c r="T508" s="20">
        <v>10940.95</v>
      </c>
      <c r="U508" s="20">
        <v>9694.89</v>
      </c>
      <c r="V508" s="20">
        <v>-1246.06</v>
      </c>
      <c r="W508" s="20">
        <v>-1610.76</v>
      </c>
      <c r="X508" s="20">
        <v>-364.7</v>
      </c>
      <c r="Y508" s="20">
        <v>0</v>
      </c>
      <c r="Z508" s="20">
        <v>0</v>
      </c>
      <c r="AA508" s="20">
        <v>0</v>
      </c>
      <c r="AB508" s="20">
        <v>9330.19</v>
      </c>
      <c r="AC508" t="s">
        <v>589</v>
      </c>
      <c r="AD508" t="s">
        <v>290</v>
      </c>
      <c r="AE508" s="702">
        <f t="shared" si="35"/>
        <v>43252</v>
      </c>
      <c r="AF508" s="289">
        <v>18173.47940273918</v>
      </c>
      <c r="AG508">
        <f t="shared" si="36"/>
        <v>360</v>
      </c>
      <c r="AH508" s="289">
        <f t="shared" si="37"/>
        <v>50.481887229831052</v>
      </c>
      <c r="AJ508" s="289">
        <f t="shared" si="38"/>
        <v>54</v>
      </c>
      <c r="AK508" s="289">
        <f t="shared" si="39"/>
        <v>2726.0219104108769</v>
      </c>
    </row>
    <row r="509" spans="1:37">
      <c r="A509" s="703" t="s">
        <v>1329</v>
      </c>
      <c r="B509" s="703" t="s">
        <v>331</v>
      </c>
      <c r="C509" s="703" t="s">
        <v>586</v>
      </c>
      <c r="D509" s="703" t="s">
        <v>486</v>
      </c>
      <c r="E509" s="703" t="s">
        <v>587</v>
      </c>
      <c r="F509" s="703" t="s">
        <v>335</v>
      </c>
      <c r="G509" s="703" t="s">
        <v>1330</v>
      </c>
      <c r="H509" s="703" t="s">
        <v>334</v>
      </c>
      <c r="I509" s="703" t="s">
        <v>334</v>
      </c>
      <c r="J509" s="703" t="s">
        <v>337</v>
      </c>
      <c r="K509" s="704">
        <v>0</v>
      </c>
      <c r="L509" s="703" t="s">
        <v>334</v>
      </c>
      <c r="M509" s="702">
        <v>40390</v>
      </c>
      <c r="N509" s="702">
        <v>43291</v>
      </c>
      <c r="O509" s="703" t="s">
        <v>338</v>
      </c>
      <c r="P509" s="20">
        <v>124362.59</v>
      </c>
      <c r="Q509" s="20">
        <v>0</v>
      </c>
      <c r="R509" s="20">
        <v>0</v>
      </c>
      <c r="S509" s="20">
        <v>0</v>
      </c>
      <c r="T509" s="20">
        <v>124362.59</v>
      </c>
      <c r="U509" s="20">
        <v>110199.07</v>
      </c>
      <c r="V509" s="20">
        <v>-14163.52</v>
      </c>
      <c r="W509" s="20">
        <v>-18308.939999999999</v>
      </c>
      <c r="X509" s="20">
        <v>-4145.42</v>
      </c>
      <c r="Y509" s="20">
        <v>0</v>
      </c>
      <c r="Z509" s="20">
        <v>0</v>
      </c>
      <c r="AA509" s="20">
        <v>0</v>
      </c>
      <c r="AB509" s="20">
        <v>106053.65</v>
      </c>
      <c r="AC509" t="s">
        <v>589</v>
      </c>
      <c r="AD509" t="s">
        <v>290</v>
      </c>
      <c r="AE509" s="702">
        <f t="shared" si="35"/>
        <v>43252</v>
      </c>
      <c r="AF509" s="289">
        <v>206572.64385965548</v>
      </c>
      <c r="AG509">
        <f t="shared" si="36"/>
        <v>360</v>
      </c>
      <c r="AH509" s="289">
        <f t="shared" si="37"/>
        <v>573.81289961015409</v>
      </c>
      <c r="AJ509" s="289">
        <f t="shared" si="38"/>
        <v>54</v>
      </c>
      <c r="AK509" s="289">
        <f t="shared" si="39"/>
        <v>30985.896578948319</v>
      </c>
    </row>
    <row r="510" spans="1:37">
      <c r="A510" s="703" t="s">
        <v>1331</v>
      </c>
      <c r="B510" s="703" t="s">
        <v>331</v>
      </c>
      <c r="C510" s="703" t="s">
        <v>586</v>
      </c>
      <c r="D510" s="703" t="s">
        <v>486</v>
      </c>
      <c r="E510" s="703" t="s">
        <v>587</v>
      </c>
      <c r="F510" s="703" t="s">
        <v>335</v>
      </c>
      <c r="G510" s="703" t="s">
        <v>1332</v>
      </c>
      <c r="H510" s="703" t="s">
        <v>334</v>
      </c>
      <c r="I510" s="703" t="s">
        <v>334</v>
      </c>
      <c r="J510" s="703" t="s">
        <v>337</v>
      </c>
      <c r="K510" s="704">
        <v>0</v>
      </c>
      <c r="L510" s="703" t="s">
        <v>334</v>
      </c>
      <c r="M510" s="702">
        <v>42035</v>
      </c>
      <c r="N510" s="702">
        <v>43291</v>
      </c>
      <c r="O510" s="703" t="s">
        <v>338</v>
      </c>
      <c r="P510" s="20">
        <v>12082.22</v>
      </c>
      <c r="Q510" s="20">
        <v>0</v>
      </c>
      <c r="R510" s="20">
        <v>0</v>
      </c>
      <c r="S510" s="20">
        <v>0</v>
      </c>
      <c r="T510" s="20">
        <v>12082.22</v>
      </c>
      <c r="U510" s="20">
        <v>10706.19</v>
      </c>
      <c r="V510" s="20">
        <v>-1376.03</v>
      </c>
      <c r="W510" s="20">
        <v>-1778.77</v>
      </c>
      <c r="X510" s="20">
        <v>-402.74</v>
      </c>
      <c r="Y510" s="20">
        <v>0</v>
      </c>
      <c r="Z510" s="20">
        <v>0</v>
      </c>
      <c r="AA510" s="20">
        <v>0</v>
      </c>
      <c r="AB510" s="20">
        <v>10303.450000000001</v>
      </c>
      <c r="AC510" t="s">
        <v>589</v>
      </c>
      <c r="AD510" t="s">
        <v>290</v>
      </c>
      <c r="AE510" s="702">
        <f t="shared" si="35"/>
        <v>43252</v>
      </c>
      <c r="AF510" s="289">
        <v>20069.18743887536</v>
      </c>
      <c r="AG510">
        <f t="shared" si="36"/>
        <v>360</v>
      </c>
      <c r="AH510" s="289">
        <f t="shared" si="37"/>
        <v>55.747742885764893</v>
      </c>
      <c r="AJ510" s="289">
        <f t="shared" si="38"/>
        <v>54</v>
      </c>
      <c r="AK510" s="289">
        <f t="shared" si="39"/>
        <v>3010.3781158313041</v>
      </c>
    </row>
    <row r="511" spans="1:37">
      <c r="A511" s="703" t="s">
        <v>1333</v>
      </c>
      <c r="B511" s="703" t="s">
        <v>331</v>
      </c>
      <c r="C511" s="703" t="s">
        <v>586</v>
      </c>
      <c r="D511" s="703" t="s">
        <v>486</v>
      </c>
      <c r="E511" s="703" t="s">
        <v>587</v>
      </c>
      <c r="F511" s="703" t="s">
        <v>335</v>
      </c>
      <c r="G511" s="703" t="s">
        <v>603</v>
      </c>
      <c r="H511" s="703" t="s">
        <v>334</v>
      </c>
      <c r="I511" s="703" t="s">
        <v>334</v>
      </c>
      <c r="J511" s="703" t="s">
        <v>337</v>
      </c>
      <c r="K511" s="704">
        <v>0</v>
      </c>
      <c r="L511" s="703" t="s">
        <v>334</v>
      </c>
      <c r="M511" s="702">
        <v>40390</v>
      </c>
      <c r="N511" s="702">
        <v>43291</v>
      </c>
      <c r="O511" s="703" t="s">
        <v>338</v>
      </c>
      <c r="P511" s="20">
        <v>23998.35</v>
      </c>
      <c r="Q511" s="20">
        <v>0</v>
      </c>
      <c r="R511" s="20">
        <v>0</v>
      </c>
      <c r="S511" s="20">
        <v>0</v>
      </c>
      <c r="T511" s="20">
        <v>23998.35</v>
      </c>
      <c r="U511" s="20">
        <v>21265.19</v>
      </c>
      <c r="V511" s="20">
        <v>-2733.16</v>
      </c>
      <c r="W511" s="20">
        <v>-3533.11</v>
      </c>
      <c r="X511" s="20">
        <v>-799.95</v>
      </c>
      <c r="Y511" s="20">
        <v>0</v>
      </c>
      <c r="Z511" s="20">
        <v>0</v>
      </c>
      <c r="AA511" s="20">
        <v>0</v>
      </c>
      <c r="AB511" s="20">
        <v>20465.240000000002</v>
      </c>
      <c r="AC511" t="s">
        <v>589</v>
      </c>
      <c r="AD511" t="s">
        <v>290</v>
      </c>
      <c r="AE511" s="702">
        <f t="shared" si="35"/>
        <v>43252</v>
      </c>
      <c r="AF511" s="289">
        <v>39862.490864570791</v>
      </c>
      <c r="AG511">
        <f t="shared" si="36"/>
        <v>360</v>
      </c>
      <c r="AH511" s="289">
        <f t="shared" si="37"/>
        <v>110.72914129047442</v>
      </c>
      <c r="AJ511" s="289">
        <f t="shared" si="38"/>
        <v>54</v>
      </c>
      <c r="AK511" s="289">
        <f t="shared" si="39"/>
        <v>5979.3736296856187</v>
      </c>
    </row>
    <row r="512" spans="1:37">
      <c r="A512" s="703" t="s">
        <v>1334</v>
      </c>
      <c r="B512" s="703" t="s">
        <v>331</v>
      </c>
      <c r="C512" s="703" t="s">
        <v>586</v>
      </c>
      <c r="D512" s="703" t="s">
        <v>486</v>
      </c>
      <c r="E512" s="703" t="s">
        <v>587</v>
      </c>
      <c r="F512" s="703" t="s">
        <v>335</v>
      </c>
      <c r="G512" s="703" t="s">
        <v>1335</v>
      </c>
      <c r="H512" s="703" t="s">
        <v>334</v>
      </c>
      <c r="I512" s="703" t="s">
        <v>334</v>
      </c>
      <c r="J512" s="703" t="s">
        <v>337</v>
      </c>
      <c r="K512" s="704">
        <v>0</v>
      </c>
      <c r="L512" s="703" t="s">
        <v>334</v>
      </c>
      <c r="M512" s="702">
        <v>40390</v>
      </c>
      <c r="N512" s="702">
        <v>43291</v>
      </c>
      <c r="O512" s="703" t="s">
        <v>338</v>
      </c>
      <c r="P512" s="20">
        <v>91054.88</v>
      </c>
      <c r="Q512" s="20">
        <v>0</v>
      </c>
      <c r="R512" s="20">
        <v>0</v>
      </c>
      <c r="S512" s="20">
        <v>0</v>
      </c>
      <c r="T512" s="20">
        <v>91054.88</v>
      </c>
      <c r="U512" s="20">
        <v>80684.75</v>
      </c>
      <c r="V512" s="20">
        <v>-10370.129999999999</v>
      </c>
      <c r="W512" s="20">
        <v>-13405.29</v>
      </c>
      <c r="X512" s="20">
        <v>-3035.16</v>
      </c>
      <c r="Y512" s="20">
        <v>0</v>
      </c>
      <c r="Z512" s="20">
        <v>0</v>
      </c>
      <c r="AA512" s="20">
        <v>0</v>
      </c>
      <c r="AB512" s="20">
        <v>77649.59</v>
      </c>
      <c r="AC512" t="s">
        <v>589</v>
      </c>
      <c r="AD512" t="s">
        <v>290</v>
      </c>
      <c r="AE512" s="702">
        <f t="shared" si="35"/>
        <v>43252</v>
      </c>
      <c r="AF512" s="289">
        <v>151246.82831005423</v>
      </c>
      <c r="AG512">
        <f t="shared" si="36"/>
        <v>360</v>
      </c>
      <c r="AH512" s="289">
        <f t="shared" si="37"/>
        <v>420.13007863903954</v>
      </c>
      <c r="AJ512" s="289">
        <f t="shared" si="38"/>
        <v>54</v>
      </c>
      <c r="AK512" s="289">
        <f t="shared" si="39"/>
        <v>22687.024246508136</v>
      </c>
    </row>
    <row r="513" spans="1:37">
      <c r="A513" s="703" t="s">
        <v>1336</v>
      </c>
      <c r="B513" s="703" t="s">
        <v>331</v>
      </c>
      <c r="C513" s="703" t="s">
        <v>586</v>
      </c>
      <c r="D513" s="703" t="s">
        <v>486</v>
      </c>
      <c r="E513" s="703" t="s">
        <v>587</v>
      </c>
      <c r="F513" s="703" t="s">
        <v>335</v>
      </c>
      <c r="G513" s="703" t="s">
        <v>593</v>
      </c>
      <c r="H513" s="703" t="s">
        <v>334</v>
      </c>
      <c r="I513" s="703" t="s">
        <v>334</v>
      </c>
      <c r="J513" s="703" t="s">
        <v>337</v>
      </c>
      <c r="K513" s="704">
        <v>0</v>
      </c>
      <c r="L513" s="703" t="s">
        <v>334</v>
      </c>
      <c r="M513" s="702">
        <v>40390</v>
      </c>
      <c r="N513" s="702">
        <v>43291</v>
      </c>
      <c r="O513" s="703" t="s">
        <v>338</v>
      </c>
      <c r="P513" s="20">
        <v>256470.85</v>
      </c>
      <c r="Q513" s="20">
        <v>0</v>
      </c>
      <c r="R513" s="20">
        <v>0</v>
      </c>
      <c r="S513" s="20">
        <v>0</v>
      </c>
      <c r="T513" s="20">
        <v>256470.85</v>
      </c>
      <c r="U513" s="20">
        <v>227261.66</v>
      </c>
      <c r="V513" s="20">
        <v>-29209.19</v>
      </c>
      <c r="W513" s="20">
        <v>-37758.22</v>
      </c>
      <c r="X513" s="20">
        <v>-8549.0300000000007</v>
      </c>
      <c r="Y513" s="20">
        <v>0</v>
      </c>
      <c r="Z513" s="20">
        <v>0</v>
      </c>
      <c r="AA513" s="20">
        <v>0</v>
      </c>
      <c r="AB513" s="20">
        <v>218712.63</v>
      </c>
      <c r="AC513" t="s">
        <v>589</v>
      </c>
      <c r="AD513" t="s">
        <v>290</v>
      </c>
      <c r="AE513" s="702">
        <f t="shared" si="35"/>
        <v>43252</v>
      </c>
      <c r="AF513" s="289">
        <v>426011.24307103222</v>
      </c>
      <c r="AG513">
        <f t="shared" si="36"/>
        <v>360</v>
      </c>
      <c r="AH513" s="289">
        <f t="shared" si="37"/>
        <v>1183.3645640862005</v>
      </c>
      <c r="AJ513" s="289">
        <f t="shared" si="38"/>
        <v>54</v>
      </c>
      <c r="AK513" s="289">
        <f t="shared" si="39"/>
        <v>63901.686460654826</v>
      </c>
    </row>
    <row r="514" spans="1:37">
      <c r="A514" s="703" t="s">
        <v>1337</v>
      </c>
      <c r="B514" s="703" t="s">
        <v>331</v>
      </c>
      <c r="C514" s="703" t="s">
        <v>586</v>
      </c>
      <c r="D514" s="703" t="s">
        <v>486</v>
      </c>
      <c r="E514" s="703" t="s">
        <v>587</v>
      </c>
      <c r="F514" s="703" t="s">
        <v>335</v>
      </c>
      <c r="G514" s="703" t="s">
        <v>1338</v>
      </c>
      <c r="H514" s="703" t="s">
        <v>334</v>
      </c>
      <c r="I514" s="703" t="s">
        <v>334</v>
      </c>
      <c r="J514" s="703" t="s">
        <v>337</v>
      </c>
      <c r="K514" s="704">
        <v>0</v>
      </c>
      <c r="L514" s="703" t="s">
        <v>334</v>
      </c>
      <c r="M514" s="702">
        <v>40390</v>
      </c>
      <c r="N514" s="702">
        <v>43291</v>
      </c>
      <c r="O514" s="703" t="s">
        <v>338</v>
      </c>
      <c r="P514" s="20">
        <v>21067.7</v>
      </c>
      <c r="Q514" s="20">
        <v>0</v>
      </c>
      <c r="R514" s="20">
        <v>0</v>
      </c>
      <c r="S514" s="20">
        <v>0</v>
      </c>
      <c r="T514" s="20">
        <v>21067.7</v>
      </c>
      <c r="U514" s="20">
        <v>18668.310000000001</v>
      </c>
      <c r="V514" s="20">
        <v>-2399.39</v>
      </c>
      <c r="W514" s="20">
        <v>-3101.65</v>
      </c>
      <c r="X514" s="20">
        <v>-702.26</v>
      </c>
      <c r="Y514" s="20">
        <v>0</v>
      </c>
      <c r="Z514" s="20">
        <v>0</v>
      </c>
      <c r="AA514" s="20">
        <v>0</v>
      </c>
      <c r="AB514" s="20">
        <v>17966.05</v>
      </c>
      <c r="AC514" t="s">
        <v>589</v>
      </c>
      <c r="AD514" t="s">
        <v>290</v>
      </c>
      <c r="AE514" s="702">
        <f t="shared" si="35"/>
        <v>43252</v>
      </c>
      <c r="AF514" s="289">
        <v>34994.530823474037</v>
      </c>
      <c r="AG514">
        <f t="shared" si="36"/>
        <v>360</v>
      </c>
      <c r="AH514" s="289">
        <f t="shared" si="37"/>
        <v>97.207030065205657</v>
      </c>
      <c r="AJ514" s="289">
        <f t="shared" si="38"/>
        <v>54</v>
      </c>
      <c r="AK514" s="289">
        <f t="shared" si="39"/>
        <v>5249.1796235211059</v>
      </c>
    </row>
    <row r="515" spans="1:37">
      <c r="A515" s="703" t="s">
        <v>1339</v>
      </c>
      <c r="B515" s="703" t="s">
        <v>331</v>
      </c>
      <c r="C515" s="703" t="s">
        <v>586</v>
      </c>
      <c r="D515" s="703" t="s">
        <v>486</v>
      </c>
      <c r="E515" s="703" t="s">
        <v>587</v>
      </c>
      <c r="F515" s="703" t="s">
        <v>335</v>
      </c>
      <c r="G515" s="703" t="s">
        <v>1238</v>
      </c>
      <c r="H515" s="703" t="s">
        <v>334</v>
      </c>
      <c r="I515" s="703" t="s">
        <v>334</v>
      </c>
      <c r="J515" s="703" t="s">
        <v>337</v>
      </c>
      <c r="K515" s="704">
        <v>0</v>
      </c>
      <c r="L515" s="703" t="s">
        <v>334</v>
      </c>
      <c r="M515" s="702">
        <v>40390</v>
      </c>
      <c r="N515" s="702">
        <v>43291</v>
      </c>
      <c r="O515" s="703" t="s">
        <v>338</v>
      </c>
      <c r="P515" s="20">
        <v>16436.439999999999</v>
      </c>
      <c r="Q515" s="20">
        <v>0</v>
      </c>
      <c r="R515" s="20">
        <v>0</v>
      </c>
      <c r="S515" s="20">
        <v>0</v>
      </c>
      <c r="T515" s="20">
        <v>16436.439999999999</v>
      </c>
      <c r="U515" s="20">
        <v>14564.52</v>
      </c>
      <c r="V515" s="20">
        <v>-1871.92</v>
      </c>
      <c r="W515" s="20">
        <v>-2419.8000000000002</v>
      </c>
      <c r="X515" s="20">
        <v>-547.88</v>
      </c>
      <c r="Y515" s="20">
        <v>0</v>
      </c>
      <c r="Z515" s="20">
        <v>0</v>
      </c>
      <c r="AA515" s="20">
        <v>0</v>
      </c>
      <c r="AB515" s="20">
        <v>14016.64</v>
      </c>
      <c r="AC515" t="s">
        <v>589</v>
      </c>
      <c r="AD515" t="s">
        <v>290</v>
      </c>
      <c r="AE515" s="702">
        <f t="shared" si="35"/>
        <v>43252</v>
      </c>
      <c r="AF515" s="289">
        <v>27301.770302794401</v>
      </c>
      <c r="AG515">
        <f t="shared" si="36"/>
        <v>360</v>
      </c>
      <c r="AH515" s="289">
        <f t="shared" si="37"/>
        <v>75.838250841095558</v>
      </c>
      <c r="AJ515" s="289">
        <f t="shared" si="38"/>
        <v>54</v>
      </c>
      <c r="AK515" s="289">
        <f t="shared" si="39"/>
        <v>4095.2655454191599</v>
      </c>
    </row>
    <row r="516" spans="1:37">
      <c r="A516" s="703" t="s">
        <v>1340</v>
      </c>
      <c r="B516" s="703" t="s">
        <v>331</v>
      </c>
      <c r="C516" s="703" t="s">
        <v>332</v>
      </c>
      <c r="D516" s="703" t="s">
        <v>333</v>
      </c>
      <c r="E516" s="703" t="s">
        <v>334</v>
      </c>
      <c r="F516" s="703" t="s">
        <v>335</v>
      </c>
      <c r="G516" s="703" t="s">
        <v>664</v>
      </c>
      <c r="H516" s="703" t="s">
        <v>334</v>
      </c>
      <c r="I516" s="703" t="s">
        <v>334</v>
      </c>
      <c r="J516" s="703" t="s">
        <v>337</v>
      </c>
      <c r="K516" s="704">
        <v>0</v>
      </c>
      <c r="L516" s="703" t="s">
        <v>334</v>
      </c>
      <c r="M516" s="702">
        <v>39478</v>
      </c>
      <c r="N516" s="702">
        <v>43293</v>
      </c>
      <c r="O516" s="703" t="s">
        <v>338</v>
      </c>
      <c r="P516" s="20">
        <v>91801.76</v>
      </c>
      <c r="Q516" s="20">
        <v>0</v>
      </c>
      <c r="R516" s="20">
        <v>0</v>
      </c>
      <c r="S516" s="20">
        <v>0</v>
      </c>
      <c r="T516" s="20">
        <v>91801.76</v>
      </c>
      <c r="U516" s="20">
        <v>81527.509999999995</v>
      </c>
      <c r="V516" s="20">
        <v>-10274.25</v>
      </c>
      <c r="W516" s="20">
        <v>-13334.31</v>
      </c>
      <c r="X516" s="20">
        <v>-3060.06</v>
      </c>
      <c r="Y516" s="20">
        <v>0</v>
      </c>
      <c r="Z516" s="20">
        <v>0</v>
      </c>
      <c r="AA516" s="20">
        <v>0</v>
      </c>
      <c r="AB516" s="20">
        <v>78467.45</v>
      </c>
      <c r="AC516" t="s">
        <v>183</v>
      </c>
      <c r="AD516" t="s">
        <v>290</v>
      </c>
      <c r="AE516" s="702">
        <f t="shared" si="35"/>
        <v>43252</v>
      </c>
      <c r="AF516" s="289">
        <v>152487.43431742265</v>
      </c>
      <c r="AG516">
        <f t="shared" si="36"/>
        <v>360</v>
      </c>
      <c r="AH516" s="289">
        <f t="shared" si="37"/>
        <v>423.57620643728512</v>
      </c>
      <c r="AJ516" s="289">
        <f t="shared" si="38"/>
        <v>54</v>
      </c>
      <c r="AK516" s="289">
        <f t="shared" si="39"/>
        <v>22873.115147613396</v>
      </c>
    </row>
    <row r="517" spans="1:37">
      <c r="A517" s="703" t="s">
        <v>1341</v>
      </c>
      <c r="B517" s="703" t="s">
        <v>331</v>
      </c>
      <c r="C517" s="703" t="s">
        <v>332</v>
      </c>
      <c r="D517" s="703" t="s">
        <v>333</v>
      </c>
      <c r="E517" s="703" t="s">
        <v>334</v>
      </c>
      <c r="F517" s="703" t="s">
        <v>335</v>
      </c>
      <c r="G517" s="703" t="s">
        <v>1342</v>
      </c>
      <c r="H517" s="703" t="s">
        <v>334</v>
      </c>
      <c r="I517" s="703" t="s">
        <v>334</v>
      </c>
      <c r="J517" s="703" t="s">
        <v>337</v>
      </c>
      <c r="K517" s="704">
        <v>0</v>
      </c>
      <c r="L517" s="703" t="s">
        <v>334</v>
      </c>
      <c r="M517" s="702">
        <v>39478</v>
      </c>
      <c r="N517" s="702">
        <v>43293</v>
      </c>
      <c r="O517" s="703" t="s">
        <v>338</v>
      </c>
      <c r="P517" s="20">
        <v>16118.57</v>
      </c>
      <c r="Q517" s="20">
        <v>0</v>
      </c>
      <c r="R517" s="20">
        <v>0</v>
      </c>
      <c r="S517" s="20">
        <v>0</v>
      </c>
      <c r="T517" s="20">
        <v>16118.57</v>
      </c>
      <c r="U517" s="20">
        <v>14282.83</v>
      </c>
      <c r="V517" s="20">
        <v>-1835.74</v>
      </c>
      <c r="W517" s="20">
        <v>-2373.0300000000002</v>
      </c>
      <c r="X517" s="20">
        <v>-537.29</v>
      </c>
      <c r="Y517" s="20">
        <v>0</v>
      </c>
      <c r="Z517" s="20">
        <v>0</v>
      </c>
      <c r="AA517" s="20">
        <v>0</v>
      </c>
      <c r="AB517" s="20">
        <v>13745.54</v>
      </c>
      <c r="AC517" t="s">
        <v>183</v>
      </c>
      <c r="AD517" t="s">
        <v>290</v>
      </c>
      <c r="AE517" s="702">
        <f t="shared" si="35"/>
        <v>43252</v>
      </c>
      <c r="AF517" s="289">
        <v>26773.771920775587</v>
      </c>
      <c r="AG517">
        <f t="shared" si="36"/>
        <v>360</v>
      </c>
      <c r="AH517" s="289">
        <f t="shared" si="37"/>
        <v>74.371588668821076</v>
      </c>
      <c r="AJ517" s="289">
        <f t="shared" si="38"/>
        <v>54</v>
      </c>
      <c r="AK517" s="289">
        <f t="shared" si="39"/>
        <v>4016.0657881163379</v>
      </c>
    </row>
    <row r="518" spans="1:37">
      <c r="A518" s="703" t="s">
        <v>1343</v>
      </c>
      <c r="B518" s="703" t="s">
        <v>331</v>
      </c>
      <c r="C518" s="703" t="s">
        <v>332</v>
      </c>
      <c r="D518" s="703" t="s">
        <v>333</v>
      </c>
      <c r="E518" s="703" t="s">
        <v>334</v>
      </c>
      <c r="F518" s="703" t="s">
        <v>335</v>
      </c>
      <c r="G518" s="703" t="s">
        <v>670</v>
      </c>
      <c r="H518" s="703" t="s">
        <v>334</v>
      </c>
      <c r="I518" s="703" t="s">
        <v>334</v>
      </c>
      <c r="J518" s="703" t="s">
        <v>337</v>
      </c>
      <c r="K518" s="704">
        <v>0</v>
      </c>
      <c r="L518" s="703" t="s">
        <v>334</v>
      </c>
      <c r="M518" s="702">
        <v>39478</v>
      </c>
      <c r="N518" s="702">
        <v>43293</v>
      </c>
      <c r="O518" s="703" t="s">
        <v>338</v>
      </c>
      <c r="P518" s="20">
        <v>187454.65</v>
      </c>
      <c r="Q518" s="20">
        <v>0</v>
      </c>
      <c r="R518" s="20">
        <v>0</v>
      </c>
      <c r="S518" s="20">
        <v>0</v>
      </c>
      <c r="T518" s="20">
        <v>187454.65</v>
      </c>
      <c r="U518" s="20">
        <v>166637.12</v>
      </c>
      <c r="V518" s="20">
        <v>-20817.53</v>
      </c>
      <c r="W518" s="20">
        <v>-27066.02</v>
      </c>
      <c r="X518" s="20">
        <v>-6248.49</v>
      </c>
      <c r="Y518" s="20">
        <v>0</v>
      </c>
      <c r="Z518" s="20">
        <v>0</v>
      </c>
      <c r="AA518" s="20">
        <v>0</v>
      </c>
      <c r="AB518" s="20">
        <v>160388.63</v>
      </c>
      <c r="AC518" t="s">
        <v>183</v>
      </c>
      <c r="AD518" t="s">
        <v>290</v>
      </c>
      <c r="AE518" s="702">
        <f t="shared" si="35"/>
        <v>43252</v>
      </c>
      <c r="AF518" s="289">
        <v>311371.79319187842</v>
      </c>
      <c r="AG518">
        <f t="shared" si="36"/>
        <v>360</v>
      </c>
      <c r="AH518" s="289">
        <f t="shared" si="37"/>
        <v>864.9216477552178</v>
      </c>
      <c r="AJ518" s="289">
        <f t="shared" si="38"/>
        <v>54</v>
      </c>
      <c r="AK518" s="289">
        <f t="shared" si="39"/>
        <v>46705.768978781758</v>
      </c>
    </row>
    <row r="519" spans="1:37">
      <c r="A519" s="703" t="s">
        <v>1344</v>
      </c>
      <c r="B519" s="703" t="s">
        <v>331</v>
      </c>
      <c r="C519" s="703" t="s">
        <v>332</v>
      </c>
      <c r="D519" s="703" t="s">
        <v>333</v>
      </c>
      <c r="E519" s="703" t="s">
        <v>334</v>
      </c>
      <c r="F519" s="703" t="s">
        <v>335</v>
      </c>
      <c r="G519" s="703" t="s">
        <v>1345</v>
      </c>
      <c r="H519" s="703" t="s">
        <v>334</v>
      </c>
      <c r="I519" s="703" t="s">
        <v>334</v>
      </c>
      <c r="J519" s="703" t="s">
        <v>337</v>
      </c>
      <c r="K519" s="704">
        <v>0</v>
      </c>
      <c r="L519" s="703" t="s">
        <v>334</v>
      </c>
      <c r="M519" s="702">
        <v>39478</v>
      </c>
      <c r="N519" s="702">
        <v>43293</v>
      </c>
      <c r="O519" s="703" t="s">
        <v>338</v>
      </c>
      <c r="P519" s="20">
        <v>8037.66</v>
      </c>
      <c r="Q519" s="20">
        <v>0</v>
      </c>
      <c r="R519" s="20">
        <v>0</v>
      </c>
      <c r="S519" s="20">
        <v>0</v>
      </c>
      <c r="T519" s="20">
        <v>8037.66</v>
      </c>
      <c r="U519" s="20">
        <v>7122.27</v>
      </c>
      <c r="V519" s="20">
        <v>-915.39</v>
      </c>
      <c r="W519" s="20">
        <v>-1183.31</v>
      </c>
      <c r="X519" s="20">
        <v>-267.92</v>
      </c>
      <c r="Y519" s="20">
        <v>0</v>
      </c>
      <c r="Z519" s="20">
        <v>0</v>
      </c>
      <c r="AA519" s="20">
        <v>0</v>
      </c>
      <c r="AB519" s="20">
        <v>6854.35</v>
      </c>
      <c r="AC519" t="s">
        <v>183</v>
      </c>
      <c r="AD519" t="s">
        <v>290</v>
      </c>
      <c r="AE519" s="702">
        <f t="shared" ref="AE519:AE582" si="40">IF(N519&gt;=$AG$5,DATE(YEAR(N519),6,1),DATE(YEAR(N519),6,1))</f>
        <v>43252</v>
      </c>
      <c r="AF519" s="289">
        <v>13350.965725665561</v>
      </c>
      <c r="AG519">
        <f t="shared" ref="AG519:AG582" si="41">+IF(AD519="intangível",20*12,IF(AD519="Diferido",120,IF(AD519="Não vinculados",0,IF(AE519&lt;=$AG$5,F519*12,360))))</f>
        <v>360</v>
      </c>
      <c r="AH519" s="289">
        <f t="shared" ref="AH519:AH582" si="42">IF(AG519=0,0,AF519/AG519)</f>
        <v>37.086015904626557</v>
      </c>
      <c r="AJ519" s="289">
        <f t="shared" ref="AJ519:AJ582" si="43">+IF(AND(YEAR(AE519)&gt;=2018,YEAR(AE519)&lt;=2022),IF(DATEDIF(AE519,$AK$4,"m")&gt;=AG519,AG519,DATEDIF(AE519,$AK$4,"m")),0)</f>
        <v>54</v>
      </c>
      <c r="AK519" s="289">
        <f t="shared" ref="AK519:AK582" si="44">IF(AD519="Imobilizado",AJ519*AH519,0)</f>
        <v>2002.644858849834</v>
      </c>
    </row>
    <row r="520" spans="1:37">
      <c r="A520" s="703" t="s">
        <v>1346</v>
      </c>
      <c r="B520" s="703" t="s">
        <v>331</v>
      </c>
      <c r="C520" s="703" t="s">
        <v>332</v>
      </c>
      <c r="D520" s="703" t="s">
        <v>333</v>
      </c>
      <c r="E520" s="703" t="s">
        <v>334</v>
      </c>
      <c r="F520" s="703" t="s">
        <v>335</v>
      </c>
      <c r="G520" s="703" t="s">
        <v>676</v>
      </c>
      <c r="H520" s="703" t="s">
        <v>334</v>
      </c>
      <c r="I520" s="703" t="s">
        <v>334</v>
      </c>
      <c r="J520" s="703" t="s">
        <v>337</v>
      </c>
      <c r="K520" s="704">
        <v>0</v>
      </c>
      <c r="L520" s="703" t="s">
        <v>334</v>
      </c>
      <c r="M520" s="702">
        <v>42886</v>
      </c>
      <c r="N520" s="702">
        <v>43293</v>
      </c>
      <c r="O520" s="703" t="s">
        <v>338</v>
      </c>
      <c r="P520" s="20">
        <v>643331.56000000006</v>
      </c>
      <c r="Q520" s="20">
        <v>0</v>
      </c>
      <c r="R520" s="20">
        <v>0</v>
      </c>
      <c r="S520" s="20">
        <v>0</v>
      </c>
      <c r="T520" s="20">
        <v>643331.56000000006</v>
      </c>
      <c r="U520" s="20">
        <v>571896.69999999995</v>
      </c>
      <c r="V520" s="20">
        <v>-71434.86</v>
      </c>
      <c r="W520" s="20">
        <v>-92879.25</v>
      </c>
      <c r="X520" s="20">
        <v>-21444.39</v>
      </c>
      <c r="Y520" s="20">
        <v>0</v>
      </c>
      <c r="Z520" s="20">
        <v>0</v>
      </c>
      <c r="AA520" s="20">
        <v>0</v>
      </c>
      <c r="AB520" s="20">
        <v>550452.31000000006</v>
      </c>
      <c r="AC520" t="s">
        <v>183</v>
      </c>
      <c r="AD520" t="s">
        <v>290</v>
      </c>
      <c r="AE520" s="702">
        <f t="shared" si="40"/>
        <v>43252</v>
      </c>
      <c r="AF520" s="289">
        <v>1068606.7347709355</v>
      </c>
      <c r="AG520">
        <f t="shared" si="41"/>
        <v>360</v>
      </c>
      <c r="AH520" s="289">
        <f t="shared" si="42"/>
        <v>2968.3520410303763</v>
      </c>
      <c r="AJ520" s="289">
        <f t="shared" si="43"/>
        <v>54</v>
      </c>
      <c r="AK520" s="289">
        <f t="shared" si="44"/>
        <v>160291.01021564033</v>
      </c>
    </row>
    <row r="521" spans="1:37">
      <c r="A521" s="703" t="s">
        <v>1347</v>
      </c>
      <c r="B521" s="703" t="s">
        <v>331</v>
      </c>
      <c r="C521" s="703" t="s">
        <v>332</v>
      </c>
      <c r="D521" s="703" t="s">
        <v>333</v>
      </c>
      <c r="E521" s="703" t="s">
        <v>334</v>
      </c>
      <c r="F521" s="703" t="s">
        <v>335</v>
      </c>
      <c r="G521" s="703" t="s">
        <v>678</v>
      </c>
      <c r="H521" s="703" t="s">
        <v>334</v>
      </c>
      <c r="I521" s="703" t="s">
        <v>334</v>
      </c>
      <c r="J521" s="703" t="s">
        <v>337</v>
      </c>
      <c r="K521" s="704">
        <v>0</v>
      </c>
      <c r="L521" s="703" t="s">
        <v>334</v>
      </c>
      <c r="M521" s="702">
        <v>42886</v>
      </c>
      <c r="N521" s="702">
        <v>43293</v>
      </c>
      <c r="O521" s="703" t="s">
        <v>338</v>
      </c>
      <c r="P521" s="20">
        <v>135365.03</v>
      </c>
      <c r="Q521" s="20">
        <v>0</v>
      </c>
      <c r="R521" s="20">
        <v>0</v>
      </c>
      <c r="S521" s="20">
        <v>0</v>
      </c>
      <c r="T521" s="20">
        <v>135365.03</v>
      </c>
      <c r="U521" s="20">
        <v>120161.7</v>
      </c>
      <c r="V521" s="20">
        <v>-15203.33</v>
      </c>
      <c r="W521" s="20">
        <v>-19715.5</v>
      </c>
      <c r="X521" s="20">
        <v>-4512.17</v>
      </c>
      <c r="Y521" s="20">
        <v>0</v>
      </c>
      <c r="Z521" s="20">
        <v>0</v>
      </c>
      <c r="AA521" s="20">
        <v>0</v>
      </c>
      <c r="AB521" s="20">
        <v>115649.53</v>
      </c>
      <c r="AC521" t="s">
        <v>183</v>
      </c>
      <c r="AD521" t="s">
        <v>290</v>
      </c>
      <c r="AE521" s="702">
        <f t="shared" si="40"/>
        <v>43252</v>
      </c>
      <c r="AF521" s="289">
        <v>224848.26130785453</v>
      </c>
      <c r="AG521">
        <f t="shared" si="41"/>
        <v>360</v>
      </c>
      <c r="AH521" s="289">
        <f t="shared" si="42"/>
        <v>624.57850363292926</v>
      </c>
      <c r="AJ521" s="289">
        <f t="shared" si="43"/>
        <v>54</v>
      </c>
      <c r="AK521" s="289">
        <f t="shared" si="44"/>
        <v>33727.239196178183</v>
      </c>
    </row>
    <row r="522" spans="1:37">
      <c r="A522" s="703" t="s">
        <v>1348</v>
      </c>
      <c r="B522" s="703" t="s">
        <v>331</v>
      </c>
      <c r="C522" s="703" t="s">
        <v>332</v>
      </c>
      <c r="D522" s="703" t="s">
        <v>333</v>
      </c>
      <c r="E522" s="703" t="s">
        <v>334</v>
      </c>
      <c r="F522" s="703" t="s">
        <v>335</v>
      </c>
      <c r="G522" s="703" t="s">
        <v>680</v>
      </c>
      <c r="H522" s="703" t="s">
        <v>334</v>
      </c>
      <c r="I522" s="703" t="s">
        <v>334</v>
      </c>
      <c r="J522" s="703" t="s">
        <v>337</v>
      </c>
      <c r="K522" s="704">
        <v>0</v>
      </c>
      <c r="L522" s="703" t="s">
        <v>334</v>
      </c>
      <c r="M522" s="702">
        <v>39478</v>
      </c>
      <c r="N522" s="702">
        <v>43293</v>
      </c>
      <c r="O522" s="703" t="s">
        <v>338</v>
      </c>
      <c r="P522" s="20">
        <v>34772.5</v>
      </c>
      <c r="Q522" s="20">
        <v>0</v>
      </c>
      <c r="R522" s="20">
        <v>0</v>
      </c>
      <c r="S522" s="20">
        <v>0</v>
      </c>
      <c r="T522" s="20">
        <v>34772.5</v>
      </c>
      <c r="U522" s="20">
        <v>30812.31</v>
      </c>
      <c r="V522" s="20">
        <v>-3960.19</v>
      </c>
      <c r="W522" s="20">
        <v>-5119.2700000000004</v>
      </c>
      <c r="X522" s="20">
        <v>-1159.08</v>
      </c>
      <c r="Y522" s="20">
        <v>0</v>
      </c>
      <c r="Z522" s="20">
        <v>0</v>
      </c>
      <c r="AA522" s="20">
        <v>0</v>
      </c>
      <c r="AB522" s="20">
        <v>29653.23</v>
      </c>
      <c r="AC522" t="s">
        <v>183</v>
      </c>
      <c r="AD522" t="s">
        <v>290</v>
      </c>
      <c r="AE522" s="702">
        <f t="shared" si="40"/>
        <v>43252</v>
      </c>
      <c r="AF522" s="289">
        <v>57758.906907695236</v>
      </c>
      <c r="AG522">
        <f t="shared" si="41"/>
        <v>360</v>
      </c>
      <c r="AH522" s="289">
        <f t="shared" si="42"/>
        <v>160.44140807693122</v>
      </c>
      <c r="AJ522" s="289">
        <f t="shared" si="43"/>
        <v>54</v>
      </c>
      <c r="AK522" s="289">
        <f t="shared" si="44"/>
        <v>8663.8360361542855</v>
      </c>
    </row>
    <row r="523" spans="1:37">
      <c r="A523" s="703" t="s">
        <v>1349</v>
      </c>
      <c r="B523" s="703" t="s">
        <v>331</v>
      </c>
      <c r="C523" s="703" t="s">
        <v>332</v>
      </c>
      <c r="D523" s="703" t="s">
        <v>333</v>
      </c>
      <c r="E523" s="703" t="s">
        <v>334</v>
      </c>
      <c r="F523" s="703" t="s">
        <v>335</v>
      </c>
      <c r="G523" s="703" t="s">
        <v>682</v>
      </c>
      <c r="H523" s="703" t="s">
        <v>334</v>
      </c>
      <c r="I523" s="703" t="s">
        <v>334</v>
      </c>
      <c r="J523" s="703" t="s">
        <v>337</v>
      </c>
      <c r="K523" s="704">
        <v>0</v>
      </c>
      <c r="L523" s="703" t="s">
        <v>334</v>
      </c>
      <c r="M523" s="702">
        <v>42886</v>
      </c>
      <c r="N523" s="702">
        <v>43293</v>
      </c>
      <c r="O523" s="703" t="s">
        <v>338</v>
      </c>
      <c r="P523" s="20">
        <v>15488.22</v>
      </c>
      <c r="Q523" s="20">
        <v>0</v>
      </c>
      <c r="R523" s="20">
        <v>0</v>
      </c>
      <c r="S523" s="20">
        <v>0</v>
      </c>
      <c r="T523" s="20">
        <v>15488.22</v>
      </c>
      <c r="U523" s="20">
        <v>13724.3</v>
      </c>
      <c r="V523" s="20">
        <v>-1763.92</v>
      </c>
      <c r="W523" s="20">
        <v>-2280.19</v>
      </c>
      <c r="X523" s="20">
        <v>-516.27</v>
      </c>
      <c r="Y523" s="20">
        <v>0</v>
      </c>
      <c r="Z523" s="20">
        <v>0</v>
      </c>
      <c r="AA523" s="20">
        <v>0</v>
      </c>
      <c r="AB523" s="20">
        <v>13208.03</v>
      </c>
      <c r="AC523" t="s">
        <v>183</v>
      </c>
      <c r="AD523" t="s">
        <v>290</v>
      </c>
      <c r="AE523" s="702">
        <f t="shared" si="40"/>
        <v>43252</v>
      </c>
      <c r="AF523" s="289">
        <v>25726.728223334627</v>
      </c>
      <c r="AG523">
        <f t="shared" si="41"/>
        <v>360</v>
      </c>
      <c r="AH523" s="289">
        <f t="shared" si="42"/>
        <v>71.463133953707299</v>
      </c>
      <c r="AJ523" s="289">
        <f t="shared" si="43"/>
        <v>54</v>
      </c>
      <c r="AK523" s="289">
        <f t="shared" si="44"/>
        <v>3859.0092335001941</v>
      </c>
    </row>
    <row r="524" spans="1:37">
      <c r="A524" s="703" t="s">
        <v>1350</v>
      </c>
      <c r="B524" s="703" t="s">
        <v>331</v>
      </c>
      <c r="C524" s="703" t="s">
        <v>332</v>
      </c>
      <c r="D524" s="703" t="s">
        <v>333</v>
      </c>
      <c r="E524" s="703" t="s">
        <v>334</v>
      </c>
      <c r="F524" s="703" t="s">
        <v>335</v>
      </c>
      <c r="G524" s="703" t="s">
        <v>684</v>
      </c>
      <c r="H524" s="703" t="s">
        <v>334</v>
      </c>
      <c r="I524" s="703" t="s">
        <v>334</v>
      </c>
      <c r="J524" s="703" t="s">
        <v>337</v>
      </c>
      <c r="K524" s="704">
        <v>0</v>
      </c>
      <c r="L524" s="703" t="s">
        <v>334</v>
      </c>
      <c r="M524" s="702">
        <v>39478</v>
      </c>
      <c r="N524" s="702">
        <v>43293</v>
      </c>
      <c r="O524" s="703" t="s">
        <v>338</v>
      </c>
      <c r="P524" s="20">
        <v>15077.22</v>
      </c>
      <c r="Q524" s="20">
        <v>0</v>
      </c>
      <c r="R524" s="20">
        <v>0</v>
      </c>
      <c r="S524" s="20">
        <v>0</v>
      </c>
      <c r="T524" s="20">
        <v>15077.22</v>
      </c>
      <c r="U524" s="20">
        <v>13360.1</v>
      </c>
      <c r="V524" s="20">
        <v>-1717.12</v>
      </c>
      <c r="W524" s="20">
        <v>-2219.69</v>
      </c>
      <c r="X524" s="20">
        <v>-502.57</v>
      </c>
      <c r="Y524" s="20">
        <v>0</v>
      </c>
      <c r="Z524" s="20">
        <v>0</v>
      </c>
      <c r="AA524" s="20">
        <v>0</v>
      </c>
      <c r="AB524" s="20">
        <v>12857.53</v>
      </c>
      <c r="AC524" t="s">
        <v>183</v>
      </c>
      <c r="AD524" t="s">
        <v>290</v>
      </c>
      <c r="AE524" s="702">
        <f t="shared" si="40"/>
        <v>43252</v>
      </c>
      <c r="AF524" s="289">
        <v>25044.036132197591</v>
      </c>
      <c r="AG524">
        <f t="shared" si="41"/>
        <v>360</v>
      </c>
      <c r="AH524" s="289">
        <f t="shared" si="42"/>
        <v>69.566767033882201</v>
      </c>
      <c r="AJ524" s="289">
        <f t="shared" si="43"/>
        <v>54</v>
      </c>
      <c r="AK524" s="289">
        <f t="shared" si="44"/>
        <v>3756.6054198296388</v>
      </c>
    </row>
    <row r="525" spans="1:37">
      <c r="A525" s="703" t="s">
        <v>1351</v>
      </c>
      <c r="B525" s="703" t="s">
        <v>331</v>
      </c>
      <c r="C525" s="703" t="s">
        <v>332</v>
      </c>
      <c r="D525" s="703" t="s">
        <v>333</v>
      </c>
      <c r="E525" s="703" t="s">
        <v>334</v>
      </c>
      <c r="F525" s="703" t="s">
        <v>335</v>
      </c>
      <c r="G525" s="703" t="s">
        <v>688</v>
      </c>
      <c r="H525" s="703" t="s">
        <v>334</v>
      </c>
      <c r="I525" s="703" t="s">
        <v>334</v>
      </c>
      <c r="J525" s="703" t="s">
        <v>337</v>
      </c>
      <c r="K525" s="704">
        <v>0</v>
      </c>
      <c r="L525" s="703" t="s">
        <v>334</v>
      </c>
      <c r="M525" s="702">
        <v>42886</v>
      </c>
      <c r="N525" s="702">
        <v>43293</v>
      </c>
      <c r="O525" s="703" t="s">
        <v>338</v>
      </c>
      <c r="P525" s="20">
        <v>44153.19</v>
      </c>
      <c r="Q525" s="20">
        <v>0</v>
      </c>
      <c r="R525" s="20">
        <v>0</v>
      </c>
      <c r="S525" s="20">
        <v>0</v>
      </c>
      <c r="T525" s="20">
        <v>44153.19</v>
      </c>
      <c r="U525" s="20">
        <v>39124.639999999999</v>
      </c>
      <c r="V525" s="20">
        <v>-5028.55</v>
      </c>
      <c r="W525" s="20">
        <v>-6500.32</v>
      </c>
      <c r="X525" s="20">
        <v>-1471.77</v>
      </c>
      <c r="Y525" s="20">
        <v>0</v>
      </c>
      <c r="Z525" s="20">
        <v>0</v>
      </c>
      <c r="AA525" s="20">
        <v>0</v>
      </c>
      <c r="AB525" s="20">
        <v>37652.870000000003</v>
      </c>
      <c r="AC525" t="s">
        <v>183</v>
      </c>
      <c r="AD525" t="s">
        <v>290</v>
      </c>
      <c r="AE525" s="702">
        <f t="shared" si="40"/>
        <v>43252</v>
      </c>
      <c r="AF525" s="289">
        <v>73340.714383141283</v>
      </c>
      <c r="AG525">
        <f t="shared" si="41"/>
        <v>360</v>
      </c>
      <c r="AH525" s="289">
        <f t="shared" si="42"/>
        <v>203.72420661983691</v>
      </c>
      <c r="AJ525" s="289">
        <f t="shared" si="43"/>
        <v>54</v>
      </c>
      <c r="AK525" s="289">
        <f t="shared" si="44"/>
        <v>11001.107157471193</v>
      </c>
    </row>
    <row r="526" spans="1:37">
      <c r="A526" s="703" t="s">
        <v>1352</v>
      </c>
      <c r="B526" s="703" t="s">
        <v>331</v>
      </c>
      <c r="C526" s="703" t="s">
        <v>332</v>
      </c>
      <c r="D526" s="703" t="s">
        <v>333</v>
      </c>
      <c r="E526" s="703" t="s">
        <v>334</v>
      </c>
      <c r="F526" s="703" t="s">
        <v>335</v>
      </c>
      <c r="G526" s="703" t="s">
        <v>1353</v>
      </c>
      <c r="H526" s="703" t="s">
        <v>334</v>
      </c>
      <c r="I526" s="703" t="s">
        <v>334</v>
      </c>
      <c r="J526" s="703" t="s">
        <v>337</v>
      </c>
      <c r="K526" s="704">
        <v>0</v>
      </c>
      <c r="L526" s="703" t="s">
        <v>334</v>
      </c>
      <c r="M526" s="702">
        <v>39478</v>
      </c>
      <c r="N526" s="702">
        <v>43293</v>
      </c>
      <c r="O526" s="703" t="s">
        <v>338</v>
      </c>
      <c r="P526" s="20">
        <v>10169.11</v>
      </c>
      <c r="Q526" s="20">
        <v>0</v>
      </c>
      <c r="R526" s="20">
        <v>0</v>
      </c>
      <c r="S526" s="20">
        <v>0</v>
      </c>
      <c r="T526" s="20">
        <v>10169.11</v>
      </c>
      <c r="U526" s="20">
        <v>9010.9599999999991</v>
      </c>
      <c r="V526" s="20">
        <v>-1158.1500000000001</v>
      </c>
      <c r="W526" s="20">
        <v>-1497.12</v>
      </c>
      <c r="X526" s="20">
        <v>-338.97</v>
      </c>
      <c r="Y526" s="20">
        <v>0</v>
      </c>
      <c r="Z526" s="20">
        <v>0</v>
      </c>
      <c r="AA526" s="20">
        <v>0</v>
      </c>
      <c r="AB526" s="20">
        <v>8671.99</v>
      </c>
      <c r="AC526" t="s">
        <v>183</v>
      </c>
      <c r="AD526" t="s">
        <v>290</v>
      </c>
      <c r="AE526" s="702">
        <f t="shared" si="40"/>
        <v>43252</v>
      </c>
      <c r="AF526" s="289">
        <v>16891.413554507519</v>
      </c>
      <c r="AG526">
        <f t="shared" si="41"/>
        <v>360</v>
      </c>
      <c r="AH526" s="289">
        <f t="shared" si="42"/>
        <v>46.920593206965329</v>
      </c>
      <c r="AJ526" s="289">
        <f t="shared" si="43"/>
        <v>54</v>
      </c>
      <c r="AK526" s="289">
        <f t="shared" si="44"/>
        <v>2533.7120331761275</v>
      </c>
    </row>
    <row r="527" spans="1:37">
      <c r="A527" s="703" t="s">
        <v>1354</v>
      </c>
      <c r="B527" s="703" t="s">
        <v>331</v>
      </c>
      <c r="C527" s="703" t="s">
        <v>332</v>
      </c>
      <c r="D527" s="703" t="s">
        <v>333</v>
      </c>
      <c r="E527" s="703" t="s">
        <v>334</v>
      </c>
      <c r="F527" s="703" t="s">
        <v>335</v>
      </c>
      <c r="G527" s="703" t="s">
        <v>1355</v>
      </c>
      <c r="H527" s="703" t="s">
        <v>334</v>
      </c>
      <c r="I527" s="703" t="s">
        <v>334</v>
      </c>
      <c r="J527" s="703" t="s">
        <v>337</v>
      </c>
      <c r="K527" s="704">
        <v>0</v>
      </c>
      <c r="L527" s="703" t="s">
        <v>334</v>
      </c>
      <c r="M527" s="702">
        <v>42886</v>
      </c>
      <c r="N527" s="702">
        <v>43293</v>
      </c>
      <c r="O527" s="703" t="s">
        <v>338</v>
      </c>
      <c r="P527" s="20">
        <v>8614.2000000000007</v>
      </c>
      <c r="Q527" s="20">
        <v>0</v>
      </c>
      <c r="R527" s="20">
        <v>0</v>
      </c>
      <c r="S527" s="20">
        <v>0</v>
      </c>
      <c r="T527" s="20">
        <v>8614.2000000000007</v>
      </c>
      <c r="U527" s="20">
        <v>7633.14</v>
      </c>
      <c r="V527" s="20">
        <v>-981.06</v>
      </c>
      <c r="W527" s="20">
        <v>-1268.2</v>
      </c>
      <c r="X527" s="20">
        <v>-287.14</v>
      </c>
      <c r="Y527" s="20">
        <v>0</v>
      </c>
      <c r="Z527" s="20">
        <v>0</v>
      </c>
      <c r="AA527" s="20">
        <v>0</v>
      </c>
      <c r="AB527" s="20">
        <v>7346</v>
      </c>
      <c r="AC527" t="s">
        <v>183</v>
      </c>
      <c r="AD527" t="s">
        <v>290</v>
      </c>
      <c r="AE527" s="702">
        <f t="shared" si="40"/>
        <v>43252</v>
      </c>
      <c r="AF527" s="289">
        <v>14308.62825175838</v>
      </c>
      <c r="AG527">
        <f t="shared" si="41"/>
        <v>360</v>
      </c>
      <c r="AH527" s="289">
        <f t="shared" si="42"/>
        <v>39.746189588217725</v>
      </c>
      <c r="AJ527" s="289">
        <f t="shared" si="43"/>
        <v>54</v>
      </c>
      <c r="AK527" s="289">
        <f t="shared" si="44"/>
        <v>2146.2942377637573</v>
      </c>
    </row>
    <row r="528" spans="1:37">
      <c r="A528" s="703" t="s">
        <v>1356</v>
      </c>
      <c r="B528" s="703" t="s">
        <v>331</v>
      </c>
      <c r="C528" s="703" t="s">
        <v>332</v>
      </c>
      <c r="D528" s="703" t="s">
        <v>333</v>
      </c>
      <c r="E528" s="703" t="s">
        <v>334</v>
      </c>
      <c r="F528" s="703" t="s">
        <v>335</v>
      </c>
      <c r="G528" s="703" t="s">
        <v>1357</v>
      </c>
      <c r="H528" s="703" t="s">
        <v>334</v>
      </c>
      <c r="I528" s="703" t="s">
        <v>334</v>
      </c>
      <c r="J528" s="703" t="s">
        <v>337</v>
      </c>
      <c r="K528" s="704">
        <v>0</v>
      </c>
      <c r="L528" s="703" t="s">
        <v>334</v>
      </c>
      <c r="M528" s="702">
        <v>42886</v>
      </c>
      <c r="N528" s="702">
        <v>43293</v>
      </c>
      <c r="O528" s="703" t="s">
        <v>338</v>
      </c>
      <c r="P528" s="20">
        <v>10161.969999999999</v>
      </c>
      <c r="Q528" s="20">
        <v>0</v>
      </c>
      <c r="R528" s="20">
        <v>0</v>
      </c>
      <c r="S528" s="20">
        <v>0</v>
      </c>
      <c r="T528" s="20">
        <v>10161.969999999999</v>
      </c>
      <c r="U528" s="20">
        <v>9004.64</v>
      </c>
      <c r="V528" s="20">
        <v>-1157.33</v>
      </c>
      <c r="W528" s="20">
        <v>-1496.06</v>
      </c>
      <c r="X528" s="20">
        <v>-338.73</v>
      </c>
      <c r="Y528" s="20">
        <v>0</v>
      </c>
      <c r="Z528" s="20">
        <v>0</v>
      </c>
      <c r="AA528" s="20">
        <v>0</v>
      </c>
      <c r="AB528" s="20">
        <v>8665.91</v>
      </c>
      <c r="AC528" t="s">
        <v>183</v>
      </c>
      <c r="AD528" t="s">
        <v>290</v>
      </c>
      <c r="AE528" s="702">
        <f t="shared" si="40"/>
        <v>43252</v>
      </c>
      <c r="AF528" s="289">
        <v>16879.553648106743</v>
      </c>
      <c r="AG528">
        <f t="shared" si="41"/>
        <v>360</v>
      </c>
      <c r="AH528" s="289">
        <f t="shared" si="42"/>
        <v>46.88764902251873</v>
      </c>
      <c r="AJ528" s="289">
        <f t="shared" si="43"/>
        <v>54</v>
      </c>
      <c r="AK528" s="289">
        <f t="shared" si="44"/>
        <v>2531.9330472160113</v>
      </c>
    </row>
    <row r="529" spans="1:37">
      <c r="A529" s="703" t="s">
        <v>1358</v>
      </c>
      <c r="B529" s="703" t="s">
        <v>331</v>
      </c>
      <c r="C529" s="703" t="s">
        <v>332</v>
      </c>
      <c r="D529" s="703" t="s">
        <v>333</v>
      </c>
      <c r="E529" s="703" t="s">
        <v>334</v>
      </c>
      <c r="F529" s="703" t="s">
        <v>335</v>
      </c>
      <c r="G529" s="703" t="s">
        <v>692</v>
      </c>
      <c r="H529" s="703" t="s">
        <v>334</v>
      </c>
      <c r="I529" s="703" t="s">
        <v>334</v>
      </c>
      <c r="J529" s="703" t="s">
        <v>337</v>
      </c>
      <c r="K529" s="704">
        <v>0</v>
      </c>
      <c r="L529" s="703" t="s">
        <v>334</v>
      </c>
      <c r="M529" s="702">
        <v>39478</v>
      </c>
      <c r="N529" s="702">
        <v>43293</v>
      </c>
      <c r="O529" s="703" t="s">
        <v>338</v>
      </c>
      <c r="P529" s="20">
        <v>168522.01</v>
      </c>
      <c r="Q529" s="20">
        <v>0</v>
      </c>
      <c r="R529" s="20">
        <v>0</v>
      </c>
      <c r="S529" s="20">
        <v>0</v>
      </c>
      <c r="T529" s="20">
        <v>168522.01</v>
      </c>
      <c r="U529" s="20">
        <v>149329.23000000001</v>
      </c>
      <c r="V529" s="20">
        <v>-19192.78</v>
      </c>
      <c r="W529" s="20">
        <v>-24810.18</v>
      </c>
      <c r="X529" s="20">
        <v>-5617.4</v>
      </c>
      <c r="Y529" s="20">
        <v>0</v>
      </c>
      <c r="Z529" s="20">
        <v>0</v>
      </c>
      <c r="AA529" s="20">
        <v>0</v>
      </c>
      <c r="AB529" s="20">
        <v>143711.82999999999</v>
      </c>
      <c r="AC529" t="s">
        <v>183</v>
      </c>
      <c r="AD529" t="s">
        <v>290</v>
      </c>
      <c r="AE529" s="702">
        <f t="shared" si="40"/>
        <v>43252</v>
      </c>
      <c r="AF529" s="289">
        <v>279923.70659249939</v>
      </c>
      <c r="AG529">
        <f t="shared" si="41"/>
        <v>360</v>
      </c>
      <c r="AH529" s="289">
        <f t="shared" si="42"/>
        <v>777.56585164583169</v>
      </c>
      <c r="AJ529" s="289">
        <f t="shared" si="43"/>
        <v>54</v>
      </c>
      <c r="AK529" s="289">
        <f t="shared" si="44"/>
        <v>41988.555988874912</v>
      </c>
    </row>
    <row r="530" spans="1:37">
      <c r="A530" s="703" t="s">
        <v>1359</v>
      </c>
      <c r="B530" s="703" t="s">
        <v>331</v>
      </c>
      <c r="C530" s="703" t="s">
        <v>332</v>
      </c>
      <c r="D530" s="703" t="s">
        <v>333</v>
      </c>
      <c r="E530" s="703" t="s">
        <v>334</v>
      </c>
      <c r="F530" s="703" t="s">
        <v>335</v>
      </c>
      <c r="G530" s="703" t="s">
        <v>694</v>
      </c>
      <c r="H530" s="703" t="s">
        <v>334</v>
      </c>
      <c r="I530" s="703" t="s">
        <v>334</v>
      </c>
      <c r="J530" s="703" t="s">
        <v>337</v>
      </c>
      <c r="K530" s="704">
        <v>0</v>
      </c>
      <c r="L530" s="703" t="s">
        <v>334</v>
      </c>
      <c r="M530" s="702">
        <v>39478</v>
      </c>
      <c r="N530" s="702">
        <v>43293</v>
      </c>
      <c r="O530" s="703" t="s">
        <v>338</v>
      </c>
      <c r="P530" s="20">
        <v>140105.26999999999</v>
      </c>
      <c r="Q530" s="20">
        <v>0</v>
      </c>
      <c r="R530" s="20">
        <v>0</v>
      </c>
      <c r="S530" s="20">
        <v>0</v>
      </c>
      <c r="T530" s="20">
        <v>140105.26999999999</v>
      </c>
      <c r="U530" s="20">
        <v>124610.33</v>
      </c>
      <c r="V530" s="20">
        <v>-15494.94</v>
      </c>
      <c r="W530" s="20">
        <v>-20165.12</v>
      </c>
      <c r="X530" s="20">
        <v>-4670.18</v>
      </c>
      <c r="Y530" s="20">
        <v>0</v>
      </c>
      <c r="Z530" s="20">
        <v>0</v>
      </c>
      <c r="AA530" s="20">
        <v>0</v>
      </c>
      <c r="AB530" s="20">
        <v>119940.15</v>
      </c>
      <c r="AC530" t="s">
        <v>183</v>
      </c>
      <c r="AD530" t="s">
        <v>290</v>
      </c>
      <c r="AE530" s="702">
        <f t="shared" si="40"/>
        <v>43252</v>
      </c>
      <c r="AF530" s="289">
        <v>232722.04320102106</v>
      </c>
      <c r="AG530">
        <f t="shared" si="41"/>
        <v>360</v>
      </c>
      <c r="AH530" s="289">
        <f t="shared" si="42"/>
        <v>646.45012000283634</v>
      </c>
      <c r="AJ530" s="289">
        <f t="shared" si="43"/>
        <v>54</v>
      </c>
      <c r="AK530" s="289">
        <f t="shared" si="44"/>
        <v>34908.306480153165</v>
      </c>
    </row>
    <row r="531" spans="1:37">
      <c r="A531" s="703" t="s">
        <v>1360</v>
      </c>
      <c r="B531" s="703" t="s">
        <v>331</v>
      </c>
      <c r="C531" s="703" t="s">
        <v>332</v>
      </c>
      <c r="D531" s="703" t="s">
        <v>333</v>
      </c>
      <c r="E531" s="703" t="s">
        <v>334</v>
      </c>
      <c r="F531" s="703" t="s">
        <v>335</v>
      </c>
      <c r="G531" s="703" t="s">
        <v>698</v>
      </c>
      <c r="H531" s="703" t="s">
        <v>334</v>
      </c>
      <c r="I531" s="703" t="s">
        <v>334</v>
      </c>
      <c r="J531" s="703" t="s">
        <v>337</v>
      </c>
      <c r="K531" s="704">
        <v>0</v>
      </c>
      <c r="L531" s="703" t="s">
        <v>334</v>
      </c>
      <c r="M531" s="702">
        <v>39478</v>
      </c>
      <c r="N531" s="702">
        <v>43293</v>
      </c>
      <c r="O531" s="703" t="s">
        <v>338</v>
      </c>
      <c r="P531" s="20">
        <v>58714.77</v>
      </c>
      <c r="Q531" s="20">
        <v>0</v>
      </c>
      <c r="R531" s="20">
        <v>0</v>
      </c>
      <c r="S531" s="20">
        <v>0</v>
      </c>
      <c r="T531" s="20">
        <v>58714.77</v>
      </c>
      <c r="U531" s="20">
        <v>52027.81</v>
      </c>
      <c r="V531" s="20">
        <v>-6686.96</v>
      </c>
      <c r="W531" s="20">
        <v>-8644.1200000000008</v>
      </c>
      <c r="X531" s="20">
        <v>-1957.16</v>
      </c>
      <c r="Y531" s="20">
        <v>0</v>
      </c>
      <c r="Z531" s="20">
        <v>0</v>
      </c>
      <c r="AA531" s="20">
        <v>0</v>
      </c>
      <c r="AB531" s="20">
        <v>50070.65</v>
      </c>
      <c r="AC531" t="s">
        <v>183</v>
      </c>
      <c r="AD531" t="s">
        <v>290</v>
      </c>
      <c r="AE531" s="702">
        <f t="shared" si="40"/>
        <v>43252</v>
      </c>
      <c r="AF531" s="289">
        <v>97528.246014429125</v>
      </c>
      <c r="AG531">
        <f t="shared" si="41"/>
        <v>360</v>
      </c>
      <c r="AH531" s="289">
        <f t="shared" si="42"/>
        <v>270.91179448452533</v>
      </c>
      <c r="AJ531" s="289">
        <f t="shared" si="43"/>
        <v>54</v>
      </c>
      <c r="AK531" s="289">
        <f t="shared" si="44"/>
        <v>14629.236902164368</v>
      </c>
    </row>
    <row r="532" spans="1:37">
      <c r="A532" s="703" t="s">
        <v>1361</v>
      </c>
      <c r="B532" s="703" t="s">
        <v>331</v>
      </c>
      <c r="C532" s="703" t="s">
        <v>332</v>
      </c>
      <c r="D532" s="703" t="s">
        <v>333</v>
      </c>
      <c r="E532" s="703" t="s">
        <v>334</v>
      </c>
      <c r="F532" s="703" t="s">
        <v>335</v>
      </c>
      <c r="G532" s="703" t="s">
        <v>1362</v>
      </c>
      <c r="H532" s="703" t="s">
        <v>334</v>
      </c>
      <c r="I532" s="703" t="s">
        <v>334</v>
      </c>
      <c r="J532" s="703" t="s">
        <v>337</v>
      </c>
      <c r="K532" s="704">
        <v>0</v>
      </c>
      <c r="L532" s="703" t="s">
        <v>334</v>
      </c>
      <c r="M532" s="702">
        <v>39478</v>
      </c>
      <c r="N532" s="702">
        <v>43293</v>
      </c>
      <c r="O532" s="703" t="s">
        <v>338</v>
      </c>
      <c r="P532" s="20">
        <v>194735.7</v>
      </c>
      <c r="Q532" s="20">
        <v>0</v>
      </c>
      <c r="R532" s="20">
        <v>0</v>
      </c>
      <c r="S532" s="20">
        <v>0</v>
      </c>
      <c r="T532" s="20">
        <v>194735.7</v>
      </c>
      <c r="U532" s="20">
        <v>172557.47</v>
      </c>
      <c r="V532" s="20">
        <v>-22178.23</v>
      </c>
      <c r="W532" s="20">
        <v>-28669.42</v>
      </c>
      <c r="X532" s="20">
        <v>-6491.19</v>
      </c>
      <c r="Y532" s="20">
        <v>0</v>
      </c>
      <c r="Z532" s="20">
        <v>0</v>
      </c>
      <c r="AA532" s="20">
        <v>0</v>
      </c>
      <c r="AB532" s="20">
        <v>166066.28</v>
      </c>
      <c r="AC532" t="s">
        <v>183</v>
      </c>
      <c r="AD532" t="s">
        <v>290</v>
      </c>
      <c r="AE532" s="702">
        <f t="shared" si="40"/>
        <v>43252</v>
      </c>
      <c r="AF532" s="289">
        <v>323465.99088086467</v>
      </c>
      <c r="AG532">
        <f t="shared" si="41"/>
        <v>360</v>
      </c>
      <c r="AH532" s="289">
        <f t="shared" si="42"/>
        <v>898.51664133573524</v>
      </c>
      <c r="AJ532" s="289">
        <f t="shared" si="43"/>
        <v>54</v>
      </c>
      <c r="AK532" s="289">
        <f t="shared" si="44"/>
        <v>48519.898632129705</v>
      </c>
    </row>
    <row r="533" spans="1:37">
      <c r="A533" s="703" t="s">
        <v>1363</v>
      </c>
      <c r="B533" s="703" t="s">
        <v>331</v>
      </c>
      <c r="C533" s="703" t="s">
        <v>332</v>
      </c>
      <c r="D533" s="703" t="s">
        <v>333</v>
      </c>
      <c r="E533" s="703" t="s">
        <v>334</v>
      </c>
      <c r="F533" s="703" t="s">
        <v>335</v>
      </c>
      <c r="G533" s="703" t="s">
        <v>708</v>
      </c>
      <c r="H533" s="703" t="s">
        <v>334</v>
      </c>
      <c r="I533" s="703" t="s">
        <v>334</v>
      </c>
      <c r="J533" s="703" t="s">
        <v>337</v>
      </c>
      <c r="K533" s="704">
        <v>0</v>
      </c>
      <c r="L533" s="703" t="s">
        <v>334</v>
      </c>
      <c r="M533" s="702">
        <v>42063</v>
      </c>
      <c r="N533" s="702">
        <v>43293</v>
      </c>
      <c r="O533" s="703" t="s">
        <v>338</v>
      </c>
      <c r="P533" s="20">
        <v>115428.7</v>
      </c>
      <c r="Q533" s="20">
        <v>0</v>
      </c>
      <c r="R533" s="20">
        <v>0</v>
      </c>
      <c r="S533" s="20">
        <v>0</v>
      </c>
      <c r="T533" s="20">
        <v>115428.7</v>
      </c>
      <c r="U533" s="20">
        <v>102390.03</v>
      </c>
      <c r="V533" s="20">
        <v>-13038.67</v>
      </c>
      <c r="W533" s="20">
        <v>-16886.29</v>
      </c>
      <c r="X533" s="20">
        <v>-3847.62</v>
      </c>
      <c r="Y533" s="20">
        <v>0</v>
      </c>
      <c r="Z533" s="20">
        <v>0</v>
      </c>
      <c r="AA533" s="20">
        <v>0</v>
      </c>
      <c r="AB533" s="20">
        <v>98542.41</v>
      </c>
      <c r="AC533" t="s">
        <v>183</v>
      </c>
      <c r="AD533" t="s">
        <v>290</v>
      </c>
      <c r="AE533" s="702">
        <f t="shared" si="40"/>
        <v>43252</v>
      </c>
      <c r="AF533" s="289">
        <v>191732.994112482</v>
      </c>
      <c r="AG533">
        <f t="shared" si="41"/>
        <v>360</v>
      </c>
      <c r="AH533" s="289">
        <f t="shared" si="42"/>
        <v>532.59165031245004</v>
      </c>
      <c r="AJ533" s="289">
        <f t="shared" si="43"/>
        <v>54</v>
      </c>
      <c r="AK533" s="289">
        <f t="shared" si="44"/>
        <v>28759.949116872303</v>
      </c>
    </row>
    <row r="534" spans="1:37">
      <c r="A534" s="703" t="s">
        <v>1364</v>
      </c>
      <c r="B534" s="703" t="s">
        <v>331</v>
      </c>
      <c r="C534" s="703" t="s">
        <v>332</v>
      </c>
      <c r="D534" s="703" t="s">
        <v>333</v>
      </c>
      <c r="E534" s="703" t="s">
        <v>334</v>
      </c>
      <c r="F534" s="703" t="s">
        <v>335</v>
      </c>
      <c r="G534" s="703" t="s">
        <v>1365</v>
      </c>
      <c r="H534" s="703" t="s">
        <v>334</v>
      </c>
      <c r="I534" s="703" t="s">
        <v>334</v>
      </c>
      <c r="J534" s="703" t="s">
        <v>337</v>
      </c>
      <c r="K534" s="704">
        <v>0</v>
      </c>
      <c r="L534" s="703" t="s">
        <v>334</v>
      </c>
      <c r="M534" s="702">
        <v>39478</v>
      </c>
      <c r="N534" s="702">
        <v>43293</v>
      </c>
      <c r="O534" s="703" t="s">
        <v>338</v>
      </c>
      <c r="P534" s="20">
        <v>1481315.94</v>
      </c>
      <c r="Q534" s="20">
        <v>0</v>
      </c>
      <c r="R534" s="20">
        <v>0</v>
      </c>
      <c r="S534" s="20">
        <v>0</v>
      </c>
      <c r="T534" s="20">
        <v>1481315.94</v>
      </c>
      <c r="U534" s="20">
        <v>1312610.51</v>
      </c>
      <c r="V534" s="20">
        <v>-168705.43</v>
      </c>
      <c r="W534" s="20">
        <v>-218082.63</v>
      </c>
      <c r="X534" s="20">
        <v>-49377.2</v>
      </c>
      <c r="Y534" s="20">
        <v>0</v>
      </c>
      <c r="Z534" s="20">
        <v>0</v>
      </c>
      <c r="AA534" s="20">
        <v>0</v>
      </c>
      <c r="AB534" s="20">
        <v>1263233.31</v>
      </c>
      <c r="AC534" t="s">
        <v>183</v>
      </c>
      <c r="AD534" t="s">
        <v>290</v>
      </c>
      <c r="AE534" s="702">
        <f t="shared" si="40"/>
        <v>43252</v>
      </c>
      <c r="AF534" s="289">
        <v>2460541.7924896125</v>
      </c>
      <c r="AG534">
        <f t="shared" si="41"/>
        <v>360</v>
      </c>
      <c r="AH534" s="289">
        <f t="shared" si="42"/>
        <v>6834.8383124711454</v>
      </c>
      <c r="AJ534" s="289">
        <f t="shared" si="43"/>
        <v>54</v>
      </c>
      <c r="AK534" s="289">
        <f t="shared" si="44"/>
        <v>369081.26887344185</v>
      </c>
    </row>
    <row r="535" spans="1:37">
      <c r="A535" s="703" t="s">
        <v>1366</v>
      </c>
      <c r="B535" s="703" t="s">
        <v>331</v>
      </c>
      <c r="C535" s="703" t="s">
        <v>332</v>
      </c>
      <c r="D535" s="703" t="s">
        <v>333</v>
      </c>
      <c r="E535" s="703" t="s">
        <v>334</v>
      </c>
      <c r="F535" s="703" t="s">
        <v>335</v>
      </c>
      <c r="G535" s="703" t="s">
        <v>1367</v>
      </c>
      <c r="H535" s="703" t="s">
        <v>334</v>
      </c>
      <c r="I535" s="703" t="s">
        <v>334</v>
      </c>
      <c r="J535" s="703" t="s">
        <v>337</v>
      </c>
      <c r="K535" s="704">
        <v>0</v>
      </c>
      <c r="L535" s="703" t="s">
        <v>334</v>
      </c>
      <c r="M535" s="702">
        <v>42063</v>
      </c>
      <c r="N535" s="702">
        <v>43293</v>
      </c>
      <c r="O535" s="703" t="s">
        <v>338</v>
      </c>
      <c r="P535" s="20">
        <v>8620.27</v>
      </c>
      <c r="Q535" s="20">
        <v>0</v>
      </c>
      <c r="R535" s="20">
        <v>0</v>
      </c>
      <c r="S535" s="20">
        <v>0</v>
      </c>
      <c r="T535" s="20">
        <v>8620.27</v>
      </c>
      <c r="U535" s="20">
        <v>7638.52</v>
      </c>
      <c r="V535" s="20">
        <v>-981.75</v>
      </c>
      <c r="W535" s="20">
        <v>-1269.0899999999999</v>
      </c>
      <c r="X535" s="20">
        <v>-287.33999999999997</v>
      </c>
      <c r="Y535" s="20">
        <v>0</v>
      </c>
      <c r="Z535" s="20">
        <v>0</v>
      </c>
      <c r="AA535" s="20">
        <v>0</v>
      </c>
      <c r="AB535" s="20">
        <v>7351.18</v>
      </c>
      <c r="AC535" t="s">
        <v>183</v>
      </c>
      <c r="AD535" t="s">
        <v>290</v>
      </c>
      <c r="AE535" s="702">
        <f t="shared" si="40"/>
        <v>43252</v>
      </c>
      <c r="AF535" s="289">
        <v>14318.710833250358</v>
      </c>
      <c r="AG535">
        <f t="shared" si="41"/>
        <v>360</v>
      </c>
      <c r="AH535" s="289">
        <f t="shared" si="42"/>
        <v>39.774196759028769</v>
      </c>
      <c r="AJ535" s="289">
        <f t="shared" si="43"/>
        <v>54</v>
      </c>
      <c r="AK535" s="289">
        <f t="shared" si="44"/>
        <v>2147.8066249875537</v>
      </c>
    </row>
    <row r="536" spans="1:37">
      <c r="A536" s="703" t="s">
        <v>1368</v>
      </c>
      <c r="B536" s="703" t="s">
        <v>331</v>
      </c>
      <c r="C536" s="703" t="s">
        <v>332</v>
      </c>
      <c r="D536" s="703" t="s">
        <v>333</v>
      </c>
      <c r="E536" s="703" t="s">
        <v>334</v>
      </c>
      <c r="F536" s="703" t="s">
        <v>335</v>
      </c>
      <c r="G536" s="703" t="s">
        <v>1369</v>
      </c>
      <c r="H536" s="703" t="s">
        <v>334</v>
      </c>
      <c r="I536" s="703" t="s">
        <v>334</v>
      </c>
      <c r="J536" s="703" t="s">
        <v>337</v>
      </c>
      <c r="K536" s="704">
        <v>0</v>
      </c>
      <c r="L536" s="703" t="s">
        <v>334</v>
      </c>
      <c r="M536" s="702">
        <v>42063</v>
      </c>
      <c r="N536" s="702">
        <v>43293</v>
      </c>
      <c r="O536" s="703" t="s">
        <v>338</v>
      </c>
      <c r="P536" s="20">
        <v>46514.68</v>
      </c>
      <c r="Q536" s="20">
        <v>0</v>
      </c>
      <c r="R536" s="20">
        <v>0</v>
      </c>
      <c r="S536" s="20">
        <v>0</v>
      </c>
      <c r="T536" s="20">
        <v>46514.68</v>
      </c>
      <c r="U536" s="20">
        <v>41217.17</v>
      </c>
      <c r="V536" s="20">
        <v>-5297.51</v>
      </c>
      <c r="W536" s="20">
        <v>-6848</v>
      </c>
      <c r="X536" s="20">
        <v>-1550.49</v>
      </c>
      <c r="Y536" s="20">
        <v>0</v>
      </c>
      <c r="Z536" s="20">
        <v>0</v>
      </c>
      <c r="AA536" s="20">
        <v>0</v>
      </c>
      <c r="AB536" s="20">
        <v>39666.68</v>
      </c>
      <c r="AC536" t="s">
        <v>183</v>
      </c>
      <c r="AD536" t="s">
        <v>290</v>
      </c>
      <c r="AE536" s="702">
        <f t="shared" si="40"/>
        <v>43252</v>
      </c>
      <c r="AF536" s="289">
        <v>77263.270456861981</v>
      </c>
      <c r="AG536">
        <f t="shared" si="41"/>
        <v>360</v>
      </c>
      <c r="AH536" s="289">
        <f t="shared" si="42"/>
        <v>214.6201957135055</v>
      </c>
      <c r="AJ536" s="289">
        <f t="shared" si="43"/>
        <v>54</v>
      </c>
      <c r="AK536" s="289">
        <f t="shared" si="44"/>
        <v>11589.490568529296</v>
      </c>
    </row>
    <row r="537" spans="1:37">
      <c r="A537" s="703" t="s">
        <v>1370</v>
      </c>
      <c r="B537" s="703" t="s">
        <v>331</v>
      </c>
      <c r="C537" s="703" t="s">
        <v>332</v>
      </c>
      <c r="D537" s="703" t="s">
        <v>333</v>
      </c>
      <c r="E537" s="703" t="s">
        <v>334</v>
      </c>
      <c r="F537" s="703" t="s">
        <v>335</v>
      </c>
      <c r="G537" s="703" t="s">
        <v>1371</v>
      </c>
      <c r="H537" s="703" t="s">
        <v>334</v>
      </c>
      <c r="I537" s="703" t="s">
        <v>334</v>
      </c>
      <c r="J537" s="703" t="s">
        <v>337</v>
      </c>
      <c r="K537" s="704">
        <v>0</v>
      </c>
      <c r="L537" s="703" t="s">
        <v>334</v>
      </c>
      <c r="M537" s="702">
        <v>43039</v>
      </c>
      <c r="N537" s="702">
        <v>43293</v>
      </c>
      <c r="O537" s="703" t="s">
        <v>338</v>
      </c>
      <c r="P537" s="20">
        <v>280492.49</v>
      </c>
      <c r="Q537" s="20">
        <v>0</v>
      </c>
      <c r="R537" s="20">
        <v>0</v>
      </c>
      <c r="S537" s="20">
        <v>0</v>
      </c>
      <c r="T537" s="20">
        <v>280492.49</v>
      </c>
      <c r="U537" s="20">
        <v>248547.51</v>
      </c>
      <c r="V537" s="20">
        <v>-31944.98</v>
      </c>
      <c r="W537" s="20">
        <v>-41294.730000000003</v>
      </c>
      <c r="X537" s="20">
        <v>-9349.75</v>
      </c>
      <c r="Y537" s="20">
        <v>0</v>
      </c>
      <c r="Z537" s="20">
        <v>0</v>
      </c>
      <c r="AA537" s="20">
        <v>0</v>
      </c>
      <c r="AB537" s="20">
        <v>239197.76</v>
      </c>
      <c r="AC537" t="s">
        <v>183</v>
      </c>
      <c r="AD537" t="s">
        <v>290</v>
      </c>
      <c r="AE537" s="702">
        <f t="shared" si="40"/>
        <v>43252</v>
      </c>
      <c r="AF537" s="289">
        <v>465912.41982076748</v>
      </c>
      <c r="AG537">
        <f t="shared" si="41"/>
        <v>360</v>
      </c>
      <c r="AH537" s="289">
        <f t="shared" si="42"/>
        <v>1294.2011661687986</v>
      </c>
      <c r="AJ537" s="289">
        <f t="shared" si="43"/>
        <v>54</v>
      </c>
      <c r="AK537" s="289">
        <f t="shared" si="44"/>
        <v>69886.86297311513</v>
      </c>
    </row>
    <row r="538" spans="1:37">
      <c r="A538" s="703" t="s">
        <v>1372</v>
      </c>
      <c r="B538" s="703" t="s">
        <v>331</v>
      </c>
      <c r="C538" s="703" t="s">
        <v>390</v>
      </c>
      <c r="D538" s="703" t="s">
        <v>391</v>
      </c>
      <c r="E538" s="703" t="s">
        <v>334</v>
      </c>
      <c r="F538" s="703" t="s">
        <v>335</v>
      </c>
      <c r="G538" s="703" t="s">
        <v>1373</v>
      </c>
      <c r="H538" s="703" t="s">
        <v>334</v>
      </c>
      <c r="I538" s="703" t="s">
        <v>334</v>
      </c>
      <c r="J538" s="703" t="s">
        <v>337</v>
      </c>
      <c r="K538" s="704">
        <v>0</v>
      </c>
      <c r="L538" s="703" t="s">
        <v>334</v>
      </c>
      <c r="M538" s="702">
        <v>42886</v>
      </c>
      <c r="N538" s="702">
        <v>43293</v>
      </c>
      <c r="O538" s="703" t="s">
        <v>338</v>
      </c>
      <c r="P538" s="20">
        <v>4671.82</v>
      </c>
      <c r="Q538" s="20">
        <v>0</v>
      </c>
      <c r="R538" s="20">
        <v>0</v>
      </c>
      <c r="S538" s="20">
        <v>0</v>
      </c>
      <c r="T538" s="20">
        <v>4671.82</v>
      </c>
      <c r="U538" s="20">
        <v>4139.74</v>
      </c>
      <c r="V538" s="20">
        <v>-532.08000000000004</v>
      </c>
      <c r="W538" s="20">
        <v>-687.81</v>
      </c>
      <c r="X538" s="20">
        <v>-155.72999999999999</v>
      </c>
      <c r="Y538" s="20">
        <v>0</v>
      </c>
      <c r="Z538" s="20">
        <v>0</v>
      </c>
      <c r="AA538" s="20">
        <v>0</v>
      </c>
      <c r="AB538" s="20">
        <v>3984.01</v>
      </c>
      <c r="AC538" t="s">
        <v>188</v>
      </c>
      <c r="AD538" t="s">
        <v>290</v>
      </c>
      <c r="AE538" s="702">
        <f t="shared" si="40"/>
        <v>43252</v>
      </c>
      <c r="AF538" s="289">
        <v>7760.1327620823558</v>
      </c>
      <c r="AG538">
        <f t="shared" si="41"/>
        <v>360</v>
      </c>
      <c r="AH538" s="289">
        <f t="shared" si="42"/>
        <v>21.555924339117656</v>
      </c>
      <c r="AJ538" s="289">
        <f t="shared" si="43"/>
        <v>54</v>
      </c>
      <c r="AK538" s="289">
        <f t="shared" si="44"/>
        <v>1164.0199143123534</v>
      </c>
    </row>
    <row r="539" spans="1:37">
      <c r="A539" s="703" t="s">
        <v>1374</v>
      </c>
      <c r="B539" s="703" t="s">
        <v>331</v>
      </c>
      <c r="C539" s="703" t="s">
        <v>390</v>
      </c>
      <c r="D539" s="703" t="s">
        <v>391</v>
      </c>
      <c r="E539" s="703" t="s">
        <v>334</v>
      </c>
      <c r="F539" s="703" t="s">
        <v>335</v>
      </c>
      <c r="G539" s="703" t="s">
        <v>1375</v>
      </c>
      <c r="H539" s="703" t="s">
        <v>334</v>
      </c>
      <c r="I539" s="703" t="s">
        <v>334</v>
      </c>
      <c r="J539" s="703" t="s">
        <v>337</v>
      </c>
      <c r="K539" s="704">
        <v>0</v>
      </c>
      <c r="L539" s="703" t="s">
        <v>334</v>
      </c>
      <c r="M539" s="702">
        <v>42886</v>
      </c>
      <c r="N539" s="702">
        <v>43293</v>
      </c>
      <c r="O539" s="703" t="s">
        <v>338</v>
      </c>
      <c r="P539" s="20">
        <v>17879.78</v>
      </c>
      <c r="Q539" s="20">
        <v>0</v>
      </c>
      <c r="R539" s="20">
        <v>0</v>
      </c>
      <c r="S539" s="20">
        <v>0</v>
      </c>
      <c r="T539" s="20">
        <v>17879.78</v>
      </c>
      <c r="U539" s="20">
        <v>15886.29</v>
      </c>
      <c r="V539" s="20">
        <v>-1993.49</v>
      </c>
      <c r="W539" s="20">
        <v>-2589.48</v>
      </c>
      <c r="X539" s="20">
        <v>-595.99</v>
      </c>
      <c r="Y539" s="20">
        <v>0</v>
      </c>
      <c r="Z539" s="20">
        <v>0</v>
      </c>
      <c r="AA539" s="20">
        <v>0</v>
      </c>
      <c r="AB539" s="20">
        <v>15290.3</v>
      </c>
      <c r="AC539" t="s">
        <v>188</v>
      </c>
      <c r="AD539" t="s">
        <v>290</v>
      </c>
      <c r="AE539" s="702">
        <f t="shared" si="40"/>
        <v>43252</v>
      </c>
      <c r="AF539" s="289">
        <v>29699.232110146553</v>
      </c>
      <c r="AG539">
        <f t="shared" si="41"/>
        <v>360</v>
      </c>
      <c r="AH539" s="289">
        <f t="shared" si="42"/>
        <v>82.497866972629311</v>
      </c>
      <c r="AJ539" s="289">
        <f t="shared" si="43"/>
        <v>54</v>
      </c>
      <c r="AK539" s="289">
        <f t="shared" si="44"/>
        <v>4454.8848165219824</v>
      </c>
    </row>
    <row r="540" spans="1:37">
      <c r="A540" s="703" t="s">
        <v>1376</v>
      </c>
      <c r="B540" s="703" t="s">
        <v>331</v>
      </c>
      <c r="C540" s="703" t="s">
        <v>390</v>
      </c>
      <c r="D540" s="703" t="s">
        <v>391</v>
      </c>
      <c r="E540" s="703" t="s">
        <v>334</v>
      </c>
      <c r="F540" s="703" t="s">
        <v>335</v>
      </c>
      <c r="G540" s="703" t="s">
        <v>1377</v>
      </c>
      <c r="H540" s="703" t="s">
        <v>334</v>
      </c>
      <c r="I540" s="703" t="s">
        <v>334</v>
      </c>
      <c r="J540" s="703" t="s">
        <v>337</v>
      </c>
      <c r="K540" s="704">
        <v>0</v>
      </c>
      <c r="L540" s="703" t="s">
        <v>334</v>
      </c>
      <c r="M540" s="702">
        <v>42886</v>
      </c>
      <c r="N540" s="702">
        <v>43293</v>
      </c>
      <c r="O540" s="703" t="s">
        <v>338</v>
      </c>
      <c r="P540" s="20">
        <v>35034.980000000003</v>
      </c>
      <c r="Q540" s="20">
        <v>0</v>
      </c>
      <c r="R540" s="20">
        <v>0</v>
      </c>
      <c r="S540" s="20">
        <v>0</v>
      </c>
      <c r="T540" s="20">
        <v>35034.980000000003</v>
      </c>
      <c r="U540" s="20">
        <v>31133.759999999998</v>
      </c>
      <c r="V540" s="20">
        <v>-3901.22</v>
      </c>
      <c r="W540" s="20">
        <v>-5069.05</v>
      </c>
      <c r="X540" s="20">
        <v>-1167.83</v>
      </c>
      <c r="Y540" s="20">
        <v>0</v>
      </c>
      <c r="Z540" s="20">
        <v>0</v>
      </c>
      <c r="AA540" s="20">
        <v>0</v>
      </c>
      <c r="AB540" s="20">
        <v>29965.93</v>
      </c>
      <c r="AC540" t="s">
        <v>188</v>
      </c>
      <c r="AD540" t="s">
        <v>290</v>
      </c>
      <c r="AE540" s="702">
        <f t="shared" si="40"/>
        <v>43252</v>
      </c>
      <c r="AF540" s="289">
        <v>58194.899657285634</v>
      </c>
      <c r="AG540">
        <f t="shared" si="41"/>
        <v>360</v>
      </c>
      <c r="AH540" s="289">
        <f t="shared" si="42"/>
        <v>161.65249904801564</v>
      </c>
      <c r="AJ540" s="289">
        <f t="shared" si="43"/>
        <v>54</v>
      </c>
      <c r="AK540" s="289">
        <f t="shared" si="44"/>
        <v>8729.2349485928444</v>
      </c>
    </row>
    <row r="541" spans="1:37">
      <c r="A541" s="703" t="s">
        <v>1378</v>
      </c>
      <c r="B541" s="703" t="s">
        <v>331</v>
      </c>
      <c r="C541" s="703" t="s">
        <v>390</v>
      </c>
      <c r="D541" s="703" t="s">
        <v>391</v>
      </c>
      <c r="E541" s="703" t="s">
        <v>334</v>
      </c>
      <c r="F541" s="703" t="s">
        <v>335</v>
      </c>
      <c r="G541" s="703" t="s">
        <v>1379</v>
      </c>
      <c r="H541" s="703" t="s">
        <v>334</v>
      </c>
      <c r="I541" s="703" t="s">
        <v>334</v>
      </c>
      <c r="J541" s="703" t="s">
        <v>337</v>
      </c>
      <c r="K541" s="704">
        <v>0</v>
      </c>
      <c r="L541" s="703" t="s">
        <v>334</v>
      </c>
      <c r="M541" s="702">
        <v>42886</v>
      </c>
      <c r="N541" s="702">
        <v>43293</v>
      </c>
      <c r="O541" s="703" t="s">
        <v>338</v>
      </c>
      <c r="P541" s="20">
        <v>30956</v>
      </c>
      <c r="Q541" s="20">
        <v>0</v>
      </c>
      <c r="R541" s="20">
        <v>0</v>
      </c>
      <c r="S541" s="20">
        <v>0</v>
      </c>
      <c r="T541" s="20">
        <v>30956</v>
      </c>
      <c r="U541" s="20">
        <v>27455.27</v>
      </c>
      <c r="V541" s="20">
        <v>-3500.73</v>
      </c>
      <c r="W541" s="20">
        <v>-4532.6000000000004</v>
      </c>
      <c r="X541" s="20">
        <v>-1031.8699999999999</v>
      </c>
      <c r="Y541" s="20">
        <v>0</v>
      </c>
      <c r="Z541" s="20">
        <v>0</v>
      </c>
      <c r="AA541" s="20">
        <v>0</v>
      </c>
      <c r="AB541" s="20">
        <v>26423.4</v>
      </c>
      <c r="AC541" t="s">
        <v>188</v>
      </c>
      <c r="AD541" t="s">
        <v>290</v>
      </c>
      <c r="AE541" s="702">
        <f t="shared" si="40"/>
        <v>43252</v>
      </c>
      <c r="AF541" s="289">
        <v>51419.504557757245</v>
      </c>
      <c r="AG541">
        <f t="shared" si="41"/>
        <v>360</v>
      </c>
      <c r="AH541" s="289">
        <f t="shared" si="42"/>
        <v>142.83195710488124</v>
      </c>
      <c r="AJ541" s="289">
        <f t="shared" si="43"/>
        <v>54</v>
      </c>
      <c r="AK541" s="289">
        <f t="shared" si="44"/>
        <v>7712.9256836635868</v>
      </c>
    </row>
    <row r="542" spans="1:37">
      <c r="A542" s="703" t="s">
        <v>1380</v>
      </c>
      <c r="B542" s="703" t="s">
        <v>331</v>
      </c>
      <c r="C542" s="703" t="s">
        <v>390</v>
      </c>
      <c r="D542" s="703" t="s">
        <v>391</v>
      </c>
      <c r="E542" s="703" t="s">
        <v>334</v>
      </c>
      <c r="F542" s="703" t="s">
        <v>335</v>
      </c>
      <c r="G542" s="703" t="s">
        <v>1381</v>
      </c>
      <c r="H542" s="703" t="s">
        <v>334</v>
      </c>
      <c r="I542" s="703" t="s">
        <v>334</v>
      </c>
      <c r="J542" s="703" t="s">
        <v>337</v>
      </c>
      <c r="K542" s="704">
        <v>0</v>
      </c>
      <c r="L542" s="703" t="s">
        <v>334</v>
      </c>
      <c r="M542" s="702">
        <v>42886</v>
      </c>
      <c r="N542" s="702">
        <v>43293</v>
      </c>
      <c r="O542" s="703" t="s">
        <v>338</v>
      </c>
      <c r="P542" s="20">
        <v>19469.740000000002</v>
      </c>
      <c r="Q542" s="20">
        <v>0</v>
      </c>
      <c r="R542" s="20">
        <v>0</v>
      </c>
      <c r="S542" s="20">
        <v>0</v>
      </c>
      <c r="T542" s="20">
        <v>19469.740000000002</v>
      </c>
      <c r="U542" s="20">
        <v>17304.16</v>
      </c>
      <c r="V542" s="20">
        <v>-2165.58</v>
      </c>
      <c r="W542" s="20">
        <v>-2814.57</v>
      </c>
      <c r="X542" s="20">
        <v>-648.99</v>
      </c>
      <c r="Y542" s="20">
        <v>0</v>
      </c>
      <c r="Z542" s="20">
        <v>0</v>
      </c>
      <c r="AA542" s="20">
        <v>0</v>
      </c>
      <c r="AB542" s="20">
        <v>16655.169999999998</v>
      </c>
      <c r="AC542" t="s">
        <v>188</v>
      </c>
      <c r="AD542" t="s">
        <v>290</v>
      </c>
      <c r="AE542" s="702">
        <f t="shared" si="40"/>
        <v>43252</v>
      </c>
      <c r="AF542" s="289">
        <v>32340.237261543756</v>
      </c>
      <c r="AG542">
        <f t="shared" si="41"/>
        <v>360</v>
      </c>
      <c r="AH542" s="289">
        <f t="shared" si="42"/>
        <v>89.833992393177098</v>
      </c>
      <c r="AJ542" s="289">
        <f t="shared" si="43"/>
        <v>54</v>
      </c>
      <c r="AK542" s="289">
        <f t="shared" si="44"/>
        <v>4851.0355892315629</v>
      </c>
    </row>
    <row r="543" spans="1:37">
      <c r="A543" s="703" t="s">
        <v>1382</v>
      </c>
      <c r="B543" s="703" t="s">
        <v>331</v>
      </c>
      <c r="C543" s="703" t="s">
        <v>390</v>
      </c>
      <c r="D543" s="703" t="s">
        <v>391</v>
      </c>
      <c r="E543" s="703" t="s">
        <v>334</v>
      </c>
      <c r="F543" s="703" t="s">
        <v>335</v>
      </c>
      <c r="G543" s="703" t="s">
        <v>1383</v>
      </c>
      <c r="H543" s="703" t="s">
        <v>334</v>
      </c>
      <c r="I543" s="703" t="s">
        <v>334</v>
      </c>
      <c r="J543" s="703" t="s">
        <v>337</v>
      </c>
      <c r="K543" s="704">
        <v>0</v>
      </c>
      <c r="L543" s="703" t="s">
        <v>334</v>
      </c>
      <c r="M543" s="702">
        <v>42886</v>
      </c>
      <c r="N543" s="702">
        <v>43293</v>
      </c>
      <c r="O543" s="703" t="s">
        <v>338</v>
      </c>
      <c r="P543" s="20">
        <v>13268.51</v>
      </c>
      <c r="Q543" s="20">
        <v>0</v>
      </c>
      <c r="R543" s="20">
        <v>0</v>
      </c>
      <c r="S543" s="20">
        <v>0</v>
      </c>
      <c r="T543" s="20">
        <v>13268.51</v>
      </c>
      <c r="U543" s="20">
        <v>11793.54</v>
      </c>
      <c r="V543" s="20">
        <v>-1474.97</v>
      </c>
      <c r="W543" s="20">
        <v>-1917.25</v>
      </c>
      <c r="X543" s="20">
        <v>-442.28</v>
      </c>
      <c r="Y543" s="20">
        <v>0</v>
      </c>
      <c r="Z543" s="20">
        <v>0</v>
      </c>
      <c r="AA543" s="20">
        <v>0</v>
      </c>
      <c r="AB543" s="20">
        <v>11351.26</v>
      </c>
      <c r="AC543" t="s">
        <v>188</v>
      </c>
      <c r="AD543" t="s">
        <v>290</v>
      </c>
      <c r="AE543" s="702">
        <f t="shared" si="40"/>
        <v>43252</v>
      </c>
      <c r="AF543" s="289">
        <v>22039.676005286456</v>
      </c>
      <c r="AG543">
        <f t="shared" si="41"/>
        <v>360</v>
      </c>
      <c r="AH543" s="289">
        <f t="shared" si="42"/>
        <v>61.221322236906822</v>
      </c>
      <c r="AJ543" s="289">
        <f t="shared" si="43"/>
        <v>54</v>
      </c>
      <c r="AK543" s="289">
        <f t="shared" si="44"/>
        <v>3305.9514007929683</v>
      </c>
    </row>
    <row r="544" spans="1:37">
      <c r="A544" s="703" t="s">
        <v>1384</v>
      </c>
      <c r="B544" s="703" t="s">
        <v>331</v>
      </c>
      <c r="C544" s="703" t="s">
        <v>390</v>
      </c>
      <c r="D544" s="703" t="s">
        <v>391</v>
      </c>
      <c r="E544" s="703" t="s">
        <v>334</v>
      </c>
      <c r="F544" s="703" t="s">
        <v>335</v>
      </c>
      <c r="G544" s="703" t="s">
        <v>1385</v>
      </c>
      <c r="H544" s="703" t="s">
        <v>334</v>
      </c>
      <c r="I544" s="703" t="s">
        <v>334</v>
      </c>
      <c r="J544" s="703" t="s">
        <v>337</v>
      </c>
      <c r="K544" s="704">
        <v>0</v>
      </c>
      <c r="L544" s="703" t="s">
        <v>334</v>
      </c>
      <c r="M544" s="702">
        <v>43251</v>
      </c>
      <c r="N544" s="702">
        <v>43293</v>
      </c>
      <c r="O544" s="703" t="s">
        <v>338</v>
      </c>
      <c r="P544" s="20">
        <v>47766.99</v>
      </c>
      <c r="Q544" s="20">
        <v>0</v>
      </c>
      <c r="R544" s="20">
        <v>0</v>
      </c>
      <c r="S544" s="20">
        <v>0</v>
      </c>
      <c r="T544" s="20">
        <v>47766.99</v>
      </c>
      <c r="U544" s="20">
        <v>42509.59</v>
      </c>
      <c r="V544" s="20">
        <v>-5257.4</v>
      </c>
      <c r="W544" s="20">
        <v>-6849.63</v>
      </c>
      <c r="X544" s="20">
        <v>-1592.23</v>
      </c>
      <c r="Y544" s="20">
        <v>0</v>
      </c>
      <c r="Z544" s="20">
        <v>0</v>
      </c>
      <c r="AA544" s="20">
        <v>0</v>
      </c>
      <c r="AB544" s="20">
        <v>40917.360000000001</v>
      </c>
      <c r="AC544" t="s">
        <v>188</v>
      </c>
      <c r="AD544" t="s">
        <v>290</v>
      </c>
      <c r="AE544" s="702">
        <f t="shared" si="40"/>
        <v>43252</v>
      </c>
      <c r="AF544" s="289">
        <v>79343.421631197329</v>
      </c>
      <c r="AG544">
        <f t="shared" si="41"/>
        <v>360</v>
      </c>
      <c r="AH544" s="289">
        <f t="shared" si="42"/>
        <v>220.39839341999257</v>
      </c>
      <c r="AJ544" s="289">
        <f t="shared" si="43"/>
        <v>54</v>
      </c>
      <c r="AK544" s="289">
        <f t="shared" si="44"/>
        <v>11901.5132446796</v>
      </c>
    </row>
    <row r="545" spans="1:37">
      <c r="A545" s="703" t="s">
        <v>1386</v>
      </c>
      <c r="B545" s="703" t="s">
        <v>331</v>
      </c>
      <c r="C545" s="703" t="s">
        <v>390</v>
      </c>
      <c r="D545" s="703" t="s">
        <v>391</v>
      </c>
      <c r="E545" s="703" t="s">
        <v>334</v>
      </c>
      <c r="F545" s="703" t="s">
        <v>335</v>
      </c>
      <c r="G545" s="703" t="s">
        <v>1387</v>
      </c>
      <c r="H545" s="703" t="s">
        <v>334</v>
      </c>
      <c r="I545" s="703" t="s">
        <v>334</v>
      </c>
      <c r="J545" s="703" t="s">
        <v>337</v>
      </c>
      <c r="K545" s="704">
        <v>0</v>
      </c>
      <c r="L545" s="703" t="s">
        <v>334</v>
      </c>
      <c r="M545" s="702">
        <v>42886</v>
      </c>
      <c r="N545" s="702">
        <v>43293</v>
      </c>
      <c r="O545" s="703" t="s">
        <v>338</v>
      </c>
      <c r="P545" s="20">
        <v>784.18</v>
      </c>
      <c r="Q545" s="20">
        <v>0</v>
      </c>
      <c r="R545" s="20">
        <v>0</v>
      </c>
      <c r="S545" s="20">
        <v>0</v>
      </c>
      <c r="T545" s="20">
        <v>784.18</v>
      </c>
      <c r="U545" s="20">
        <v>694.87</v>
      </c>
      <c r="V545" s="20">
        <v>-89.31</v>
      </c>
      <c r="W545" s="20">
        <v>-115.45</v>
      </c>
      <c r="X545" s="20">
        <v>-26.14</v>
      </c>
      <c r="Y545" s="20">
        <v>0</v>
      </c>
      <c r="Z545" s="20">
        <v>0</v>
      </c>
      <c r="AA545" s="20">
        <v>0</v>
      </c>
      <c r="AB545" s="20">
        <v>668.73</v>
      </c>
      <c r="AC545" t="s">
        <v>188</v>
      </c>
      <c r="AD545" t="s">
        <v>290</v>
      </c>
      <c r="AE545" s="702">
        <f t="shared" si="40"/>
        <v>43252</v>
      </c>
      <c r="AF545" s="289">
        <v>1302.56322147894</v>
      </c>
      <c r="AG545">
        <f t="shared" si="41"/>
        <v>360</v>
      </c>
      <c r="AH545" s="289">
        <f t="shared" si="42"/>
        <v>3.6182311707748336</v>
      </c>
      <c r="AJ545" s="289">
        <f t="shared" si="43"/>
        <v>54</v>
      </c>
      <c r="AK545" s="289">
        <f t="shared" si="44"/>
        <v>195.38448322184101</v>
      </c>
    </row>
    <row r="546" spans="1:37">
      <c r="A546" s="703" t="s">
        <v>1388</v>
      </c>
      <c r="B546" s="703" t="s">
        <v>331</v>
      </c>
      <c r="C546" s="703" t="s">
        <v>390</v>
      </c>
      <c r="D546" s="703" t="s">
        <v>391</v>
      </c>
      <c r="E546" s="703" t="s">
        <v>334</v>
      </c>
      <c r="F546" s="703" t="s">
        <v>335</v>
      </c>
      <c r="G546" s="703" t="s">
        <v>1389</v>
      </c>
      <c r="H546" s="703" t="s">
        <v>334</v>
      </c>
      <c r="I546" s="703" t="s">
        <v>334</v>
      </c>
      <c r="J546" s="703" t="s">
        <v>337</v>
      </c>
      <c r="K546" s="704">
        <v>0</v>
      </c>
      <c r="L546" s="703" t="s">
        <v>334</v>
      </c>
      <c r="M546" s="702">
        <v>43251</v>
      </c>
      <c r="N546" s="702">
        <v>43293</v>
      </c>
      <c r="O546" s="703" t="s">
        <v>338</v>
      </c>
      <c r="P546" s="20">
        <v>54900.02</v>
      </c>
      <c r="Q546" s="20">
        <v>0</v>
      </c>
      <c r="R546" s="20">
        <v>0</v>
      </c>
      <c r="S546" s="20">
        <v>0</v>
      </c>
      <c r="T546" s="20">
        <v>54900.02</v>
      </c>
      <c r="U546" s="20">
        <v>48742.47</v>
      </c>
      <c r="V546" s="20">
        <v>-6157.55</v>
      </c>
      <c r="W546" s="20">
        <v>-7987.55</v>
      </c>
      <c r="X546" s="20">
        <v>-1830</v>
      </c>
      <c r="Y546" s="20">
        <v>0</v>
      </c>
      <c r="Z546" s="20">
        <v>0</v>
      </c>
      <c r="AA546" s="20">
        <v>0</v>
      </c>
      <c r="AB546" s="20">
        <v>46912.47</v>
      </c>
      <c r="AC546" t="s">
        <v>188</v>
      </c>
      <c r="AD546" t="s">
        <v>290</v>
      </c>
      <c r="AE546" s="702">
        <f t="shared" si="40"/>
        <v>43252</v>
      </c>
      <c r="AF546" s="289">
        <v>91191.75050429524</v>
      </c>
      <c r="AG546">
        <f t="shared" si="41"/>
        <v>360</v>
      </c>
      <c r="AH546" s="289">
        <f t="shared" si="42"/>
        <v>253.31041806748678</v>
      </c>
      <c r="AJ546" s="289">
        <f t="shared" si="43"/>
        <v>54</v>
      </c>
      <c r="AK546" s="289">
        <f t="shared" si="44"/>
        <v>13678.762575644287</v>
      </c>
    </row>
    <row r="547" spans="1:37">
      <c r="A547" s="703" t="s">
        <v>1390</v>
      </c>
      <c r="B547" s="703" t="s">
        <v>331</v>
      </c>
      <c r="C547" s="703" t="s">
        <v>390</v>
      </c>
      <c r="D547" s="703" t="s">
        <v>391</v>
      </c>
      <c r="E547" s="703" t="s">
        <v>334</v>
      </c>
      <c r="F547" s="703" t="s">
        <v>335</v>
      </c>
      <c r="G547" s="703" t="s">
        <v>1391</v>
      </c>
      <c r="H547" s="703" t="s">
        <v>334</v>
      </c>
      <c r="I547" s="703" t="s">
        <v>334</v>
      </c>
      <c r="J547" s="703" t="s">
        <v>337</v>
      </c>
      <c r="K547" s="704">
        <v>0</v>
      </c>
      <c r="L547" s="703" t="s">
        <v>334</v>
      </c>
      <c r="M547" s="702">
        <v>43251</v>
      </c>
      <c r="N547" s="702">
        <v>43293</v>
      </c>
      <c r="O547" s="703" t="s">
        <v>338</v>
      </c>
      <c r="P547" s="20">
        <v>49940.59</v>
      </c>
      <c r="Q547" s="20">
        <v>0</v>
      </c>
      <c r="R547" s="20">
        <v>0</v>
      </c>
      <c r="S547" s="20">
        <v>0</v>
      </c>
      <c r="T547" s="20">
        <v>49940.59</v>
      </c>
      <c r="U547" s="20">
        <v>44450.14</v>
      </c>
      <c r="V547" s="20">
        <v>-5490.45</v>
      </c>
      <c r="W547" s="20">
        <v>-7155.14</v>
      </c>
      <c r="X547" s="20">
        <v>-1664.69</v>
      </c>
      <c r="Y547" s="20">
        <v>0</v>
      </c>
      <c r="Z547" s="20">
        <v>0</v>
      </c>
      <c r="AA547" s="20">
        <v>0</v>
      </c>
      <c r="AB547" s="20">
        <v>42785.45</v>
      </c>
      <c r="AC547" t="s">
        <v>188</v>
      </c>
      <c r="AD547" t="s">
        <v>290</v>
      </c>
      <c r="AE547" s="702">
        <f t="shared" si="40"/>
        <v>43252</v>
      </c>
      <c r="AF547" s="289">
        <v>82953.882773035453</v>
      </c>
      <c r="AG547">
        <f t="shared" si="41"/>
        <v>360</v>
      </c>
      <c r="AH547" s="289">
        <f t="shared" si="42"/>
        <v>230.42745214732071</v>
      </c>
      <c r="AJ547" s="289">
        <f t="shared" si="43"/>
        <v>54</v>
      </c>
      <c r="AK547" s="289">
        <f t="shared" si="44"/>
        <v>12443.082415955318</v>
      </c>
    </row>
    <row r="548" spans="1:37">
      <c r="A548" s="703" t="s">
        <v>1392</v>
      </c>
      <c r="B548" s="703" t="s">
        <v>331</v>
      </c>
      <c r="C548" s="703" t="s">
        <v>390</v>
      </c>
      <c r="D548" s="703" t="s">
        <v>391</v>
      </c>
      <c r="E548" s="703" t="s">
        <v>334</v>
      </c>
      <c r="F548" s="703" t="s">
        <v>335</v>
      </c>
      <c r="G548" s="703" t="s">
        <v>1393</v>
      </c>
      <c r="H548" s="703" t="s">
        <v>334</v>
      </c>
      <c r="I548" s="703" t="s">
        <v>334</v>
      </c>
      <c r="J548" s="703" t="s">
        <v>337</v>
      </c>
      <c r="K548" s="704">
        <v>0</v>
      </c>
      <c r="L548" s="703" t="s">
        <v>334</v>
      </c>
      <c r="M548" s="702">
        <v>43100</v>
      </c>
      <c r="N548" s="702">
        <v>43293</v>
      </c>
      <c r="O548" s="703" t="s">
        <v>338</v>
      </c>
      <c r="P548" s="20">
        <v>106163.6</v>
      </c>
      <c r="Q548" s="20">
        <v>0</v>
      </c>
      <c r="R548" s="20">
        <v>0</v>
      </c>
      <c r="S548" s="20">
        <v>0</v>
      </c>
      <c r="T548" s="20">
        <v>106163.6</v>
      </c>
      <c r="U548" s="20">
        <v>94072.74</v>
      </c>
      <c r="V548" s="20">
        <v>-12090.86</v>
      </c>
      <c r="W548" s="20">
        <v>-15629.65</v>
      </c>
      <c r="X548" s="20">
        <v>-3538.79</v>
      </c>
      <c r="Y548" s="20">
        <v>0</v>
      </c>
      <c r="Z548" s="20">
        <v>0</v>
      </c>
      <c r="AA548" s="20">
        <v>0</v>
      </c>
      <c r="AB548" s="20">
        <v>90533.95</v>
      </c>
      <c r="AC548" t="s">
        <v>188</v>
      </c>
      <c r="AD548" t="s">
        <v>290</v>
      </c>
      <c r="AE548" s="702">
        <f t="shared" si="40"/>
        <v>43252</v>
      </c>
      <c r="AF548" s="289">
        <v>176343.18755872583</v>
      </c>
      <c r="AG548">
        <f t="shared" si="41"/>
        <v>360</v>
      </c>
      <c r="AH548" s="289">
        <f t="shared" si="42"/>
        <v>489.84218766312728</v>
      </c>
      <c r="AJ548" s="289">
        <f t="shared" si="43"/>
        <v>54</v>
      </c>
      <c r="AK548" s="289">
        <f t="shared" si="44"/>
        <v>26451.478133808872</v>
      </c>
    </row>
    <row r="549" spans="1:37">
      <c r="A549" s="703" t="s">
        <v>1394</v>
      </c>
      <c r="B549" s="703" t="s">
        <v>331</v>
      </c>
      <c r="C549" s="703" t="s">
        <v>390</v>
      </c>
      <c r="D549" s="703" t="s">
        <v>391</v>
      </c>
      <c r="E549" s="703" t="s">
        <v>334</v>
      </c>
      <c r="F549" s="703" t="s">
        <v>335</v>
      </c>
      <c r="G549" s="703" t="s">
        <v>1395</v>
      </c>
      <c r="H549" s="703" t="s">
        <v>334</v>
      </c>
      <c r="I549" s="703" t="s">
        <v>334</v>
      </c>
      <c r="J549" s="703" t="s">
        <v>337</v>
      </c>
      <c r="K549" s="704">
        <v>0</v>
      </c>
      <c r="L549" s="703" t="s">
        <v>334</v>
      </c>
      <c r="M549" s="702">
        <v>42886</v>
      </c>
      <c r="N549" s="702">
        <v>43293</v>
      </c>
      <c r="O549" s="703" t="s">
        <v>338</v>
      </c>
      <c r="P549" s="20">
        <v>6439.56</v>
      </c>
      <c r="Q549" s="20">
        <v>0</v>
      </c>
      <c r="R549" s="20">
        <v>0</v>
      </c>
      <c r="S549" s="20">
        <v>0</v>
      </c>
      <c r="T549" s="20">
        <v>6439.56</v>
      </c>
      <c r="U549" s="20">
        <v>5706.17</v>
      </c>
      <c r="V549" s="20">
        <v>-733.39</v>
      </c>
      <c r="W549" s="20">
        <v>-948.04</v>
      </c>
      <c r="X549" s="20">
        <v>-214.65</v>
      </c>
      <c r="Y549" s="20">
        <v>0</v>
      </c>
      <c r="Z549" s="20">
        <v>0</v>
      </c>
      <c r="AA549" s="20">
        <v>0</v>
      </c>
      <c r="AB549" s="20">
        <v>5491.52</v>
      </c>
      <c r="AC549" t="s">
        <v>188</v>
      </c>
      <c r="AD549" t="s">
        <v>290</v>
      </c>
      <c r="AE549" s="702">
        <f t="shared" si="40"/>
        <v>43252</v>
      </c>
      <c r="AF549" s="289">
        <v>10696.43961655095</v>
      </c>
      <c r="AG549">
        <f t="shared" si="41"/>
        <v>360</v>
      </c>
      <c r="AH549" s="289">
        <f t="shared" si="42"/>
        <v>29.712332268197084</v>
      </c>
      <c r="AJ549" s="289">
        <f t="shared" si="43"/>
        <v>54</v>
      </c>
      <c r="AK549" s="289">
        <f t="shared" si="44"/>
        <v>1604.4659424826425</v>
      </c>
    </row>
    <row r="550" spans="1:37">
      <c r="A550" s="703" t="s">
        <v>1396</v>
      </c>
      <c r="B550" s="703" t="s">
        <v>331</v>
      </c>
      <c r="C550" s="703" t="s">
        <v>390</v>
      </c>
      <c r="D550" s="703" t="s">
        <v>391</v>
      </c>
      <c r="E550" s="703" t="s">
        <v>334</v>
      </c>
      <c r="F550" s="703" t="s">
        <v>335</v>
      </c>
      <c r="G550" s="703" t="s">
        <v>1397</v>
      </c>
      <c r="H550" s="703" t="s">
        <v>334</v>
      </c>
      <c r="I550" s="703" t="s">
        <v>334</v>
      </c>
      <c r="J550" s="703" t="s">
        <v>337</v>
      </c>
      <c r="K550" s="704">
        <v>0</v>
      </c>
      <c r="L550" s="703" t="s">
        <v>334</v>
      </c>
      <c r="M550" s="702">
        <v>43251</v>
      </c>
      <c r="N550" s="702">
        <v>43293</v>
      </c>
      <c r="O550" s="703" t="s">
        <v>338</v>
      </c>
      <c r="P550" s="20">
        <v>19553.45</v>
      </c>
      <c r="Q550" s="20">
        <v>0</v>
      </c>
      <c r="R550" s="20">
        <v>0</v>
      </c>
      <c r="S550" s="20">
        <v>0</v>
      </c>
      <c r="T550" s="20">
        <v>19553.45</v>
      </c>
      <c r="U550" s="20">
        <v>17326.53</v>
      </c>
      <c r="V550" s="20">
        <v>-2226.92</v>
      </c>
      <c r="W550" s="20">
        <v>-2878.7</v>
      </c>
      <c r="X550" s="20">
        <v>-651.78</v>
      </c>
      <c r="Y550" s="20">
        <v>0</v>
      </c>
      <c r="Z550" s="20">
        <v>0</v>
      </c>
      <c r="AA550" s="20">
        <v>0</v>
      </c>
      <c r="AB550" s="20">
        <v>16674.75</v>
      </c>
      <c r="AC550" t="s">
        <v>188</v>
      </c>
      <c r="AD550" t="s">
        <v>290</v>
      </c>
      <c r="AE550" s="702">
        <f t="shared" si="40"/>
        <v>43252</v>
      </c>
      <c r="AF550" s="289">
        <v>32479.283867259281</v>
      </c>
      <c r="AG550">
        <f t="shared" si="41"/>
        <v>360</v>
      </c>
      <c r="AH550" s="289">
        <f t="shared" si="42"/>
        <v>90.22023296460911</v>
      </c>
      <c r="AJ550" s="289">
        <f t="shared" si="43"/>
        <v>54</v>
      </c>
      <c r="AK550" s="289">
        <f t="shared" si="44"/>
        <v>4871.8925800888919</v>
      </c>
    </row>
    <row r="551" spans="1:37">
      <c r="A551" s="703" t="s">
        <v>1398</v>
      </c>
      <c r="B551" s="703" t="s">
        <v>331</v>
      </c>
      <c r="C551" s="703" t="s">
        <v>390</v>
      </c>
      <c r="D551" s="703" t="s">
        <v>391</v>
      </c>
      <c r="E551" s="703" t="s">
        <v>334</v>
      </c>
      <c r="F551" s="703" t="s">
        <v>335</v>
      </c>
      <c r="G551" s="703" t="s">
        <v>1399</v>
      </c>
      <c r="H551" s="703" t="s">
        <v>334</v>
      </c>
      <c r="I551" s="703" t="s">
        <v>334</v>
      </c>
      <c r="J551" s="703" t="s">
        <v>337</v>
      </c>
      <c r="K551" s="704">
        <v>0</v>
      </c>
      <c r="L551" s="703" t="s">
        <v>334</v>
      </c>
      <c r="M551" s="702">
        <v>43251</v>
      </c>
      <c r="N551" s="702">
        <v>43293</v>
      </c>
      <c r="O551" s="703" t="s">
        <v>338</v>
      </c>
      <c r="P551" s="20">
        <v>2247.2199999999998</v>
      </c>
      <c r="Q551" s="20">
        <v>0</v>
      </c>
      <c r="R551" s="20">
        <v>0</v>
      </c>
      <c r="S551" s="20">
        <v>0</v>
      </c>
      <c r="T551" s="20">
        <v>2247.2199999999998</v>
      </c>
      <c r="U551" s="20">
        <v>1991.28</v>
      </c>
      <c r="V551" s="20">
        <v>-255.94</v>
      </c>
      <c r="W551" s="20">
        <v>-330.85</v>
      </c>
      <c r="X551" s="20">
        <v>-74.91</v>
      </c>
      <c r="Y551" s="20">
        <v>0</v>
      </c>
      <c r="Z551" s="20">
        <v>0</v>
      </c>
      <c r="AA551" s="20">
        <v>0</v>
      </c>
      <c r="AB551" s="20">
        <v>1916.37</v>
      </c>
      <c r="AC551" t="s">
        <v>188</v>
      </c>
      <c r="AD551" t="s">
        <v>290</v>
      </c>
      <c r="AE551" s="702">
        <f t="shared" si="40"/>
        <v>43252</v>
      </c>
      <c r="AF551" s="289">
        <v>3732.7477397688081</v>
      </c>
      <c r="AG551">
        <f t="shared" si="41"/>
        <v>360</v>
      </c>
      <c r="AH551" s="289">
        <f t="shared" si="42"/>
        <v>10.368743721580023</v>
      </c>
      <c r="AJ551" s="289">
        <f t="shared" si="43"/>
        <v>54</v>
      </c>
      <c r="AK551" s="289">
        <f t="shared" si="44"/>
        <v>559.91216096532128</v>
      </c>
    </row>
    <row r="552" spans="1:37">
      <c r="A552" s="703" t="s">
        <v>1400</v>
      </c>
      <c r="B552" s="703" t="s">
        <v>331</v>
      </c>
      <c r="C552" s="703" t="s">
        <v>390</v>
      </c>
      <c r="D552" s="703" t="s">
        <v>391</v>
      </c>
      <c r="E552" s="703" t="s">
        <v>334</v>
      </c>
      <c r="F552" s="703" t="s">
        <v>335</v>
      </c>
      <c r="G552" s="703" t="s">
        <v>1401</v>
      </c>
      <c r="H552" s="703" t="s">
        <v>334</v>
      </c>
      <c r="I552" s="703" t="s">
        <v>334</v>
      </c>
      <c r="J552" s="703" t="s">
        <v>337</v>
      </c>
      <c r="K552" s="704">
        <v>0</v>
      </c>
      <c r="L552" s="703" t="s">
        <v>334</v>
      </c>
      <c r="M552" s="702">
        <v>42886</v>
      </c>
      <c r="N552" s="702">
        <v>43293</v>
      </c>
      <c r="O552" s="703" t="s">
        <v>338</v>
      </c>
      <c r="P552" s="20">
        <v>6000.23</v>
      </c>
      <c r="Q552" s="20">
        <v>0</v>
      </c>
      <c r="R552" s="20">
        <v>0</v>
      </c>
      <c r="S552" s="20">
        <v>0</v>
      </c>
      <c r="T552" s="20">
        <v>6000.23</v>
      </c>
      <c r="U552" s="20">
        <v>5316.86</v>
      </c>
      <c r="V552" s="20">
        <v>-683.37</v>
      </c>
      <c r="W552" s="20">
        <v>-883.38</v>
      </c>
      <c r="X552" s="20">
        <v>-200.01</v>
      </c>
      <c r="Y552" s="20">
        <v>0</v>
      </c>
      <c r="Z552" s="20">
        <v>0</v>
      </c>
      <c r="AA552" s="20">
        <v>0</v>
      </c>
      <c r="AB552" s="20">
        <v>5116.8500000000004</v>
      </c>
      <c r="AC552" t="s">
        <v>188</v>
      </c>
      <c r="AD552" t="s">
        <v>290</v>
      </c>
      <c r="AE552" s="702">
        <f t="shared" si="40"/>
        <v>43252</v>
      </c>
      <c r="AF552" s="289">
        <v>9966.6899416136348</v>
      </c>
      <c r="AG552">
        <f t="shared" si="41"/>
        <v>360</v>
      </c>
      <c r="AH552" s="289">
        <f t="shared" si="42"/>
        <v>27.685249837815654</v>
      </c>
      <c r="AJ552" s="289">
        <f t="shared" si="43"/>
        <v>54</v>
      </c>
      <c r="AK552" s="289">
        <f t="shared" si="44"/>
        <v>1495.0034912420454</v>
      </c>
    </row>
    <row r="553" spans="1:37">
      <c r="A553" s="703" t="s">
        <v>1402</v>
      </c>
      <c r="B553" s="703" t="s">
        <v>331</v>
      </c>
      <c r="C553" s="703" t="s">
        <v>390</v>
      </c>
      <c r="D553" s="703" t="s">
        <v>391</v>
      </c>
      <c r="E553" s="703" t="s">
        <v>334</v>
      </c>
      <c r="F553" s="703" t="s">
        <v>335</v>
      </c>
      <c r="G553" s="703" t="s">
        <v>1403</v>
      </c>
      <c r="H553" s="703" t="s">
        <v>334</v>
      </c>
      <c r="I553" s="703" t="s">
        <v>334</v>
      </c>
      <c r="J553" s="703" t="s">
        <v>337</v>
      </c>
      <c r="K553" s="704">
        <v>0</v>
      </c>
      <c r="L553" s="703" t="s">
        <v>334</v>
      </c>
      <c r="M553" s="702">
        <v>43251</v>
      </c>
      <c r="N553" s="702">
        <v>43293</v>
      </c>
      <c r="O553" s="703" t="s">
        <v>338</v>
      </c>
      <c r="P553" s="20">
        <v>1963.43</v>
      </c>
      <c r="Q553" s="20">
        <v>0</v>
      </c>
      <c r="R553" s="20">
        <v>0</v>
      </c>
      <c r="S553" s="20">
        <v>0</v>
      </c>
      <c r="T553" s="20">
        <v>1963.43</v>
      </c>
      <c r="U553" s="20">
        <v>1739.81</v>
      </c>
      <c r="V553" s="20">
        <v>-223.62</v>
      </c>
      <c r="W553" s="20">
        <v>-289.07</v>
      </c>
      <c r="X553" s="20">
        <v>-65.45</v>
      </c>
      <c r="Y553" s="20">
        <v>0</v>
      </c>
      <c r="Z553" s="20">
        <v>0</v>
      </c>
      <c r="AA553" s="20">
        <v>0</v>
      </c>
      <c r="AB553" s="20">
        <v>1674.36</v>
      </c>
      <c r="AC553" t="s">
        <v>188</v>
      </c>
      <c r="AD553" t="s">
        <v>290</v>
      </c>
      <c r="AE553" s="702">
        <f t="shared" si="40"/>
        <v>43252</v>
      </c>
      <c r="AF553" s="289">
        <v>3261.3579866209234</v>
      </c>
      <c r="AG553">
        <f t="shared" si="41"/>
        <v>360</v>
      </c>
      <c r="AH553" s="289">
        <f t="shared" si="42"/>
        <v>9.0593277406136767</v>
      </c>
      <c r="AJ553" s="289">
        <f t="shared" si="43"/>
        <v>54</v>
      </c>
      <c r="AK553" s="289">
        <f t="shared" si="44"/>
        <v>489.20369799313852</v>
      </c>
    </row>
    <row r="554" spans="1:37">
      <c r="A554" s="703" t="s">
        <v>1404</v>
      </c>
      <c r="B554" s="703" t="s">
        <v>331</v>
      </c>
      <c r="C554" s="703" t="s">
        <v>390</v>
      </c>
      <c r="D554" s="703" t="s">
        <v>391</v>
      </c>
      <c r="E554" s="703" t="s">
        <v>334</v>
      </c>
      <c r="F554" s="703" t="s">
        <v>335</v>
      </c>
      <c r="G554" s="703" t="s">
        <v>1405</v>
      </c>
      <c r="H554" s="703" t="s">
        <v>334</v>
      </c>
      <c r="I554" s="703" t="s">
        <v>334</v>
      </c>
      <c r="J554" s="703" t="s">
        <v>337</v>
      </c>
      <c r="K554" s="704">
        <v>0</v>
      </c>
      <c r="L554" s="703" t="s">
        <v>334</v>
      </c>
      <c r="M554" s="702">
        <v>43251</v>
      </c>
      <c r="N554" s="702">
        <v>43293</v>
      </c>
      <c r="O554" s="703" t="s">
        <v>338</v>
      </c>
      <c r="P554" s="20">
        <v>4991.1499999999996</v>
      </c>
      <c r="Q554" s="20">
        <v>0</v>
      </c>
      <c r="R554" s="20">
        <v>0</v>
      </c>
      <c r="S554" s="20">
        <v>0</v>
      </c>
      <c r="T554" s="20">
        <v>4991.1499999999996</v>
      </c>
      <c r="U554" s="20">
        <v>4422.72</v>
      </c>
      <c r="V554" s="20">
        <v>-568.42999999999995</v>
      </c>
      <c r="W554" s="20">
        <v>-734.8</v>
      </c>
      <c r="X554" s="20">
        <v>-166.37</v>
      </c>
      <c r="Y554" s="20">
        <v>0</v>
      </c>
      <c r="Z554" s="20">
        <v>0</v>
      </c>
      <c r="AA554" s="20">
        <v>0</v>
      </c>
      <c r="AB554" s="20">
        <v>4256.3500000000004</v>
      </c>
      <c r="AC554" t="s">
        <v>188</v>
      </c>
      <c r="AD554" t="s">
        <v>290</v>
      </c>
      <c r="AE554" s="702">
        <f t="shared" si="40"/>
        <v>43252</v>
      </c>
      <c r="AF554" s="289">
        <v>8290.5562790234526</v>
      </c>
      <c r="AG554">
        <f t="shared" si="41"/>
        <v>360</v>
      </c>
      <c r="AH554" s="289">
        <f t="shared" si="42"/>
        <v>23.02932299728737</v>
      </c>
      <c r="AJ554" s="289">
        <f t="shared" si="43"/>
        <v>54</v>
      </c>
      <c r="AK554" s="289">
        <f t="shared" si="44"/>
        <v>1243.583441853518</v>
      </c>
    </row>
    <row r="555" spans="1:37">
      <c r="A555" s="703" t="s">
        <v>1406</v>
      </c>
      <c r="B555" s="703" t="s">
        <v>331</v>
      </c>
      <c r="C555" s="703" t="s">
        <v>390</v>
      </c>
      <c r="D555" s="703" t="s">
        <v>391</v>
      </c>
      <c r="E555" s="703" t="s">
        <v>334</v>
      </c>
      <c r="F555" s="703" t="s">
        <v>335</v>
      </c>
      <c r="G555" s="703" t="s">
        <v>1407</v>
      </c>
      <c r="H555" s="703" t="s">
        <v>334</v>
      </c>
      <c r="I555" s="703" t="s">
        <v>334</v>
      </c>
      <c r="J555" s="703" t="s">
        <v>337</v>
      </c>
      <c r="K555" s="704">
        <v>0</v>
      </c>
      <c r="L555" s="703" t="s">
        <v>334</v>
      </c>
      <c r="M555" s="702">
        <v>43251</v>
      </c>
      <c r="N555" s="702">
        <v>43293</v>
      </c>
      <c r="O555" s="703" t="s">
        <v>338</v>
      </c>
      <c r="P555" s="20">
        <v>3369.58</v>
      </c>
      <c r="Q555" s="20">
        <v>0</v>
      </c>
      <c r="R555" s="20">
        <v>0</v>
      </c>
      <c r="S555" s="20">
        <v>0</v>
      </c>
      <c r="T555" s="20">
        <v>3369.58</v>
      </c>
      <c r="U555" s="20">
        <v>2985.82</v>
      </c>
      <c r="V555" s="20">
        <v>-383.76</v>
      </c>
      <c r="W555" s="20">
        <v>-496.08</v>
      </c>
      <c r="X555" s="20">
        <v>-112.32</v>
      </c>
      <c r="Y555" s="20">
        <v>0</v>
      </c>
      <c r="Z555" s="20">
        <v>0</v>
      </c>
      <c r="AA555" s="20">
        <v>0</v>
      </c>
      <c r="AB555" s="20">
        <v>2873.5</v>
      </c>
      <c r="AC555" t="s">
        <v>188</v>
      </c>
      <c r="AD555" t="s">
        <v>290</v>
      </c>
      <c r="AE555" s="702">
        <f t="shared" si="40"/>
        <v>43252</v>
      </c>
      <c r="AF555" s="289">
        <v>5597.0452955074188</v>
      </c>
      <c r="AG555">
        <f t="shared" si="41"/>
        <v>360</v>
      </c>
      <c r="AH555" s="289">
        <f t="shared" si="42"/>
        <v>15.547348043076163</v>
      </c>
      <c r="AJ555" s="289">
        <f t="shared" si="43"/>
        <v>54</v>
      </c>
      <c r="AK555" s="289">
        <f t="shared" si="44"/>
        <v>839.55679432611282</v>
      </c>
    </row>
    <row r="556" spans="1:37">
      <c r="A556" s="703" t="s">
        <v>1408</v>
      </c>
      <c r="B556" s="703" t="s">
        <v>331</v>
      </c>
      <c r="C556" s="703" t="s">
        <v>390</v>
      </c>
      <c r="D556" s="703" t="s">
        <v>391</v>
      </c>
      <c r="E556" s="703" t="s">
        <v>334</v>
      </c>
      <c r="F556" s="703" t="s">
        <v>335</v>
      </c>
      <c r="G556" s="703" t="s">
        <v>1409</v>
      </c>
      <c r="H556" s="703" t="s">
        <v>334</v>
      </c>
      <c r="I556" s="703" t="s">
        <v>334</v>
      </c>
      <c r="J556" s="703" t="s">
        <v>337</v>
      </c>
      <c r="K556" s="704">
        <v>0</v>
      </c>
      <c r="L556" s="703" t="s">
        <v>334</v>
      </c>
      <c r="M556" s="702">
        <v>43251</v>
      </c>
      <c r="N556" s="702">
        <v>43293</v>
      </c>
      <c r="O556" s="703" t="s">
        <v>338</v>
      </c>
      <c r="P556" s="20">
        <v>5297.36</v>
      </c>
      <c r="Q556" s="20">
        <v>0</v>
      </c>
      <c r="R556" s="20">
        <v>0</v>
      </c>
      <c r="S556" s="20">
        <v>0</v>
      </c>
      <c r="T556" s="20">
        <v>5297.36</v>
      </c>
      <c r="U556" s="20">
        <v>4694.05</v>
      </c>
      <c r="V556" s="20">
        <v>-603.30999999999995</v>
      </c>
      <c r="W556" s="20">
        <v>-779.89</v>
      </c>
      <c r="X556" s="20">
        <v>-176.58</v>
      </c>
      <c r="Y556" s="20">
        <v>0</v>
      </c>
      <c r="Z556" s="20">
        <v>0</v>
      </c>
      <c r="AA556" s="20">
        <v>0</v>
      </c>
      <c r="AB556" s="20">
        <v>4517.47</v>
      </c>
      <c r="AC556" t="s">
        <v>188</v>
      </c>
      <c r="AD556" t="s">
        <v>290</v>
      </c>
      <c r="AE556" s="702">
        <f t="shared" si="40"/>
        <v>43252</v>
      </c>
      <c r="AF556" s="289">
        <v>8799.1868026902976</v>
      </c>
      <c r="AG556">
        <f t="shared" si="41"/>
        <v>360</v>
      </c>
      <c r="AH556" s="289">
        <f t="shared" si="42"/>
        <v>24.442185563028605</v>
      </c>
      <c r="AJ556" s="289">
        <f t="shared" si="43"/>
        <v>54</v>
      </c>
      <c r="AK556" s="289">
        <f t="shared" si="44"/>
        <v>1319.8780204035447</v>
      </c>
    </row>
    <row r="557" spans="1:37">
      <c r="A557" s="703" t="s">
        <v>1410</v>
      </c>
      <c r="B557" s="703" t="s">
        <v>331</v>
      </c>
      <c r="C557" s="703" t="s">
        <v>390</v>
      </c>
      <c r="D557" s="703" t="s">
        <v>391</v>
      </c>
      <c r="E557" s="703" t="s">
        <v>334</v>
      </c>
      <c r="F557" s="703" t="s">
        <v>335</v>
      </c>
      <c r="G557" s="703" t="s">
        <v>1411</v>
      </c>
      <c r="H557" s="703" t="s">
        <v>334</v>
      </c>
      <c r="I557" s="703" t="s">
        <v>334</v>
      </c>
      <c r="J557" s="703" t="s">
        <v>337</v>
      </c>
      <c r="K557" s="704">
        <v>0</v>
      </c>
      <c r="L557" s="703" t="s">
        <v>334</v>
      </c>
      <c r="M557" s="702">
        <v>42886</v>
      </c>
      <c r="N557" s="702">
        <v>43293</v>
      </c>
      <c r="O557" s="703" t="s">
        <v>338</v>
      </c>
      <c r="P557" s="20">
        <v>48457.86</v>
      </c>
      <c r="Q557" s="20">
        <v>0</v>
      </c>
      <c r="R557" s="20">
        <v>0</v>
      </c>
      <c r="S557" s="20">
        <v>0</v>
      </c>
      <c r="T557" s="20">
        <v>48457.86</v>
      </c>
      <c r="U557" s="20">
        <v>42939.05</v>
      </c>
      <c r="V557" s="20">
        <v>-5518.81</v>
      </c>
      <c r="W557" s="20">
        <v>-7134.07</v>
      </c>
      <c r="X557" s="20">
        <v>-1615.26</v>
      </c>
      <c r="Y557" s="20">
        <v>0</v>
      </c>
      <c r="Z557" s="20">
        <v>0</v>
      </c>
      <c r="AA557" s="20">
        <v>0</v>
      </c>
      <c r="AB557" s="20">
        <v>41323.79</v>
      </c>
      <c r="AC557" t="s">
        <v>188</v>
      </c>
      <c r="AD557" t="s">
        <v>290</v>
      </c>
      <c r="AE557" s="702">
        <f t="shared" si="40"/>
        <v>43252</v>
      </c>
      <c r="AF557" s="289">
        <v>80490.992154321037</v>
      </c>
      <c r="AG557">
        <f t="shared" si="41"/>
        <v>360</v>
      </c>
      <c r="AH557" s="289">
        <f t="shared" si="42"/>
        <v>223.58608931755845</v>
      </c>
      <c r="AJ557" s="289">
        <f t="shared" si="43"/>
        <v>54</v>
      </c>
      <c r="AK557" s="289">
        <f t="shared" si="44"/>
        <v>12073.648823148156</v>
      </c>
    </row>
    <row r="558" spans="1:37">
      <c r="A558" s="703" t="s">
        <v>1412</v>
      </c>
      <c r="B558" s="703" t="s">
        <v>331</v>
      </c>
      <c r="C558" s="703" t="s">
        <v>390</v>
      </c>
      <c r="D558" s="703" t="s">
        <v>391</v>
      </c>
      <c r="E558" s="703" t="s">
        <v>334</v>
      </c>
      <c r="F558" s="703" t="s">
        <v>335</v>
      </c>
      <c r="G558" s="703" t="s">
        <v>1413</v>
      </c>
      <c r="H558" s="703" t="s">
        <v>334</v>
      </c>
      <c r="I558" s="703" t="s">
        <v>334</v>
      </c>
      <c r="J558" s="703" t="s">
        <v>337</v>
      </c>
      <c r="K558" s="704">
        <v>0</v>
      </c>
      <c r="L558" s="703" t="s">
        <v>334</v>
      </c>
      <c r="M558" s="702">
        <v>42886</v>
      </c>
      <c r="N558" s="702">
        <v>43293</v>
      </c>
      <c r="O558" s="703" t="s">
        <v>338</v>
      </c>
      <c r="P558" s="20">
        <v>6316.34</v>
      </c>
      <c r="Q558" s="20">
        <v>0</v>
      </c>
      <c r="R558" s="20">
        <v>0</v>
      </c>
      <c r="S558" s="20">
        <v>0</v>
      </c>
      <c r="T558" s="20">
        <v>6316.34</v>
      </c>
      <c r="U558" s="20">
        <v>5596.99</v>
      </c>
      <c r="V558" s="20">
        <v>-719.35</v>
      </c>
      <c r="W558" s="20">
        <v>-929.89</v>
      </c>
      <c r="X558" s="20">
        <v>-210.54</v>
      </c>
      <c r="Y558" s="20">
        <v>0</v>
      </c>
      <c r="Z558" s="20">
        <v>0</v>
      </c>
      <c r="AA558" s="20">
        <v>0</v>
      </c>
      <c r="AB558" s="20">
        <v>5386.45</v>
      </c>
      <c r="AC558" t="s">
        <v>188</v>
      </c>
      <c r="AD558" t="s">
        <v>290</v>
      </c>
      <c r="AE558" s="702">
        <f t="shared" si="40"/>
        <v>43252</v>
      </c>
      <c r="AF558" s="289">
        <v>10491.764873315169</v>
      </c>
      <c r="AG558">
        <f t="shared" si="41"/>
        <v>360</v>
      </c>
      <c r="AH558" s="289">
        <f t="shared" si="42"/>
        <v>29.143791314764357</v>
      </c>
      <c r="AJ558" s="289">
        <f t="shared" si="43"/>
        <v>54</v>
      </c>
      <c r="AK558" s="289">
        <f t="shared" si="44"/>
        <v>1573.7647309972754</v>
      </c>
    </row>
    <row r="559" spans="1:37">
      <c r="A559" s="703" t="s">
        <v>1414</v>
      </c>
      <c r="B559" s="703" t="s">
        <v>331</v>
      </c>
      <c r="C559" s="703" t="s">
        <v>390</v>
      </c>
      <c r="D559" s="703" t="s">
        <v>391</v>
      </c>
      <c r="E559" s="703" t="s">
        <v>334</v>
      </c>
      <c r="F559" s="703" t="s">
        <v>335</v>
      </c>
      <c r="G559" s="703" t="s">
        <v>1415</v>
      </c>
      <c r="H559" s="703" t="s">
        <v>334</v>
      </c>
      <c r="I559" s="703" t="s">
        <v>334</v>
      </c>
      <c r="J559" s="703" t="s">
        <v>337</v>
      </c>
      <c r="K559" s="704">
        <v>0</v>
      </c>
      <c r="L559" s="703" t="s">
        <v>334</v>
      </c>
      <c r="M559" s="702">
        <v>42886</v>
      </c>
      <c r="N559" s="702">
        <v>43293</v>
      </c>
      <c r="O559" s="703" t="s">
        <v>338</v>
      </c>
      <c r="P559" s="20">
        <v>35014.870000000003</v>
      </c>
      <c r="Q559" s="20">
        <v>0</v>
      </c>
      <c r="R559" s="20">
        <v>0</v>
      </c>
      <c r="S559" s="20">
        <v>0</v>
      </c>
      <c r="T559" s="20">
        <v>35014.870000000003</v>
      </c>
      <c r="U559" s="20">
        <v>31171.119999999999</v>
      </c>
      <c r="V559" s="20">
        <v>-3843.75</v>
      </c>
      <c r="W559" s="20">
        <v>-5010.91</v>
      </c>
      <c r="X559" s="20">
        <v>-1167.1600000000001</v>
      </c>
      <c r="Y559" s="20">
        <v>0</v>
      </c>
      <c r="Z559" s="20">
        <v>0</v>
      </c>
      <c r="AA559" s="20">
        <v>0</v>
      </c>
      <c r="AB559" s="20">
        <v>30003.96</v>
      </c>
      <c r="AC559" t="s">
        <v>188</v>
      </c>
      <c r="AD559" t="s">
        <v>290</v>
      </c>
      <c r="AE559" s="702">
        <f t="shared" si="40"/>
        <v>43252</v>
      </c>
      <c r="AF559" s="289">
        <v>58161.4959153081</v>
      </c>
      <c r="AG559">
        <f t="shared" si="41"/>
        <v>360</v>
      </c>
      <c r="AH559" s="289">
        <f t="shared" si="42"/>
        <v>161.55971087585584</v>
      </c>
      <c r="AJ559" s="289">
        <f t="shared" si="43"/>
        <v>54</v>
      </c>
      <c r="AK559" s="289">
        <f t="shared" si="44"/>
        <v>8724.2243872962154</v>
      </c>
    </row>
    <row r="560" spans="1:37">
      <c r="A560" s="703" t="s">
        <v>1416</v>
      </c>
      <c r="B560" s="703" t="s">
        <v>331</v>
      </c>
      <c r="C560" s="703" t="s">
        <v>390</v>
      </c>
      <c r="D560" s="703" t="s">
        <v>391</v>
      </c>
      <c r="E560" s="703" t="s">
        <v>334</v>
      </c>
      <c r="F560" s="703" t="s">
        <v>335</v>
      </c>
      <c r="G560" s="703" t="s">
        <v>1417</v>
      </c>
      <c r="H560" s="703" t="s">
        <v>334</v>
      </c>
      <c r="I560" s="703" t="s">
        <v>334</v>
      </c>
      <c r="J560" s="703" t="s">
        <v>337</v>
      </c>
      <c r="K560" s="704">
        <v>0</v>
      </c>
      <c r="L560" s="703" t="s">
        <v>334</v>
      </c>
      <c r="M560" s="702">
        <v>42886</v>
      </c>
      <c r="N560" s="702">
        <v>43293</v>
      </c>
      <c r="O560" s="703" t="s">
        <v>338</v>
      </c>
      <c r="P560" s="20">
        <v>4491.4799999999996</v>
      </c>
      <c r="Q560" s="20">
        <v>0</v>
      </c>
      <c r="R560" s="20">
        <v>0</v>
      </c>
      <c r="S560" s="20">
        <v>0</v>
      </c>
      <c r="T560" s="20">
        <v>4491.4799999999996</v>
      </c>
      <c r="U560" s="20">
        <v>3979.94</v>
      </c>
      <c r="V560" s="20">
        <v>-511.54</v>
      </c>
      <c r="W560" s="20">
        <v>-661.26</v>
      </c>
      <c r="X560" s="20">
        <v>-149.72</v>
      </c>
      <c r="Y560" s="20">
        <v>0</v>
      </c>
      <c r="Z560" s="20">
        <v>0</v>
      </c>
      <c r="AA560" s="20">
        <v>0</v>
      </c>
      <c r="AB560" s="20">
        <v>3830.22</v>
      </c>
      <c r="AC560" t="s">
        <v>188</v>
      </c>
      <c r="AD560" t="s">
        <v>290</v>
      </c>
      <c r="AE560" s="702">
        <f t="shared" si="40"/>
        <v>43252</v>
      </c>
      <c r="AF560" s="289">
        <v>7460.5787676403752</v>
      </c>
      <c r="AG560">
        <f t="shared" si="41"/>
        <v>360</v>
      </c>
      <c r="AH560" s="289">
        <f t="shared" si="42"/>
        <v>20.723829910112155</v>
      </c>
      <c r="AJ560" s="289">
        <f t="shared" si="43"/>
        <v>54</v>
      </c>
      <c r="AK560" s="289">
        <f t="shared" si="44"/>
        <v>1119.0868151460563</v>
      </c>
    </row>
    <row r="561" spans="1:37">
      <c r="A561" s="703" t="s">
        <v>1418</v>
      </c>
      <c r="B561" s="703" t="s">
        <v>331</v>
      </c>
      <c r="C561" s="703" t="s">
        <v>390</v>
      </c>
      <c r="D561" s="703" t="s">
        <v>391</v>
      </c>
      <c r="E561" s="703" t="s">
        <v>334</v>
      </c>
      <c r="F561" s="703" t="s">
        <v>335</v>
      </c>
      <c r="G561" s="703" t="s">
        <v>1417</v>
      </c>
      <c r="H561" s="703" t="s">
        <v>334</v>
      </c>
      <c r="I561" s="703" t="s">
        <v>334</v>
      </c>
      <c r="J561" s="703" t="s">
        <v>337</v>
      </c>
      <c r="K561" s="704">
        <v>0</v>
      </c>
      <c r="L561" s="703" t="s">
        <v>334</v>
      </c>
      <c r="M561" s="702">
        <v>42886</v>
      </c>
      <c r="N561" s="702">
        <v>43293</v>
      </c>
      <c r="O561" s="703" t="s">
        <v>338</v>
      </c>
      <c r="P561" s="20">
        <v>14633.76</v>
      </c>
      <c r="Q561" s="20">
        <v>0</v>
      </c>
      <c r="R561" s="20">
        <v>0</v>
      </c>
      <c r="S561" s="20">
        <v>0</v>
      </c>
      <c r="T561" s="20">
        <v>14633.76</v>
      </c>
      <c r="U561" s="20">
        <v>12967.14</v>
      </c>
      <c r="V561" s="20">
        <v>-1666.62</v>
      </c>
      <c r="W561" s="20">
        <v>-2154.41</v>
      </c>
      <c r="X561" s="20">
        <v>-487.79</v>
      </c>
      <c r="Y561" s="20">
        <v>0</v>
      </c>
      <c r="Z561" s="20">
        <v>0</v>
      </c>
      <c r="AA561" s="20">
        <v>0</v>
      </c>
      <c r="AB561" s="20">
        <v>12479.35</v>
      </c>
      <c r="AC561" t="s">
        <v>188</v>
      </c>
      <c r="AD561" t="s">
        <v>290</v>
      </c>
      <c r="AE561" s="702">
        <f t="shared" si="40"/>
        <v>43252</v>
      </c>
      <c r="AF561" s="289">
        <v>24307.426315322573</v>
      </c>
      <c r="AG561">
        <f t="shared" si="41"/>
        <v>360</v>
      </c>
      <c r="AH561" s="289">
        <f t="shared" si="42"/>
        <v>67.520628653673811</v>
      </c>
      <c r="AJ561" s="289">
        <f t="shared" si="43"/>
        <v>54</v>
      </c>
      <c r="AK561" s="289">
        <f t="shared" si="44"/>
        <v>3646.1139472983859</v>
      </c>
    </row>
    <row r="562" spans="1:37">
      <c r="A562" s="703" t="s">
        <v>1419</v>
      </c>
      <c r="B562" s="703" t="s">
        <v>331</v>
      </c>
      <c r="C562" s="703" t="s">
        <v>390</v>
      </c>
      <c r="D562" s="703" t="s">
        <v>391</v>
      </c>
      <c r="E562" s="703" t="s">
        <v>334</v>
      </c>
      <c r="F562" s="703" t="s">
        <v>335</v>
      </c>
      <c r="G562" s="703" t="s">
        <v>1420</v>
      </c>
      <c r="H562" s="703" t="s">
        <v>334</v>
      </c>
      <c r="I562" s="703" t="s">
        <v>334</v>
      </c>
      <c r="J562" s="703" t="s">
        <v>337</v>
      </c>
      <c r="K562" s="704">
        <v>0</v>
      </c>
      <c r="L562" s="703" t="s">
        <v>334</v>
      </c>
      <c r="M562" s="702">
        <v>43251</v>
      </c>
      <c r="N562" s="702">
        <v>43293</v>
      </c>
      <c r="O562" s="703" t="s">
        <v>338</v>
      </c>
      <c r="P562" s="20">
        <v>10782.22</v>
      </c>
      <c r="Q562" s="20">
        <v>0</v>
      </c>
      <c r="R562" s="20">
        <v>0</v>
      </c>
      <c r="S562" s="20">
        <v>0</v>
      </c>
      <c r="T562" s="20">
        <v>10782.22</v>
      </c>
      <c r="U562" s="20">
        <v>9554.24</v>
      </c>
      <c r="V562" s="20">
        <v>-1227.98</v>
      </c>
      <c r="W562" s="20">
        <v>-1587.39</v>
      </c>
      <c r="X562" s="20">
        <v>-359.41</v>
      </c>
      <c r="Y562" s="20">
        <v>0</v>
      </c>
      <c r="Z562" s="20">
        <v>0</v>
      </c>
      <c r="AA562" s="20">
        <v>0</v>
      </c>
      <c r="AB562" s="20">
        <v>9194.83</v>
      </c>
      <c r="AC562" t="s">
        <v>188</v>
      </c>
      <c r="AD562" t="s">
        <v>290</v>
      </c>
      <c r="AE562" s="702">
        <f t="shared" si="40"/>
        <v>43252</v>
      </c>
      <c r="AF562" s="289">
        <v>17909.820727249684</v>
      </c>
      <c r="AG562">
        <f t="shared" si="41"/>
        <v>360</v>
      </c>
      <c r="AH562" s="289">
        <f t="shared" si="42"/>
        <v>49.74950202013801</v>
      </c>
      <c r="AJ562" s="289">
        <f t="shared" si="43"/>
        <v>54</v>
      </c>
      <c r="AK562" s="289">
        <f t="shared" si="44"/>
        <v>2686.4731090874525</v>
      </c>
    </row>
    <row r="563" spans="1:37">
      <c r="A563" s="703" t="s">
        <v>1421</v>
      </c>
      <c r="B563" s="703" t="s">
        <v>331</v>
      </c>
      <c r="C563" s="703" t="s">
        <v>390</v>
      </c>
      <c r="D563" s="703" t="s">
        <v>391</v>
      </c>
      <c r="E563" s="703" t="s">
        <v>334</v>
      </c>
      <c r="F563" s="703" t="s">
        <v>335</v>
      </c>
      <c r="G563" s="703" t="s">
        <v>1422</v>
      </c>
      <c r="H563" s="703" t="s">
        <v>334</v>
      </c>
      <c r="I563" s="703" t="s">
        <v>334</v>
      </c>
      <c r="J563" s="703" t="s">
        <v>337</v>
      </c>
      <c r="K563" s="704">
        <v>0</v>
      </c>
      <c r="L563" s="703" t="s">
        <v>334</v>
      </c>
      <c r="M563" s="702">
        <v>42886</v>
      </c>
      <c r="N563" s="702">
        <v>43293</v>
      </c>
      <c r="O563" s="703" t="s">
        <v>338</v>
      </c>
      <c r="P563" s="20">
        <v>671.71</v>
      </c>
      <c r="Q563" s="20">
        <v>0</v>
      </c>
      <c r="R563" s="20">
        <v>0</v>
      </c>
      <c r="S563" s="20">
        <v>0</v>
      </c>
      <c r="T563" s="20">
        <v>671.71</v>
      </c>
      <c r="U563" s="20">
        <v>595.21</v>
      </c>
      <c r="V563" s="20">
        <v>-76.5</v>
      </c>
      <c r="W563" s="20">
        <v>-98.89</v>
      </c>
      <c r="X563" s="20">
        <v>-22.39</v>
      </c>
      <c r="Y563" s="20">
        <v>0</v>
      </c>
      <c r="Z563" s="20">
        <v>0</v>
      </c>
      <c r="AA563" s="20">
        <v>0</v>
      </c>
      <c r="AB563" s="20">
        <v>572.82000000000005</v>
      </c>
      <c r="AC563" t="s">
        <v>188</v>
      </c>
      <c r="AD563" t="s">
        <v>290</v>
      </c>
      <c r="AE563" s="702">
        <f t="shared" si="40"/>
        <v>43252</v>
      </c>
      <c r="AF563" s="289">
        <v>1115.7447798969865</v>
      </c>
      <c r="AG563">
        <f t="shared" si="41"/>
        <v>360</v>
      </c>
      <c r="AH563" s="289">
        <f t="shared" si="42"/>
        <v>3.0992910552694068</v>
      </c>
      <c r="AJ563" s="289">
        <f t="shared" si="43"/>
        <v>54</v>
      </c>
      <c r="AK563" s="289">
        <f t="shared" si="44"/>
        <v>167.36171698454797</v>
      </c>
    </row>
    <row r="564" spans="1:37">
      <c r="A564" s="703" t="s">
        <v>1423</v>
      </c>
      <c r="B564" s="703" t="s">
        <v>331</v>
      </c>
      <c r="C564" s="703" t="s">
        <v>390</v>
      </c>
      <c r="D564" s="703" t="s">
        <v>391</v>
      </c>
      <c r="E564" s="703" t="s">
        <v>334</v>
      </c>
      <c r="F564" s="703" t="s">
        <v>335</v>
      </c>
      <c r="G564" s="703" t="s">
        <v>1424</v>
      </c>
      <c r="H564" s="703" t="s">
        <v>334</v>
      </c>
      <c r="I564" s="703" t="s">
        <v>334</v>
      </c>
      <c r="J564" s="703" t="s">
        <v>337</v>
      </c>
      <c r="K564" s="704">
        <v>0</v>
      </c>
      <c r="L564" s="703" t="s">
        <v>334</v>
      </c>
      <c r="M564" s="702">
        <v>42886</v>
      </c>
      <c r="N564" s="702">
        <v>43293</v>
      </c>
      <c r="O564" s="703" t="s">
        <v>338</v>
      </c>
      <c r="P564" s="20">
        <v>4063.52</v>
      </c>
      <c r="Q564" s="20">
        <v>0</v>
      </c>
      <c r="R564" s="20">
        <v>0</v>
      </c>
      <c r="S564" s="20">
        <v>0</v>
      </c>
      <c r="T564" s="20">
        <v>4063.52</v>
      </c>
      <c r="U564" s="20">
        <v>3600.73</v>
      </c>
      <c r="V564" s="20">
        <v>-462.79</v>
      </c>
      <c r="W564" s="20">
        <v>-598.24</v>
      </c>
      <c r="X564" s="20">
        <v>-135.44999999999999</v>
      </c>
      <c r="Y564" s="20">
        <v>0</v>
      </c>
      <c r="Z564" s="20">
        <v>0</v>
      </c>
      <c r="AA564" s="20">
        <v>0</v>
      </c>
      <c r="AB564" s="20">
        <v>3465.28</v>
      </c>
      <c r="AC564" t="s">
        <v>188</v>
      </c>
      <c r="AD564" t="s">
        <v>290</v>
      </c>
      <c r="AE564" s="702">
        <f t="shared" si="40"/>
        <v>43252</v>
      </c>
      <c r="AF564" s="289">
        <v>6749.7152461732039</v>
      </c>
      <c r="AG564">
        <f t="shared" si="41"/>
        <v>360</v>
      </c>
      <c r="AH564" s="289">
        <f t="shared" si="42"/>
        <v>18.749209017147788</v>
      </c>
      <c r="AJ564" s="289">
        <f t="shared" si="43"/>
        <v>54</v>
      </c>
      <c r="AK564" s="289">
        <f t="shared" si="44"/>
        <v>1012.4572869259805</v>
      </c>
    </row>
    <row r="565" spans="1:37">
      <c r="A565" s="703" t="s">
        <v>1425</v>
      </c>
      <c r="B565" s="703" t="s">
        <v>331</v>
      </c>
      <c r="C565" s="703" t="s">
        <v>390</v>
      </c>
      <c r="D565" s="703" t="s">
        <v>391</v>
      </c>
      <c r="E565" s="703" t="s">
        <v>334</v>
      </c>
      <c r="F565" s="703" t="s">
        <v>335</v>
      </c>
      <c r="G565" s="703" t="s">
        <v>1426</v>
      </c>
      <c r="H565" s="703" t="s">
        <v>334</v>
      </c>
      <c r="I565" s="703" t="s">
        <v>334</v>
      </c>
      <c r="J565" s="703" t="s">
        <v>337</v>
      </c>
      <c r="K565" s="704">
        <v>0</v>
      </c>
      <c r="L565" s="703" t="s">
        <v>334</v>
      </c>
      <c r="M565" s="702">
        <v>42886</v>
      </c>
      <c r="N565" s="702">
        <v>43293</v>
      </c>
      <c r="O565" s="703" t="s">
        <v>338</v>
      </c>
      <c r="P565" s="20">
        <v>9236.5400000000009</v>
      </c>
      <c r="Q565" s="20">
        <v>0</v>
      </c>
      <c r="R565" s="20">
        <v>0</v>
      </c>
      <c r="S565" s="20">
        <v>0</v>
      </c>
      <c r="T565" s="20">
        <v>9236.5400000000009</v>
      </c>
      <c r="U565" s="20">
        <v>8184.61</v>
      </c>
      <c r="V565" s="20">
        <v>-1051.93</v>
      </c>
      <c r="W565" s="20">
        <v>-1359.81</v>
      </c>
      <c r="X565" s="20">
        <v>-307.88</v>
      </c>
      <c r="Y565" s="20">
        <v>0</v>
      </c>
      <c r="Z565" s="20">
        <v>0</v>
      </c>
      <c r="AA565" s="20">
        <v>0</v>
      </c>
      <c r="AB565" s="20">
        <v>7876.73</v>
      </c>
      <c r="AC565" t="s">
        <v>188</v>
      </c>
      <c r="AD565" t="s">
        <v>290</v>
      </c>
      <c r="AE565" s="702">
        <f t="shared" si="40"/>
        <v>43252</v>
      </c>
      <c r="AF565" s="289">
        <v>15342.366928153091</v>
      </c>
      <c r="AG565">
        <f t="shared" si="41"/>
        <v>360</v>
      </c>
      <c r="AH565" s="289">
        <f t="shared" si="42"/>
        <v>42.617685911536363</v>
      </c>
      <c r="AJ565" s="289">
        <f t="shared" si="43"/>
        <v>54</v>
      </c>
      <c r="AK565" s="289">
        <f t="shared" si="44"/>
        <v>2301.3550392229636</v>
      </c>
    </row>
    <row r="566" spans="1:37">
      <c r="A566" s="703" t="s">
        <v>1427</v>
      </c>
      <c r="B566" s="703" t="s">
        <v>331</v>
      </c>
      <c r="C566" s="703" t="s">
        <v>390</v>
      </c>
      <c r="D566" s="703" t="s">
        <v>391</v>
      </c>
      <c r="E566" s="703" t="s">
        <v>334</v>
      </c>
      <c r="F566" s="703" t="s">
        <v>335</v>
      </c>
      <c r="G566" s="703" t="s">
        <v>1428</v>
      </c>
      <c r="H566" s="703" t="s">
        <v>334</v>
      </c>
      <c r="I566" s="703" t="s">
        <v>334</v>
      </c>
      <c r="J566" s="703" t="s">
        <v>337</v>
      </c>
      <c r="K566" s="704">
        <v>0</v>
      </c>
      <c r="L566" s="703" t="s">
        <v>334</v>
      </c>
      <c r="M566" s="702">
        <v>42063</v>
      </c>
      <c r="N566" s="702">
        <v>43293</v>
      </c>
      <c r="O566" s="703" t="s">
        <v>338</v>
      </c>
      <c r="P566" s="20">
        <v>4631.76</v>
      </c>
      <c r="Q566" s="20">
        <v>0</v>
      </c>
      <c r="R566" s="20">
        <v>0</v>
      </c>
      <c r="S566" s="20">
        <v>0</v>
      </c>
      <c r="T566" s="20">
        <v>4631.76</v>
      </c>
      <c r="U566" s="20">
        <v>4104.26</v>
      </c>
      <c r="V566" s="20">
        <v>-527.5</v>
      </c>
      <c r="W566" s="20">
        <v>-681.89</v>
      </c>
      <c r="X566" s="20">
        <v>-154.38999999999999</v>
      </c>
      <c r="Y566" s="20">
        <v>0</v>
      </c>
      <c r="Z566" s="20">
        <v>0</v>
      </c>
      <c r="AA566" s="20">
        <v>0</v>
      </c>
      <c r="AB566" s="20">
        <v>3949.87</v>
      </c>
      <c r="AC566" t="s">
        <v>188</v>
      </c>
      <c r="AD566" t="s">
        <v>290</v>
      </c>
      <c r="AE566" s="702">
        <f t="shared" si="40"/>
        <v>43252</v>
      </c>
      <c r="AF566" s="289">
        <v>7693.5910463379532</v>
      </c>
      <c r="AG566">
        <f t="shared" si="41"/>
        <v>360</v>
      </c>
      <c r="AH566" s="289">
        <f t="shared" si="42"/>
        <v>21.371086239827648</v>
      </c>
      <c r="AJ566" s="289">
        <f t="shared" si="43"/>
        <v>54</v>
      </c>
      <c r="AK566" s="289">
        <f t="shared" si="44"/>
        <v>1154.0386569506929</v>
      </c>
    </row>
    <row r="567" spans="1:37">
      <c r="A567" s="703" t="s">
        <v>1429</v>
      </c>
      <c r="B567" s="703" t="s">
        <v>331</v>
      </c>
      <c r="C567" s="703" t="s">
        <v>574</v>
      </c>
      <c r="D567" s="703" t="s">
        <v>575</v>
      </c>
      <c r="E567" s="703" t="s">
        <v>334</v>
      </c>
      <c r="F567" s="703" t="s">
        <v>335</v>
      </c>
      <c r="G567" s="703" t="s">
        <v>1430</v>
      </c>
      <c r="H567" s="703" t="s">
        <v>334</v>
      </c>
      <c r="I567" s="703" t="s">
        <v>334</v>
      </c>
      <c r="J567" s="703" t="s">
        <v>577</v>
      </c>
      <c r="K567" s="704">
        <v>0</v>
      </c>
      <c r="L567" s="703" t="s">
        <v>334</v>
      </c>
      <c r="M567" s="702">
        <v>43100</v>
      </c>
      <c r="N567" s="702">
        <v>43293</v>
      </c>
      <c r="O567" s="703" t="s">
        <v>338</v>
      </c>
      <c r="P567" s="20">
        <v>7980</v>
      </c>
      <c r="Q567" s="20">
        <v>0</v>
      </c>
      <c r="R567" s="20">
        <v>0</v>
      </c>
      <c r="S567" s="20">
        <v>0</v>
      </c>
      <c r="T567" s="20">
        <v>7980</v>
      </c>
      <c r="U567" s="20">
        <v>7071.17</v>
      </c>
      <c r="V567" s="20">
        <v>-908.83</v>
      </c>
      <c r="W567" s="20">
        <v>-1174.83</v>
      </c>
      <c r="X567" s="20">
        <v>-266</v>
      </c>
      <c r="Y567" s="20">
        <v>0</v>
      </c>
      <c r="Z567" s="20">
        <v>0</v>
      </c>
      <c r="AA567" s="20">
        <v>0</v>
      </c>
      <c r="AB567" s="20">
        <v>6805.17</v>
      </c>
      <c r="AC567" t="s">
        <v>578</v>
      </c>
      <c r="AD567" t="s">
        <v>290</v>
      </c>
      <c r="AE567" s="702">
        <f t="shared" si="40"/>
        <v>43252</v>
      </c>
      <c r="AF567" s="289">
        <v>13255.189506748377</v>
      </c>
      <c r="AG567">
        <f t="shared" si="41"/>
        <v>360</v>
      </c>
      <c r="AH567" s="289">
        <f t="shared" si="42"/>
        <v>36.819970852078825</v>
      </c>
      <c r="AJ567" s="289">
        <f t="shared" si="43"/>
        <v>54</v>
      </c>
      <c r="AK567" s="289">
        <f t="shared" si="44"/>
        <v>1988.2784260122567</v>
      </c>
    </row>
    <row r="568" spans="1:37">
      <c r="A568" s="703" t="s">
        <v>1431</v>
      </c>
      <c r="B568" s="703" t="s">
        <v>331</v>
      </c>
      <c r="C568" s="703" t="s">
        <v>332</v>
      </c>
      <c r="D568" s="703" t="s">
        <v>333</v>
      </c>
      <c r="E568" s="703" t="s">
        <v>334</v>
      </c>
      <c r="F568" s="703" t="s">
        <v>335</v>
      </c>
      <c r="G568" s="703" t="s">
        <v>1432</v>
      </c>
      <c r="H568" s="703" t="s">
        <v>334</v>
      </c>
      <c r="I568" s="703" t="s">
        <v>334</v>
      </c>
      <c r="J568" s="703" t="s">
        <v>337</v>
      </c>
      <c r="K568" s="704">
        <v>0</v>
      </c>
      <c r="L568" s="703" t="s">
        <v>334</v>
      </c>
      <c r="M568" s="702">
        <v>39478</v>
      </c>
      <c r="N568" s="702">
        <v>43320</v>
      </c>
      <c r="O568" s="703" t="s">
        <v>338</v>
      </c>
      <c r="P568" s="20">
        <v>1770366.45</v>
      </c>
      <c r="Q568" s="20">
        <v>0</v>
      </c>
      <c r="R568" s="20">
        <v>0</v>
      </c>
      <c r="S568" s="20">
        <v>0</v>
      </c>
      <c r="T568" s="20">
        <v>1770366.45</v>
      </c>
      <c r="U568" s="20">
        <v>1573659.05</v>
      </c>
      <c r="V568" s="20">
        <v>-196707.4</v>
      </c>
      <c r="W568" s="20">
        <v>-255719.62</v>
      </c>
      <c r="X568" s="20">
        <v>-59012.22</v>
      </c>
      <c r="Y568" s="20">
        <v>0</v>
      </c>
      <c r="Z568" s="20">
        <v>0</v>
      </c>
      <c r="AA568" s="20">
        <v>0</v>
      </c>
      <c r="AB568" s="20">
        <v>1514646.83</v>
      </c>
      <c r="AC568" t="s">
        <v>183</v>
      </c>
      <c r="AD568" t="s">
        <v>290</v>
      </c>
      <c r="AE568" s="702">
        <f t="shared" si="40"/>
        <v>43252</v>
      </c>
      <c r="AF568" s="289">
        <v>2940669.5226991698</v>
      </c>
      <c r="AG568">
        <f t="shared" si="41"/>
        <v>360</v>
      </c>
      <c r="AH568" s="289">
        <f t="shared" si="42"/>
        <v>8168.526451942138</v>
      </c>
      <c r="AJ568" s="289">
        <f t="shared" si="43"/>
        <v>54</v>
      </c>
      <c r="AK568" s="289">
        <f t="shared" si="44"/>
        <v>441100.42840487545</v>
      </c>
    </row>
    <row r="569" spans="1:37">
      <c r="A569" s="703" t="s">
        <v>1433</v>
      </c>
      <c r="B569" s="703" t="s">
        <v>331</v>
      </c>
      <c r="C569" s="703" t="s">
        <v>390</v>
      </c>
      <c r="D569" s="703" t="s">
        <v>391</v>
      </c>
      <c r="E569" s="703" t="s">
        <v>334</v>
      </c>
      <c r="F569" s="703" t="s">
        <v>335</v>
      </c>
      <c r="G569" s="703" t="s">
        <v>1434</v>
      </c>
      <c r="H569" s="703" t="s">
        <v>334</v>
      </c>
      <c r="I569" s="703" t="s">
        <v>334</v>
      </c>
      <c r="J569" s="703" t="s">
        <v>337</v>
      </c>
      <c r="K569" s="704">
        <v>0</v>
      </c>
      <c r="L569" s="703" t="s">
        <v>334</v>
      </c>
      <c r="M569" s="702">
        <v>42886</v>
      </c>
      <c r="N569" s="702">
        <v>43320</v>
      </c>
      <c r="O569" s="703" t="s">
        <v>338</v>
      </c>
      <c r="P569" s="20">
        <v>1486.97</v>
      </c>
      <c r="Q569" s="20">
        <v>0</v>
      </c>
      <c r="R569" s="20">
        <v>0</v>
      </c>
      <c r="S569" s="20">
        <v>0</v>
      </c>
      <c r="T569" s="20">
        <v>1486.97</v>
      </c>
      <c r="U569" s="20">
        <v>1321.74</v>
      </c>
      <c r="V569" s="20">
        <v>-165.23</v>
      </c>
      <c r="W569" s="20">
        <v>-214.8</v>
      </c>
      <c r="X569" s="20">
        <v>-49.57</v>
      </c>
      <c r="Y569" s="20">
        <v>0</v>
      </c>
      <c r="Z569" s="20">
        <v>0</v>
      </c>
      <c r="AA569" s="20">
        <v>0</v>
      </c>
      <c r="AB569" s="20">
        <v>1272.17</v>
      </c>
      <c r="AC569" t="s">
        <v>188</v>
      </c>
      <c r="AD569" t="s">
        <v>290</v>
      </c>
      <c r="AE569" s="702">
        <f t="shared" si="40"/>
        <v>43252</v>
      </c>
      <c r="AF569" s="289">
        <v>2469.933476296947</v>
      </c>
      <c r="AG569">
        <f t="shared" si="41"/>
        <v>360</v>
      </c>
      <c r="AH569" s="289">
        <f t="shared" si="42"/>
        <v>6.8609263230470754</v>
      </c>
      <c r="AJ569" s="289">
        <f t="shared" si="43"/>
        <v>54</v>
      </c>
      <c r="AK569" s="289">
        <f t="shared" si="44"/>
        <v>370.49002144454209</v>
      </c>
    </row>
    <row r="570" spans="1:37">
      <c r="A570" s="703" t="s">
        <v>1435</v>
      </c>
      <c r="B570" s="703" t="s">
        <v>331</v>
      </c>
      <c r="C570" s="703" t="s">
        <v>332</v>
      </c>
      <c r="D570" s="703" t="s">
        <v>333</v>
      </c>
      <c r="E570" s="703" t="s">
        <v>334</v>
      </c>
      <c r="F570" s="703" t="s">
        <v>335</v>
      </c>
      <c r="G570" s="703" t="s">
        <v>1436</v>
      </c>
      <c r="H570" s="703" t="s">
        <v>334</v>
      </c>
      <c r="I570" s="703" t="s">
        <v>334</v>
      </c>
      <c r="J570" s="703" t="s">
        <v>337</v>
      </c>
      <c r="K570" s="704">
        <v>0</v>
      </c>
      <c r="L570" s="703" t="s">
        <v>334</v>
      </c>
      <c r="M570" s="702">
        <v>39478</v>
      </c>
      <c r="N570" s="702">
        <v>43321</v>
      </c>
      <c r="O570" s="703" t="s">
        <v>338</v>
      </c>
      <c r="P570" s="20">
        <v>37615.800000000003</v>
      </c>
      <c r="Q570" s="20">
        <v>0</v>
      </c>
      <c r="R570" s="20">
        <v>0</v>
      </c>
      <c r="S570" s="20">
        <v>0</v>
      </c>
      <c r="T570" s="20">
        <v>37615.800000000003</v>
      </c>
      <c r="U570" s="20">
        <v>33436.269999999997</v>
      </c>
      <c r="V570" s="20">
        <v>-4179.53</v>
      </c>
      <c r="W570" s="20">
        <v>-5433.39</v>
      </c>
      <c r="X570" s="20">
        <v>-1253.8599999999999</v>
      </c>
      <c r="Y570" s="20">
        <v>0</v>
      </c>
      <c r="Z570" s="20">
        <v>0</v>
      </c>
      <c r="AA570" s="20">
        <v>0</v>
      </c>
      <c r="AB570" s="20">
        <v>32182.41</v>
      </c>
      <c r="AC570" t="s">
        <v>183</v>
      </c>
      <c r="AD570" t="s">
        <v>290</v>
      </c>
      <c r="AE570" s="702">
        <f t="shared" si="40"/>
        <v>43252</v>
      </c>
      <c r="AF570" s="289">
        <v>62481.774116283916</v>
      </c>
      <c r="AG570">
        <f t="shared" si="41"/>
        <v>360</v>
      </c>
      <c r="AH570" s="289">
        <f t="shared" si="42"/>
        <v>173.56048365634422</v>
      </c>
      <c r="AJ570" s="289">
        <f t="shared" si="43"/>
        <v>54</v>
      </c>
      <c r="AK570" s="289">
        <f t="shared" si="44"/>
        <v>9372.2661174425884</v>
      </c>
    </row>
    <row r="571" spans="1:37">
      <c r="A571" s="703" t="s">
        <v>1437</v>
      </c>
      <c r="B571" s="703" t="s">
        <v>331</v>
      </c>
      <c r="C571" s="703" t="s">
        <v>332</v>
      </c>
      <c r="D571" s="703" t="s">
        <v>333</v>
      </c>
      <c r="E571" s="703" t="s">
        <v>334</v>
      </c>
      <c r="F571" s="703" t="s">
        <v>335</v>
      </c>
      <c r="G571" s="703" t="s">
        <v>1438</v>
      </c>
      <c r="H571" s="703" t="s">
        <v>334</v>
      </c>
      <c r="I571" s="703" t="s">
        <v>334</v>
      </c>
      <c r="J571" s="703" t="s">
        <v>337</v>
      </c>
      <c r="K571" s="704">
        <v>0</v>
      </c>
      <c r="L571" s="703" t="s">
        <v>334</v>
      </c>
      <c r="M571" s="702">
        <v>43039</v>
      </c>
      <c r="N571" s="702">
        <v>43321</v>
      </c>
      <c r="O571" s="703" t="s">
        <v>338</v>
      </c>
      <c r="P571" s="20">
        <v>0</v>
      </c>
      <c r="Q571" s="20">
        <v>0</v>
      </c>
      <c r="R571" s="20">
        <v>0</v>
      </c>
      <c r="S571" s="20">
        <v>0</v>
      </c>
      <c r="T571" s="20">
        <v>0</v>
      </c>
      <c r="U571" s="20">
        <v>0</v>
      </c>
      <c r="V571" s="20">
        <v>0</v>
      </c>
      <c r="W571" s="20">
        <v>0</v>
      </c>
      <c r="X571" s="20">
        <v>0</v>
      </c>
      <c r="Y571" s="20">
        <v>0</v>
      </c>
      <c r="Z571" s="20">
        <v>0</v>
      </c>
      <c r="AA571" s="20">
        <v>0</v>
      </c>
      <c r="AB571" s="20">
        <v>0</v>
      </c>
      <c r="AC571" t="s">
        <v>183</v>
      </c>
      <c r="AD571" t="s">
        <v>290</v>
      </c>
      <c r="AE571" s="702">
        <f t="shared" si="40"/>
        <v>43252</v>
      </c>
      <c r="AF571" s="289">
        <v>0</v>
      </c>
      <c r="AG571">
        <f t="shared" si="41"/>
        <v>360</v>
      </c>
      <c r="AH571" s="289">
        <f t="shared" si="42"/>
        <v>0</v>
      </c>
      <c r="AJ571" s="289">
        <f t="shared" si="43"/>
        <v>54</v>
      </c>
      <c r="AK571" s="289">
        <f t="shared" si="44"/>
        <v>0</v>
      </c>
    </row>
    <row r="572" spans="1:37">
      <c r="A572" s="703" t="s">
        <v>1439</v>
      </c>
      <c r="B572" s="703" t="s">
        <v>331</v>
      </c>
      <c r="C572" s="703" t="s">
        <v>332</v>
      </c>
      <c r="D572" s="703" t="s">
        <v>333</v>
      </c>
      <c r="E572" s="703" t="s">
        <v>334</v>
      </c>
      <c r="F572" s="703" t="s">
        <v>335</v>
      </c>
      <c r="G572" s="703" t="s">
        <v>1440</v>
      </c>
      <c r="H572" s="703" t="s">
        <v>334</v>
      </c>
      <c r="I572" s="703" t="s">
        <v>334</v>
      </c>
      <c r="J572" s="703" t="s">
        <v>337</v>
      </c>
      <c r="K572" s="704">
        <v>0</v>
      </c>
      <c r="L572" s="703" t="s">
        <v>334</v>
      </c>
      <c r="M572" s="702">
        <v>41029</v>
      </c>
      <c r="N572" s="702">
        <v>43321</v>
      </c>
      <c r="O572" s="703" t="s">
        <v>338</v>
      </c>
      <c r="P572" s="20">
        <v>328977.25</v>
      </c>
      <c r="Q572" s="20">
        <v>0</v>
      </c>
      <c r="R572" s="20">
        <v>0</v>
      </c>
      <c r="S572" s="20">
        <v>0</v>
      </c>
      <c r="T572" s="20">
        <v>328977.25</v>
      </c>
      <c r="U572" s="20">
        <v>292424.21999999997</v>
      </c>
      <c r="V572" s="20">
        <v>-36553.03</v>
      </c>
      <c r="W572" s="20">
        <v>-47518.94</v>
      </c>
      <c r="X572" s="20">
        <v>-10965.91</v>
      </c>
      <c r="Y572" s="20">
        <v>0</v>
      </c>
      <c r="Z572" s="20">
        <v>0</v>
      </c>
      <c r="AA572" s="20">
        <v>0</v>
      </c>
      <c r="AB572" s="20">
        <v>281458.31</v>
      </c>
      <c r="AC572" t="s">
        <v>183</v>
      </c>
      <c r="AD572" t="s">
        <v>290</v>
      </c>
      <c r="AE572" s="702">
        <f t="shared" si="40"/>
        <v>43252</v>
      </c>
      <c r="AF572" s="289">
        <v>546448.09425550594</v>
      </c>
      <c r="AG572">
        <f t="shared" si="41"/>
        <v>360</v>
      </c>
      <c r="AH572" s="289">
        <f t="shared" si="42"/>
        <v>1517.9113729319611</v>
      </c>
      <c r="AJ572" s="289">
        <f t="shared" si="43"/>
        <v>54</v>
      </c>
      <c r="AK572" s="289">
        <f t="shared" si="44"/>
        <v>81967.2141383259</v>
      </c>
    </row>
    <row r="573" spans="1:37">
      <c r="A573" s="703" t="s">
        <v>1441</v>
      </c>
      <c r="B573" s="703" t="s">
        <v>331</v>
      </c>
      <c r="C573" s="703" t="s">
        <v>332</v>
      </c>
      <c r="D573" s="703" t="s">
        <v>333</v>
      </c>
      <c r="E573" s="703" t="s">
        <v>334</v>
      </c>
      <c r="F573" s="703" t="s">
        <v>335</v>
      </c>
      <c r="G573" s="703" t="s">
        <v>1442</v>
      </c>
      <c r="H573" s="703" t="s">
        <v>334</v>
      </c>
      <c r="I573" s="703" t="s">
        <v>334</v>
      </c>
      <c r="J573" s="703" t="s">
        <v>337</v>
      </c>
      <c r="K573" s="704">
        <v>0</v>
      </c>
      <c r="L573" s="703" t="s">
        <v>334</v>
      </c>
      <c r="M573" s="702">
        <v>42063</v>
      </c>
      <c r="N573" s="702">
        <v>43321</v>
      </c>
      <c r="O573" s="703" t="s">
        <v>338</v>
      </c>
      <c r="P573" s="20">
        <v>124900.51</v>
      </c>
      <c r="Q573" s="20">
        <v>0</v>
      </c>
      <c r="R573" s="20">
        <v>0</v>
      </c>
      <c r="S573" s="20">
        <v>0</v>
      </c>
      <c r="T573" s="20">
        <v>124900.51</v>
      </c>
      <c r="U573" s="20">
        <v>111022.68</v>
      </c>
      <c r="V573" s="20">
        <v>-13877.83</v>
      </c>
      <c r="W573" s="20">
        <v>-18041.18</v>
      </c>
      <c r="X573" s="20">
        <v>-4163.3500000000004</v>
      </c>
      <c r="Y573" s="20">
        <v>0</v>
      </c>
      <c r="Z573" s="20">
        <v>0</v>
      </c>
      <c r="AA573" s="20">
        <v>0</v>
      </c>
      <c r="AB573" s="20">
        <v>106859.33</v>
      </c>
      <c r="AC573" t="s">
        <v>183</v>
      </c>
      <c r="AD573" t="s">
        <v>290</v>
      </c>
      <c r="AE573" s="702">
        <f t="shared" si="40"/>
        <v>43252</v>
      </c>
      <c r="AF573" s="289">
        <v>207466.15658389986</v>
      </c>
      <c r="AG573">
        <f t="shared" si="41"/>
        <v>360</v>
      </c>
      <c r="AH573" s="289">
        <f t="shared" si="42"/>
        <v>576.29487939972182</v>
      </c>
      <c r="AJ573" s="289">
        <f t="shared" si="43"/>
        <v>54</v>
      </c>
      <c r="AK573" s="289">
        <f t="shared" si="44"/>
        <v>31119.92348758498</v>
      </c>
    </row>
    <row r="574" spans="1:37">
      <c r="A574" s="703" t="s">
        <v>1443</v>
      </c>
      <c r="B574" s="703" t="s">
        <v>331</v>
      </c>
      <c r="C574" s="703" t="s">
        <v>332</v>
      </c>
      <c r="D574" s="703" t="s">
        <v>333</v>
      </c>
      <c r="E574" s="703" t="s">
        <v>334</v>
      </c>
      <c r="F574" s="703" t="s">
        <v>335</v>
      </c>
      <c r="G574" s="703" t="s">
        <v>1444</v>
      </c>
      <c r="H574" s="703" t="s">
        <v>334</v>
      </c>
      <c r="I574" s="703" t="s">
        <v>334</v>
      </c>
      <c r="J574" s="703" t="s">
        <v>337</v>
      </c>
      <c r="K574" s="704">
        <v>0</v>
      </c>
      <c r="L574" s="703" t="s">
        <v>334</v>
      </c>
      <c r="M574" s="702">
        <v>42766</v>
      </c>
      <c r="N574" s="702">
        <v>43321</v>
      </c>
      <c r="O574" s="703" t="s">
        <v>338</v>
      </c>
      <c r="P574" s="20">
        <v>228804.28</v>
      </c>
      <c r="Q574" s="20">
        <v>0</v>
      </c>
      <c r="R574" s="20">
        <v>0</v>
      </c>
      <c r="S574" s="20">
        <v>0</v>
      </c>
      <c r="T574" s="20">
        <v>228804.28</v>
      </c>
      <c r="U574" s="20">
        <v>203381.58</v>
      </c>
      <c r="V574" s="20">
        <v>-25422.7</v>
      </c>
      <c r="W574" s="20">
        <v>-33049.51</v>
      </c>
      <c r="X574" s="20">
        <v>-7626.81</v>
      </c>
      <c r="Y574" s="20">
        <v>0</v>
      </c>
      <c r="Z574" s="20">
        <v>0</v>
      </c>
      <c r="AA574" s="20">
        <v>0</v>
      </c>
      <c r="AB574" s="20">
        <v>195754.77</v>
      </c>
      <c r="AC574" t="s">
        <v>183</v>
      </c>
      <c r="AD574" t="s">
        <v>290</v>
      </c>
      <c r="AE574" s="702">
        <f t="shared" si="40"/>
        <v>43252</v>
      </c>
      <c r="AF574" s="289">
        <v>380055.65054575412</v>
      </c>
      <c r="AG574">
        <f t="shared" si="41"/>
        <v>360</v>
      </c>
      <c r="AH574" s="289">
        <f t="shared" si="42"/>
        <v>1055.7101404048726</v>
      </c>
      <c r="AJ574" s="289">
        <f t="shared" si="43"/>
        <v>54</v>
      </c>
      <c r="AK574" s="289">
        <f t="shared" si="44"/>
        <v>57008.34758186312</v>
      </c>
    </row>
    <row r="575" spans="1:37">
      <c r="A575" s="703" t="s">
        <v>1445</v>
      </c>
      <c r="B575" s="703" t="s">
        <v>331</v>
      </c>
      <c r="C575" s="703" t="s">
        <v>390</v>
      </c>
      <c r="D575" s="703" t="s">
        <v>391</v>
      </c>
      <c r="E575" s="703" t="s">
        <v>334</v>
      </c>
      <c r="F575" s="703" t="s">
        <v>335</v>
      </c>
      <c r="G575" s="703" t="s">
        <v>1446</v>
      </c>
      <c r="H575" s="703" t="s">
        <v>334</v>
      </c>
      <c r="I575" s="703" t="s">
        <v>334</v>
      </c>
      <c r="J575" s="703" t="s">
        <v>337</v>
      </c>
      <c r="K575" s="704">
        <v>0</v>
      </c>
      <c r="L575" s="703" t="s">
        <v>334</v>
      </c>
      <c r="M575" s="702">
        <v>42886</v>
      </c>
      <c r="N575" s="702">
        <v>43321</v>
      </c>
      <c r="O575" s="703" t="s">
        <v>338</v>
      </c>
      <c r="P575" s="20">
        <v>1221.93</v>
      </c>
      <c r="Q575" s="20">
        <v>0</v>
      </c>
      <c r="R575" s="20">
        <v>0</v>
      </c>
      <c r="S575" s="20">
        <v>0</v>
      </c>
      <c r="T575" s="20">
        <v>1221.93</v>
      </c>
      <c r="U575" s="20">
        <v>1086.1600000000001</v>
      </c>
      <c r="V575" s="20">
        <v>-135.77000000000001</v>
      </c>
      <c r="W575" s="20">
        <v>-176.5</v>
      </c>
      <c r="X575" s="20">
        <v>-40.729999999999997</v>
      </c>
      <c r="Y575" s="20">
        <v>0</v>
      </c>
      <c r="Z575" s="20">
        <v>0</v>
      </c>
      <c r="AA575" s="20">
        <v>0</v>
      </c>
      <c r="AB575" s="20">
        <v>1045.43</v>
      </c>
      <c r="AC575" t="s">
        <v>188</v>
      </c>
      <c r="AD575" t="s">
        <v>290</v>
      </c>
      <c r="AE575" s="702">
        <f t="shared" si="40"/>
        <v>43252</v>
      </c>
      <c r="AF575" s="289">
        <v>2029.6884353359708</v>
      </c>
      <c r="AG575">
        <f t="shared" si="41"/>
        <v>360</v>
      </c>
      <c r="AH575" s="289">
        <f t="shared" si="42"/>
        <v>5.6380234314888078</v>
      </c>
      <c r="AJ575" s="289">
        <f t="shared" si="43"/>
        <v>54</v>
      </c>
      <c r="AK575" s="289">
        <f t="shared" si="44"/>
        <v>304.45326530039563</v>
      </c>
    </row>
    <row r="576" spans="1:37">
      <c r="A576" s="703" t="s">
        <v>1447</v>
      </c>
      <c r="B576" s="703" t="s">
        <v>331</v>
      </c>
      <c r="C576" s="703" t="s">
        <v>390</v>
      </c>
      <c r="D576" s="703" t="s">
        <v>391</v>
      </c>
      <c r="E576" s="703" t="s">
        <v>334</v>
      </c>
      <c r="F576" s="703" t="s">
        <v>335</v>
      </c>
      <c r="G576" s="703" t="s">
        <v>1448</v>
      </c>
      <c r="H576" s="703" t="s">
        <v>334</v>
      </c>
      <c r="I576" s="703" t="s">
        <v>334</v>
      </c>
      <c r="J576" s="703" t="s">
        <v>337</v>
      </c>
      <c r="K576" s="704">
        <v>0</v>
      </c>
      <c r="L576" s="703" t="s">
        <v>334</v>
      </c>
      <c r="M576" s="702">
        <v>42063</v>
      </c>
      <c r="N576" s="702">
        <v>43321</v>
      </c>
      <c r="O576" s="703" t="s">
        <v>338</v>
      </c>
      <c r="P576" s="20">
        <v>1260.53</v>
      </c>
      <c r="Q576" s="20">
        <v>0</v>
      </c>
      <c r="R576" s="20">
        <v>0</v>
      </c>
      <c r="S576" s="20">
        <v>0</v>
      </c>
      <c r="T576" s="20">
        <v>1260.53</v>
      </c>
      <c r="U576" s="20">
        <v>1120.46</v>
      </c>
      <c r="V576" s="20">
        <v>-140.07</v>
      </c>
      <c r="W576" s="20">
        <v>-182.09</v>
      </c>
      <c r="X576" s="20">
        <v>-42.02</v>
      </c>
      <c r="Y576" s="20">
        <v>0</v>
      </c>
      <c r="Z576" s="20">
        <v>0</v>
      </c>
      <c r="AA576" s="20">
        <v>0</v>
      </c>
      <c r="AB576" s="20">
        <v>1078.44</v>
      </c>
      <c r="AC576" t="s">
        <v>188</v>
      </c>
      <c r="AD576" t="s">
        <v>290</v>
      </c>
      <c r="AE576" s="702">
        <f t="shared" si="40"/>
        <v>43252</v>
      </c>
      <c r="AF576" s="289">
        <v>2093.8050161580868</v>
      </c>
      <c r="AG576">
        <f t="shared" si="41"/>
        <v>360</v>
      </c>
      <c r="AH576" s="289">
        <f t="shared" si="42"/>
        <v>5.8161250448835746</v>
      </c>
      <c r="AJ576" s="289">
        <f t="shared" si="43"/>
        <v>54</v>
      </c>
      <c r="AK576" s="289">
        <f t="shared" si="44"/>
        <v>314.07075242371303</v>
      </c>
    </row>
    <row r="577" spans="1:37">
      <c r="A577" s="703" t="s">
        <v>1449</v>
      </c>
      <c r="B577" s="703" t="s">
        <v>331</v>
      </c>
      <c r="C577" s="703" t="s">
        <v>390</v>
      </c>
      <c r="D577" s="703" t="s">
        <v>391</v>
      </c>
      <c r="E577" s="703" t="s">
        <v>334</v>
      </c>
      <c r="F577" s="703" t="s">
        <v>335</v>
      </c>
      <c r="G577" s="703" t="s">
        <v>1450</v>
      </c>
      <c r="H577" s="703" t="s">
        <v>334</v>
      </c>
      <c r="I577" s="703" t="s">
        <v>334</v>
      </c>
      <c r="J577" s="703" t="s">
        <v>337</v>
      </c>
      <c r="K577" s="704">
        <v>0</v>
      </c>
      <c r="L577" s="703" t="s">
        <v>334</v>
      </c>
      <c r="M577" s="702">
        <v>42063</v>
      </c>
      <c r="N577" s="702">
        <v>43321</v>
      </c>
      <c r="O577" s="703" t="s">
        <v>338</v>
      </c>
      <c r="P577" s="20">
        <v>8578.67</v>
      </c>
      <c r="Q577" s="20">
        <v>0</v>
      </c>
      <c r="R577" s="20">
        <v>0</v>
      </c>
      <c r="S577" s="20">
        <v>0</v>
      </c>
      <c r="T577" s="20">
        <v>8578.67</v>
      </c>
      <c r="U577" s="20">
        <v>7625.47</v>
      </c>
      <c r="V577" s="20">
        <v>-953.2</v>
      </c>
      <c r="W577" s="20">
        <v>-1239.1600000000001</v>
      </c>
      <c r="X577" s="20">
        <v>-285.95999999999998</v>
      </c>
      <c r="Y577" s="20">
        <v>0</v>
      </c>
      <c r="Z577" s="20">
        <v>0</v>
      </c>
      <c r="AA577" s="20">
        <v>0</v>
      </c>
      <c r="AB577" s="20">
        <v>7339.51</v>
      </c>
      <c r="AC577" t="s">
        <v>188</v>
      </c>
      <c r="AD577" t="s">
        <v>290</v>
      </c>
      <c r="AE577" s="702">
        <f t="shared" si="40"/>
        <v>43252</v>
      </c>
      <c r="AF577" s="289">
        <v>14249.611098478335</v>
      </c>
      <c r="AG577">
        <f t="shared" si="41"/>
        <v>360</v>
      </c>
      <c r="AH577" s="289">
        <f t="shared" si="42"/>
        <v>39.582253051328706</v>
      </c>
      <c r="AJ577" s="289">
        <f t="shared" si="43"/>
        <v>54</v>
      </c>
      <c r="AK577" s="289">
        <f t="shared" si="44"/>
        <v>2137.4416647717503</v>
      </c>
    </row>
    <row r="578" spans="1:37">
      <c r="A578" s="703" t="s">
        <v>1451</v>
      </c>
      <c r="B578" s="703" t="s">
        <v>331</v>
      </c>
      <c r="C578" s="703" t="s">
        <v>390</v>
      </c>
      <c r="D578" s="703" t="s">
        <v>391</v>
      </c>
      <c r="E578" s="703" t="s">
        <v>334</v>
      </c>
      <c r="F578" s="703" t="s">
        <v>335</v>
      </c>
      <c r="G578" s="703" t="s">
        <v>1452</v>
      </c>
      <c r="H578" s="703" t="s">
        <v>334</v>
      </c>
      <c r="I578" s="703" t="s">
        <v>334</v>
      </c>
      <c r="J578" s="703" t="s">
        <v>337</v>
      </c>
      <c r="K578" s="704">
        <v>0</v>
      </c>
      <c r="L578" s="703" t="s">
        <v>334</v>
      </c>
      <c r="M578" s="702">
        <v>42947</v>
      </c>
      <c r="N578" s="702">
        <v>43321</v>
      </c>
      <c r="O578" s="703" t="s">
        <v>338</v>
      </c>
      <c r="P578" s="20">
        <v>1796.66</v>
      </c>
      <c r="Q578" s="20">
        <v>0</v>
      </c>
      <c r="R578" s="20">
        <v>0</v>
      </c>
      <c r="S578" s="20">
        <v>0</v>
      </c>
      <c r="T578" s="20">
        <v>1796.66</v>
      </c>
      <c r="U578" s="20">
        <v>1597.03</v>
      </c>
      <c r="V578" s="20">
        <v>-199.63</v>
      </c>
      <c r="W578" s="20">
        <v>-259.52</v>
      </c>
      <c r="X578" s="20">
        <v>-59.89</v>
      </c>
      <c r="Y578" s="20">
        <v>0</v>
      </c>
      <c r="Z578" s="20">
        <v>0</v>
      </c>
      <c r="AA578" s="20">
        <v>0</v>
      </c>
      <c r="AB578" s="20">
        <v>1537.14</v>
      </c>
      <c r="AC578" t="s">
        <v>188</v>
      </c>
      <c r="AD578" t="s">
        <v>290</v>
      </c>
      <c r="AE578" s="702">
        <f t="shared" si="40"/>
        <v>43252</v>
      </c>
      <c r="AF578" s="289">
        <v>2984.3444585456818</v>
      </c>
      <c r="AG578">
        <f t="shared" si="41"/>
        <v>360</v>
      </c>
      <c r="AH578" s="289">
        <f t="shared" si="42"/>
        <v>8.2898457181824501</v>
      </c>
      <c r="AJ578" s="289">
        <f t="shared" si="43"/>
        <v>54</v>
      </c>
      <c r="AK578" s="289">
        <f t="shared" si="44"/>
        <v>447.65166878185232</v>
      </c>
    </row>
    <row r="579" spans="1:37">
      <c r="A579" s="703" t="s">
        <v>1453</v>
      </c>
      <c r="B579" s="703" t="s">
        <v>331</v>
      </c>
      <c r="C579" s="703" t="s">
        <v>574</v>
      </c>
      <c r="D579" s="703" t="s">
        <v>575</v>
      </c>
      <c r="E579" s="703" t="s">
        <v>334</v>
      </c>
      <c r="F579" s="703" t="s">
        <v>335</v>
      </c>
      <c r="G579" s="703" t="s">
        <v>1454</v>
      </c>
      <c r="H579" s="703" t="s">
        <v>334</v>
      </c>
      <c r="I579" s="703" t="s">
        <v>334</v>
      </c>
      <c r="J579" s="703" t="s">
        <v>577</v>
      </c>
      <c r="K579" s="704">
        <v>0</v>
      </c>
      <c r="L579" s="703" t="s">
        <v>334</v>
      </c>
      <c r="M579" s="702">
        <v>43100</v>
      </c>
      <c r="N579" s="702">
        <v>43321</v>
      </c>
      <c r="O579" s="703" t="s">
        <v>338</v>
      </c>
      <c r="P579" s="20">
        <v>9310</v>
      </c>
      <c r="Q579" s="20">
        <v>0</v>
      </c>
      <c r="R579" s="20">
        <v>0</v>
      </c>
      <c r="S579" s="20">
        <v>0</v>
      </c>
      <c r="T579" s="20">
        <v>9310</v>
      </c>
      <c r="U579" s="20">
        <v>8275.57</v>
      </c>
      <c r="V579" s="20">
        <v>-1034.43</v>
      </c>
      <c r="W579" s="20">
        <v>-1344.76</v>
      </c>
      <c r="X579" s="20">
        <v>-310.33</v>
      </c>
      <c r="Y579" s="20">
        <v>0</v>
      </c>
      <c r="Z579" s="20">
        <v>0</v>
      </c>
      <c r="AA579" s="20">
        <v>0</v>
      </c>
      <c r="AB579" s="20">
        <v>7965.24</v>
      </c>
      <c r="AC579" t="s">
        <v>578</v>
      </c>
      <c r="AD579" t="s">
        <v>290</v>
      </c>
      <c r="AE579" s="702">
        <f t="shared" si="40"/>
        <v>43252</v>
      </c>
      <c r="AF579" s="289">
        <v>15464.387757873108</v>
      </c>
      <c r="AG579">
        <f t="shared" si="41"/>
        <v>360</v>
      </c>
      <c r="AH579" s="289">
        <f t="shared" si="42"/>
        <v>42.956632660758636</v>
      </c>
      <c r="AJ579" s="289">
        <f t="shared" si="43"/>
        <v>54</v>
      </c>
      <c r="AK579" s="289">
        <f t="shared" si="44"/>
        <v>2319.6581636809665</v>
      </c>
    </row>
    <row r="580" spans="1:37">
      <c r="A580" s="703" t="s">
        <v>1455</v>
      </c>
      <c r="B580" s="703" t="s">
        <v>331</v>
      </c>
      <c r="C580" s="703" t="s">
        <v>574</v>
      </c>
      <c r="D580" s="703" t="s">
        <v>575</v>
      </c>
      <c r="E580" s="703" t="s">
        <v>334</v>
      </c>
      <c r="F580" s="703" t="s">
        <v>335</v>
      </c>
      <c r="G580" s="703" t="s">
        <v>1456</v>
      </c>
      <c r="H580" s="703" t="s">
        <v>334</v>
      </c>
      <c r="I580" s="703" t="s">
        <v>334</v>
      </c>
      <c r="J580" s="703" t="s">
        <v>577</v>
      </c>
      <c r="K580" s="704">
        <v>0</v>
      </c>
      <c r="L580" s="703" t="s">
        <v>334</v>
      </c>
      <c r="M580" s="702">
        <v>42766</v>
      </c>
      <c r="N580" s="702">
        <v>43321</v>
      </c>
      <c r="O580" s="703" t="s">
        <v>338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0</v>
      </c>
      <c r="AA580" s="20">
        <v>0</v>
      </c>
      <c r="AB580" s="20">
        <v>0</v>
      </c>
      <c r="AC580" t="s">
        <v>578</v>
      </c>
      <c r="AD580" t="s">
        <v>290</v>
      </c>
      <c r="AE580" s="702">
        <f t="shared" si="40"/>
        <v>43252</v>
      </c>
      <c r="AF580" s="289">
        <v>0</v>
      </c>
      <c r="AG580">
        <f t="shared" si="41"/>
        <v>360</v>
      </c>
      <c r="AH580" s="289">
        <f t="shared" si="42"/>
        <v>0</v>
      </c>
      <c r="AJ580" s="289">
        <f t="shared" si="43"/>
        <v>54</v>
      </c>
      <c r="AK580" s="289">
        <f t="shared" si="44"/>
        <v>0</v>
      </c>
    </row>
    <row r="581" spans="1:37">
      <c r="A581" s="703" t="s">
        <v>1457</v>
      </c>
      <c r="B581" s="703" t="s">
        <v>331</v>
      </c>
      <c r="C581" s="703" t="s">
        <v>574</v>
      </c>
      <c r="D581" s="703" t="s">
        <v>575</v>
      </c>
      <c r="E581" s="703" t="s">
        <v>334</v>
      </c>
      <c r="F581" s="703" t="s">
        <v>335</v>
      </c>
      <c r="G581" s="703" t="s">
        <v>1458</v>
      </c>
      <c r="H581" s="703" t="s">
        <v>334</v>
      </c>
      <c r="I581" s="703" t="s">
        <v>334</v>
      </c>
      <c r="J581" s="703" t="s">
        <v>577</v>
      </c>
      <c r="K581" s="704">
        <v>0</v>
      </c>
      <c r="L581" s="703" t="s">
        <v>334</v>
      </c>
      <c r="M581" s="702">
        <v>42766</v>
      </c>
      <c r="N581" s="702">
        <v>43321</v>
      </c>
      <c r="O581" s="703" t="s">
        <v>338</v>
      </c>
      <c r="P581" s="20">
        <v>650647.30000000005</v>
      </c>
      <c r="Q581" s="20">
        <v>0</v>
      </c>
      <c r="R581" s="20">
        <v>0</v>
      </c>
      <c r="S581" s="20">
        <v>0</v>
      </c>
      <c r="T581" s="20">
        <v>650647.30000000005</v>
      </c>
      <c r="U581" s="20">
        <v>578353.17000000004</v>
      </c>
      <c r="V581" s="20">
        <v>-72294.13</v>
      </c>
      <c r="W581" s="20">
        <v>-93982.37</v>
      </c>
      <c r="X581" s="20">
        <v>-21688.240000000002</v>
      </c>
      <c r="Y581" s="20">
        <v>0</v>
      </c>
      <c r="Z581" s="20">
        <v>0</v>
      </c>
      <c r="AA581" s="20">
        <v>0</v>
      </c>
      <c r="AB581" s="20">
        <v>556664.93000000005</v>
      </c>
      <c r="AC581" t="s">
        <v>578</v>
      </c>
      <c r="AD581" t="s">
        <v>290</v>
      </c>
      <c r="AE581" s="702">
        <f t="shared" si="40"/>
        <v>43252</v>
      </c>
      <c r="AF581" s="289">
        <v>1080758.5543300959</v>
      </c>
      <c r="AG581">
        <f t="shared" si="41"/>
        <v>360</v>
      </c>
      <c r="AH581" s="289">
        <f t="shared" si="42"/>
        <v>3002.1070953613776</v>
      </c>
      <c r="AJ581" s="289">
        <f t="shared" si="43"/>
        <v>54</v>
      </c>
      <c r="AK581" s="289">
        <f t="shared" si="44"/>
        <v>162113.78314951438</v>
      </c>
    </row>
    <row r="582" spans="1:37">
      <c r="A582" s="703" t="s">
        <v>1459</v>
      </c>
      <c r="B582" s="703" t="s">
        <v>331</v>
      </c>
      <c r="C582" s="703" t="s">
        <v>574</v>
      </c>
      <c r="D582" s="703" t="s">
        <v>575</v>
      </c>
      <c r="E582" s="703" t="s">
        <v>334</v>
      </c>
      <c r="F582" s="703" t="s">
        <v>335</v>
      </c>
      <c r="G582" s="703" t="s">
        <v>1460</v>
      </c>
      <c r="H582" s="703" t="s">
        <v>334</v>
      </c>
      <c r="I582" s="703" t="s">
        <v>334</v>
      </c>
      <c r="J582" s="703" t="s">
        <v>577</v>
      </c>
      <c r="K582" s="704">
        <v>0</v>
      </c>
      <c r="L582" s="703" t="s">
        <v>334</v>
      </c>
      <c r="M582" s="702">
        <v>42978</v>
      </c>
      <c r="N582" s="702">
        <v>43321</v>
      </c>
      <c r="O582" s="703" t="s">
        <v>338</v>
      </c>
      <c r="P582" s="20">
        <v>135161.73000000001</v>
      </c>
      <c r="Q582" s="20">
        <v>0</v>
      </c>
      <c r="R582" s="20">
        <v>0</v>
      </c>
      <c r="S582" s="20">
        <v>0</v>
      </c>
      <c r="T582" s="20">
        <v>135161.73000000001</v>
      </c>
      <c r="U582" s="20">
        <v>120143.76</v>
      </c>
      <c r="V582" s="20">
        <v>-15017.97</v>
      </c>
      <c r="W582" s="20">
        <v>-19523.36</v>
      </c>
      <c r="X582" s="20">
        <v>-4505.3900000000003</v>
      </c>
      <c r="Y582" s="20">
        <v>0</v>
      </c>
      <c r="Z582" s="20">
        <v>0</v>
      </c>
      <c r="AA582" s="20">
        <v>0</v>
      </c>
      <c r="AB582" s="20">
        <v>115638.37</v>
      </c>
      <c r="AC582" t="s">
        <v>578</v>
      </c>
      <c r="AD582" t="s">
        <v>290</v>
      </c>
      <c r="AE582" s="702">
        <f t="shared" si="40"/>
        <v>43252</v>
      </c>
      <c r="AF582" s="289">
        <v>224510.56957518266</v>
      </c>
      <c r="AG582">
        <f t="shared" si="41"/>
        <v>360</v>
      </c>
      <c r="AH582" s="289">
        <f t="shared" si="42"/>
        <v>623.640471042174</v>
      </c>
      <c r="AJ582" s="289">
        <f t="shared" si="43"/>
        <v>54</v>
      </c>
      <c r="AK582" s="289">
        <f t="shared" si="44"/>
        <v>33676.585436277397</v>
      </c>
    </row>
    <row r="583" spans="1:37">
      <c r="A583" s="703" t="s">
        <v>1461</v>
      </c>
      <c r="B583" s="703" t="s">
        <v>331</v>
      </c>
      <c r="C583" s="703" t="s">
        <v>574</v>
      </c>
      <c r="D583" s="703" t="s">
        <v>575</v>
      </c>
      <c r="E583" s="703" t="s">
        <v>334</v>
      </c>
      <c r="F583" s="703" t="s">
        <v>335</v>
      </c>
      <c r="G583" s="703" t="s">
        <v>1462</v>
      </c>
      <c r="H583" s="703" t="s">
        <v>334</v>
      </c>
      <c r="I583" s="703" t="s">
        <v>334</v>
      </c>
      <c r="J583" s="703" t="s">
        <v>577</v>
      </c>
      <c r="K583" s="704">
        <v>0</v>
      </c>
      <c r="L583" s="703" t="s">
        <v>334</v>
      </c>
      <c r="M583" s="702">
        <v>43251</v>
      </c>
      <c r="N583" s="702">
        <v>43321</v>
      </c>
      <c r="O583" s="703" t="s">
        <v>338</v>
      </c>
      <c r="P583" s="20">
        <v>325</v>
      </c>
      <c r="Q583" s="20">
        <v>0</v>
      </c>
      <c r="R583" s="20">
        <v>0</v>
      </c>
      <c r="S583" s="20">
        <v>0</v>
      </c>
      <c r="T583" s="20">
        <v>325</v>
      </c>
      <c r="U583" s="20">
        <v>288.89999999999998</v>
      </c>
      <c r="V583" s="20">
        <v>-36.1</v>
      </c>
      <c r="W583" s="20">
        <v>-46.93</v>
      </c>
      <c r="X583" s="20">
        <v>-10.83</v>
      </c>
      <c r="Y583" s="20">
        <v>0</v>
      </c>
      <c r="Z583" s="20">
        <v>0</v>
      </c>
      <c r="AA583" s="20">
        <v>0</v>
      </c>
      <c r="AB583" s="20">
        <v>278.07</v>
      </c>
      <c r="AC583" t="s">
        <v>578</v>
      </c>
      <c r="AD583" t="s">
        <v>290</v>
      </c>
      <c r="AE583" s="702">
        <f t="shared" ref="AE583:AE646" si="45">IF(N583&gt;=$AG$5,DATE(YEAR(N583),6,1),DATE(YEAR(N583),6,1))</f>
        <v>43252</v>
      </c>
      <c r="AF583" s="289">
        <v>539.84167790641891</v>
      </c>
      <c r="AG583">
        <f t="shared" ref="AG583:AG646" si="46">+IF(AD583="intangível",20*12,IF(AD583="Diferido",120,IF(AD583="Não vinculados",0,IF(AE583&lt;=$AG$5,F583*12,360))))</f>
        <v>360</v>
      </c>
      <c r="AH583" s="289">
        <f t="shared" ref="AH583:AH646" si="47">IF(AG583=0,0,AF583/AG583)</f>
        <v>1.4995602164067192</v>
      </c>
      <c r="AJ583" s="289">
        <f t="shared" ref="AJ583:AJ646" si="48">+IF(AND(YEAR(AE583)&gt;=2018,YEAR(AE583)&lt;=2022),IF(DATEDIF(AE583,$AK$4,"m")&gt;=AG583,AG583,DATEDIF(AE583,$AK$4,"m")),0)</f>
        <v>54</v>
      </c>
      <c r="AK583" s="289">
        <f t="shared" ref="AK583:AK646" si="49">IF(AD583="Imobilizado",AJ583*AH583,0)</f>
        <v>80.976251685962836</v>
      </c>
    </row>
    <row r="584" spans="1:37">
      <c r="A584" s="703" t="s">
        <v>1463</v>
      </c>
      <c r="B584" s="703" t="s">
        <v>331</v>
      </c>
      <c r="C584" s="703" t="s">
        <v>574</v>
      </c>
      <c r="D584" s="703" t="s">
        <v>575</v>
      </c>
      <c r="E584" s="703" t="s">
        <v>334</v>
      </c>
      <c r="F584" s="703" t="s">
        <v>335</v>
      </c>
      <c r="G584" s="703" t="s">
        <v>1464</v>
      </c>
      <c r="H584" s="703" t="s">
        <v>334</v>
      </c>
      <c r="I584" s="703" t="s">
        <v>334</v>
      </c>
      <c r="J584" s="703" t="s">
        <v>577</v>
      </c>
      <c r="K584" s="704">
        <v>0</v>
      </c>
      <c r="L584" s="703" t="s">
        <v>334</v>
      </c>
      <c r="M584" s="702">
        <v>42978</v>
      </c>
      <c r="N584" s="702">
        <v>43329</v>
      </c>
      <c r="O584" s="703" t="s">
        <v>338</v>
      </c>
      <c r="P584" s="20">
        <v>30711.200000000001</v>
      </c>
      <c r="Q584" s="20">
        <v>0</v>
      </c>
      <c r="R584" s="20">
        <v>0</v>
      </c>
      <c r="S584" s="20">
        <v>0</v>
      </c>
      <c r="T584" s="20">
        <v>30711.200000000001</v>
      </c>
      <c r="U584" s="20">
        <v>27298.83</v>
      </c>
      <c r="V584" s="20">
        <v>-3412.37</v>
      </c>
      <c r="W584" s="20">
        <v>-4436.08</v>
      </c>
      <c r="X584" s="20">
        <v>-1023.71</v>
      </c>
      <c r="Y584" s="20">
        <v>0</v>
      </c>
      <c r="Z584" s="20">
        <v>0</v>
      </c>
      <c r="AA584" s="20">
        <v>0</v>
      </c>
      <c r="AB584" s="20">
        <v>26275.119999999999</v>
      </c>
      <c r="AC584" t="s">
        <v>578</v>
      </c>
      <c r="AD584" t="s">
        <v>290</v>
      </c>
      <c r="AE584" s="702">
        <f t="shared" si="45"/>
        <v>43252</v>
      </c>
      <c r="AF584" s="289">
        <v>51012.879195444963</v>
      </c>
      <c r="AG584">
        <f t="shared" si="46"/>
        <v>360</v>
      </c>
      <c r="AH584" s="289">
        <f t="shared" si="47"/>
        <v>141.70244220956934</v>
      </c>
      <c r="AJ584" s="289">
        <f t="shared" si="48"/>
        <v>54</v>
      </c>
      <c r="AK584" s="289">
        <f t="shared" si="49"/>
        <v>7651.931879316744</v>
      </c>
    </row>
    <row r="585" spans="1:37">
      <c r="A585" s="703" t="s">
        <v>1465</v>
      </c>
      <c r="B585" s="703" t="s">
        <v>331</v>
      </c>
      <c r="C585" s="703" t="s">
        <v>472</v>
      </c>
      <c r="D585" s="703" t="s">
        <v>473</v>
      </c>
      <c r="E585" s="703" t="s">
        <v>334</v>
      </c>
      <c r="F585" s="703" t="s">
        <v>474</v>
      </c>
      <c r="G585" s="703" t="s">
        <v>479</v>
      </c>
      <c r="H585" s="703" t="s">
        <v>1466</v>
      </c>
      <c r="I585" s="703" t="s">
        <v>334</v>
      </c>
      <c r="J585" s="703" t="s">
        <v>476</v>
      </c>
      <c r="K585" s="704">
        <v>0</v>
      </c>
      <c r="L585" s="703" t="s">
        <v>334</v>
      </c>
      <c r="M585" s="702"/>
      <c r="N585" s="702">
        <v>43343</v>
      </c>
      <c r="O585" s="703" t="s">
        <v>338</v>
      </c>
      <c r="P585" s="20">
        <v>146297.34</v>
      </c>
      <c r="Q585" s="20">
        <v>0</v>
      </c>
      <c r="R585" s="20">
        <v>0</v>
      </c>
      <c r="S585" s="20">
        <v>0</v>
      </c>
      <c r="T585" s="20">
        <v>146297.34</v>
      </c>
      <c r="U585" s="20">
        <v>97981.34</v>
      </c>
      <c r="V585" s="20">
        <v>-48316</v>
      </c>
      <c r="W585" s="20">
        <v>-62945.73</v>
      </c>
      <c r="X585" s="20">
        <v>-14629.73</v>
      </c>
      <c r="Y585" s="20">
        <v>0</v>
      </c>
      <c r="Z585" s="20">
        <v>0</v>
      </c>
      <c r="AA585" s="20">
        <v>0</v>
      </c>
      <c r="AB585" s="20">
        <v>83351.61</v>
      </c>
      <c r="AC585" t="s">
        <v>477</v>
      </c>
      <c r="AD585" t="s">
        <v>290</v>
      </c>
      <c r="AE585" s="702">
        <f t="shared" si="45"/>
        <v>43252</v>
      </c>
      <c r="AF585" s="289">
        <v>243007.38922721799</v>
      </c>
      <c r="AG585">
        <f t="shared" si="46"/>
        <v>360</v>
      </c>
      <c r="AH585" s="289">
        <f t="shared" si="47"/>
        <v>675.02052563116115</v>
      </c>
      <c r="AJ585" s="289">
        <f t="shared" si="48"/>
        <v>54</v>
      </c>
      <c r="AK585" s="289">
        <f t="shared" si="49"/>
        <v>36451.108384082705</v>
      </c>
    </row>
    <row r="586" spans="1:37">
      <c r="A586" s="703" t="s">
        <v>1467</v>
      </c>
      <c r="B586" s="703" t="s">
        <v>331</v>
      </c>
      <c r="C586" s="703" t="s">
        <v>332</v>
      </c>
      <c r="D586" s="703" t="s">
        <v>333</v>
      </c>
      <c r="E586" s="703" t="s">
        <v>334</v>
      </c>
      <c r="F586" s="703" t="s">
        <v>335</v>
      </c>
      <c r="G586" s="703" t="s">
        <v>1468</v>
      </c>
      <c r="H586" s="703" t="s">
        <v>334</v>
      </c>
      <c r="I586" s="703" t="s">
        <v>334</v>
      </c>
      <c r="J586" s="703" t="s">
        <v>337</v>
      </c>
      <c r="K586" s="704">
        <v>0</v>
      </c>
      <c r="L586" s="703" t="s">
        <v>334</v>
      </c>
      <c r="M586" s="702">
        <v>42613</v>
      </c>
      <c r="N586" s="702">
        <v>43357</v>
      </c>
      <c r="O586" s="703" t="s">
        <v>338</v>
      </c>
      <c r="P586" s="20">
        <v>0</v>
      </c>
      <c r="Q586" s="20">
        <v>0</v>
      </c>
      <c r="R586" s="20">
        <v>0</v>
      </c>
      <c r="S586" s="20">
        <v>0</v>
      </c>
      <c r="T586" s="20">
        <v>0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0</v>
      </c>
      <c r="AA586" s="20">
        <v>0</v>
      </c>
      <c r="AB586" s="20">
        <v>0</v>
      </c>
      <c r="AC586" t="s">
        <v>183</v>
      </c>
      <c r="AD586" t="s">
        <v>290</v>
      </c>
      <c r="AE586" s="702">
        <f t="shared" si="45"/>
        <v>43252</v>
      </c>
      <c r="AF586" s="289">
        <v>0</v>
      </c>
      <c r="AG586">
        <f t="shared" si="46"/>
        <v>360</v>
      </c>
      <c r="AH586" s="289">
        <f t="shared" si="47"/>
        <v>0</v>
      </c>
      <c r="AJ586" s="289">
        <f t="shared" si="48"/>
        <v>54</v>
      </c>
      <c r="AK586" s="289">
        <f t="shared" si="49"/>
        <v>0</v>
      </c>
    </row>
    <row r="587" spans="1:37">
      <c r="A587" s="703" t="s">
        <v>1469</v>
      </c>
      <c r="B587" s="703" t="s">
        <v>331</v>
      </c>
      <c r="C587" s="703" t="s">
        <v>332</v>
      </c>
      <c r="D587" s="703" t="s">
        <v>333</v>
      </c>
      <c r="E587" s="703" t="s">
        <v>334</v>
      </c>
      <c r="F587" s="703" t="s">
        <v>335</v>
      </c>
      <c r="G587" s="703" t="s">
        <v>1470</v>
      </c>
      <c r="H587" s="703" t="s">
        <v>334</v>
      </c>
      <c r="I587" s="703" t="s">
        <v>334</v>
      </c>
      <c r="J587" s="703" t="s">
        <v>337</v>
      </c>
      <c r="K587" s="704">
        <v>0</v>
      </c>
      <c r="L587" s="703" t="s">
        <v>334</v>
      </c>
      <c r="M587" s="702">
        <v>42886</v>
      </c>
      <c r="N587" s="702">
        <v>43357</v>
      </c>
      <c r="O587" s="703" t="s">
        <v>338</v>
      </c>
      <c r="P587" s="20">
        <v>6786.51</v>
      </c>
      <c r="Q587" s="20">
        <v>0</v>
      </c>
      <c r="R587" s="20">
        <v>0</v>
      </c>
      <c r="S587" s="20">
        <v>0</v>
      </c>
      <c r="T587" s="20">
        <v>6786.51</v>
      </c>
      <c r="U587" s="20">
        <v>6051.3</v>
      </c>
      <c r="V587" s="20">
        <v>-735.21</v>
      </c>
      <c r="W587" s="20">
        <v>-961.43</v>
      </c>
      <c r="X587" s="20">
        <v>-226.22</v>
      </c>
      <c r="Y587" s="20">
        <v>0</v>
      </c>
      <c r="Z587" s="20">
        <v>0</v>
      </c>
      <c r="AA587" s="20">
        <v>0</v>
      </c>
      <c r="AB587" s="20">
        <v>5825.08</v>
      </c>
      <c r="AC587" t="s">
        <v>183</v>
      </c>
      <c r="AD587" t="s">
        <v>290</v>
      </c>
      <c r="AE587" s="702">
        <f t="shared" si="45"/>
        <v>43252</v>
      </c>
      <c r="AF587" s="289">
        <v>11272.741370857511</v>
      </c>
      <c r="AG587">
        <f t="shared" si="46"/>
        <v>360</v>
      </c>
      <c r="AH587" s="289">
        <f t="shared" si="47"/>
        <v>31.313170474604199</v>
      </c>
      <c r="AJ587" s="289">
        <f t="shared" si="48"/>
        <v>54</v>
      </c>
      <c r="AK587" s="289">
        <f t="shared" si="49"/>
        <v>1690.9112056286267</v>
      </c>
    </row>
    <row r="588" spans="1:37">
      <c r="A588" s="703" t="s">
        <v>1471</v>
      </c>
      <c r="B588" s="703" t="s">
        <v>331</v>
      </c>
      <c r="C588" s="703" t="s">
        <v>332</v>
      </c>
      <c r="D588" s="703" t="s">
        <v>333</v>
      </c>
      <c r="E588" s="703" t="s">
        <v>334</v>
      </c>
      <c r="F588" s="703" t="s">
        <v>335</v>
      </c>
      <c r="G588" s="703" t="s">
        <v>696</v>
      </c>
      <c r="H588" s="703" t="s">
        <v>334</v>
      </c>
      <c r="I588" s="703" t="s">
        <v>334</v>
      </c>
      <c r="J588" s="703" t="s">
        <v>337</v>
      </c>
      <c r="K588" s="704">
        <v>0</v>
      </c>
      <c r="L588" s="703" t="s">
        <v>334</v>
      </c>
      <c r="M588" s="702">
        <v>39478</v>
      </c>
      <c r="N588" s="702">
        <v>43357</v>
      </c>
      <c r="O588" s="703" t="s">
        <v>338</v>
      </c>
      <c r="P588" s="20">
        <v>61173.61</v>
      </c>
      <c r="Q588" s="20">
        <v>0</v>
      </c>
      <c r="R588" s="20">
        <v>0</v>
      </c>
      <c r="S588" s="20">
        <v>0</v>
      </c>
      <c r="T588" s="20">
        <v>61173.61</v>
      </c>
      <c r="U588" s="20">
        <v>54546.47</v>
      </c>
      <c r="V588" s="20">
        <v>-6627.14</v>
      </c>
      <c r="W588" s="20">
        <v>-8666.26</v>
      </c>
      <c r="X588" s="20">
        <v>-2039.12</v>
      </c>
      <c r="Y588" s="20">
        <v>0</v>
      </c>
      <c r="Z588" s="20">
        <v>0</v>
      </c>
      <c r="AA588" s="20">
        <v>0</v>
      </c>
      <c r="AB588" s="20">
        <v>52507.35</v>
      </c>
      <c r="AC588" t="s">
        <v>183</v>
      </c>
      <c r="AD588" t="s">
        <v>290</v>
      </c>
      <c r="AE588" s="702">
        <f t="shared" si="45"/>
        <v>43252</v>
      </c>
      <c r="AF588" s="289">
        <v>101612.50543382426</v>
      </c>
      <c r="AG588">
        <f t="shared" si="46"/>
        <v>360</v>
      </c>
      <c r="AH588" s="289">
        <f t="shared" si="47"/>
        <v>282.25695953840074</v>
      </c>
      <c r="AJ588" s="289">
        <f t="shared" si="48"/>
        <v>54</v>
      </c>
      <c r="AK588" s="289">
        <f t="shared" si="49"/>
        <v>15241.875815073639</v>
      </c>
    </row>
    <row r="589" spans="1:37">
      <c r="A589" s="703" t="s">
        <v>1472</v>
      </c>
      <c r="B589" s="703" t="s">
        <v>331</v>
      </c>
      <c r="C589" s="703" t="s">
        <v>332</v>
      </c>
      <c r="D589" s="703" t="s">
        <v>333</v>
      </c>
      <c r="E589" s="703" t="s">
        <v>334</v>
      </c>
      <c r="F589" s="703" t="s">
        <v>335</v>
      </c>
      <c r="G589" s="703" t="s">
        <v>1470</v>
      </c>
      <c r="H589" s="703" t="s">
        <v>334</v>
      </c>
      <c r="I589" s="703" t="s">
        <v>334</v>
      </c>
      <c r="J589" s="703" t="s">
        <v>337</v>
      </c>
      <c r="K589" s="704">
        <v>0</v>
      </c>
      <c r="L589" s="703" t="s">
        <v>334</v>
      </c>
      <c r="M589" s="702">
        <v>42886</v>
      </c>
      <c r="N589" s="702">
        <v>43357</v>
      </c>
      <c r="O589" s="703" t="s">
        <v>338</v>
      </c>
      <c r="P589" s="20">
        <v>6288.48</v>
      </c>
      <c r="Q589" s="20">
        <v>0</v>
      </c>
      <c r="R589" s="20">
        <v>0</v>
      </c>
      <c r="S589" s="20">
        <v>0</v>
      </c>
      <c r="T589" s="20">
        <v>6288.48</v>
      </c>
      <c r="U589" s="20">
        <v>5607.22</v>
      </c>
      <c r="V589" s="20">
        <v>-681.26</v>
      </c>
      <c r="W589" s="20">
        <v>-890.88</v>
      </c>
      <c r="X589" s="20">
        <v>-209.62</v>
      </c>
      <c r="Y589" s="20">
        <v>0</v>
      </c>
      <c r="Z589" s="20">
        <v>0</v>
      </c>
      <c r="AA589" s="20">
        <v>0</v>
      </c>
      <c r="AB589" s="20">
        <v>5397.6</v>
      </c>
      <c r="AC589" t="s">
        <v>183</v>
      </c>
      <c r="AD589" t="s">
        <v>290</v>
      </c>
      <c r="AE589" s="702">
        <f t="shared" si="45"/>
        <v>43252</v>
      </c>
      <c r="AF589" s="289">
        <v>10445.487983633713</v>
      </c>
      <c r="AG589">
        <f t="shared" si="46"/>
        <v>360</v>
      </c>
      <c r="AH589" s="289">
        <f t="shared" si="47"/>
        <v>29.015244398982535</v>
      </c>
      <c r="AJ589" s="289">
        <f t="shared" si="48"/>
        <v>54</v>
      </c>
      <c r="AK589" s="289">
        <f t="shared" si="49"/>
        <v>1566.8231975450569</v>
      </c>
    </row>
    <row r="590" spans="1:37">
      <c r="A590" s="703" t="s">
        <v>1473</v>
      </c>
      <c r="B590" s="703" t="s">
        <v>331</v>
      </c>
      <c r="C590" s="703" t="s">
        <v>332</v>
      </c>
      <c r="D590" s="703" t="s">
        <v>333</v>
      </c>
      <c r="E590" s="703" t="s">
        <v>334</v>
      </c>
      <c r="F590" s="703" t="s">
        <v>335</v>
      </c>
      <c r="G590" s="703" t="s">
        <v>1474</v>
      </c>
      <c r="H590" s="703" t="s">
        <v>334</v>
      </c>
      <c r="I590" s="703" t="s">
        <v>334</v>
      </c>
      <c r="J590" s="703" t="s">
        <v>337</v>
      </c>
      <c r="K590" s="704">
        <v>0</v>
      </c>
      <c r="L590" s="703" t="s">
        <v>334</v>
      </c>
      <c r="M590" s="702">
        <v>43039</v>
      </c>
      <c r="N590" s="702">
        <v>43360</v>
      </c>
      <c r="O590" s="703" t="s">
        <v>338</v>
      </c>
      <c r="P590" s="20">
        <v>44931.8</v>
      </c>
      <c r="Q590" s="20">
        <v>0</v>
      </c>
      <c r="R590" s="20">
        <v>0</v>
      </c>
      <c r="S590" s="20">
        <v>0</v>
      </c>
      <c r="T590" s="20">
        <v>44931.8</v>
      </c>
      <c r="U590" s="20">
        <v>40064.18</v>
      </c>
      <c r="V590" s="20">
        <v>-4867.62</v>
      </c>
      <c r="W590" s="20">
        <v>-6365.35</v>
      </c>
      <c r="X590" s="20">
        <v>-1497.73</v>
      </c>
      <c r="Y590" s="20">
        <v>0</v>
      </c>
      <c r="Z590" s="20">
        <v>0</v>
      </c>
      <c r="AA590" s="20">
        <v>0</v>
      </c>
      <c r="AB590" s="20">
        <v>38566.449999999997</v>
      </c>
      <c r="AC590" t="s">
        <v>183</v>
      </c>
      <c r="AD590" t="s">
        <v>290</v>
      </c>
      <c r="AE590" s="702">
        <f t="shared" si="45"/>
        <v>43252</v>
      </c>
      <c r="AF590" s="289">
        <v>74634.025548786565</v>
      </c>
      <c r="AG590">
        <f t="shared" si="46"/>
        <v>360</v>
      </c>
      <c r="AH590" s="289">
        <f t="shared" si="47"/>
        <v>207.31673763551822</v>
      </c>
      <c r="AJ590" s="289">
        <f t="shared" si="48"/>
        <v>54</v>
      </c>
      <c r="AK590" s="289">
        <f t="shared" si="49"/>
        <v>11195.103832317984</v>
      </c>
    </row>
    <row r="591" spans="1:37">
      <c r="A591" s="703" t="s">
        <v>1475</v>
      </c>
      <c r="B591" s="703" t="s">
        <v>331</v>
      </c>
      <c r="C591" s="703" t="s">
        <v>332</v>
      </c>
      <c r="D591" s="703" t="s">
        <v>333</v>
      </c>
      <c r="E591" s="703" t="s">
        <v>334</v>
      </c>
      <c r="F591" s="703" t="s">
        <v>335</v>
      </c>
      <c r="G591" s="703" t="s">
        <v>1476</v>
      </c>
      <c r="H591" s="703" t="s">
        <v>334</v>
      </c>
      <c r="I591" s="703" t="s">
        <v>334</v>
      </c>
      <c r="J591" s="703" t="s">
        <v>337</v>
      </c>
      <c r="K591" s="704">
        <v>0</v>
      </c>
      <c r="L591" s="703" t="s">
        <v>334</v>
      </c>
      <c r="M591" s="702">
        <v>41029</v>
      </c>
      <c r="N591" s="702">
        <v>43360</v>
      </c>
      <c r="O591" s="703" t="s">
        <v>338</v>
      </c>
      <c r="P591" s="20">
        <v>58524.89</v>
      </c>
      <c r="Q591" s="20">
        <v>0</v>
      </c>
      <c r="R591" s="20">
        <v>0</v>
      </c>
      <c r="S591" s="20">
        <v>0</v>
      </c>
      <c r="T591" s="20">
        <v>58524.89</v>
      </c>
      <c r="U591" s="20">
        <v>52184.69</v>
      </c>
      <c r="V591" s="20">
        <v>-6340.2</v>
      </c>
      <c r="W591" s="20">
        <v>-8291.0300000000007</v>
      </c>
      <c r="X591" s="20">
        <v>-1950.83</v>
      </c>
      <c r="Y591" s="20">
        <v>0</v>
      </c>
      <c r="Z591" s="20">
        <v>0</v>
      </c>
      <c r="AA591" s="20">
        <v>0</v>
      </c>
      <c r="AB591" s="20">
        <v>50233.86</v>
      </c>
      <c r="AC591" t="s">
        <v>183</v>
      </c>
      <c r="AD591" t="s">
        <v>290</v>
      </c>
      <c r="AE591" s="702">
        <f t="shared" si="45"/>
        <v>43252</v>
      </c>
      <c r="AF591" s="289">
        <v>97212.845590426441</v>
      </c>
      <c r="AG591">
        <f t="shared" si="46"/>
        <v>360</v>
      </c>
      <c r="AH591" s="289">
        <f t="shared" si="47"/>
        <v>270.03568219562902</v>
      </c>
      <c r="AJ591" s="289">
        <f t="shared" si="48"/>
        <v>54</v>
      </c>
      <c r="AK591" s="289">
        <f t="shared" si="49"/>
        <v>14581.926838563968</v>
      </c>
    </row>
    <row r="592" spans="1:37">
      <c r="A592" s="703" t="s">
        <v>1477</v>
      </c>
      <c r="B592" s="703" t="s">
        <v>331</v>
      </c>
      <c r="C592" s="703" t="s">
        <v>332</v>
      </c>
      <c r="D592" s="703" t="s">
        <v>333</v>
      </c>
      <c r="E592" s="703" t="s">
        <v>334</v>
      </c>
      <c r="F592" s="703" t="s">
        <v>335</v>
      </c>
      <c r="G592" s="703" t="s">
        <v>1478</v>
      </c>
      <c r="H592" s="703" t="s">
        <v>334</v>
      </c>
      <c r="I592" s="703" t="s">
        <v>334</v>
      </c>
      <c r="J592" s="703" t="s">
        <v>337</v>
      </c>
      <c r="K592" s="704">
        <v>0</v>
      </c>
      <c r="L592" s="703" t="s">
        <v>334</v>
      </c>
      <c r="M592" s="702">
        <v>43131</v>
      </c>
      <c r="N592" s="702">
        <v>43360</v>
      </c>
      <c r="O592" s="703" t="s">
        <v>338</v>
      </c>
      <c r="P592" s="20">
        <v>46438.7</v>
      </c>
      <c r="Q592" s="20">
        <v>0</v>
      </c>
      <c r="R592" s="20">
        <v>0</v>
      </c>
      <c r="S592" s="20">
        <v>0</v>
      </c>
      <c r="T592" s="20">
        <v>46438.7</v>
      </c>
      <c r="U592" s="20">
        <v>41407.83</v>
      </c>
      <c r="V592" s="20">
        <v>-5030.87</v>
      </c>
      <c r="W592" s="20">
        <v>-6578.83</v>
      </c>
      <c r="X592" s="20">
        <v>-1547.96</v>
      </c>
      <c r="Y592" s="20">
        <v>0</v>
      </c>
      <c r="Z592" s="20">
        <v>0</v>
      </c>
      <c r="AA592" s="20">
        <v>0</v>
      </c>
      <c r="AB592" s="20">
        <v>39859.870000000003</v>
      </c>
      <c r="AC592" t="s">
        <v>183</v>
      </c>
      <c r="AD592" t="s">
        <v>290</v>
      </c>
      <c r="AE592" s="702">
        <f t="shared" si="45"/>
        <v>43252</v>
      </c>
      <c r="AF592" s="289">
        <v>77137.063777824034</v>
      </c>
      <c r="AG592">
        <f t="shared" si="46"/>
        <v>360</v>
      </c>
      <c r="AH592" s="289">
        <f t="shared" si="47"/>
        <v>214.26962160506676</v>
      </c>
      <c r="AJ592" s="289">
        <f t="shared" si="48"/>
        <v>54</v>
      </c>
      <c r="AK592" s="289">
        <f t="shared" si="49"/>
        <v>11570.559566673604</v>
      </c>
    </row>
    <row r="593" spans="1:37">
      <c r="A593" s="703" t="s">
        <v>1479</v>
      </c>
      <c r="B593" s="703" t="s">
        <v>331</v>
      </c>
      <c r="C593" s="703" t="s">
        <v>332</v>
      </c>
      <c r="D593" s="703" t="s">
        <v>333</v>
      </c>
      <c r="E593" s="703" t="s">
        <v>334</v>
      </c>
      <c r="F593" s="703" t="s">
        <v>335</v>
      </c>
      <c r="G593" s="703" t="s">
        <v>1480</v>
      </c>
      <c r="H593" s="703" t="s">
        <v>334</v>
      </c>
      <c r="I593" s="703" t="s">
        <v>334</v>
      </c>
      <c r="J593" s="703" t="s">
        <v>337</v>
      </c>
      <c r="K593" s="704">
        <v>0</v>
      </c>
      <c r="L593" s="703" t="s">
        <v>334</v>
      </c>
      <c r="M593" s="702">
        <v>42766</v>
      </c>
      <c r="N593" s="702">
        <v>43360</v>
      </c>
      <c r="O593" s="703" t="s">
        <v>338</v>
      </c>
      <c r="P593" s="20">
        <v>1146295.58</v>
      </c>
      <c r="Q593" s="20">
        <v>0</v>
      </c>
      <c r="R593" s="20">
        <v>0</v>
      </c>
      <c r="S593" s="20">
        <v>0</v>
      </c>
      <c r="T593" s="20">
        <v>1146295.58</v>
      </c>
      <c r="U593" s="20">
        <v>1022113.57</v>
      </c>
      <c r="V593" s="20">
        <v>-124182.01</v>
      </c>
      <c r="W593" s="20">
        <v>-162391.85999999999</v>
      </c>
      <c r="X593" s="20">
        <v>-38209.85</v>
      </c>
      <c r="Y593" s="20">
        <v>0</v>
      </c>
      <c r="Z593" s="20">
        <v>0</v>
      </c>
      <c r="AA593" s="20">
        <v>0</v>
      </c>
      <c r="AB593" s="20">
        <v>983903.72</v>
      </c>
      <c r="AC593" t="s">
        <v>183</v>
      </c>
      <c r="AD593" t="s">
        <v>290</v>
      </c>
      <c r="AE593" s="702">
        <f t="shared" si="45"/>
        <v>43252</v>
      </c>
      <c r="AF593" s="289">
        <v>1904055.7824120359</v>
      </c>
      <c r="AG593">
        <f t="shared" si="46"/>
        <v>360</v>
      </c>
      <c r="AH593" s="289">
        <f t="shared" si="47"/>
        <v>5289.0438400334333</v>
      </c>
      <c r="AJ593" s="289">
        <f t="shared" si="48"/>
        <v>54</v>
      </c>
      <c r="AK593" s="289">
        <f t="shared" si="49"/>
        <v>285608.3673618054</v>
      </c>
    </row>
    <row r="594" spans="1:37">
      <c r="A594" s="703" t="s">
        <v>1481</v>
      </c>
      <c r="B594" s="703" t="s">
        <v>331</v>
      </c>
      <c r="C594" s="703" t="s">
        <v>332</v>
      </c>
      <c r="D594" s="703" t="s">
        <v>333</v>
      </c>
      <c r="E594" s="703" t="s">
        <v>334</v>
      </c>
      <c r="F594" s="703" t="s">
        <v>335</v>
      </c>
      <c r="G594" s="703" t="s">
        <v>1482</v>
      </c>
      <c r="H594" s="703" t="s">
        <v>334</v>
      </c>
      <c r="I594" s="703" t="s">
        <v>334</v>
      </c>
      <c r="J594" s="703" t="s">
        <v>337</v>
      </c>
      <c r="K594" s="704">
        <v>0</v>
      </c>
      <c r="L594" s="703" t="s">
        <v>334</v>
      </c>
      <c r="M594" s="702">
        <v>43131</v>
      </c>
      <c r="N594" s="702">
        <v>43360</v>
      </c>
      <c r="O594" s="703" t="s">
        <v>338</v>
      </c>
      <c r="P594" s="20">
        <v>7472.06</v>
      </c>
      <c r="Q594" s="20">
        <v>0</v>
      </c>
      <c r="R594" s="20">
        <v>0</v>
      </c>
      <c r="S594" s="20">
        <v>0</v>
      </c>
      <c r="T594" s="20">
        <v>7472.06</v>
      </c>
      <c r="U594" s="20">
        <v>6662.58</v>
      </c>
      <c r="V594" s="20">
        <v>-809.48</v>
      </c>
      <c r="W594" s="20">
        <v>-1058.55</v>
      </c>
      <c r="X594" s="20">
        <v>-249.07</v>
      </c>
      <c r="Y594" s="20">
        <v>0</v>
      </c>
      <c r="Z594" s="20">
        <v>0</v>
      </c>
      <c r="AA594" s="20">
        <v>0</v>
      </c>
      <c r="AB594" s="20">
        <v>6413.51</v>
      </c>
      <c r="AC594" t="s">
        <v>183</v>
      </c>
      <c r="AD594" t="s">
        <v>290</v>
      </c>
      <c r="AE594" s="702">
        <f t="shared" si="45"/>
        <v>43252</v>
      </c>
      <c r="AF594" s="289">
        <v>12411.475100976728</v>
      </c>
      <c r="AG594">
        <f t="shared" si="46"/>
        <v>360</v>
      </c>
      <c r="AH594" s="289">
        <f t="shared" si="47"/>
        <v>34.476319724935358</v>
      </c>
      <c r="AJ594" s="289">
        <f t="shared" si="48"/>
        <v>54</v>
      </c>
      <c r="AK594" s="289">
        <f t="shared" si="49"/>
        <v>1861.7212651465093</v>
      </c>
    </row>
    <row r="595" spans="1:37">
      <c r="A595" s="703" t="s">
        <v>1483</v>
      </c>
      <c r="B595" s="703" t="s">
        <v>331</v>
      </c>
      <c r="C595" s="703" t="s">
        <v>390</v>
      </c>
      <c r="D595" s="703" t="s">
        <v>391</v>
      </c>
      <c r="E595" s="703" t="s">
        <v>334</v>
      </c>
      <c r="F595" s="703" t="s">
        <v>335</v>
      </c>
      <c r="G595" s="703" t="s">
        <v>1484</v>
      </c>
      <c r="H595" s="703" t="s">
        <v>334</v>
      </c>
      <c r="I595" s="703" t="s">
        <v>334</v>
      </c>
      <c r="J595" s="703" t="s">
        <v>337</v>
      </c>
      <c r="K595" s="704">
        <v>0</v>
      </c>
      <c r="L595" s="703" t="s">
        <v>334</v>
      </c>
      <c r="M595" s="702">
        <v>43100</v>
      </c>
      <c r="N595" s="702">
        <v>43360</v>
      </c>
      <c r="O595" s="703" t="s">
        <v>338</v>
      </c>
      <c r="P595" s="20">
        <v>529.52</v>
      </c>
      <c r="Q595" s="20">
        <v>0</v>
      </c>
      <c r="R595" s="20">
        <v>0</v>
      </c>
      <c r="S595" s="20">
        <v>0</v>
      </c>
      <c r="T595" s="20">
        <v>529.52</v>
      </c>
      <c r="U595" s="20">
        <v>472.16</v>
      </c>
      <c r="V595" s="20">
        <v>-57.36</v>
      </c>
      <c r="W595" s="20">
        <v>-75.010000000000005</v>
      </c>
      <c r="X595" s="20">
        <v>-17.649999999999999</v>
      </c>
      <c r="Y595" s="20">
        <v>0</v>
      </c>
      <c r="Z595" s="20">
        <v>0</v>
      </c>
      <c r="AA595" s="20">
        <v>0</v>
      </c>
      <c r="AB595" s="20">
        <v>454.51</v>
      </c>
      <c r="AC595" t="s">
        <v>188</v>
      </c>
      <c r="AD595" t="s">
        <v>290</v>
      </c>
      <c r="AE595" s="702">
        <f t="shared" si="45"/>
        <v>43252</v>
      </c>
      <c r="AF595" s="289">
        <v>879.55989318463662</v>
      </c>
      <c r="AG595">
        <f t="shared" si="46"/>
        <v>360</v>
      </c>
      <c r="AH595" s="289">
        <f t="shared" si="47"/>
        <v>2.4432219255128795</v>
      </c>
      <c r="AJ595" s="289">
        <f t="shared" si="48"/>
        <v>54</v>
      </c>
      <c r="AK595" s="289">
        <f t="shared" si="49"/>
        <v>131.9339839776955</v>
      </c>
    </row>
    <row r="596" spans="1:37">
      <c r="A596" s="703" t="s">
        <v>1485</v>
      </c>
      <c r="B596" s="703" t="s">
        <v>331</v>
      </c>
      <c r="C596" s="703" t="s">
        <v>574</v>
      </c>
      <c r="D596" s="703" t="s">
        <v>575</v>
      </c>
      <c r="E596" s="703" t="s">
        <v>334</v>
      </c>
      <c r="F596" s="703" t="s">
        <v>335</v>
      </c>
      <c r="G596" s="703" t="s">
        <v>1486</v>
      </c>
      <c r="H596" s="703" t="s">
        <v>334</v>
      </c>
      <c r="I596" s="703" t="s">
        <v>334</v>
      </c>
      <c r="J596" s="703" t="s">
        <v>577</v>
      </c>
      <c r="K596" s="704">
        <v>0</v>
      </c>
      <c r="L596" s="703" t="s">
        <v>334</v>
      </c>
      <c r="M596" s="702">
        <v>42766</v>
      </c>
      <c r="N596" s="702">
        <v>43360</v>
      </c>
      <c r="O596" s="703" t="s">
        <v>338</v>
      </c>
      <c r="P596" s="20">
        <v>214074.57</v>
      </c>
      <c r="Q596" s="20">
        <v>0</v>
      </c>
      <c r="R596" s="20">
        <v>0</v>
      </c>
      <c r="S596" s="20">
        <v>0</v>
      </c>
      <c r="T596" s="20">
        <v>214074.57</v>
      </c>
      <c r="U596" s="20">
        <v>190883.16</v>
      </c>
      <c r="V596" s="20">
        <v>-23191.41</v>
      </c>
      <c r="W596" s="20">
        <v>-30327.23</v>
      </c>
      <c r="X596" s="20">
        <v>-7135.82</v>
      </c>
      <c r="Y596" s="20">
        <v>0</v>
      </c>
      <c r="Z596" s="20">
        <v>0</v>
      </c>
      <c r="AA596" s="20">
        <v>0</v>
      </c>
      <c r="AB596" s="20">
        <v>183747.34</v>
      </c>
      <c r="AC596" t="s">
        <v>578</v>
      </c>
      <c r="AD596" t="s">
        <v>290</v>
      </c>
      <c r="AE596" s="702">
        <f t="shared" si="45"/>
        <v>43252</v>
      </c>
      <c r="AF596" s="289">
        <v>355588.84635660041</v>
      </c>
      <c r="AG596">
        <f t="shared" si="46"/>
        <v>360</v>
      </c>
      <c r="AH596" s="289">
        <f t="shared" si="47"/>
        <v>987.7467954350011</v>
      </c>
      <c r="AJ596" s="289">
        <f t="shared" si="48"/>
        <v>54</v>
      </c>
      <c r="AK596" s="289">
        <f t="shared" si="49"/>
        <v>53338.326953490061</v>
      </c>
    </row>
    <row r="597" spans="1:37">
      <c r="A597" s="703" t="s">
        <v>1487</v>
      </c>
      <c r="B597" s="703" t="s">
        <v>331</v>
      </c>
      <c r="C597" s="703" t="s">
        <v>574</v>
      </c>
      <c r="D597" s="703" t="s">
        <v>575</v>
      </c>
      <c r="E597" s="703" t="s">
        <v>334</v>
      </c>
      <c r="F597" s="703" t="s">
        <v>335</v>
      </c>
      <c r="G597" s="703" t="s">
        <v>1488</v>
      </c>
      <c r="H597" s="703" t="s">
        <v>334</v>
      </c>
      <c r="I597" s="703" t="s">
        <v>334</v>
      </c>
      <c r="J597" s="703" t="s">
        <v>577</v>
      </c>
      <c r="K597" s="704">
        <v>0</v>
      </c>
      <c r="L597" s="703" t="s">
        <v>334</v>
      </c>
      <c r="M597" s="702">
        <v>42766</v>
      </c>
      <c r="N597" s="702">
        <v>43360</v>
      </c>
      <c r="O597" s="703" t="s">
        <v>338</v>
      </c>
      <c r="P597" s="20">
        <v>347123.64</v>
      </c>
      <c r="Q597" s="20">
        <v>0</v>
      </c>
      <c r="R597" s="20">
        <v>0</v>
      </c>
      <c r="S597" s="20">
        <v>0</v>
      </c>
      <c r="T597" s="20">
        <v>347123.64</v>
      </c>
      <c r="U597" s="20">
        <v>309518.57</v>
      </c>
      <c r="V597" s="20">
        <v>-37605.07</v>
      </c>
      <c r="W597" s="20">
        <v>-49175.86</v>
      </c>
      <c r="X597" s="20">
        <v>-11570.79</v>
      </c>
      <c r="Y597" s="20">
        <v>0</v>
      </c>
      <c r="Z597" s="20">
        <v>0</v>
      </c>
      <c r="AA597" s="20">
        <v>0</v>
      </c>
      <c r="AB597" s="20">
        <v>297947.78000000003</v>
      </c>
      <c r="AC597" t="s">
        <v>578</v>
      </c>
      <c r="AD597" t="s">
        <v>290</v>
      </c>
      <c r="AE597" s="702">
        <f t="shared" si="45"/>
        <v>43252</v>
      </c>
      <c r="AF597" s="289">
        <v>576590.17925718066</v>
      </c>
      <c r="AG597">
        <f t="shared" si="46"/>
        <v>360</v>
      </c>
      <c r="AH597" s="289">
        <f t="shared" si="47"/>
        <v>1601.6393868255018</v>
      </c>
      <c r="AJ597" s="289">
        <f t="shared" si="48"/>
        <v>54</v>
      </c>
      <c r="AK597" s="289">
        <f t="shared" si="49"/>
        <v>86488.526888577093</v>
      </c>
    </row>
    <row r="598" spans="1:37">
      <c r="A598" s="703" t="s">
        <v>1489</v>
      </c>
      <c r="B598" s="703" t="s">
        <v>331</v>
      </c>
      <c r="C598" s="703" t="s">
        <v>574</v>
      </c>
      <c r="D598" s="703" t="s">
        <v>575</v>
      </c>
      <c r="E598" s="703" t="s">
        <v>334</v>
      </c>
      <c r="F598" s="703" t="s">
        <v>335</v>
      </c>
      <c r="G598" s="703" t="s">
        <v>1490</v>
      </c>
      <c r="H598" s="703" t="s">
        <v>334</v>
      </c>
      <c r="I598" s="703" t="s">
        <v>334</v>
      </c>
      <c r="J598" s="703" t="s">
        <v>577</v>
      </c>
      <c r="K598" s="704">
        <v>0</v>
      </c>
      <c r="L598" s="703" t="s">
        <v>334</v>
      </c>
      <c r="M598" s="702">
        <v>42825</v>
      </c>
      <c r="N598" s="702">
        <v>43360</v>
      </c>
      <c r="O598" s="703" t="s">
        <v>338</v>
      </c>
      <c r="P598" s="20">
        <v>30571.200000000001</v>
      </c>
      <c r="Q598" s="20">
        <v>0</v>
      </c>
      <c r="R598" s="20">
        <v>0</v>
      </c>
      <c r="S598" s="20">
        <v>0</v>
      </c>
      <c r="T598" s="20">
        <v>30571.200000000001</v>
      </c>
      <c r="U598" s="20">
        <v>27259.32</v>
      </c>
      <c r="V598" s="20">
        <v>-3311.88</v>
      </c>
      <c r="W598" s="20">
        <v>-4330.92</v>
      </c>
      <c r="X598" s="20">
        <v>-1019.04</v>
      </c>
      <c r="Y598" s="20">
        <v>0</v>
      </c>
      <c r="Z598" s="20">
        <v>0</v>
      </c>
      <c r="AA598" s="20">
        <v>0</v>
      </c>
      <c r="AB598" s="20">
        <v>26240.28</v>
      </c>
      <c r="AC598" t="s">
        <v>578</v>
      </c>
      <c r="AD598" t="s">
        <v>290</v>
      </c>
      <c r="AE598" s="702">
        <f t="shared" si="45"/>
        <v>43252</v>
      </c>
      <c r="AF598" s="289">
        <v>50780.332011116043</v>
      </c>
      <c r="AG598">
        <f t="shared" si="46"/>
        <v>360</v>
      </c>
      <c r="AH598" s="289">
        <f t="shared" si="47"/>
        <v>141.05647780865567</v>
      </c>
      <c r="AJ598" s="289">
        <f t="shared" si="48"/>
        <v>54</v>
      </c>
      <c r="AK598" s="289">
        <f t="shared" si="49"/>
        <v>7617.0498016674064</v>
      </c>
    </row>
    <row r="599" spans="1:37">
      <c r="A599" s="703" t="s">
        <v>1491</v>
      </c>
      <c r="B599" s="703" t="s">
        <v>331</v>
      </c>
      <c r="C599" s="703" t="s">
        <v>574</v>
      </c>
      <c r="D599" s="703" t="s">
        <v>575</v>
      </c>
      <c r="E599" s="703" t="s">
        <v>334</v>
      </c>
      <c r="F599" s="703" t="s">
        <v>335</v>
      </c>
      <c r="G599" s="703" t="s">
        <v>1492</v>
      </c>
      <c r="H599" s="703" t="s">
        <v>334</v>
      </c>
      <c r="I599" s="703" t="s">
        <v>334</v>
      </c>
      <c r="J599" s="703" t="s">
        <v>577</v>
      </c>
      <c r="K599" s="704">
        <v>0</v>
      </c>
      <c r="L599" s="703" t="s">
        <v>334</v>
      </c>
      <c r="M599" s="702">
        <v>42855</v>
      </c>
      <c r="N599" s="702">
        <v>43360</v>
      </c>
      <c r="O599" s="703" t="s">
        <v>338</v>
      </c>
      <c r="P599" s="20">
        <v>25259.48</v>
      </c>
      <c r="Q599" s="20">
        <v>0</v>
      </c>
      <c r="R599" s="20">
        <v>0</v>
      </c>
      <c r="S599" s="20">
        <v>0</v>
      </c>
      <c r="T599" s="20">
        <v>25259.48</v>
      </c>
      <c r="U599" s="20">
        <v>22523.040000000001</v>
      </c>
      <c r="V599" s="20">
        <v>-2736.44</v>
      </c>
      <c r="W599" s="20">
        <v>-3578.42</v>
      </c>
      <c r="X599" s="20">
        <v>-841.98</v>
      </c>
      <c r="Y599" s="20">
        <v>0</v>
      </c>
      <c r="Z599" s="20">
        <v>0</v>
      </c>
      <c r="AA599" s="20">
        <v>0</v>
      </c>
      <c r="AB599" s="20">
        <v>21681.06</v>
      </c>
      <c r="AC599" t="s">
        <v>578</v>
      </c>
      <c r="AD599" t="s">
        <v>290</v>
      </c>
      <c r="AE599" s="702">
        <f t="shared" si="45"/>
        <v>43252</v>
      </c>
      <c r="AF599" s="289">
        <v>41957.292511518863</v>
      </c>
      <c r="AG599">
        <f t="shared" si="46"/>
        <v>360</v>
      </c>
      <c r="AH599" s="289">
        <f t="shared" si="47"/>
        <v>116.54803475421906</v>
      </c>
      <c r="AJ599" s="289">
        <f t="shared" si="48"/>
        <v>54</v>
      </c>
      <c r="AK599" s="289">
        <f t="shared" si="49"/>
        <v>6293.5938767278294</v>
      </c>
    </row>
    <row r="600" spans="1:37">
      <c r="A600" s="703" t="s">
        <v>1493</v>
      </c>
      <c r="B600" s="703" t="s">
        <v>331</v>
      </c>
      <c r="C600" s="703" t="s">
        <v>586</v>
      </c>
      <c r="D600" s="703" t="s">
        <v>486</v>
      </c>
      <c r="E600" s="703" t="s">
        <v>587</v>
      </c>
      <c r="F600" s="703" t="s">
        <v>335</v>
      </c>
      <c r="G600" s="703" t="s">
        <v>1494</v>
      </c>
      <c r="H600" s="703" t="s">
        <v>334</v>
      </c>
      <c r="I600" s="703" t="s">
        <v>334</v>
      </c>
      <c r="J600" s="703" t="s">
        <v>337</v>
      </c>
      <c r="K600" s="704">
        <v>0</v>
      </c>
      <c r="L600" s="703" t="s">
        <v>334</v>
      </c>
      <c r="M600" s="702">
        <v>43131</v>
      </c>
      <c r="N600" s="702">
        <v>43360</v>
      </c>
      <c r="O600" s="703" t="s">
        <v>338</v>
      </c>
      <c r="P600" s="20">
        <v>59005.79</v>
      </c>
      <c r="Q600" s="20">
        <v>0</v>
      </c>
      <c r="R600" s="20">
        <v>0</v>
      </c>
      <c r="S600" s="20">
        <v>0</v>
      </c>
      <c r="T600" s="20">
        <v>59005.79</v>
      </c>
      <c r="U600" s="20">
        <v>52613.5</v>
      </c>
      <c r="V600" s="20">
        <v>-6392.29</v>
      </c>
      <c r="W600" s="20">
        <v>-8359.15</v>
      </c>
      <c r="X600" s="20">
        <v>-1966.86</v>
      </c>
      <c r="Y600" s="20">
        <v>0</v>
      </c>
      <c r="Z600" s="20">
        <v>0</v>
      </c>
      <c r="AA600" s="20">
        <v>0</v>
      </c>
      <c r="AB600" s="20">
        <v>50646.64</v>
      </c>
      <c r="AC600" t="s">
        <v>589</v>
      </c>
      <c r="AD600" t="s">
        <v>290</v>
      </c>
      <c r="AE600" s="702">
        <f t="shared" si="45"/>
        <v>43252</v>
      </c>
      <c r="AF600" s="289">
        <v>98011.645168596282</v>
      </c>
      <c r="AG600">
        <f t="shared" si="46"/>
        <v>360</v>
      </c>
      <c r="AH600" s="289">
        <f t="shared" si="47"/>
        <v>272.25456991276747</v>
      </c>
      <c r="AJ600" s="289">
        <f t="shared" si="48"/>
        <v>54</v>
      </c>
      <c r="AK600" s="289">
        <f t="shared" si="49"/>
        <v>14701.746775289443</v>
      </c>
    </row>
    <row r="601" spans="1:37">
      <c r="A601" s="703" t="s">
        <v>1495</v>
      </c>
      <c r="B601" s="703" t="s">
        <v>331</v>
      </c>
      <c r="C601" s="703" t="s">
        <v>1124</v>
      </c>
      <c r="D601" s="703" t="s">
        <v>1125</v>
      </c>
      <c r="E601" s="703" t="s">
        <v>334</v>
      </c>
      <c r="F601" s="703" t="s">
        <v>335</v>
      </c>
      <c r="G601" s="703" t="s">
        <v>1496</v>
      </c>
      <c r="H601" s="703" t="s">
        <v>334</v>
      </c>
      <c r="I601" s="703" t="s">
        <v>334</v>
      </c>
      <c r="J601" s="703" t="s">
        <v>337</v>
      </c>
      <c r="K601" s="704">
        <v>0</v>
      </c>
      <c r="L601" s="703" t="s">
        <v>334</v>
      </c>
      <c r="M601" s="702">
        <v>40939</v>
      </c>
      <c r="N601" s="702">
        <v>43360</v>
      </c>
      <c r="O601" s="703" t="s">
        <v>338</v>
      </c>
      <c r="P601" s="20">
        <v>831.33</v>
      </c>
      <c r="Q601" s="20">
        <v>0</v>
      </c>
      <c r="R601" s="20">
        <v>0</v>
      </c>
      <c r="S601" s="20">
        <v>0</v>
      </c>
      <c r="T601" s="20">
        <v>831.33</v>
      </c>
      <c r="U601" s="20">
        <v>741.27</v>
      </c>
      <c r="V601" s="20">
        <v>-90.06</v>
      </c>
      <c r="W601" s="20">
        <v>-117.77</v>
      </c>
      <c r="X601" s="20">
        <v>-27.71</v>
      </c>
      <c r="Y601" s="20">
        <v>0</v>
      </c>
      <c r="Z601" s="20">
        <v>0</v>
      </c>
      <c r="AA601" s="20">
        <v>0</v>
      </c>
      <c r="AB601" s="20">
        <v>713.56</v>
      </c>
      <c r="AC601" t="s">
        <v>1127</v>
      </c>
      <c r="AD601" t="s">
        <v>290</v>
      </c>
      <c r="AE601" s="702">
        <f t="shared" si="45"/>
        <v>43252</v>
      </c>
      <c r="AF601" s="289">
        <v>1380.881791058287</v>
      </c>
      <c r="AG601">
        <f t="shared" si="46"/>
        <v>360</v>
      </c>
      <c r="AH601" s="289">
        <f t="shared" si="47"/>
        <v>3.8357827529396862</v>
      </c>
      <c r="AJ601" s="289">
        <f t="shared" si="48"/>
        <v>54</v>
      </c>
      <c r="AK601" s="289">
        <f t="shared" si="49"/>
        <v>207.13226865874304</v>
      </c>
    </row>
    <row r="602" spans="1:37">
      <c r="A602" s="703" t="s">
        <v>1497</v>
      </c>
      <c r="B602" s="703" t="s">
        <v>331</v>
      </c>
      <c r="C602" s="703" t="s">
        <v>390</v>
      </c>
      <c r="D602" s="703" t="s">
        <v>391</v>
      </c>
      <c r="E602" s="703" t="s">
        <v>334</v>
      </c>
      <c r="F602" s="703" t="s">
        <v>335</v>
      </c>
      <c r="G602" s="703" t="s">
        <v>1498</v>
      </c>
      <c r="H602" s="703" t="s">
        <v>334</v>
      </c>
      <c r="I602" s="703" t="s">
        <v>334</v>
      </c>
      <c r="J602" s="703" t="s">
        <v>337</v>
      </c>
      <c r="K602" s="704">
        <v>0</v>
      </c>
      <c r="L602" s="703" t="s">
        <v>334</v>
      </c>
      <c r="M602" s="702">
        <v>43251</v>
      </c>
      <c r="N602" s="702">
        <v>43361</v>
      </c>
      <c r="O602" s="703" t="s">
        <v>338</v>
      </c>
      <c r="P602" s="20">
        <v>105.04</v>
      </c>
      <c r="Q602" s="20">
        <v>0</v>
      </c>
      <c r="R602" s="20">
        <v>0</v>
      </c>
      <c r="S602" s="20">
        <v>0</v>
      </c>
      <c r="T602" s="20">
        <v>105.04</v>
      </c>
      <c r="U602" s="20">
        <v>93.66</v>
      </c>
      <c r="V602" s="20">
        <v>-11.38</v>
      </c>
      <c r="W602" s="20">
        <v>-14.88</v>
      </c>
      <c r="X602" s="20">
        <v>-3.5</v>
      </c>
      <c r="Y602" s="20">
        <v>0</v>
      </c>
      <c r="Z602" s="20">
        <v>0</v>
      </c>
      <c r="AA602" s="20">
        <v>0</v>
      </c>
      <c r="AB602" s="20">
        <v>90.16</v>
      </c>
      <c r="AC602" t="s">
        <v>188</v>
      </c>
      <c r="AD602" t="s">
        <v>290</v>
      </c>
      <c r="AE602" s="702">
        <f t="shared" si="45"/>
        <v>43252</v>
      </c>
      <c r="AF602" s="289">
        <v>174.47683029935459</v>
      </c>
      <c r="AG602">
        <f t="shared" si="46"/>
        <v>360</v>
      </c>
      <c r="AH602" s="289">
        <f t="shared" si="47"/>
        <v>0.48465786194265165</v>
      </c>
      <c r="AJ602" s="289">
        <f t="shared" si="48"/>
        <v>54</v>
      </c>
      <c r="AK602" s="289">
        <f t="shared" si="49"/>
        <v>26.171524544903189</v>
      </c>
    </row>
    <row r="603" spans="1:37">
      <c r="A603" s="703" t="s">
        <v>1499</v>
      </c>
      <c r="B603" s="703" t="s">
        <v>331</v>
      </c>
      <c r="C603" s="703" t="s">
        <v>1500</v>
      </c>
      <c r="D603" s="703" t="s">
        <v>1501</v>
      </c>
      <c r="E603" s="703" t="s">
        <v>334</v>
      </c>
      <c r="F603" s="703" t="s">
        <v>1502</v>
      </c>
      <c r="G603" s="703" t="s">
        <v>1503</v>
      </c>
      <c r="H603" s="703" t="s">
        <v>334</v>
      </c>
      <c r="I603" s="703" t="s">
        <v>334</v>
      </c>
      <c r="J603" s="703" t="s">
        <v>1504</v>
      </c>
      <c r="K603" s="704">
        <v>0</v>
      </c>
      <c r="L603" s="703" t="s">
        <v>334</v>
      </c>
      <c r="M603" s="702"/>
      <c r="N603" s="702">
        <v>43373</v>
      </c>
      <c r="O603" s="703" t="s">
        <v>338</v>
      </c>
      <c r="P603" s="20">
        <v>235124.12</v>
      </c>
      <c r="Q603" s="20">
        <v>0</v>
      </c>
      <c r="R603" s="20">
        <v>0</v>
      </c>
      <c r="S603" s="20">
        <v>0</v>
      </c>
      <c r="T603" s="20">
        <v>235124.12</v>
      </c>
      <c r="U603" s="20">
        <v>0</v>
      </c>
      <c r="V603" s="20">
        <v>-235124.12</v>
      </c>
      <c r="W603" s="20">
        <v>-235124.12</v>
      </c>
      <c r="X603" s="20">
        <v>0</v>
      </c>
      <c r="Y603" s="20">
        <v>0</v>
      </c>
      <c r="Z603" s="20">
        <v>0</v>
      </c>
      <c r="AA603" s="20">
        <v>0</v>
      </c>
      <c r="AB603" s="20">
        <v>0</v>
      </c>
      <c r="AC603" t="s">
        <v>1505</v>
      </c>
      <c r="AD603" t="s">
        <v>290</v>
      </c>
      <c r="AE603" s="702">
        <f t="shared" si="45"/>
        <v>43252</v>
      </c>
      <c r="AF603" s="289">
        <v>390553.22909867746</v>
      </c>
      <c r="AG603">
        <f t="shared" si="46"/>
        <v>360</v>
      </c>
      <c r="AH603" s="289">
        <f t="shared" si="47"/>
        <v>1084.8700808296596</v>
      </c>
      <c r="AJ603" s="289">
        <f t="shared" si="48"/>
        <v>54</v>
      </c>
      <c r="AK603" s="289">
        <f t="shared" si="49"/>
        <v>58582.984364801618</v>
      </c>
    </row>
    <row r="604" spans="1:37">
      <c r="A604" s="703" t="s">
        <v>1506</v>
      </c>
      <c r="B604" s="703" t="s">
        <v>331</v>
      </c>
      <c r="C604" s="703" t="s">
        <v>472</v>
      </c>
      <c r="D604" s="703" t="s">
        <v>334</v>
      </c>
      <c r="E604" s="703" t="s">
        <v>334</v>
      </c>
      <c r="F604" s="703" t="s">
        <v>474</v>
      </c>
      <c r="G604" s="703" t="s">
        <v>810</v>
      </c>
      <c r="H604" s="703" t="s">
        <v>1507</v>
      </c>
      <c r="I604" s="703" t="s">
        <v>334</v>
      </c>
      <c r="J604" s="703" t="s">
        <v>476</v>
      </c>
      <c r="K604" s="704">
        <v>0</v>
      </c>
      <c r="L604" s="703" t="s">
        <v>334</v>
      </c>
      <c r="M604" s="702"/>
      <c r="N604" s="702">
        <v>43373</v>
      </c>
      <c r="O604" s="703" t="s">
        <v>338</v>
      </c>
      <c r="P604" s="20">
        <v>37080</v>
      </c>
      <c r="Q604" s="20">
        <v>0</v>
      </c>
      <c r="R604" s="20">
        <v>0</v>
      </c>
      <c r="S604" s="20">
        <v>0</v>
      </c>
      <c r="T604" s="20">
        <v>37080</v>
      </c>
      <c r="U604" s="20">
        <v>25029</v>
      </c>
      <c r="V604" s="20">
        <v>-12051</v>
      </c>
      <c r="W604" s="20">
        <v>-15759</v>
      </c>
      <c r="X604" s="20">
        <v>-3708</v>
      </c>
      <c r="Y604" s="20">
        <v>0</v>
      </c>
      <c r="Z604" s="20">
        <v>0</v>
      </c>
      <c r="AA604" s="20">
        <v>0</v>
      </c>
      <c r="AB604" s="20">
        <v>21321</v>
      </c>
      <c r="AC604" t="s">
        <v>477</v>
      </c>
      <c r="AD604" t="s">
        <v>290</v>
      </c>
      <c r="AE604" s="702">
        <f t="shared" si="45"/>
        <v>43252</v>
      </c>
      <c r="AF604" s="289">
        <v>61591.782820830806</v>
      </c>
      <c r="AG604">
        <f t="shared" si="46"/>
        <v>360</v>
      </c>
      <c r="AH604" s="289">
        <f t="shared" si="47"/>
        <v>171.08828561341892</v>
      </c>
      <c r="AJ604" s="289">
        <f t="shared" si="48"/>
        <v>54</v>
      </c>
      <c r="AK604" s="289">
        <f t="shared" si="49"/>
        <v>9238.7674231246219</v>
      </c>
    </row>
    <row r="605" spans="1:37">
      <c r="A605" s="703" t="s">
        <v>1508</v>
      </c>
      <c r="B605" s="703" t="s">
        <v>331</v>
      </c>
      <c r="C605" s="703" t="s">
        <v>332</v>
      </c>
      <c r="D605" s="703" t="s">
        <v>333</v>
      </c>
      <c r="E605" s="703" t="s">
        <v>334</v>
      </c>
      <c r="F605" s="703" t="s">
        <v>335</v>
      </c>
      <c r="G605" s="703" t="s">
        <v>570</v>
      </c>
      <c r="H605" s="703" t="s">
        <v>334</v>
      </c>
      <c r="I605" s="703" t="s">
        <v>334</v>
      </c>
      <c r="J605" s="703" t="s">
        <v>337</v>
      </c>
      <c r="K605" s="704">
        <v>0</v>
      </c>
      <c r="L605" s="703" t="s">
        <v>334</v>
      </c>
      <c r="M605" s="702">
        <v>43312</v>
      </c>
      <c r="N605" s="702">
        <v>43376</v>
      </c>
      <c r="O605" s="703" t="s">
        <v>338</v>
      </c>
      <c r="P605" s="20">
        <v>239330.69</v>
      </c>
      <c r="Q605" s="20">
        <v>0</v>
      </c>
      <c r="R605" s="20">
        <v>0</v>
      </c>
      <c r="S605" s="20">
        <v>0</v>
      </c>
      <c r="T605" s="20">
        <v>239330.69</v>
      </c>
      <c r="U605" s="20">
        <v>214068.01</v>
      </c>
      <c r="V605" s="20">
        <v>-25262.68</v>
      </c>
      <c r="W605" s="20">
        <v>-33240.370000000003</v>
      </c>
      <c r="X605" s="20">
        <v>-7977.69</v>
      </c>
      <c r="Y605" s="20">
        <v>0</v>
      </c>
      <c r="Z605" s="20">
        <v>0</v>
      </c>
      <c r="AA605" s="20">
        <v>0</v>
      </c>
      <c r="AB605" s="20">
        <v>206090.32</v>
      </c>
      <c r="AC605" t="s">
        <v>183</v>
      </c>
      <c r="AD605" t="s">
        <v>290</v>
      </c>
      <c r="AE605" s="702">
        <f t="shared" si="45"/>
        <v>43252</v>
      </c>
      <c r="AF605" s="289">
        <v>397540.55773569533</v>
      </c>
      <c r="AG605">
        <f t="shared" si="46"/>
        <v>360</v>
      </c>
      <c r="AH605" s="289">
        <f t="shared" si="47"/>
        <v>1104.2793270435982</v>
      </c>
      <c r="AJ605" s="289">
        <f t="shared" si="48"/>
        <v>54</v>
      </c>
      <c r="AK605" s="289">
        <f t="shared" si="49"/>
        <v>59631.083660354299</v>
      </c>
    </row>
    <row r="606" spans="1:37">
      <c r="A606" s="703" t="s">
        <v>1509</v>
      </c>
      <c r="B606" s="703" t="s">
        <v>331</v>
      </c>
      <c r="C606" s="703" t="s">
        <v>574</v>
      </c>
      <c r="D606" s="703" t="s">
        <v>575</v>
      </c>
      <c r="E606" s="703" t="s">
        <v>334</v>
      </c>
      <c r="F606" s="703" t="s">
        <v>335</v>
      </c>
      <c r="G606" s="703" t="s">
        <v>1510</v>
      </c>
      <c r="H606" s="703" t="s">
        <v>334</v>
      </c>
      <c r="I606" s="703" t="s">
        <v>334</v>
      </c>
      <c r="J606" s="703" t="s">
        <v>577</v>
      </c>
      <c r="K606" s="704">
        <v>0</v>
      </c>
      <c r="L606" s="703" t="s">
        <v>334</v>
      </c>
      <c r="M606" s="702">
        <v>43312</v>
      </c>
      <c r="N606" s="702">
        <v>43376</v>
      </c>
      <c r="O606" s="703" t="s">
        <v>338</v>
      </c>
      <c r="P606" s="20">
        <v>37921.360000000001</v>
      </c>
      <c r="Q606" s="20">
        <v>0</v>
      </c>
      <c r="R606" s="20">
        <v>0</v>
      </c>
      <c r="S606" s="20">
        <v>0</v>
      </c>
      <c r="T606" s="20">
        <v>37921.360000000001</v>
      </c>
      <c r="U606" s="20">
        <v>33918.54</v>
      </c>
      <c r="V606" s="20">
        <v>-4002.82</v>
      </c>
      <c r="W606" s="20">
        <v>-5266.87</v>
      </c>
      <c r="X606" s="20">
        <v>-1264.05</v>
      </c>
      <c r="Y606" s="20">
        <v>0</v>
      </c>
      <c r="Z606" s="20">
        <v>0</v>
      </c>
      <c r="AA606" s="20">
        <v>0</v>
      </c>
      <c r="AB606" s="20">
        <v>32654.49</v>
      </c>
      <c r="AC606" t="s">
        <v>578</v>
      </c>
      <c r="AD606" t="s">
        <v>290</v>
      </c>
      <c r="AE606" s="702">
        <f t="shared" si="45"/>
        <v>43252</v>
      </c>
      <c r="AF606" s="289">
        <v>62989.324956594945</v>
      </c>
      <c r="AG606">
        <f t="shared" si="46"/>
        <v>360</v>
      </c>
      <c r="AH606" s="289">
        <f t="shared" si="47"/>
        <v>174.97034710165264</v>
      </c>
      <c r="AJ606" s="289">
        <f t="shared" si="48"/>
        <v>54</v>
      </c>
      <c r="AK606" s="289">
        <f t="shared" si="49"/>
        <v>9448.3987434892424</v>
      </c>
    </row>
    <row r="607" spans="1:37">
      <c r="A607" s="703" t="s">
        <v>1511</v>
      </c>
      <c r="B607" s="703" t="s">
        <v>331</v>
      </c>
      <c r="C607" s="703" t="s">
        <v>574</v>
      </c>
      <c r="D607" s="703" t="s">
        <v>575</v>
      </c>
      <c r="E607" s="703" t="s">
        <v>334</v>
      </c>
      <c r="F607" s="703" t="s">
        <v>335</v>
      </c>
      <c r="G607" s="703" t="s">
        <v>1512</v>
      </c>
      <c r="H607" s="703" t="s">
        <v>334</v>
      </c>
      <c r="I607" s="703" t="s">
        <v>334</v>
      </c>
      <c r="J607" s="703" t="s">
        <v>577</v>
      </c>
      <c r="K607" s="704">
        <v>0</v>
      </c>
      <c r="L607" s="703" t="s">
        <v>334</v>
      </c>
      <c r="M607" s="702">
        <v>43312</v>
      </c>
      <c r="N607" s="702">
        <v>43376</v>
      </c>
      <c r="O607" s="703" t="s">
        <v>338</v>
      </c>
      <c r="P607" s="20">
        <v>27621.7</v>
      </c>
      <c r="Q607" s="20">
        <v>0</v>
      </c>
      <c r="R607" s="20">
        <v>0</v>
      </c>
      <c r="S607" s="20">
        <v>0</v>
      </c>
      <c r="T607" s="20">
        <v>27621.7</v>
      </c>
      <c r="U607" s="20">
        <v>24706.09</v>
      </c>
      <c r="V607" s="20">
        <v>-2915.61</v>
      </c>
      <c r="W607" s="20">
        <v>-3836.33</v>
      </c>
      <c r="X607" s="20">
        <v>-920.72</v>
      </c>
      <c r="Y607" s="20">
        <v>0</v>
      </c>
      <c r="Z607" s="20">
        <v>0</v>
      </c>
      <c r="AA607" s="20">
        <v>0</v>
      </c>
      <c r="AB607" s="20">
        <v>23785.37</v>
      </c>
      <c r="AC607" t="s">
        <v>578</v>
      </c>
      <c r="AD607" t="s">
        <v>290</v>
      </c>
      <c r="AE607" s="702">
        <f t="shared" si="45"/>
        <v>43252</v>
      </c>
      <c r="AF607" s="289">
        <v>45881.061152700713</v>
      </c>
      <c r="AG607">
        <f t="shared" si="46"/>
        <v>360</v>
      </c>
      <c r="AH607" s="289">
        <f t="shared" si="47"/>
        <v>127.44739209083531</v>
      </c>
      <c r="AJ607" s="289">
        <f t="shared" si="48"/>
        <v>54</v>
      </c>
      <c r="AK607" s="289">
        <f t="shared" si="49"/>
        <v>6882.159172905107</v>
      </c>
    </row>
    <row r="608" spans="1:37">
      <c r="A608" s="703" t="s">
        <v>1513</v>
      </c>
      <c r="B608" s="703" t="s">
        <v>331</v>
      </c>
      <c r="C608" s="703" t="s">
        <v>574</v>
      </c>
      <c r="D608" s="703" t="s">
        <v>575</v>
      </c>
      <c r="E608" s="703" t="s">
        <v>334</v>
      </c>
      <c r="F608" s="703" t="s">
        <v>335</v>
      </c>
      <c r="G608" s="703" t="s">
        <v>580</v>
      </c>
      <c r="H608" s="703" t="s">
        <v>334</v>
      </c>
      <c r="I608" s="703" t="s">
        <v>334</v>
      </c>
      <c r="J608" s="703" t="s">
        <v>577</v>
      </c>
      <c r="K608" s="704">
        <v>0</v>
      </c>
      <c r="L608" s="703" t="s">
        <v>334</v>
      </c>
      <c r="M608" s="702">
        <v>43312</v>
      </c>
      <c r="N608" s="702">
        <v>43376</v>
      </c>
      <c r="O608" s="703" t="s">
        <v>338</v>
      </c>
      <c r="P608" s="20">
        <v>16257.69</v>
      </c>
      <c r="Q608" s="20">
        <v>0</v>
      </c>
      <c r="R608" s="20">
        <v>0</v>
      </c>
      <c r="S608" s="20">
        <v>0</v>
      </c>
      <c r="T608" s="20">
        <v>16257.69</v>
      </c>
      <c r="U608" s="20">
        <v>14541.61</v>
      </c>
      <c r="V608" s="20">
        <v>-1716.08</v>
      </c>
      <c r="W608" s="20">
        <v>-2258</v>
      </c>
      <c r="X608" s="20">
        <v>-541.91999999999996</v>
      </c>
      <c r="Y608" s="20">
        <v>0</v>
      </c>
      <c r="Z608" s="20">
        <v>0</v>
      </c>
      <c r="AA608" s="20">
        <v>0</v>
      </c>
      <c r="AB608" s="20">
        <v>13999.69</v>
      </c>
      <c r="AC608" t="s">
        <v>578</v>
      </c>
      <c r="AD608" t="s">
        <v>290</v>
      </c>
      <c r="AE608" s="702">
        <f t="shared" si="45"/>
        <v>43252</v>
      </c>
      <c r="AF608" s="289">
        <v>27004.857379945868</v>
      </c>
      <c r="AG608">
        <f t="shared" si="46"/>
        <v>360</v>
      </c>
      <c r="AH608" s="289">
        <f t="shared" si="47"/>
        <v>75.013492722071859</v>
      </c>
      <c r="AJ608" s="289">
        <f t="shared" si="48"/>
        <v>54</v>
      </c>
      <c r="AK608" s="289">
        <f t="shared" si="49"/>
        <v>4050.7286069918805</v>
      </c>
    </row>
    <row r="609" spans="1:37">
      <c r="A609" s="703" t="s">
        <v>1514</v>
      </c>
      <c r="B609" s="703" t="s">
        <v>331</v>
      </c>
      <c r="C609" s="703" t="s">
        <v>586</v>
      </c>
      <c r="D609" s="703" t="s">
        <v>486</v>
      </c>
      <c r="E609" s="703" t="s">
        <v>587</v>
      </c>
      <c r="F609" s="703" t="s">
        <v>335</v>
      </c>
      <c r="G609" s="703" t="s">
        <v>1515</v>
      </c>
      <c r="H609" s="703" t="s">
        <v>334</v>
      </c>
      <c r="I609" s="703" t="s">
        <v>334</v>
      </c>
      <c r="J609" s="703" t="s">
        <v>337</v>
      </c>
      <c r="K609" s="704">
        <v>0</v>
      </c>
      <c r="L609" s="703" t="s">
        <v>334</v>
      </c>
      <c r="M609" s="702">
        <v>40390</v>
      </c>
      <c r="N609" s="702">
        <v>43376</v>
      </c>
      <c r="O609" s="703" t="s">
        <v>338</v>
      </c>
      <c r="P609" s="20">
        <v>10019.64</v>
      </c>
      <c r="Q609" s="20">
        <v>0</v>
      </c>
      <c r="R609" s="20">
        <v>0</v>
      </c>
      <c r="S609" s="20">
        <v>0</v>
      </c>
      <c r="T609" s="20">
        <v>10019.64</v>
      </c>
      <c r="U609" s="20">
        <v>8962.01</v>
      </c>
      <c r="V609" s="20">
        <v>-1057.6300000000001</v>
      </c>
      <c r="W609" s="20">
        <v>-1391.62</v>
      </c>
      <c r="X609" s="20">
        <v>-333.99</v>
      </c>
      <c r="Y609" s="20">
        <v>0</v>
      </c>
      <c r="Z609" s="20">
        <v>0</v>
      </c>
      <c r="AA609" s="20">
        <v>0</v>
      </c>
      <c r="AB609" s="20">
        <v>8628.02</v>
      </c>
      <c r="AC609" t="s">
        <v>589</v>
      </c>
      <c r="AD609" t="s">
        <v>290</v>
      </c>
      <c r="AE609" s="702">
        <f t="shared" si="45"/>
        <v>43252</v>
      </c>
      <c r="AF609" s="289">
        <v>16643.136214210062</v>
      </c>
      <c r="AG609">
        <f t="shared" si="46"/>
        <v>360</v>
      </c>
      <c r="AH609" s="289">
        <f t="shared" si="47"/>
        <v>46.230933928361281</v>
      </c>
      <c r="AJ609" s="289">
        <f t="shared" si="48"/>
        <v>54</v>
      </c>
      <c r="AK609" s="289">
        <f t="shared" si="49"/>
        <v>2496.4704321315094</v>
      </c>
    </row>
    <row r="610" spans="1:37">
      <c r="A610" s="703" t="s">
        <v>1516</v>
      </c>
      <c r="B610" s="703" t="s">
        <v>331</v>
      </c>
      <c r="C610" s="703" t="s">
        <v>586</v>
      </c>
      <c r="D610" s="703" t="s">
        <v>486</v>
      </c>
      <c r="E610" s="703" t="s">
        <v>587</v>
      </c>
      <c r="F610" s="703" t="s">
        <v>335</v>
      </c>
      <c r="G610" s="703" t="s">
        <v>1517</v>
      </c>
      <c r="H610" s="703" t="s">
        <v>334</v>
      </c>
      <c r="I610" s="703" t="s">
        <v>334</v>
      </c>
      <c r="J610" s="703" t="s">
        <v>337</v>
      </c>
      <c r="K610" s="704">
        <v>0</v>
      </c>
      <c r="L610" s="703" t="s">
        <v>334</v>
      </c>
      <c r="M610" s="702">
        <v>40390</v>
      </c>
      <c r="N610" s="702">
        <v>43376</v>
      </c>
      <c r="O610" s="703" t="s">
        <v>338</v>
      </c>
      <c r="P610" s="20">
        <v>925</v>
      </c>
      <c r="Q610" s="20">
        <v>0</v>
      </c>
      <c r="R610" s="20">
        <v>0</v>
      </c>
      <c r="S610" s="20">
        <v>0</v>
      </c>
      <c r="T610" s="20">
        <v>925</v>
      </c>
      <c r="U610" s="20">
        <v>827.37</v>
      </c>
      <c r="V610" s="20">
        <v>-97.63</v>
      </c>
      <c r="W610" s="20">
        <v>-128.46</v>
      </c>
      <c r="X610" s="20">
        <v>-30.83</v>
      </c>
      <c r="Y610" s="20">
        <v>0</v>
      </c>
      <c r="Z610" s="20">
        <v>0</v>
      </c>
      <c r="AA610" s="20">
        <v>0</v>
      </c>
      <c r="AB610" s="20">
        <v>796.54</v>
      </c>
      <c r="AC610" t="s">
        <v>589</v>
      </c>
      <c r="AD610" t="s">
        <v>290</v>
      </c>
      <c r="AE610" s="702">
        <f t="shared" si="45"/>
        <v>43252</v>
      </c>
      <c r="AF610" s="289">
        <v>1536.4724678874998</v>
      </c>
      <c r="AG610">
        <f t="shared" si="46"/>
        <v>360</v>
      </c>
      <c r="AH610" s="289">
        <f t="shared" si="47"/>
        <v>4.2679790774652773</v>
      </c>
      <c r="AJ610" s="289">
        <f t="shared" si="48"/>
        <v>54</v>
      </c>
      <c r="AK610" s="289">
        <f t="shared" si="49"/>
        <v>230.47087018312499</v>
      </c>
    </row>
    <row r="611" spans="1:37">
      <c r="A611" s="703" t="s">
        <v>1518</v>
      </c>
      <c r="B611" s="703" t="s">
        <v>331</v>
      </c>
      <c r="C611" s="703" t="s">
        <v>586</v>
      </c>
      <c r="D611" s="703" t="s">
        <v>486</v>
      </c>
      <c r="E611" s="703" t="s">
        <v>587</v>
      </c>
      <c r="F611" s="703" t="s">
        <v>335</v>
      </c>
      <c r="G611" s="703" t="s">
        <v>1519</v>
      </c>
      <c r="H611" s="703" t="s">
        <v>334</v>
      </c>
      <c r="I611" s="703" t="s">
        <v>334</v>
      </c>
      <c r="J611" s="703" t="s">
        <v>337</v>
      </c>
      <c r="K611" s="704">
        <v>0</v>
      </c>
      <c r="L611" s="703" t="s">
        <v>334</v>
      </c>
      <c r="M611" s="702">
        <v>40390</v>
      </c>
      <c r="N611" s="702">
        <v>43376</v>
      </c>
      <c r="O611" s="703" t="s">
        <v>338</v>
      </c>
      <c r="P611" s="20">
        <v>39188.300000000003</v>
      </c>
      <c r="Q611" s="20">
        <v>0</v>
      </c>
      <c r="R611" s="20">
        <v>0</v>
      </c>
      <c r="S611" s="20">
        <v>0</v>
      </c>
      <c r="T611" s="20">
        <v>39188.300000000003</v>
      </c>
      <c r="U611" s="20">
        <v>35051.75</v>
      </c>
      <c r="V611" s="20">
        <v>-4136.55</v>
      </c>
      <c r="W611" s="20">
        <v>-5442.83</v>
      </c>
      <c r="X611" s="20">
        <v>-1306.28</v>
      </c>
      <c r="Y611" s="20">
        <v>0</v>
      </c>
      <c r="Z611" s="20">
        <v>0</v>
      </c>
      <c r="AA611" s="20">
        <v>0</v>
      </c>
      <c r="AB611" s="20">
        <v>33745.47</v>
      </c>
      <c r="AC611" t="s">
        <v>589</v>
      </c>
      <c r="AD611" t="s">
        <v>290</v>
      </c>
      <c r="AE611" s="702">
        <f t="shared" si="45"/>
        <v>43252</v>
      </c>
      <c r="AF611" s="289">
        <v>65093.777311692669</v>
      </c>
      <c r="AG611">
        <f t="shared" si="46"/>
        <v>360</v>
      </c>
      <c r="AH611" s="289">
        <f t="shared" si="47"/>
        <v>180.81604808803519</v>
      </c>
      <c r="AJ611" s="289">
        <f t="shared" si="48"/>
        <v>54</v>
      </c>
      <c r="AK611" s="289">
        <f t="shared" si="49"/>
        <v>9764.0665967539007</v>
      </c>
    </row>
    <row r="612" spans="1:37">
      <c r="A612" s="703" t="s">
        <v>1520</v>
      </c>
      <c r="B612" s="703" t="s">
        <v>331</v>
      </c>
      <c r="C612" s="703" t="s">
        <v>586</v>
      </c>
      <c r="D612" s="703" t="s">
        <v>486</v>
      </c>
      <c r="E612" s="703" t="s">
        <v>587</v>
      </c>
      <c r="F612" s="703" t="s">
        <v>335</v>
      </c>
      <c r="G612" s="703" t="s">
        <v>603</v>
      </c>
      <c r="H612" s="703" t="s">
        <v>334</v>
      </c>
      <c r="I612" s="703" t="s">
        <v>334</v>
      </c>
      <c r="J612" s="703" t="s">
        <v>337</v>
      </c>
      <c r="K612" s="704">
        <v>0</v>
      </c>
      <c r="L612" s="703" t="s">
        <v>334</v>
      </c>
      <c r="M612" s="702">
        <v>40390</v>
      </c>
      <c r="N612" s="702">
        <v>43376</v>
      </c>
      <c r="O612" s="703" t="s">
        <v>338</v>
      </c>
      <c r="P612" s="20">
        <v>9697.59</v>
      </c>
      <c r="Q612" s="20">
        <v>0</v>
      </c>
      <c r="R612" s="20">
        <v>0</v>
      </c>
      <c r="S612" s="20">
        <v>0</v>
      </c>
      <c r="T612" s="20">
        <v>9697.59</v>
      </c>
      <c r="U612" s="20">
        <v>8673.9599999999991</v>
      </c>
      <c r="V612" s="20">
        <v>-1023.63</v>
      </c>
      <c r="W612" s="20">
        <v>-1346.88</v>
      </c>
      <c r="X612" s="20">
        <v>-323.25</v>
      </c>
      <c r="Y612" s="20">
        <v>0</v>
      </c>
      <c r="Z612" s="20">
        <v>0</v>
      </c>
      <c r="AA612" s="20">
        <v>0</v>
      </c>
      <c r="AB612" s="20">
        <v>8350.7099999999991</v>
      </c>
      <c r="AC612" t="s">
        <v>589</v>
      </c>
      <c r="AD612" t="s">
        <v>290</v>
      </c>
      <c r="AE612" s="702">
        <f t="shared" si="45"/>
        <v>43252</v>
      </c>
      <c r="AF612" s="289">
        <v>16108.194637687719</v>
      </c>
      <c r="AG612">
        <f t="shared" si="46"/>
        <v>360</v>
      </c>
      <c r="AH612" s="289">
        <f t="shared" si="47"/>
        <v>44.744985104688105</v>
      </c>
      <c r="AJ612" s="289">
        <f t="shared" si="48"/>
        <v>54</v>
      </c>
      <c r="AK612" s="289">
        <f t="shared" si="49"/>
        <v>2416.2291956531576</v>
      </c>
    </row>
    <row r="613" spans="1:37">
      <c r="A613" s="703" t="s">
        <v>1521</v>
      </c>
      <c r="B613" s="703" t="s">
        <v>331</v>
      </c>
      <c r="C613" s="703" t="s">
        <v>586</v>
      </c>
      <c r="D613" s="703" t="s">
        <v>486</v>
      </c>
      <c r="E613" s="703" t="s">
        <v>587</v>
      </c>
      <c r="F613" s="703" t="s">
        <v>335</v>
      </c>
      <c r="G613" s="703" t="s">
        <v>1335</v>
      </c>
      <c r="H613" s="703" t="s">
        <v>334</v>
      </c>
      <c r="I613" s="703" t="s">
        <v>334</v>
      </c>
      <c r="J613" s="703" t="s">
        <v>337</v>
      </c>
      <c r="K613" s="704">
        <v>0</v>
      </c>
      <c r="L613" s="703" t="s">
        <v>334</v>
      </c>
      <c r="M613" s="702">
        <v>40390</v>
      </c>
      <c r="N613" s="702">
        <v>43376</v>
      </c>
      <c r="O613" s="703" t="s">
        <v>338</v>
      </c>
      <c r="P613" s="20">
        <v>49133.13</v>
      </c>
      <c r="Q613" s="20">
        <v>0</v>
      </c>
      <c r="R613" s="20">
        <v>0</v>
      </c>
      <c r="S613" s="20">
        <v>0</v>
      </c>
      <c r="T613" s="20">
        <v>49133.13</v>
      </c>
      <c r="U613" s="20">
        <v>43946.86</v>
      </c>
      <c r="V613" s="20">
        <v>-5186.2700000000004</v>
      </c>
      <c r="W613" s="20">
        <v>-6824.04</v>
      </c>
      <c r="X613" s="20">
        <v>-1637.77</v>
      </c>
      <c r="Y613" s="20">
        <v>0</v>
      </c>
      <c r="Z613" s="20">
        <v>0</v>
      </c>
      <c r="AA613" s="20">
        <v>0</v>
      </c>
      <c r="AB613" s="20">
        <v>42309.09</v>
      </c>
      <c r="AC613" t="s">
        <v>589</v>
      </c>
      <c r="AD613" t="s">
        <v>290</v>
      </c>
      <c r="AE613" s="702">
        <f t="shared" si="45"/>
        <v>43252</v>
      </c>
      <c r="AF613" s="289">
        <v>81612.650276905246</v>
      </c>
      <c r="AG613">
        <f t="shared" si="46"/>
        <v>360</v>
      </c>
      <c r="AH613" s="289">
        <f t="shared" si="47"/>
        <v>226.70180632473679</v>
      </c>
      <c r="AJ613" s="289">
        <f t="shared" si="48"/>
        <v>54</v>
      </c>
      <c r="AK613" s="289">
        <f t="shared" si="49"/>
        <v>12241.897541535787</v>
      </c>
    </row>
    <row r="614" spans="1:37">
      <c r="A614" s="703" t="s">
        <v>1522</v>
      </c>
      <c r="B614" s="703" t="s">
        <v>331</v>
      </c>
      <c r="C614" s="703" t="s">
        <v>586</v>
      </c>
      <c r="D614" s="703" t="s">
        <v>486</v>
      </c>
      <c r="E614" s="703" t="s">
        <v>587</v>
      </c>
      <c r="F614" s="703" t="s">
        <v>335</v>
      </c>
      <c r="G614" s="703" t="s">
        <v>593</v>
      </c>
      <c r="H614" s="703" t="s">
        <v>334</v>
      </c>
      <c r="I614" s="703" t="s">
        <v>334</v>
      </c>
      <c r="J614" s="703" t="s">
        <v>337</v>
      </c>
      <c r="K614" s="704">
        <v>0</v>
      </c>
      <c r="L614" s="703" t="s">
        <v>334</v>
      </c>
      <c r="M614" s="702">
        <v>40390</v>
      </c>
      <c r="N614" s="702">
        <v>43376</v>
      </c>
      <c r="O614" s="703" t="s">
        <v>338</v>
      </c>
      <c r="P614" s="20">
        <v>82925.710000000006</v>
      </c>
      <c r="Q614" s="20">
        <v>0</v>
      </c>
      <c r="R614" s="20">
        <v>0</v>
      </c>
      <c r="S614" s="20">
        <v>0</v>
      </c>
      <c r="T614" s="20">
        <v>82925.710000000006</v>
      </c>
      <c r="U614" s="20">
        <v>74172.44</v>
      </c>
      <c r="V614" s="20">
        <v>-8753.27</v>
      </c>
      <c r="W614" s="20">
        <v>-11517.46</v>
      </c>
      <c r="X614" s="20">
        <v>-2764.19</v>
      </c>
      <c r="Y614" s="20">
        <v>0</v>
      </c>
      <c r="Z614" s="20">
        <v>0</v>
      </c>
      <c r="AA614" s="20">
        <v>0</v>
      </c>
      <c r="AB614" s="20">
        <v>71408.25</v>
      </c>
      <c r="AC614" t="s">
        <v>589</v>
      </c>
      <c r="AD614" t="s">
        <v>290</v>
      </c>
      <c r="AE614" s="702">
        <f t="shared" si="45"/>
        <v>43252</v>
      </c>
      <c r="AF614" s="289">
        <v>137743.85977840339</v>
      </c>
      <c r="AG614">
        <f t="shared" si="46"/>
        <v>360</v>
      </c>
      <c r="AH614" s="289">
        <f t="shared" si="47"/>
        <v>382.62183271778719</v>
      </c>
      <c r="AJ614" s="289">
        <f t="shared" si="48"/>
        <v>54</v>
      </c>
      <c r="AK614" s="289">
        <f t="shared" si="49"/>
        <v>20661.57896676051</v>
      </c>
    </row>
    <row r="615" spans="1:37">
      <c r="A615" s="703" t="s">
        <v>1523</v>
      </c>
      <c r="B615" s="703" t="s">
        <v>331</v>
      </c>
      <c r="C615" s="703" t="s">
        <v>586</v>
      </c>
      <c r="D615" s="703" t="s">
        <v>486</v>
      </c>
      <c r="E615" s="703" t="s">
        <v>587</v>
      </c>
      <c r="F615" s="703" t="s">
        <v>335</v>
      </c>
      <c r="G615" s="703" t="s">
        <v>1326</v>
      </c>
      <c r="H615" s="703" t="s">
        <v>334</v>
      </c>
      <c r="I615" s="703" t="s">
        <v>334</v>
      </c>
      <c r="J615" s="703" t="s">
        <v>337</v>
      </c>
      <c r="K615" s="704">
        <v>0</v>
      </c>
      <c r="L615" s="703" t="s">
        <v>334</v>
      </c>
      <c r="M615" s="702">
        <v>40390</v>
      </c>
      <c r="N615" s="702">
        <v>43376</v>
      </c>
      <c r="O615" s="703" t="s">
        <v>338</v>
      </c>
      <c r="P615" s="20">
        <v>26785.09</v>
      </c>
      <c r="Q615" s="20">
        <v>0</v>
      </c>
      <c r="R615" s="20">
        <v>0</v>
      </c>
      <c r="S615" s="20">
        <v>0</v>
      </c>
      <c r="T615" s="20">
        <v>26785.09</v>
      </c>
      <c r="U615" s="20">
        <v>23957.759999999998</v>
      </c>
      <c r="V615" s="20">
        <v>-2827.33</v>
      </c>
      <c r="W615" s="20">
        <v>-3720.17</v>
      </c>
      <c r="X615" s="20">
        <v>-892.84</v>
      </c>
      <c r="Y615" s="20">
        <v>0</v>
      </c>
      <c r="Z615" s="20">
        <v>0</v>
      </c>
      <c r="AA615" s="20">
        <v>0</v>
      </c>
      <c r="AB615" s="20">
        <v>23064.92</v>
      </c>
      <c r="AC615" t="s">
        <v>589</v>
      </c>
      <c r="AD615" t="s">
        <v>290</v>
      </c>
      <c r="AE615" s="702">
        <f t="shared" si="45"/>
        <v>43252</v>
      </c>
      <c r="AF615" s="289">
        <v>44491.409010690593</v>
      </c>
      <c r="AG615">
        <f t="shared" si="46"/>
        <v>360</v>
      </c>
      <c r="AH615" s="289">
        <f t="shared" si="47"/>
        <v>123.58724725191831</v>
      </c>
      <c r="AJ615" s="289">
        <f t="shared" si="48"/>
        <v>54</v>
      </c>
      <c r="AK615" s="289">
        <f t="shared" si="49"/>
        <v>6673.7113516035888</v>
      </c>
    </row>
    <row r="616" spans="1:37">
      <c r="A616" s="703" t="s">
        <v>1524</v>
      </c>
      <c r="B616" s="703" t="s">
        <v>331</v>
      </c>
      <c r="C616" s="703" t="s">
        <v>586</v>
      </c>
      <c r="D616" s="703" t="s">
        <v>486</v>
      </c>
      <c r="E616" s="703" t="s">
        <v>587</v>
      </c>
      <c r="F616" s="703" t="s">
        <v>335</v>
      </c>
      <c r="G616" s="703" t="s">
        <v>1328</v>
      </c>
      <c r="H616" s="703" t="s">
        <v>334</v>
      </c>
      <c r="I616" s="703" t="s">
        <v>334</v>
      </c>
      <c r="J616" s="703" t="s">
        <v>337</v>
      </c>
      <c r="K616" s="704">
        <v>0</v>
      </c>
      <c r="L616" s="703" t="s">
        <v>334</v>
      </c>
      <c r="M616" s="702">
        <v>40390</v>
      </c>
      <c r="N616" s="702">
        <v>43376</v>
      </c>
      <c r="O616" s="703" t="s">
        <v>338</v>
      </c>
      <c r="P616" s="20">
        <v>16691.22</v>
      </c>
      <c r="Q616" s="20">
        <v>0</v>
      </c>
      <c r="R616" s="20">
        <v>0</v>
      </c>
      <c r="S616" s="20">
        <v>0</v>
      </c>
      <c r="T616" s="20">
        <v>16691.22</v>
      </c>
      <c r="U616" s="20">
        <v>14929.38</v>
      </c>
      <c r="V616" s="20">
        <v>-1761.84</v>
      </c>
      <c r="W616" s="20">
        <v>-2318.21</v>
      </c>
      <c r="X616" s="20">
        <v>-556.37</v>
      </c>
      <c r="Y616" s="20">
        <v>0</v>
      </c>
      <c r="Z616" s="20">
        <v>0</v>
      </c>
      <c r="AA616" s="20">
        <v>0</v>
      </c>
      <c r="AB616" s="20">
        <v>14373.01</v>
      </c>
      <c r="AC616" t="s">
        <v>589</v>
      </c>
      <c r="AD616" t="s">
        <v>290</v>
      </c>
      <c r="AE616" s="702">
        <f t="shared" si="45"/>
        <v>43252</v>
      </c>
      <c r="AF616" s="289">
        <v>27724.9729572467</v>
      </c>
      <c r="AG616">
        <f t="shared" si="46"/>
        <v>360</v>
      </c>
      <c r="AH616" s="289">
        <f t="shared" si="47"/>
        <v>77.01381377012973</v>
      </c>
      <c r="AJ616" s="289">
        <f t="shared" si="48"/>
        <v>54</v>
      </c>
      <c r="AK616" s="289">
        <f t="shared" si="49"/>
        <v>4158.7459435870051</v>
      </c>
    </row>
    <row r="617" spans="1:37">
      <c r="A617" s="703" t="s">
        <v>1525</v>
      </c>
      <c r="B617" s="703" t="s">
        <v>331</v>
      </c>
      <c r="C617" s="703" t="s">
        <v>586</v>
      </c>
      <c r="D617" s="703" t="s">
        <v>486</v>
      </c>
      <c r="E617" s="703" t="s">
        <v>587</v>
      </c>
      <c r="F617" s="703" t="s">
        <v>335</v>
      </c>
      <c r="G617" s="703" t="s">
        <v>1330</v>
      </c>
      <c r="H617" s="703" t="s">
        <v>334</v>
      </c>
      <c r="I617" s="703" t="s">
        <v>334</v>
      </c>
      <c r="J617" s="703" t="s">
        <v>337</v>
      </c>
      <c r="K617" s="704">
        <v>0</v>
      </c>
      <c r="L617" s="703" t="s">
        <v>334</v>
      </c>
      <c r="M617" s="702">
        <v>40390</v>
      </c>
      <c r="N617" s="702">
        <v>43376</v>
      </c>
      <c r="O617" s="703" t="s">
        <v>338</v>
      </c>
      <c r="P617" s="20">
        <v>68018.7</v>
      </c>
      <c r="Q617" s="20">
        <v>0</v>
      </c>
      <c r="R617" s="20">
        <v>0</v>
      </c>
      <c r="S617" s="20">
        <v>0</v>
      </c>
      <c r="T617" s="20">
        <v>68018.7</v>
      </c>
      <c r="U617" s="20">
        <v>60838.95</v>
      </c>
      <c r="V617" s="20">
        <v>-7179.75</v>
      </c>
      <c r="W617" s="20">
        <v>-9447.0400000000009</v>
      </c>
      <c r="X617" s="20">
        <v>-2267.29</v>
      </c>
      <c r="Y617" s="20">
        <v>0</v>
      </c>
      <c r="Z617" s="20">
        <v>0</v>
      </c>
      <c r="AA617" s="20">
        <v>0</v>
      </c>
      <c r="AB617" s="20">
        <v>58571.66</v>
      </c>
      <c r="AC617" t="s">
        <v>589</v>
      </c>
      <c r="AD617" t="s">
        <v>290</v>
      </c>
      <c r="AE617" s="702">
        <f t="shared" si="45"/>
        <v>43252</v>
      </c>
      <c r="AF617" s="289">
        <v>112982.55119081026</v>
      </c>
      <c r="AG617">
        <f t="shared" si="46"/>
        <v>360</v>
      </c>
      <c r="AH617" s="289">
        <f t="shared" si="47"/>
        <v>313.84041997447298</v>
      </c>
      <c r="AJ617" s="289">
        <f t="shared" si="48"/>
        <v>54</v>
      </c>
      <c r="AK617" s="289">
        <f t="shared" si="49"/>
        <v>16947.38267862154</v>
      </c>
    </row>
    <row r="618" spans="1:37">
      <c r="A618" s="703" t="s">
        <v>1526</v>
      </c>
      <c r="B618" s="703" t="s">
        <v>331</v>
      </c>
      <c r="C618" s="703" t="s">
        <v>586</v>
      </c>
      <c r="D618" s="703" t="s">
        <v>486</v>
      </c>
      <c r="E618" s="703" t="s">
        <v>587</v>
      </c>
      <c r="F618" s="703" t="s">
        <v>335</v>
      </c>
      <c r="G618" s="703" t="s">
        <v>1338</v>
      </c>
      <c r="H618" s="703" t="s">
        <v>334</v>
      </c>
      <c r="I618" s="703" t="s">
        <v>334</v>
      </c>
      <c r="J618" s="703" t="s">
        <v>337</v>
      </c>
      <c r="K618" s="704">
        <v>0</v>
      </c>
      <c r="L618" s="703" t="s">
        <v>334</v>
      </c>
      <c r="M618" s="702">
        <v>40390</v>
      </c>
      <c r="N618" s="702">
        <v>43376</v>
      </c>
      <c r="O618" s="703" t="s">
        <v>338</v>
      </c>
      <c r="P618" s="20">
        <v>9054.7999999999993</v>
      </c>
      <c r="Q618" s="20">
        <v>0</v>
      </c>
      <c r="R618" s="20">
        <v>0</v>
      </c>
      <c r="S618" s="20">
        <v>0</v>
      </c>
      <c r="T618" s="20">
        <v>9054.7999999999993</v>
      </c>
      <c r="U618" s="20">
        <v>8099.01</v>
      </c>
      <c r="V618" s="20">
        <v>-955.79</v>
      </c>
      <c r="W618" s="20">
        <v>-1257.6199999999999</v>
      </c>
      <c r="X618" s="20">
        <v>-301.83</v>
      </c>
      <c r="Y618" s="20">
        <v>0</v>
      </c>
      <c r="Z618" s="20">
        <v>0</v>
      </c>
      <c r="AA618" s="20">
        <v>0</v>
      </c>
      <c r="AB618" s="20">
        <v>7797.18</v>
      </c>
      <c r="AC618" t="s">
        <v>589</v>
      </c>
      <c r="AD618" t="s">
        <v>290</v>
      </c>
      <c r="AE618" s="702">
        <f t="shared" si="45"/>
        <v>43252</v>
      </c>
      <c r="AF618" s="289">
        <v>15040.48746186782</v>
      </c>
      <c r="AG618">
        <f t="shared" si="46"/>
        <v>360</v>
      </c>
      <c r="AH618" s="289">
        <f t="shared" si="47"/>
        <v>41.779131838521721</v>
      </c>
      <c r="AJ618" s="289">
        <f t="shared" si="48"/>
        <v>54</v>
      </c>
      <c r="AK618" s="289">
        <f t="shared" si="49"/>
        <v>2256.0731192801732</v>
      </c>
    </row>
    <row r="619" spans="1:37">
      <c r="A619" s="703" t="s">
        <v>1527</v>
      </c>
      <c r="B619" s="703" t="s">
        <v>331</v>
      </c>
      <c r="C619" s="703" t="s">
        <v>586</v>
      </c>
      <c r="D619" s="703" t="s">
        <v>486</v>
      </c>
      <c r="E619" s="703" t="s">
        <v>587</v>
      </c>
      <c r="F619" s="703" t="s">
        <v>335</v>
      </c>
      <c r="G619" s="703" t="s">
        <v>1332</v>
      </c>
      <c r="H619" s="703" t="s">
        <v>334</v>
      </c>
      <c r="I619" s="703" t="s">
        <v>334</v>
      </c>
      <c r="J619" s="703" t="s">
        <v>337</v>
      </c>
      <c r="K619" s="704">
        <v>0</v>
      </c>
      <c r="L619" s="703" t="s">
        <v>334</v>
      </c>
      <c r="M619" s="702">
        <v>43312</v>
      </c>
      <c r="N619" s="702">
        <v>43376</v>
      </c>
      <c r="O619" s="703" t="s">
        <v>338</v>
      </c>
      <c r="P619" s="20">
        <v>5642.17</v>
      </c>
      <c r="Q619" s="20">
        <v>0</v>
      </c>
      <c r="R619" s="20">
        <v>0</v>
      </c>
      <c r="S619" s="20">
        <v>0</v>
      </c>
      <c r="T619" s="20">
        <v>5642.17</v>
      </c>
      <c r="U619" s="20">
        <v>5046.6099999999997</v>
      </c>
      <c r="V619" s="20">
        <v>-595.55999999999995</v>
      </c>
      <c r="W619" s="20">
        <v>-783.63</v>
      </c>
      <c r="X619" s="20">
        <v>-188.07</v>
      </c>
      <c r="Y619" s="20">
        <v>0</v>
      </c>
      <c r="Z619" s="20">
        <v>0</v>
      </c>
      <c r="AA619" s="20">
        <v>0</v>
      </c>
      <c r="AB619" s="20">
        <v>4858.54</v>
      </c>
      <c r="AC619" t="s">
        <v>589</v>
      </c>
      <c r="AD619" t="s">
        <v>290</v>
      </c>
      <c r="AE619" s="702">
        <f t="shared" si="45"/>
        <v>43252</v>
      </c>
      <c r="AF619" s="289">
        <v>9371.9339071792601</v>
      </c>
      <c r="AG619">
        <f t="shared" si="46"/>
        <v>360</v>
      </c>
      <c r="AH619" s="289">
        <f t="shared" si="47"/>
        <v>26.033149742164611</v>
      </c>
      <c r="AJ619" s="289">
        <f t="shared" si="48"/>
        <v>54</v>
      </c>
      <c r="AK619" s="289">
        <f t="shared" si="49"/>
        <v>1405.7900860768889</v>
      </c>
    </row>
    <row r="620" spans="1:37">
      <c r="A620" s="703" t="s">
        <v>1528</v>
      </c>
      <c r="B620" s="703" t="s">
        <v>331</v>
      </c>
      <c r="C620" s="703" t="s">
        <v>586</v>
      </c>
      <c r="D620" s="703" t="s">
        <v>486</v>
      </c>
      <c r="E620" s="703" t="s">
        <v>587</v>
      </c>
      <c r="F620" s="703" t="s">
        <v>335</v>
      </c>
      <c r="G620" s="703" t="s">
        <v>1238</v>
      </c>
      <c r="H620" s="703" t="s">
        <v>334</v>
      </c>
      <c r="I620" s="703" t="s">
        <v>334</v>
      </c>
      <c r="J620" s="703" t="s">
        <v>337</v>
      </c>
      <c r="K620" s="704">
        <v>0</v>
      </c>
      <c r="L620" s="703" t="s">
        <v>334</v>
      </c>
      <c r="M620" s="702">
        <v>40390</v>
      </c>
      <c r="N620" s="702">
        <v>43376</v>
      </c>
      <c r="O620" s="703" t="s">
        <v>338</v>
      </c>
      <c r="P620" s="20">
        <v>2698.52</v>
      </c>
      <c r="Q620" s="20">
        <v>0</v>
      </c>
      <c r="R620" s="20">
        <v>0</v>
      </c>
      <c r="S620" s="20">
        <v>0</v>
      </c>
      <c r="T620" s="20">
        <v>2698.52</v>
      </c>
      <c r="U620" s="20">
        <v>2413.6799999999998</v>
      </c>
      <c r="V620" s="20">
        <v>-284.83999999999997</v>
      </c>
      <c r="W620" s="20">
        <v>-374.79</v>
      </c>
      <c r="X620" s="20">
        <v>-89.95</v>
      </c>
      <c r="Y620" s="20">
        <v>0</v>
      </c>
      <c r="Z620" s="20">
        <v>0</v>
      </c>
      <c r="AA620" s="20">
        <v>0</v>
      </c>
      <c r="AB620" s="20">
        <v>2323.73</v>
      </c>
      <c r="AC620" t="s">
        <v>589</v>
      </c>
      <c r="AD620" t="s">
        <v>290</v>
      </c>
      <c r="AE620" s="702">
        <f t="shared" si="45"/>
        <v>43252</v>
      </c>
      <c r="AF620" s="289">
        <v>4482.3801989662452</v>
      </c>
      <c r="AG620">
        <f t="shared" si="46"/>
        <v>360</v>
      </c>
      <c r="AH620" s="289">
        <f t="shared" si="47"/>
        <v>12.45105610823957</v>
      </c>
      <c r="AJ620" s="289">
        <f t="shared" si="48"/>
        <v>54</v>
      </c>
      <c r="AK620" s="289">
        <f t="shared" si="49"/>
        <v>672.35702984493673</v>
      </c>
    </row>
    <row r="621" spans="1:37">
      <c r="A621" s="703" t="s">
        <v>1529</v>
      </c>
      <c r="B621" s="703" t="s">
        <v>331</v>
      </c>
      <c r="C621" s="703" t="s">
        <v>332</v>
      </c>
      <c r="D621" s="703" t="s">
        <v>333</v>
      </c>
      <c r="E621" s="703" t="s">
        <v>334</v>
      </c>
      <c r="F621" s="703" t="s">
        <v>335</v>
      </c>
      <c r="G621" s="703" t="s">
        <v>1530</v>
      </c>
      <c r="H621" s="703" t="s">
        <v>334</v>
      </c>
      <c r="I621" s="703" t="s">
        <v>334</v>
      </c>
      <c r="J621" s="703" t="s">
        <v>337</v>
      </c>
      <c r="K621" s="704">
        <v>0</v>
      </c>
      <c r="L621" s="703" t="s">
        <v>334</v>
      </c>
      <c r="M621" s="702">
        <v>42613</v>
      </c>
      <c r="N621" s="702">
        <v>43395</v>
      </c>
      <c r="O621" s="703" t="s">
        <v>338</v>
      </c>
      <c r="P621" s="20">
        <v>4906.3999999999996</v>
      </c>
      <c r="Q621" s="20">
        <v>0</v>
      </c>
      <c r="R621" s="20">
        <v>0</v>
      </c>
      <c r="S621" s="20">
        <v>0</v>
      </c>
      <c r="T621" s="20">
        <v>4906.3999999999996</v>
      </c>
      <c r="U621" s="20">
        <v>4388.49</v>
      </c>
      <c r="V621" s="20">
        <v>-517.91</v>
      </c>
      <c r="W621" s="20">
        <v>-681.46</v>
      </c>
      <c r="X621" s="20">
        <v>-163.55000000000001</v>
      </c>
      <c r="Y621" s="20">
        <v>0</v>
      </c>
      <c r="Z621" s="20">
        <v>0</v>
      </c>
      <c r="AA621" s="20">
        <v>0</v>
      </c>
      <c r="AB621" s="20">
        <v>4224.9399999999996</v>
      </c>
      <c r="AC621" t="s">
        <v>183</v>
      </c>
      <c r="AD621" t="s">
        <v>290</v>
      </c>
      <c r="AE621" s="702">
        <f t="shared" si="45"/>
        <v>43252</v>
      </c>
      <c r="AF621" s="289">
        <v>8149.7821799386256</v>
      </c>
      <c r="AG621">
        <f t="shared" si="46"/>
        <v>360</v>
      </c>
      <c r="AH621" s="289">
        <f t="shared" si="47"/>
        <v>22.638283833162848</v>
      </c>
      <c r="AJ621" s="289">
        <f t="shared" si="48"/>
        <v>54</v>
      </c>
      <c r="AK621" s="289">
        <f t="shared" si="49"/>
        <v>1222.4673269907937</v>
      </c>
    </row>
    <row r="622" spans="1:37">
      <c r="A622" s="703" t="s">
        <v>1531</v>
      </c>
      <c r="B622" s="703" t="s">
        <v>331</v>
      </c>
      <c r="C622" s="703" t="s">
        <v>332</v>
      </c>
      <c r="D622" s="703" t="s">
        <v>333</v>
      </c>
      <c r="E622" s="703" t="s">
        <v>334</v>
      </c>
      <c r="F622" s="703" t="s">
        <v>335</v>
      </c>
      <c r="G622" s="703" t="s">
        <v>1532</v>
      </c>
      <c r="H622" s="703" t="s">
        <v>334</v>
      </c>
      <c r="I622" s="703" t="s">
        <v>334</v>
      </c>
      <c r="J622" s="703" t="s">
        <v>337</v>
      </c>
      <c r="K622" s="704">
        <v>0</v>
      </c>
      <c r="L622" s="703" t="s">
        <v>334</v>
      </c>
      <c r="M622" s="702">
        <v>42766</v>
      </c>
      <c r="N622" s="702">
        <v>43395</v>
      </c>
      <c r="O622" s="703" t="s">
        <v>338</v>
      </c>
      <c r="P622" s="20">
        <v>7872.9</v>
      </c>
      <c r="Q622" s="20">
        <v>0</v>
      </c>
      <c r="R622" s="20">
        <v>0</v>
      </c>
      <c r="S622" s="20">
        <v>0</v>
      </c>
      <c r="T622" s="20">
        <v>7872.9</v>
      </c>
      <c r="U622" s="20">
        <v>7041.87</v>
      </c>
      <c r="V622" s="20">
        <v>-831.03</v>
      </c>
      <c r="W622" s="20">
        <v>-1093.46</v>
      </c>
      <c r="X622" s="20">
        <v>-262.43</v>
      </c>
      <c r="Y622" s="20">
        <v>0</v>
      </c>
      <c r="Z622" s="20">
        <v>0</v>
      </c>
      <c r="AA622" s="20">
        <v>0</v>
      </c>
      <c r="AB622" s="20">
        <v>6779.44</v>
      </c>
      <c r="AC622" t="s">
        <v>183</v>
      </c>
      <c r="AD622" t="s">
        <v>290</v>
      </c>
      <c r="AE622" s="702">
        <f t="shared" si="45"/>
        <v>43252</v>
      </c>
      <c r="AF622" s="289">
        <v>13077.290910736754</v>
      </c>
      <c r="AG622">
        <f t="shared" si="46"/>
        <v>360</v>
      </c>
      <c r="AH622" s="289">
        <f t="shared" si="47"/>
        <v>36.325808085379876</v>
      </c>
      <c r="AJ622" s="289">
        <f t="shared" si="48"/>
        <v>54</v>
      </c>
      <c r="AK622" s="289">
        <f t="shared" si="49"/>
        <v>1961.5936366105134</v>
      </c>
    </row>
    <row r="623" spans="1:37">
      <c r="A623" s="703" t="s">
        <v>1533</v>
      </c>
      <c r="B623" s="703" t="s">
        <v>331</v>
      </c>
      <c r="C623" s="703" t="s">
        <v>332</v>
      </c>
      <c r="D623" s="703" t="s">
        <v>333</v>
      </c>
      <c r="E623" s="703" t="s">
        <v>334</v>
      </c>
      <c r="F623" s="703" t="s">
        <v>335</v>
      </c>
      <c r="G623" s="703" t="s">
        <v>1534</v>
      </c>
      <c r="H623" s="703" t="s">
        <v>334</v>
      </c>
      <c r="I623" s="703" t="s">
        <v>334</v>
      </c>
      <c r="J623" s="703" t="s">
        <v>337</v>
      </c>
      <c r="K623" s="704">
        <v>0</v>
      </c>
      <c r="L623" s="703" t="s">
        <v>334</v>
      </c>
      <c r="M623" s="702">
        <v>42766</v>
      </c>
      <c r="N623" s="702">
        <v>43395</v>
      </c>
      <c r="O623" s="703" t="s">
        <v>338</v>
      </c>
      <c r="P623" s="20">
        <v>16170.56</v>
      </c>
      <c r="Q623" s="20">
        <v>0</v>
      </c>
      <c r="R623" s="20">
        <v>0</v>
      </c>
      <c r="S623" s="20">
        <v>0</v>
      </c>
      <c r="T623" s="20">
        <v>16170.56</v>
      </c>
      <c r="U623" s="20">
        <v>14463.66</v>
      </c>
      <c r="V623" s="20">
        <v>-1706.9</v>
      </c>
      <c r="W623" s="20">
        <v>-2245.92</v>
      </c>
      <c r="X623" s="20">
        <v>-539.02</v>
      </c>
      <c r="Y623" s="20">
        <v>0</v>
      </c>
      <c r="Z623" s="20">
        <v>0</v>
      </c>
      <c r="AA623" s="20">
        <v>0</v>
      </c>
      <c r="AB623" s="20">
        <v>13924.64</v>
      </c>
      <c r="AC623" t="s">
        <v>183</v>
      </c>
      <c r="AD623" t="s">
        <v>290</v>
      </c>
      <c r="AE623" s="702">
        <f t="shared" si="45"/>
        <v>43252</v>
      </c>
      <c r="AF623" s="289">
        <v>26860.129978727447</v>
      </c>
      <c r="AG623">
        <f t="shared" si="46"/>
        <v>360</v>
      </c>
      <c r="AH623" s="289">
        <f t="shared" si="47"/>
        <v>74.611472163131793</v>
      </c>
      <c r="AJ623" s="289">
        <f t="shared" si="48"/>
        <v>54</v>
      </c>
      <c r="AK623" s="289">
        <f t="shared" si="49"/>
        <v>4029.0194968091168</v>
      </c>
    </row>
    <row r="624" spans="1:37">
      <c r="A624" s="703" t="s">
        <v>1535</v>
      </c>
      <c r="B624" s="703" t="s">
        <v>331</v>
      </c>
      <c r="C624" s="703" t="s">
        <v>332</v>
      </c>
      <c r="D624" s="703" t="s">
        <v>333</v>
      </c>
      <c r="E624" s="703" t="s">
        <v>334</v>
      </c>
      <c r="F624" s="703" t="s">
        <v>335</v>
      </c>
      <c r="G624" s="703" t="s">
        <v>1536</v>
      </c>
      <c r="H624" s="703" t="s">
        <v>334</v>
      </c>
      <c r="I624" s="703" t="s">
        <v>334</v>
      </c>
      <c r="J624" s="703" t="s">
        <v>337</v>
      </c>
      <c r="K624" s="704">
        <v>0</v>
      </c>
      <c r="L624" s="703" t="s">
        <v>334</v>
      </c>
      <c r="M624" s="702">
        <v>42766</v>
      </c>
      <c r="N624" s="702">
        <v>43395</v>
      </c>
      <c r="O624" s="703" t="s">
        <v>338</v>
      </c>
      <c r="P624" s="20">
        <v>24009</v>
      </c>
      <c r="Q624" s="20">
        <v>0</v>
      </c>
      <c r="R624" s="20">
        <v>0</v>
      </c>
      <c r="S624" s="20">
        <v>0</v>
      </c>
      <c r="T624" s="20">
        <v>24009</v>
      </c>
      <c r="U624" s="20">
        <v>21474.720000000001</v>
      </c>
      <c r="V624" s="20">
        <v>-2534.2800000000002</v>
      </c>
      <c r="W624" s="20">
        <v>-3334.58</v>
      </c>
      <c r="X624" s="20">
        <v>-800.3</v>
      </c>
      <c r="Y624" s="20">
        <v>0</v>
      </c>
      <c r="Z624" s="20">
        <v>0</v>
      </c>
      <c r="AA624" s="20">
        <v>0</v>
      </c>
      <c r="AB624" s="20">
        <v>20674.419999999998</v>
      </c>
      <c r="AC624" t="s">
        <v>183</v>
      </c>
      <c r="AD624" t="s">
        <v>290</v>
      </c>
      <c r="AE624" s="702">
        <f t="shared" si="45"/>
        <v>43252</v>
      </c>
      <c r="AF624" s="289">
        <v>39880.181061092953</v>
      </c>
      <c r="AG624">
        <f t="shared" si="46"/>
        <v>360</v>
      </c>
      <c r="AH624" s="289">
        <f t="shared" si="47"/>
        <v>110.7782807252582</v>
      </c>
      <c r="AJ624" s="289">
        <f t="shared" si="48"/>
        <v>54</v>
      </c>
      <c r="AK624" s="289">
        <f t="shared" si="49"/>
        <v>5982.027159163943</v>
      </c>
    </row>
    <row r="625" spans="1:37">
      <c r="A625" s="703" t="s">
        <v>1537</v>
      </c>
      <c r="B625" s="703" t="s">
        <v>331</v>
      </c>
      <c r="C625" s="703" t="s">
        <v>332</v>
      </c>
      <c r="D625" s="703" t="s">
        <v>333</v>
      </c>
      <c r="E625" s="703" t="s">
        <v>334</v>
      </c>
      <c r="F625" s="703" t="s">
        <v>335</v>
      </c>
      <c r="G625" s="703" t="s">
        <v>1538</v>
      </c>
      <c r="H625" s="703" t="s">
        <v>334</v>
      </c>
      <c r="I625" s="703" t="s">
        <v>334</v>
      </c>
      <c r="J625" s="703" t="s">
        <v>337</v>
      </c>
      <c r="K625" s="704">
        <v>0</v>
      </c>
      <c r="L625" s="703" t="s">
        <v>334</v>
      </c>
      <c r="M625" s="702">
        <v>42766</v>
      </c>
      <c r="N625" s="702">
        <v>43395</v>
      </c>
      <c r="O625" s="703" t="s">
        <v>338</v>
      </c>
      <c r="P625" s="20">
        <v>36916.6</v>
      </c>
      <c r="Q625" s="20">
        <v>0</v>
      </c>
      <c r="R625" s="20">
        <v>0</v>
      </c>
      <c r="S625" s="20">
        <v>0</v>
      </c>
      <c r="T625" s="20">
        <v>36916.6</v>
      </c>
      <c r="U625" s="20">
        <v>33019.86</v>
      </c>
      <c r="V625" s="20">
        <v>-3896.74</v>
      </c>
      <c r="W625" s="20">
        <v>-5127.29</v>
      </c>
      <c r="X625" s="20">
        <v>-1230.55</v>
      </c>
      <c r="Y625" s="20">
        <v>0</v>
      </c>
      <c r="Z625" s="20">
        <v>0</v>
      </c>
      <c r="AA625" s="20">
        <v>0</v>
      </c>
      <c r="AB625" s="20">
        <v>31789.31</v>
      </c>
      <c r="AC625" t="s">
        <v>183</v>
      </c>
      <c r="AD625" t="s">
        <v>290</v>
      </c>
      <c r="AE625" s="702">
        <f t="shared" si="45"/>
        <v>43252</v>
      </c>
      <c r="AF625" s="289">
        <v>61320.367035692623</v>
      </c>
      <c r="AG625">
        <f t="shared" si="46"/>
        <v>360</v>
      </c>
      <c r="AH625" s="289">
        <f t="shared" si="47"/>
        <v>170.33435287692396</v>
      </c>
      <c r="AJ625" s="289">
        <f t="shared" si="48"/>
        <v>54</v>
      </c>
      <c r="AK625" s="289">
        <f t="shared" si="49"/>
        <v>9198.0550553538942</v>
      </c>
    </row>
    <row r="626" spans="1:37">
      <c r="A626" s="703" t="s">
        <v>1539</v>
      </c>
      <c r="B626" s="703" t="s">
        <v>331</v>
      </c>
      <c r="C626" s="703" t="s">
        <v>332</v>
      </c>
      <c r="D626" s="703" t="s">
        <v>333</v>
      </c>
      <c r="E626" s="703" t="s">
        <v>334</v>
      </c>
      <c r="F626" s="703" t="s">
        <v>335</v>
      </c>
      <c r="G626" s="703" t="s">
        <v>1540</v>
      </c>
      <c r="H626" s="703" t="s">
        <v>334</v>
      </c>
      <c r="I626" s="703" t="s">
        <v>334</v>
      </c>
      <c r="J626" s="703" t="s">
        <v>337</v>
      </c>
      <c r="K626" s="704">
        <v>0</v>
      </c>
      <c r="L626" s="703" t="s">
        <v>334</v>
      </c>
      <c r="M626" s="702">
        <v>42613</v>
      </c>
      <c r="N626" s="702">
        <v>43395</v>
      </c>
      <c r="O626" s="703" t="s">
        <v>338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0</v>
      </c>
      <c r="AA626" s="20">
        <v>0</v>
      </c>
      <c r="AB626" s="20">
        <v>0</v>
      </c>
      <c r="AC626" t="s">
        <v>183</v>
      </c>
      <c r="AD626" t="s">
        <v>290</v>
      </c>
      <c r="AE626" s="702">
        <f t="shared" si="45"/>
        <v>43252</v>
      </c>
      <c r="AF626" s="289">
        <v>0</v>
      </c>
      <c r="AG626">
        <f t="shared" si="46"/>
        <v>360</v>
      </c>
      <c r="AH626" s="289">
        <f t="shared" si="47"/>
        <v>0</v>
      </c>
      <c r="AJ626" s="289">
        <f t="shared" si="48"/>
        <v>54</v>
      </c>
      <c r="AK626" s="289">
        <f t="shared" si="49"/>
        <v>0</v>
      </c>
    </row>
    <row r="627" spans="1:37">
      <c r="A627" s="703" t="s">
        <v>1541</v>
      </c>
      <c r="B627" s="703" t="s">
        <v>331</v>
      </c>
      <c r="C627" s="703" t="s">
        <v>390</v>
      </c>
      <c r="D627" s="703" t="s">
        <v>391</v>
      </c>
      <c r="E627" s="703" t="s">
        <v>334</v>
      </c>
      <c r="F627" s="703" t="s">
        <v>335</v>
      </c>
      <c r="G627" s="703" t="s">
        <v>1542</v>
      </c>
      <c r="H627" s="703" t="s">
        <v>334</v>
      </c>
      <c r="I627" s="703" t="s">
        <v>334</v>
      </c>
      <c r="J627" s="703" t="s">
        <v>337</v>
      </c>
      <c r="K627" s="704">
        <v>0</v>
      </c>
      <c r="L627" s="703" t="s">
        <v>334</v>
      </c>
      <c r="M627" s="702">
        <v>42063</v>
      </c>
      <c r="N627" s="702">
        <v>43395</v>
      </c>
      <c r="O627" s="703" t="s">
        <v>338</v>
      </c>
      <c r="P627" s="20">
        <v>181508.89</v>
      </c>
      <c r="Q627" s="20">
        <v>0</v>
      </c>
      <c r="R627" s="20">
        <v>0</v>
      </c>
      <c r="S627" s="20">
        <v>0</v>
      </c>
      <c r="T627" s="20">
        <v>181508.89</v>
      </c>
      <c r="U627" s="20">
        <v>162349.60999999999</v>
      </c>
      <c r="V627" s="20">
        <v>-19159.28</v>
      </c>
      <c r="W627" s="20">
        <v>-25209.58</v>
      </c>
      <c r="X627" s="20">
        <v>-6050.3</v>
      </c>
      <c r="Y627" s="20">
        <v>0</v>
      </c>
      <c r="Z627" s="20">
        <v>0</v>
      </c>
      <c r="AA627" s="20">
        <v>0</v>
      </c>
      <c r="AB627" s="20">
        <v>156299.31</v>
      </c>
      <c r="AC627" t="s">
        <v>188</v>
      </c>
      <c r="AD627" t="s">
        <v>290</v>
      </c>
      <c r="AE627" s="702">
        <f t="shared" si="45"/>
        <v>43252</v>
      </c>
      <c r="AF627" s="289">
        <v>301495.58071548195</v>
      </c>
      <c r="AG627">
        <f t="shared" si="46"/>
        <v>360</v>
      </c>
      <c r="AH627" s="289">
        <f t="shared" si="47"/>
        <v>837.48772420967202</v>
      </c>
      <c r="AJ627" s="289">
        <f t="shared" si="48"/>
        <v>54</v>
      </c>
      <c r="AK627" s="289">
        <f t="shared" si="49"/>
        <v>45224.337107322288</v>
      </c>
    </row>
    <row r="628" spans="1:37">
      <c r="A628" s="703" t="s">
        <v>1543</v>
      </c>
      <c r="B628" s="703" t="s">
        <v>331</v>
      </c>
      <c r="C628" s="703" t="s">
        <v>574</v>
      </c>
      <c r="D628" s="703" t="s">
        <v>575</v>
      </c>
      <c r="E628" s="703" t="s">
        <v>334</v>
      </c>
      <c r="F628" s="703" t="s">
        <v>335</v>
      </c>
      <c r="G628" s="703" t="s">
        <v>1544</v>
      </c>
      <c r="H628" s="703" t="s">
        <v>334</v>
      </c>
      <c r="I628" s="703" t="s">
        <v>334</v>
      </c>
      <c r="J628" s="703" t="s">
        <v>577</v>
      </c>
      <c r="K628" s="704">
        <v>0</v>
      </c>
      <c r="L628" s="703" t="s">
        <v>334</v>
      </c>
      <c r="M628" s="702">
        <v>42766</v>
      </c>
      <c r="N628" s="702">
        <v>43395</v>
      </c>
      <c r="O628" s="703" t="s">
        <v>338</v>
      </c>
      <c r="P628" s="20">
        <v>144992.4</v>
      </c>
      <c r="Q628" s="20">
        <v>0</v>
      </c>
      <c r="R628" s="20">
        <v>0</v>
      </c>
      <c r="S628" s="20">
        <v>0</v>
      </c>
      <c r="T628" s="20">
        <v>144992.4</v>
      </c>
      <c r="U628" s="20">
        <v>129687.65</v>
      </c>
      <c r="V628" s="20">
        <v>-15304.75</v>
      </c>
      <c r="W628" s="20">
        <v>-20137.830000000002</v>
      </c>
      <c r="X628" s="20">
        <v>-4833.08</v>
      </c>
      <c r="Y628" s="20">
        <v>0</v>
      </c>
      <c r="Z628" s="20">
        <v>0</v>
      </c>
      <c r="AA628" s="20">
        <v>0</v>
      </c>
      <c r="AB628" s="20">
        <v>124854.57</v>
      </c>
      <c r="AC628" t="s">
        <v>578</v>
      </c>
      <c r="AD628" t="s">
        <v>290</v>
      </c>
      <c r="AE628" s="702">
        <f t="shared" si="45"/>
        <v>43252</v>
      </c>
      <c r="AF628" s="289">
        <v>240839.81692208815</v>
      </c>
      <c r="AG628">
        <f t="shared" si="46"/>
        <v>360</v>
      </c>
      <c r="AH628" s="289">
        <f t="shared" si="47"/>
        <v>668.99949145024482</v>
      </c>
      <c r="AJ628" s="289">
        <f t="shared" si="48"/>
        <v>54</v>
      </c>
      <c r="AK628" s="289">
        <f t="shared" si="49"/>
        <v>36125.972538313217</v>
      </c>
    </row>
    <row r="629" spans="1:37">
      <c r="A629" s="703" t="s">
        <v>1545</v>
      </c>
      <c r="B629" s="703" t="s">
        <v>331</v>
      </c>
      <c r="C629" s="703" t="s">
        <v>574</v>
      </c>
      <c r="D629" s="703" t="s">
        <v>575</v>
      </c>
      <c r="E629" s="703" t="s">
        <v>334</v>
      </c>
      <c r="F629" s="703" t="s">
        <v>335</v>
      </c>
      <c r="G629" s="703" t="s">
        <v>1546</v>
      </c>
      <c r="H629" s="703" t="s">
        <v>334</v>
      </c>
      <c r="I629" s="703" t="s">
        <v>334</v>
      </c>
      <c r="J629" s="703" t="s">
        <v>577</v>
      </c>
      <c r="K629" s="704">
        <v>0</v>
      </c>
      <c r="L629" s="703" t="s">
        <v>334</v>
      </c>
      <c r="M629" s="702">
        <v>42766</v>
      </c>
      <c r="N629" s="702">
        <v>43395</v>
      </c>
      <c r="O629" s="703" t="s">
        <v>338</v>
      </c>
      <c r="P629" s="20">
        <v>606.16</v>
      </c>
      <c r="Q629" s="20">
        <v>0</v>
      </c>
      <c r="R629" s="20">
        <v>0</v>
      </c>
      <c r="S629" s="20">
        <v>0</v>
      </c>
      <c r="T629" s="20">
        <v>606.16</v>
      </c>
      <c r="U629" s="20">
        <v>542.16</v>
      </c>
      <c r="V629" s="20">
        <v>-64</v>
      </c>
      <c r="W629" s="20">
        <v>-84.21</v>
      </c>
      <c r="X629" s="20">
        <v>-20.21</v>
      </c>
      <c r="Y629" s="20">
        <v>0</v>
      </c>
      <c r="Z629" s="20">
        <v>0</v>
      </c>
      <c r="AA629" s="20">
        <v>0</v>
      </c>
      <c r="AB629" s="20">
        <v>521.95000000000005</v>
      </c>
      <c r="AC629" t="s">
        <v>578</v>
      </c>
      <c r="AD629" t="s">
        <v>290</v>
      </c>
      <c r="AE629" s="702">
        <f t="shared" si="45"/>
        <v>43252</v>
      </c>
      <c r="AF629" s="289">
        <v>1006.8628660915533</v>
      </c>
      <c r="AG629">
        <f t="shared" si="46"/>
        <v>360</v>
      </c>
      <c r="AH629" s="289">
        <f t="shared" si="47"/>
        <v>2.7968412946987593</v>
      </c>
      <c r="AJ629" s="289">
        <f t="shared" si="48"/>
        <v>54</v>
      </c>
      <c r="AK629" s="289">
        <f t="shared" si="49"/>
        <v>151.029429913733</v>
      </c>
    </row>
    <row r="630" spans="1:37">
      <c r="A630" s="703" t="s">
        <v>1547</v>
      </c>
      <c r="B630" s="703" t="s">
        <v>331</v>
      </c>
      <c r="C630" s="703" t="s">
        <v>332</v>
      </c>
      <c r="D630" s="703" t="s">
        <v>333</v>
      </c>
      <c r="E630" s="703" t="s">
        <v>334</v>
      </c>
      <c r="F630" s="703" t="s">
        <v>335</v>
      </c>
      <c r="G630" s="703" t="s">
        <v>570</v>
      </c>
      <c r="H630" s="703" t="s">
        <v>334</v>
      </c>
      <c r="I630" s="703" t="s">
        <v>334</v>
      </c>
      <c r="J630" s="703" t="s">
        <v>337</v>
      </c>
      <c r="K630" s="704">
        <v>0</v>
      </c>
      <c r="L630" s="703" t="s">
        <v>334</v>
      </c>
      <c r="M630" s="702">
        <v>43404</v>
      </c>
      <c r="N630" s="702">
        <v>43423</v>
      </c>
      <c r="O630" s="703" t="s">
        <v>338</v>
      </c>
      <c r="P630" s="20">
        <v>286265.07</v>
      </c>
      <c r="Q630" s="20">
        <v>0</v>
      </c>
      <c r="R630" s="20">
        <v>0</v>
      </c>
      <c r="S630" s="20">
        <v>0</v>
      </c>
      <c r="T630" s="20">
        <v>286265.07</v>
      </c>
      <c r="U630" s="20">
        <v>256843.38</v>
      </c>
      <c r="V630" s="20">
        <v>-29421.69</v>
      </c>
      <c r="W630" s="20">
        <v>-38963.86</v>
      </c>
      <c r="X630" s="20">
        <v>-9542.17</v>
      </c>
      <c r="Y630" s="20">
        <v>0</v>
      </c>
      <c r="Z630" s="20">
        <v>0</v>
      </c>
      <c r="AA630" s="20">
        <v>0</v>
      </c>
      <c r="AB630" s="20">
        <v>247301.21</v>
      </c>
      <c r="AC630" t="s">
        <v>183</v>
      </c>
      <c r="AD630" t="s">
        <v>290</v>
      </c>
      <c r="AE630" s="702">
        <f t="shared" si="45"/>
        <v>43252</v>
      </c>
      <c r="AF630" s="289">
        <v>475500.9714301491</v>
      </c>
      <c r="AG630">
        <f t="shared" si="46"/>
        <v>360</v>
      </c>
      <c r="AH630" s="289">
        <f t="shared" si="47"/>
        <v>1320.8360317504141</v>
      </c>
      <c r="AJ630" s="289">
        <f t="shared" si="48"/>
        <v>54</v>
      </c>
      <c r="AK630" s="289">
        <f t="shared" si="49"/>
        <v>71325.145714522369</v>
      </c>
    </row>
    <row r="631" spans="1:37">
      <c r="A631" s="703" t="s">
        <v>1548</v>
      </c>
      <c r="B631" s="703" t="s">
        <v>331</v>
      </c>
      <c r="C631" s="703" t="s">
        <v>332</v>
      </c>
      <c r="D631" s="703" t="s">
        <v>333</v>
      </c>
      <c r="E631" s="703" t="s">
        <v>334</v>
      </c>
      <c r="F631" s="703" t="s">
        <v>335</v>
      </c>
      <c r="G631" s="703" t="s">
        <v>1296</v>
      </c>
      <c r="H631" s="703" t="s">
        <v>334</v>
      </c>
      <c r="I631" s="703" t="s">
        <v>334</v>
      </c>
      <c r="J631" s="703" t="s">
        <v>337</v>
      </c>
      <c r="K631" s="704">
        <v>0</v>
      </c>
      <c r="L631" s="703" t="s">
        <v>334</v>
      </c>
      <c r="M631" s="702">
        <v>43404</v>
      </c>
      <c r="N631" s="702">
        <v>43423</v>
      </c>
      <c r="O631" s="703" t="s">
        <v>338</v>
      </c>
      <c r="P631" s="20">
        <v>1198.25</v>
      </c>
      <c r="Q631" s="20">
        <v>0</v>
      </c>
      <c r="R631" s="20">
        <v>0</v>
      </c>
      <c r="S631" s="20">
        <v>0</v>
      </c>
      <c r="T631" s="20">
        <v>1198.25</v>
      </c>
      <c r="U631" s="20">
        <v>1075.0999999999999</v>
      </c>
      <c r="V631" s="20">
        <v>-123.15</v>
      </c>
      <c r="W631" s="20">
        <v>-163.09</v>
      </c>
      <c r="X631" s="20">
        <v>-39.94</v>
      </c>
      <c r="Y631" s="20">
        <v>0</v>
      </c>
      <c r="Z631" s="20">
        <v>0</v>
      </c>
      <c r="AA631" s="20">
        <v>0</v>
      </c>
      <c r="AB631" s="20">
        <v>1035.1600000000001</v>
      </c>
      <c r="AC631" t="s">
        <v>183</v>
      </c>
      <c r="AD631" t="s">
        <v>290</v>
      </c>
      <c r="AE631" s="702">
        <f t="shared" si="45"/>
        <v>43252</v>
      </c>
      <c r="AF631" s="289">
        <v>1990.3547401580506</v>
      </c>
      <c r="AG631">
        <f t="shared" si="46"/>
        <v>360</v>
      </c>
      <c r="AH631" s="289">
        <f t="shared" si="47"/>
        <v>5.528763167105696</v>
      </c>
      <c r="AJ631" s="289">
        <f t="shared" si="48"/>
        <v>54</v>
      </c>
      <c r="AK631" s="289">
        <f t="shared" si="49"/>
        <v>298.5532110237076</v>
      </c>
    </row>
    <row r="632" spans="1:37">
      <c r="A632" s="703" t="s">
        <v>1549</v>
      </c>
      <c r="B632" s="703" t="s">
        <v>331</v>
      </c>
      <c r="C632" s="703" t="s">
        <v>574</v>
      </c>
      <c r="D632" s="703" t="s">
        <v>575</v>
      </c>
      <c r="E632" s="703" t="s">
        <v>334</v>
      </c>
      <c r="F632" s="703" t="s">
        <v>335</v>
      </c>
      <c r="G632" s="703" t="s">
        <v>1550</v>
      </c>
      <c r="H632" s="703" t="s">
        <v>334</v>
      </c>
      <c r="I632" s="703" t="s">
        <v>334</v>
      </c>
      <c r="J632" s="703" t="s">
        <v>577</v>
      </c>
      <c r="K632" s="704">
        <v>0</v>
      </c>
      <c r="L632" s="703" t="s">
        <v>334</v>
      </c>
      <c r="M632" s="702">
        <v>43404</v>
      </c>
      <c r="N632" s="702">
        <v>43423</v>
      </c>
      <c r="O632" s="703" t="s">
        <v>338</v>
      </c>
      <c r="P632" s="20">
        <v>3856.02</v>
      </c>
      <c r="Q632" s="20">
        <v>0</v>
      </c>
      <c r="R632" s="20">
        <v>0</v>
      </c>
      <c r="S632" s="20">
        <v>0</v>
      </c>
      <c r="T632" s="20">
        <v>3856.02</v>
      </c>
      <c r="U632" s="20">
        <v>3459.72</v>
      </c>
      <c r="V632" s="20">
        <v>-396.3</v>
      </c>
      <c r="W632" s="20">
        <v>-524.83000000000004</v>
      </c>
      <c r="X632" s="20">
        <v>-128.53</v>
      </c>
      <c r="Y632" s="20">
        <v>0</v>
      </c>
      <c r="Z632" s="20">
        <v>0</v>
      </c>
      <c r="AA632" s="20">
        <v>0</v>
      </c>
      <c r="AB632" s="20">
        <v>3331.19</v>
      </c>
      <c r="AC632" t="s">
        <v>578</v>
      </c>
      <c r="AD632" t="s">
        <v>290</v>
      </c>
      <c r="AE632" s="702">
        <f t="shared" si="45"/>
        <v>43252</v>
      </c>
      <c r="AF632" s="289">
        <v>6405.0470979714137</v>
      </c>
      <c r="AG632">
        <f t="shared" si="46"/>
        <v>360</v>
      </c>
      <c r="AH632" s="289">
        <f t="shared" si="47"/>
        <v>17.791797494365039</v>
      </c>
      <c r="AJ632" s="289">
        <f t="shared" si="48"/>
        <v>54</v>
      </c>
      <c r="AK632" s="289">
        <f t="shared" si="49"/>
        <v>960.75706469571207</v>
      </c>
    </row>
    <row r="633" spans="1:37">
      <c r="A633" s="703" t="s">
        <v>1551</v>
      </c>
      <c r="B633" s="703" t="s">
        <v>331</v>
      </c>
      <c r="C633" s="703" t="s">
        <v>574</v>
      </c>
      <c r="D633" s="703" t="s">
        <v>575</v>
      </c>
      <c r="E633" s="703" t="s">
        <v>334</v>
      </c>
      <c r="F633" s="703" t="s">
        <v>335</v>
      </c>
      <c r="G633" s="703" t="s">
        <v>1312</v>
      </c>
      <c r="H633" s="703" t="s">
        <v>334</v>
      </c>
      <c r="I633" s="703" t="s">
        <v>334</v>
      </c>
      <c r="J633" s="703" t="s">
        <v>577</v>
      </c>
      <c r="K633" s="704">
        <v>0</v>
      </c>
      <c r="L633" s="703" t="s">
        <v>334</v>
      </c>
      <c r="M633" s="702">
        <v>43404</v>
      </c>
      <c r="N633" s="702">
        <v>43423</v>
      </c>
      <c r="O633" s="703" t="s">
        <v>338</v>
      </c>
      <c r="P633" s="20">
        <v>12081.76</v>
      </c>
      <c r="Q633" s="20">
        <v>0</v>
      </c>
      <c r="R633" s="20">
        <v>0</v>
      </c>
      <c r="S633" s="20">
        <v>0</v>
      </c>
      <c r="T633" s="20">
        <v>12081.76</v>
      </c>
      <c r="U633" s="20">
        <v>10840.01</v>
      </c>
      <c r="V633" s="20">
        <v>-1241.75</v>
      </c>
      <c r="W633" s="20">
        <v>-1644.48</v>
      </c>
      <c r="X633" s="20">
        <v>-402.73</v>
      </c>
      <c r="Y633" s="20">
        <v>0</v>
      </c>
      <c r="Z633" s="20">
        <v>0</v>
      </c>
      <c r="AA633" s="20">
        <v>0</v>
      </c>
      <c r="AB633" s="20">
        <v>10437.280000000001</v>
      </c>
      <c r="AC633" t="s">
        <v>578</v>
      </c>
      <c r="AD633" t="s">
        <v>290</v>
      </c>
      <c r="AE633" s="702">
        <f t="shared" si="45"/>
        <v>43252</v>
      </c>
      <c r="AF633" s="289">
        <v>20068.423355269708</v>
      </c>
      <c r="AG633">
        <f t="shared" si="46"/>
        <v>360</v>
      </c>
      <c r="AH633" s="289">
        <f t="shared" si="47"/>
        <v>55.745620431304744</v>
      </c>
      <c r="AJ633" s="289">
        <f t="shared" si="48"/>
        <v>54</v>
      </c>
      <c r="AK633" s="289">
        <f t="shared" si="49"/>
        <v>3010.2635032904564</v>
      </c>
    </row>
    <row r="634" spans="1:37">
      <c r="A634" s="703" t="s">
        <v>1552</v>
      </c>
      <c r="B634" s="703" t="s">
        <v>331</v>
      </c>
      <c r="C634" s="703" t="s">
        <v>574</v>
      </c>
      <c r="D634" s="703" t="s">
        <v>575</v>
      </c>
      <c r="E634" s="703" t="s">
        <v>334</v>
      </c>
      <c r="F634" s="703" t="s">
        <v>335</v>
      </c>
      <c r="G634" s="703" t="s">
        <v>1322</v>
      </c>
      <c r="H634" s="703" t="s">
        <v>334</v>
      </c>
      <c r="I634" s="703" t="s">
        <v>334</v>
      </c>
      <c r="J634" s="703" t="s">
        <v>577</v>
      </c>
      <c r="K634" s="704">
        <v>0</v>
      </c>
      <c r="L634" s="703" t="s">
        <v>334</v>
      </c>
      <c r="M634" s="702">
        <v>43404</v>
      </c>
      <c r="N634" s="702">
        <v>43423</v>
      </c>
      <c r="O634" s="703" t="s">
        <v>338</v>
      </c>
      <c r="P634" s="20">
        <v>21640.84</v>
      </c>
      <c r="Q634" s="20">
        <v>0</v>
      </c>
      <c r="R634" s="20">
        <v>0</v>
      </c>
      <c r="S634" s="20">
        <v>0</v>
      </c>
      <c r="T634" s="20">
        <v>21640.84</v>
      </c>
      <c r="U634" s="20">
        <v>19416.650000000001</v>
      </c>
      <c r="V634" s="20">
        <v>-2224.19</v>
      </c>
      <c r="W634" s="20">
        <v>-2945.55</v>
      </c>
      <c r="X634" s="20">
        <v>-721.36</v>
      </c>
      <c r="Y634" s="20">
        <v>0</v>
      </c>
      <c r="Z634" s="20">
        <v>0</v>
      </c>
      <c r="AA634" s="20">
        <v>0</v>
      </c>
      <c r="AB634" s="20">
        <v>18695.29</v>
      </c>
      <c r="AC634" t="s">
        <v>578</v>
      </c>
      <c r="AD634" t="s">
        <v>290</v>
      </c>
      <c r="AE634" s="702">
        <f t="shared" si="45"/>
        <v>43252</v>
      </c>
      <c r="AF634" s="289">
        <v>35946.545775090293</v>
      </c>
      <c r="AG634">
        <f t="shared" si="46"/>
        <v>360</v>
      </c>
      <c r="AH634" s="289">
        <f t="shared" si="47"/>
        <v>99.851516041917478</v>
      </c>
      <c r="AJ634" s="289">
        <f t="shared" si="48"/>
        <v>54</v>
      </c>
      <c r="AK634" s="289">
        <f t="shared" si="49"/>
        <v>5391.9818662635435</v>
      </c>
    </row>
    <row r="635" spans="1:37">
      <c r="A635" s="703" t="s">
        <v>1553</v>
      </c>
      <c r="B635" s="703" t="s">
        <v>331</v>
      </c>
      <c r="C635" s="703" t="s">
        <v>574</v>
      </c>
      <c r="D635" s="703" t="s">
        <v>575</v>
      </c>
      <c r="E635" s="703" t="s">
        <v>334</v>
      </c>
      <c r="F635" s="703" t="s">
        <v>335</v>
      </c>
      <c r="G635" s="703" t="s">
        <v>1324</v>
      </c>
      <c r="H635" s="703" t="s">
        <v>334</v>
      </c>
      <c r="I635" s="703" t="s">
        <v>334</v>
      </c>
      <c r="J635" s="703" t="s">
        <v>577</v>
      </c>
      <c r="K635" s="704">
        <v>0</v>
      </c>
      <c r="L635" s="703" t="s">
        <v>334</v>
      </c>
      <c r="M635" s="702">
        <v>43404</v>
      </c>
      <c r="N635" s="702">
        <v>43423</v>
      </c>
      <c r="O635" s="703" t="s">
        <v>338</v>
      </c>
      <c r="P635" s="20">
        <v>14581.4</v>
      </c>
      <c r="Q635" s="20">
        <v>0</v>
      </c>
      <c r="R635" s="20">
        <v>0</v>
      </c>
      <c r="S635" s="20">
        <v>0</v>
      </c>
      <c r="T635" s="20">
        <v>14581.4</v>
      </c>
      <c r="U635" s="20">
        <v>13082.75</v>
      </c>
      <c r="V635" s="20">
        <v>-1498.65</v>
      </c>
      <c r="W635" s="20">
        <v>-1984.7</v>
      </c>
      <c r="X635" s="20">
        <v>-486.05</v>
      </c>
      <c r="Y635" s="20">
        <v>0</v>
      </c>
      <c r="Z635" s="20">
        <v>0</v>
      </c>
      <c r="AA635" s="20">
        <v>0</v>
      </c>
      <c r="AB635" s="20">
        <v>12596.7</v>
      </c>
      <c r="AC635" t="s">
        <v>578</v>
      </c>
      <c r="AD635" t="s">
        <v>290</v>
      </c>
      <c r="AE635" s="702">
        <f t="shared" si="45"/>
        <v>43252</v>
      </c>
      <c r="AF635" s="289">
        <v>24220.453668383558</v>
      </c>
      <c r="AG635">
        <f t="shared" si="46"/>
        <v>360</v>
      </c>
      <c r="AH635" s="289">
        <f t="shared" si="47"/>
        <v>67.279037967732108</v>
      </c>
      <c r="AJ635" s="289">
        <f t="shared" si="48"/>
        <v>54</v>
      </c>
      <c r="AK635" s="289">
        <f t="shared" si="49"/>
        <v>3633.0680502575337</v>
      </c>
    </row>
    <row r="636" spans="1:37">
      <c r="A636" s="703" t="s">
        <v>1554</v>
      </c>
      <c r="B636" s="703" t="s">
        <v>331</v>
      </c>
      <c r="C636" s="703" t="s">
        <v>586</v>
      </c>
      <c r="D636" s="703" t="s">
        <v>486</v>
      </c>
      <c r="E636" s="703" t="s">
        <v>587</v>
      </c>
      <c r="F636" s="703" t="s">
        <v>335</v>
      </c>
      <c r="G636" s="703" t="s">
        <v>1515</v>
      </c>
      <c r="H636" s="703" t="s">
        <v>334</v>
      </c>
      <c r="I636" s="703" t="s">
        <v>334</v>
      </c>
      <c r="J636" s="703" t="s">
        <v>337</v>
      </c>
      <c r="K636" s="704">
        <v>0</v>
      </c>
      <c r="L636" s="703" t="s">
        <v>334</v>
      </c>
      <c r="M636" s="702">
        <v>40390</v>
      </c>
      <c r="N636" s="702">
        <v>43423</v>
      </c>
      <c r="O636" s="703" t="s">
        <v>338</v>
      </c>
      <c r="P636" s="20">
        <v>6056.47</v>
      </c>
      <c r="Q636" s="20">
        <v>0</v>
      </c>
      <c r="R636" s="20">
        <v>0</v>
      </c>
      <c r="S636" s="20">
        <v>0</v>
      </c>
      <c r="T636" s="20">
        <v>6056.47</v>
      </c>
      <c r="U636" s="20">
        <v>5434.01</v>
      </c>
      <c r="V636" s="20">
        <v>-622.46</v>
      </c>
      <c r="W636" s="20">
        <v>-824.34</v>
      </c>
      <c r="X636" s="20">
        <v>-201.88</v>
      </c>
      <c r="Y636" s="20">
        <v>0</v>
      </c>
      <c r="Z636" s="20">
        <v>0</v>
      </c>
      <c r="AA636" s="20">
        <v>0</v>
      </c>
      <c r="AB636" s="20">
        <v>5232.13</v>
      </c>
      <c r="AC636" t="s">
        <v>589</v>
      </c>
      <c r="AD636" t="s">
        <v>290</v>
      </c>
      <c r="AE636" s="702">
        <f t="shared" si="45"/>
        <v>43252</v>
      </c>
      <c r="AF636" s="289">
        <v>10060.107467661197</v>
      </c>
      <c r="AG636">
        <f t="shared" si="46"/>
        <v>360</v>
      </c>
      <c r="AH636" s="289">
        <f t="shared" si="47"/>
        <v>27.944742965725546</v>
      </c>
      <c r="AJ636" s="289">
        <f t="shared" si="48"/>
        <v>54</v>
      </c>
      <c r="AK636" s="289">
        <f t="shared" si="49"/>
        <v>1509.0161201491794</v>
      </c>
    </row>
    <row r="637" spans="1:37">
      <c r="A637" s="703" t="s">
        <v>1555</v>
      </c>
      <c r="B637" s="703" t="s">
        <v>331</v>
      </c>
      <c r="C637" s="703" t="s">
        <v>586</v>
      </c>
      <c r="D637" s="703" t="s">
        <v>486</v>
      </c>
      <c r="E637" s="703" t="s">
        <v>587</v>
      </c>
      <c r="F637" s="703" t="s">
        <v>335</v>
      </c>
      <c r="G637" s="703" t="s">
        <v>1326</v>
      </c>
      <c r="H637" s="703" t="s">
        <v>334</v>
      </c>
      <c r="I637" s="703" t="s">
        <v>334</v>
      </c>
      <c r="J637" s="703" t="s">
        <v>337</v>
      </c>
      <c r="K637" s="704">
        <v>0</v>
      </c>
      <c r="L637" s="703" t="s">
        <v>334</v>
      </c>
      <c r="M637" s="702">
        <v>40390</v>
      </c>
      <c r="N637" s="702">
        <v>43423</v>
      </c>
      <c r="O637" s="703" t="s">
        <v>338</v>
      </c>
      <c r="P637" s="20">
        <v>453.67</v>
      </c>
      <c r="Q637" s="20">
        <v>0</v>
      </c>
      <c r="R637" s="20">
        <v>0</v>
      </c>
      <c r="S637" s="20">
        <v>0</v>
      </c>
      <c r="T637" s="20">
        <v>453.67</v>
      </c>
      <c r="U637" s="20">
        <v>407.05</v>
      </c>
      <c r="V637" s="20">
        <v>-46.62</v>
      </c>
      <c r="W637" s="20">
        <v>-61.74</v>
      </c>
      <c r="X637" s="20">
        <v>-15.12</v>
      </c>
      <c r="Y637" s="20">
        <v>0</v>
      </c>
      <c r="Z637" s="20">
        <v>0</v>
      </c>
      <c r="AA637" s="20">
        <v>0</v>
      </c>
      <c r="AB637" s="20">
        <v>391.93</v>
      </c>
      <c r="AC637" t="s">
        <v>589</v>
      </c>
      <c r="AD637" t="s">
        <v>290</v>
      </c>
      <c r="AE637" s="702">
        <f t="shared" si="45"/>
        <v>43252</v>
      </c>
      <c r="AF637" s="289">
        <v>753.56915081786178</v>
      </c>
      <c r="AG637">
        <f t="shared" si="46"/>
        <v>360</v>
      </c>
      <c r="AH637" s="289">
        <f t="shared" si="47"/>
        <v>2.093247641160727</v>
      </c>
      <c r="AJ637" s="289">
        <f t="shared" si="48"/>
        <v>54</v>
      </c>
      <c r="AK637" s="289">
        <f t="shared" si="49"/>
        <v>113.03537262267926</v>
      </c>
    </row>
    <row r="638" spans="1:37">
      <c r="A638" s="703" t="s">
        <v>1556</v>
      </c>
      <c r="B638" s="703" t="s">
        <v>331</v>
      </c>
      <c r="C638" s="703" t="s">
        <v>586</v>
      </c>
      <c r="D638" s="703" t="s">
        <v>486</v>
      </c>
      <c r="E638" s="703" t="s">
        <v>587</v>
      </c>
      <c r="F638" s="703" t="s">
        <v>335</v>
      </c>
      <c r="G638" s="703" t="s">
        <v>1328</v>
      </c>
      <c r="H638" s="703" t="s">
        <v>334</v>
      </c>
      <c r="I638" s="703" t="s">
        <v>334</v>
      </c>
      <c r="J638" s="703" t="s">
        <v>337</v>
      </c>
      <c r="K638" s="704">
        <v>0</v>
      </c>
      <c r="L638" s="703" t="s">
        <v>334</v>
      </c>
      <c r="M638" s="702">
        <v>40390</v>
      </c>
      <c r="N638" s="702">
        <v>43423</v>
      </c>
      <c r="O638" s="703" t="s">
        <v>338</v>
      </c>
      <c r="P638" s="20">
        <v>1440.24</v>
      </c>
      <c r="Q638" s="20">
        <v>0</v>
      </c>
      <c r="R638" s="20">
        <v>0</v>
      </c>
      <c r="S638" s="20">
        <v>0</v>
      </c>
      <c r="T638" s="20">
        <v>1440.24</v>
      </c>
      <c r="U638" s="20">
        <v>1292.21</v>
      </c>
      <c r="V638" s="20">
        <v>-148.03</v>
      </c>
      <c r="W638" s="20">
        <v>-196.04</v>
      </c>
      <c r="X638" s="20">
        <v>-48.01</v>
      </c>
      <c r="Y638" s="20">
        <v>0</v>
      </c>
      <c r="Z638" s="20">
        <v>0</v>
      </c>
      <c r="AA638" s="20">
        <v>0</v>
      </c>
      <c r="AB638" s="20">
        <v>1244.2</v>
      </c>
      <c r="AC638" t="s">
        <v>589</v>
      </c>
      <c r="AD638" t="s">
        <v>290</v>
      </c>
      <c r="AE638" s="702">
        <f t="shared" si="45"/>
        <v>43252</v>
      </c>
      <c r="AF638" s="289">
        <v>2392.3125482705868</v>
      </c>
      <c r="AG638">
        <f t="shared" si="46"/>
        <v>360</v>
      </c>
      <c r="AH638" s="289">
        <f t="shared" si="47"/>
        <v>6.6453126340849638</v>
      </c>
      <c r="AJ638" s="289">
        <f t="shared" si="48"/>
        <v>54</v>
      </c>
      <c r="AK638" s="289">
        <f t="shared" si="49"/>
        <v>358.84688224058806</v>
      </c>
    </row>
    <row r="639" spans="1:37">
      <c r="A639" s="703" t="s">
        <v>1557</v>
      </c>
      <c r="B639" s="703" t="s">
        <v>331</v>
      </c>
      <c r="C639" s="703" t="s">
        <v>586</v>
      </c>
      <c r="D639" s="703" t="s">
        <v>486</v>
      </c>
      <c r="E639" s="703" t="s">
        <v>587</v>
      </c>
      <c r="F639" s="703" t="s">
        <v>335</v>
      </c>
      <c r="G639" s="703" t="s">
        <v>1330</v>
      </c>
      <c r="H639" s="703" t="s">
        <v>334</v>
      </c>
      <c r="I639" s="703" t="s">
        <v>334</v>
      </c>
      <c r="J639" s="703" t="s">
        <v>337</v>
      </c>
      <c r="K639" s="704">
        <v>0</v>
      </c>
      <c r="L639" s="703" t="s">
        <v>334</v>
      </c>
      <c r="M639" s="702">
        <v>40390</v>
      </c>
      <c r="N639" s="702">
        <v>43423</v>
      </c>
      <c r="O639" s="703" t="s">
        <v>338</v>
      </c>
      <c r="P639" s="20">
        <v>4950.87</v>
      </c>
      <c r="Q639" s="20">
        <v>0</v>
      </c>
      <c r="R639" s="20">
        <v>0</v>
      </c>
      <c r="S639" s="20">
        <v>0</v>
      </c>
      <c r="T639" s="20">
        <v>4950.87</v>
      </c>
      <c r="U639" s="20">
        <v>4442.03</v>
      </c>
      <c r="V639" s="20">
        <v>-508.84</v>
      </c>
      <c r="W639" s="20">
        <v>-673.87</v>
      </c>
      <c r="X639" s="20">
        <v>-165.03</v>
      </c>
      <c r="Y639" s="20">
        <v>0</v>
      </c>
      <c r="Z639" s="20">
        <v>0</v>
      </c>
      <c r="AA639" s="20">
        <v>0</v>
      </c>
      <c r="AB639" s="20">
        <v>4277</v>
      </c>
      <c r="AC639" t="s">
        <v>589</v>
      </c>
      <c r="AD639" t="s">
        <v>290</v>
      </c>
      <c r="AE639" s="702">
        <f t="shared" si="45"/>
        <v>43252</v>
      </c>
      <c r="AF639" s="289">
        <v>8223.6491319893903</v>
      </c>
      <c r="AG639">
        <f t="shared" si="46"/>
        <v>360</v>
      </c>
      <c r="AH639" s="289">
        <f t="shared" si="47"/>
        <v>22.84346981108164</v>
      </c>
      <c r="AJ639" s="289">
        <f t="shared" si="48"/>
        <v>54</v>
      </c>
      <c r="AK639" s="289">
        <f t="shared" si="49"/>
        <v>1233.5473697984085</v>
      </c>
    </row>
    <row r="640" spans="1:37">
      <c r="A640" s="703" t="s">
        <v>1558</v>
      </c>
      <c r="B640" s="703" t="s">
        <v>484</v>
      </c>
      <c r="C640" s="703" t="s">
        <v>1214</v>
      </c>
      <c r="D640" s="703" t="s">
        <v>575</v>
      </c>
      <c r="E640" s="703" t="s">
        <v>334</v>
      </c>
      <c r="F640" s="703" t="s">
        <v>487</v>
      </c>
      <c r="G640" s="703" t="s">
        <v>1559</v>
      </c>
      <c r="H640" s="703" t="s">
        <v>334</v>
      </c>
      <c r="I640" s="703" t="s">
        <v>334</v>
      </c>
      <c r="J640" s="703" t="s">
        <v>1217</v>
      </c>
      <c r="K640" s="704">
        <v>0</v>
      </c>
      <c r="L640" s="703" t="s">
        <v>334</v>
      </c>
      <c r="M640" s="702">
        <v>43440</v>
      </c>
      <c r="N640" s="702">
        <v>43434</v>
      </c>
      <c r="O640" s="703" t="s">
        <v>338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0</v>
      </c>
      <c r="AA640" s="20">
        <v>0</v>
      </c>
      <c r="AB640" s="20">
        <v>0</v>
      </c>
      <c r="AC640" t="s">
        <v>1218</v>
      </c>
      <c r="AD640" t="s">
        <v>492</v>
      </c>
      <c r="AE640" s="702">
        <f t="shared" si="45"/>
        <v>43252</v>
      </c>
      <c r="AF640" s="289">
        <v>0</v>
      </c>
      <c r="AG640">
        <f t="shared" si="46"/>
        <v>360</v>
      </c>
      <c r="AH640" s="289">
        <f t="shared" si="47"/>
        <v>0</v>
      </c>
      <c r="AJ640" s="289">
        <f t="shared" si="48"/>
        <v>54</v>
      </c>
      <c r="AK640" s="289">
        <f t="shared" si="49"/>
        <v>0</v>
      </c>
    </row>
    <row r="641" spans="1:37">
      <c r="A641" s="703" t="s">
        <v>1560</v>
      </c>
      <c r="B641" s="703" t="s">
        <v>331</v>
      </c>
      <c r="C641" s="703" t="s">
        <v>574</v>
      </c>
      <c r="D641" s="703" t="s">
        <v>575</v>
      </c>
      <c r="E641" s="703" t="s">
        <v>334</v>
      </c>
      <c r="F641" s="703" t="s">
        <v>335</v>
      </c>
      <c r="G641" s="703" t="s">
        <v>1312</v>
      </c>
      <c r="H641" s="703" t="s">
        <v>334</v>
      </c>
      <c r="I641" s="703" t="s">
        <v>334</v>
      </c>
      <c r="J641" s="703" t="s">
        <v>577</v>
      </c>
      <c r="K641" s="704">
        <v>0</v>
      </c>
      <c r="L641" s="703" t="s">
        <v>334</v>
      </c>
      <c r="M641" s="702">
        <v>43434</v>
      </c>
      <c r="N641" s="702">
        <v>43440</v>
      </c>
      <c r="O641" s="703" t="s">
        <v>338</v>
      </c>
      <c r="P641" s="20">
        <v>43100.21</v>
      </c>
      <c r="Q641" s="20">
        <v>0</v>
      </c>
      <c r="R641" s="20">
        <v>0</v>
      </c>
      <c r="S641" s="20">
        <v>0</v>
      </c>
      <c r="T641" s="20">
        <v>43100.21</v>
      </c>
      <c r="U641" s="20">
        <v>38790.199999999997</v>
      </c>
      <c r="V641" s="20">
        <v>-4310.01</v>
      </c>
      <c r="W641" s="20">
        <v>-5746.68</v>
      </c>
      <c r="X641" s="20">
        <v>-1436.67</v>
      </c>
      <c r="Y641" s="20">
        <v>0</v>
      </c>
      <c r="Z641" s="20">
        <v>0</v>
      </c>
      <c r="AA641" s="20">
        <v>0</v>
      </c>
      <c r="AB641" s="20">
        <v>37353.53</v>
      </c>
      <c r="AC641" t="s">
        <v>578</v>
      </c>
      <c r="AD641" t="s">
        <v>290</v>
      </c>
      <c r="AE641" s="702">
        <f t="shared" si="45"/>
        <v>43252</v>
      </c>
      <c r="AF641" s="289">
        <v>71591.66056775082</v>
      </c>
      <c r="AG641">
        <f t="shared" si="46"/>
        <v>360</v>
      </c>
      <c r="AH641" s="289">
        <f t="shared" si="47"/>
        <v>198.86572379930783</v>
      </c>
      <c r="AJ641" s="289">
        <f t="shared" si="48"/>
        <v>54</v>
      </c>
      <c r="AK641" s="289">
        <f t="shared" si="49"/>
        <v>10738.749085162623</v>
      </c>
    </row>
    <row r="642" spans="1:37">
      <c r="A642" s="703" t="s">
        <v>1561</v>
      </c>
      <c r="B642" s="703" t="s">
        <v>331</v>
      </c>
      <c r="C642" s="703" t="s">
        <v>586</v>
      </c>
      <c r="D642" s="703" t="s">
        <v>486</v>
      </c>
      <c r="E642" s="703" t="s">
        <v>587</v>
      </c>
      <c r="F642" s="703" t="s">
        <v>335</v>
      </c>
      <c r="G642" s="703" t="s">
        <v>1328</v>
      </c>
      <c r="H642" s="703" t="s">
        <v>334</v>
      </c>
      <c r="I642" s="703" t="s">
        <v>334</v>
      </c>
      <c r="J642" s="703" t="s">
        <v>337</v>
      </c>
      <c r="K642" s="704">
        <v>0</v>
      </c>
      <c r="L642" s="703" t="s">
        <v>334</v>
      </c>
      <c r="M642" s="702">
        <v>40390</v>
      </c>
      <c r="N642" s="702">
        <v>43440</v>
      </c>
      <c r="O642" s="703" t="s">
        <v>338</v>
      </c>
      <c r="P642" s="20">
        <v>1547.34</v>
      </c>
      <c r="Q642" s="20">
        <v>0</v>
      </c>
      <c r="R642" s="20">
        <v>0</v>
      </c>
      <c r="S642" s="20">
        <v>0</v>
      </c>
      <c r="T642" s="20">
        <v>1547.34</v>
      </c>
      <c r="U642" s="20">
        <v>1392.6</v>
      </c>
      <c r="V642" s="20">
        <v>-154.74</v>
      </c>
      <c r="W642" s="20">
        <v>-206.32</v>
      </c>
      <c r="X642" s="20">
        <v>-51.58</v>
      </c>
      <c r="Y642" s="20">
        <v>0</v>
      </c>
      <c r="Z642" s="20">
        <v>0</v>
      </c>
      <c r="AA642" s="20">
        <v>0</v>
      </c>
      <c r="AB642" s="20">
        <v>1341.02</v>
      </c>
      <c r="AC642" t="s">
        <v>589</v>
      </c>
      <c r="AD642" t="s">
        <v>290</v>
      </c>
      <c r="AE642" s="702">
        <f t="shared" si="45"/>
        <v>43252</v>
      </c>
      <c r="AF642" s="289">
        <v>2570.2111442822097</v>
      </c>
      <c r="AG642">
        <f t="shared" si="46"/>
        <v>360</v>
      </c>
      <c r="AH642" s="289">
        <f t="shared" si="47"/>
        <v>7.1394754007839163</v>
      </c>
      <c r="AJ642" s="289">
        <f t="shared" si="48"/>
        <v>54</v>
      </c>
      <c r="AK642" s="289">
        <f t="shared" si="49"/>
        <v>385.5316716423315</v>
      </c>
    </row>
    <row r="643" spans="1:37">
      <c r="A643" s="703" t="s">
        <v>1562</v>
      </c>
      <c r="B643" s="703" t="s">
        <v>331</v>
      </c>
      <c r="C643" s="703" t="s">
        <v>586</v>
      </c>
      <c r="D643" s="703" t="s">
        <v>486</v>
      </c>
      <c r="E643" s="703" t="s">
        <v>587</v>
      </c>
      <c r="F643" s="703" t="s">
        <v>335</v>
      </c>
      <c r="G643" s="703" t="s">
        <v>1238</v>
      </c>
      <c r="H643" s="703" t="s">
        <v>334</v>
      </c>
      <c r="I643" s="703" t="s">
        <v>334</v>
      </c>
      <c r="J643" s="703" t="s">
        <v>337</v>
      </c>
      <c r="K643" s="704">
        <v>0</v>
      </c>
      <c r="L643" s="703" t="s">
        <v>334</v>
      </c>
      <c r="M643" s="702">
        <v>40390</v>
      </c>
      <c r="N643" s="702">
        <v>43440</v>
      </c>
      <c r="O643" s="703" t="s">
        <v>338</v>
      </c>
      <c r="P643" s="20">
        <v>5151.72</v>
      </c>
      <c r="Q643" s="20">
        <v>0</v>
      </c>
      <c r="R643" s="20">
        <v>0</v>
      </c>
      <c r="S643" s="20">
        <v>0</v>
      </c>
      <c r="T643" s="20">
        <v>5151.72</v>
      </c>
      <c r="U643" s="20">
        <v>4636.5600000000004</v>
      </c>
      <c r="V643" s="20">
        <v>-515.16</v>
      </c>
      <c r="W643" s="20">
        <v>-686.88</v>
      </c>
      <c r="X643" s="20">
        <v>-171.72</v>
      </c>
      <c r="Y643" s="20">
        <v>0</v>
      </c>
      <c r="Z643" s="20">
        <v>0</v>
      </c>
      <c r="AA643" s="20">
        <v>0</v>
      </c>
      <c r="AB643" s="20">
        <v>4464.84</v>
      </c>
      <c r="AC643" t="s">
        <v>589</v>
      </c>
      <c r="AD643" t="s">
        <v>290</v>
      </c>
      <c r="AE643" s="702">
        <f t="shared" si="45"/>
        <v>43252</v>
      </c>
      <c r="AF643" s="289">
        <v>8557.2712889355571</v>
      </c>
      <c r="AG643">
        <f t="shared" si="46"/>
        <v>360</v>
      </c>
      <c r="AH643" s="289">
        <f t="shared" si="47"/>
        <v>23.770198024820992</v>
      </c>
      <c r="AJ643" s="289">
        <f t="shared" si="48"/>
        <v>54</v>
      </c>
      <c r="AK643" s="289">
        <f t="shared" si="49"/>
        <v>1283.5906933403335</v>
      </c>
    </row>
    <row r="644" spans="1:37">
      <c r="A644" s="703" t="s">
        <v>1563</v>
      </c>
      <c r="B644" s="703" t="s">
        <v>331</v>
      </c>
      <c r="C644" s="703" t="s">
        <v>586</v>
      </c>
      <c r="D644" s="703" t="s">
        <v>486</v>
      </c>
      <c r="E644" s="703" t="s">
        <v>587</v>
      </c>
      <c r="F644" s="703" t="s">
        <v>335</v>
      </c>
      <c r="G644" s="703" t="s">
        <v>593</v>
      </c>
      <c r="H644" s="703" t="s">
        <v>334</v>
      </c>
      <c r="I644" s="703" t="s">
        <v>334</v>
      </c>
      <c r="J644" s="703" t="s">
        <v>337</v>
      </c>
      <c r="K644" s="704">
        <v>0</v>
      </c>
      <c r="L644" s="703" t="s">
        <v>334</v>
      </c>
      <c r="M644" s="702">
        <v>40390</v>
      </c>
      <c r="N644" s="702">
        <v>43440</v>
      </c>
      <c r="O644" s="703" t="s">
        <v>338</v>
      </c>
      <c r="P644" s="20">
        <v>6118.45</v>
      </c>
      <c r="Q644" s="20">
        <v>0</v>
      </c>
      <c r="R644" s="20">
        <v>0</v>
      </c>
      <c r="S644" s="20">
        <v>0</v>
      </c>
      <c r="T644" s="20">
        <v>6118.45</v>
      </c>
      <c r="U644" s="20">
        <v>5506.6</v>
      </c>
      <c r="V644" s="20">
        <v>-611.85</v>
      </c>
      <c r="W644" s="20">
        <v>-815.8</v>
      </c>
      <c r="X644" s="20">
        <v>-203.95</v>
      </c>
      <c r="Y644" s="20">
        <v>0</v>
      </c>
      <c r="Z644" s="20">
        <v>0</v>
      </c>
      <c r="AA644" s="20">
        <v>0</v>
      </c>
      <c r="AB644" s="20">
        <v>5302.65</v>
      </c>
      <c r="AC644" t="s">
        <v>589</v>
      </c>
      <c r="AD644" t="s">
        <v>290</v>
      </c>
      <c r="AE644" s="702">
        <f t="shared" si="45"/>
        <v>43252</v>
      </c>
      <c r="AF644" s="289">
        <v>10163.059428266241</v>
      </c>
      <c r="AG644">
        <f t="shared" si="46"/>
        <v>360</v>
      </c>
      <c r="AH644" s="289">
        <f t="shared" si="47"/>
        <v>28.230720634072892</v>
      </c>
      <c r="AJ644" s="289">
        <f t="shared" si="48"/>
        <v>54</v>
      </c>
      <c r="AK644" s="289">
        <f t="shared" si="49"/>
        <v>1524.4589142399361</v>
      </c>
    </row>
    <row r="645" spans="1:37">
      <c r="A645" s="703" t="s">
        <v>1564</v>
      </c>
      <c r="B645" s="703" t="s">
        <v>331</v>
      </c>
      <c r="C645" s="703" t="s">
        <v>586</v>
      </c>
      <c r="D645" s="703" t="s">
        <v>486</v>
      </c>
      <c r="E645" s="703" t="s">
        <v>587</v>
      </c>
      <c r="F645" s="703" t="s">
        <v>335</v>
      </c>
      <c r="G645" s="703" t="s">
        <v>1335</v>
      </c>
      <c r="H645" s="703" t="s">
        <v>334</v>
      </c>
      <c r="I645" s="703" t="s">
        <v>334</v>
      </c>
      <c r="J645" s="703" t="s">
        <v>337</v>
      </c>
      <c r="K645" s="704">
        <v>0</v>
      </c>
      <c r="L645" s="703" t="s">
        <v>334</v>
      </c>
      <c r="M645" s="702">
        <v>40390</v>
      </c>
      <c r="N645" s="702">
        <v>43440</v>
      </c>
      <c r="O645" s="703" t="s">
        <v>338</v>
      </c>
      <c r="P645" s="20">
        <v>15787.75</v>
      </c>
      <c r="Q645" s="20">
        <v>0</v>
      </c>
      <c r="R645" s="20">
        <v>0</v>
      </c>
      <c r="S645" s="20">
        <v>0</v>
      </c>
      <c r="T645" s="20">
        <v>15787.75</v>
      </c>
      <c r="U645" s="20">
        <v>14208.97</v>
      </c>
      <c r="V645" s="20">
        <v>-1578.78</v>
      </c>
      <c r="W645" s="20">
        <v>-2105.04</v>
      </c>
      <c r="X645" s="20">
        <v>-526.26</v>
      </c>
      <c r="Y645" s="20">
        <v>0</v>
      </c>
      <c r="Z645" s="20">
        <v>0</v>
      </c>
      <c r="AA645" s="20">
        <v>0</v>
      </c>
      <c r="AB645" s="20">
        <v>13682.71</v>
      </c>
      <c r="AC645" t="s">
        <v>589</v>
      </c>
      <c r="AD645" t="s">
        <v>290</v>
      </c>
      <c r="AE645" s="702">
        <f t="shared" si="45"/>
        <v>43252</v>
      </c>
      <c r="AF645" s="289">
        <v>26224.262924206356</v>
      </c>
      <c r="AG645">
        <f t="shared" si="46"/>
        <v>360</v>
      </c>
      <c r="AH645" s="289">
        <f t="shared" si="47"/>
        <v>72.845174789462106</v>
      </c>
      <c r="AJ645" s="289">
        <f t="shared" si="48"/>
        <v>54</v>
      </c>
      <c r="AK645" s="289">
        <f t="shared" si="49"/>
        <v>3933.6394386309539</v>
      </c>
    </row>
    <row r="646" spans="1:37">
      <c r="A646" s="703" t="s">
        <v>1565</v>
      </c>
      <c r="B646" s="703" t="s">
        <v>331</v>
      </c>
      <c r="C646" s="703" t="s">
        <v>574</v>
      </c>
      <c r="D646" s="703" t="s">
        <v>575</v>
      </c>
      <c r="E646" s="703" t="s">
        <v>334</v>
      </c>
      <c r="F646" s="703" t="s">
        <v>335</v>
      </c>
      <c r="G646" s="703" t="s">
        <v>1566</v>
      </c>
      <c r="H646" s="703" t="s">
        <v>334</v>
      </c>
      <c r="I646" s="703" t="s">
        <v>334</v>
      </c>
      <c r="J646" s="703" t="s">
        <v>577</v>
      </c>
      <c r="K646" s="704">
        <v>0</v>
      </c>
      <c r="L646" s="703" t="s">
        <v>334</v>
      </c>
      <c r="M646" s="702">
        <v>43251</v>
      </c>
      <c r="N646" s="702">
        <v>43451</v>
      </c>
      <c r="O646" s="703" t="s">
        <v>338</v>
      </c>
      <c r="P646" s="20">
        <v>7000</v>
      </c>
      <c r="Q646" s="20">
        <v>0</v>
      </c>
      <c r="R646" s="20">
        <v>0</v>
      </c>
      <c r="S646" s="20">
        <v>0</v>
      </c>
      <c r="T646" s="20">
        <v>7000</v>
      </c>
      <c r="U646" s="20">
        <v>6300.01</v>
      </c>
      <c r="V646" s="20">
        <v>-699.99</v>
      </c>
      <c r="W646" s="20">
        <v>-933.32</v>
      </c>
      <c r="X646" s="20">
        <v>-233.33</v>
      </c>
      <c r="Y646" s="20">
        <v>0</v>
      </c>
      <c r="Z646" s="20">
        <v>0</v>
      </c>
      <c r="AA646" s="20">
        <v>0</v>
      </c>
      <c r="AB646" s="20">
        <v>6066.68</v>
      </c>
      <c r="AC646" t="s">
        <v>578</v>
      </c>
      <c r="AD646" t="s">
        <v>290</v>
      </c>
      <c r="AE646" s="702">
        <f t="shared" si="45"/>
        <v>43252</v>
      </c>
      <c r="AF646" s="289">
        <v>11627.359216445944</v>
      </c>
      <c r="AG646">
        <f t="shared" si="46"/>
        <v>360</v>
      </c>
      <c r="AH646" s="289">
        <f t="shared" si="47"/>
        <v>32.298220045683181</v>
      </c>
      <c r="AJ646" s="289">
        <f t="shared" si="48"/>
        <v>54</v>
      </c>
      <c r="AK646" s="289">
        <f t="shared" si="49"/>
        <v>1744.1038824668917</v>
      </c>
    </row>
    <row r="647" spans="1:37">
      <c r="A647" s="703" t="s">
        <v>1567</v>
      </c>
      <c r="B647" s="703" t="s">
        <v>331</v>
      </c>
      <c r="C647" s="703" t="s">
        <v>574</v>
      </c>
      <c r="D647" s="703" t="s">
        <v>575</v>
      </c>
      <c r="E647" s="703" t="s">
        <v>334</v>
      </c>
      <c r="F647" s="703" t="s">
        <v>335</v>
      </c>
      <c r="G647" s="703" t="s">
        <v>1568</v>
      </c>
      <c r="H647" s="703" t="s">
        <v>334</v>
      </c>
      <c r="I647" s="703" t="s">
        <v>334</v>
      </c>
      <c r="J647" s="703" t="s">
        <v>577</v>
      </c>
      <c r="K647" s="704">
        <v>0</v>
      </c>
      <c r="L647" s="703" t="s">
        <v>334</v>
      </c>
      <c r="M647" s="702">
        <v>43404</v>
      </c>
      <c r="N647" s="702">
        <v>43451</v>
      </c>
      <c r="O647" s="703" t="s">
        <v>338</v>
      </c>
      <c r="P647" s="20">
        <v>8200</v>
      </c>
      <c r="Q647" s="20">
        <v>0</v>
      </c>
      <c r="R647" s="20">
        <v>0</v>
      </c>
      <c r="S647" s="20">
        <v>0</v>
      </c>
      <c r="T647" s="20">
        <v>8200</v>
      </c>
      <c r="U647" s="20">
        <v>7380.01</v>
      </c>
      <c r="V647" s="20">
        <v>-819.99</v>
      </c>
      <c r="W647" s="20">
        <v>-1093.32</v>
      </c>
      <c r="X647" s="20">
        <v>-273.33</v>
      </c>
      <c r="Y647" s="20">
        <v>0</v>
      </c>
      <c r="Z647" s="20">
        <v>0</v>
      </c>
      <c r="AA647" s="20">
        <v>0</v>
      </c>
      <c r="AB647" s="20">
        <v>7106.68</v>
      </c>
      <c r="AC647" t="s">
        <v>578</v>
      </c>
      <c r="AD647" t="s">
        <v>290</v>
      </c>
      <c r="AE647" s="702">
        <f t="shared" ref="AE647:AE710" si="50">IF(N647&gt;=$AG$5,DATE(YEAR(N647),6,1),DATE(YEAR(N647),6,1))</f>
        <v>43252</v>
      </c>
      <c r="AF647" s="289">
        <v>13620.620796408106</v>
      </c>
      <c r="AG647">
        <f t="shared" ref="AG647:AG710" si="51">+IF(AD647="intangível",20*12,IF(AD647="Diferido",120,IF(AD647="Não vinculados",0,IF(AE647&lt;=$AG$5,F647*12,360))))</f>
        <v>360</v>
      </c>
      <c r="AH647" s="289">
        <f t="shared" ref="AH647:AH710" si="52">IF(AG647=0,0,AF647/AG647)</f>
        <v>37.835057767800294</v>
      </c>
      <c r="AJ647" s="289">
        <f t="shared" ref="AJ647:AJ710" si="53">+IF(AND(YEAR(AE647)&gt;=2018,YEAR(AE647)&lt;=2022),IF(DATEDIF(AE647,$AK$4,"m")&gt;=AG647,AG647,DATEDIF(AE647,$AK$4,"m")),0)</f>
        <v>54</v>
      </c>
      <c r="AK647" s="289">
        <f t="shared" ref="AK647:AK710" si="54">IF(AD647="Imobilizado",AJ647*AH647,0)</f>
        <v>2043.0931194612158</v>
      </c>
    </row>
    <row r="648" spans="1:37">
      <c r="A648" s="703" t="s">
        <v>1569</v>
      </c>
      <c r="B648" s="703" t="s">
        <v>331</v>
      </c>
      <c r="C648" s="703" t="s">
        <v>1570</v>
      </c>
      <c r="D648" s="703" t="s">
        <v>1571</v>
      </c>
      <c r="E648" s="703" t="s">
        <v>334</v>
      </c>
      <c r="F648" s="703" t="s">
        <v>502</v>
      </c>
      <c r="G648" s="703" t="s">
        <v>1572</v>
      </c>
      <c r="H648" s="703" t="s">
        <v>1573</v>
      </c>
      <c r="I648" s="703" t="s">
        <v>334</v>
      </c>
      <c r="J648" s="703" t="s">
        <v>1574</v>
      </c>
      <c r="K648" s="704">
        <v>0</v>
      </c>
      <c r="L648" s="703" t="s">
        <v>334</v>
      </c>
      <c r="M648" s="702"/>
      <c r="N648" s="702">
        <v>43465</v>
      </c>
      <c r="O648" s="703" t="s">
        <v>338</v>
      </c>
      <c r="P648" s="20">
        <v>253935</v>
      </c>
      <c r="Q648" s="20">
        <v>0</v>
      </c>
      <c r="R648" s="20">
        <v>0</v>
      </c>
      <c r="S648" s="20">
        <v>0</v>
      </c>
      <c r="T648" s="20">
        <v>253935</v>
      </c>
      <c r="U648" s="20">
        <v>101574</v>
      </c>
      <c r="V648" s="20">
        <v>-152361</v>
      </c>
      <c r="W648" s="20">
        <v>-203148</v>
      </c>
      <c r="X648" s="20">
        <v>-50787</v>
      </c>
      <c r="Y648" s="20">
        <v>0</v>
      </c>
      <c r="Z648" s="20">
        <v>0</v>
      </c>
      <c r="AA648" s="20">
        <v>0</v>
      </c>
      <c r="AB648" s="20">
        <v>50787</v>
      </c>
      <c r="AC648" t="s">
        <v>1575</v>
      </c>
      <c r="AD648" t="s">
        <v>290</v>
      </c>
      <c r="AE648" s="702">
        <f t="shared" si="50"/>
        <v>43252</v>
      </c>
      <c r="AF648" s="289">
        <v>421799.06608974305</v>
      </c>
      <c r="AG648">
        <f t="shared" si="51"/>
        <v>360</v>
      </c>
      <c r="AH648" s="289">
        <f t="shared" si="52"/>
        <v>1171.6640724715085</v>
      </c>
      <c r="AJ648" s="289">
        <f t="shared" si="53"/>
        <v>54</v>
      </c>
      <c r="AK648" s="289">
        <f t="shared" si="54"/>
        <v>63269.859913461456</v>
      </c>
    </row>
    <row r="649" spans="1:37">
      <c r="A649" s="703" t="s">
        <v>1576</v>
      </c>
      <c r="B649" s="703" t="s">
        <v>331</v>
      </c>
      <c r="C649" s="703" t="s">
        <v>1577</v>
      </c>
      <c r="D649" s="703" t="s">
        <v>1571</v>
      </c>
      <c r="E649" s="703" t="s">
        <v>334</v>
      </c>
      <c r="F649" s="703" t="s">
        <v>502</v>
      </c>
      <c r="G649" s="703" t="s">
        <v>1578</v>
      </c>
      <c r="H649" s="703" t="s">
        <v>334</v>
      </c>
      <c r="I649" s="703" t="s">
        <v>334</v>
      </c>
      <c r="J649" s="703" t="s">
        <v>1579</v>
      </c>
      <c r="K649" s="704">
        <v>0</v>
      </c>
      <c r="L649" s="703" t="s">
        <v>334</v>
      </c>
      <c r="M649" s="702"/>
      <c r="N649" s="702">
        <v>43465</v>
      </c>
      <c r="O649" s="703" t="s">
        <v>338</v>
      </c>
      <c r="P649" s="20">
        <v>18432.259999999998</v>
      </c>
      <c r="Q649" s="20">
        <v>0</v>
      </c>
      <c r="R649" s="20">
        <v>0</v>
      </c>
      <c r="S649" s="20">
        <v>0</v>
      </c>
      <c r="T649" s="20">
        <v>18432.259999999998</v>
      </c>
      <c r="U649" s="20">
        <v>7372.91</v>
      </c>
      <c r="V649" s="20">
        <v>-11059.35</v>
      </c>
      <c r="W649" s="20">
        <v>-14745.8</v>
      </c>
      <c r="X649" s="20">
        <v>-3686.45</v>
      </c>
      <c r="Y649" s="20">
        <v>0</v>
      </c>
      <c r="Z649" s="20">
        <v>0</v>
      </c>
      <c r="AA649" s="20">
        <v>0</v>
      </c>
      <c r="AB649" s="20">
        <v>3686.46</v>
      </c>
      <c r="AC649" t="s">
        <v>1580</v>
      </c>
      <c r="AD649" t="s">
        <v>290</v>
      </c>
      <c r="AE649" s="702">
        <f t="shared" si="50"/>
        <v>43252</v>
      </c>
      <c r="AF649" s="289">
        <v>30616.929741561133</v>
      </c>
      <c r="AG649">
        <f t="shared" si="51"/>
        <v>360</v>
      </c>
      <c r="AH649" s="289">
        <f t="shared" si="52"/>
        <v>85.047027059892031</v>
      </c>
      <c r="AJ649" s="289">
        <f t="shared" si="53"/>
        <v>54</v>
      </c>
      <c r="AK649" s="289">
        <f t="shared" si="54"/>
        <v>4592.5394612341697</v>
      </c>
    </row>
    <row r="650" spans="1:37">
      <c r="A650" s="703" t="s">
        <v>1581</v>
      </c>
      <c r="B650" s="703" t="s">
        <v>484</v>
      </c>
      <c r="C650" s="703" t="s">
        <v>1582</v>
      </c>
      <c r="D650" s="703" t="s">
        <v>334</v>
      </c>
      <c r="E650" s="703" t="s">
        <v>334</v>
      </c>
      <c r="F650" s="703" t="s">
        <v>1502</v>
      </c>
      <c r="G650" s="703" t="s">
        <v>1583</v>
      </c>
      <c r="H650" s="703" t="s">
        <v>334</v>
      </c>
      <c r="I650" s="703" t="s">
        <v>334</v>
      </c>
      <c r="J650" s="703" t="s">
        <v>1584</v>
      </c>
      <c r="K650" s="704">
        <v>0</v>
      </c>
      <c r="L650" s="703" t="s">
        <v>334</v>
      </c>
      <c r="M650" s="702"/>
      <c r="N650" s="702">
        <v>43466</v>
      </c>
      <c r="O650" s="703" t="s">
        <v>338</v>
      </c>
      <c r="P650" s="20">
        <v>79613.070000000007</v>
      </c>
      <c r="Q650" s="20">
        <v>0</v>
      </c>
      <c r="R650" s="20">
        <v>0</v>
      </c>
      <c r="S650" s="20">
        <v>0</v>
      </c>
      <c r="T650" s="20">
        <v>79613.070000000007</v>
      </c>
      <c r="U650" s="20">
        <v>14077.92</v>
      </c>
      <c r="V650" s="20">
        <v>-65535.15</v>
      </c>
      <c r="W650" s="20">
        <v>-79613.070000000007</v>
      </c>
      <c r="X650" s="20">
        <v>-14077.92</v>
      </c>
      <c r="Y650" s="20">
        <v>0</v>
      </c>
      <c r="Z650" s="20">
        <v>0</v>
      </c>
      <c r="AA650" s="20">
        <v>0</v>
      </c>
      <c r="AB650" s="20">
        <v>0</v>
      </c>
      <c r="AC650" t="s">
        <v>1585</v>
      </c>
      <c r="AD650" t="s">
        <v>1586</v>
      </c>
      <c r="AE650" s="702">
        <f t="shared" si="50"/>
        <v>43617</v>
      </c>
      <c r="AF650" s="289">
        <v>123893.31651301506</v>
      </c>
      <c r="AG650">
        <f t="shared" si="51"/>
        <v>0</v>
      </c>
      <c r="AH650" s="289">
        <f t="shared" si="52"/>
        <v>0</v>
      </c>
      <c r="AJ650" s="289">
        <f t="shared" si="53"/>
        <v>0</v>
      </c>
      <c r="AK650" s="289">
        <f t="shared" si="54"/>
        <v>0</v>
      </c>
    </row>
    <row r="651" spans="1:37">
      <c r="A651" s="703" t="s">
        <v>1587</v>
      </c>
      <c r="B651" s="703" t="s">
        <v>484</v>
      </c>
      <c r="C651" s="703" t="s">
        <v>1588</v>
      </c>
      <c r="D651" s="703" t="s">
        <v>334</v>
      </c>
      <c r="E651" s="703" t="s">
        <v>334</v>
      </c>
      <c r="F651" s="703" t="s">
        <v>1589</v>
      </c>
      <c r="G651" s="703" t="s">
        <v>1590</v>
      </c>
      <c r="H651" s="703" t="s">
        <v>334</v>
      </c>
      <c r="I651" s="703" t="s">
        <v>334</v>
      </c>
      <c r="J651" s="703" t="s">
        <v>1591</v>
      </c>
      <c r="K651" s="704">
        <v>0</v>
      </c>
      <c r="L651" s="703" t="s">
        <v>334</v>
      </c>
      <c r="M651" s="702"/>
      <c r="N651" s="702">
        <v>43466</v>
      </c>
      <c r="O651" s="703" t="s">
        <v>338</v>
      </c>
      <c r="P651" s="20">
        <v>267826.55</v>
      </c>
      <c r="Q651" s="20">
        <v>0</v>
      </c>
      <c r="R651" s="20">
        <v>0</v>
      </c>
      <c r="S651" s="20">
        <v>0</v>
      </c>
      <c r="T651" s="20">
        <v>267826.55</v>
      </c>
      <c r="U651" s="20">
        <v>0</v>
      </c>
      <c r="V651" s="20">
        <v>-267826.55</v>
      </c>
      <c r="W651" s="20">
        <v>-267826.55</v>
      </c>
      <c r="X651" s="20">
        <v>0</v>
      </c>
      <c r="Y651" s="20">
        <v>0</v>
      </c>
      <c r="Z651" s="20">
        <v>0</v>
      </c>
      <c r="AA651" s="20">
        <v>0</v>
      </c>
      <c r="AB651" s="20">
        <v>0</v>
      </c>
      <c r="AC651" t="s">
        <v>1585</v>
      </c>
      <c r="AD651" t="s">
        <v>1586</v>
      </c>
      <c r="AE651" s="702">
        <f t="shared" si="50"/>
        <v>43617</v>
      </c>
      <c r="AF651" s="289">
        <v>416789.85033159569</v>
      </c>
      <c r="AG651">
        <f t="shared" si="51"/>
        <v>0</v>
      </c>
      <c r="AH651" s="289">
        <f t="shared" si="52"/>
        <v>0</v>
      </c>
      <c r="AJ651" s="289">
        <f t="shared" si="53"/>
        <v>0</v>
      </c>
      <c r="AK651" s="289">
        <f t="shared" si="54"/>
        <v>0</v>
      </c>
    </row>
    <row r="652" spans="1:37">
      <c r="A652" s="703" t="s">
        <v>1592</v>
      </c>
      <c r="B652" s="703" t="s">
        <v>484</v>
      </c>
      <c r="C652" s="703" t="s">
        <v>1588</v>
      </c>
      <c r="D652" s="703" t="s">
        <v>334</v>
      </c>
      <c r="E652" s="703" t="s">
        <v>334</v>
      </c>
      <c r="F652" s="703" t="s">
        <v>1502</v>
      </c>
      <c r="G652" s="703" t="s">
        <v>1593</v>
      </c>
      <c r="H652" s="703" t="s">
        <v>334</v>
      </c>
      <c r="I652" s="703" t="s">
        <v>334</v>
      </c>
      <c r="J652" s="703" t="s">
        <v>1591</v>
      </c>
      <c r="K652" s="704">
        <v>0</v>
      </c>
      <c r="L652" s="703" t="s">
        <v>334</v>
      </c>
      <c r="M652" s="702"/>
      <c r="N652" s="702">
        <v>43466</v>
      </c>
      <c r="O652" s="703" t="s">
        <v>338</v>
      </c>
      <c r="P652" s="20">
        <v>207208.51</v>
      </c>
      <c r="Q652" s="20">
        <v>0</v>
      </c>
      <c r="R652" s="20">
        <v>0</v>
      </c>
      <c r="S652" s="20">
        <v>0</v>
      </c>
      <c r="T652" s="20">
        <v>207208.51</v>
      </c>
      <c r="U652" s="20">
        <v>0</v>
      </c>
      <c r="V652" s="20">
        <v>-207208.51</v>
      </c>
      <c r="W652" s="20">
        <v>-207208.51</v>
      </c>
      <c r="X652" s="20">
        <v>0</v>
      </c>
      <c r="Y652" s="20">
        <v>0</v>
      </c>
      <c r="Z652" s="20">
        <v>0</v>
      </c>
      <c r="AA652" s="20">
        <v>0</v>
      </c>
      <c r="AB652" s="20">
        <v>0</v>
      </c>
      <c r="AC652" t="s">
        <v>1585</v>
      </c>
      <c r="AD652" t="s">
        <v>1586</v>
      </c>
      <c r="AE652" s="702">
        <f t="shared" si="50"/>
        <v>43617</v>
      </c>
      <c r="AF652" s="289">
        <v>322456.46994419693</v>
      </c>
      <c r="AG652">
        <f t="shared" si="51"/>
        <v>0</v>
      </c>
      <c r="AH652" s="289">
        <f t="shared" si="52"/>
        <v>0</v>
      </c>
      <c r="AJ652" s="289">
        <f t="shared" si="53"/>
        <v>0</v>
      </c>
      <c r="AK652" s="289">
        <f t="shared" si="54"/>
        <v>0</v>
      </c>
    </row>
    <row r="653" spans="1:37">
      <c r="A653" s="703" t="s">
        <v>1594</v>
      </c>
      <c r="B653" s="703" t="s">
        <v>484</v>
      </c>
      <c r="C653" s="703" t="s">
        <v>1588</v>
      </c>
      <c r="D653" s="703" t="s">
        <v>334</v>
      </c>
      <c r="E653" s="703" t="s">
        <v>334</v>
      </c>
      <c r="F653" s="703" t="s">
        <v>1502</v>
      </c>
      <c r="G653" s="703" t="s">
        <v>1593</v>
      </c>
      <c r="H653" s="703" t="s">
        <v>334</v>
      </c>
      <c r="I653" s="703" t="s">
        <v>334</v>
      </c>
      <c r="J653" s="703" t="s">
        <v>1591</v>
      </c>
      <c r="K653" s="704">
        <v>0</v>
      </c>
      <c r="L653" s="703" t="s">
        <v>334</v>
      </c>
      <c r="M653" s="702"/>
      <c r="N653" s="702">
        <v>43466</v>
      </c>
      <c r="O653" s="703" t="s">
        <v>338</v>
      </c>
      <c r="P653" s="20">
        <v>207208.51</v>
      </c>
      <c r="Q653" s="20">
        <v>0</v>
      </c>
      <c r="R653" s="20">
        <v>0</v>
      </c>
      <c r="S653" s="20">
        <v>0</v>
      </c>
      <c r="T653" s="20">
        <v>207208.51</v>
      </c>
      <c r="U653" s="20">
        <v>987.04</v>
      </c>
      <c r="V653" s="20">
        <v>-206221.47</v>
      </c>
      <c r="W653" s="20">
        <v>-206221.47</v>
      </c>
      <c r="X653" s="20">
        <v>0</v>
      </c>
      <c r="Y653" s="20">
        <v>0</v>
      </c>
      <c r="Z653" s="20">
        <v>0</v>
      </c>
      <c r="AA653" s="20">
        <v>0</v>
      </c>
      <c r="AB653" s="20">
        <v>987.04</v>
      </c>
      <c r="AC653" t="s">
        <v>1585</v>
      </c>
      <c r="AD653" t="s">
        <v>1586</v>
      </c>
      <c r="AE653" s="702">
        <f t="shared" si="50"/>
        <v>43617</v>
      </c>
      <c r="AF653" s="289">
        <v>322456.46994419693</v>
      </c>
      <c r="AG653">
        <f t="shared" si="51"/>
        <v>0</v>
      </c>
      <c r="AH653" s="289">
        <f t="shared" si="52"/>
        <v>0</v>
      </c>
      <c r="AJ653" s="289">
        <f t="shared" si="53"/>
        <v>0</v>
      </c>
      <c r="AK653" s="289">
        <f t="shared" si="54"/>
        <v>0</v>
      </c>
    </row>
    <row r="654" spans="1:37">
      <c r="A654" s="703" t="s">
        <v>1595</v>
      </c>
      <c r="B654" s="703" t="s">
        <v>484</v>
      </c>
      <c r="C654" s="703" t="s">
        <v>1588</v>
      </c>
      <c r="D654" s="703" t="s">
        <v>334</v>
      </c>
      <c r="E654" s="703" t="s">
        <v>334</v>
      </c>
      <c r="F654" s="703" t="s">
        <v>1502</v>
      </c>
      <c r="G654" s="703" t="s">
        <v>1596</v>
      </c>
      <c r="H654" s="703" t="s">
        <v>334</v>
      </c>
      <c r="I654" s="703" t="s">
        <v>334</v>
      </c>
      <c r="J654" s="703" t="s">
        <v>1591</v>
      </c>
      <c r="K654" s="704">
        <v>0</v>
      </c>
      <c r="L654" s="703" t="s">
        <v>334</v>
      </c>
      <c r="M654" s="702"/>
      <c r="N654" s="702">
        <v>43466</v>
      </c>
      <c r="O654" s="703" t="s">
        <v>338</v>
      </c>
      <c r="P654" s="20">
        <v>269713.81</v>
      </c>
      <c r="Q654" s="20">
        <v>0</v>
      </c>
      <c r="R654" s="20">
        <v>0</v>
      </c>
      <c r="S654" s="20">
        <v>0</v>
      </c>
      <c r="T654" s="20">
        <v>269713.81</v>
      </c>
      <c r="U654" s="20">
        <v>0</v>
      </c>
      <c r="V654" s="20">
        <v>-269713.81</v>
      </c>
      <c r="W654" s="20">
        <v>-269713.81</v>
      </c>
      <c r="X654" s="20">
        <v>0</v>
      </c>
      <c r="Y654" s="20">
        <v>0</v>
      </c>
      <c r="Z654" s="20">
        <v>0</v>
      </c>
      <c r="AA654" s="20">
        <v>0</v>
      </c>
      <c r="AB654" s="20">
        <v>0</v>
      </c>
      <c r="AC654" t="s">
        <v>1585</v>
      </c>
      <c r="AD654" t="s">
        <v>1586</v>
      </c>
      <c r="AE654" s="702">
        <f t="shared" si="50"/>
        <v>43617</v>
      </c>
      <c r="AF654" s="289">
        <v>419726.79147106386</v>
      </c>
      <c r="AG654">
        <f t="shared" si="51"/>
        <v>0</v>
      </c>
      <c r="AH654" s="289">
        <f t="shared" si="52"/>
        <v>0</v>
      </c>
      <c r="AJ654" s="289">
        <f t="shared" si="53"/>
        <v>0</v>
      </c>
      <c r="AK654" s="289">
        <f t="shared" si="54"/>
        <v>0</v>
      </c>
    </row>
    <row r="655" spans="1:37">
      <c r="A655" s="703" t="s">
        <v>1597</v>
      </c>
      <c r="B655" s="703" t="s">
        <v>484</v>
      </c>
      <c r="C655" s="703" t="s">
        <v>1588</v>
      </c>
      <c r="D655" s="703" t="s">
        <v>334</v>
      </c>
      <c r="E655" s="703" t="s">
        <v>334</v>
      </c>
      <c r="F655" s="703" t="s">
        <v>1502</v>
      </c>
      <c r="G655" s="703" t="s">
        <v>1598</v>
      </c>
      <c r="H655" s="703" t="s">
        <v>334</v>
      </c>
      <c r="I655" s="703" t="s">
        <v>334</v>
      </c>
      <c r="J655" s="703" t="s">
        <v>1591</v>
      </c>
      <c r="K655" s="704">
        <v>0</v>
      </c>
      <c r="L655" s="703" t="s">
        <v>334</v>
      </c>
      <c r="M655" s="702"/>
      <c r="N655" s="702">
        <v>43466</v>
      </c>
      <c r="O655" s="703" t="s">
        <v>338</v>
      </c>
      <c r="P655" s="20">
        <v>84000.01</v>
      </c>
      <c r="Q655" s="20">
        <v>0</v>
      </c>
      <c r="R655" s="20">
        <v>0</v>
      </c>
      <c r="S655" s="20">
        <v>0</v>
      </c>
      <c r="T655" s="20">
        <v>84000.01</v>
      </c>
      <c r="U655" s="20">
        <v>0</v>
      </c>
      <c r="V655" s="20">
        <v>-84000.01</v>
      </c>
      <c r="W655" s="20">
        <v>-84000.01</v>
      </c>
      <c r="X655" s="20">
        <v>0</v>
      </c>
      <c r="Y655" s="20">
        <v>0</v>
      </c>
      <c r="Z655" s="20">
        <v>0</v>
      </c>
      <c r="AA655" s="20">
        <v>0</v>
      </c>
      <c r="AB655" s="20">
        <v>0</v>
      </c>
      <c r="AC655" t="s">
        <v>1585</v>
      </c>
      <c r="AD655" t="s">
        <v>1586</v>
      </c>
      <c r="AE655" s="702">
        <f t="shared" si="50"/>
        <v>43617</v>
      </c>
      <c r="AF655" s="289">
        <v>130720.24261878646</v>
      </c>
      <c r="AG655">
        <f t="shared" si="51"/>
        <v>0</v>
      </c>
      <c r="AH655" s="289">
        <f t="shared" si="52"/>
        <v>0</v>
      </c>
      <c r="AJ655" s="289">
        <f t="shared" si="53"/>
        <v>0</v>
      </c>
      <c r="AK655" s="289">
        <f t="shared" si="54"/>
        <v>0</v>
      </c>
    </row>
    <row r="656" spans="1:37">
      <c r="A656" s="703" t="s">
        <v>1599</v>
      </c>
      <c r="B656" s="703" t="s">
        <v>484</v>
      </c>
      <c r="C656" s="703" t="s">
        <v>1588</v>
      </c>
      <c r="D656" s="703" t="s">
        <v>334</v>
      </c>
      <c r="E656" s="703" t="s">
        <v>334</v>
      </c>
      <c r="F656" s="703" t="s">
        <v>1502</v>
      </c>
      <c r="G656" s="703" t="s">
        <v>1600</v>
      </c>
      <c r="H656" s="703" t="s">
        <v>334</v>
      </c>
      <c r="I656" s="703" t="s">
        <v>334</v>
      </c>
      <c r="J656" s="703" t="s">
        <v>1591</v>
      </c>
      <c r="K656" s="704">
        <v>0</v>
      </c>
      <c r="L656" s="703" t="s">
        <v>334</v>
      </c>
      <c r="M656" s="702"/>
      <c r="N656" s="702">
        <v>43466</v>
      </c>
      <c r="O656" s="703" t="s">
        <v>338</v>
      </c>
      <c r="P656" s="20">
        <v>75675.69</v>
      </c>
      <c r="Q656" s="20">
        <v>0</v>
      </c>
      <c r="R656" s="20">
        <v>0</v>
      </c>
      <c r="S656" s="20">
        <v>0</v>
      </c>
      <c r="T656" s="20">
        <v>75675.69</v>
      </c>
      <c r="U656" s="20">
        <v>0</v>
      </c>
      <c r="V656" s="20">
        <v>-75675.69</v>
      </c>
      <c r="W656" s="20">
        <v>-75675.69</v>
      </c>
      <c r="X656" s="20">
        <v>0</v>
      </c>
      <c r="Y656" s="20">
        <v>0</v>
      </c>
      <c r="Z656" s="20">
        <v>0</v>
      </c>
      <c r="AA656" s="20">
        <v>0</v>
      </c>
      <c r="AB656" s="20">
        <v>0</v>
      </c>
      <c r="AC656" t="s">
        <v>1585</v>
      </c>
      <c r="AD656" t="s">
        <v>1586</v>
      </c>
      <c r="AE656" s="702">
        <f t="shared" si="50"/>
        <v>43617</v>
      </c>
      <c r="AF656" s="289">
        <v>117765.99261290651</v>
      </c>
      <c r="AG656">
        <f t="shared" si="51"/>
        <v>0</v>
      </c>
      <c r="AH656" s="289">
        <f t="shared" si="52"/>
        <v>0</v>
      </c>
      <c r="AJ656" s="289">
        <f t="shared" si="53"/>
        <v>0</v>
      </c>
      <c r="AK656" s="289">
        <f t="shared" si="54"/>
        <v>0</v>
      </c>
    </row>
    <row r="657" spans="1:37">
      <c r="A657" s="703" t="s">
        <v>1601</v>
      </c>
      <c r="B657" s="703" t="s">
        <v>484</v>
      </c>
      <c r="C657" s="703" t="s">
        <v>1588</v>
      </c>
      <c r="D657" s="703" t="s">
        <v>334</v>
      </c>
      <c r="E657" s="703" t="s">
        <v>334</v>
      </c>
      <c r="F657" s="703" t="s">
        <v>1502</v>
      </c>
      <c r="G657" s="703" t="s">
        <v>1602</v>
      </c>
      <c r="H657" s="703" t="s">
        <v>334</v>
      </c>
      <c r="I657" s="703" t="s">
        <v>334</v>
      </c>
      <c r="J657" s="703" t="s">
        <v>1591</v>
      </c>
      <c r="K657" s="704">
        <v>0</v>
      </c>
      <c r="L657" s="703" t="s">
        <v>334</v>
      </c>
      <c r="M657" s="702"/>
      <c r="N657" s="702">
        <v>43466</v>
      </c>
      <c r="O657" s="703" t="s">
        <v>338</v>
      </c>
      <c r="P657" s="20">
        <v>75675.69</v>
      </c>
      <c r="Q657" s="20">
        <v>0</v>
      </c>
      <c r="R657" s="20">
        <v>0</v>
      </c>
      <c r="S657" s="20">
        <v>0</v>
      </c>
      <c r="T657" s="20">
        <v>75675.69</v>
      </c>
      <c r="U657" s="20">
        <v>0</v>
      </c>
      <c r="V657" s="20">
        <v>-75675.69</v>
      </c>
      <c r="W657" s="20">
        <v>-75675.69</v>
      </c>
      <c r="X657" s="20">
        <v>0</v>
      </c>
      <c r="Y657" s="20">
        <v>0</v>
      </c>
      <c r="Z657" s="20">
        <v>0</v>
      </c>
      <c r="AA657" s="20">
        <v>0</v>
      </c>
      <c r="AB657" s="20">
        <v>0</v>
      </c>
      <c r="AC657" t="s">
        <v>1585</v>
      </c>
      <c r="AD657" t="s">
        <v>1586</v>
      </c>
      <c r="AE657" s="702">
        <f t="shared" si="50"/>
        <v>43617</v>
      </c>
      <c r="AF657" s="289">
        <v>117765.99261290651</v>
      </c>
      <c r="AG657">
        <f t="shared" si="51"/>
        <v>0</v>
      </c>
      <c r="AH657" s="289">
        <f t="shared" si="52"/>
        <v>0</v>
      </c>
      <c r="AJ657" s="289">
        <f t="shared" si="53"/>
        <v>0</v>
      </c>
      <c r="AK657" s="289">
        <f t="shared" si="54"/>
        <v>0</v>
      </c>
    </row>
    <row r="658" spans="1:37">
      <c r="A658" s="703" t="s">
        <v>1603</v>
      </c>
      <c r="B658" s="703" t="s">
        <v>484</v>
      </c>
      <c r="C658" s="703" t="s">
        <v>1588</v>
      </c>
      <c r="D658" s="703" t="s">
        <v>334</v>
      </c>
      <c r="E658" s="703" t="s">
        <v>334</v>
      </c>
      <c r="F658" s="703" t="s">
        <v>1502</v>
      </c>
      <c r="G658" s="703" t="s">
        <v>1604</v>
      </c>
      <c r="H658" s="703" t="s">
        <v>334</v>
      </c>
      <c r="I658" s="703" t="s">
        <v>334</v>
      </c>
      <c r="J658" s="703" t="s">
        <v>1591</v>
      </c>
      <c r="K658" s="704">
        <v>0</v>
      </c>
      <c r="L658" s="703" t="s">
        <v>334</v>
      </c>
      <c r="M658" s="702"/>
      <c r="N658" s="702">
        <v>43466</v>
      </c>
      <c r="O658" s="703" t="s">
        <v>338</v>
      </c>
      <c r="P658" s="20">
        <v>142903.51999999999</v>
      </c>
      <c r="Q658" s="20">
        <v>0</v>
      </c>
      <c r="R658" s="20">
        <v>0</v>
      </c>
      <c r="S658" s="20">
        <v>0</v>
      </c>
      <c r="T658" s="20">
        <v>142903.51999999999</v>
      </c>
      <c r="U658" s="20">
        <v>0</v>
      </c>
      <c r="V658" s="20">
        <v>-142903.51999999999</v>
      </c>
      <c r="W658" s="20">
        <v>-142903.51999999999</v>
      </c>
      <c r="X658" s="20">
        <v>0</v>
      </c>
      <c r="Y658" s="20">
        <v>0</v>
      </c>
      <c r="Z658" s="20">
        <v>0</v>
      </c>
      <c r="AA658" s="20">
        <v>0</v>
      </c>
      <c r="AB658" s="20">
        <v>0</v>
      </c>
      <c r="AC658" t="s">
        <v>1585</v>
      </c>
      <c r="AD658" t="s">
        <v>1586</v>
      </c>
      <c r="AE658" s="702">
        <f t="shared" si="50"/>
        <v>43617</v>
      </c>
      <c r="AF658" s="289">
        <v>222385.48311456872</v>
      </c>
      <c r="AG658">
        <f t="shared" si="51"/>
        <v>0</v>
      </c>
      <c r="AH658" s="289">
        <f t="shared" si="52"/>
        <v>0</v>
      </c>
      <c r="AJ658" s="289">
        <f t="shared" si="53"/>
        <v>0</v>
      </c>
      <c r="AK658" s="289">
        <f t="shared" si="54"/>
        <v>0</v>
      </c>
    </row>
    <row r="659" spans="1:37">
      <c r="A659" s="703" t="s">
        <v>1605</v>
      </c>
      <c r="B659" s="703" t="s">
        <v>1606</v>
      </c>
      <c r="C659" s="703" t="s">
        <v>332</v>
      </c>
      <c r="D659" s="703" t="s">
        <v>333</v>
      </c>
      <c r="E659" s="703" t="s">
        <v>334</v>
      </c>
      <c r="F659" s="703" t="s">
        <v>335</v>
      </c>
      <c r="G659" s="703" t="s">
        <v>1607</v>
      </c>
      <c r="H659" s="703" t="s">
        <v>334</v>
      </c>
      <c r="I659" s="703" t="s">
        <v>334</v>
      </c>
      <c r="J659" s="703" t="s">
        <v>337</v>
      </c>
      <c r="K659" s="704">
        <v>0</v>
      </c>
      <c r="L659" s="703" t="s">
        <v>334</v>
      </c>
      <c r="M659" s="702">
        <v>41333</v>
      </c>
      <c r="N659" s="702">
        <v>43481</v>
      </c>
      <c r="O659" s="703" t="s">
        <v>338</v>
      </c>
      <c r="P659" s="20">
        <v>138711.37</v>
      </c>
      <c r="Q659" s="20">
        <v>0</v>
      </c>
      <c r="R659" s="20">
        <v>0</v>
      </c>
      <c r="S659" s="20">
        <v>0</v>
      </c>
      <c r="T659" s="20">
        <v>138711.37</v>
      </c>
      <c r="U659" s="20">
        <v>125225.55</v>
      </c>
      <c r="V659" s="20">
        <v>-13485.82</v>
      </c>
      <c r="W659" s="20">
        <v>-18109.53</v>
      </c>
      <c r="X659" s="20">
        <v>-4623.71</v>
      </c>
      <c r="Y659" s="20">
        <v>0</v>
      </c>
      <c r="Z659" s="20">
        <v>0</v>
      </c>
      <c r="AA659" s="20">
        <v>0</v>
      </c>
      <c r="AB659" s="20">
        <v>120601.84</v>
      </c>
      <c r="AC659" t="s">
        <v>183</v>
      </c>
      <c r="AD659" t="s">
        <v>290</v>
      </c>
      <c r="AE659" s="702">
        <f t="shared" si="50"/>
        <v>43617</v>
      </c>
      <c r="AF659" s="289">
        <v>215861.68787818306</v>
      </c>
      <c r="AG659">
        <f t="shared" si="51"/>
        <v>360</v>
      </c>
      <c r="AH659" s="289">
        <f t="shared" si="52"/>
        <v>599.61579966161958</v>
      </c>
      <c r="AJ659" s="289">
        <f t="shared" si="53"/>
        <v>42</v>
      </c>
      <c r="AK659" s="289">
        <f t="shared" si="54"/>
        <v>25183.863585788022</v>
      </c>
    </row>
    <row r="660" spans="1:37">
      <c r="A660" s="703" t="s">
        <v>1608</v>
      </c>
      <c r="B660" s="703" t="s">
        <v>1606</v>
      </c>
      <c r="C660" s="703" t="s">
        <v>332</v>
      </c>
      <c r="D660" s="703" t="s">
        <v>333</v>
      </c>
      <c r="E660" s="703" t="s">
        <v>334</v>
      </c>
      <c r="F660" s="703" t="s">
        <v>335</v>
      </c>
      <c r="G660" s="703" t="s">
        <v>1609</v>
      </c>
      <c r="H660" s="703" t="s">
        <v>334</v>
      </c>
      <c r="I660" s="703" t="s">
        <v>334</v>
      </c>
      <c r="J660" s="703" t="s">
        <v>337</v>
      </c>
      <c r="K660" s="704">
        <v>0</v>
      </c>
      <c r="L660" s="703" t="s">
        <v>334</v>
      </c>
      <c r="M660" s="702">
        <v>43190</v>
      </c>
      <c r="N660" s="702">
        <v>43481</v>
      </c>
      <c r="O660" s="703" t="s">
        <v>338</v>
      </c>
      <c r="P660" s="20">
        <v>47482.85</v>
      </c>
      <c r="Q660" s="20">
        <v>0</v>
      </c>
      <c r="R660" s="20">
        <v>0</v>
      </c>
      <c r="S660" s="20">
        <v>0</v>
      </c>
      <c r="T660" s="20">
        <v>47482.85</v>
      </c>
      <c r="U660" s="20">
        <v>42866.47</v>
      </c>
      <c r="V660" s="20">
        <v>-4616.38</v>
      </c>
      <c r="W660" s="20">
        <v>-6199.14</v>
      </c>
      <c r="X660" s="20">
        <v>-1582.76</v>
      </c>
      <c r="Y660" s="20">
        <v>0</v>
      </c>
      <c r="Z660" s="20">
        <v>0</v>
      </c>
      <c r="AA660" s="20">
        <v>0</v>
      </c>
      <c r="AB660" s="20">
        <v>41283.71</v>
      </c>
      <c r="AC660" t="s">
        <v>183</v>
      </c>
      <c r="AD660" t="s">
        <v>290</v>
      </c>
      <c r="AE660" s="702">
        <f t="shared" si="50"/>
        <v>43617</v>
      </c>
      <c r="AF660" s="289">
        <v>73892.487301268702</v>
      </c>
      <c r="AG660">
        <f t="shared" si="51"/>
        <v>360</v>
      </c>
      <c r="AH660" s="289">
        <f t="shared" si="52"/>
        <v>205.25690917019085</v>
      </c>
      <c r="AJ660" s="289">
        <f t="shared" si="53"/>
        <v>42</v>
      </c>
      <c r="AK660" s="289">
        <f t="shared" si="54"/>
        <v>8620.7901851480165</v>
      </c>
    </row>
    <row r="661" spans="1:37">
      <c r="A661" s="703" t="s">
        <v>1610</v>
      </c>
      <c r="B661" s="703" t="s">
        <v>1606</v>
      </c>
      <c r="C661" s="703" t="s">
        <v>332</v>
      </c>
      <c r="D661" s="703" t="s">
        <v>333</v>
      </c>
      <c r="E661" s="703" t="s">
        <v>334</v>
      </c>
      <c r="F661" s="703" t="s">
        <v>335</v>
      </c>
      <c r="G661" s="703" t="s">
        <v>1611</v>
      </c>
      <c r="H661" s="703" t="s">
        <v>334</v>
      </c>
      <c r="I661" s="703" t="s">
        <v>334</v>
      </c>
      <c r="J661" s="703" t="s">
        <v>337</v>
      </c>
      <c r="K661" s="704">
        <v>0</v>
      </c>
      <c r="L661" s="703" t="s">
        <v>334</v>
      </c>
      <c r="M661" s="702">
        <v>43131</v>
      </c>
      <c r="N661" s="702">
        <v>43481</v>
      </c>
      <c r="O661" s="703" t="s">
        <v>338</v>
      </c>
      <c r="P661" s="20">
        <v>50234.28</v>
      </c>
      <c r="Q661" s="20">
        <v>0</v>
      </c>
      <c r="R661" s="20">
        <v>0</v>
      </c>
      <c r="S661" s="20">
        <v>0</v>
      </c>
      <c r="T661" s="20">
        <v>50234.28</v>
      </c>
      <c r="U661" s="20">
        <v>45350.38</v>
      </c>
      <c r="V661" s="20">
        <v>-4883.8999999999996</v>
      </c>
      <c r="W661" s="20">
        <v>-6558.38</v>
      </c>
      <c r="X661" s="20">
        <v>-1674.48</v>
      </c>
      <c r="Y661" s="20">
        <v>0</v>
      </c>
      <c r="Z661" s="20">
        <v>0</v>
      </c>
      <c r="AA661" s="20">
        <v>0</v>
      </c>
      <c r="AB661" s="20">
        <v>43675.9</v>
      </c>
      <c r="AC661" t="s">
        <v>183</v>
      </c>
      <c r="AD661" t="s">
        <v>290</v>
      </c>
      <c r="AE661" s="702">
        <f t="shared" si="50"/>
        <v>43617</v>
      </c>
      <c r="AF661" s="289">
        <v>78174.243900447778</v>
      </c>
      <c r="AG661">
        <f t="shared" si="51"/>
        <v>360</v>
      </c>
      <c r="AH661" s="289">
        <f t="shared" si="52"/>
        <v>217.15067750124382</v>
      </c>
      <c r="AJ661" s="289">
        <f t="shared" si="53"/>
        <v>42</v>
      </c>
      <c r="AK661" s="289">
        <f t="shared" si="54"/>
        <v>9120.3284550522403</v>
      </c>
    </row>
    <row r="662" spans="1:37">
      <c r="A662" s="703" t="s">
        <v>1612</v>
      </c>
      <c r="B662" s="703" t="s">
        <v>1606</v>
      </c>
      <c r="C662" s="703" t="s">
        <v>332</v>
      </c>
      <c r="D662" s="703" t="s">
        <v>333</v>
      </c>
      <c r="E662" s="703" t="s">
        <v>334</v>
      </c>
      <c r="F662" s="703" t="s">
        <v>335</v>
      </c>
      <c r="G662" s="703" t="s">
        <v>1613</v>
      </c>
      <c r="H662" s="703" t="s">
        <v>334</v>
      </c>
      <c r="I662" s="703" t="s">
        <v>334</v>
      </c>
      <c r="J662" s="703" t="s">
        <v>337</v>
      </c>
      <c r="K662" s="704">
        <v>0</v>
      </c>
      <c r="L662" s="703" t="s">
        <v>334</v>
      </c>
      <c r="M662" s="702">
        <v>43131</v>
      </c>
      <c r="N662" s="702">
        <v>43481</v>
      </c>
      <c r="O662" s="703" t="s">
        <v>338</v>
      </c>
      <c r="P662" s="20">
        <v>101158.38</v>
      </c>
      <c r="Q662" s="20">
        <v>0</v>
      </c>
      <c r="R662" s="20">
        <v>0</v>
      </c>
      <c r="S662" s="20">
        <v>0</v>
      </c>
      <c r="T662" s="20">
        <v>101158.38</v>
      </c>
      <c r="U662" s="20">
        <v>91323.53</v>
      </c>
      <c r="V662" s="20">
        <v>-9834.85</v>
      </c>
      <c r="W662" s="20">
        <v>-13206.8</v>
      </c>
      <c r="X662" s="20">
        <v>-3371.95</v>
      </c>
      <c r="Y662" s="20">
        <v>0</v>
      </c>
      <c r="Z662" s="20">
        <v>0</v>
      </c>
      <c r="AA662" s="20">
        <v>0</v>
      </c>
      <c r="AB662" s="20">
        <v>87951.58</v>
      </c>
      <c r="AC662" t="s">
        <v>183</v>
      </c>
      <c r="AD662" t="s">
        <v>290</v>
      </c>
      <c r="AE662" s="702">
        <f t="shared" si="50"/>
        <v>43617</v>
      </c>
      <c r="AF662" s="289">
        <v>157421.98097980459</v>
      </c>
      <c r="AG662">
        <f t="shared" si="51"/>
        <v>360</v>
      </c>
      <c r="AH662" s="289">
        <f t="shared" si="52"/>
        <v>437.28328049945719</v>
      </c>
      <c r="AJ662" s="289">
        <f t="shared" si="53"/>
        <v>42</v>
      </c>
      <c r="AK662" s="289">
        <f t="shared" si="54"/>
        <v>18365.8977809772</v>
      </c>
    </row>
    <row r="663" spans="1:37">
      <c r="A663" s="703" t="s">
        <v>1614</v>
      </c>
      <c r="B663" s="703" t="s">
        <v>1606</v>
      </c>
      <c r="C663" s="703" t="s">
        <v>332</v>
      </c>
      <c r="D663" s="703" t="s">
        <v>333</v>
      </c>
      <c r="E663" s="703" t="s">
        <v>334</v>
      </c>
      <c r="F663" s="703" t="s">
        <v>335</v>
      </c>
      <c r="G663" s="703" t="s">
        <v>1615</v>
      </c>
      <c r="H663" s="703" t="s">
        <v>334</v>
      </c>
      <c r="I663" s="703" t="s">
        <v>334</v>
      </c>
      <c r="J663" s="703" t="s">
        <v>337</v>
      </c>
      <c r="K663" s="704">
        <v>0</v>
      </c>
      <c r="L663" s="703" t="s">
        <v>334</v>
      </c>
      <c r="M663" s="702">
        <v>43190</v>
      </c>
      <c r="N663" s="702">
        <v>43481</v>
      </c>
      <c r="O663" s="703" t="s">
        <v>338</v>
      </c>
      <c r="P663" s="20">
        <v>3444.37</v>
      </c>
      <c r="Q663" s="20">
        <v>0</v>
      </c>
      <c r="R663" s="20">
        <v>0</v>
      </c>
      <c r="S663" s="20">
        <v>0</v>
      </c>
      <c r="T663" s="20">
        <v>3444.37</v>
      </c>
      <c r="U663" s="20">
        <v>3109.51</v>
      </c>
      <c r="V663" s="20">
        <v>-334.86</v>
      </c>
      <c r="W663" s="20">
        <v>-449.67</v>
      </c>
      <c r="X663" s="20">
        <v>-114.81</v>
      </c>
      <c r="Y663" s="20">
        <v>0</v>
      </c>
      <c r="Z663" s="20">
        <v>0</v>
      </c>
      <c r="AA663" s="20">
        <v>0</v>
      </c>
      <c r="AB663" s="20">
        <v>2994.7</v>
      </c>
      <c r="AC663" t="s">
        <v>183</v>
      </c>
      <c r="AD663" t="s">
        <v>290</v>
      </c>
      <c r="AE663" s="702">
        <f t="shared" si="50"/>
        <v>43617</v>
      </c>
      <c r="AF663" s="289">
        <v>5360.1051008073628</v>
      </c>
      <c r="AG663">
        <f t="shared" si="51"/>
        <v>360</v>
      </c>
      <c r="AH663" s="289">
        <f t="shared" si="52"/>
        <v>14.889180835576008</v>
      </c>
      <c r="AJ663" s="289">
        <f t="shared" si="53"/>
        <v>42</v>
      </c>
      <c r="AK663" s="289">
        <f t="shared" si="54"/>
        <v>625.34559509419239</v>
      </c>
    </row>
    <row r="664" spans="1:37">
      <c r="A664" s="703" t="s">
        <v>1616</v>
      </c>
      <c r="B664" s="703" t="s">
        <v>1606</v>
      </c>
      <c r="C664" s="703" t="s">
        <v>586</v>
      </c>
      <c r="D664" s="703" t="s">
        <v>486</v>
      </c>
      <c r="E664" s="703" t="s">
        <v>587</v>
      </c>
      <c r="F664" s="703" t="s">
        <v>335</v>
      </c>
      <c r="G664" s="703" t="s">
        <v>1617</v>
      </c>
      <c r="H664" s="703" t="s">
        <v>334</v>
      </c>
      <c r="I664" s="703" t="s">
        <v>334</v>
      </c>
      <c r="J664" s="703" t="s">
        <v>337</v>
      </c>
      <c r="K664" s="704">
        <v>0</v>
      </c>
      <c r="L664" s="703" t="s">
        <v>334</v>
      </c>
      <c r="M664" s="702">
        <v>43281</v>
      </c>
      <c r="N664" s="702">
        <v>43481</v>
      </c>
      <c r="O664" s="703" t="s">
        <v>338</v>
      </c>
      <c r="P664" s="20">
        <v>2462.9899999999998</v>
      </c>
      <c r="Q664" s="20">
        <v>0</v>
      </c>
      <c r="R664" s="20">
        <v>0</v>
      </c>
      <c r="S664" s="20">
        <v>0</v>
      </c>
      <c r="T664" s="20">
        <v>2462.9899999999998</v>
      </c>
      <c r="U664" s="20">
        <v>2223.5300000000002</v>
      </c>
      <c r="V664" s="20">
        <v>-239.46</v>
      </c>
      <c r="W664" s="20">
        <v>-321.56</v>
      </c>
      <c r="X664" s="20">
        <v>-82.1</v>
      </c>
      <c r="Y664" s="20">
        <v>0</v>
      </c>
      <c r="Z664" s="20">
        <v>0</v>
      </c>
      <c r="AA664" s="20">
        <v>0</v>
      </c>
      <c r="AB664" s="20">
        <v>2141.4299999999998</v>
      </c>
      <c r="AC664" t="s">
        <v>589</v>
      </c>
      <c r="AD664" t="s">
        <v>290</v>
      </c>
      <c r="AE664" s="702">
        <f t="shared" si="50"/>
        <v>43617</v>
      </c>
      <c r="AF664" s="289">
        <v>3832.8882385566958</v>
      </c>
      <c r="AG664">
        <f t="shared" si="51"/>
        <v>360</v>
      </c>
      <c r="AH664" s="289">
        <f t="shared" si="52"/>
        <v>10.646911773768599</v>
      </c>
      <c r="AJ664" s="289">
        <f t="shared" si="53"/>
        <v>42</v>
      </c>
      <c r="AK664" s="289">
        <f t="shared" si="54"/>
        <v>447.17029449828112</v>
      </c>
    </row>
    <row r="665" spans="1:37">
      <c r="A665" s="703" t="s">
        <v>1618</v>
      </c>
      <c r="B665" s="703" t="s">
        <v>1606</v>
      </c>
      <c r="C665" s="703" t="s">
        <v>332</v>
      </c>
      <c r="D665" s="703" t="s">
        <v>333</v>
      </c>
      <c r="E665" s="703" t="s">
        <v>334</v>
      </c>
      <c r="F665" s="703" t="s">
        <v>335</v>
      </c>
      <c r="G665" s="703" t="s">
        <v>1619</v>
      </c>
      <c r="H665" s="703" t="s">
        <v>334</v>
      </c>
      <c r="I665" s="703" t="s">
        <v>334</v>
      </c>
      <c r="J665" s="703" t="s">
        <v>337</v>
      </c>
      <c r="K665" s="704">
        <v>0</v>
      </c>
      <c r="L665" s="703" t="s">
        <v>334</v>
      </c>
      <c r="M665" s="702">
        <v>39478</v>
      </c>
      <c r="N665" s="702">
        <v>43482</v>
      </c>
      <c r="O665" s="703" t="s">
        <v>338</v>
      </c>
      <c r="P665" s="20">
        <v>7024.96</v>
      </c>
      <c r="Q665" s="20">
        <v>0</v>
      </c>
      <c r="R665" s="20">
        <v>0</v>
      </c>
      <c r="S665" s="20">
        <v>0</v>
      </c>
      <c r="T665" s="20">
        <v>7024.96</v>
      </c>
      <c r="U665" s="20">
        <v>6341.97</v>
      </c>
      <c r="V665" s="20">
        <v>-682.99</v>
      </c>
      <c r="W665" s="20">
        <v>-917.16</v>
      </c>
      <c r="X665" s="20">
        <v>-234.17</v>
      </c>
      <c r="Y665" s="20">
        <v>0</v>
      </c>
      <c r="Z665" s="20">
        <v>0</v>
      </c>
      <c r="AA665" s="20">
        <v>0</v>
      </c>
      <c r="AB665" s="20">
        <v>6107.8</v>
      </c>
      <c r="AC665" t="s">
        <v>183</v>
      </c>
      <c r="AD665" t="s">
        <v>290</v>
      </c>
      <c r="AE665" s="702">
        <f t="shared" si="50"/>
        <v>43617</v>
      </c>
      <c r="AF665" s="289">
        <v>10932.194836491926</v>
      </c>
      <c r="AG665">
        <f t="shared" si="51"/>
        <v>360</v>
      </c>
      <c r="AH665" s="289">
        <f t="shared" si="52"/>
        <v>30.367207879144239</v>
      </c>
      <c r="AJ665" s="289">
        <f t="shared" si="53"/>
        <v>42</v>
      </c>
      <c r="AK665" s="289">
        <f t="shared" si="54"/>
        <v>1275.422730924058</v>
      </c>
    </row>
    <row r="666" spans="1:37">
      <c r="A666" s="703" t="s">
        <v>1620</v>
      </c>
      <c r="B666" s="703" t="s">
        <v>1606</v>
      </c>
      <c r="C666" s="703" t="s">
        <v>332</v>
      </c>
      <c r="D666" s="703" t="s">
        <v>333</v>
      </c>
      <c r="E666" s="703" t="s">
        <v>334</v>
      </c>
      <c r="F666" s="703" t="s">
        <v>335</v>
      </c>
      <c r="G666" s="703" t="s">
        <v>1621</v>
      </c>
      <c r="H666" s="703" t="s">
        <v>334</v>
      </c>
      <c r="I666" s="703" t="s">
        <v>334</v>
      </c>
      <c r="J666" s="703" t="s">
        <v>337</v>
      </c>
      <c r="K666" s="704">
        <v>0</v>
      </c>
      <c r="L666" s="703" t="s">
        <v>334</v>
      </c>
      <c r="M666" s="702">
        <v>39478</v>
      </c>
      <c r="N666" s="702">
        <v>43482</v>
      </c>
      <c r="O666" s="703" t="s">
        <v>338</v>
      </c>
      <c r="P666" s="20">
        <v>3224.72</v>
      </c>
      <c r="Q666" s="20">
        <v>0</v>
      </c>
      <c r="R666" s="20">
        <v>0</v>
      </c>
      <c r="S666" s="20">
        <v>0</v>
      </c>
      <c r="T666" s="20">
        <v>3224.72</v>
      </c>
      <c r="U666" s="20">
        <v>2911.21</v>
      </c>
      <c r="V666" s="20">
        <v>-313.51</v>
      </c>
      <c r="W666" s="20">
        <v>-421</v>
      </c>
      <c r="X666" s="20">
        <v>-107.49</v>
      </c>
      <c r="Y666" s="20">
        <v>0</v>
      </c>
      <c r="Z666" s="20">
        <v>0</v>
      </c>
      <c r="AA666" s="20">
        <v>0</v>
      </c>
      <c r="AB666" s="20">
        <v>2803.72</v>
      </c>
      <c r="AC666" t="s">
        <v>183</v>
      </c>
      <c r="AD666" t="s">
        <v>290</v>
      </c>
      <c r="AE666" s="702">
        <f t="shared" si="50"/>
        <v>43617</v>
      </c>
      <c r="AF666" s="289">
        <v>5018.2872689854803</v>
      </c>
      <c r="AG666">
        <f t="shared" si="51"/>
        <v>360</v>
      </c>
      <c r="AH666" s="289">
        <f t="shared" si="52"/>
        <v>13.939686858293001</v>
      </c>
      <c r="AJ666" s="289">
        <f t="shared" si="53"/>
        <v>42</v>
      </c>
      <c r="AK666" s="289">
        <f t="shared" si="54"/>
        <v>585.46684804830602</v>
      </c>
    </row>
    <row r="667" spans="1:37">
      <c r="A667" s="703" t="s">
        <v>1622</v>
      </c>
      <c r="B667" s="703" t="s">
        <v>1606</v>
      </c>
      <c r="C667" s="703" t="s">
        <v>332</v>
      </c>
      <c r="D667" s="703" t="s">
        <v>333</v>
      </c>
      <c r="E667" s="703" t="s">
        <v>334</v>
      </c>
      <c r="F667" s="703" t="s">
        <v>335</v>
      </c>
      <c r="G667" s="703" t="s">
        <v>1623</v>
      </c>
      <c r="H667" s="703" t="s">
        <v>334</v>
      </c>
      <c r="I667" s="703" t="s">
        <v>334</v>
      </c>
      <c r="J667" s="703" t="s">
        <v>337</v>
      </c>
      <c r="K667" s="704">
        <v>0</v>
      </c>
      <c r="L667" s="703" t="s">
        <v>334</v>
      </c>
      <c r="M667" s="702">
        <v>39478</v>
      </c>
      <c r="N667" s="702">
        <v>43482</v>
      </c>
      <c r="O667" s="703" t="s">
        <v>338</v>
      </c>
      <c r="P667" s="20">
        <v>954.14</v>
      </c>
      <c r="Q667" s="20">
        <v>0</v>
      </c>
      <c r="R667" s="20">
        <v>0</v>
      </c>
      <c r="S667" s="20">
        <v>0</v>
      </c>
      <c r="T667" s="20">
        <v>954.14</v>
      </c>
      <c r="U667" s="20">
        <v>861.39</v>
      </c>
      <c r="V667" s="20">
        <v>-92.75</v>
      </c>
      <c r="W667" s="20">
        <v>-124.55</v>
      </c>
      <c r="X667" s="20">
        <v>-31.8</v>
      </c>
      <c r="Y667" s="20">
        <v>0</v>
      </c>
      <c r="Z667" s="20">
        <v>0</v>
      </c>
      <c r="AA667" s="20">
        <v>0</v>
      </c>
      <c r="AB667" s="20">
        <v>829.59</v>
      </c>
      <c r="AC667" t="s">
        <v>183</v>
      </c>
      <c r="AD667" t="s">
        <v>290</v>
      </c>
      <c r="AE667" s="702">
        <f t="shared" si="50"/>
        <v>43617</v>
      </c>
      <c r="AF667" s="289">
        <v>1484.8261600479443</v>
      </c>
      <c r="AG667">
        <f t="shared" si="51"/>
        <v>360</v>
      </c>
      <c r="AH667" s="289">
        <f t="shared" si="52"/>
        <v>4.1245171112442893</v>
      </c>
      <c r="AJ667" s="289">
        <f t="shared" si="53"/>
        <v>42</v>
      </c>
      <c r="AK667" s="289">
        <f t="shared" si="54"/>
        <v>173.22971867226016</v>
      </c>
    </row>
    <row r="668" spans="1:37">
      <c r="A668" s="703" t="s">
        <v>1624</v>
      </c>
      <c r="B668" s="703" t="s">
        <v>1606</v>
      </c>
      <c r="C668" s="703" t="s">
        <v>332</v>
      </c>
      <c r="D668" s="703" t="s">
        <v>333</v>
      </c>
      <c r="E668" s="703" t="s">
        <v>334</v>
      </c>
      <c r="F668" s="703" t="s">
        <v>335</v>
      </c>
      <c r="G668" s="703" t="s">
        <v>1625</v>
      </c>
      <c r="H668" s="703" t="s">
        <v>334</v>
      </c>
      <c r="I668" s="703" t="s">
        <v>334</v>
      </c>
      <c r="J668" s="703" t="s">
        <v>337</v>
      </c>
      <c r="K668" s="704">
        <v>0</v>
      </c>
      <c r="L668" s="703" t="s">
        <v>334</v>
      </c>
      <c r="M668" s="702">
        <v>42886</v>
      </c>
      <c r="N668" s="702">
        <v>43482</v>
      </c>
      <c r="O668" s="703" t="s">
        <v>338</v>
      </c>
      <c r="P668" s="20">
        <v>75249.36</v>
      </c>
      <c r="Q668" s="20">
        <v>0</v>
      </c>
      <c r="R668" s="20">
        <v>0</v>
      </c>
      <c r="S668" s="20">
        <v>0</v>
      </c>
      <c r="T668" s="20">
        <v>75249.36</v>
      </c>
      <c r="U668" s="20">
        <v>67933.45</v>
      </c>
      <c r="V668" s="20">
        <v>-7315.91</v>
      </c>
      <c r="W668" s="20">
        <v>-9824.2199999999993</v>
      </c>
      <c r="X668" s="20">
        <v>-2508.31</v>
      </c>
      <c r="Y668" s="20">
        <v>0</v>
      </c>
      <c r="Z668" s="20">
        <v>0</v>
      </c>
      <c r="AA668" s="20">
        <v>0</v>
      </c>
      <c r="AB668" s="20">
        <v>65425.14</v>
      </c>
      <c r="AC668" t="s">
        <v>183</v>
      </c>
      <c r="AD668" t="s">
        <v>290</v>
      </c>
      <c r="AE668" s="702">
        <f t="shared" si="50"/>
        <v>43617</v>
      </c>
      <c r="AF668" s="289">
        <v>117102.54077479758</v>
      </c>
      <c r="AG668">
        <f t="shared" si="51"/>
        <v>360</v>
      </c>
      <c r="AH668" s="289">
        <f t="shared" si="52"/>
        <v>325.28483548554885</v>
      </c>
      <c r="AJ668" s="289">
        <f t="shared" si="53"/>
        <v>42</v>
      </c>
      <c r="AK668" s="289">
        <f t="shared" si="54"/>
        <v>13661.963090393052</v>
      </c>
    </row>
    <row r="669" spans="1:37">
      <c r="A669" s="703" t="s">
        <v>1626</v>
      </c>
      <c r="B669" s="703" t="s">
        <v>1606</v>
      </c>
      <c r="C669" s="703" t="s">
        <v>332</v>
      </c>
      <c r="D669" s="703" t="s">
        <v>333</v>
      </c>
      <c r="E669" s="703" t="s">
        <v>334</v>
      </c>
      <c r="F669" s="703" t="s">
        <v>335</v>
      </c>
      <c r="G669" s="703" t="s">
        <v>1627</v>
      </c>
      <c r="H669" s="703" t="s">
        <v>334</v>
      </c>
      <c r="I669" s="703" t="s">
        <v>334</v>
      </c>
      <c r="J669" s="703" t="s">
        <v>337</v>
      </c>
      <c r="K669" s="704">
        <v>0</v>
      </c>
      <c r="L669" s="703" t="s">
        <v>334</v>
      </c>
      <c r="M669" s="702">
        <v>42886</v>
      </c>
      <c r="N669" s="702">
        <v>43482</v>
      </c>
      <c r="O669" s="703" t="s">
        <v>338</v>
      </c>
      <c r="P669" s="20">
        <v>91835.69</v>
      </c>
      <c r="Q669" s="20">
        <v>0</v>
      </c>
      <c r="R669" s="20">
        <v>0</v>
      </c>
      <c r="S669" s="20">
        <v>0</v>
      </c>
      <c r="T669" s="20">
        <v>91835.69</v>
      </c>
      <c r="U669" s="20">
        <v>82907.22</v>
      </c>
      <c r="V669" s="20">
        <v>-8928.4699999999993</v>
      </c>
      <c r="W669" s="20">
        <v>-11989.66</v>
      </c>
      <c r="X669" s="20">
        <v>-3061.19</v>
      </c>
      <c r="Y669" s="20">
        <v>0</v>
      </c>
      <c r="Z669" s="20">
        <v>0</v>
      </c>
      <c r="AA669" s="20">
        <v>0</v>
      </c>
      <c r="AB669" s="20">
        <v>79846.03</v>
      </c>
      <c r="AC669" t="s">
        <v>183</v>
      </c>
      <c r="AD669" t="s">
        <v>290</v>
      </c>
      <c r="AE669" s="702">
        <f t="shared" si="50"/>
        <v>43617</v>
      </c>
      <c r="AF669" s="289">
        <v>142914.07438955855</v>
      </c>
      <c r="AG669">
        <f t="shared" si="51"/>
        <v>360</v>
      </c>
      <c r="AH669" s="289">
        <f t="shared" si="52"/>
        <v>396.98353997099599</v>
      </c>
      <c r="AJ669" s="289">
        <f t="shared" si="53"/>
        <v>42</v>
      </c>
      <c r="AK669" s="289">
        <f t="shared" si="54"/>
        <v>16673.308678781832</v>
      </c>
    </row>
    <row r="670" spans="1:37">
      <c r="A670" s="703" t="s">
        <v>1628</v>
      </c>
      <c r="B670" s="703" t="s">
        <v>1606</v>
      </c>
      <c r="C670" s="703" t="s">
        <v>332</v>
      </c>
      <c r="D670" s="703" t="s">
        <v>333</v>
      </c>
      <c r="E670" s="703" t="s">
        <v>334</v>
      </c>
      <c r="F670" s="703" t="s">
        <v>335</v>
      </c>
      <c r="G670" s="703" t="s">
        <v>1629</v>
      </c>
      <c r="H670" s="703" t="s">
        <v>334</v>
      </c>
      <c r="I670" s="703" t="s">
        <v>334</v>
      </c>
      <c r="J670" s="703" t="s">
        <v>337</v>
      </c>
      <c r="K670" s="704">
        <v>0</v>
      </c>
      <c r="L670" s="703" t="s">
        <v>334</v>
      </c>
      <c r="M670" s="702">
        <v>39478</v>
      </c>
      <c r="N670" s="702">
        <v>43482</v>
      </c>
      <c r="O670" s="703" t="s">
        <v>338</v>
      </c>
      <c r="P670" s="20">
        <v>1015967.21</v>
      </c>
      <c r="Q670" s="20">
        <v>0</v>
      </c>
      <c r="R670" s="20">
        <v>0</v>
      </c>
      <c r="S670" s="20">
        <v>0</v>
      </c>
      <c r="T670" s="20">
        <v>1015967.21</v>
      </c>
      <c r="U670" s="20">
        <v>917192.63</v>
      </c>
      <c r="V670" s="20">
        <v>-98774.58</v>
      </c>
      <c r="W670" s="20">
        <v>-132640.15</v>
      </c>
      <c r="X670" s="20">
        <v>-33865.57</v>
      </c>
      <c r="Y670" s="20">
        <v>0</v>
      </c>
      <c r="Z670" s="20">
        <v>0</v>
      </c>
      <c r="AA670" s="20">
        <v>0</v>
      </c>
      <c r="AB670" s="20">
        <v>883327.06</v>
      </c>
      <c r="AC670" t="s">
        <v>183</v>
      </c>
      <c r="AD670" t="s">
        <v>290</v>
      </c>
      <c r="AE670" s="702">
        <f t="shared" si="50"/>
        <v>43617</v>
      </c>
      <c r="AF670" s="289">
        <v>1581041.2425418948</v>
      </c>
      <c r="AG670">
        <f t="shared" si="51"/>
        <v>360</v>
      </c>
      <c r="AH670" s="289">
        <f t="shared" si="52"/>
        <v>4391.7812292830413</v>
      </c>
      <c r="AJ670" s="289">
        <f t="shared" si="53"/>
        <v>42</v>
      </c>
      <c r="AK670" s="289">
        <f t="shared" si="54"/>
        <v>184454.81162988773</v>
      </c>
    </row>
    <row r="671" spans="1:37">
      <c r="A671" s="703" t="s">
        <v>1630</v>
      </c>
      <c r="B671" s="703" t="s">
        <v>1606</v>
      </c>
      <c r="C671" s="703" t="s">
        <v>332</v>
      </c>
      <c r="D671" s="703" t="s">
        <v>333</v>
      </c>
      <c r="E671" s="703" t="s">
        <v>334</v>
      </c>
      <c r="F671" s="703" t="s">
        <v>335</v>
      </c>
      <c r="G671" s="703" t="s">
        <v>1631</v>
      </c>
      <c r="H671" s="703" t="s">
        <v>334</v>
      </c>
      <c r="I671" s="703" t="s">
        <v>334</v>
      </c>
      <c r="J671" s="703" t="s">
        <v>337</v>
      </c>
      <c r="K671" s="704">
        <v>0</v>
      </c>
      <c r="L671" s="703" t="s">
        <v>334</v>
      </c>
      <c r="M671" s="702">
        <v>39478</v>
      </c>
      <c r="N671" s="702">
        <v>43482</v>
      </c>
      <c r="O671" s="703" t="s">
        <v>338</v>
      </c>
      <c r="P671" s="20">
        <v>40148.71</v>
      </c>
      <c r="Q671" s="20">
        <v>0</v>
      </c>
      <c r="R671" s="20">
        <v>0</v>
      </c>
      <c r="S671" s="20">
        <v>0</v>
      </c>
      <c r="T671" s="20">
        <v>40148.71</v>
      </c>
      <c r="U671" s="20">
        <v>36245.360000000001</v>
      </c>
      <c r="V671" s="20">
        <v>-3903.35</v>
      </c>
      <c r="W671" s="20">
        <v>-5241.6400000000003</v>
      </c>
      <c r="X671" s="20">
        <v>-1338.29</v>
      </c>
      <c r="Y671" s="20">
        <v>0</v>
      </c>
      <c r="Z671" s="20">
        <v>0</v>
      </c>
      <c r="AA671" s="20">
        <v>0</v>
      </c>
      <c r="AB671" s="20">
        <v>34907.07</v>
      </c>
      <c r="AC671" t="s">
        <v>183</v>
      </c>
      <c r="AD671" t="s">
        <v>290</v>
      </c>
      <c r="AE671" s="702">
        <f t="shared" si="50"/>
        <v>43617</v>
      </c>
      <c r="AF671" s="289">
        <v>62479.148657616803</v>
      </c>
      <c r="AG671">
        <f t="shared" si="51"/>
        <v>360</v>
      </c>
      <c r="AH671" s="289">
        <f t="shared" si="52"/>
        <v>173.55319071560223</v>
      </c>
      <c r="AJ671" s="289">
        <f t="shared" si="53"/>
        <v>42</v>
      </c>
      <c r="AK671" s="289">
        <f t="shared" si="54"/>
        <v>7289.2340100552938</v>
      </c>
    </row>
    <row r="672" spans="1:37">
      <c r="A672" s="703" t="s">
        <v>1632</v>
      </c>
      <c r="B672" s="703" t="s">
        <v>1606</v>
      </c>
      <c r="C672" s="703" t="s">
        <v>332</v>
      </c>
      <c r="D672" s="703" t="s">
        <v>333</v>
      </c>
      <c r="E672" s="703" t="s">
        <v>334</v>
      </c>
      <c r="F672" s="703" t="s">
        <v>335</v>
      </c>
      <c r="G672" s="703" t="s">
        <v>1633</v>
      </c>
      <c r="H672" s="703" t="s">
        <v>334</v>
      </c>
      <c r="I672" s="703" t="s">
        <v>334</v>
      </c>
      <c r="J672" s="703" t="s">
        <v>337</v>
      </c>
      <c r="K672" s="704">
        <v>0</v>
      </c>
      <c r="L672" s="703" t="s">
        <v>334</v>
      </c>
      <c r="M672" s="702">
        <v>42886</v>
      </c>
      <c r="N672" s="702">
        <v>43482</v>
      </c>
      <c r="O672" s="703" t="s">
        <v>338</v>
      </c>
      <c r="P672" s="20">
        <v>59349.3</v>
      </c>
      <c r="Q672" s="20">
        <v>0</v>
      </c>
      <c r="R672" s="20">
        <v>0</v>
      </c>
      <c r="S672" s="20">
        <v>0</v>
      </c>
      <c r="T672" s="20">
        <v>59349.3</v>
      </c>
      <c r="U672" s="20">
        <v>53579.23</v>
      </c>
      <c r="V672" s="20">
        <v>-5770.07</v>
      </c>
      <c r="W672" s="20">
        <v>-7748.38</v>
      </c>
      <c r="X672" s="20">
        <v>-1978.31</v>
      </c>
      <c r="Y672" s="20">
        <v>0</v>
      </c>
      <c r="Z672" s="20">
        <v>0</v>
      </c>
      <c r="AA672" s="20">
        <v>0</v>
      </c>
      <c r="AB672" s="20">
        <v>51600.92</v>
      </c>
      <c r="AC672" t="s">
        <v>183</v>
      </c>
      <c r="AD672" t="s">
        <v>290</v>
      </c>
      <c r="AE672" s="702">
        <f t="shared" si="50"/>
        <v>43617</v>
      </c>
      <c r="AF672" s="289">
        <v>92358.975853159354</v>
      </c>
      <c r="AG672">
        <f t="shared" si="51"/>
        <v>360</v>
      </c>
      <c r="AH672" s="289">
        <f t="shared" si="52"/>
        <v>256.55271070322044</v>
      </c>
      <c r="AJ672" s="289">
        <f t="shared" si="53"/>
        <v>42</v>
      </c>
      <c r="AK672" s="289">
        <f t="shared" si="54"/>
        <v>10775.213849535259</v>
      </c>
    </row>
    <row r="673" spans="1:37">
      <c r="A673" s="703" t="s">
        <v>1634</v>
      </c>
      <c r="B673" s="703" t="s">
        <v>1606</v>
      </c>
      <c r="C673" s="703" t="s">
        <v>332</v>
      </c>
      <c r="D673" s="703" t="s">
        <v>333</v>
      </c>
      <c r="E673" s="703" t="s">
        <v>334</v>
      </c>
      <c r="F673" s="703" t="s">
        <v>335</v>
      </c>
      <c r="G673" s="703" t="s">
        <v>1635</v>
      </c>
      <c r="H673" s="703" t="s">
        <v>334</v>
      </c>
      <c r="I673" s="703" t="s">
        <v>334</v>
      </c>
      <c r="J673" s="703" t="s">
        <v>337</v>
      </c>
      <c r="K673" s="704">
        <v>0</v>
      </c>
      <c r="L673" s="703" t="s">
        <v>334</v>
      </c>
      <c r="M673" s="702">
        <v>42886</v>
      </c>
      <c r="N673" s="702">
        <v>43482</v>
      </c>
      <c r="O673" s="703" t="s">
        <v>338</v>
      </c>
      <c r="P673" s="20">
        <v>6852.05</v>
      </c>
      <c r="Q673" s="20">
        <v>0</v>
      </c>
      <c r="R673" s="20">
        <v>0</v>
      </c>
      <c r="S673" s="20">
        <v>0</v>
      </c>
      <c r="T673" s="20">
        <v>6852.05</v>
      </c>
      <c r="U673" s="20">
        <v>6185.88</v>
      </c>
      <c r="V673" s="20">
        <v>-666.17</v>
      </c>
      <c r="W673" s="20">
        <v>-894.57</v>
      </c>
      <c r="X673" s="20">
        <v>-228.4</v>
      </c>
      <c r="Y673" s="20">
        <v>0</v>
      </c>
      <c r="Z673" s="20">
        <v>0</v>
      </c>
      <c r="AA673" s="20">
        <v>0</v>
      </c>
      <c r="AB673" s="20">
        <v>5957.48</v>
      </c>
      <c r="AC673" t="s">
        <v>183</v>
      </c>
      <c r="AD673" t="s">
        <v>290</v>
      </c>
      <c r="AE673" s="702">
        <f t="shared" si="50"/>
        <v>43617</v>
      </c>
      <c r="AF673" s="289">
        <v>10663.113473868108</v>
      </c>
      <c r="AG673">
        <f t="shared" si="51"/>
        <v>360</v>
      </c>
      <c r="AH673" s="289">
        <f t="shared" si="52"/>
        <v>29.619759649633636</v>
      </c>
      <c r="AJ673" s="289">
        <f t="shared" si="53"/>
        <v>42</v>
      </c>
      <c r="AK673" s="289">
        <f t="shared" si="54"/>
        <v>1244.0299052846126</v>
      </c>
    </row>
    <row r="674" spans="1:37">
      <c r="A674" s="703" t="s">
        <v>1636</v>
      </c>
      <c r="B674" s="703" t="s">
        <v>1606</v>
      </c>
      <c r="C674" s="703" t="s">
        <v>332</v>
      </c>
      <c r="D674" s="703" t="s">
        <v>333</v>
      </c>
      <c r="E674" s="703" t="s">
        <v>334</v>
      </c>
      <c r="F674" s="703" t="s">
        <v>335</v>
      </c>
      <c r="G674" s="703" t="s">
        <v>1637</v>
      </c>
      <c r="H674" s="703" t="s">
        <v>334</v>
      </c>
      <c r="I674" s="703" t="s">
        <v>334</v>
      </c>
      <c r="J674" s="703" t="s">
        <v>337</v>
      </c>
      <c r="K674" s="704">
        <v>0</v>
      </c>
      <c r="L674" s="703" t="s">
        <v>334</v>
      </c>
      <c r="M674" s="702">
        <v>42886</v>
      </c>
      <c r="N674" s="702">
        <v>43482</v>
      </c>
      <c r="O674" s="703" t="s">
        <v>338</v>
      </c>
      <c r="P674" s="20">
        <v>113219.9</v>
      </c>
      <c r="Q674" s="20">
        <v>0</v>
      </c>
      <c r="R674" s="20">
        <v>0</v>
      </c>
      <c r="S674" s="20">
        <v>0</v>
      </c>
      <c r="T674" s="20">
        <v>113219.9</v>
      </c>
      <c r="U674" s="20">
        <v>102212.4</v>
      </c>
      <c r="V674" s="20">
        <v>-11007.5</v>
      </c>
      <c r="W674" s="20">
        <v>-14781.5</v>
      </c>
      <c r="X674" s="20">
        <v>-3774</v>
      </c>
      <c r="Y674" s="20">
        <v>0</v>
      </c>
      <c r="Z674" s="20">
        <v>0</v>
      </c>
      <c r="AA674" s="20">
        <v>0</v>
      </c>
      <c r="AB674" s="20">
        <v>98438.399999999994</v>
      </c>
      <c r="AC674" t="s">
        <v>183</v>
      </c>
      <c r="AD674" t="s">
        <v>290</v>
      </c>
      <c r="AE674" s="702">
        <f t="shared" si="50"/>
        <v>43617</v>
      </c>
      <c r="AF674" s="289">
        <v>176192.03613517119</v>
      </c>
      <c r="AG674">
        <f t="shared" si="51"/>
        <v>360</v>
      </c>
      <c r="AH674" s="289">
        <f t="shared" si="52"/>
        <v>489.42232259769776</v>
      </c>
      <c r="AJ674" s="289">
        <f t="shared" si="53"/>
        <v>42</v>
      </c>
      <c r="AK674" s="289">
        <f t="shared" si="54"/>
        <v>20555.737549103305</v>
      </c>
    </row>
    <row r="675" spans="1:37">
      <c r="A675" s="703" t="s">
        <v>1638</v>
      </c>
      <c r="B675" s="703" t="s">
        <v>1606</v>
      </c>
      <c r="C675" s="703" t="s">
        <v>332</v>
      </c>
      <c r="D675" s="703" t="s">
        <v>333</v>
      </c>
      <c r="E675" s="703" t="s">
        <v>334</v>
      </c>
      <c r="F675" s="703" t="s">
        <v>335</v>
      </c>
      <c r="G675" s="703" t="s">
        <v>1639</v>
      </c>
      <c r="H675" s="703" t="s">
        <v>334</v>
      </c>
      <c r="I675" s="703" t="s">
        <v>334</v>
      </c>
      <c r="J675" s="703" t="s">
        <v>337</v>
      </c>
      <c r="K675" s="704">
        <v>0</v>
      </c>
      <c r="L675" s="703" t="s">
        <v>334</v>
      </c>
      <c r="M675" s="702">
        <v>39478</v>
      </c>
      <c r="N675" s="702">
        <v>43482</v>
      </c>
      <c r="O675" s="703" t="s">
        <v>338</v>
      </c>
      <c r="P675" s="20">
        <v>30710.080000000002</v>
      </c>
      <c r="Q675" s="20">
        <v>0</v>
      </c>
      <c r="R675" s="20">
        <v>0</v>
      </c>
      <c r="S675" s="20">
        <v>0</v>
      </c>
      <c r="T675" s="20">
        <v>30710.080000000002</v>
      </c>
      <c r="U675" s="20">
        <v>27724.38</v>
      </c>
      <c r="V675" s="20">
        <v>-2985.7</v>
      </c>
      <c r="W675" s="20">
        <v>-4009.37</v>
      </c>
      <c r="X675" s="20">
        <v>-1023.67</v>
      </c>
      <c r="Y675" s="20">
        <v>0</v>
      </c>
      <c r="Z675" s="20">
        <v>0</v>
      </c>
      <c r="AA675" s="20">
        <v>0</v>
      </c>
      <c r="AB675" s="20">
        <v>26700.71</v>
      </c>
      <c r="AC675" t="s">
        <v>183</v>
      </c>
      <c r="AD675" t="s">
        <v>290</v>
      </c>
      <c r="AE675" s="702">
        <f t="shared" si="50"/>
        <v>43617</v>
      </c>
      <c r="AF675" s="289">
        <v>47790.817030168706</v>
      </c>
      <c r="AG675">
        <f t="shared" si="51"/>
        <v>360</v>
      </c>
      <c r="AH675" s="289">
        <f t="shared" si="52"/>
        <v>132.75226952824642</v>
      </c>
      <c r="AJ675" s="289">
        <f t="shared" si="53"/>
        <v>42</v>
      </c>
      <c r="AK675" s="289">
        <f t="shared" si="54"/>
        <v>5575.5953201863495</v>
      </c>
    </row>
    <row r="676" spans="1:37">
      <c r="A676" s="703" t="s">
        <v>1640</v>
      </c>
      <c r="B676" s="703" t="s">
        <v>1606</v>
      </c>
      <c r="C676" s="703" t="s">
        <v>332</v>
      </c>
      <c r="D676" s="703" t="s">
        <v>333</v>
      </c>
      <c r="E676" s="703" t="s">
        <v>334</v>
      </c>
      <c r="F676" s="703" t="s">
        <v>335</v>
      </c>
      <c r="G676" s="703" t="s">
        <v>1641</v>
      </c>
      <c r="H676" s="703" t="s">
        <v>334</v>
      </c>
      <c r="I676" s="703" t="s">
        <v>334</v>
      </c>
      <c r="J676" s="703" t="s">
        <v>337</v>
      </c>
      <c r="K676" s="704">
        <v>0</v>
      </c>
      <c r="L676" s="703" t="s">
        <v>334</v>
      </c>
      <c r="M676" s="702">
        <v>39478</v>
      </c>
      <c r="N676" s="702">
        <v>43482</v>
      </c>
      <c r="O676" s="703" t="s">
        <v>338</v>
      </c>
      <c r="P676" s="20">
        <v>39691.97</v>
      </c>
      <c r="Q676" s="20">
        <v>0</v>
      </c>
      <c r="R676" s="20">
        <v>0</v>
      </c>
      <c r="S676" s="20">
        <v>0</v>
      </c>
      <c r="T676" s="20">
        <v>39691.97</v>
      </c>
      <c r="U676" s="20">
        <v>35833.019999999997</v>
      </c>
      <c r="V676" s="20">
        <v>-3858.95</v>
      </c>
      <c r="W676" s="20">
        <v>-5182.0200000000004</v>
      </c>
      <c r="X676" s="20">
        <v>-1323.07</v>
      </c>
      <c r="Y676" s="20">
        <v>0</v>
      </c>
      <c r="Z676" s="20">
        <v>0</v>
      </c>
      <c r="AA676" s="20">
        <v>0</v>
      </c>
      <c r="AB676" s="20">
        <v>34509.949999999997</v>
      </c>
      <c r="AC676" t="s">
        <v>183</v>
      </c>
      <c r="AD676" t="s">
        <v>290</v>
      </c>
      <c r="AE676" s="702">
        <f t="shared" si="50"/>
        <v>43617</v>
      </c>
      <c r="AF676" s="289">
        <v>61768.372984926958</v>
      </c>
      <c r="AG676">
        <f t="shared" si="51"/>
        <v>360</v>
      </c>
      <c r="AH676" s="289">
        <f t="shared" si="52"/>
        <v>171.57881384701932</v>
      </c>
      <c r="AJ676" s="289">
        <f t="shared" si="53"/>
        <v>42</v>
      </c>
      <c r="AK676" s="289">
        <f t="shared" si="54"/>
        <v>7206.3101815748114</v>
      </c>
    </row>
    <row r="677" spans="1:37">
      <c r="A677" s="703" t="s">
        <v>1642</v>
      </c>
      <c r="B677" s="703" t="s">
        <v>1606</v>
      </c>
      <c r="C677" s="703" t="s">
        <v>332</v>
      </c>
      <c r="D677" s="703" t="s">
        <v>333</v>
      </c>
      <c r="E677" s="703" t="s">
        <v>334</v>
      </c>
      <c r="F677" s="703" t="s">
        <v>335</v>
      </c>
      <c r="G677" s="703" t="s">
        <v>1643</v>
      </c>
      <c r="H677" s="703" t="s">
        <v>334</v>
      </c>
      <c r="I677" s="703" t="s">
        <v>334</v>
      </c>
      <c r="J677" s="703" t="s">
        <v>337</v>
      </c>
      <c r="K677" s="704">
        <v>0</v>
      </c>
      <c r="L677" s="703" t="s">
        <v>334</v>
      </c>
      <c r="M677" s="702">
        <v>42886</v>
      </c>
      <c r="N677" s="702">
        <v>43482</v>
      </c>
      <c r="O677" s="703" t="s">
        <v>338</v>
      </c>
      <c r="P677" s="20">
        <v>75028.84</v>
      </c>
      <c r="Q677" s="20">
        <v>0</v>
      </c>
      <c r="R677" s="20">
        <v>0</v>
      </c>
      <c r="S677" s="20">
        <v>0</v>
      </c>
      <c r="T677" s="20">
        <v>75028.84</v>
      </c>
      <c r="U677" s="20">
        <v>67734.37</v>
      </c>
      <c r="V677" s="20">
        <v>-7294.47</v>
      </c>
      <c r="W677" s="20">
        <v>-9795.43</v>
      </c>
      <c r="X677" s="20">
        <v>-2500.96</v>
      </c>
      <c r="Y677" s="20">
        <v>0</v>
      </c>
      <c r="Z677" s="20">
        <v>0</v>
      </c>
      <c r="AA677" s="20">
        <v>0</v>
      </c>
      <c r="AB677" s="20">
        <v>65233.41</v>
      </c>
      <c r="AC677" t="s">
        <v>183</v>
      </c>
      <c r="AD677" t="s">
        <v>290</v>
      </c>
      <c r="AE677" s="702">
        <f t="shared" si="50"/>
        <v>43617</v>
      </c>
      <c r="AF677" s="289">
        <v>116759.36905490975</v>
      </c>
      <c r="AG677">
        <f t="shared" si="51"/>
        <v>360</v>
      </c>
      <c r="AH677" s="289">
        <f t="shared" si="52"/>
        <v>324.33158070808264</v>
      </c>
      <c r="AJ677" s="289">
        <f t="shared" si="53"/>
        <v>42</v>
      </c>
      <c r="AK677" s="289">
        <f t="shared" si="54"/>
        <v>13621.92638973947</v>
      </c>
    </row>
    <row r="678" spans="1:37">
      <c r="A678" s="703" t="s">
        <v>1644</v>
      </c>
      <c r="B678" s="703" t="s">
        <v>1606</v>
      </c>
      <c r="C678" s="703" t="s">
        <v>332</v>
      </c>
      <c r="D678" s="703" t="s">
        <v>333</v>
      </c>
      <c r="E678" s="703" t="s">
        <v>334</v>
      </c>
      <c r="F678" s="703" t="s">
        <v>335</v>
      </c>
      <c r="G678" s="703" t="s">
        <v>1645</v>
      </c>
      <c r="H678" s="703" t="s">
        <v>334</v>
      </c>
      <c r="I678" s="703" t="s">
        <v>334</v>
      </c>
      <c r="J678" s="703" t="s">
        <v>337</v>
      </c>
      <c r="K678" s="704">
        <v>0</v>
      </c>
      <c r="L678" s="703" t="s">
        <v>334</v>
      </c>
      <c r="M678" s="702">
        <v>42886</v>
      </c>
      <c r="N678" s="702">
        <v>43482</v>
      </c>
      <c r="O678" s="703" t="s">
        <v>338</v>
      </c>
      <c r="P678" s="20">
        <v>394109.44</v>
      </c>
      <c r="Q678" s="20">
        <v>0</v>
      </c>
      <c r="R678" s="20">
        <v>0</v>
      </c>
      <c r="S678" s="20">
        <v>0</v>
      </c>
      <c r="T678" s="20">
        <v>394109.44</v>
      </c>
      <c r="U678" s="20">
        <v>355793.25</v>
      </c>
      <c r="V678" s="20">
        <v>-38316.19</v>
      </c>
      <c r="W678" s="20">
        <v>-51453.17</v>
      </c>
      <c r="X678" s="20">
        <v>-13136.98</v>
      </c>
      <c r="Y678" s="20">
        <v>0</v>
      </c>
      <c r="Z678" s="20">
        <v>0</v>
      </c>
      <c r="AA678" s="20">
        <v>0</v>
      </c>
      <c r="AB678" s="20">
        <v>342656.27</v>
      </c>
      <c r="AC678" t="s">
        <v>183</v>
      </c>
      <c r="AD678" t="s">
        <v>290</v>
      </c>
      <c r="AE678" s="702">
        <f t="shared" si="50"/>
        <v>43617</v>
      </c>
      <c r="AF678" s="289">
        <v>613310.42240535526</v>
      </c>
      <c r="AG678">
        <f t="shared" si="51"/>
        <v>360</v>
      </c>
      <c r="AH678" s="289">
        <f t="shared" si="52"/>
        <v>1703.6400622370979</v>
      </c>
      <c r="AJ678" s="289">
        <f t="shared" si="53"/>
        <v>42</v>
      </c>
      <c r="AK678" s="289">
        <f t="shared" si="54"/>
        <v>71552.882613958107</v>
      </c>
    </row>
    <row r="679" spans="1:37">
      <c r="A679" s="703" t="s">
        <v>1646</v>
      </c>
      <c r="B679" s="703" t="s">
        <v>1606</v>
      </c>
      <c r="C679" s="703" t="s">
        <v>332</v>
      </c>
      <c r="D679" s="703" t="s">
        <v>333</v>
      </c>
      <c r="E679" s="703" t="s">
        <v>334</v>
      </c>
      <c r="F679" s="703" t="s">
        <v>335</v>
      </c>
      <c r="G679" s="703" t="s">
        <v>1647</v>
      </c>
      <c r="H679" s="703" t="s">
        <v>334</v>
      </c>
      <c r="I679" s="703" t="s">
        <v>334</v>
      </c>
      <c r="J679" s="703" t="s">
        <v>337</v>
      </c>
      <c r="K679" s="704">
        <v>0</v>
      </c>
      <c r="L679" s="703" t="s">
        <v>334</v>
      </c>
      <c r="M679" s="702">
        <v>42886</v>
      </c>
      <c r="N679" s="702">
        <v>43482</v>
      </c>
      <c r="O679" s="703" t="s">
        <v>338</v>
      </c>
      <c r="P679" s="20">
        <v>42017.07</v>
      </c>
      <c r="Q679" s="20">
        <v>0</v>
      </c>
      <c r="R679" s="20">
        <v>0</v>
      </c>
      <c r="S679" s="20">
        <v>0</v>
      </c>
      <c r="T679" s="20">
        <v>42017.07</v>
      </c>
      <c r="U679" s="20">
        <v>37932.080000000002</v>
      </c>
      <c r="V679" s="20">
        <v>-4084.99</v>
      </c>
      <c r="W679" s="20">
        <v>-5485.56</v>
      </c>
      <c r="X679" s="20">
        <v>-1400.57</v>
      </c>
      <c r="Y679" s="20">
        <v>0</v>
      </c>
      <c r="Z679" s="20">
        <v>0</v>
      </c>
      <c r="AA679" s="20">
        <v>0</v>
      </c>
      <c r="AB679" s="20">
        <v>36531.51</v>
      </c>
      <c r="AC679" t="s">
        <v>183</v>
      </c>
      <c r="AD679" t="s">
        <v>290</v>
      </c>
      <c r="AE679" s="702">
        <f t="shared" si="50"/>
        <v>43617</v>
      </c>
      <c r="AF679" s="289">
        <v>65386.677745997105</v>
      </c>
      <c r="AG679">
        <f t="shared" si="51"/>
        <v>360</v>
      </c>
      <c r="AH679" s="289">
        <f t="shared" si="52"/>
        <v>181.62966040554753</v>
      </c>
      <c r="AJ679" s="289">
        <f t="shared" si="53"/>
        <v>42</v>
      </c>
      <c r="AK679" s="289">
        <f t="shared" si="54"/>
        <v>7628.4457370329965</v>
      </c>
    </row>
    <row r="680" spans="1:37">
      <c r="A680" s="703" t="s">
        <v>1648</v>
      </c>
      <c r="B680" s="703" t="s">
        <v>1606</v>
      </c>
      <c r="C680" s="703" t="s">
        <v>332</v>
      </c>
      <c r="D680" s="703" t="s">
        <v>333</v>
      </c>
      <c r="E680" s="703" t="s">
        <v>334</v>
      </c>
      <c r="F680" s="703" t="s">
        <v>335</v>
      </c>
      <c r="G680" s="703" t="s">
        <v>1649</v>
      </c>
      <c r="H680" s="703" t="s">
        <v>334</v>
      </c>
      <c r="I680" s="703" t="s">
        <v>334</v>
      </c>
      <c r="J680" s="703" t="s">
        <v>337</v>
      </c>
      <c r="K680" s="704">
        <v>0</v>
      </c>
      <c r="L680" s="703" t="s">
        <v>334</v>
      </c>
      <c r="M680" s="702">
        <v>42886</v>
      </c>
      <c r="N680" s="702">
        <v>43482</v>
      </c>
      <c r="O680" s="703" t="s">
        <v>338</v>
      </c>
      <c r="P680" s="20">
        <v>6963.26</v>
      </c>
      <c r="Q680" s="20">
        <v>0</v>
      </c>
      <c r="R680" s="20">
        <v>0</v>
      </c>
      <c r="S680" s="20">
        <v>0</v>
      </c>
      <c r="T680" s="20">
        <v>6963.26</v>
      </c>
      <c r="U680" s="20">
        <v>6286.27</v>
      </c>
      <c r="V680" s="20">
        <v>-676.99</v>
      </c>
      <c r="W680" s="20">
        <v>-909.1</v>
      </c>
      <c r="X680" s="20">
        <v>-232.11</v>
      </c>
      <c r="Y680" s="20">
        <v>0</v>
      </c>
      <c r="Z680" s="20">
        <v>0</v>
      </c>
      <c r="AA680" s="20">
        <v>0</v>
      </c>
      <c r="AB680" s="20">
        <v>6054.16</v>
      </c>
      <c r="AC680" t="s">
        <v>183</v>
      </c>
      <c r="AD680" t="s">
        <v>290</v>
      </c>
      <c r="AE680" s="702">
        <f t="shared" si="50"/>
        <v>43617</v>
      </c>
      <c r="AF680" s="289">
        <v>10836.177717332308</v>
      </c>
      <c r="AG680">
        <f t="shared" si="51"/>
        <v>360</v>
      </c>
      <c r="AH680" s="289">
        <f t="shared" si="52"/>
        <v>30.100493659256411</v>
      </c>
      <c r="AJ680" s="289">
        <f t="shared" si="53"/>
        <v>42</v>
      </c>
      <c r="AK680" s="289">
        <f t="shared" si="54"/>
        <v>1264.2207336887693</v>
      </c>
    </row>
    <row r="681" spans="1:37">
      <c r="A681" s="703" t="s">
        <v>1650</v>
      </c>
      <c r="B681" s="703" t="s">
        <v>1606</v>
      </c>
      <c r="C681" s="703" t="s">
        <v>332</v>
      </c>
      <c r="D681" s="703" t="s">
        <v>333</v>
      </c>
      <c r="E681" s="703" t="s">
        <v>334</v>
      </c>
      <c r="F681" s="703" t="s">
        <v>335</v>
      </c>
      <c r="G681" s="703" t="s">
        <v>1651</v>
      </c>
      <c r="H681" s="703" t="s">
        <v>334</v>
      </c>
      <c r="I681" s="703" t="s">
        <v>334</v>
      </c>
      <c r="J681" s="703" t="s">
        <v>337</v>
      </c>
      <c r="K681" s="704">
        <v>0</v>
      </c>
      <c r="L681" s="703" t="s">
        <v>334</v>
      </c>
      <c r="M681" s="702">
        <v>42886</v>
      </c>
      <c r="N681" s="702">
        <v>43482</v>
      </c>
      <c r="O681" s="703" t="s">
        <v>338</v>
      </c>
      <c r="P681" s="20">
        <v>10075.58</v>
      </c>
      <c r="Q681" s="20">
        <v>0</v>
      </c>
      <c r="R681" s="20">
        <v>0</v>
      </c>
      <c r="S681" s="20">
        <v>0</v>
      </c>
      <c r="T681" s="20">
        <v>10075.58</v>
      </c>
      <c r="U681" s="20">
        <v>9096.02</v>
      </c>
      <c r="V681" s="20">
        <v>-979.56</v>
      </c>
      <c r="W681" s="20">
        <v>-1315.41</v>
      </c>
      <c r="X681" s="20">
        <v>-335.85</v>
      </c>
      <c r="Y681" s="20">
        <v>0</v>
      </c>
      <c r="Z681" s="20">
        <v>0</v>
      </c>
      <c r="AA681" s="20">
        <v>0</v>
      </c>
      <c r="AB681" s="20">
        <v>8760.17</v>
      </c>
      <c r="AC681" t="s">
        <v>183</v>
      </c>
      <c r="AD681" t="s">
        <v>290</v>
      </c>
      <c r="AE681" s="702">
        <f t="shared" si="50"/>
        <v>43617</v>
      </c>
      <c r="AF681" s="289">
        <v>15679.548872970283</v>
      </c>
      <c r="AG681">
        <f t="shared" si="51"/>
        <v>360</v>
      </c>
      <c r="AH681" s="289">
        <f t="shared" si="52"/>
        <v>43.554302424917452</v>
      </c>
      <c r="AJ681" s="289">
        <f t="shared" si="53"/>
        <v>42</v>
      </c>
      <c r="AK681" s="289">
        <f t="shared" si="54"/>
        <v>1829.280701846533</v>
      </c>
    </row>
    <row r="682" spans="1:37">
      <c r="A682" s="703" t="s">
        <v>1652</v>
      </c>
      <c r="B682" s="703" t="s">
        <v>1606</v>
      </c>
      <c r="C682" s="703" t="s">
        <v>332</v>
      </c>
      <c r="D682" s="703" t="s">
        <v>333</v>
      </c>
      <c r="E682" s="703" t="s">
        <v>334</v>
      </c>
      <c r="F682" s="703" t="s">
        <v>335</v>
      </c>
      <c r="G682" s="703" t="s">
        <v>1653</v>
      </c>
      <c r="H682" s="703" t="s">
        <v>334</v>
      </c>
      <c r="I682" s="703" t="s">
        <v>334</v>
      </c>
      <c r="J682" s="703" t="s">
        <v>337</v>
      </c>
      <c r="K682" s="704">
        <v>0</v>
      </c>
      <c r="L682" s="703" t="s">
        <v>334</v>
      </c>
      <c r="M682" s="702">
        <v>39478</v>
      </c>
      <c r="N682" s="702">
        <v>43482</v>
      </c>
      <c r="O682" s="703" t="s">
        <v>338</v>
      </c>
      <c r="P682" s="20">
        <v>4323.05</v>
      </c>
      <c r="Q682" s="20">
        <v>0</v>
      </c>
      <c r="R682" s="20">
        <v>0</v>
      </c>
      <c r="S682" s="20">
        <v>0</v>
      </c>
      <c r="T682" s="20">
        <v>4323.05</v>
      </c>
      <c r="U682" s="20">
        <v>3902.76</v>
      </c>
      <c r="V682" s="20">
        <v>-420.29</v>
      </c>
      <c r="W682" s="20">
        <v>-564.39</v>
      </c>
      <c r="X682" s="20">
        <v>-144.1</v>
      </c>
      <c r="Y682" s="20">
        <v>0</v>
      </c>
      <c r="Z682" s="20">
        <v>0</v>
      </c>
      <c r="AA682" s="20">
        <v>0</v>
      </c>
      <c r="AB682" s="20">
        <v>3758.66</v>
      </c>
      <c r="AC682" t="s">
        <v>183</v>
      </c>
      <c r="AD682" t="s">
        <v>290</v>
      </c>
      <c r="AE682" s="702">
        <f t="shared" si="50"/>
        <v>43617</v>
      </c>
      <c r="AF682" s="289">
        <v>6727.5009235492334</v>
      </c>
      <c r="AG682">
        <f t="shared" si="51"/>
        <v>360</v>
      </c>
      <c r="AH682" s="289">
        <f t="shared" si="52"/>
        <v>18.687502565414537</v>
      </c>
      <c r="AJ682" s="289">
        <f t="shared" si="53"/>
        <v>42</v>
      </c>
      <c r="AK682" s="289">
        <f t="shared" si="54"/>
        <v>784.87510774741054</v>
      </c>
    </row>
    <row r="683" spans="1:37">
      <c r="A683" s="703" t="s">
        <v>1654</v>
      </c>
      <c r="B683" s="703" t="s">
        <v>1606</v>
      </c>
      <c r="C683" s="703" t="s">
        <v>332</v>
      </c>
      <c r="D683" s="703" t="s">
        <v>333</v>
      </c>
      <c r="E683" s="703" t="s">
        <v>334</v>
      </c>
      <c r="F683" s="703" t="s">
        <v>335</v>
      </c>
      <c r="G683" s="703" t="s">
        <v>1655</v>
      </c>
      <c r="H683" s="703" t="s">
        <v>334</v>
      </c>
      <c r="I683" s="703" t="s">
        <v>334</v>
      </c>
      <c r="J683" s="703" t="s">
        <v>337</v>
      </c>
      <c r="K683" s="704">
        <v>0</v>
      </c>
      <c r="L683" s="703" t="s">
        <v>334</v>
      </c>
      <c r="M683" s="702">
        <v>39478</v>
      </c>
      <c r="N683" s="702">
        <v>43482</v>
      </c>
      <c r="O683" s="703" t="s">
        <v>338</v>
      </c>
      <c r="P683" s="20">
        <v>113841.77</v>
      </c>
      <c r="Q683" s="20">
        <v>0</v>
      </c>
      <c r="R683" s="20">
        <v>0</v>
      </c>
      <c r="S683" s="20">
        <v>0</v>
      </c>
      <c r="T683" s="20">
        <v>113841.77</v>
      </c>
      <c r="U683" s="20">
        <v>102773.81</v>
      </c>
      <c r="V683" s="20">
        <v>-11067.96</v>
      </c>
      <c r="W683" s="20">
        <v>-14862.69</v>
      </c>
      <c r="X683" s="20">
        <v>-3794.73</v>
      </c>
      <c r="Y683" s="20">
        <v>0</v>
      </c>
      <c r="Z683" s="20">
        <v>0</v>
      </c>
      <c r="AA683" s="20">
        <v>0</v>
      </c>
      <c r="AB683" s="20">
        <v>98979.08</v>
      </c>
      <c r="AC683" t="s">
        <v>183</v>
      </c>
      <c r="AD683" t="s">
        <v>290</v>
      </c>
      <c r="AE683" s="702">
        <f t="shared" si="50"/>
        <v>43617</v>
      </c>
      <c r="AF683" s="289">
        <v>177159.78598755033</v>
      </c>
      <c r="AG683">
        <f t="shared" si="51"/>
        <v>360</v>
      </c>
      <c r="AH683" s="289">
        <f t="shared" si="52"/>
        <v>492.11051663208428</v>
      </c>
      <c r="AJ683" s="289">
        <f t="shared" si="53"/>
        <v>42</v>
      </c>
      <c r="AK683" s="289">
        <f t="shared" si="54"/>
        <v>20668.641698547541</v>
      </c>
    </row>
    <row r="684" spans="1:37">
      <c r="A684" s="703" t="s">
        <v>1656</v>
      </c>
      <c r="B684" s="703" t="s">
        <v>1606</v>
      </c>
      <c r="C684" s="703" t="s">
        <v>332</v>
      </c>
      <c r="D684" s="703" t="s">
        <v>333</v>
      </c>
      <c r="E684" s="703" t="s">
        <v>334</v>
      </c>
      <c r="F684" s="703" t="s">
        <v>335</v>
      </c>
      <c r="G684" s="703" t="s">
        <v>1657</v>
      </c>
      <c r="H684" s="703" t="s">
        <v>334</v>
      </c>
      <c r="I684" s="703" t="s">
        <v>334</v>
      </c>
      <c r="J684" s="703" t="s">
        <v>337</v>
      </c>
      <c r="K684" s="704">
        <v>0</v>
      </c>
      <c r="L684" s="703" t="s">
        <v>334</v>
      </c>
      <c r="M684" s="702">
        <v>39478</v>
      </c>
      <c r="N684" s="702">
        <v>43482</v>
      </c>
      <c r="O684" s="703" t="s">
        <v>338</v>
      </c>
      <c r="P684" s="20">
        <v>4160</v>
      </c>
      <c r="Q684" s="20">
        <v>0</v>
      </c>
      <c r="R684" s="20">
        <v>0</v>
      </c>
      <c r="S684" s="20">
        <v>0</v>
      </c>
      <c r="T684" s="20">
        <v>4160</v>
      </c>
      <c r="U684" s="20">
        <v>3755.55</v>
      </c>
      <c r="V684" s="20">
        <v>-404.45</v>
      </c>
      <c r="W684" s="20">
        <v>-543.12</v>
      </c>
      <c r="X684" s="20">
        <v>-138.66999999999999</v>
      </c>
      <c r="Y684" s="20">
        <v>0</v>
      </c>
      <c r="Z684" s="20">
        <v>0</v>
      </c>
      <c r="AA684" s="20">
        <v>0</v>
      </c>
      <c r="AB684" s="20">
        <v>3616.88</v>
      </c>
      <c r="AC684" t="s">
        <v>183</v>
      </c>
      <c r="AD684" t="s">
        <v>290</v>
      </c>
      <c r="AE684" s="702">
        <f t="shared" si="50"/>
        <v>43617</v>
      </c>
      <c r="AF684" s="289">
        <v>6473.7636256728028</v>
      </c>
      <c r="AG684">
        <f t="shared" si="51"/>
        <v>360</v>
      </c>
      <c r="AH684" s="289">
        <f t="shared" si="52"/>
        <v>17.982676737980007</v>
      </c>
      <c r="AJ684" s="289">
        <f t="shared" si="53"/>
        <v>42</v>
      </c>
      <c r="AK684" s="289">
        <f t="shared" si="54"/>
        <v>755.27242299516035</v>
      </c>
    </row>
    <row r="685" spans="1:37">
      <c r="A685" s="703" t="s">
        <v>1658</v>
      </c>
      <c r="B685" s="703" t="s">
        <v>1606</v>
      </c>
      <c r="C685" s="703" t="s">
        <v>332</v>
      </c>
      <c r="D685" s="703" t="s">
        <v>333</v>
      </c>
      <c r="E685" s="703" t="s">
        <v>334</v>
      </c>
      <c r="F685" s="703" t="s">
        <v>335</v>
      </c>
      <c r="G685" s="703" t="s">
        <v>1659</v>
      </c>
      <c r="H685" s="703" t="s">
        <v>334</v>
      </c>
      <c r="I685" s="703" t="s">
        <v>334</v>
      </c>
      <c r="J685" s="703" t="s">
        <v>337</v>
      </c>
      <c r="K685" s="704">
        <v>0</v>
      </c>
      <c r="L685" s="703" t="s">
        <v>334</v>
      </c>
      <c r="M685" s="702">
        <v>39478</v>
      </c>
      <c r="N685" s="702">
        <v>43482</v>
      </c>
      <c r="O685" s="703" t="s">
        <v>338</v>
      </c>
      <c r="P685" s="20">
        <v>1036736.17</v>
      </c>
      <c r="Q685" s="20">
        <v>0</v>
      </c>
      <c r="R685" s="20">
        <v>0</v>
      </c>
      <c r="S685" s="20">
        <v>0</v>
      </c>
      <c r="T685" s="20">
        <v>1036736.17</v>
      </c>
      <c r="U685" s="20">
        <v>935942.38</v>
      </c>
      <c r="V685" s="20">
        <v>-100793.79</v>
      </c>
      <c r="W685" s="20">
        <v>-135351.66</v>
      </c>
      <c r="X685" s="20">
        <v>-34557.870000000003</v>
      </c>
      <c r="Y685" s="20">
        <v>0</v>
      </c>
      <c r="Z685" s="20">
        <v>0</v>
      </c>
      <c r="AA685" s="20">
        <v>0</v>
      </c>
      <c r="AB685" s="20">
        <v>901384.51</v>
      </c>
      <c r="AC685" t="s">
        <v>183</v>
      </c>
      <c r="AD685" t="s">
        <v>290</v>
      </c>
      <c r="AE685" s="702">
        <f t="shared" si="50"/>
        <v>43617</v>
      </c>
      <c r="AF685" s="289">
        <v>1613361.756433975</v>
      </c>
      <c r="AG685">
        <f t="shared" si="51"/>
        <v>360</v>
      </c>
      <c r="AH685" s="289">
        <f t="shared" si="52"/>
        <v>4481.5604345388192</v>
      </c>
      <c r="AJ685" s="289">
        <f t="shared" si="53"/>
        <v>42</v>
      </c>
      <c r="AK685" s="289">
        <f t="shared" si="54"/>
        <v>188225.5382506304</v>
      </c>
    </row>
    <row r="686" spans="1:37">
      <c r="A686" s="703" t="s">
        <v>1660</v>
      </c>
      <c r="B686" s="703" t="s">
        <v>1606</v>
      </c>
      <c r="C686" s="703" t="s">
        <v>332</v>
      </c>
      <c r="D686" s="703" t="s">
        <v>333</v>
      </c>
      <c r="E686" s="703" t="s">
        <v>334</v>
      </c>
      <c r="F686" s="703" t="s">
        <v>335</v>
      </c>
      <c r="G686" s="703" t="s">
        <v>1661</v>
      </c>
      <c r="H686" s="703" t="s">
        <v>334</v>
      </c>
      <c r="I686" s="703" t="s">
        <v>334</v>
      </c>
      <c r="J686" s="703" t="s">
        <v>337</v>
      </c>
      <c r="K686" s="704">
        <v>0</v>
      </c>
      <c r="L686" s="703" t="s">
        <v>334</v>
      </c>
      <c r="M686" s="702">
        <v>39478</v>
      </c>
      <c r="N686" s="702">
        <v>43482</v>
      </c>
      <c r="O686" s="703" t="s">
        <v>338</v>
      </c>
      <c r="P686" s="20">
        <v>10405.219999999999</v>
      </c>
      <c r="Q686" s="20">
        <v>0</v>
      </c>
      <c r="R686" s="20">
        <v>0</v>
      </c>
      <c r="S686" s="20">
        <v>0</v>
      </c>
      <c r="T686" s="20">
        <v>10405.219999999999</v>
      </c>
      <c r="U686" s="20">
        <v>9393.6</v>
      </c>
      <c r="V686" s="20">
        <v>-1011.62</v>
      </c>
      <c r="W686" s="20">
        <v>-1358.46</v>
      </c>
      <c r="X686" s="20">
        <v>-346.84</v>
      </c>
      <c r="Y686" s="20">
        <v>0</v>
      </c>
      <c r="Z686" s="20">
        <v>0</v>
      </c>
      <c r="AA686" s="20">
        <v>0</v>
      </c>
      <c r="AB686" s="20">
        <v>9046.76</v>
      </c>
      <c r="AC686" t="s">
        <v>183</v>
      </c>
      <c r="AD686" t="s">
        <v>290</v>
      </c>
      <c r="AE686" s="702">
        <f t="shared" si="50"/>
        <v>43617</v>
      </c>
      <c r="AF686" s="289">
        <v>16192.532392577681</v>
      </c>
      <c r="AG686">
        <f t="shared" si="51"/>
        <v>360</v>
      </c>
      <c r="AH686" s="289">
        <f t="shared" si="52"/>
        <v>44.979256646049116</v>
      </c>
      <c r="AJ686" s="289">
        <f t="shared" si="53"/>
        <v>42</v>
      </c>
      <c r="AK686" s="289">
        <f t="shared" si="54"/>
        <v>1889.1287791340628</v>
      </c>
    </row>
    <row r="687" spans="1:37">
      <c r="A687" s="703" t="s">
        <v>1662</v>
      </c>
      <c r="B687" s="703" t="s">
        <v>1606</v>
      </c>
      <c r="C687" s="703" t="s">
        <v>332</v>
      </c>
      <c r="D687" s="703" t="s">
        <v>333</v>
      </c>
      <c r="E687" s="703" t="s">
        <v>334</v>
      </c>
      <c r="F687" s="703" t="s">
        <v>335</v>
      </c>
      <c r="G687" s="703" t="s">
        <v>1663</v>
      </c>
      <c r="H687" s="703" t="s">
        <v>334</v>
      </c>
      <c r="I687" s="703" t="s">
        <v>334</v>
      </c>
      <c r="J687" s="703" t="s">
        <v>337</v>
      </c>
      <c r="K687" s="704">
        <v>0</v>
      </c>
      <c r="L687" s="703" t="s">
        <v>334</v>
      </c>
      <c r="M687" s="702">
        <v>39478</v>
      </c>
      <c r="N687" s="702">
        <v>43482</v>
      </c>
      <c r="O687" s="703" t="s">
        <v>338</v>
      </c>
      <c r="P687" s="20">
        <v>53157.14</v>
      </c>
      <c r="Q687" s="20">
        <v>0</v>
      </c>
      <c r="R687" s="20">
        <v>0</v>
      </c>
      <c r="S687" s="20">
        <v>0</v>
      </c>
      <c r="T687" s="20">
        <v>53157.14</v>
      </c>
      <c r="U687" s="20">
        <v>47989.09</v>
      </c>
      <c r="V687" s="20">
        <v>-5168.05</v>
      </c>
      <c r="W687" s="20">
        <v>-6939.95</v>
      </c>
      <c r="X687" s="20">
        <v>-1771.9</v>
      </c>
      <c r="Y687" s="20">
        <v>0</v>
      </c>
      <c r="Z687" s="20">
        <v>0</v>
      </c>
      <c r="AA687" s="20">
        <v>0</v>
      </c>
      <c r="AB687" s="20">
        <v>46217.19</v>
      </c>
      <c r="AC687" t="s">
        <v>183</v>
      </c>
      <c r="AD687" t="s">
        <v>290</v>
      </c>
      <c r="AE687" s="702">
        <f t="shared" si="50"/>
        <v>43617</v>
      </c>
      <c r="AF687" s="289">
        <v>82722.778696345384</v>
      </c>
      <c r="AG687">
        <f t="shared" si="51"/>
        <v>360</v>
      </c>
      <c r="AH687" s="289">
        <f t="shared" si="52"/>
        <v>229.78549637873718</v>
      </c>
      <c r="AJ687" s="289">
        <f t="shared" si="53"/>
        <v>42</v>
      </c>
      <c r="AK687" s="289">
        <f t="shared" si="54"/>
        <v>9650.9908479069618</v>
      </c>
    </row>
    <row r="688" spans="1:37">
      <c r="A688" s="703" t="s">
        <v>1664</v>
      </c>
      <c r="B688" s="703" t="s">
        <v>1606</v>
      </c>
      <c r="C688" s="703" t="s">
        <v>332</v>
      </c>
      <c r="D688" s="703" t="s">
        <v>333</v>
      </c>
      <c r="E688" s="703" t="s">
        <v>334</v>
      </c>
      <c r="F688" s="703" t="s">
        <v>335</v>
      </c>
      <c r="G688" s="703" t="s">
        <v>1665</v>
      </c>
      <c r="H688" s="703" t="s">
        <v>334</v>
      </c>
      <c r="I688" s="703" t="s">
        <v>334</v>
      </c>
      <c r="J688" s="703" t="s">
        <v>337</v>
      </c>
      <c r="K688" s="704">
        <v>0</v>
      </c>
      <c r="L688" s="703" t="s">
        <v>334</v>
      </c>
      <c r="M688" s="702">
        <v>39478</v>
      </c>
      <c r="N688" s="702">
        <v>43482</v>
      </c>
      <c r="O688" s="703" t="s">
        <v>338</v>
      </c>
      <c r="P688" s="20">
        <v>5261.63</v>
      </c>
      <c r="Q688" s="20">
        <v>0</v>
      </c>
      <c r="R688" s="20">
        <v>0</v>
      </c>
      <c r="S688" s="20">
        <v>0</v>
      </c>
      <c r="T688" s="20">
        <v>5261.63</v>
      </c>
      <c r="U688" s="20">
        <v>4750.08</v>
      </c>
      <c r="V688" s="20">
        <v>-511.55</v>
      </c>
      <c r="W688" s="20">
        <v>-686.94</v>
      </c>
      <c r="X688" s="20">
        <v>-175.39</v>
      </c>
      <c r="Y688" s="20">
        <v>0</v>
      </c>
      <c r="Z688" s="20">
        <v>0</v>
      </c>
      <c r="AA688" s="20">
        <v>0</v>
      </c>
      <c r="AB688" s="20">
        <v>4574.6899999999996</v>
      </c>
      <c r="AC688" t="s">
        <v>183</v>
      </c>
      <c r="AD688" t="s">
        <v>290</v>
      </c>
      <c r="AE688" s="702">
        <f t="shared" si="50"/>
        <v>43617</v>
      </c>
      <c r="AF688" s="289">
        <v>8188.112717728075</v>
      </c>
      <c r="AG688">
        <f t="shared" si="51"/>
        <v>360</v>
      </c>
      <c r="AH688" s="289">
        <f t="shared" si="52"/>
        <v>22.744757549244653</v>
      </c>
      <c r="AJ688" s="289">
        <f t="shared" si="53"/>
        <v>42</v>
      </c>
      <c r="AK688" s="289">
        <f t="shared" si="54"/>
        <v>955.27981706827541</v>
      </c>
    </row>
    <row r="689" spans="1:37">
      <c r="A689" s="703" t="s">
        <v>1666</v>
      </c>
      <c r="B689" s="703" t="s">
        <v>1606</v>
      </c>
      <c r="C689" s="703" t="s">
        <v>332</v>
      </c>
      <c r="D689" s="703" t="s">
        <v>333</v>
      </c>
      <c r="E689" s="703" t="s">
        <v>334</v>
      </c>
      <c r="F689" s="703" t="s">
        <v>335</v>
      </c>
      <c r="G689" s="703" t="s">
        <v>1667</v>
      </c>
      <c r="H689" s="703" t="s">
        <v>334</v>
      </c>
      <c r="I689" s="703" t="s">
        <v>334</v>
      </c>
      <c r="J689" s="703" t="s">
        <v>337</v>
      </c>
      <c r="K689" s="704">
        <v>0</v>
      </c>
      <c r="L689" s="703" t="s">
        <v>334</v>
      </c>
      <c r="M689" s="702">
        <v>39478</v>
      </c>
      <c r="N689" s="702">
        <v>43482</v>
      </c>
      <c r="O689" s="703" t="s">
        <v>338</v>
      </c>
      <c r="P689" s="20">
        <v>47518.26</v>
      </c>
      <c r="Q689" s="20">
        <v>0</v>
      </c>
      <c r="R689" s="20">
        <v>0</v>
      </c>
      <c r="S689" s="20">
        <v>0</v>
      </c>
      <c r="T689" s="20">
        <v>47518.26</v>
      </c>
      <c r="U689" s="20">
        <v>42898.43</v>
      </c>
      <c r="V689" s="20">
        <v>-4619.83</v>
      </c>
      <c r="W689" s="20">
        <v>-6203.77</v>
      </c>
      <c r="X689" s="20">
        <v>-1583.94</v>
      </c>
      <c r="Y689" s="20">
        <v>0</v>
      </c>
      <c r="Z689" s="20">
        <v>0</v>
      </c>
      <c r="AA689" s="20">
        <v>0</v>
      </c>
      <c r="AB689" s="20">
        <v>41314.49</v>
      </c>
      <c r="AC689" t="s">
        <v>183</v>
      </c>
      <c r="AD689" t="s">
        <v>290</v>
      </c>
      <c r="AE689" s="702">
        <f t="shared" si="50"/>
        <v>43617</v>
      </c>
      <c r="AF689" s="289">
        <v>73947.59210174589</v>
      </c>
      <c r="AG689">
        <f t="shared" si="51"/>
        <v>360</v>
      </c>
      <c r="AH689" s="289">
        <f t="shared" si="52"/>
        <v>205.40997806040525</v>
      </c>
      <c r="AJ689" s="289">
        <f t="shared" si="53"/>
        <v>42</v>
      </c>
      <c r="AK689" s="289">
        <f t="shared" si="54"/>
        <v>8627.2190785370203</v>
      </c>
    </row>
    <row r="690" spans="1:37">
      <c r="A690" s="703" t="s">
        <v>1668</v>
      </c>
      <c r="B690" s="703" t="s">
        <v>1606</v>
      </c>
      <c r="C690" s="703" t="s">
        <v>332</v>
      </c>
      <c r="D690" s="703" t="s">
        <v>333</v>
      </c>
      <c r="E690" s="703" t="s">
        <v>334</v>
      </c>
      <c r="F690" s="703" t="s">
        <v>335</v>
      </c>
      <c r="G690" s="703" t="s">
        <v>1669</v>
      </c>
      <c r="H690" s="703" t="s">
        <v>334</v>
      </c>
      <c r="I690" s="703" t="s">
        <v>334</v>
      </c>
      <c r="J690" s="703" t="s">
        <v>337</v>
      </c>
      <c r="K690" s="704">
        <v>0</v>
      </c>
      <c r="L690" s="703" t="s">
        <v>334</v>
      </c>
      <c r="M690" s="702">
        <v>39478</v>
      </c>
      <c r="N690" s="702">
        <v>43482</v>
      </c>
      <c r="O690" s="703" t="s">
        <v>338</v>
      </c>
      <c r="P690" s="20">
        <v>49565.21</v>
      </c>
      <c r="Q690" s="20">
        <v>0</v>
      </c>
      <c r="R690" s="20">
        <v>0</v>
      </c>
      <c r="S690" s="20">
        <v>0</v>
      </c>
      <c r="T690" s="20">
        <v>49565.21</v>
      </c>
      <c r="U690" s="20">
        <v>44746.38</v>
      </c>
      <c r="V690" s="20">
        <v>-4818.83</v>
      </c>
      <c r="W690" s="20">
        <v>-6471</v>
      </c>
      <c r="X690" s="20">
        <v>-1652.17</v>
      </c>
      <c r="Y690" s="20">
        <v>0</v>
      </c>
      <c r="Z690" s="20">
        <v>0</v>
      </c>
      <c r="AA690" s="20">
        <v>0</v>
      </c>
      <c r="AB690" s="20">
        <v>43094.21</v>
      </c>
      <c r="AC690" t="s">
        <v>183</v>
      </c>
      <c r="AD690" t="s">
        <v>290</v>
      </c>
      <c r="AE690" s="702">
        <f t="shared" si="50"/>
        <v>43617</v>
      </c>
      <c r="AF690" s="289">
        <v>77133.041730008146</v>
      </c>
      <c r="AG690">
        <f t="shared" si="51"/>
        <v>360</v>
      </c>
      <c r="AH690" s="289">
        <f t="shared" si="52"/>
        <v>214.25844925002264</v>
      </c>
      <c r="AJ690" s="289">
        <f t="shared" si="53"/>
        <v>42</v>
      </c>
      <c r="AK690" s="289">
        <f t="shared" si="54"/>
        <v>8998.85486850095</v>
      </c>
    </row>
    <row r="691" spans="1:37">
      <c r="A691" s="703" t="s">
        <v>1670</v>
      </c>
      <c r="B691" s="703" t="s">
        <v>1606</v>
      </c>
      <c r="C691" s="703" t="s">
        <v>332</v>
      </c>
      <c r="D691" s="703" t="s">
        <v>333</v>
      </c>
      <c r="E691" s="703" t="s">
        <v>334</v>
      </c>
      <c r="F691" s="703" t="s">
        <v>335</v>
      </c>
      <c r="G691" s="703" t="s">
        <v>1671</v>
      </c>
      <c r="H691" s="703" t="s">
        <v>334</v>
      </c>
      <c r="I691" s="703" t="s">
        <v>334</v>
      </c>
      <c r="J691" s="703" t="s">
        <v>337</v>
      </c>
      <c r="K691" s="704">
        <v>0</v>
      </c>
      <c r="L691" s="703" t="s">
        <v>334</v>
      </c>
      <c r="M691" s="702">
        <v>39478</v>
      </c>
      <c r="N691" s="702">
        <v>43482</v>
      </c>
      <c r="O691" s="703" t="s">
        <v>338</v>
      </c>
      <c r="P691" s="20">
        <v>13033.56</v>
      </c>
      <c r="Q691" s="20">
        <v>0</v>
      </c>
      <c r="R691" s="20">
        <v>0</v>
      </c>
      <c r="S691" s="20">
        <v>0</v>
      </c>
      <c r="T691" s="20">
        <v>13033.56</v>
      </c>
      <c r="U691" s="20">
        <v>11766.41</v>
      </c>
      <c r="V691" s="20">
        <v>-1267.1500000000001</v>
      </c>
      <c r="W691" s="20">
        <v>-1701.6</v>
      </c>
      <c r="X691" s="20">
        <v>-434.45</v>
      </c>
      <c r="Y691" s="20">
        <v>0</v>
      </c>
      <c r="Z691" s="20">
        <v>0</v>
      </c>
      <c r="AA691" s="20">
        <v>0</v>
      </c>
      <c r="AB691" s="20">
        <v>11331.96</v>
      </c>
      <c r="AC691" t="s">
        <v>183</v>
      </c>
      <c r="AD691" t="s">
        <v>290</v>
      </c>
      <c r="AE691" s="702">
        <f t="shared" si="50"/>
        <v>43617</v>
      </c>
      <c r="AF691" s="289">
        <v>20282.737173323079</v>
      </c>
      <c r="AG691">
        <f t="shared" si="51"/>
        <v>360</v>
      </c>
      <c r="AH691" s="289">
        <f t="shared" si="52"/>
        <v>56.340936592564113</v>
      </c>
      <c r="AJ691" s="289">
        <f t="shared" si="53"/>
        <v>42</v>
      </c>
      <c r="AK691" s="289">
        <f t="shared" si="54"/>
        <v>2366.3193368876928</v>
      </c>
    </row>
    <row r="692" spans="1:37">
      <c r="A692" s="703" t="s">
        <v>1672</v>
      </c>
      <c r="B692" s="703" t="s">
        <v>1606</v>
      </c>
      <c r="C692" s="703" t="s">
        <v>332</v>
      </c>
      <c r="D692" s="703" t="s">
        <v>333</v>
      </c>
      <c r="E692" s="703" t="s">
        <v>334</v>
      </c>
      <c r="F692" s="703" t="s">
        <v>335</v>
      </c>
      <c r="G692" s="703" t="s">
        <v>1673</v>
      </c>
      <c r="H692" s="703" t="s">
        <v>334</v>
      </c>
      <c r="I692" s="703" t="s">
        <v>334</v>
      </c>
      <c r="J692" s="703" t="s">
        <v>337</v>
      </c>
      <c r="K692" s="704">
        <v>0</v>
      </c>
      <c r="L692" s="703" t="s">
        <v>334</v>
      </c>
      <c r="M692" s="702">
        <v>39478</v>
      </c>
      <c r="N692" s="702">
        <v>43482</v>
      </c>
      <c r="O692" s="703" t="s">
        <v>338</v>
      </c>
      <c r="P692" s="20">
        <v>13484.6</v>
      </c>
      <c r="Q692" s="20">
        <v>0</v>
      </c>
      <c r="R692" s="20">
        <v>0</v>
      </c>
      <c r="S692" s="20">
        <v>0</v>
      </c>
      <c r="T692" s="20">
        <v>13484.6</v>
      </c>
      <c r="U692" s="20">
        <v>12173.59</v>
      </c>
      <c r="V692" s="20">
        <v>-1311.01</v>
      </c>
      <c r="W692" s="20">
        <v>-1760.5</v>
      </c>
      <c r="X692" s="20">
        <v>-449.49</v>
      </c>
      <c r="Y692" s="20">
        <v>0</v>
      </c>
      <c r="Z692" s="20">
        <v>0</v>
      </c>
      <c r="AA692" s="20">
        <v>0</v>
      </c>
      <c r="AB692" s="20">
        <v>11724.1</v>
      </c>
      <c r="AC692" t="s">
        <v>183</v>
      </c>
      <c r="AD692" t="s">
        <v>290</v>
      </c>
      <c r="AE692" s="702">
        <f t="shared" si="50"/>
        <v>43617</v>
      </c>
      <c r="AF692" s="289">
        <v>20984.64254489122</v>
      </c>
      <c r="AG692">
        <f t="shared" si="51"/>
        <v>360</v>
      </c>
      <c r="AH692" s="289">
        <f t="shared" si="52"/>
        <v>58.290673735808944</v>
      </c>
      <c r="AJ692" s="289">
        <f t="shared" si="53"/>
        <v>42</v>
      </c>
      <c r="AK692" s="289">
        <f t="shared" si="54"/>
        <v>2448.2082969039757</v>
      </c>
    </row>
    <row r="693" spans="1:37">
      <c r="A693" s="703" t="s">
        <v>1674</v>
      </c>
      <c r="B693" s="703" t="s">
        <v>1606</v>
      </c>
      <c r="C693" s="703" t="s">
        <v>332</v>
      </c>
      <c r="D693" s="703" t="s">
        <v>333</v>
      </c>
      <c r="E693" s="703" t="s">
        <v>334</v>
      </c>
      <c r="F693" s="703" t="s">
        <v>335</v>
      </c>
      <c r="G693" s="703" t="s">
        <v>1675</v>
      </c>
      <c r="H693" s="703" t="s">
        <v>334</v>
      </c>
      <c r="I693" s="703" t="s">
        <v>334</v>
      </c>
      <c r="J693" s="703" t="s">
        <v>337</v>
      </c>
      <c r="K693" s="704">
        <v>0</v>
      </c>
      <c r="L693" s="703" t="s">
        <v>334</v>
      </c>
      <c r="M693" s="702">
        <v>39478</v>
      </c>
      <c r="N693" s="702">
        <v>43482</v>
      </c>
      <c r="O693" s="703" t="s">
        <v>338</v>
      </c>
      <c r="P693" s="20">
        <v>18882.310000000001</v>
      </c>
      <c r="Q693" s="20">
        <v>0</v>
      </c>
      <c r="R693" s="20">
        <v>0</v>
      </c>
      <c r="S693" s="20">
        <v>0</v>
      </c>
      <c r="T693" s="20">
        <v>18882.310000000001</v>
      </c>
      <c r="U693" s="20">
        <v>17046.53</v>
      </c>
      <c r="V693" s="20">
        <v>-1835.78</v>
      </c>
      <c r="W693" s="20">
        <v>-2465.19</v>
      </c>
      <c r="X693" s="20">
        <v>-629.41</v>
      </c>
      <c r="Y693" s="20">
        <v>0</v>
      </c>
      <c r="Z693" s="20">
        <v>0</v>
      </c>
      <c r="AA693" s="20">
        <v>0</v>
      </c>
      <c r="AB693" s="20">
        <v>16417.12</v>
      </c>
      <c r="AC693" t="s">
        <v>183</v>
      </c>
      <c r="AD693" t="s">
        <v>290</v>
      </c>
      <c r="AE693" s="702">
        <f t="shared" si="50"/>
        <v>43617</v>
      </c>
      <c r="AF693" s="289">
        <v>29384.5220304514</v>
      </c>
      <c r="AG693">
        <f t="shared" si="51"/>
        <v>360</v>
      </c>
      <c r="AH693" s="289">
        <f t="shared" si="52"/>
        <v>81.623672306809439</v>
      </c>
      <c r="AJ693" s="289">
        <f t="shared" si="53"/>
        <v>42</v>
      </c>
      <c r="AK693" s="289">
        <f t="shared" si="54"/>
        <v>3428.1942368859964</v>
      </c>
    </row>
    <row r="694" spans="1:37">
      <c r="A694" s="703" t="s">
        <v>1676</v>
      </c>
      <c r="B694" s="703" t="s">
        <v>1606</v>
      </c>
      <c r="C694" s="703" t="s">
        <v>332</v>
      </c>
      <c r="D694" s="703" t="s">
        <v>333</v>
      </c>
      <c r="E694" s="703" t="s">
        <v>334</v>
      </c>
      <c r="F694" s="703" t="s">
        <v>335</v>
      </c>
      <c r="G694" s="703" t="s">
        <v>1677</v>
      </c>
      <c r="H694" s="703" t="s">
        <v>334</v>
      </c>
      <c r="I694" s="703" t="s">
        <v>334</v>
      </c>
      <c r="J694" s="703" t="s">
        <v>337</v>
      </c>
      <c r="K694" s="704">
        <v>0</v>
      </c>
      <c r="L694" s="703" t="s">
        <v>334</v>
      </c>
      <c r="M694" s="702">
        <v>42063</v>
      </c>
      <c r="N694" s="702">
        <v>43482</v>
      </c>
      <c r="O694" s="703" t="s">
        <v>338</v>
      </c>
      <c r="P694" s="20">
        <v>3550.26</v>
      </c>
      <c r="Q694" s="20">
        <v>0</v>
      </c>
      <c r="R694" s="20">
        <v>0</v>
      </c>
      <c r="S694" s="20">
        <v>0</v>
      </c>
      <c r="T694" s="20">
        <v>3550.26</v>
      </c>
      <c r="U694" s="20">
        <v>3205.1</v>
      </c>
      <c r="V694" s="20">
        <v>-345.16</v>
      </c>
      <c r="W694" s="20">
        <v>-463.5</v>
      </c>
      <c r="X694" s="20">
        <v>-118.34</v>
      </c>
      <c r="Y694" s="20">
        <v>0</v>
      </c>
      <c r="Z694" s="20">
        <v>0</v>
      </c>
      <c r="AA694" s="20">
        <v>0</v>
      </c>
      <c r="AB694" s="20">
        <v>3086.76</v>
      </c>
      <c r="AC694" t="s">
        <v>183</v>
      </c>
      <c r="AD694" t="s">
        <v>290</v>
      </c>
      <c r="AE694" s="702">
        <f t="shared" si="50"/>
        <v>43617</v>
      </c>
      <c r="AF694" s="289">
        <v>5524.890396557963</v>
      </c>
      <c r="AG694">
        <f t="shared" si="51"/>
        <v>360</v>
      </c>
      <c r="AH694" s="289">
        <f t="shared" si="52"/>
        <v>15.346917768216564</v>
      </c>
      <c r="AJ694" s="289">
        <f t="shared" si="53"/>
        <v>42</v>
      </c>
      <c r="AK694" s="289">
        <f t="shared" si="54"/>
        <v>644.57054626509569</v>
      </c>
    </row>
    <row r="695" spans="1:37">
      <c r="A695" s="703" t="s">
        <v>1678</v>
      </c>
      <c r="B695" s="703" t="s">
        <v>1606</v>
      </c>
      <c r="C695" s="703" t="s">
        <v>332</v>
      </c>
      <c r="D695" s="703" t="s">
        <v>333</v>
      </c>
      <c r="E695" s="703" t="s">
        <v>334</v>
      </c>
      <c r="F695" s="703" t="s">
        <v>335</v>
      </c>
      <c r="G695" s="703" t="s">
        <v>1679</v>
      </c>
      <c r="H695" s="703" t="s">
        <v>334</v>
      </c>
      <c r="I695" s="703" t="s">
        <v>334</v>
      </c>
      <c r="J695" s="703" t="s">
        <v>337</v>
      </c>
      <c r="K695" s="704">
        <v>0</v>
      </c>
      <c r="L695" s="703" t="s">
        <v>334</v>
      </c>
      <c r="M695" s="702">
        <v>39478</v>
      </c>
      <c r="N695" s="702">
        <v>43482</v>
      </c>
      <c r="O695" s="703" t="s">
        <v>338</v>
      </c>
      <c r="P695" s="20">
        <v>18527.97</v>
      </c>
      <c r="Q695" s="20">
        <v>0</v>
      </c>
      <c r="R695" s="20">
        <v>0</v>
      </c>
      <c r="S695" s="20">
        <v>0</v>
      </c>
      <c r="T695" s="20">
        <v>18527.97</v>
      </c>
      <c r="U695" s="20">
        <v>16726.64</v>
      </c>
      <c r="V695" s="20">
        <v>-1801.33</v>
      </c>
      <c r="W695" s="20">
        <v>-2418.9299999999998</v>
      </c>
      <c r="X695" s="20">
        <v>-617.6</v>
      </c>
      <c r="Y695" s="20">
        <v>0</v>
      </c>
      <c r="Z695" s="20">
        <v>0</v>
      </c>
      <c r="AA695" s="20">
        <v>0</v>
      </c>
      <c r="AB695" s="20">
        <v>16109.04</v>
      </c>
      <c r="AC695" t="s">
        <v>183</v>
      </c>
      <c r="AD695" t="s">
        <v>290</v>
      </c>
      <c r="AE695" s="702">
        <f t="shared" si="50"/>
        <v>43617</v>
      </c>
      <c r="AF695" s="289">
        <v>28833.100539316565</v>
      </c>
      <c r="AG695">
        <f t="shared" si="51"/>
        <v>360</v>
      </c>
      <c r="AH695" s="289">
        <f t="shared" si="52"/>
        <v>80.091945942546019</v>
      </c>
      <c r="AJ695" s="289">
        <f t="shared" si="53"/>
        <v>42</v>
      </c>
      <c r="AK695" s="289">
        <f t="shared" si="54"/>
        <v>3363.8617295869326</v>
      </c>
    </row>
    <row r="696" spans="1:37">
      <c r="A696" s="703" t="s">
        <v>1680</v>
      </c>
      <c r="B696" s="703" t="s">
        <v>1606</v>
      </c>
      <c r="C696" s="703" t="s">
        <v>332</v>
      </c>
      <c r="D696" s="703" t="s">
        <v>333</v>
      </c>
      <c r="E696" s="703" t="s">
        <v>334</v>
      </c>
      <c r="F696" s="703" t="s">
        <v>335</v>
      </c>
      <c r="G696" s="703" t="s">
        <v>1681</v>
      </c>
      <c r="H696" s="703" t="s">
        <v>334</v>
      </c>
      <c r="I696" s="703" t="s">
        <v>334</v>
      </c>
      <c r="J696" s="703" t="s">
        <v>337</v>
      </c>
      <c r="K696" s="704">
        <v>0</v>
      </c>
      <c r="L696" s="703" t="s">
        <v>334</v>
      </c>
      <c r="M696" s="702">
        <v>42613</v>
      </c>
      <c r="N696" s="702">
        <v>43482</v>
      </c>
      <c r="O696" s="703" t="s">
        <v>338</v>
      </c>
      <c r="P696" s="20">
        <v>1545534.02</v>
      </c>
      <c r="Q696" s="20">
        <v>0</v>
      </c>
      <c r="R696" s="20">
        <v>0</v>
      </c>
      <c r="S696" s="20">
        <v>0</v>
      </c>
      <c r="T696" s="20">
        <v>1545534.02</v>
      </c>
      <c r="U696" s="20">
        <v>1395273.77</v>
      </c>
      <c r="V696" s="20">
        <v>-150260.25</v>
      </c>
      <c r="W696" s="20">
        <v>-201778.05</v>
      </c>
      <c r="X696" s="20">
        <v>-51517.8</v>
      </c>
      <c r="Y696" s="20">
        <v>0</v>
      </c>
      <c r="Z696" s="20">
        <v>0</v>
      </c>
      <c r="AA696" s="20">
        <v>0</v>
      </c>
      <c r="AB696" s="20">
        <v>1343755.97</v>
      </c>
      <c r="AC696" t="s">
        <v>183</v>
      </c>
      <c r="AD696" t="s">
        <v>290</v>
      </c>
      <c r="AE696" s="702">
        <f t="shared" si="50"/>
        <v>43617</v>
      </c>
      <c r="AF696" s="289">
        <v>2405149.5002201591</v>
      </c>
      <c r="AG696">
        <f t="shared" si="51"/>
        <v>360</v>
      </c>
      <c r="AH696" s="289">
        <f t="shared" si="52"/>
        <v>6680.9708339448862</v>
      </c>
      <c r="AJ696" s="289">
        <f t="shared" si="53"/>
        <v>42</v>
      </c>
      <c r="AK696" s="289">
        <f t="shared" si="54"/>
        <v>280600.7750256852</v>
      </c>
    </row>
    <row r="697" spans="1:37">
      <c r="A697" s="703" t="s">
        <v>1682</v>
      </c>
      <c r="B697" s="703" t="s">
        <v>1606</v>
      </c>
      <c r="C697" s="703" t="s">
        <v>332</v>
      </c>
      <c r="D697" s="703" t="s">
        <v>333</v>
      </c>
      <c r="E697" s="703" t="s">
        <v>334</v>
      </c>
      <c r="F697" s="703" t="s">
        <v>335</v>
      </c>
      <c r="G697" s="703" t="s">
        <v>1683</v>
      </c>
      <c r="H697" s="703" t="s">
        <v>334</v>
      </c>
      <c r="I697" s="703" t="s">
        <v>334</v>
      </c>
      <c r="J697" s="703" t="s">
        <v>337</v>
      </c>
      <c r="K697" s="704">
        <v>0</v>
      </c>
      <c r="L697" s="703" t="s">
        <v>334</v>
      </c>
      <c r="M697" s="702">
        <v>42063</v>
      </c>
      <c r="N697" s="702">
        <v>43482</v>
      </c>
      <c r="O697" s="703" t="s">
        <v>338</v>
      </c>
      <c r="P697" s="20">
        <v>26870.240000000002</v>
      </c>
      <c r="Q697" s="20">
        <v>0</v>
      </c>
      <c r="R697" s="20">
        <v>0</v>
      </c>
      <c r="S697" s="20">
        <v>0</v>
      </c>
      <c r="T697" s="20">
        <v>26870.240000000002</v>
      </c>
      <c r="U697" s="20">
        <v>24257.86</v>
      </c>
      <c r="V697" s="20">
        <v>-2612.38</v>
      </c>
      <c r="W697" s="20">
        <v>-3508.05</v>
      </c>
      <c r="X697" s="20">
        <v>-895.67</v>
      </c>
      <c r="Y697" s="20">
        <v>0</v>
      </c>
      <c r="Z697" s="20">
        <v>0</v>
      </c>
      <c r="AA697" s="20">
        <v>0</v>
      </c>
      <c r="AB697" s="20">
        <v>23362.19</v>
      </c>
      <c r="AC697" t="s">
        <v>183</v>
      </c>
      <c r="AD697" t="s">
        <v>290</v>
      </c>
      <c r="AE697" s="702">
        <f t="shared" si="50"/>
        <v>43617</v>
      </c>
      <c r="AF697" s="289">
        <v>41815.28421276404</v>
      </c>
      <c r="AG697">
        <f t="shared" si="51"/>
        <v>360</v>
      </c>
      <c r="AH697" s="289">
        <f t="shared" si="52"/>
        <v>116.15356725767789</v>
      </c>
      <c r="AJ697" s="289">
        <f t="shared" si="53"/>
        <v>42</v>
      </c>
      <c r="AK697" s="289">
        <f t="shared" si="54"/>
        <v>4878.4498248224718</v>
      </c>
    </row>
    <row r="698" spans="1:37">
      <c r="A698" s="703" t="s">
        <v>1684</v>
      </c>
      <c r="B698" s="703" t="s">
        <v>1606</v>
      </c>
      <c r="C698" s="703" t="s">
        <v>332</v>
      </c>
      <c r="D698" s="703" t="s">
        <v>333</v>
      </c>
      <c r="E698" s="703" t="s">
        <v>334</v>
      </c>
      <c r="F698" s="703" t="s">
        <v>335</v>
      </c>
      <c r="G698" s="703" t="s">
        <v>1685</v>
      </c>
      <c r="H698" s="703" t="s">
        <v>334</v>
      </c>
      <c r="I698" s="703" t="s">
        <v>334</v>
      </c>
      <c r="J698" s="703" t="s">
        <v>337</v>
      </c>
      <c r="K698" s="704">
        <v>0</v>
      </c>
      <c r="L698" s="703" t="s">
        <v>334</v>
      </c>
      <c r="M698" s="702">
        <v>39478</v>
      </c>
      <c r="N698" s="702">
        <v>43482</v>
      </c>
      <c r="O698" s="703" t="s">
        <v>338</v>
      </c>
      <c r="P698" s="20">
        <v>6767.08</v>
      </c>
      <c r="Q698" s="20">
        <v>0</v>
      </c>
      <c r="R698" s="20">
        <v>0</v>
      </c>
      <c r="S698" s="20">
        <v>0</v>
      </c>
      <c r="T698" s="20">
        <v>6767.08</v>
      </c>
      <c r="U698" s="20">
        <v>6109.17</v>
      </c>
      <c r="V698" s="20">
        <v>-657.91</v>
      </c>
      <c r="W698" s="20">
        <v>-883.48</v>
      </c>
      <c r="X698" s="20">
        <v>-225.57</v>
      </c>
      <c r="Y698" s="20">
        <v>0</v>
      </c>
      <c r="Z698" s="20">
        <v>0</v>
      </c>
      <c r="AA698" s="20">
        <v>0</v>
      </c>
      <c r="AB698" s="20">
        <v>5883.6</v>
      </c>
      <c r="AC698" t="s">
        <v>183</v>
      </c>
      <c r="AD698" t="s">
        <v>290</v>
      </c>
      <c r="AE698" s="702">
        <f t="shared" si="50"/>
        <v>43617</v>
      </c>
      <c r="AF698" s="289">
        <v>10530.883739427381</v>
      </c>
      <c r="AG698">
        <f t="shared" si="51"/>
        <v>360</v>
      </c>
      <c r="AH698" s="289">
        <f t="shared" si="52"/>
        <v>29.252454831742725</v>
      </c>
      <c r="AJ698" s="289">
        <f t="shared" si="53"/>
        <v>42</v>
      </c>
      <c r="AK698" s="289">
        <f t="shared" si="54"/>
        <v>1228.6031029331944</v>
      </c>
    </row>
    <row r="699" spans="1:37">
      <c r="A699" s="703" t="s">
        <v>1686</v>
      </c>
      <c r="B699" s="703" t="s">
        <v>1606</v>
      </c>
      <c r="C699" s="703" t="s">
        <v>332</v>
      </c>
      <c r="D699" s="703" t="s">
        <v>333</v>
      </c>
      <c r="E699" s="703" t="s">
        <v>334</v>
      </c>
      <c r="F699" s="703" t="s">
        <v>335</v>
      </c>
      <c r="G699" s="703" t="s">
        <v>1687</v>
      </c>
      <c r="H699" s="703" t="s">
        <v>334</v>
      </c>
      <c r="I699" s="703" t="s">
        <v>334</v>
      </c>
      <c r="J699" s="703" t="s">
        <v>337</v>
      </c>
      <c r="K699" s="704">
        <v>0</v>
      </c>
      <c r="L699" s="703" t="s">
        <v>334</v>
      </c>
      <c r="M699" s="702">
        <v>42063</v>
      </c>
      <c r="N699" s="702">
        <v>43482</v>
      </c>
      <c r="O699" s="703" t="s">
        <v>338</v>
      </c>
      <c r="P699" s="20">
        <v>10495.39</v>
      </c>
      <c r="Q699" s="20">
        <v>0</v>
      </c>
      <c r="R699" s="20">
        <v>0</v>
      </c>
      <c r="S699" s="20">
        <v>0</v>
      </c>
      <c r="T699" s="20">
        <v>10495.39</v>
      </c>
      <c r="U699" s="20">
        <v>9475</v>
      </c>
      <c r="V699" s="20">
        <v>-1020.39</v>
      </c>
      <c r="W699" s="20">
        <v>-1370.24</v>
      </c>
      <c r="X699" s="20">
        <v>-349.85</v>
      </c>
      <c r="Y699" s="20">
        <v>0</v>
      </c>
      <c r="Z699" s="20">
        <v>0</v>
      </c>
      <c r="AA699" s="20">
        <v>0</v>
      </c>
      <c r="AB699" s="20">
        <v>9125.15</v>
      </c>
      <c r="AC699" t="s">
        <v>183</v>
      </c>
      <c r="AD699" t="s">
        <v>290</v>
      </c>
      <c r="AE699" s="702">
        <f t="shared" si="50"/>
        <v>43617</v>
      </c>
      <c r="AF699" s="289">
        <v>16332.854331550499</v>
      </c>
      <c r="AG699">
        <f t="shared" si="51"/>
        <v>360</v>
      </c>
      <c r="AH699" s="289">
        <f t="shared" si="52"/>
        <v>45.3690398098625</v>
      </c>
      <c r="AJ699" s="289">
        <f t="shared" si="53"/>
        <v>42</v>
      </c>
      <c r="AK699" s="289">
        <f t="shared" si="54"/>
        <v>1905.4996720142249</v>
      </c>
    </row>
    <row r="700" spans="1:37">
      <c r="A700" s="703" t="s">
        <v>1688</v>
      </c>
      <c r="B700" s="703" t="s">
        <v>1606</v>
      </c>
      <c r="C700" s="703" t="s">
        <v>332</v>
      </c>
      <c r="D700" s="703" t="s">
        <v>333</v>
      </c>
      <c r="E700" s="703" t="s">
        <v>334</v>
      </c>
      <c r="F700" s="703" t="s">
        <v>335</v>
      </c>
      <c r="G700" s="703" t="s">
        <v>1689</v>
      </c>
      <c r="H700" s="703" t="s">
        <v>334</v>
      </c>
      <c r="I700" s="703" t="s">
        <v>334</v>
      </c>
      <c r="J700" s="703" t="s">
        <v>337</v>
      </c>
      <c r="K700" s="704">
        <v>0</v>
      </c>
      <c r="L700" s="703" t="s">
        <v>334</v>
      </c>
      <c r="M700" s="702">
        <v>42063</v>
      </c>
      <c r="N700" s="702">
        <v>43482</v>
      </c>
      <c r="O700" s="703" t="s">
        <v>338</v>
      </c>
      <c r="P700" s="20">
        <v>0</v>
      </c>
      <c r="Q700" s="20">
        <v>0</v>
      </c>
      <c r="R700" s="20">
        <v>0</v>
      </c>
      <c r="S700" s="20">
        <v>0</v>
      </c>
      <c r="T700" s="20">
        <v>0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0</v>
      </c>
      <c r="AA700" s="20">
        <v>0</v>
      </c>
      <c r="AB700" s="20">
        <v>0</v>
      </c>
      <c r="AC700" t="s">
        <v>183</v>
      </c>
      <c r="AD700" t="s">
        <v>290</v>
      </c>
      <c r="AE700" s="702">
        <f t="shared" si="50"/>
        <v>43617</v>
      </c>
      <c r="AF700" s="289">
        <v>0</v>
      </c>
      <c r="AG700">
        <f t="shared" si="51"/>
        <v>360</v>
      </c>
      <c r="AH700" s="289">
        <f t="shared" si="52"/>
        <v>0</v>
      </c>
      <c r="AJ700" s="289">
        <f t="shared" si="53"/>
        <v>42</v>
      </c>
      <c r="AK700" s="289">
        <f t="shared" si="54"/>
        <v>0</v>
      </c>
    </row>
    <row r="701" spans="1:37">
      <c r="A701" s="703" t="s">
        <v>1690</v>
      </c>
      <c r="B701" s="703" t="s">
        <v>1606</v>
      </c>
      <c r="C701" s="703" t="s">
        <v>332</v>
      </c>
      <c r="D701" s="703" t="s">
        <v>333</v>
      </c>
      <c r="E701" s="703" t="s">
        <v>334</v>
      </c>
      <c r="F701" s="703" t="s">
        <v>335</v>
      </c>
      <c r="G701" s="703" t="s">
        <v>1691</v>
      </c>
      <c r="H701" s="703" t="s">
        <v>334</v>
      </c>
      <c r="I701" s="703" t="s">
        <v>334</v>
      </c>
      <c r="J701" s="703" t="s">
        <v>337</v>
      </c>
      <c r="K701" s="704">
        <v>0</v>
      </c>
      <c r="L701" s="703" t="s">
        <v>334</v>
      </c>
      <c r="M701" s="702">
        <v>42613</v>
      </c>
      <c r="N701" s="702">
        <v>43482</v>
      </c>
      <c r="O701" s="703" t="s">
        <v>338</v>
      </c>
      <c r="P701" s="20">
        <v>515770.97</v>
      </c>
      <c r="Q701" s="20">
        <v>0</v>
      </c>
      <c r="R701" s="20">
        <v>0</v>
      </c>
      <c r="S701" s="20">
        <v>0</v>
      </c>
      <c r="T701" s="20">
        <v>515770.97</v>
      </c>
      <c r="U701" s="20">
        <v>465626.56</v>
      </c>
      <c r="V701" s="20">
        <v>-50144.41</v>
      </c>
      <c r="W701" s="20">
        <v>-67336.78</v>
      </c>
      <c r="X701" s="20">
        <v>-17192.37</v>
      </c>
      <c r="Y701" s="20">
        <v>0</v>
      </c>
      <c r="Z701" s="20">
        <v>0</v>
      </c>
      <c r="AA701" s="20">
        <v>0</v>
      </c>
      <c r="AB701" s="20">
        <v>448434.19</v>
      </c>
      <c r="AC701" t="s">
        <v>183</v>
      </c>
      <c r="AD701" t="s">
        <v>290</v>
      </c>
      <c r="AE701" s="702">
        <f t="shared" si="50"/>
        <v>43617</v>
      </c>
      <c r="AF701" s="289">
        <v>802639.26556826395</v>
      </c>
      <c r="AG701">
        <f t="shared" si="51"/>
        <v>360</v>
      </c>
      <c r="AH701" s="289">
        <f t="shared" si="52"/>
        <v>2229.5535154673998</v>
      </c>
      <c r="AJ701" s="289">
        <f t="shared" si="53"/>
        <v>42</v>
      </c>
      <c r="AK701" s="289">
        <f t="shared" si="54"/>
        <v>93641.247649630794</v>
      </c>
    </row>
    <row r="702" spans="1:37">
      <c r="A702" s="703" t="s">
        <v>1692</v>
      </c>
      <c r="B702" s="703" t="s">
        <v>1606</v>
      </c>
      <c r="C702" s="703" t="s">
        <v>332</v>
      </c>
      <c r="D702" s="703" t="s">
        <v>333</v>
      </c>
      <c r="E702" s="703" t="s">
        <v>334</v>
      </c>
      <c r="F702" s="703" t="s">
        <v>335</v>
      </c>
      <c r="G702" s="703" t="s">
        <v>1693</v>
      </c>
      <c r="H702" s="703" t="s">
        <v>334</v>
      </c>
      <c r="I702" s="703" t="s">
        <v>334</v>
      </c>
      <c r="J702" s="703" t="s">
        <v>337</v>
      </c>
      <c r="K702" s="704">
        <v>0</v>
      </c>
      <c r="L702" s="703" t="s">
        <v>334</v>
      </c>
      <c r="M702" s="702">
        <v>43465</v>
      </c>
      <c r="N702" s="702">
        <v>43482</v>
      </c>
      <c r="O702" s="703" t="s">
        <v>338</v>
      </c>
      <c r="P702" s="20">
        <v>7277.44</v>
      </c>
      <c r="Q702" s="20">
        <v>0</v>
      </c>
      <c r="R702" s="20">
        <v>0</v>
      </c>
      <c r="S702" s="20">
        <v>0</v>
      </c>
      <c r="T702" s="20">
        <v>7277.44</v>
      </c>
      <c r="U702" s="20">
        <v>6569.91</v>
      </c>
      <c r="V702" s="20">
        <v>-707.53</v>
      </c>
      <c r="W702" s="20">
        <v>-950.11</v>
      </c>
      <c r="X702" s="20">
        <v>-242.58</v>
      </c>
      <c r="Y702" s="20">
        <v>0</v>
      </c>
      <c r="Z702" s="20">
        <v>0</v>
      </c>
      <c r="AA702" s="20">
        <v>0</v>
      </c>
      <c r="AB702" s="20">
        <v>6327.33</v>
      </c>
      <c r="AC702" t="s">
        <v>183</v>
      </c>
      <c r="AD702" t="s">
        <v>290</v>
      </c>
      <c r="AE702" s="702">
        <f t="shared" si="50"/>
        <v>43617</v>
      </c>
      <c r="AF702" s="289">
        <v>11325.102490388528</v>
      </c>
      <c r="AG702">
        <f t="shared" si="51"/>
        <v>360</v>
      </c>
      <c r="AH702" s="289">
        <f t="shared" si="52"/>
        <v>31.458618028857021</v>
      </c>
      <c r="AJ702" s="289">
        <f t="shared" si="53"/>
        <v>42</v>
      </c>
      <c r="AK702" s="289">
        <f t="shared" si="54"/>
        <v>1321.261957211995</v>
      </c>
    </row>
    <row r="703" spans="1:37">
      <c r="A703" s="703" t="s">
        <v>1694</v>
      </c>
      <c r="B703" s="703" t="s">
        <v>1606</v>
      </c>
      <c r="C703" s="703" t="s">
        <v>390</v>
      </c>
      <c r="D703" s="703" t="s">
        <v>391</v>
      </c>
      <c r="E703" s="703" t="s">
        <v>334</v>
      </c>
      <c r="F703" s="703" t="s">
        <v>335</v>
      </c>
      <c r="G703" s="703" t="s">
        <v>1695</v>
      </c>
      <c r="H703" s="703" t="s">
        <v>334</v>
      </c>
      <c r="I703" s="703" t="s">
        <v>334</v>
      </c>
      <c r="J703" s="703" t="s">
        <v>337</v>
      </c>
      <c r="K703" s="704">
        <v>0</v>
      </c>
      <c r="L703" s="703" t="s">
        <v>334</v>
      </c>
      <c r="M703" s="702">
        <v>42886</v>
      </c>
      <c r="N703" s="702">
        <v>43482</v>
      </c>
      <c r="O703" s="703" t="s">
        <v>338</v>
      </c>
      <c r="P703" s="20">
        <v>31492.1</v>
      </c>
      <c r="Q703" s="20">
        <v>0</v>
      </c>
      <c r="R703" s="20">
        <v>0</v>
      </c>
      <c r="S703" s="20">
        <v>0</v>
      </c>
      <c r="T703" s="20">
        <v>31492.1</v>
      </c>
      <c r="U703" s="20">
        <v>28430.36</v>
      </c>
      <c r="V703" s="20">
        <v>-3061.74</v>
      </c>
      <c r="W703" s="20">
        <v>-4111.4799999999996</v>
      </c>
      <c r="X703" s="20">
        <v>-1049.74</v>
      </c>
      <c r="Y703" s="20">
        <v>0</v>
      </c>
      <c r="Z703" s="20">
        <v>0</v>
      </c>
      <c r="AA703" s="20">
        <v>0</v>
      </c>
      <c r="AB703" s="20">
        <v>27380.62</v>
      </c>
      <c r="AC703" t="s">
        <v>188</v>
      </c>
      <c r="AD703" t="s">
        <v>290</v>
      </c>
      <c r="AE703" s="702">
        <f t="shared" si="50"/>
        <v>43617</v>
      </c>
      <c r="AF703" s="289">
        <v>49007.791220204432</v>
      </c>
      <c r="AG703">
        <f t="shared" si="51"/>
        <v>360</v>
      </c>
      <c r="AH703" s="289">
        <f t="shared" si="52"/>
        <v>136.13275338945675</v>
      </c>
      <c r="AJ703" s="289">
        <f t="shared" si="53"/>
        <v>42</v>
      </c>
      <c r="AK703" s="289">
        <f t="shared" si="54"/>
        <v>5717.5756423571838</v>
      </c>
    </row>
    <row r="704" spans="1:37">
      <c r="A704" s="703" t="s">
        <v>1696</v>
      </c>
      <c r="B704" s="703" t="s">
        <v>1606</v>
      </c>
      <c r="C704" s="703" t="s">
        <v>390</v>
      </c>
      <c r="D704" s="703" t="s">
        <v>391</v>
      </c>
      <c r="E704" s="703" t="s">
        <v>334</v>
      </c>
      <c r="F704" s="703" t="s">
        <v>335</v>
      </c>
      <c r="G704" s="703" t="s">
        <v>1697</v>
      </c>
      <c r="H704" s="703" t="s">
        <v>334</v>
      </c>
      <c r="I704" s="703" t="s">
        <v>334</v>
      </c>
      <c r="J704" s="703" t="s">
        <v>337</v>
      </c>
      <c r="K704" s="704">
        <v>0</v>
      </c>
      <c r="L704" s="703" t="s">
        <v>334</v>
      </c>
      <c r="M704" s="702">
        <v>42886</v>
      </c>
      <c r="N704" s="702">
        <v>43482</v>
      </c>
      <c r="O704" s="703" t="s">
        <v>338</v>
      </c>
      <c r="P704" s="20">
        <v>5795</v>
      </c>
      <c r="Q704" s="20">
        <v>0</v>
      </c>
      <c r="R704" s="20">
        <v>0</v>
      </c>
      <c r="S704" s="20">
        <v>0</v>
      </c>
      <c r="T704" s="20">
        <v>5795</v>
      </c>
      <c r="U704" s="20">
        <v>5231.59</v>
      </c>
      <c r="V704" s="20">
        <v>-563.41</v>
      </c>
      <c r="W704" s="20">
        <v>-756.58</v>
      </c>
      <c r="X704" s="20">
        <v>-193.17</v>
      </c>
      <c r="Y704" s="20">
        <v>0</v>
      </c>
      <c r="Z704" s="20">
        <v>0</v>
      </c>
      <c r="AA704" s="20">
        <v>0</v>
      </c>
      <c r="AB704" s="20">
        <v>5038.42</v>
      </c>
      <c r="AC704" t="s">
        <v>188</v>
      </c>
      <c r="AD704" t="s">
        <v>290</v>
      </c>
      <c r="AE704" s="702">
        <f t="shared" si="50"/>
        <v>43617</v>
      </c>
      <c r="AF704" s="289">
        <v>9018.139473743724</v>
      </c>
      <c r="AG704">
        <f t="shared" si="51"/>
        <v>360</v>
      </c>
      <c r="AH704" s="289">
        <f t="shared" si="52"/>
        <v>25.0503874270659</v>
      </c>
      <c r="AJ704" s="289">
        <f t="shared" si="53"/>
        <v>42</v>
      </c>
      <c r="AK704" s="289">
        <f t="shared" si="54"/>
        <v>1052.1162719367678</v>
      </c>
    </row>
    <row r="705" spans="1:37">
      <c r="A705" s="703" t="s">
        <v>1698</v>
      </c>
      <c r="B705" s="703" t="s">
        <v>1606</v>
      </c>
      <c r="C705" s="703" t="s">
        <v>390</v>
      </c>
      <c r="D705" s="703" t="s">
        <v>391</v>
      </c>
      <c r="E705" s="703" t="s">
        <v>334</v>
      </c>
      <c r="F705" s="703" t="s">
        <v>335</v>
      </c>
      <c r="G705" s="703" t="s">
        <v>1699</v>
      </c>
      <c r="H705" s="703" t="s">
        <v>334</v>
      </c>
      <c r="I705" s="703" t="s">
        <v>334</v>
      </c>
      <c r="J705" s="703" t="s">
        <v>337</v>
      </c>
      <c r="K705" s="704">
        <v>0</v>
      </c>
      <c r="L705" s="703" t="s">
        <v>334</v>
      </c>
      <c r="M705" s="702">
        <v>42886</v>
      </c>
      <c r="N705" s="702">
        <v>43482</v>
      </c>
      <c r="O705" s="703" t="s">
        <v>338</v>
      </c>
      <c r="P705" s="20">
        <v>4226.5200000000004</v>
      </c>
      <c r="Q705" s="20">
        <v>0</v>
      </c>
      <c r="R705" s="20">
        <v>0</v>
      </c>
      <c r="S705" s="20">
        <v>0</v>
      </c>
      <c r="T705" s="20">
        <v>4226.5200000000004</v>
      </c>
      <c r="U705" s="20">
        <v>3815.62</v>
      </c>
      <c r="V705" s="20">
        <v>-410.9</v>
      </c>
      <c r="W705" s="20">
        <v>-551.78</v>
      </c>
      <c r="X705" s="20">
        <v>-140.88</v>
      </c>
      <c r="Y705" s="20">
        <v>0</v>
      </c>
      <c r="Z705" s="20">
        <v>0</v>
      </c>
      <c r="AA705" s="20">
        <v>0</v>
      </c>
      <c r="AB705" s="20">
        <v>3674.74</v>
      </c>
      <c r="AC705" t="s">
        <v>188</v>
      </c>
      <c r="AD705" t="s">
        <v>290</v>
      </c>
      <c r="AE705" s="702">
        <f t="shared" si="50"/>
        <v>43617</v>
      </c>
      <c r="AF705" s="289">
        <v>6577.2815959563986</v>
      </c>
      <c r="AG705">
        <f t="shared" si="51"/>
        <v>360</v>
      </c>
      <c r="AH705" s="289">
        <f t="shared" si="52"/>
        <v>18.270226655434442</v>
      </c>
      <c r="AJ705" s="289">
        <f t="shared" si="53"/>
        <v>42</v>
      </c>
      <c r="AK705" s="289">
        <f t="shared" si="54"/>
        <v>767.34951952824656</v>
      </c>
    </row>
    <row r="706" spans="1:37">
      <c r="A706" s="703" t="s">
        <v>1700</v>
      </c>
      <c r="B706" s="703" t="s">
        <v>1606</v>
      </c>
      <c r="C706" s="703" t="s">
        <v>390</v>
      </c>
      <c r="D706" s="703" t="s">
        <v>391</v>
      </c>
      <c r="E706" s="703" t="s">
        <v>334</v>
      </c>
      <c r="F706" s="703" t="s">
        <v>335</v>
      </c>
      <c r="G706" s="703" t="s">
        <v>1701</v>
      </c>
      <c r="H706" s="703" t="s">
        <v>334</v>
      </c>
      <c r="I706" s="703" t="s">
        <v>334</v>
      </c>
      <c r="J706" s="703" t="s">
        <v>337</v>
      </c>
      <c r="K706" s="704">
        <v>0</v>
      </c>
      <c r="L706" s="703" t="s">
        <v>334</v>
      </c>
      <c r="M706" s="702">
        <v>42886</v>
      </c>
      <c r="N706" s="702">
        <v>43482</v>
      </c>
      <c r="O706" s="703" t="s">
        <v>338</v>
      </c>
      <c r="P706" s="20">
        <v>7235.09</v>
      </c>
      <c r="Q706" s="20">
        <v>0</v>
      </c>
      <c r="R706" s="20">
        <v>0</v>
      </c>
      <c r="S706" s="20">
        <v>0</v>
      </c>
      <c r="T706" s="20">
        <v>7235.09</v>
      </c>
      <c r="U706" s="20">
        <v>6531.68</v>
      </c>
      <c r="V706" s="20">
        <v>-703.41</v>
      </c>
      <c r="W706" s="20">
        <v>-944.58</v>
      </c>
      <c r="X706" s="20">
        <v>-241.17</v>
      </c>
      <c r="Y706" s="20">
        <v>0</v>
      </c>
      <c r="Z706" s="20">
        <v>0</v>
      </c>
      <c r="AA706" s="20">
        <v>0</v>
      </c>
      <c r="AB706" s="20">
        <v>6290.51</v>
      </c>
      <c r="AC706" t="s">
        <v>188</v>
      </c>
      <c r="AD706" t="s">
        <v>290</v>
      </c>
      <c r="AE706" s="702">
        <f t="shared" si="50"/>
        <v>43617</v>
      </c>
      <c r="AF706" s="289">
        <v>11259.197709247366</v>
      </c>
      <c r="AG706">
        <f t="shared" si="51"/>
        <v>360</v>
      </c>
      <c r="AH706" s="289">
        <f t="shared" si="52"/>
        <v>31.275549192353797</v>
      </c>
      <c r="AJ706" s="289">
        <f t="shared" si="53"/>
        <v>42</v>
      </c>
      <c r="AK706" s="289">
        <f t="shared" si="54"/>
        <v>1313.5730660788595</v>
      </c>
    </row>
    <row r="707" spans="1:37">
      <c r="A707" s="703" t="s">
        <v>1702</v>
      </c>
      <c r="B707" s="703" t="s">
        <v>1606</v>
      </c>
      <c r="C707" s="703" t="s">
        <v>390</v>
      </c>
      <c r="D707" s="703" t="s">
        <v>391</v>
      </c>
      <c r="E707" s="703" t="s">
        <v>334</v>
      </c>
      <c r="F707" s="703" t="s">
        <v>335</v>
      </c>
      <c r="G707" s="703" t="s">
        <v>1703</v>
      </c>
      <c r="H707" s="703" t="s">
        <v>334</v>
      </c>
      <c r="I707" s="703" t="s">
        <v>334</v>
      </c>
      <c r="J707" s="703" t="s">
        <v>337</v>
      </c>
      <c r="K707" s="704">
        <v>0</v>
      </c>
      <c r="L707" s="703" t="s">
        <v>334</v>
      </c>
      <c r="M707" s="702">
        <v>42886</v>
      </c>
      <c r="N707" s="702">
        <v>43482</v>
      </c>
      <c r="O707" s="703" t="s">
        <v>338</v>
      </c>
      <c r="P707" s="20">
        <v>4067.81</v>
      </c>
      <c r="Q707" s="20">
        <v>0</v>
      </c>
      <c r="R707" s="20">
        <v>0</v>
      </c>
      <c r="S707" s="20">
        <v>0</v>
      </c>
      <c r="T707" s="20">
        <v>4067.81</v>
      </c>
      <c r="U707" s="20">
        <v>3672.34</v>
      </c>
      <c r="V707" s="20">
        <v>-395.47</v>
      </c>
      <c r="W707" s="20">
        <v>-531.05999999999995</v>
      </c>
      <c r="X707" s="20">
        <v>-135.59</v>
      </c>
      <c r="Y707" s="20">
        <v>0</v>
      </c>
      <c r="Z707" s="20">
        <v>0</v>
      </c>
      <c r="AA707" s="20">
        <v>0</v>
      </c>
      <c r="AB707" s="20">
        <v>3536.75</v>
      </c>
      <c r="AC707" t="s">
        <v>188</v>
      </c>
      <c r="AD707" t="s">
        <v>290</v>
      </c>
      <c r="AE707" s="702">
        <f t="shared" si="50"/>
        <v>43617</v>
      </c>
      <c r="AF707" s="289">
        <v>6330.2981764779051</v>
      </c>
      <c r="AG707">
        <f t="shared" si="51"/>
        <v>360</v>
      </c>
      <c r="AH707" s="289">
        <f t="shared" si="52"/>
        <v>17.584161601327516</v>
      </c>
      <c r="AJ707" s="289">
        <f t="shared" si="53"/>
        <v>42</v>
      </c>
      <c r="AK707" s="289">
        <f t="shared" si="54"/>
        <v>738.53478725575565</v>
      </c>
    </row>
    <row r="708" spans="1:37">
      <c r="A708" s="703" t="s">
        <v>1704</v>
      </c>
      <c r="B708" s="703" t="s">
        <v>1606</v>
      </c>
      <c r="C708" s="703" t="s">
        <v>390</v>
      </c>
      <c r="D708" s="703" t="s">
        <v>391</v>
      </c>
      <c r="E708" s="703" t="s">
        <v>334</v>
      </c>
      <c r="F708" s="703" t="s">
        <v>335</v>
      </c>
      <c r="G708" s="703" t="s">
        <v>1705</v>
      </c>
      <c r="H708" s="703" t="s">
        <v>334</v>
      </c>
      <c r="I708" s="703" t="s">
        <v>334</v>
      </c>
      <c r="J708" s="703" t="s">
        <v>337</v>
      </c>
      <c r="K708" s="704">
        <v>0</v>
      </c>
      <c r="L708" s="703" t="s">
        <v>334</v>
      </c>
      <c r="M708" s="702">
        <v>43251</v>
      </c>
      <c r="N708" s="702">
        <v>43482</v>
      </c>
      <c r="O708" s="703" t="s">
        <v>338</v>
      </c>
      <c r="P708" s="20">
        <v>5942.07</v>
      </c>
      <c r="Q708" s="20">
        <v>0</v>
      </c>
      <c r="R708" s="20">
        <v>0</v>
      </c>
      <c r="S708" s="20">
        <v>0</v>
      </c>
      <c r="T708" s="20">
        <v>5942.07</v>
      </c>
      <c r="U708" s="20">
        <v>5364.37</v>
      </c>
      <c r="V708" s="20">
        <v>-577.70000000000005</v>
      </c>
      <c r="W708" s="20">
        <v>-775.77</v>
      </c>
      <c r="X708" s="20">
        <v>-198.07</v>
      </c>
      <c r="Y708" s="20">
        <v>0</v>
      </c>
      <c r="Z708" s="20">
        <v>0</v>
      </c>
      <c r="AA708" s="20">
        <v>0</v>
      </c>
      <c r="AB708" s="20">
        <v>5166.3</v>
      </c>
      <c r="AC708" t="s">
        <v>188</v>
      </c>
      <c r="AD708" t="s">
        <v>290</v>
      </c>
      <c r="AE708" s="702">
        <f t="shared" si="50"/>
        <v>43617</v>
      </c>
      <c r="AF708" s="289">
        <v>9247.0088046157671</v>
      </c>
      <c r="AG708">
        <f t="shared" si="51"/>
        <v>360</v>
      </c>
      <c r="AH708" s="289">
        <f t="shared" si="52"/>
        <v>25.686135568377132</v>
      </c>
      <c r="AJ708" s="289">
        <f t="shared" si="53"/>
        <v>42</v>
      </c>
      <c r="AK708" s="289">
        <f t="shared" si="54"/>
        <v>1078.8176938718395</v>
      </c>
    </row>
    <row r="709" spans="1:37">
      <c r="A709" s="703" t="s">
        <v>1706</v>
      </c>
      <c r="B709" s="703" t="s">
        <v>1606</v>
      </c>
      <c r="C709" s="703" t="s">
        <v>390</v>
      </c>
      <c r="D709" s="703" t="s">
        <v>391</v>
      </c>
      <c r="E709" s="703" t="s">
        <v>334</v>
      </c>
      <c r="F709" s="703" t="s">
        <v>335</v>
      </c>
      <c r="G709" s="703" t="s">
        <v>1707</v>
      </c>
      <c r="H709" s="703" t="s">
        <v>334</v>
      </c>
      <c r="I709" s="703" t="s">
        <v>334</v>
      </c>
      <c r="J709" s="703" t="s">
        <v>337</v>
      </c>
      <c r="K709" s="704">
        <v>0</v>
      </c>
      <c r="L709" s="703" t="s">
        <v>334</v>
      </c>
      <c r="M709" s="702">
        <v>43251</v>
      </c>
      <c r="N709" s="702">
        <v>43482</v>
      </c>
      <c r="O709" s="703" t="s">
        <v>338</v>
      </c>
      <c r="P709" s="20">
        <v>69902.47</v>
      </c>
      <c r="Q709" s="20">
        <v>0</v>
      </c>
      <c r="R709" s="20">
        <v>0</v>
      </c>
      <c r="S709" s="20">
        <v>0</v>
      </c>
      <c r="T709" s="20">
        <v>69902.47</v>
      </c>
      <c r="U709" s="20">
        <v>63277.55</v>
      </c>
      <c r="V709" s="20">
        <v>-6624.92</v>
      </c>
      <c r="W709" s="20">
        <v>-8955</v>
      </c>
      <c r="X709" s="20">
        <v>-2330.08</v>
      </c>
      <c r="Y709" s="20">
        <v>0</v>
      </c>
      <c r="Z709" s="20">
        <v>0</v>
      </c>
      <c r="AA709" s="20">
        <v>0</v>
      </c>
      <c r="AB709" s="20">
        <v>60947.47</v>
      </c>
      <c r="AC709" t="s">
        <v>188</v>
      </c>
      <c r="AD709" t="s">
        <v>290</v>
      </c>
      <c r="AE709" s="702">
        <f t="shared" si="50"/>
        <v>43617</v>
      </c>
      <c r="AF709" s="289">
        <v>108781.74702660683</v>
      </c>
      <c r="AG709">
        <f t="shared" si="51"/>
        <v>360</v>
      </c>
      <c r="AH709" s="289">
        <f t="shared" si="52"/>
        <v>302.17151951835228</v>
      </c>
      <c r="AJ709" s="289">
        <f t="shared" si="53"/>
        <v>42</v>
      </c>
      <c r="AK709" s="289">
        <f t="shared" si="54"/>
        <v>12691.203819770795</v>
      </c>
    </row>
    <row r="710" spans="1:37">
      <c r="A710" s="703" t="s">
        <v>1708</v>
      </c>
      <c r="B710" s="703" t="s">
        <v>1606</v>
      </c>
      <c r="C710" s="703" t="s">
        <v>390</v>
      </c>
      <c r="D710" s="703" t="s">
        <v>391</v>
      </c>
      <c r="E710" s="703" t="s">
        <v>334</v>
      </c>
      <c r="F710" s="703" t="s">
        <v>335</v>
      </c>
      <c r="G710" s="703" t="s">
        <v>1709</v>
      </c>
      <c r="H710" s="703" t="s">
        <v>334</v>
      </c>
      <c r="I710" s="703" t="s">
        <v>334</v>
      </c>
      <c r="J710" s="703" t="s">
        <v>337</v>
      </c>
      <c r="K710" s="704">
        <v>0</v>
      </c>
      <c r="L710" s="703" t="s">
        <v>334</v>
      </c>
      <c r="M710" s="702">
        <v>42886</v>
      </c>
      <c r="N710" s="702">
        <v>43482</v>
      </c>
      <c r="O710" s="703" t="s">
        <v>338</v>
      </c>
      <c r="P710" s="20">
        <v>18910.07</v>
      </c>
      <c r="Q710" s="20">
        <v>0</v>
      </c>
      <c r="R710" s="20">
        <v>0</v>
      </c>
      <c r="S710" s="20">
        <v>0</v>
      </c>
      <c r="T710" s="20">
        <v>18910.07</v>
      </c>
      <c r="U710" s="20">
        <v>17071.580000000002</v>
      </c>
      <c r="V710" s="20">
        <v>-1838.49</v>
      </c>
      <c r="W710" s="20">
        <v>-2468.83</v>
      </c>
      <c r="X710" s="20">
        <v>-630.34</v>
      </c>
      <c r="Y710" s="20">
        <v>0</v>
      </c>
      <c r="Z710" s="20">
        <v>0</v>
      </c>
      <c r="AA710" s="20">
        <v>0</v>
      </c>
      <c r="AB710" s="20">
        <v>16441.240000000002</v>
      </c>
      <c r="AC710" t="s">
        <v>188</v>
      </c>
      <c r="AD710" t="s">
        <v>290</v>
      </c>
      <c r="AE710" s="702">
        <f t="shared" si="50"/>
        <v>43617</v>
      </c>
      <c r="AF710" s="289">
        <v>29427.721953107332</v>
      </c>
      <c r="AG710">
        <f t="shared" si="51"/>
        <v>360</v>
      </c>
      <c r="AH710" s="289">
        <f t="shared" si="52"/>
        <v>81.743672091964811</v>
      </c>
      <c r="AJ710" s="289">
        <f t="shared" si="53"/>
        <v>42</v>
      </c>
      <c r="AK710" s="289">
        <f t="shared" si="54"/>
        <v>3433.2342278625219</v>
      </c>
    </row>
    <row r="711" spans="1:37">
      <c r="A711" s="703" t="s">
        <v>1710</v>
      </c>
      <c r="B711" s="703" t="s">
        <v>1606</v>
      </c>
      <c r="C711" s="703" t="s">
        <v>390</v>
      </c>
      <c r="D711" s="703" t="s">
        <v>391</v>
      </c>
      <c r="E711" s="703" t="s">
        <v>334</v>
      </c>
      <c r="F711" s="703" t="s">
        <v>335</v>
      </c>
      <c r="G711" s="703" t="s">
        <v>1711</v>
      </c>
      <c r="H711" s="703" t="s">
        <v>334</v>
      </c>
      <c r="I711" s="703" t="s">
        <v>334</v>
      </c>
      <c r="J711" s="703" t="s">
        <v>337</v>
      </c>
      <c r="K711" s="704">
        <v>0</v>
      </c>
      <c r="L711" s="703" t="s">
        <v>334</v>
      </c>
      <c r="M711" s="702">
        <v>43251</v>
      </c>
      <c r="N711" s="702">
        <v>43482</v>
      </c>
      <c r="O711" s="703" t="s">
        <v>338</v>
      </c>
      <c r="P711" s="20">
        <v>58973.84</v>
      </c>
      <c r="Q711" s="20">
        <v>0</v>
      </c>
      <c r="R711" s="20">
        <v>0</v>
      </c>
      <c r="S711" s="20">
        <v>0</v>
      </c>
      <c r="T711" s="20">
        <v>58973.84</v>
      </c>
      <c r="U711" s="20">
        <v>53240.28</v>
      </c>
      <c r="V711" s="20">
        <v>-5733.56</v>
      </c>
      <c r="W711" s="20">
        <v>-7699.35</v>
      </c>
      <c r="X711" s="20">
        <v>-1965.79</v>
      </c>
      <c r="Y711" s="20">
        <v>0</v>
      </c>
      <c r="Z711" s="20">
        <v>0</v>
      </c>
      <c r="AA711" s="20">
        <v>0</v>
      </c>
      <c r="AB711" s="20">
        <v>51274.49</v>
      </c>
      <c r="AC711" t="s">
        <v>188</v>
      </c>
      <c r="AD711" t="s">
        <v>290</v>
      </c>
      <c r="AE711" s="702">
        <f t="shared" ref="AE711:AE774" si="55">IF(N711&gt;=$AG$5,DATE(YEAR(N711),6,1),DATE(YEAR(N711),6,1))</f>
        <v>43617</v>
      </c>
      <c r="AF711" s="289">
        <v>91774.687562078791</v>
      </c>
      <c r="AG711">
        <f t="shared" ref="AG711:AG774" si="56">+IF(AD711="intangível",20*12,IF(AD711="Diferido",120,IF(AD711="Não vinculados",0,IF(AE711&lt;=$AG$5,F711*12,360))))</f>
        <v>360</v>
      </c>
      <c r="AH711" s="289">
        <f t="shared" ref="AH711:AH774" si="57">IF(AG711=0,0,AF711/AG711)</f>
        <v>254.92968767244108</v>
      </c>
      <c r="AJ711" s="289">
        <f t="shared" ref="AJ711:AJ774" si="58">+IF(AND(YEAR(AE711)&gt;=2018,YEAR(AE711)&lt;=2022),IF(DATEDIF(AE711,$AK$4,"m")&gt;=AG711,AG711,DATEDIF(AE711,$AK$4,"m")),0)</f>
        <v>42</v>
      </c>
      <c r="AK711" s="289">
        <f t="shared" ref="AK711:AK774" si="59">IF(AD711="Imobilizado",AJ711*AH711,0)</f>
        <v>10707.046882242525</v>
      </c>
    </row>
    <row r="712" spans="1:37">
      <c r="A712" s="703" t="s">
        <v>1712</v>
      </c>
      <c r="B712" s="703" t="s">
        <v>1606</v>
      </c>
      <c r="C712" s="703" t="s">
        <v>390</v>
      </c>
      <c r="D712" s="703" t="s">
        <v>391</v>
      </c>
      <c r="E712" s="703" t="s">
        <v>334</v>
      </c>
      <c r="F712" s="703" t="s">
        <v>335</v>
      </c>
      <c r="G712" s="703" t="s">
        <v>1713</v>
      </c>
      <c r="H712" s="703" t="s">
        <v>334</v>
      </c>
      <c r="I712" s="703" t="s">
        <v>334</v>
      </c>
      <c r="J712" s="703" t="s">
        <v>337</v>
      </c>
      <c r="K712" s="704">
        <v>0</v>
      </c>
      <c r="L712" s="703" t="s">
        <v>334</v>
      </c>
      <c r="M712" s="702">
        <v>43251</v>
      </c>
      <c r="N712" s="702">
        <v>43482</v>
      </c>
      <c r="O712" s="703" t="s">
        <v>338</v>
      </c>
      <c r="P712" s="20">
        <v>28089.96</v>
      </c>
      <c r="Q712" s="20">
        <v>0</v>
      </c>
      <c r="R712" s="20">
        <v>0</v>
      </c>
      <c r="S712" s="20">
        <v>0</v>
      </c>
      <c r="T712" s="20">
        <v>28089.96</v>
      </c>
      <c r="U712" s="20">
        <v>25359</v>
      </c>
      <c r="V712" s="20">
        <v>-2730.96</v>
      </c>
      <c r="W712" s="20">
        <v>-3667.29</v>
      </c>
      <c r="X712" s="20">
        <v>-936.33</v>
      </c>
      <c r="Y712" s="20">
        <v>0</v>
      </c>
      <c r="Z712" s="20">
        <v>0</v>
      </c>
      <c r="AA712" s="20">
        <v>0</v>
      </c>
      <c r="AB712" s="20">
        <v>24422.67</v>
      </c>
      <c r="AC712" t="s">
        <v>188</v>
      </c>
      <c r="AD712" t="s">
        <v>290</v>
      </c>
      <c r="AE712" s="702">
        <f t="shared" si="55"/>
        <v>43617</v>
      </c>
      <c r="AF712" s="289">
        <v>43713.40415735673</v>
      </c>
      <c r="AG712">
        <f t="shared" si="56"/>
        <v>360</v>
      </c>
      <c r="AH712" s="289">
        <f t="shared" si="57"/>
        <v>121.42612265932425</v>
      </c>
      <c r="AJ712" s="289">
        <f t="shared" si="58"/>
        <v>42</v>
      </c>
      <c r="AK712" s="289">
        <f t="shared" si="59"/>
        <v>5099.8971516916181</v>
      </c>
    </row>
    <row r="713" spans="1:37">
      <c r="A713" s="703" t="s">
        <v>1714</v>
      </c>
      <c r="B713" s="703" t="s">
        <v>1606</v>
      </c>
      <c r="C713" s="703" t="s">
        <v>390</v>
      </c>
      <c r="D713" s="703" t="s">
        <v>391</v>
      </c>
      <c r="E713" s="703" t="s">
        <v>334</v>
      </c>
      <c r="F713" s="703" t="s">
        <v>335</v>
      </c>
      <c r="G713" s="703" t="s">
        <v>1715</v>
      </c>
      <c r="H713" s="703" t="s">
        <v>334</v>
      </c>
      <c r="I713" s="703" t="s">
        <v>334</v>
      </c>
      <c r="J713" s="703" t="s">
        <v>337</v>
      </c>
      <c r="K713" s="704">
        <v>0</v>
      </c>
      <c r="L713" s="703" t="s">
        <v>334</v>
      </c>
      <c r="M713" s="702">
        <v>43251</v>
      </c>
      <c r="N713" s="702">
        <v>43482</v>
      </c>
      <c r="O713" s="703" t="s">
        <v>338</v>
      </c>
      <c r="P713" s="20">
        <v>8902.73</v>
      </c>
      <c r="Q713" s="20">
        <v>0</v>
      </c>
      <c r="R713" s="20">
        <v>0</v>
      </c>
      <c r="S713" s="20">
        <v>0</v>
      </c>
      <c r="T713" s="20">
        <v>8902.73</v>
      </c>
      <c r="U713" s="20">
        <v>8037.18</v>
      </c>
      <c r="V713" s="20">
        <v>-865.55</v>
      </c>
      <c r="W713" s="20">
        <v>-1162.31</v>
      </c>
      <c r="X713" s="20">
        <v>-296.76</v>
      </c>
      <c r="Y713" s="20">
        <v>0</v>
      </c>
      <c r="Z713" s="20">
        <v>0</v>
      </c>
      <c r="AA713" s="20">
        <v>0</v>
      </c>
      <c r="AB713" s="20">
        <v>7740.42</v>
      </c>
      <c r="AC713" t="s">
        <v>188</v>
      </c>
      <c r="AD713" t="s">
        <v>290</v>
      </c>
      <c r="AE713" s="702">
        <f t="shared" si="55"/>
        <v>43617</v>
      </c>
      <c r="AF713" s="289">
        <v>13854.367702688949</v>
      </c>
      <c r="AG713">
        <f t="shared" si="56"/>
        <v>360</v>
      </c>
      <c r="AH713" s="289">
        <f t="shared" si="57"/>
        <v>38.484354729691525</v>
      </c>
      <c r="AJ713" s="289">
        <f t="shared" si="58"/>
        <v>42</v>
      </c>
      <c r="AK713" s="289">
        <f t="shared" si="59"/>
        <v>1616.342898647044</v>
      </c>
    </row>
    <row r="714" spans="1:37">
      <c r="A714" s="703" t="s">
        <v>1716</v>
      </c>
      <c r="B714" s="703" t="s">
        <v>1606</v>
      </c>
      <c r="C714" s="703" t="s">
        <v>390</v>
      </c>
      <c r="D714" s="703" t="s">
        <v>391</v>
      </c>
      <c r="E714" s="703" t="s">
        <v>334</v>
      </c>
      <c r="F714" s="703" t="s">
        <v>335</v>
      </c>
      <c r="G714" s="703" t="s">
        <v>1717</v>
      </c>
      <c r="H714" s="703" t="s">
        <v>334</v>
      </c>
      <c r="I714" s="703" t="s">
        <v>334</v>
      </c>
      <c r="J714" s="703" t="s">
        <v>337</v>
      </c>
      <c r="K714" s="704">
        <v>0</v>
      </c>
      <c r="L714" s="703" t="s">
        <v>334</v>
      </c>
      <c r="M714" s="702">
        <v>43251</v>
      </c>
      <c r="N714" s="702">
        <v>43482</v>
      </c>
      <c r="O714" s="703" t="s">
        <v>338</v>
      </c>
      <c r="P714" s="20">
        <v>925.66</v>
      </c>
      <c r="Q714" s="20">
        <v>0</v>
      </c>
      <c r="R714" s="20">
        <v>0</v>
      </c>
      <c r="S714" s="20">
        <v>0</v>
      </c>
      <c r="T714" s="20">
        <v>925.66</v>
      </c>
      <c r="U714" s="20">
        <v>835.66</v>
      </c>
      <c r="V714" s="20">
        <v>-90</v>
      </c>
      <c r="W714" s="20">
        <v>-120.86</v>
      </c>
      <c r="X714" s="20">
        <v>-30.86</v>
      </c>
      <c r="Y714" s="20">
        <v>0</v>
      </c>
      <c r="Z714" s="20">
        <v>0</v>
      </c>
      <c r="AA714" s="20">
        <v>0</v>
      </c>
      <c r="AB714" s="20">
        <v>804.8</v>
      </c>
      <c r="AC714" t="s">
        <v>188</v>
      </c>
      <c r="AD714" t="s">
        <v>290</v>
      </c>
      <c r="AE714" s="702">
        <f t="shared" si="55"/>
        <v>43617</v>
      </c>
      <c r="AF714" s="289">
        <v>1440.5057783029536</v>
      </c>
      <c r="AG714">
        <f t="shared" si="56"/>
        <v>360</v>
      </c>
      <c r="AH714" s="289">
        <f t="shared" si="57"/>
        <v>4.0014049397304268</v>
      </c>
      <c r="AJ714" s="289">
        <f t="shared" si="58"/>
        <v>42</v>
      </c>
      <c r="AK714" s="289">
        <f t="shared" si="59"/>
        <v>168.05900746867792</v>
      </c>
    </row>
    <row r="715" spans="1:37">
      <c r="A715" s="703" t="s">
        <v>1718</v>
      </c>
      <c r="B715" s="703" t="s">
        <v>1606</v>
      </c>
      <c r="C715" s="703" t="s">
        <v>390</v>
      </c>
      <c r="D715" s="703" t="s">
        <v>391</v>
      </c>
      <c r="E715" s="703" t="s">
        <v>334</v>
      </c>
      <c r="F715" s="703" t="s">
        <v>335</v>
      </c>
      <c r="G715" s="703" t="s">
        <v>1719</v>
      </c>
      <c r="H715" s="703" t="s">
        <v>334</v>
      </c>
      <c r="I715" s="703" t="s">
        <v>334</v>
      </c>
      <c r="J715" s="703" t="s">
        <v>337</v>
      </c>
      <c r="K715" s="704">
        <v>0</v>
      </c>
      <c r="L715" s="703" t="s">
        <v>334</v>
      </c>
      <c r="M715" s="702">
        <v>42886</v>
      </c>
      <c r="N715" s="702">
        <v>43482</v>
      </c>
      <c r="O715" s="703" t="s">
        <v>338</v>
      </c>
      <c r="P715" s="20">
        <v>1384.76</v>
      </c>
      <c r="Q715" s="20">
        <v>0</v>
      </c>
      <c r="R715" s="20">
        <v>0</v>
      </c>
      <c r="S715" s="20">
        <v>0</v>
      </c>
      <c r="T715" s="20">
        <v>1384.76</v>
      </c>
      <c r="U715" s="20">
        <v>1250.1300000000001</v>
      </c>
      <c r="V715" s="20">
        <v>-134.63</v>
      </c>
      <c r="W715" s="20">
        <v>-180.79</v>
      </c>
      <c r="X715" s="20">
        <v>-46.16</v>
      </c>
      <c r="Y715" s="20">
        <v>0</v>
      </c>
      <c r="Z715" s="20">
        <v>0</v>
      </c>
      <c r="AA715" s="20">
        <v>0</v>
      </c>
      <c r="AB715" s="20">
        <v>1203.97</v>
      </c>
      <c r="AC715" t="s">
        <v>188</v>
      </c>
      <c r="AD715" t="s">
        <v>290</v>
      </c>
      <c r="AE715" s="702">
        <f t="shared" si="55"/>
        <v>43617</v>
      </c>
      <c r="AF715" s="289">
        <v>2154.9540668958343</v>
      </c>
      <c r="AG715">
        <f t="shared" si="56"/>
        <v>360</v>
      </c>
      <c r="AH715" s="289">
        <f t="shared" si="57"/>
        <v>5.985983519155095</v>
      </c>
      <c r="AJ715" s="289">
        <f t="shared" si="58"/>
        <v>42</v>
      </c>
      <c r="AK715" s="289">
        <f t="shared" si="59"/>
        <v>251.411307804514</v>
      </c>
    </row>
    <row r="716" spans="1:37">
      <c r="A716" s="703" t="s">
        <v>1720</v>
      </c>
      <c r="B716" s="703" t="s">
        <v>1606</v>
      </c>
      <c r="C716" s="703" t="s">
        <v>390</v>
      </c>
      <c r="D716" s="703" t="s">
        <v>391</v>
      </c>
      <c r="E716" s="703" t="s">
        <v>334</v>
      </c>
      <c r="F716" s="703" t="s">
        <v>335</v>
      </c>
      <c r="G716" s="703" t="s">
        <v>1721</v>
      </c>
      <c r="H716" s="703" t="s">
        <v>334</v>
      </c>
      <c r="I716" s="703" t="s">
        <v>334</v>
      </c>
      <c r="J716" s="703" t="s">
        <v>337</v>
      </c>
      <c r="K716" s="704">
        <v>0</v>
      </c>
      <c r="L716" s="703" t="s">
        <v>334</v>
      </c>
      <c r="M716" s="702">
        <v>42886</v>
      </c>
      <c r="N716" s="702">
        <v>43482</v>
      </c>
      <c r="O716" s="703" t="s">
        <v>338</v>
      </c>
      <c r="P716" s="20">
        <v>1702.18</v>
      </c>
      <c r="Q716" s="20">
        <v>0</v>
      </c>
      <c r="R716" s="20">
        <v>0</v>
      </c>
      <c r="S716" s="20">
        <v>0</v>
      </c>
      <c r="T716" s="20">
        <v>1702.18</v>
      </c>
      <c r="U716" s="20">
        <v>1536.69</v>
      </c>
      <c r="V716" s="20">
        <v>-165.49</v>
      </c>
      <c r="W716" s="20">
        <v>-222.23</v>
      </c>
      <c r="X716" s="20">
        <v>-56.74</v>
      </c>
      <c r="Y716" s="20">
        <v>0</v>
      </c>
      <c r="Z716" s="20">
        <v>0</v>
      </c>
      <c r="AA716" s="20">
        <v>0</v>
      </c>
      <c r="AB716" s="20">
        <v>1479.95</v>
      </c>
      <c r="AC716" t="s">
        <v>188</v>
      </c>
      <c r="AD716" t="s">
        <v>290</v>
      </c>
      <c r="AE716" s="702">
        <f t="shared" si="55"/>
        <v>43617</v>
      </c>
      <c r="AF716" s="289">
        <v>2648.9209058528199</v>
      </c>
      <c r="AG716">
        <f t="shared" si="56"/>
        <v>360</v>
      </c>
      <c r="AH716" s="289">
        <f t="shared" si="57"/>
        <v>7.3581136273689447</v>
      </c>
      <c r="AJ716" s="289">
        <f t="shared" si="58"/>
        <v>42</v>
      </c>
      <c r="AK716" s="289">
        <f t="shared" si="59"/>
        <v>309.04077234949568</v>
      </c>
    </row>
    <row r="717" spans="1:37">
      <c r="A717" s="703" t="s">
        <v>1722</v>
      </c>
      <c r="B717" s="703" t="s">
        <v>1606</v>
      </c>
      <c r="C717" s="703" t="s">
        <v>390</v>
      </c>
      <c r="D717" s="703" t="s">
        <v>391</v>
      </c>
      <c r="E717" s="703" t="s">
        <v>334</v>
      </c>
      <c r="F717" s="703" t="s">
        <v>335</v>
      </c>
      <c r="G717" s="703" t="s">
        <v>1723</v>
      </c>
      <c r="H717" s="703" t="s">
        <v>334</v>
      </c>
      <c r="I717" s="703" t="s">
        <v>334</v>
      </c>
      <c r="J717" s="703" t="s">
        <v>337</v>
      </c>
      <c r="K717" s="704">
        <v>0</v>
      </c>
      <c r="L717" s="703" t="s">
        <v>334</v>
      </c>
      <c r="M717" s="702">
        <v>43251</v>
      </c>
      <c r="N717" s="702">
        <v>43482</v>
      </c>
      <c r="O717" s="703" t="s">
        <v>338</v>
      </c>
      <c r="P717" s="20">
        <v>36192.39</v>
      </c>
      <c r="Q717" s="20">
        <v>0</v>
      </c>
      <c r="R717" s="20">
        <v>0</v>
      </c>
      <c r="S717" s="20">
        <v>0</v>
      </c>
      <c r="T717" s="20">
        <v>36192.39</v>
      </c>
      <c r="U717" s="20">
        <v>32673.69</v>
      </c>
      <c r="V717" s="20">
        <v>-3518.7</v>
      </c>
      <c r="W717" s="20">
        <v>-4725.1099999999997</v>
      </c>
      <c r="X717" s="20">
        <v>-1206.4100000000001</v>
      </c>
      <c r="Y717" s="20">
        <v>0</v>
      </c>
      <c r="Z717" s="20">
        <v>0</v>
      </c>
      <c r="AA717" s="20">
        <v>0</v>
      </c>
      <c r="AB717" s="20">
        <v>31467.279999999999</v>
      </c>
      <c r="AC717" t="s">
        <v>188</v>
      </c>
      <c r="AD717" t="s">
        <v>290</v>
      </c>
      <c r="AE717" s="702">
        <f t="shared" si="55"/>
        <v>43617</v>
      </c>
      <c r="AF717" s="289">
        <v>56322.35045869329</v>
      </c>
      <c r="AG717">
        <f t="shared" si="56"/>
        <v>360</v>
      </c>
      <c r="AH717" s="289">
        <f t="shared" si="57"/>
        <v>156.45097349637024</v>
      </c>
      <c r="AJ717" s="289">
        <f t="shared" si="58"/>
        <v>42</v>
      </c>
      <c r="AK717" s="289">
        <f t="shared" si="59"/>
        <v>6570.9408868475502</v>
      </c>
    </row>
    <row r="718" spans="1:37">
      <c r="A718" s="703" t="s">
        <v>1724</v>
      </c>
      <c r="B718" s="703" t="s">
        <v>1606</v>
      </c>
      <c r="C718" s="703" t="s">
        <v>390</v>
      </c>
      <c r="D718" s="703" t="s">
        <v>391</v>
      </c>
      <c r="E718" s="703" t="s">
        <v>334</v>
      </c>
      <c r="F718" s="703" t="s">
        <v>335</v>
      </c>
      <c r="G718" s="703" t="s">
        <v>1725</v>
      </c>
      <c r="H718" s="703" t="s">
        <v>334</v>
      </c>
      <c r="I718" s="703" t="s">
        <v>334</v>
      </c>
      <c r="J718" s="703" t="s">
        <v>337</v>
      </c>
      <c r="K718" s="704">
        <v>0</v>
      </c>
      <c r="L718" s="703" t="s">
        <v>334</v>
      </c>
      <c r="M718" s="702">
        <v>43251</v>
      </c>
      <c r="N718" s="702">
        <v>43482</v>
      </c>
      <c r="O718" s="703" t="s">
        <v>338</v>
      </c>
      <c r="P718" s="20">
        <v>28712.41</v>
      </c>
      <c r="Q718" s="20">
        <v>0</v>
      </c>
      <c r="R718" s="20">
        <v>0</v>
      </c>
      <c r="S718" s="20">
        <v>0</v>
      </c>
      <c r="T718" s="20">
        <v>28712.41</v>
      </c>
      <c r="U718" s="20">
        <v>25920.93</v>
      </c>
      <c r="V718" s="20">
        <v>-2791.48</v>
      </c>
      <c r="W718" s="20">
        <v>-3748.56</v>
      </c>
      <c r="X718" s="20">
        <v>-957.08</v>
      </c>
      <c r="Y718" s="20">
        <v>0</v>
      </c>
      <c r="Z718" s="20">
        <v>0</v>
      </c>
      <c r="AA718" s="20">
        <v>0</v>
      </c>
      <c r="AB718" s="20">
        <v>24963.85</v>
      </c>
      <c r="AC718" t="s">
        <v>188</v>
      </c>
      <c r="AD718" t="s">
        <v>290</v>
      </c>
      <c r="AE718" s="702">
        <f t="shared" si="55"/>
        <v>43617</v>
      </c>
      <c r="AF718" s="289">
        <v>44682.056601779819</v>
      </c>
      <c r="AG718">
        <f t="shared" si="56"/>
        <v>360</v>
      </c>
      <c r="AH718" s="289">
        <f t="shared" si="57"/>
        <v>124.11682389383283</v>
      </c>
      <c r="AJ718" s="289">
        <f t="shared" si="58"/>
        <v>42</v>
      </c>
      <c r="AK718" s="289">
        <f t="shared" si="59"/>
        <v>5212.9066035409787</v>
      </c>
    </row>
    <row r="719" spans="1:37">
      <c r="A719" s="703" t="s">
        <v>1726</v>
      </c>
      <c r="B719" s="703" t="s">
        <v>1606</v>
      </c>
      <c r="C719" s="703" t="s">
        <v>390</v>
      </c>
      <c r="D719" s="703" t="s">
        <v>391</v>
      </c>
      <c r="E719" s="703" t="s">
        <v>334</v>
      </c>
      <c r="F719" s="703" t="s">
        <v>335</v>
      </c>
      <c r="G719" s="703" t="s">
        <v>1727</v>
      </c>
      <c r="H719" s="703" t="s">
        <v>334</v>
      </c>
      <c r="I719" s="703" t="s">
        <v>334</v>
      </c>
      <c r="J719" s="703" t="s">
        <v>337</v>
      </c>
      <c r="K719" s="704">
        <v>0</v>
      </c>
      <c r="L719" s="703" t="s">
        <v>334</v>
      </c>
      <c r="M719" s="702">
        <v>43251</v>
      </c>
      <c r="N719" s="702">
        <v>43482</v>
      </c>
      <c r="O719" s="703" t="s">
        <v>338</v>
      </c>
      <c r="P719" s="20">
        <v>74067.58</v>
      </c>
      <c r="Q719" s="20">
        <v>0</v>
      </c>
      <c r="R719" s="20">
        <v>0</v>
      </c>
      <c r="S719" s="20">
        <v>0</v>
      </c>
      <c r="T719" s="20">
        <v>74067.58</v>
      </c>
      <c r="U719" s="20">
        <v>66866.559999999998</v>
      </c>
      <c r="V719" s="20">
        <v>-7201.02</v>
      </c>
      <c r="W719" s="20">
        <v>-9669.94</v>
      </c>
      <c r="X719" s="20">
        <v>-2468.92</v>
      </c>
      <c r="Y719" s="20">
        <v>0</v>
      </c>
      <c r="Z719" s="20">
        <v>0</v>
      </c>
      <c r="AA719" s="20">
        <v>0</v>
      </c>
      <c r="AB719" s="20">
        <v>64397.64</v>
      </c>
      <c r="AC719" t="s">
        <v>188</v>
      </c>
      <c r="AD719" t="s">
        <v>290</v>
      </c>
      <c r="AE719" s="702">
        <f t="shared" si="55"/>
        <v>43617</v>
      </c>
      <c r="AF719" s="289">
        <v>115263.46279942557</v>
      </c>
      <c r="AG719">
        <f t="shared" si="56"/>
        <v>360</v>
      </c>
      <c r="AH719" s="289">
        <f t="shared" si="57"/>
        <v>320.17628555395993</v>
      </c>
      <c r="AJ719" s="289">
        <f t="shared" si="58"/>
        <v>42</v>
      </c>
      <c r="AK719" s="289">
        <f t="shared" si="59"/>
        <v>13447.403993266316</v>
      </c>
    </row>
    <row r="720" spans="1:37">
      <c r="A720" s="703" t="s">
        <v>1728</v>
      </c>
      <c r="B720" s="703" t="s">
        <v>1606</v>
      </c>
      <c r="C720" s="703" t="s">
        <v>390</v>
      </c>
      <c r="D720" s="703" t="s">
        <v>391</v>
      </c>
      <c r="E720" s="703" t="s">
        <v>334</v>
      </c>
      <c r="F720" s="703" t="s">
        <v>335</v>
      </c>
      <c r="G720" s="703" t="s">
        <v>1729</v>
      </c>
      <c r="H720" s="703" t="s">
        <v>334</v>
      </c>
      <c r="I720" s="703" t="s">
        <v>334</v>
      </c>
      <c r="J720" s="703" t="s">
        <v>337</v>
      </c>
      <c r="K720" s="704">
        <v>0</v>
      </c>
      <c r="L720" s="703" t="s">
        <v>334</v>
      </c>
      <c r="M720" s="702">
        <v>43251</v>
      </c>
      <c r="N720" s="702">
        <v>43482</v>
      </c>
      <c r="O720" s="703" t="s">
        <v>338</v>
      </c>
      <c r="P720" s="20">
        <v>8013.26</v>
      </c>
      <c r="Q720" s="20">
        <v>0</v>
      </c>
      <c r="R720" s="20">
        <v>0</v>
      </c>
      <c r="S720" s="20">
        <v>0</v>
      </c>
      <c r="T720" s="20">
        <v>8013.26</v>
      </c>
      <c r="U720" s="20">
        <v>7234.19</v>
      </c>
      <c r="V720" s="20">
        <v>-779.07</v>
      </c>
      <c r="W720" s="20">
        <v>-1046.18</v>
      </c>
      <c r="X720" s="20">
        <v>-267.11</v>
      </c>
      <c r="Y720" s="20">
        <v>0</v>
      </c>
      <c r="Z720" s="20">
        <v>0</v>
      </c>
      <c r="AA720" s="20">
        <v>0</v>
      </c>
      <c r="AB720" s="20">
        <v>6967.08</v>
      </c>
      <c r="AC720" t="s">
        <v>188</v>
      </c>
      <c r="AD720" t="s">
        <v>290</v>
      </c>
      <c r="AE720" s="702">
        <f t="shared" si="55"/>
        <v>43617</v>
      </c>
      <c r="AF720" s="289">
        <v>12470.180555542991</v>
      </c>
      <c r="AG720">
        <f t="shared" si="56"/>
        <v>360</v>
      </c>
      <c r="AH720" s="289">
        <f t="shared" si="57"/>
        <v>34.639390432063863</v>
      </c>
      <c r="AJ720" s="289">
        <f t="shared" si="58"/>
        <v>42</v>
      </c>
      <c r="AK720" s="289">
        <f t="shared" si="59"/>
        <v>1454.8543981466823</v>
      </c>
    </row>
    <row r="721" spans="1:37">
      <c r="A721" s="703" t="s">
        <v>1730</v>
      </c>
      <c r="B721" s="703" t="s">
        <v>1606</v>
      </c>
      <c r="C721" s="703" t="s">
        <v>390</v>
      </c>
      <c r="D721" s="703" t="s">
        <v>391</v>
      </c>
      <c r="E721" s="703" t="s">
        <v>334</v>
      </c>
      <c r="F721" s="703" t="s">
        <v>335</v>
      </c>
      <c r="G721" s="703" t="s">
        <v>1731</v>
      </c>
      <c r="H721" s="703" t="s">
        <v>334</v>
      </c>
      <c r="I721" s="703" t="s">
        <v>334</v>
      </c>
      <c r="J721" s="703" t="s">
        <v>337</v>
      </c>
      <c r="K721" s="704">
        <v>0</v>
      </c>
      <c r="L721" s="703" t="s">
        <v>334</v>
      </c>
      <c r="M721" s="702">
        <v>43251</v>
      </c>
      <c r="N721" s="702">
        <v>43482</v>
      </c>
      <c r="O721" s="703" t="s">
        <v>338</v>
      </c>
      <c r="P721" s="20">
        <v>54232.47</v>
      </c>
      <c r="Q721" s="20">
        <v>0</v>
      </c>
      <c r="R721" s="20">
        <v>0</v>
      </c>
      <c r="S721" s="20">
        <v>0</v>
      </c>
      <c r="T721" s="20">
        <v>54232.47</v>
      </c>
      <c r="U721" s="20">
        <v>49502.91</v>
      </c>
      <c r="V721" s="20">
        <v>-4729.5600000000004</v>
      </c>
      <c r="W721" s="20">
        <v>-6537.31</v>
      </c>
      <c r="X721" s="20">
        <v>-1807.75</v>
      </c>
      <c r="Y721" s="20">
        <v>0</v>
      </c>
      <c r="Z721" s="20">
        <v>0</v>
      </c>
      <c r="AA721" s="20">
        <v>0</v>
      </c>
      <c r="AB721" s="20">
        <v>47695.16</v>
      </c>
      <c r="AC721" t="s">
        <v>188</v>
      </c>
      <c r="AD721" t="s">
        <v>290</v>
      </c>
      <c r="AE721" s="702">
        <f t="shared" si="55"/>
        <v>43617</v>
      </c>
      <c r="AF721" s="289">
        <v>84396.199907786417</v>
      </c>
      <c r="AG721">
        <f t="shared" si="56"/>
        <v>360</v>
      </c>
      <c r="AH721" s="289">
        <f t="shared" si="57"/>
        <v>234.43388863274004</v>
      </c>
      <c r="AJ721" s="289">
        <f t="shared" si="58"/>
        <v>42</v>
      </c>
      <c r="AK721" s="289">
        <f t="shared" si="59"/>
        <v>9846.2233225750824</v>
      </c>
    </row>
    <row r="722" spans="1:37">
      <c r="A722" s="703" t="s">
        <v>1732</v>
      </c>
      <c r="B722" s="703" t="s">
        <v>1606</v>
      </c>
      <c r="C722" s="703" t="s">
        <v>390</v>
      </c>
      <c r="D722" s="703" t="s">
        <v>391</v>
      </c>
      <c r="E722" s="703" t="s">
        <v>334</v>
      </c>
      <c r="F722" s="703" t="s">
        <v>335</v>
      </c>
      <c r="G722" s="703" t="s">
        <v>1733</v>
      </c>
      <c r="H722" s="703" t="s">
        <v>334</v>
      </c>
      <c r="I722" s="703" t="s">
        <v>334</v>
      </c>
      <c r="J722" s="703" t="s">
        <v>337</v>
      </c>
      <c r="K722" s="704">
        <v>0</v>
      </c>
      <c r="L722" s="703" t="s">
        <v>334</v>
      </c>
      <c r="M722" s="702">
        <v>42886</v>
      </c>
      <c r="N722" s="702">
        <v>43482</v>
      </c>
      <c r="O722" s="703" t="s">
        <v>338</v>
      </c>
      <c r="P722" s="20">
        <v>634.41</v>
      </c>
      <c r="Q722" s="20">
        <v>0</v>
      </c>
      <c r="R722" s="20">
        <v>0</v>
      </c>
      <c r="S722" s="20">
        <v>0</v>
      </c>
      <c r="T722" s="20">
        <v>634.41</v>
      </c>
      <c r="U722" s="20">
        <v>572.73</v>
      </c>
      <c r="V722" s="20">
        <v>-61.68</v>
      </c>
      <c r="W722" s="20">
        <v>-82.83</v>
      </c>
      <c r="X722" s="20">
        <v>-21.15</v>
      </c>
      <c r="Y722" s="20">
        <v>0</v>
      </c>
      <c r="Z722" s="20">
        <v>0</v>
      </c>
      <c r="AA722" s="20">
        <v>0</v>
      </c>
      <c r="AB722" s="20">
        <v>551.58000000000004</v>
      </c>
      <c r="AC722" t="s">
        <v>188</v>
      </c>
      <c r="AD722" t="s">
        <v>290</v>
      </c>
      <c r="AE722" s="702">
        <f t="shared" si="55"/>
        <v>43617</v>
      </c>
      <c r="AF722" s="289">
        <v>987.26451484689494</v>
      </c>
      <c r="AG722">
        <f t="shared" si="56"/>
        <v>360</v>
      </c>
      <c r="AH722" s="289">
        <f t="shared" si="57"/>
        <v>2.7424014301302639</v>
      </c>
      <c r="AJ722" s="289">
        <f t="shared" si="58"/>
        <v>42</v>
      </c>
      <c r="AK722" s="289">
        <f t="shared" si="59"/>
        <v>115.18086006547108</v>
      </c>
    </row>
    <row r="723" spans="1:37">
      <c r="A723" s="703" t="s">
        <v>1734</v>
      </c>
      <c r="B723" s="703" t="s">
        <v>1606</v>
      </c>
      <c r="C723" s="703" t="s">
        <v>390</v>
      </c>
      <c r="D723" s="703" t="s">
        <v>391</v>
      </c>
      <c r="E723" s="703" t="s">
        <v>334</v>
      </c>
      <c r="F723" s="703" t="s">
        <v>335</v>
      </c>
      <c r="G723" s="703" t="s">
        <v>1735</v>
      </c>
      <c r="H723" s="703" t="s">
        <v>334</v>
      </c>
      <c r="I723" s="703" t="s">
        <v>334</v>
      </c>
      <c r="J723" s="703" t="s">
        <v>337</v>
      </c>
      <c r="K723" s="704">
        <v>0</v>
      </c>
      <c r="L723" s="703" t="s">
        <v>334</v>
      </c>
      <c r="M723" s="702">
        <v>42886</v>
      </c>
      <c r="N723" s="702">
        <v>43482</v>
      </c>
      <c r="O723" s="703" t="s">
        <v>338</v>
      </c>
      <c r="P723" s="20">
        <v>10954.95</v>
      </c>
      <c r="Q723" s="20">
        <v>0</v>
      </c>
      <c r="R723" s="20">
        <v>0</v>
      </c>
      <c r="S723" s="20">
        <v>0</v>
      </c>
      <c r="T723" s="20">
        <v>10954.95</v>
      </c>
      <c r="U723" s="20">
        <v>9889.8799999999992</v>
      </c>
      <c r="V723" s="20">
        <v>-1065.07</v>
      </c>
      <c r="W723" s="20">
        <v>-1430.24</v>
      </c>
      <c r="X723" s="20">
        <v>-365.17</v>
      </c>
      <c r="Y723" s="20">
        <v>0</v>
      </c>
      <c r="Z723" s="20">
        <v>0</v>
      </c>
      <c r="AA723" s="20">
        <v>0</v>
      </c>
      <c r="AB723" s="20">
        <v>9524.7099999999991</v>
      </c>
      <c r="AC723" t="s">
        <v>188</v>
      </c>
      <c r="AD723" t="s">
        <v>290</v>
      </c>
      <c r="AE723" s="702">
        <f t="shared" si="55"/>
        <v>43617</v>
      </c>
      <c r="AF723" s="289">
        <v>17048.018469005834</v>
      </c>
      <c r="AG723">
        <f t="shared" si="56"/>
        <v>360</v>
      </c>
      <c r="AH723" s="289">
        <f t="shared" si="57"/>
        <v>47.355606858349539</v>
      </c>
      <c r="AJ723" s="289">
        <f t="shared" si="58"/>
        <v>42</v>
      </c>
      <c r="AK723" s="289">
        <f t="shared" si="59"/>
        <v>1988.9354880506805</v>
      </c>
    </row>
    <row r="724" spans="1:37">
      <c r="A724" s="703" t="s">
        <v>1736</v>
      </c>
      <c r="B724" s="703" t="s">
        <v>1606</v>
      </c>
      <c r="C724" s="703" t="s">
        <v>390</v>
      </c>
      <c r="D724" s="703" t="s">
        <v>391</v>
      </c>
      <c r="E724" s="703" t="s">
        <v>334</v>
      </c>
      <c r="F724" s="703" t="s">
        <v>335</v>
      </c>
      <c r="G724" s="703" t="s">
        <v>1737</v>
      </c>
      <c r="H724" s="703" t="s">
        <v>334</v>
      </c>
      <c r="I724" s="703" t="s">
        <v>334</v>
      </c>
      <c r="J724" s="703" t="s">
        <v>337</v>
      </c>
      <c r="K724" s="704">
        <v>0</v>
      </c>
      <c r="L724" s="703" t="s">
        <v>334</v>
      </c>
      <c r="M724" s="702">
        <v>43251</v>
      </c>
      <c r="N724" s="702">
        <v>43482</v>
      </c>
      <c r="O724" s="703" t="s">
        <v>338</v>
      </c>
      <c r="P724" s="20">
        <v>22034.82</v>
      </c>
      <c r="Q724" s="20">
        <v>0</v>
      </c>
      <c r="R724" s="20">
        <v>0</v>
      </c>
      <c r="S724" s="20">
        <v>0</v>
      </c>
      <c r="T724" s="20">
        <v>22034.82</v>
      </c>
      <c r="U724" s="20">
        <v>19892.55</v>
      </c>
      <c r="V724" s="20">
        <v>-2142.27</v>
      </c>
      <c r="W724" s="20">
        <v>-2876.76</v>
      </c>
      <c r="X724" s="20">
        <v>-734.49</v>
      </c>
      <c r="Y724" s="20">
        <v>0</v>
      </c>
      <c r="Z724" s="20">
        <v>0</v>
      </c>
      <c r="AA724" s="20">
        <v>0</v>
      </c>
      <c r="AB724" s="20">
        <v>19158.060000000001</v>
      </c>
      <c r="AC724" t="s">
        <v>188</v>
      </c>
      <c r="AD724" t="s">
        <v>290</v>
      </c>
      <c r="AE724" s="702">
        <f t="shared" si="55"/>
        <v>43617</v>
      </c>
      <c r="AF724" s="289">
        <v>34290.436589963363</v>
      </c>
      <c r="AG724">
        <f t="shared" si="56"/>
        <v>360</v>
      </c>
      <c r="AH724" s="289">
        <f t="shared" si="57"/>
        <v>95.25121274989823</v>
      </c>
      <c r="AJ724" s="289">
        <f t="shared" si="58"/>
        <v>42</v>
      </c>
      <c r="AK724" s="289">
        <f t="shared" si="59"/>
        <v>4000.5509354957258</v>
      </c>
    </row>
    <row r="725" spans="1:37">
      <c r="A725" s="703" t="s">
        <v>1738</v>
      </c>
      <c r="B725" s="703" t="s">
        <v>1606</v>
      </c>
      <c r="C725" s="703" t="s">
        <v>390</v>
      </c>
      <c r="D725" s="703" t="s">
        <v>391</v>
      </c>
      <c r="E725" s="703" t="s">
        <v>334</v>
      </c>
      <c r="F725" s="703" t="s">
        <v>335</v>
      </c>
      <c r="G725" s="703" t="s">
        <v>1739</v>
      </c>
      <c r="H725" s="703" t="s">
        <v>334</v>
      </c>
      <c r="I725" s="703" t="s">
        <v>334</v>
      </c>
      <c r="J725" s="703" t="s">
        <v>337</v>
      </c>
      <c r="K725" s="704">
        <v>0</v>
      </c>
      <c r="L725" s="703" t="s">
        <v>334</v>
      </c>
      <c r="M725" s="702">
        <v>43251</v>
      </c>
      <c r="N725" s="702">
        <v>43482</v>
      </c>
      <c r="O725" s="703" t="s">
        <v>338</v>
      </c>
      <c r="P725" s="20">
        <v>8078.73</v>
      </c>
      <c r="Q725" s="20">
        <v>0</v>
      </c>
      <c r="R725" s="20">
        <v>0</v>
      </c>
      <c r="S725" s="20">
        <v>0</v>
      </c>
      <c r="T725" s="20">
        <v>8078.73</v>
      </c>
      <c r="U725" s="20">
        <v>7293.3</v>
      </c>
      <c r="V725" s="20">
        <v>-785.43</v>
      </c>
      <c r="W725" s="20">
        <v>-1054.72</v>
      </c>
      <c r="X725" s="20">
        <v>-269.29000000000002</v>
      </c>
      <c r="Y725" s="20">
        <v>0</v>
      </c>
      <c r="Z725" s="20">
        <v>0</v>
      </c>
      <c r="AA725" s="20">
        <v>0</v>
      </c>
      <c r="AB725" s="20">
        <v>7024.01</v>
      </c>
      <c r="AC725" t="s">
        <v>188</v>
      </c>
      <c r="AD725" t="s">
        <v>290</v>
      </c>
      <c r="AE725" s="702">
        <f t="shared" si="55"/>
        <v>43617</v>
      </c>
      <c r="AF725" s="289">
        <v>12572.064522988376</v>
      </c>
      <c r="AG725">
        <f t="shared" si="56"/>
        <v>360</v>
      </c>
      <c r="AH725" s="289">
        <f t="shared" si="57"/>
        <v>34.92240145274549</v>
      </c>
      <c r="AJ725" s="289">
        <f t="shared" si="58"/>
        <v>42</v>
      </c>
      <c r="AK725" s="289">
        <f t="shared" si="59"/>
        <v>1466.7408610153107</v>
      </c>
    </row>
    <row r="726" spans="1:37">
      <c r="A726" s="703" t="s">
        <v>1740</v>
      </c>
      <c r="B726" s="703" t="s">
        <v>1606</v>
      </c>
      <c r="C726" s="703" t="s">
        <v>390</v>
      </c>
      <c r="D726" s="703" t="s">
        <v>391</v>
      </c>
      <c r="E726" s="703" t="s">
        <v>334</v>
      </c>
      <c r="F726" s="703" t="s">
        <v>335</v>
      </c>
      <c r="G726" s="703" t="s">
        <v>1741</v>
      </c>
      <c r="H726" s="703" t="s">
        <v>334</v>
      </c>
      <c r="I726" s="703" t="s">
        <v>334</v>
      </c>
      <c r="J726" s="703" t="s">
        <v>337</v>
      </c>
      <c r="K726" s="704">
        <v>0</v>
      </c>
      <c r="L726" s="703" t="s">
        <v>334</v>
      </c>
      <c r="M726" s="702">
        <v>42886</v>
      </c>
      <c r="N726" s="702">
        <v>43482</v>
      </c>
      <c r="O726" s="703" t="s">
        <v>338</v>
      </c>
      <c r="P726" s="20">
        <v>1301.76</v>
      </c>
      <c r="Q726" s="20">
        <v>0</v>
      </c>
      <c r="R726" s="20">
        <v>0</v>
      </c>
      <c r="S726" s="20">
        <v>0</v>
      </c>
      <c r="T726" s="20">
        <v>1301.76</v>
      </c>
      <c r="U726" s="20">
        <v>1175.2</v>
      </c>
      <c r="V726" s="20">
        <v>-126.56</v>
      </c>
      <c r="W726" s="20">
        <v>-169.95</v>
      </c>
      <c r="X726" s="20">
        <v>-43.39</v>
      </c>
      <c r="Y726" s="20">
        <v>0</v>
      </c>
      <c r="Z726" s="20">
        <v>0</v>
      </c>
      <c r="AA726" s="20">
        <v>0</v>
      </c>
      <c r="AB726" s="20">
        <v>1131.81</v>
      </c>
      <c r="AC726" t="s">
        <v>188</v>
      </c>
      <c r="AD726" t="s">
        <v>290</v>
      </c>
      <c r="AE726" s="702">
        <f t="shared" si="55"/>
        <v>43617</v>
      </c>
      <c r="AF726" s="289">
        <v>2025.7900330182276</v>
      </c>
      <c r="AG726">
        <f t="shared" si="56"/>
        <v>360</v>
      </c>
      <c r="AH726" s="289">
        <f t="shared" si="57"/>
        <v>5.6271945361617437</v>
      </c>
      <c r="AJ726" s="289">
        <f t="shared" si="58"/>
        <v>42</v>
      </c>
      <c r="AK726" s="289">
        <f t="shared" si="59"/>
        <v>236.34217051879324</v>
      </c>
    </row>
    <row r="727" spans="1:37">
      <c r="A727" s="703" t="s">
        <v>1742</v>
      </c>
      <c r="B727" s="703" t="s">
        <v>1606</v>
      </c>
      <c r="C727" s="703" t="s">
        <v>390</v>
      </c>
      <c r="D727" s="703" t="s">
        <v>391</v>
      </c>
      <c r="E727" s="703" t="s">
        <v>334</v>
      </c>
      <c r="F727" s="703" t="s">
        <v>335</v>
      </c>
      <c r="G727" s="703" t="s">
        <v>1743</v>
      </c>
      <c r="H727" s="703" t="s">
        <v>334</v>
      </c>
      <c r="I727" s="703" t="s">
        <v>334</v>
      </c>
      <c r="J727" s="703" t="s">
        <v>337</v>
      </c>
      <c r="K727" s="704">
        <v>0</v>
      </c>
      <c r="L727" s="703" t="s">
        <v>334</v>
      </c>
      <c r="M727" s="702">
        <v>42886</v>
      </c>
      <c r="N727" s="702">
        <v>43482</v>
      </c>
      <c r="O727" s="703" t="s">
        <v>338</v>
      </c>
      <c r="P727" s="20">
        <v>479.5</v>
      </c>
      <c r="Q727" s="20">
        <v>0</v>
      </c>
      <c r="R727" s="20">
        <v>0</v>
      </c>
      <c r="S727" s="20">
        <v>0</v>
      </c>
      <c r="T727" s="20">
        <v>479.5</v>
      </c>
      <c r="U727" s="20">
        <v>432.89</v>
      </c>
      <c r="V727" s="20">
        <v>-46.61</v>
      </c>
      <c r="W727" s="20">
        <v>-62.59</v>
      </c>
      <c r="X727" s="20">
        <v>-15.98</v>
      </c>
      <c r="Y727" s="20">
        <v>0</v>
      </c>
      <c r="Z727" s="20">
        <v>0</v>
      </c>
      <c r="AA727" s="20">
        <v>0</v>
      </c>
      <c r="AB727" s="20">
        <v>416.91</v>
      </c>
      <c r="AC727" t="s">
        <v>188</v>
      </c>
      <c r="AD727" t="s">
        <v>290</v>
      </c>
      <c r="AE727" s="702">
        <f t="shared" si="55"/>
        <v>43617</v>
      </c>
      <c r="AF727" s="289">
        <v>746.19462944954546</v>
      </c>
      <c r="AG727">
        <f t="shared" si="56"/>
        <v>360</v>
      </c>
      <c r="AH727" s="289">
        <f t="shared" si="57"/>
        <v>2.0727628595820708</v>
      </c>
      <c r="AJ727" s="289">
        <f t="shared" si="58"/>
        <v>42</v>
      </c>
      <c r="AK727" s="289">
        <f t="shared" si="59"/>
        <v>87.056040102446971</v>
      </c>
    </row>
    <row r="728" spans="1:37">
      <c r="A728" s="703" t="s">
        <v>1744</v>
      </c>
      <c r="B728" s="703" t="s">
        <v>1606</v>
      </c>
      <c r="C728" s="703" t="s">
        <v>390</v>
      </c>
      <c r="D728" s="703" t="s">
        <v>391</v>
      </c>
      <c r="E728" s="703" t="s">
        <v>334</v>
      </c>
      <c r="F728" s="703" t="s">
        <v>335</v>
      </c>
      <c r="G728" s="703" t="s">
        <v>1745</v>
      </c>
      <c r="H728" s="703" t="s">
        <v>334</v>
      </c>
      <c r="I728" s="703" t="s">
        <v>334</v>
      </c>
      <c r="J728" s="703" t="s">
        <v>337</v>
      </c>
      <c r="K728" s="704">
        <v>0</v>
      </c>
      <c r="L728" s="703" t="s">
        <v>334</v>
      </c>
      <c r="M728" s="702">
        <v>42886</v>
      </c>
      <c r="N728" s="702">
        <v>43482</v>
      </c>
      <c r="O728" s="703" t="s">
        <v>338</v>
      </c>
      <c r="P728" s="20">
        <v>7233.54</v>
      </c>
      <c r="Q728" s="20">
        <v>0</v>
      </c>
      <c r="R728" s="20">
        <v>0</v>
      </c>
      <c r="S728" s="20">
        <v>0</v>
      </c>
      <c r="T728" s="20">
        <v>7233.54</v>
      </c>
      <c r="U728" s="20">
        <v>6530.28</v>
      </c>
      <c r="V728" s="20">
        <v>-703.26</v>
      </c>
      <c r="W728" s="20">
        <v>-944.38</v>
      </c>
      <c r="X728" s="20">
        <v>-241.12</v>
      </c>
      <c r="Y728" s="20">
        <v>0</v>
      </c>
      <c r="Z728" s="20">
        <v>0</v>
      </c>
      <c r="AA728" s="20">
        <v>0</v>
      </c>
      <c r="AB728" s="20">
        <v>6289.16</v>
      </c>
      <c r="AC728" t="s">
        <v>188</v>
      </c>
      <c r="AD728" t="s">
        <v>290</v>
      </c>
      <c r="AE728" s="702">
        <f t="shared" si="55"/>
        <v>43617</v>
      </c>
      <c r="AF728" s="289">
        <v>11256.78560981953</v>
      </c>
      <c r="AG728">
        <f t="shared" si="56"/>
        <v>360</v>
      </c>
      <c r="AH728" s="289">
        <f t="shared" si="57"/>
        <v>31.268848916165361</v>
      </c>
      <c r="AJ728" s="289">
        <f t="shared" si="58"/>
        <v>42</v>
      </c>
      <c r="AK728" s="289">
        <f t="shared" si="59"/>
        <v>1313.2916544789452</v>
      </c>
    </row>
    <row r="729" spans="1:37">
      <c r="A729" s="703" t="s">
        <v>1746</v>
      </c>
      <c r="B729" s="703" t="s">
        <v>1606</v>
      </c>
      <c r="C729" s="703" t="s">
        <v>390</v>
      </c>
      <c r="D729" s="703" t="s">
        <v>391</v>
      </c>
      <c r="E729" s="703" t="s">
        <v>334</v>
      </c>
      <c r="F729" s="703" t="s">
        <v>335</v>
      </c>
      <c r="G729" s="703" t="s">
        <v>1747</v>
      </c>
      <c r="H729" s="703" t="s">
        <v>334</v>
      </c>
      <c r="I729" s="703" t="s">
        <v>334</v>
      </c>
      <c r="J729" s="703" t="s">
        <v>337</v>
      </c>
      <c r="K729" s="704">
        <v>0</v>
      </c>
      <c r="L729" s="703" t="s">
        <v>334</v>
      </c>
      <c r="M729" s="702">
        <v>42886</v>
      </c>
      <c r="N729" s="702">
        <v>43482</v>
      </c>
      <c r="O729" s="703" t="s">
        <v>338</v>
      </c>
      <c r="P729" s="20">
        <v>8590.1200000000008</v>
      </c>
      <c r="Q729" s="20">
        <v>0</v>
      </c>
      <c r="R729" s="20">
        <v>0</v>
      </c>
      <c r="S729" s="20">
        <v>0</v>
      </c>
      <c r="T729" s="20">
        <v>8590.1200000000008</v>
      </c>
      <c r="U729" s="20">
        <v>7754.96</v>
      </c>
      <c r="V729" s="20">
        <v>-835.16</v>
      </c>
      <c r="W729" s="20">
        <v>-1121.5</v>
      </c>
      <c r="X729" s="20">
        <v>-286.33999999999997</v>
      </c>
      <c r="Y729" s="20">
        <v>0</v>
      </c>
      <c r="Z729" s="20">
        <v>0</v>
      </c>
      <c r="AA729" s="20">
        <v>0</v>
      </c>
      <c r="AB729" s="20">
        <v>7468.62</v>
      </c>
      <c r="AC729" t="s">
        <v>188</v>
      </c>
      <c r="AD729" t="s">
        <v>290</v>
      </c>
      <c r="AE729" s="702">
        <f t="shared" si="55"/>
        <v>43617</v>
      </c>
      <c r="AF729" s="289">
        <v>13367.886152924149</v>
      </c>
      <c r="AG729">
        <f t="shared" si="56"/>
        <v>360</v>
      </c>
      <c r="AH729" s="289">
        <f t="shared" si="57"/>
        <v>37.133017091455969</v>
      </c>
      <c r="AJ729" s="289">
        <f t="shared" si="58"/>
        <v>42</v>
      </c>
      <c r="AK729" s="289">
        <f t="shared" si="59"/>
        <v>1559.5867178411506</v>
      </c>
    </row>
    <row r="730" spans="1:37">
      <c r="A730" s="703" t="s">
        <v>1748</v>
      </c>
      <c r="B730" s="703" t="s">
        <v>1606</v>
      </c>
      <c r="C730" s="703" t="s">
        <v>390</v>
      </c>
      <c r="D730" s="703" t="s">
        <v>391</v>
      </c>
      <c r="E730" s="703" t="s">
        <v>334</v>
      </c>
      <c r="F730" s="703" t="s">
        <v>335</v>
      </c>
      <c r="G730" s="703" t="s">
        <v>1749</v>
      </c>
      <c r="H730" s="703" t="s">
        <v>334</v>
      </c>
      <c r="I730" s="703" t="s">
        <v>334</v>
      </c>
      <c r="J730" s="703" t="s">
        <v>337</v>
      </c>
      <c r="K730" s="704">
        <v>0</v>
      </c>
      <c r="L730" s="703" t="s">
        <v>334</v>
      </c>
      <c r="M730" s="702">
        <v>42886</v>
      </c>
      <c r="N730" s="702">
        <v>43482</v>
      </c>
      <c r="O730" s="703" t="s">
        <v>338</v>
      </c>
      <c r="P730" s="20">
        <v>5785.17</v>
      </c>
      <c r="Q730" s="20">
        <v>0</v>
      </c>
      <c r="R730" s="20">
        <v>0</v>
      </c>
      <c r="S730" s="20">
        <v>0</v>
      </c>
      <c r="T730" s="20">
        <v>5785.17</v>
      </c>
      <c r="U730" s="20">
        <v>5222.72</v>
      </c>
      <c r="V730" s="20">
        <v>-562.45000000000005</v>
      </c>
      <c r="W730" s="20">
        <v>-755.29</v>
      </c>
      <c r="X730" s="20">
        <v>-192.84</v>
      </c>
      <c r="Y730" s="20">
        <v>0</v>
      </c>
      <c r="Z730" s="20">
        <v>0</v>
      </c>
      <c r="AA730" s="20">
        <v>0</v>
      </c>
      <c r="AB730" s="20">
        <v>5029.88</v>
      </c>
      <c r="AC730" t="s">
        <v>188</v>
      </c>
      <c r="AD730" t="s">
        <v>290</v>
      </c>
      <c r="AE730" s="702">
        <f t="shared" si="55"/>
        <v>43617</v>
      </c>
      <c r="AF730" s="289">
        <v>9002.842094791713</v>
      </c>
      <c r="AG730">
        <f t="shared" si="56"/>
        <v>360</v>
      </c>
      <c r="AH730" s="289">
        <f t="shared" si="57"/>
        <v>25.007894707754758</v>
      </c>
      <c r="AJ730" s="289">
        <f t="shared" si="58"/>
        <v>42</v>
      </c>
      <c r="AK730" s="289">
        <f t="shared" si="59"/>
        <v>1050.3315777256998</v>
      </c>
    </row>
    <row r="731" spans="1:37">
      <c r="A731" s="703" t="s">
        <v>1750</v>
      </c>
      <c r="B731" s="703" t="s">
        <v>1606</v>
      </c>
      <c r="C731" s="703" t="s">
        <v>390</v>
      </c>
      <c r="D731" s="703" t="s">
        <v>391</v>
      </c>
      <c r="E731" s="703" t="s">
        <v>334</v>
      </c>
      <c r="F731" s="703" t="s">
        <v>335</v>
      </c>
      <c r="G731" s="703" t="s">
        <v>1751</v>
      </c>
      <c r="H731" s="703" t="s">
        <v>334</v>
      </c>
      <c r="I731" s="703" t="s">
        <v>334</v>
      </c>
      <c r="J731" s="703" t="s">
        <v>337</v>
      </c>
      <c r="K731" s="704">
        <v>0</v>
      </c>
      <c r="L731" s="703" t="s">
        <v>334</v>
      </c>
      <c r="M731" s="702">
        <v>42886</v>
      </c>
      <c r="N731" s="702">
        <v>43482</v>
      </c>
      <c r="O731" s="703" t="s">
        <v>338</v>
      </c>
      <c r="P731" s="20">
        <v>4509.33</v>
      </c>
      <c r="Q731" s="20">
        <v>0</v>
      </c>
      <c r="R731" s="20">
        <v>0</v>
      </c>
      <c r="S731" s="20">
        <v>0</v>
      </c>
      <c r="T731" s="20">
        <v>4509.33</v>
      </c>
      <c r="U731" s="20">
        <v>4070.92</v>
      </c>
      <c r="V731" s="20">
        <v>-438.41</v>
      </c>
      <c r="W731" s="20">
        <v>-588.72</v>
      </c>
      <c r="X731" s="20">
        <v>-150.31</v>
      </c>
      <c r="Y731" s="20">
        <v>0</v>
      </c>
      <c r="Z731" s="20">
        <v>0</v>
      </c>
      <c r="AA731" s="20">
        <v>0</v>
      </c>
      <c r="AB731" s="20">
        <v>3920.61</v>
      </c>
      <c r="AC731" t="s">
        <v>188</v>
      </c>
      <c r="AD731" t="s">
        <v>290</v>
      </c>
      <c r="AE731" s="702">
        <f t="shared" si="55"/>
        <v>43617</v>
      </c>
      <c r="AF731" s="289">
        <v>7017.3885889796002</v>
      </c>
      <c r="AG731">
        <f t="shared" si="56"/>
        <v>360</v>
      </c>
      <c r="AH731" s="289">
        <f t="shared" si="57"/>
        <v>19.49274608049889</v>
      </c>
      <c r="AJ731" s="289">
        <f t="shared" si="58"/>
        <v>42</v>
      </c>
      <c r="AK731" s="289">
        <f t="shared" si="59"/>
        <v>818.69533538095334</v>
      </c>
    </row>
    <row r="732" spans="1:37">
      <c r="A732" s="703" t="s">
        <v>1752</v>
      </c>
      <c r="B732" s="703" t="s">
        <v>1606</v>
      </c>
      <c r="C732" s="703" t="s">
        <v>390</v>
      </c>
      <c r="D732" s="703" t="s">
        <v>391</v>
      </c>
      <c r="E732" s="703" t="s">
        <v>334</v>
      </c>
      <c r="F732" s="703" t="s">
        <v>335</v>
      </c>
      <c r="G732" s="703" t="s">
        <v>1753</v>
      </c>
      <c r="H732" s="703" t="s">
        <v>334</v>
      </c>
      <c r="I732" s="703" t="s">
        <v>334</v>
      </c>
      <c r="J732" s="703" t="s">
        <v>337</v>
      </c>
      <c r="K732" s="704">
        <v>0</v>
      </c>
      <c r="L732" s="703" t="s">
        <v>334</v>
      </c>
      <c r="M732" s="702">
        <v>42886</v>
      </c>
      <c r="N732" s="702">
        <v>43482</v>
      </c>
      <c r="O732" s="703" t="s">
        <v>338</v>
      </c>
      <c r="P732" s="20">
        <v>19990.75</v>
      </c>
      <c r="Q732" s="20">
        <v>0</v>
      </c>
      <c r="R732" s="20">
        <v>0</v>
      </c>
      <c r="S732" s="20">
        <v>0</v>
      </c>
      <c r="T732" s="20">
        <v>19990.75</v>
      </c>
      <c r="U732" s="20">
        <v>18047.2</v>
      </c>
      <c r="V732" s="20">
        <v>-1943.55</v>
      </c>
      <c r="W732" s="20">
        <v>-2609.91</v>
      </c>
      <c r="X732" s="20">
        <v>-666.36</v>
      </c>
      <c r="Y732" s="20">
        <v>0</v>
      </c>
      <c r="Z732" s="20">
        <v>0</v>
      </c>
      <c r="AA732" s="20">
        <v>0</v>
      </c>
      <c r="AB732" s="20">
        <v>17380.84</v>
      </c>
      <c r="AC732" t="s">
        <v>188</v>
      </c>
      <c r="AD732" t="s">
        <v>290</v>
      </c>
      <c r="AE732" s="702">
        <f t="shared" si="55"/>
        <v>43617</v>
      </c>
      <c r="AF732" s="289">
        <v>31109.468798057351</v>
      </c>
      <c r="AG732">
        <f t="shared" si="56"/>
        <v>360</v>
      </c>
      <c r="AH732" s="289">
        <f t="shared" si="57"/>
        <v>86.415191105714868</v>
      </c>
      <c r="AJ732" s="289">
        <f t="shared" si="58"/>
        <v>42</v>
      </c>
      <c r="AK732" s="289">
        <f t="shared" si="59"/>
        <v>3629.4380264400243</v>
      </c>
    </row>
    <row r="733" spans="1:37">
      <c r="A733" s="703" t="s">
        <v>1754</v>
      </c>
      <c r="B733" s="703" t="s">
        <v>1606</v>
      </c>
      <c r="C733" s="703" t="s">
        <v>390</v>
      </c>
      <c r="D733" s="703" t="s">
        <v>391</v>
      </c>
      <c r="E733" s="703" t="s">
        <v>334</v>
      </c>
      <c r="F733" s="703" t="s">
        <v>335</v>
      </c>
      <c r="G733" s="703" t="s">
        <v>1755</v>
      </c>
      <c r="H733" s="703" t="s">
        <v>334</v>
      </c>
      <c r="I733" s="703" t="s">
        <v>334</v>
      </c>
      <c r="J733" s="703" t="s">
        <v>337</v>
      </c>
      <c r="K733" s="704">
        <v>0</v>
      </c>
      <c r="L733" s="703" t="s">
        <v>334</v>
      </c>
      <c r="M733" s="702">
        <v>42886</v>
      </c>
      <c r="N733" s="702">
        <v>43482</v>
      </c>
      <c r="O733" s="703" t="s">
        <v>338</v>
      </c>
      <c r="P733" s="20">
        <v>61894.29</v>
      </c>
      <c r="Q733" s="20">
        <v>0</v>
      </c>
      <c r="R733" s="20">
        <v>0</v>
      </c>
      <c r="S733" s="20">
        <v>0</v>
      </c>
      <c r="T733" s="20">
        <v>61894.29</v>
      </c>
      <c r="U733" s="20">
        <v>55876.800000000003</v>
      </c>
      <c r="V733" s="20">
        <v>-6017.49</v>
      </c>
      <c r="W733" s="20">
        <v>-8080.63</v>
      </c>
      <c r="X733" s="20">
        <v>-2063.14</v>
      </c>
      <c r="Y733" s="20">
        <v>0</v>
      </c>
      <c r="Z733" s="20">
        <v>0</v>
      </c>
      <c r="AA733" s="20">
        <v>0</v>
      </c>
      <c r="AB733" s="20">
        <v>53813.66</v>
      </c>
      <c r="AC733" t="s">
        <v>188</v>
      </c>
      <c r="AD733" t="s">
        <v>290</v>
      </c>
      <c r="AE733" s="702">
        <f t="shared" si="55"/>
        <v>43617</v>
      </c>
      <c r="AF733" s="289">
        <v>96319.471932414395</v>
      </c>
      <c r="AG733">
        <f t="shared" si="56"/>
        <v>360</v>
      </c>
      <c r="AH733" s="289">
        <f t="shared" si="57"/>
        <v>267.5540887011511</v>
      </c>
      <c r="AJ733" s="289">
        <f t="shared" si="58"/>
        <v>42</v>
      </c>
      <c r="AK733" s="289">
        <f t="shared" si="59"/>
        <v>11237.271725448347</v>
      </c>
    </row>
    <row r="734" spans="1:37">
      <c r="A734" s="703" t="s">
        <v>1756</v>
      </c>
      <c r="B734" s="703" t="s">
        <v>1606</v>
      </c>
      <c r="C734" s="703" t="s">
        <v>390</v>
      </c>
      <c r="D734" s="703" t="s">
        <v>391</v>
      </c>
      <c r="E734" s="703" t="s">
        <v>334</v>
      </c>
      <c r="F734" s="703" t="s">
        <v>335</v>
      </c>
      <c r="G734" s="703" t="s">
        <v>1757</v>
      </c>
      <c r="H734" s="703" t="s">
        <v>334</v>
      </c>
      <c r="I734" s="703" t="s">
        <v>334</v>
      </c>
      <c r="J734" s="703" t="s">
        <v>337</v>
      </c>
      <c r="K734" s="704">
        <v>0</v>
      </c>
      <c r="L734" s="703" t="s">
        <v>334</v>
      </c>
      <c r="M734" s="702">
        <v>42886</v>
      </c>
      <c r="N734" s="702">
        <v>43482</v>
      </c>
      <c r="O734" s="703" t="s">
        <v>338</v>
      </c>
      <c r="P734" s="20">
        <v>2368.23</v>
      </c>
      <c r="Q734" s="20">
        <v>0</v>
      </c>
      <c r="R734" s="20">
        <v>0</v>
      </c>
      <c r="S734" s="20">
        <v>0</v>
      </c>
      <c r="T734" s="20">
        <v>2368.23</v>
      </c>
      <c r="U734" s="20">
        <v>2137.9899999999998</v>
      </c>
      <c r="V734" s="20">
        <v>-230.24</v>
      </c>
      <c r="W734" s="20">
        <v>-309.18</v>
      </c>
      <c r="X734" s="20">
        <v>-78.94</v>
      </c>
      <c r="Y734" s="20">
        <v>0</v>
      </c>
      <c r="Z734" s="20">
        <v>0</v>
      </c>
      <c r="AA734" s="20">
        <v>0</v>
      </c>
      <c r="AB734" s="20">
        <v>2059.0500000000002</v>
      </c>
      <c r="AC734" t="s">
        <v>188</v>
      </c>
      <c r="AD734" t="s">
        <v>290</v>
      </c>
      <c r="AE734" s="702">
        <f t="shared" si="55"/>
        <v>43617</v>
      </c>
      <c r="AF734" s="289">
        <v>3685.4233728911304</v>
      </c>
      <c r="AG734">
        <f t="shared" si="56"/>
        <v>360</v>
      </c>
      <c r="AH734" s="289">
        <f t="shared" si="57"/>
        <v>10.237287146919806</v>
      </c>
      <c r="AJ734" s="289">
        <f t="shared" si="58"/>
        <v>42</v>
      </c>
      <c r="AK734" s="289">
        <f t="shared" si="59"/>
        <v>429.96606017063186</v>
      </c>
    </row>
    <row r="735" spans="1:37">
      <c r="A735" s="703" t="s">
        <v>1758</v>
      </c>
      <c r="B735" s="703" t="s">
        <v>1606</v>
      </c>
      <c r="C735" s="703" t="s">
        <v>390</v>
      </c>
      <c r="D735" s="703" t="s">
        <v>391</v>
      </c>
      <c r="E735" s="703" t="s">
        <v>334</v>
      </c>
      <c r="F735" s="703" t="s">
        <v>335</v>
      </c>
      <c r="G735" s="703" t="s">
        <v>1759</v>
      </c>
      <c r="H735" s="703" t="s">
        <v>334</v>
      </c>
      <c r="I735" s="703" t="s">
        <v>334</v>
      </c>
      <c r="J735" s="703" t="s">
        <v>337</v>
      </c>
      <c r="K735" s="704">
        <v>0</v>
      </c>
      <c r="L735" s="703" t="s">
        <v>334</v>
      </c>
      <c r="M735" s="702">
        <v>42886</v>
      </c>
      <c r="N735" s="702">
        <v>43482</v>
      </c>
      <c r="O735" s="703" t="s">
        <v>338</v>
      </c>
      <c r="P735" s="20">
        <v>5858.61</v>
      </c>
      <c r="Q735" s="20">
        <v>0</v>
      </c>
      <c r="R735" s="20">
        <v>0</v>
      </c>
      <c r="S735" s="20">
        <v>0</v>
      </c>
      <c r="T735" s="20">
        <v>5858.61</v>
      </c>
      <c r="U735" s="20">
        <v>5289.02</v>
      </c>
      <c r="V735" s="20">
        <v>-569.59</v>
      </c>
      <c r="W735" s="20">
        <v>-764.88</v>
      </c>
      <c r="X735" s="20">
        <v>-195.29</v>
      </c>
      <c r="Y735" s="20">
        <v>0</v>
      </c>
      <c r="Z735" s="20">
        <v>0</v>
      </c>
      <c r="AA735" s="20">
        <v>0</v>
      </c>
      <c r="AB735" s="20">
        <v>5093.7299999999996</v>
      </c>
      <c r="AC735" t="s">
        <v>188</v>
      </c>
      <c r="AD735" t="s">
        <v>290</v>
      </c>
      <c r="AE735" s="702">
        <f t="shared" si="55"/>
        <v>43617</v>
      </c>
      <c r="AF735" s="289">
        <v>9117.1289218757065</v>
      </c>
      <c r="AG735">
        <f t="shared" si="56"/>
        <v>360</v>
      </c>
      <c r="AH735" s="289">
        <f t="shared" si="57"/>
        <v>25.325358116321407</v>
      </c>
      <c r="AJ735" s="289">
        <f t="shared" si="58"/>
        <v>42</v>
      </c>
      <c r="AK735" s="289">
        <f t="shared" si="59"/>
        <v>1063.6650408854991</v>
      </c>
    </row>
    <row r="736" spans="1:37">
      <c r="A736" s="703" t="s">
        <v>1760</v>
      </c>
      <c r="B736" s="703" t="s">
        <v>1606</v>
      </c>
      <c r="C736" s="703" t="s">
        <v>390</v>
      </c>
      <c r="D736" s="703" t="s">
        <v>391</v>
      </c>
      <c r="E736" s="703" t="s">
        <v>334</v>
      </c>
      <c r="F736" s="703" t="s">
        <v>335</v>
      </c>
      <c r="G736" s="703" t="s">
        <v>1761</v>
      </c>
      <c r="H736" s="703" t="s">
        <v>334</v>
      </c>
      <c r="I736" s="703" t="s">
        <v>334</v>
      </c>
      <c r="J736" s="703" t="s">
        <v>337</v>
      </c>
      <c r="K736" s="704">
        <v>0</v>
      </c>
      <c r="L736" s="703" t="s">
        <v>334</v>
      </c>
      <c r="M736" s="702">
        <v>42886</v>
      </c>
      <c r="N736" s="702">
        <v>43482</v>
      </c>
      <c r="O736" s="703" t="s">
        <v>338</v>
      </c>
      <c r="P736" s="20">
        <v>3439.48</v>
      </c>
      <c r="Q736" s="20">
        <v>0</v>
      </c>
      <c r="R736" s="20">
        <v>0</v>
      </c>
      <c r="S736" s="20">
        <v>0</v>
      </c>
      <c r="T736" s="20">
        <v>3439.48</v>
      </c>
      <c r="U736" s="20">
        <v>3105.08</v>
      </c>
      <c r="V736" s="20">
        <v>-334.4</v>
      </c>
      <c r="W736" s="20">
        <v>-449.05</v>
      </c>
      <c r="X736" s="20">
        <v>-114.65</v>
      </c>
      <c r="Y736" s="20">
        <v>0</v>
      </c>
      <c r="Z736" s="20">
        <v>0</v>
      </c>
      <c r="AA736" s="20">
        <v>0</v>
      </c>
      <c r="AB736" s="20">
        <v>2990.43</v>
      </c>
      <c r="AC736" t="s">
        <v>188</v>
      </c>
      <c r="AD736" t="s">
        <v>290</v>
      </c>
      <c r="AE736" s="702">
        <f t="shared" si="55"/>
        <v>43617</v>
      </c>
      <c r="AF736" s="289">
        <v>5352.4953161608391</v>
      </c>
      <c r="AG736">
        <f t="shared" si="56"/>
        <v>360</v>
      </c>
      <c r="AH736" s="289">
        <f t="shared" si="57"/>
        <v>14.868042544891219</v>
      </c>
      <c r="AJ736" s="289">
        <f t="shared" si="58"/>
        <v>42</v>
      </c>
      <c r="AK736" s="289">
        <f t="shared" si="59"/>
        <v>624.45778688543123</v>
      </c>
    </row>
    <row r="737" spans="1:37">
      <c r="A737" s="703" t="s">
        <v>1762</v>
      </c>
      <c r="B737" s="703" t="s">
        <v>1606</v>
      </c>
      <c r="C737" s="703" t="s">
        <v>390</v>
      </c>
      <c r="D737" s="703" t="s">
        <v>391</v>
      </c>
      <c r="E737" s="703" t="s">
        <v>334</v>
      </c>
      <c r="F737" s="703" t="s">
        <v>335</v>
      </c>
      <c r="G737" s="703" t="s">
        <v>1763</v>
      </c>
      <c r="H737" s="703" t="s">
        <v>334</v>
      </c>
      <c r="I737" s="703" t="s">
        <v>334</v>
      </c>
      <c r="J737" s="703" t="s">
        <v>337</v>
      </c>
      <c r="K737" s="704">
        <v>0</v>
      </c>
      <c r="L737" s="703" t="s">
        <v>334</v>
      </c>
      <c r="M737" s="702">
        <v>42613</v>
      </c>
      <c r="N737" s="702">
        <v>43482</v>
      </c>
      <c r="O737" s="703" t="s">
        <v>338</v>
      </c>
      <c r="P737" s="20">
        <v>6338.94</v>
      </c>
      <c r="Q737" s="20">
        <v>0</v>
      </c>
      <c r="R737" s="20">
        <v>0</v>
      </c>
      <c r="S737" s="20">
        <v>0</v>
      </c>
      <c r="T737" s="20">
        <v>6338.94</v>
      </c>
      <c r="U737" s="20">
        <v>5722.65</v>
      </c>
      <c r="V737" s="20">
        <v>-616.29</v>
      </c>
      <c r="W737" s="20">
        <v>-827.59</v>
      </c>
      <c r="X737" s="20">
        <v>-211.3</v>
      </c>
      <c r="Y737" s="20">
        <v>0</v>
      </c>
      <c r="Z737" s="20">
        <v>0</v>
      </c>
      <c r="AA737" s="20">
        <v>0</v>
      </c>
      <c r="AB737" s="20">
        <v>5511.35</v>
      </c>
      <c r="AC737" t="s">
        <v>188</v>
      </c>
      <c r="AD737" t="s">
        <v>290</v>
      </c>
      <c r="AE737" s="702">
        <f t="shared" si="55"/>
        <v>43617</v>
      </c>
      <c r="AF737" s="289">
        <v>9864.6151916640283</v>
      </c>
      <c r="AG737">
        <f t="shared" si="56"/>
        <v>360</v>
      </c>
      <c r="AH737" s="289">
        <f t="shared" si="57"/>
        <v>27.401708865733411</v>
      </c>
      <c r="AJ737" s="289">
        <f t="shared" si="58"/>
        <v>42</v>
      </c>
      <c r="AK737" s="289">
        <f t="shared" si="59"/>
        <v>1150.8717723608033</v>
      </c>
    </row>
    <row r="738" spans="1:37">
      <c r="A738" s="703" t="s">
        <v>1764</v>
      </c>
      <c r="B738" s="703" t="s">
        <v>1606</v>
      </c>
      <c r="C738" s="703" t="s">
        <v>390</v>
      </c>
      <c r="D738" s="703" t="s">
        <v>391</v>
      </c>
      <c r="E738" s="703" t="s">
        <v>334</v>
      </c>
      <c r="F738" s="703" t="s">
        <v>335</v>
      </c>
      <c r="G738" s="703" t="s">
        <v>1765</v>
      </c>
      <c r="H738" s="703" t="s">
        <v>334</v>
      </c>
      <c r="I738" s="703" t="s">
        <v>334</v>
      </c>
      <c r="J738" s="703" t="s">
        <v>337</v>
      </c>
      <c r="K738" s="704">
        <v>0</v>
      </c>
      <c r="L738" s="703" t="s">
        <v>334</v>
      </c>
      <c r="M738" s="702">
        <v>42613</v>
      </c>
      <c r="N738" s="702">
        <v>43482</v>
      </c>
      <c r="O738" s="703" t="s">
        <v>338</v>
      </c>
      <c r="P738" s="20">
        <v>5485.88</v>
      </c>
      <c r="Q738" s="20">
        <v>0</v>
      </c>
      <c r="R738" s="20">
        <v>0</v>
      </c>
      <c r="S738" s="20">
        <v>0</v>
      </c>
      <c r="T738" s="20">
        <v>5485.88</v>
      </c>
      <c r="U738" s="20">
        <v>4952.54</v>
      </c>
      <c r="V738" s="20">
        <v>-533.34</v>
      </c>
      <c r="W738" s="20">
        <v>-716.2</v>
      </c>
      <c r="X738" s="20">
        <v>-182.86</v>
      </c>
      <c r="Y738" s="20">
        <v>0</v>
      </c>
      <c r="Z738" s="20">
        <v>0</v>
      </c>
      <c r="AA738" s="20">
        <v>0</v>
      </c>
      <c r="AB738" s="20">
        <v>4769.68</v>
      </c>
      <c r="AC738" t="s">
        <v>188</v>
      </c>
      <c r="AD738" t="s">
        <v>290</v>
      </c>
      <c r="AE738" s="702">
        <f t="shared" si="55"/>
        <v>43617</v>
      </c>
      <c r="AF738" s="289">
        <v>8537.0890381744994</v>
      </c>
      <c r="AG738">
        <f t="shared" si="56"/>
        <v>360</v>
      </c>
      <c r="AH738" s="289">
        <f t="shared" si="57"/>
        <v>23.714136217151388</v>
      </c>
      <c r="AJ738" s="289">
        <f t="shared" si="58"/>
        <v>42</v>
      </c>
      <c r="AK738" s="289">
        <f t="shared" si="59"/>
        <v>995.99372112035826</v>
      </c>
    </row>
    <row r="739" spans="1:37">
      <c r="A739" s="703" t="s">
        <v>1766</v>
      </c>
      <c r="B739" s="703" t="s">
        <v>1606</v>
      </c>
      <c r="C739" s="703" t="s">
        <v>390</v>
      </c>
      <c r="D739" s="703" t="s">
        <v>391</v>
      </c>
      <c r="E739" s="703" t="s">
        <v>334</v>
      </c>
      <c r="F739" s="703" t="s">
        <v>335</v>
      </c>
      <c r="G739" s="703" t="s">
        <v>1767</v>
      </c>
      <c r="H739" s="703" t="s">
        <v>334</v>
      </c>
      <c r="I739" s="703" t="s">
        <v>334</v>
      </c>
      <c r="J739" s="703" t="s">
        <v>337</v>
      </c>
      <c r="K739" s="704">
        <v>0</v>
      </c>
      <c r="L739" s="703" t="s">
        <v>334</v>
      </c>
      <c r="M739" s="702">
        <v>43100</v>
      </c>
      <c r="N739" s="702">
        <v>43482</v>
      </c>
      <c r="O739" s="703" t="s">
        <v>338</v>
      </c>
      <c r="P739" s="20">
        <v>995.94</v>
      </c>
      <c r="Q739" s="20">
        <v>0</v>
      </c>
      <c r="R739" s="20">
        <v>0</v>
      </c>
      <c r="S739" s="20">
        <v>0</v>
      </c>
      <c r="T739" s="20">
        <v>995.94</v>
      </c>
      <c r="U739" s="20">
        <v>899.11</v>
      </c>
      <c r="V739" s="20">
        <v>-96.83</v>
      </c>
      <c r="W739" s="20">
        <v>-130.03</v>
      </c>
      <c r="X739" s="20">
        <v>-33.200000000000003</v>
      </c>
      <c r="Y739" s="20">
        <v>0</v>
      </c>
      <c r="Z739" s="20">
        <v>0</v>
      </c>
      <c r="AA739" s="20">
        <v>0</v>
      </c>
      <c r="AB739" s="20">
        <v>865.91</v>
      </c>
      <c r="AC739" t="s">
        <v>188</v>
      </c>
      <c r="AD739" t="s">
        <v>290</v>
      </c>
      <c r="AE739" s="702">
        <f t="shared" si="55"/>
        <v>43617</v>
      </c>
      <c r="AF739" s="289">
        <v>1549.8750349405218</v>
      </c>
      <c r="AG739">
        <f t="shared" si="56"/>
        <v>360</v>
      </c>
      <c r="AH739" s="289">
        <f t="shared" si="57"/>
        <v>4.305208430390338</v>
      </c>
      <c r="AJ739" s="289">
        <f t="shared" si="58"/>
        <v>42</v>
      </c>
      <c r="AK739" s="289">
        <f t="shared" si="59"/>
        <v>180.81875407639419</v>
      </c>
    </row>
    <row r="740" spans="1:37">
      <c r="A740" s="703" t="s">
        <v>460</v>
      </c>
      <c r="B740" s="703" t="s">
        <v>1606</v>
      </c>
      <c r="C740" s="703" t="s">
        <v>454</v>
      </c>
      <c r="D740" s="703" t="s">
        <v>334</v>
      </c>
      <c r="E740" s="703" t="s">
        <v>334</v>
      </c>
      <c r="F740" s="703" t="s">
        <v>455</v>
      </c>
      <c r="G740" s="703" t="s">
        <v>461</v>
      </c>
      <c r="H740" s="703" t="s">
        <v>462</v>
      </c>
      <c r="I740" s="703" t="s">
        <v>334</v>
      </c>
      <c r="J740" s="703" t="s">
        <v>458</v>
      </c>
      <c r="K740" s="704">
        <v>7</v>
      </c>
      <c r="L740" s="703" t="s">
        <v>463</v>
      </c>
      <c r="M740" s="702"/>
      <c r="N740" s="702">
        <v>43496</v>
      </c>
      <c r="O740" s="703" t="s">
        <v>338</v>
      </c>
      <c r="P740" s="20">
        <v>109759.75</v>
      </c>
      <c r="Q740" s="20">
        <v>0</v>
      </c>
      <c r="R740" s="20">
        <v>0</v>
      </c>
      <c r="S740" s="20">
        <v>0</v>
      </c>
      <c r="T740" s="20">
        <v>109759.75</v>
      </c>
      <c r="U740" s="20">
        <v>96817.41</v>
      </c>
      <c r="V740" s="20">
        <v>-12942.34</v>
      </c>
      <c r="W740" s="20">
        <v>-18430.330000000002</v>
      </c>
      <c r="X740" s="20">
        <v>-5487.99</v>
      </c>
      <c r="Y740" s="20">
        <v>0</v>
      </c>
      <c r="Z740" s="20">
        <v>0</v>
      </c>
      <c r="AA740" s="20">
        <v>0</v>
      </c>
      <c r="AB740" s="20">
        <v>91329.42</v>
      </c>
      <c r="AC740" t="s">
        <v>459</v>
      </c>
      <c r="AD740" t="s">
        <v>290</v>
      </c>
      <c r="AE740" s="702">
        <f t="shared" si="55"/>
        <v>43617</v>
      </c>
      <c r="AF740" s="289">
        <v>170807.3743059953</v>
      </c>
      <c r="AG740">
        <f t="shared" si="56"/>
        <v>360</v>
      </c>
      <c r="AH740" s="289">
        <f t="shared" si="57"/>
        <v>474.46492862776472</v>
      </c>
      <c r="AJ740" s="289">
        <f t="shared" si="58"/>
        <v>42</v>
      </c>
      <c r="AK740" s="289">
        <f t="shared" si="59"/>
        <v>19927.527002366118</v>
      </c>
    </row>
    <row r="741" spans="1:37">
      <c r="A741" s="703" t="s">
        <v>453</v>
      </c>
      <c r="B741" s="703" t="s">
        <v>1606</v>
      </c>
      <c r="C741" s="703" t="s">
        <v>454</v>
      </c>
      <c r="D741" s="703" t="s">
        <v>334</v>
      </c>
      <c r="E741" s="703" t="s">
        <v>334</v>
      </c>
      <c r="F741" s="703" t="s">
        <v>455</v>
      </c>
      <c r="G741" s="703" t="s">
        <v>456</v>
      </c>
      <c r="H741" s="703" t="s">
        <v>457</v>
      </c>
      <c r="I741" s="703" t="s">
        <v>334</v>
      </c>
      <c r="J741" s="703" t="s">
        <v>458</v>
      </c>
      <c r="K741" s="704">
        <v>16</v>
      </c>
      <c r="L741" s="703" t="s">
        <v>463</v>
      </c>
      <c r="M741" s="702"/>
      <c r="N741" s="702">
        <v>43496</v>
      </c>
      <c r="O741" s="703" t="s">
        <v>338</v>
      </c>
      <c r="P741" s="20">
        <v>406677.61</v>
      </c>
      <c r="Q741" s="20">
        <v>0</v>
      </c>
      <c r="R741" s="20">
        <v>0</v>
      </c>
      <c r="S741" s="20">
        <v>0</v>
      </c>
      <c r="T741" s="20">
        <v>406677.61</v>
      </c>
      <c r="U741" s="20">
        <v>362183.5</v>
      </c>
      <c r="V741" s="20">
        <v>-44494.11</v>
      </c>
      <c r="W741" s="20">
        <v>-64827.99</v>
      </c>
      <c r="X741" s="20">
        <v>-20333.88</v>
      </c>
      <c r="Y741" s="20">
        <v>0</v>
      </c>
      <c r="Z741" s="20">
        <v>0</v>
      </c>
      <c r="AA741" s="20">
        <v>0</v>
      </c>
      <c r="AB741" s="20">
        <v>341849.62</v>
      </c>
      <c r="AC741" t="s">
        <v>459</v>
      </c>
      <c r="AD741" t="s">
        <v>290</v>
      </c>
      <c r="AE741" s="702">
        <f t="shared" si="55"/>
        <v>43617</v>
      </c>
      <c r="AF741" s="289">
        <v>632868.92283498798</v>
      </c>
      <c r="AG741">
        <f t="shared" si="56"/>
        <v>360</v>
      </c>
      <c r="AH741" s="289">
        <f t="shared" si="57"/>
        <v>1757.9692300971888</v>
      </c>
      <c r="AJ741" s="289">
        <f t="shared" si="58"/>
        <v>42</v>
      </c>
      <c r="AK741" s="289">
        <f t="shared" si="59"/>
        <v>73834.707664081929</v>
      </c>
    </row>
    <row r="742" spans="1:37">
      <c r="A742" s="703" t="s">
        <v>620</v>
      </c>
      <c r="B742" s="703" t="s">
        <v>1606</v>
      </c>
      <c r="C742" s="703" t="s">
        <v>454</v>
      </c>
      <c r="D742" s="703" t="s">
        <v>334</v>
      </c>
      <c r="E742" s="703" t="s">
        <v>334</v>
      </c>
      <c r="F742" s="703" t="s">
        <v>455</v>
      </c>
      <c r="G742" s="703" t="s">
        <v>621</v>
      </c>
      <c r="H742" s="703" t="s">
        <v>622</v>
      </c>
      <c r="I742" s="703" t="s">
        <v>334</v>
      </c>
      <c r="J742" s="703" t="s">
        <v>458</v>
      </c>
      <c r="K742" s="704">
        <v>18</v>
      </c>
      <c r="L742" s="703" t="s">
        <v>463</v>
      </c>
      <c r="M742" s="702"/>
      <c r="N742" s="702">
        <v>43496</v>
      </c>
      <c r="O742" s="703" t="s">
        <v>338</v>
      </c>
      <c r="P742" s="20">
        <v>119731.81</v>
      </c>
      <c r="Q742" s="20">
        <v>0</v>
      </c>
      <c r="R742" s="20">
        <v>0</v>
      </c>
      <c r="S742" s="20">
        <v>0</v>
      </c>
      <c r="T742" s="20">
        <v>119731.81</v>
      </c>
      <c r="U742" s="20">
        <v>106161.63</v>
      </c>
      <c r="V742" s="20">
        <v>-13570.18</v>
      </c>
      <c r="W742" s="20">
        <v>-19556.77</v>
      </c>
      <c r="X742" s="20">
        <v>-5986.59</v>
      </c>
      <c r="Y742" s="20">
        <v>0</v>
      </c>
      <c r="Z742" s="20">
        <v>0</v>
      </c>
      <c r="AA742" s="20">
        <v>0</v>
      </c>
      <c r="AB742" s="20">
        <v>100175.03999999999</v>
      </c>
      <c r="AC742" t="s">
        <v>459</v>
      </c>
      <c r="AD742" t="s">
        <v>290</v>
      </c>
      <c r="AE742" s="702">
        <f t="shared" si="55"/>
        <v>43617</v>
      </c>
      <c r="AF742" s="289">
        <v>186325.8260610498</v>
      </c>
      <c r="AG742">
        <f t="shared" si="56"/>
        <v>360</v>
      </c>
      <c r="AH742" s="289">
        <f t="shared" si="57"/>
        <v>517.57173905847162</v>
      </c>
      <c r="AJ742" s="289">
        <f t="shared" si="58"/>
        <v>42</v>
      </c>
      <c r="AK742" s="289">
        <f t="shared" si="59"/>
        <v>21738.013040455808</v>
      </c>
    </row>
    <row r="743" spans="1:37">
      <c r="A743" s="703" t="s">
        <v>1768</v>
      </c>
      <c r="B743" s="703" t="s">
        <v>1606</v>
      </c>
      <c r="C743" s="703" t="s">
        <v>454</v>
      </c>
      <c r="D743" s="703" t="s">
        <v>334</v>
      </c>
      <c r="E743" s="703" t="s">
        <v>334</v>
      </c>
      <c r="F743" s="703" t="s">
        <v>455</v>
      </c>
      <c r="G743" s="703" t="s">
        <v>1769</v>
      </c>
      <c r="H743" s="703" t="s">
        <v>334</v>
      </c>
      <c r="I743" s="703" t="s">
        <v>334</v>
      </c>
      <c r="J743" s="703" t="s">
        <v>458</v>
      </c>
      <c r="K743" s="704">
        <v>663</v>
      </c>
      <c r="L743" s="703" t="s">
        <v>463</v>
      </c>
      <c r="M743" s="702"/>
      <c r="N743" s="702">
        <v>43496</v>
      </c>
      <c r="O743" s="703" t="s">
        <v>338</v>
      </c>
      <c r="P743" s="20">
        <v>402605.04</v>
      </c>
      <c r="Q743" s="20">
        <v>0</v>
      </c>
      <c r="R743" s="20">
        <v>0</v>
      </c>
      <c r="S743" s="20">
        <v>0</v>
      </c>
      <c r="T743" s="20">
        <v>402605.04</v>
      </c>
      <c r="U743" s="20">
        <v>353770.81</v>
      </c>
      <c r="V743" s="20">
        <v>-48834.23</v>
      </c>
      <c r="W743" s="20">
        <v>-68964.479999999996</v>
      </c>
      <c r="X743" s="20">
        <v>-20130.25</v>
      </c>
      <c r="Y743" s="20">
        <v>0</v>
      </c>
      <c r="Z743" s="20">
        <v>0</v>
      </c>
      <c r="AA743" s="20">
        <v>0</v>
      </c>
      <c r="AB743" s="20">
        <v>333640.56</v>
      </c>
      <c r="AC743" t="s">
        <v>459</v>
      </c>
      <c r="AD743" t="s">
        <v>290</v>
      </c>
      <c r="AE743" s="702">
        <f t="shared" si="55"/>
        <v>43617</v>
      </c>
      <c r="AF743" s="289">
        <v>626531.21717897675</v>
      </c>
      <c r="AG743">
        <f t="shared" si="56"/>
        <v>360</v>
      </c>
      <c r="AH743" s="289">
        <f t="shared" si="57"/>
        <v>1740.3644921638243</v>
      </c>
      <c r="AJ743" s="289">
        <f t="shared" si="58"/>
        <v>42</v>
      </c>
      <c r="AK743" s="289">
        <f t="shared" si="59"/>
        <v>73095.308670880622</v>
      </c>
    </row>
    <row r="744" spans="1:37">
      <c r="A744" s="703" t="s">
        <v>1770</v>
      </c>
      <c r="B744" s="703" t="s">
        <v>1606</v>
      </c>
      <c r="C744" s="703" t="s">
        <v>454</v>
      </c>
      <c r="D744" s="703" t="s">
        <v>1771</v>
      </c>
      <c r="E744" s="703" t="s">
        <v>334</v>
      </c>
      <c r="F744" s="703" t="s">
        <v>455</v>
      </c>
      <c r="G744" s="703" t="s">
        <v>1772</v>
      </c>
      <c r="H744" s="703" t="s">
        <v>334</v>
      </c>
      <c r="I744" s="703" t="s">
        <v>334</v>
      </c>
      <c r="J744" s="703" t="s">
        <v>458</v>
      </c>
      <c r="K744" s="704">
        <v>291</v>
      </c>
      <c r="L744" s="703" t="s">
        <v>463</v>
      </c>
      <c r="M744" s="702"/>
      <c r="N744" s="702">
        <v>43496</v>
      </c>
      <c r="O744" s="703" t="s">
        <v>338</v>
      </c>
      <c r="P744" s="20">
        <v>269697.90999999997</v>
      </c>
      <c r="Q744" s="20">
        <v>0</v>
      </c>
      <c r="R744" s="20">
        <v>0</v>
      </c>
      <c r="S744" s="20">
        <v>0</v>
      </c>
      <c r="T744" s="20">
        <v>269697.90999999997</v>
      </c>
      <c r="U744" s="20">
        <v>239459.39</v>
      </c>
      <c r="V744" s="20">
        <v>-30238.52</v>
      </c>
      <c r="W744" s="20">
        <v>-43723.42</v>
      </c>
      <c r="X744" s="20">
        <v>-13484.9</v>
      </c>
      <c r="Y744" s="20">
        <v>0</v>
      </c>
      <c r="Z744" s="20">
        <v>0</v>
      </c>
      <c r="AA744" s="20">
        <v>0</v>
      </c>
      <c r="AB744" s="20">
        <v>225974.49</v>
      </c>
      <c r="AC744" t="s">
        <v>459</v>
      </c>
      <c r="AD744" t="s">
        <v>290</v>
      </c>
      <c r="AE744" s="702">
        <f t="shared" si="55"/>
        <v>43617</v>
      </c>
      <c r="AF744" s="289">
        <v>419702.04799951374</v>
      </c>
      <c r="AG744">
        <f t="shared" si="56"/>
        <v>360</v>
      </c>
      <c r="AH744" s="289">
        <f t="shared" si="57"/>
        <v>1165.8390222208716</v>
      </c>
      <c r="AJ744" s="289">
        <f t="shared" si="58"/>
        <v>42</v>
      </c>
      <c r="AK744" s="289">
        <f t="shared" si="59"/>
        <v>48965.238933276603</v>
      </c>
    </row>
    <row r="745" spans="1:37">
      <c r="A745" s="703" t="s">
        <v>1773</v>
      </c>
      <c r="B745" s="703" t="s">
        <v>1606</v>
      </c>
      <c r="C745" s="703" t="s">
        <v>454</v>
      </c>
      <c r="D745" s="703" t="s">
        <v>467</v>
      </c>
      <c r="E745" s="703" t="s">
        <v>334</v>
      </c>
      <c r="F745" s="703" t="s">
        <v>455</v>
      </c>
      <c r="G745" s="703" t="s">
        <v>1774</v>
      </c>
      <c r="H745" s="703" t="s">
        <v>334</v>
      </c>
      <c r="I745" s="703" t="s">
        <v>334</v>
      </c>
      <c r="J745" s="703" t="s">
        <v>458</v>
      </c>
      <c r="K745" s="704">
        <v>6834</v>
      </c>
      <c r="L745" s="703" t="s">
        <v>463</v>
      </c>
      <c r="M745" s="702"/>
      <c r="N745" s="702">
        <v>43496</v>
      </c>
      <c r="O745" s="703" t="s">
        <v>338</v>
      </c>
      <c r="P745" s="20">
        <v>4433096.46</v>
      </c>
      <c r="Q745" s="20">
        <v>0</v>
      </c>
      <c r="R745" s="20">
        <v>0</v>
      </c>
      <c r="S745" s="20">
        <v>0</v>
      </c>
      <c r="T745" s="20">
        <v>4433096.46</v>
      </c>
      <c r="U745" s="20">
        <v>3883715.58</v>
      </c>
      <c r="V745" s="20">
        <v>-549380.88</v>
      </c>
      <c r="W745" s="20">
        <v>-771035.7</v>
      </c>
      <c r="X745" s="20">
        <v>-221654.82</v>
      </c>
      <c r="Y745" s="20">
        <v>0</v>
      </c>
      <c r="Z745" s="20">
        <v>0</v>
      </c>
      <c r="AA745" s="20">
        <v>0</v>
      </c>
      <c r="AB745" s="20">
        <v>3662060.76</v>
      </c>
      <c r="AC745" t="s">
        <v>459</v>
      </c>
      <c r="AD745" t="s">
        <v>290</v>
      </c>
      <c r="AE745" s="702">
        <f t="shared" si="55"/>
        <v>43617</v>
      </c>
      <c r="AF745" s="289">
        <v>6898754.4740016498</v>
      </c>
      <c r="AG745">
        <f t="shared" si="56"/>
        <v>360</v>
      </c>
      <c r="AH745" s="289">
        <f t="shared" si="57"/>
        <v>19163.206872226805</v>
      </c>
      <c r="AJ745" s="289">
        <f t="shared" si="58"/>
        <v>42</v>
      </c>
      <c r="AK745" s="289">
        <f t="shared" si="59"/>
        <v>804854.68863352586</v>
      </c>
    </row>
    <row r="746" spans="1:37">
      <c r="A746" s="703" t="s">
        <v>478</v>
      </c>
      <c r="B746" s="703" t="s">
        <v>1606</v>
      </c>
      <c r="C746" s="703" t="s">
        <v>472</v>
      </c>
      <c r="D746" s="703" t="s">
        <v>473</v>
      </c>
      <c r="E746" s="703" t="s">
        <v>334</v>
      </c>
      <c r="F746" s="703" t="s">
        <v>474</v>
      </c>
      <c r="G746" s="703" t="s">
        <v>479</v>
      </c>
      <c r="H746" s="703" t="s">
        <v>480</v>
      </c>
      <c r="I746" s="703" t="s">
        <v>334</v>
      </c>
      <c r="J746" s="703" t="s">
        <v>476</v>
      </c>
      <c r="K746" s="704">
        <v>0</v>
      </c>
      <c r="L746" s="703" t="s">
        <v>334</v>
      </c>
      <c r="M746" s="702"/>
      <c r="N746" s="702">
        <v>43496</v>
      </c>
      <c r="O746" s="703" t="s">
        <v>338</v>
      </c>
      <c r="P746" s="20">
        <v>201690.75</v>
      </c>
      <c r="Q746" s="20">
        <v>0</v>
      </c>
      <c r="R746" s="20">
        <v>0</v>
      </c>
      <c r="S746" s="20">
        <v>0</v>
      </c>
      <c r="T746" s="20">
        <v>201690.75</v>
      </c>
      <c r="U746" s="20">
        <v>151722.57999999999</v>
      </c>
      <c r="V746" s="20">
        <v>-49968.17</v>
      </c>
      <c r="W746" s="20">
        <v>-70137.25</v>
      </c>
      <c r="X746" s="20">
        <v>-20169.080000000002</v>
      </c>
      <c r="Y746" s="20">
        <v>0</v>
      </c>
      <c r="Z746" s="20">
        <v>0</v>
      </c>
      <c r="AA746" s="20">
        <v>0</v>
      </c>
      <c r="AB746" s="20">
        <v>131553.5</v>
      </c>
      <c r="AC746" t="s">
        <v>477</v>
      </c>
      <c r="AD746" t="s">
        <v>290</v>
      </c>
      <c r="AE746" s="702">
        <f t="shared" si="55"/>
        <v>43617</v>
      </c>
      <c r="AF746" s="289">
        <v>313869.76946746802</v>
      </c>
      <c r="AG746">
        <f t="shared" si="56"/>
        <v>360</v>
      </c>
      <c r="AH746" s="289">
        <f t="shared" si="57"/>
        <v>871.86047074296675</v>
      </c>
      <c r="AJ746" s="289">
        <f t="shared" si="58"/>
        <v>42</v>
      </c>
      <c r="AK746" s="289">
        <f t="shared" si="59"/>
        <v>36618.139771204602</v>
      </c>
    </row>
    <row r="747" spans="1:37">
      <c r="A747" s="703" t="s">
        <v>1775</v>
      </c>
      <c r="B747" s="703" t="s">
        <v>484</v>
      </c>
      <c r="C747" s="703" t="s">
        <v>1776</v>
      </c>
      <c r="D747" s="703" t="s">
        <v>1777</v>
      </c>
      <c r="E747" s="703" t="s">
        <v>334</v>
      </c>
      <c r="F747" s="703" t="s">
        <v>487</v>
      </c>
      <c r="G747" s="703" t="s">
        <v>1778</v>
      </c>
      <c r="H747" s="703" t="s">
        <v>334</v>
      </c>
      <c r="I747" s="703" t="s">
        <v>334</v>
      </c>
      <c r="J747" s="703" t="s">
        <v>490</v>
      </c>
      <c r="K747" s="704">
        <v>0</v>
      </c>
      <c r="L747" s="703" t="s">
        <v>334</v>
      </c>
      <c r="M747" s="702"/>
      <c r="N747" s="702">
        <v>43496</v>
      </c>
      <c r="O747" s="703" t="s">
        <v>338</v>
      </c>
      <c r="P747" s="20">
        <v>344533.17</v>
      </c>
      <c r="Q747" s="20">
        <v>50490.99</v>
      </c>
      <c r="R747" s="20">
        <v>-344533.17</v>
      </c>
      <c r="S747" s="20">
        <v>0</v>
      </c>
      <c r="T747" s="20">
        <v>50490.99</v>
      </c>
      <c r="U747" s="20">
        <v>344533.17</v>
      </c>
      <c r="V747" s="20">
        <v>0</v>
      </c>
      <c r="W747" s="20">
        <v>0</v>
      </c>
      <c r="X747" s="20">
        <v>0</v>
      </c>
      <c r="Y747" s="20">
        <v>0</v>
      </c>
      <c r="Z747" s="20">
        <v>0</v>
      </c>
      <c r="AA747" s="20">
        <v>0</v>
      </c>
      <c r="AB747" s="20">
        <v>50490.99</v>
      </c>
      <c r="AC747" t="s">
        <v>1779</v>
      </c>
      <c r="AD747" t="s">
        <v>492</v>
      </c>
      <c r="AE747" s="702">
        <f t="shared" si="55"/>
        <v>43617</v>
      </c>
      <c r="AF747" s="289">
        <v>78573.734251492599</v>
      </c>
      <c r="AG747">
        <f t="shared" si="56"/>
        <v>360</v>
      </c>
      <c r="AH747" s="289">
        <f t="shared" si="57"/>
        <v>218.26037292081278</v>
      </c>
      <c r="AJ747" s="289">
        <f t="shared" si="58"/>
        <v>42</v>
      </c>
      <c r="AK747" s="289">
        <f t="shared" si="59"/>
        <v>0</v>
      </c>
    </row>
    <row r="748" spans="1:37">
      <c r="A748" s="703" t="s">
        <v>1780</v>
      </c>
      <c r="B748" s="703" t="s">
        <v>484</v>
      </c>
      <c r="C748" s="703" t="s">
        <v>1776</v>
      </c>
      <c r="D748" s="703" t="s">
        <v>333</v>
      </c>
      <c r="E748" s="703" t="s">
        <v>334</v>
      </c>
      <c r="F748" s="703" t="s">
        <v>487</v>
      </c>
      <c r="G748" s="703" t="s">
        <v>1781</v>
      </c>
      <c r="H748" s="703" t="s">
        <v>334</v>
      </c>
      <c r="I748" s="703" t="s">
        <v>334</v>
      </c>
      <c r="J748" s="703" t="s">
        <v>490</v>
      </c>
      <c r="K748" s="704">
        <v>0</v>
      </c>
      <c r="L748" s="703" t="s">
        <v>334</v>
      </c>
      <c r="M748" s="702"/>
      <c r="N748" s="702">
        <v>43496</v>
      </c>
      <c r="O748" s="703" t="s">
        <v>338</v>
      </c>
      <c r="P748" s="20">
        <v>434026.23999999999</v>
      </c>
      <c r="Q748" s="20">
        <v>0</v>
      </c>
      <c r="R748" s="20">
        <v>-434026.23999999999</v>
      </c>
      <c r="S748" s="20">
        <v>0</v>
      </c>
      <c r="T748" s="20">
        <v>0</v>
      </c>
      <c r="U748" s="20">
        <v>434026.23999999999</v>
      </c>
      <c r="V748" s="20">
        <v>0</v>
      </c>
      <c r="W748" s="20">
        <v>0</v>
      </c>
      <c r="X748" s="20">
        <v>0</v>
      </c>
      <c r="Y748" s="20">
        <v>0</v>
      </c>
      <c r="Z748" s="20">
        <v>0</v>
      </c>
      <c r="AA748" s="20">
        <v>0</v>
      </c>
      <c r="AB748" s="20">
        <v>0</v>
      </c>
      <c r="AC748" t="s">
        <v>1779</v>
      </c>
      <c r="AD748" t="s">
        <v>492</v>
      </c>
      <c r="AE748" s="702">
        <f t="shared" si="55"/>
        <v>43617</v>
      </c>
      <c r="AF748" s="289">
        <v>0</v>
      </c>
      <c r="AG748">
        <f t="shared" si="56"/>
        <v>360</v>
      </c>
      <c r="AH748" s="289">
        <f t="shared" si="57"/>
        <v>0</v>
      </c>
      <c r="AJ748" s="289">
        <f t="shared" si="58"/>
        <v>42</v>
      </c>
      <c r="AK748" s="289">
        <f t="shared" si="59"/>
        <v>0</v>
      </c>
    </row>
    <row r="749" spans="1:37">
      <c r="A749" s="703" t="s">
        <v>1782</v>
      </c>
      <c r="B749" s="703" t="s">
        <v>484</v>
      </c>
      <c r="C749" s="703" t="s">
        <v>1776</v>
      </c>
      <c r="D749" s="703" t="s">
        <v>333</v>
      </c>
      <c r="E749" s="703" t="s">
        <v>334</v>
      </c>
      <c r="F749" s="703" t="s">
        <v>487</v>
      </c>
      <c r="G749" s="703" t="s">
        <v>1783</v>
      </c>
      <c r="H749" s="703" t="s">
        <v>334</v>
      </c>
      <c r="I749" s="703" t="s">
        <v>334</v>
      </c>
      <c r="J749" s="703" t="s">
        <v>490</v>
      </c>
      <c r="K749" s="704">
        <v>0</v>
      </c>
      <c r="L749" s="703" t="s">
        <v>334</v>
      </c>
      <c r="M749" s="702"/>
      <c r="N749" s="702">
        <v>43496</v>
      </c>
      <c r="O749" s="703" t="s">
        <v>338</v>
      </c>
      <c r="P749" s="20">
        <v>1476349.08</v>
      </c>
      <c r="Q749" s="20">
        <v>0</v>
      </c>
      <c r="R749" s="20">
        <v>-1476349.08</v>
      </c>
      <c r="S749" s="20">
        <v>0</v>
      </c>
      <c r="T749" s="20">
        <v>0</v>
      </c>
      <c r="U749" s="20">
        <v>1476349.08</v>
      </c>
      <c r="V749" s="20">
        <v>0</v>
      </c>
      <c r="W749" s="20">
        <v>0</v>
      </c>
      <c r="X749" s="20">
        <v>0</v>
      </c>
      <c r="Y749" s="20">
        <v>0</v>
      </c>
      <c r="Z749" s="20">
        <v>0</v>
      </c>
      <c r="AA749" s="20">
        <v>0</v>
      </c>
      <c r="AB749" s="20">
        <v>0</v>
      </c>
      <c r="AC749" t="s">
        <v>1779</v>
      </c>
      <c r="AD749" t="s">
        <v>492</v>
      </c>
      <c r="AE749" s="702">
        <f t="shared" si="55"/>
        <v>43617</v>
      </c>
      <c r="AF749" s="289">
        <v>0</v>
      </c>
      <c r="AG749">
        <f t="shared" si="56"/>
        <v>360</v>
      </c>
      <c r="AH749" s="289">
        <f t="shared" si="57"/>
        <v>0</v>
      </c>
      <c r="AJ749" s="289">
        <f t="shared" si="58"/>
        <v>42</v>
      </c>
      <c r="AK749" s="289">
        <f t="shared" si="59"/>
        <v>0</v>
      </c>
    </row>
    <row r="750" spans="1:37">
      <c r="A750" s="703" t="s">
        <v>1784</v>
      </c>
      <c r="B750" s="703" t="s">
        <v>484</v>
      </c>
      <c r="C750" s="703" t="s">
        <v>1214</v>
      </c>
      <c r="D750" s="703" t="s">
        <v>575</v>
      </c>
      <c r="E750" s="703" t="s">
        <v>334</v>
      </c>
      <c r="F750" s="703" t="s">
        <v>487</v>
      </c>
      <c r="G750" s="703" t="s">
        <v>1785</v>
      </c>
      <c r="H750" s="703" t="s">
        <v>1786</v>
      </c>
      <c r="I750" s="703" t="s">
        <v>334</v>
      </c>
      <c r="J750" s="703" t="s">
        <v>1217</v>
      </c>
      <c r="K750" s="704">
        <v>0</v>
      </c>
      <c r="L750" s="703" t="s">
        <v>334</v>
      </c>
      <c r="M750" s="702"/>
      <c r="N750" s="702">
        <v>43496</v>
      </c>
      <c r="O750" s="703" t="s">
        <v>338</v>
      </c>
      <c r="P750" s="20">
        <v>5482577.4500000002</v>
      </c>
      <c r="Q750" s="20">
        <v>97366.36</v>
      </c>
      <c r="R750" s="20">
        <v>-854190.67</v>
      </c>
      <c r="S750" s="20">
        <v>0</v>
      </c>
      <c r="T750" s="20">
        <v>4725753.1399999997</v>
      </c>
      <c r="U750" s="20">
        <v>5482577.4500000002</v>
      </c>
      <c r="V750" s="20">
        <v>0</v>
      </c>
      <c r="W750" s="20">
        <v>0</v>
      </c>
      <c r="X750" s="20">
        <v>0</v>
      </c>
      <c r="Y750" s="20">
        <v>0</v>
      </c>
      <c r="Z750" s="20">
        <v>0</v>
      </c>
      <c r="AA750" s="20">
        <v>0</v>
      </c>
      <c r="AB750" s="20">
        <v>4725753.1399999997</v>
      </c>
      <c r="AC750" t="s">
        <v>1218</v>
      </c>
      <c r="AD750" t="s">
        <v>492</v>
      </c>
      <c r="AE750" s="702">
        <f t="shared" si="55"/>
        <v>43617</v>
      </c>
      <c r="AF750" s="289">
        <v>7354184.8032790935</v>
      </c>
      <c r="AG750">
        <f t="shared" si="56"/>
        <v>360</v>
      </c>
      <c r="AH750" s="289">
        <f t="shared" si="57"/>
        <v>20428.291120219703</v>
      </c>
      <c r="AJ750" s="289">
        <f t="shared" si="58"/>
        <v>42</v>
      </c>
      <c r="AK750" s="289">
        <f t="shared" si="59"/>
        <v>0</v>
      </c>
    </row>
    <row r="751" spans="1:37">
      <c r="A751" s="703" t="s">
        <v>1787</v>
      </c>
      <c r="B751" s="703" t="s">
        <v>484</v>
      </c>
      <c r="C751" s="703" t="s">
        <v>485</v>
      </c>
      <c r="D751" s="703" t="s">
        <v>486</v>
      </c>
      <c r="E751" s="703" t="s">
        <v>334</v>
      </c>
      <c r="F751" s="703" t="s">
        <v>487</v>
      </c>
      <c r="G751" s="703" t="s">
        <v>1788</v>
      </c>
      <c r="H751" s="703" t="s">
        <v>1789</v>
      </c>
      <c r="I751" s="703" t="s">
        <v>334</v>
      </c>
      <c r="J751" s="703" t="s">
        <v>490</v>
      </c>
      <c r="K751" s="704">
        <v>0</v>
      </c>
      <c r="L751" s="703" t="s">
        <v>334</v>
      </c>
      <c r="M751" s="702"/>
      <c r="N751" s="702">
        <v>43496</v>
      </c>
      <c r="O751" s="703" t="s">
        <v>338</v>
      </c>
      <c r="P751" s="20">
        <v>1512</v>
      </c>
      <c r="Q751" s="20">
        <v>0</v>
      </c>
      <c r="R751" s="20">
        <v>0</v>
      </c>
      <c r="S751" s="20">
        <v>0</v>
      </c>
      <c r="T751" s="20">
        <v>1512</v>
      </c>
      <c r="U751" s="20">
        <v>1512</v>
      </c>
      <c r="V751" s="20">
        <v>0</v>
      </c>
      <c r="W751" s="20">
        <v>0</v>
      </c>
      <c r="X751" s="20">
        <v>0</v>
      </c>
      <c r="Y751" s="20">
        <v>0</v>
      </c>
      <c r="Z751" s="20">
        <v>0</v>
      </c>
      <c r="AA751" s="20">
        <v>0</v>
      </c>
      <c r="AB751" s="20">
        <v>1512</v>
      </c>
      <c r="AC751" t="s">
        <v>491</v>
      </c>
      <c r="AD751" t="s">
        <v>492</v>
      </c>
      <c r="AE751" s="702">
        <f t="shared" si="55"/>
        <v>43617</v>
      </c>
      <c r="AF751" s="289">
        <v>2352.9640870233843</v>
      </c>
      <c r="AG751">
        <f t="shared" si="56"/>
        <v>360</v>
      </c>
      <c r="AH751" s="289">
        <f t="shared" si="57"/>
        <v>6.5360113528427339</v>
      </c>
      <c r="AJ751" s="289">
        <f t="shared" si="58"/>
        <v>42</v>
      </c>
      <c r="AK751" s="289">
        <f t="shared" si="59"/>
        <v>0</v>
      </c>
    </row>
    <row r="752" spans="1:37">
      <c r="A752" s="703" t="s">
        <v>1790</v>
      </c>
      <c r="B752" s="703" t="s">
        <v>1606</v>
      </c>
      <c r="C752" s="703" t="s">
        <v>332</v>
      </c>
      <c r="D752" s="703" t="s">
        <v>334</v>
      </c>
      <c r="E752" s="703" t="s">
        <v>334</v>
      </c>
      <c r="F752" s="703" t="s">
        <v>335</v>
      </c>
      <c r="G752" s="703" t="s">
        <v>1791</v>
      </c>
      <c r="H752" s="703" t="s">
        <v>334</v>
      </c>
      <c r="I752" s="703" t="s">
        <v>334</v>
      </c>
      <c r="J752" s="703" t="s">
        <v>337</v>
      </c>
      <c r="K752" s="704">
        <v>0</v>
      </c>
      <c r="L752" s="703" t="s">
        <v>334</v>
      </c>
      <c r="M752" s="702">
        <v>39478</v>
      </c>
      <c r="N752" s="702">
        <v>43511</v>
      </c>
      <c r="O752" s="703" t="s">
        <v>338</v>
      </c>
      <c r="P752" s="20">
        <v>39211.879999999997</v>
      </c>
      <c r="Q752" s="20">
        <v>0</v>
      </c>
      <c r="R752" s="20">
        <v>0</v>
      </c>
      <c r="S752" s="20">
        <v>0</v>
      </c>
      <c r="T752" s="20">
        <v>39211.879999999997</v>
      </c>
      <c r="U752" s="20">
        <v>35508.54</v>
      </c>
      <c r="V752" s="20">
        <v>-3703.34</v>
      </c>
      <c r="W752" s="20">
        <v>-5010.3999999999996</v>
      </c>
      <c r="X752" s="20">
        <v>-1307.06</v>
      </c>
      <c r="Y752" s="20">
        <v>0</v>
      </c>
      <c r="Z752" s="20">
        <v>0</v>
      </c>
      <c r="AA752" s="20">
        <v>0</v>
      </c>
      <c r="AB752" s="20">
        <v>34201.480000000003</v>
      </c>
      <c r="AC752" t="s">
        <v>183</v>
      </c>
      <c r="AD752" t="s">
        <v>290</v>
      </c>
      <c r="AE752" s="702">
        <f t="shared" si="55"/>
        <v>43617</v>
      </c>
      <c r="AF752" s="289">
        <v>61021.260201501645</v>
      </c>
      <c r="AG752">
        <f t="shared" si="56"/>
        <v>360</v>
      </c>
      <c r="AH752" s="289">
        <f t="shared" si="57"/>
        <v>169.5035005597268</v>
      </c>
      <c r="AJ752" s="289">
        <f t="shared" si="58"/>
        <v>42</v>
      </c>
      <c r="AK752" s="289">
        <f t="shared" si="59"/>
        <v>7119.1470235085253</v>
      </c>
    </row>
    <row r="753" spans="1:37">
      <c r="A753" s="703" t="s">
        <v>1792</v>
      </c>
      <c r="B753" s="703" t="s">
        <v>1606</v>
      </c>
      <c r="C753" s="703" t="s">
        <v>332</v>
      </c>
      <c r="D753" s="703" t="s">
        <v>334</v>
      </c>
      <c r="E753" s="703" t="s">
        <v>334</v>
      </c>
      <c r="F753" s="703" t="s">
        <v>335</v>
      </c>
      <c r="G753" s="703" t="s">
        <v>1793</v>
      </c>
      <c r="H753" s="703" t="s">
        <v>334</v>
      </c>
      <c r="I753" s="703" t="s">
        <v>334</v>
      </c>
      <c r="J753" s="703" t="s">
        <v>337</v>
      </c>
      <c r="K753" s="704">
        <v>0</v>
      </c>
      <c r="L753" s="703" t="s">
        <v>334</v>
      </c>
      <c r="M753" s="702">
        <v>39478</v>
      </c>
      <c r="N753" s="702">
        <v>43511</v>
      </c>
      <c r="O753" s="703" t="s">
        <v>338</v>
      </c>
      <c r="P753" s="20">
        <v>1382.54</v>
      </c>
      <c r="Q753" s="20">
        <v>0</v>
      </c>
      <c r="R753" s="20">
        <v>0</v>
      </c>
      <c r="S753" s="20">
        <v>0</v>
      </c>
      <c r="T753" s="20">
        <v>1382.54</v>
      </c>
      <c r="U753" s="20">
        <v>1251.98</v>
      </c>
      <c r="V753" s="20">
        <v>-130.56</v>
      </c>
      <c r="W753" s="20">
        <v>-176.64</v>
      </c>
      <c r="X753" s="20">
        <v>-46.08</v>
      </c>
      <c r="Y753" s="20">
        <v>0</v>
      </c>
      <c r="Z753" s="20">
        <v>0</v>
      </c>
      <c r="AA753" s="20">
        <v>0</v>
      </c>
      <c r="AB753" s="20">
        <v>1205.9000000000001</v>
      </c>
      <c r="AC753" t="s">
        <v>183</v>
      </c>
      <c r="AD753" t="s">
        <v>290</v>
      </c>
      <c r="AE753" s="702">
        <f t="shared" si="55"/>
        <v>43617</v>
      </c>
      <c r="AF753" s="289">
        <v>2151.4993180379029</v>
      </c>
      <c r="AG753">
        <f t="shared" si="56"/>
        <v>360</v>
      </c>
      <c r="AH753" s="289">
        <f t="shared" si="57"/>
        <v>5.9763869945497303</v>
      </c>
      <c r="AJ753" s="289">
        <f t="shared" si="58"/>
        <v>42</v>
      </c>
      <c r="AK753" s="289">
        <f t="shared" si="59"/>
        <v>251.00825377108868</v>
      </c>
    </row>
    <row r="754" spans="1:37">
      <c r="A754" s="703" t="s">
        <v>1794</v>
      </c>
      <c r="B754" s="703" t="s">
        <v>1606</v>
      </c>
      <c r="C754" s="703" t="s">
        <v>332</v>
      </c>
      <c r="D754" s="703" t="s">
        <v>334</v>
      </c>
      <c r="E754" s="703" t="s">
        <v>334</v>
      </c>
      <c r="F754" s="703" t="s">
        <v>335</v>
      </c>
      <c r="G754" s="703" t="s">
        <v>1795</v>
      </c>
      <c r="H754" s="703" t="s">
        <v>334</v>
      </c>
      <c r="I754" s="703" t="s">
        <v>334</v>
      </c>
      <c r="J754" s="703" t="s">
        <v>337</v>
      </c>
      <c r="K754" s="704">
        <v>0</v>
      </c>
      <c r="L754" s="703" t="s">
        <v>334</v>
      </c>
      <c r="M754" s="702">
        <v>39478</v>
      </c>
      <c r="N754" s="702">
        <v>43511</v>
      </c>
      <c r="O754" s="703" t="s">
        <v>338</v>
      </c>
      <c r="P754" s="20">
        <v>33436.28</v>
      </c>
      <c r="Q754" s="20">
        <v>0</v>
      </c>
      <c r="R754" s="20">
        <v>0</v>
      </c>
      <c r="S754" s="20">
        <v>0</v>
      </c>
      <c r="T754" s="20">
        <v>33436.28</v>
      </c>
      <c r="U754" s="20">
        <v>30278.41</v>
      </c>
      <c r="V754" s="20">
        <v>-3157.87</v>
      </c>
      <c r="W754" s="20">
        <v>-4272.41</v>
      </c>
      <c r="X754" s="20">
        <v>-1114.54</v>
      </c>
      <c r="Y754" s="20">
        <v>0</v>
      </c>
      <c r="Z754" s="20">
        <v>0</v>
      </c>
      <c r="AA754" s="20">
        <v>0</v>
      </c>
      <c r="AB754" s="20">
        <v>29163.87</v>
      </c>
      <c r="AC754" t="s">
        <v>183</v>
      </c>
      <c r="AD754" t="s">
        <v>290</v>
      </c>
      <c r="AE754" s="702">
        <f t="shared" si="55"/>
        <v>43617</v>
      </c>
      <c r="AF754" s="289">
        <v>52033.310875435338</v>
      </c>
      <c r="AG754">
        <f t="shared" si="56"/>
        <v>360</v>
      </c>
      <c r="AH754" s="289">
        <f t="shared" si="57"/>
        <v>144.53697465398704</v>
      </c>
      <c r="AJ754" s="289">
        <f t="shared" si="58"/>
        <v>42</v>
      </c>
      <c r="AK754" s="289">
        <f t="shared" si="59"/>
        <v>6070.5529354674563</v>
      </c>
    </row>
    <row r="755" spans="1:37">
      <c r="A755" s="703" t="s">
        <v>1796</v>
      </c>
      <c r="B755" s="703" t="s">
        <v>1606</v>
      </c>
      <c r="C755" s="703" t="s">
        <v>332</v>
      </c>
      <c r="D755" s="703" t="s">
        <v>334</v>
      </c>
      <c r="E755" s="703" t="s">
        <v>334</v>
      </c>
      <c r="F755" s="703" t="s">
        <v>335</v>
      </c>
      <c r="G755" s="703" t="s">
        <v>1797</v>
      </c>
      <c r="H755" s="703" t="s">
        <v>334</v>
      </c>
      <c r="I755" s="703" t="s">
        <v>334</v>
      </c>
      <c r="J755" s="703" t="s">
        <v>337</v>
      </c>
      <c r="K755" s="704">
        <v>0</v>
      </c>
      <c r="L755" s="703" t="s">
        <v>334</v>
      </c>
      <c r="M755" s="702">
        <v>39478</v>
      </c>
      <c r="N755" s="702">
        <v>43511</v>
      </c>
      <c r="O755" s="703" t="s">
        <v>338</v>
      </c>
      <c r="P755" s="20">
        <v>2494</v>
      </c>
      <c r="Q755" s="20">
        <v>0</v>
      </c>
      <c r="R755" s="20">
        <v>0</v>
      </c>
      <c r="S755" s="20">
        <v>0</v>
      </c>
      <c r="T755" s="20">
        <v>2494</v>
      </c>
      <c r="U755" s="20">
        <v>2258.46</v>
      </c>
      <c r="V755" s="20">
        <v>-235.54</v>
      </c>
      <c r="W755" s="20">
        <v>-318.67</v>
      </c>
      <c r="X755" s="20">
        <v>-83.13</v>
      </c>
      <c r="Y755" s="20">
        <v>0</v>
      </c>
      <c r="Z755" s="20">
        <v>0</v>
      </c>
      <c r="AA755" s="20">
        <v>0</v>
      </c>
      <c r="AB755" s="20">
        <v>2175.33</v>
      </c>
      <c r="AC755" t="s">
        <v>183</v>
      </c>
      <c r="AD755" t="s">
        <v>290</v>
      </c>
      <c r="AE755" s="702">
        <f t="shared" si="55"/>
        <v>43617</v>
      </c>
      <c r="AF755" s="289">
        <v>3881.1457890451852</v>
      </c>
      <c r="AG755">
        <f t="shared" si="56"/>
        <v>360</v>
      </c>
      <c r="AH755" s="289">
        <f t="shared" si="57"/>
        <v>10.780960525125515</v>
      </c>
      <c r="AJ755" s="289">
        <f t="shared" si="58"/>
        <v>42</v>
      </c>
      <c r="AK755" s="289">
        <f t="shared" si="59"/>
        <v>452.80034205527164</v>
      </c>
    </row>
    <row r="756" spans="1:37">
      <c r="A756" s="703" t="s">
        <v>1798</v>
      </c>
      <c r="B756" s="703" t="s">
        <v>1606</v>
      </c>
      <c r="C756" s="703" t="s">
        <v>332</v>
      </c>
      <c r="D756" s="703" t="s">
        <v>334</v>
      </c>
      <c r="E756" s="703" t="s">
        <v>334</v>
      </c>
      <c r="F756" s="703" t="s">
        <v>335</v>
      </c>
      <c r="G756" s="703" t="s">
        <v>1799</v>
      </c>
      <c r="H756" s="703" t="s">
        <v>334</v>
      </c>
      <c r="I756" s="703" t="s">
        <v>334</v>
      </c>
      <c r="J756" s="703" t="s">
        <v>337</v>
      </c>
      <c r="K756" s="704">
        <v>0</v>
      </c>
      <c r="L756" s="703" t="s">
        <v>334</v>
      </c>
      <c r="M756" s="702">
        <v>39478</v>
      </c>
      <c r="N756" s="702">
        <v>43511</v>
      </c>
      <c r="O756" s="703" t="s">
        <v>338</v>
      </c>
      <c r="P756" s="20">
        <v>380.75</v>
      </c>
      <c r="Q756" s="20">
        <v>0</v>
      </c>
      <c r="R756" s="20">
        <v>0</v>
      </c>
      <c r="S756" s="20">
        <v>0</v>
      </c>
      <c r="T756" s="20">
        <v>380.75</v>
      </c>
      <c r="U756" s="20">
        <v>344.79</v>
      </c>
      <c r="V756" s="20">
        <v>-35.96</v>
      </c>
      <c r="W756" s="20">
        <v>-48.65</v>
      </c>
      <c r="X756" s="20">
        <v>-12.69</v>
      </c>
      <c r="Y756" s="20">
        <v>0</v>
      </c>
      <c r="Z756" s="20">
        <v>0</v>
      </c>
      <c r="AA756" s="20">
        <v>0</v>
      </c>
      <c r="AB756" s="20">
        <v>332.1</v>
      </c>
      <c r="AC756" t="s">
        <v>183</v>
      </c>
      <c r="AD756" t="s">
        <v>290</v>
      </c>
      <c r="AE756" s="702">
        <f t="shared" si="55"/>
        <v>43617</v>
      </c>
      <c r="AF756" s="289">
        <v>592.52055299877884</v>
      </c>
      <c r="AG756">
        <f t="shared" si="56"/>
        <v>360</v>
      </c>
      <c r="AH756" s="289">
        <f t="shared" si="57"/>
        <v>1.645890424996608</v>
      </c>
      <c r="AJ756" s="289">
        <f t="shared" si="58"/>
        <v>42</v>
      </c>
      <c r="AK756" s="289">
        <f t="shared" si="59"/>
        <v>69.12739784985753</v>
      </c>
    </row>
    <row r="757" spans="1:37">
      <c r="A757" s="703" t="s">
        <v>1800</v>
      </c>
      <c r="B757" s="703" t="s">
        <v>1606</v>
      </c>
      <c r="C757" s="703" t="s">
        <v>332</v>
      </c>
      <c r="D757" s="703" t="s">
        <v>334</v>
      </c>
      <c r="E757" s="703" t="s">
        <v>334</v>
      </c>
      <c r="F757" s="703" t="s">
        <v>335</v>
      </c>
      <c r="G757" s="703" t="s">
        <v>1801</v>
      </c>
      <c r="H757" s="703" t="s">
        <v>334</v>
      </c>
      <c r="I757" s="703" t="s">
        <v>334</v>
      </c>
      <c r="J757" s="703" t="s">
        <v>337</v>
      </c>
      <c r="K757" s="704">
        <v>0</v>
      </c>
      <c r="L757" s="703" t="s">
        <v>334</v>
      </c>
      <c r="M757" s="702">
        <v>39478</v>
      </c>
      <c r="N757" s="702">
        <v>43511</v>
      </c>
      <c r="O757" s="703" t="s">
        <v>338</v>
      </c>
      <c r="P757" s="20">
        <v>264.85000000000002</v>
      </c>
      <c r="Q757" s="20">
        <v>0</v>
      </c>
      <c r="R757" s="20">
        <v>0</v>
      </c>
      <c r="S757" s="20">
        <v>0</v>
      </c>
      <c r="T757" s="20">
        <v>264.85000000000002</v>
      </c>
      <c r="U757" s="20">
        <v>239.83</v>
      </c>
      <c r="V757" s="20">
        <v>-25.02</v>
      </c>
      <c r="W757" s="20">
        <v>-33.85</v>
      </c>
      <c r="X757" s="20">
        <v>-8.83</v>
      </c>
      <c r="Y757" s="20">
        <v>0</v>
      </c>
      <c r="Z757" s="20">
        <v>0</v>
      </c>
      <c r="AA757" s="20">
        <v>0</v>
      </c>
      <c r="AB757" s="20">
        <v>231</v>
      </c>
      <c r="AC757" t="s">
        <v>183</v>
      </c>
      <c r="AD757" t="s">
        <v>290</v>
      </c>
      <c r="AE757" s="702">
        <f t="shared" si="55"/>
        <v>43617</v>
      </c>
      <c r="AF757" s="289">
        <v>412.15776352390429</v>
      </c>
      <c r="AG757">
        <f t="shared" si="56"/>
        <v>360</v>
      </c>
      <c r="AH757" s="289">
        <f t="shared" si="57"/>
        <v>1.1448826764552897</v>
      </c>
      <c r="AJ757" s="289">
        <f t="shared" si="58"/>
        <v>42</v>
      </c>
      <c r="AK757" s="289">
        <f t="shared" si="59"/>
        <v>48.085072411122169</v>
      </c>
    </row>
    <row r="758" spans="1:37">
      <c r="A758" s="703" t="s">
        <v>1802</v>
      </c>
      <c r="B758" s="703" t="s">
        <v>1606</v>
      </c>
      <c r="C758" s="703" t="s">
        <v>332</v>
      </c>
      <c r="D758" s="703" t="s">
        <v>334</v>
      </c>
      <c r="E758" s="703" t="s">
        <v>334</v>
      </c>
      <c r="F758" s="703" t="s">
        <v>335</v>
      </c>
      <c r="G758" s="703" t="s">
        <v>1803</v>
      </c>
      <c r="H758" s="703" t="s">
        <v>334</v>
      </c>
      <c r="I758" s="703" t="s">
        <v>334</v>
      </c>
      <c r="J758" s="703" t="s">
        <v>337</v>
      </c>
      <c r="K758" s="704">
        <v>0</v>
      </c>
      <c r="L758" s="703" t="s">
        <v>334</v>
      </c>
      <c r="M758" s="702">
        <v>39478</v>
      </c>
      <c r="N758" s="702">
        <v>43511</v>
      </c>
      <c r="O758" s="703" t="s">
        <v>338</v>
      </c>
      <c r="P758" s="20">
        <v>16729.169999999998</v>
      </c>
      <c r="Q758" s="20">
        <v>0</v>
      </c>
      <c r="R758" s="20">
        <v>0</v>
      </c>
      <c r="S758" s="20">
        <v>0</v>
      </c>
      <c r="T758" s="20">
        <v>16729.169999999998</v>
      </c>
      <c r="U758" s="20">
        <v>15149.19</v>
      </c>
      <c r="V758" s="20">
        <v>-1579.98</v>
      </c>
      <c r="W758" s="20">
        <v>-2137.62</v>
      </c>
      <c r="X758" s="20">
        <v>-557.64</v>
      </c>
      <c r="Y758" s="20">
        <v>0</v>
      </c>
      <c r="Z758" s="20">
        <v>0</v>
      </c>
      <c r="AA758" s="20">
        <v>0</v>
      </c>
      <c r="AB758" s="20">
        <v>14591.55</v>
      </c>
      <c r="AC758" t="s">
        <v>183</v>
      </c>
      <c r="AD758" t="s">
        <v>290</v>
      </c>
      <c r="AE758" s="702">
        <f t="shared" si="55"/>
        <v>43617</v>
      </c>
      <c r="AF758" s="289">
        <v>26033.820248484779</v>
      </c>
      <c r="AG758">
        <f t="shared" si="56"/>
        <v>360</v>
      </c>
      <c r="AH758" s="289">
        <f t="shared" si="57"/>
        <v>72.31616735690217</v>
      </c>
      <c r="AJ758" s="289">
        <f t="shared" si="58"/>
        <v>42</v>
      </c>
      <c r="AK758" s="289">
        <f t="shared" si="59"/>
        <v>3037.2790289898912</v>
      </c>
    </row>
    <row r="759" spans="1:37">
      <c r="A759" s="703" t="s">
        <v>1804</v>
      </c>
      <c r="B759" s="703" t="s">
        <v>1606</v>
      </c>
      <c r="C759" s="703" t="s">
        <v>332</v>
      </c>
      <c r="D759" s="703" t="s">
        <v>334</v>
      </c>
      <c r="E759" s="703" t="s">
        <v>334</v>
      </c>
      <c r="F759" s="703" t="s">
        <v>335</v>
      </c>
      <c r="G759" s="703" t="s">
        <v>1805</v>
      </c>
      <c r="H759" s="703" t="s">
        <v>334</v>
      </c>
      <c r="I759" s="703" t="s">
        <v>334</v>
      </c>
      <c r="J759" s="703" t="s">
        <v>337</v>
      </c>
      <c r="K759" s="704">
        <v>0</v>
      </c>
      <c r="L759" s="703" t="s">
        <v>334</v>
      </c>
      <c r="M759" s="702">
        <v>39478</v>
      </c>
      <c r="N759" s="702">
        <v>43511</v>
      </c>
      <c r="O759" s="703" t="s">
        <v>338</v>
      </c>
      <c r="P759" s="20">
        <v>1382.54</v>
      </c>
      <c r="Q759" s="20">
        <v>0</v>
      </c>
      <c r="R759" s="20">
        <v>0</v>
      </c>
      <c r="S759" s="20">
        <v>0</v>
      </c>
      <c r="T759" s="20">
        <v>1382.54</v>
      </c>
      <c r="U759" s="20">
        <v>1251.98</v>
      </c>
      <c r="V759" s="20">
        <v>-130.56</v>
      </c>
      <c r="W759" s="20">
        <v>-176.64</v>
      </c>
      <c r="X759" s="20">
        <v>-46.08</v>
      </c>
      <c r="Y759" s="20">
        <v>0</v>
      </c>
      <c r="Z759" s="20">
        <v>0</v>
      </c>
      <c r="AA759" s="20">
        <v>0</v>
      </c>
      <c r="AB759" s="20">
        <v>1205.9000000000001</v>
      </c>
      <c r="AC759" t="s">
        <v>183</v>
      </c>
      <c r="AD759" t="s">
        <v>290</v>
      </c>
      <c r="AE759" s="702">
        <f t="shared" si="55"/>
        <v>43617</v>
      </c>
      <c r="AF759" s="289">
        <v>2151.4993180379029</v>
      </c>
      <c r="AG759">
        <f t="shared" si="56"/>
        <v>360</v>
      </c>
      <c r="AH759" s="289">
        <f t="shared" si="57"/>
        <v>5.9763869945497303</v>
      </c>
      <c r="AJ759" s="289">
        <f t="shared" si="58"/>
        <v>42</v>
      </c>
      <c r="AK759" s="289">
        <f t="shared" si="59"/>
        <v>251.00825377108868</v>
      </c>
    </row>
    <row r="760" spans="1:37">
      <c r="A760" s="703" t="s">
        <v>1806</v>
      </c>
      <c r="B760" s="703" t="s">
        <v>1606</v>
      </c>
      <c r="C760" s="703" t="s">
        <v>332</v>
      </c>
      <c r="D760" s="703" t="s">
        <v>334</v>
      </c>
      <c r="E760" s="703" t="s">
        <v>334</v>
      </c>
      <c r="F760" s="703" t="s">
        <v>335</v>
      </c>
      <c r="G760" s="703" t="s">
        <v>1807</v>
      </c>
      <c r="H760" s="703" t="s">
        <v>334</v>
      </c>
      <c r="I760" s="703" t="s">
        <v>334</v>
      </c>
      <c r="J760" s="703" t="s">
        <v>337</v>
      </c>
      <c r="K760" s="704">
        <v>0</v>
      </c>
      <c r="L760" s="703" t="s">
        <v>334</v>
      </c>
      <c r="M760" s="702">
        <v>39478</v>
      </c>
      <c r="N760" s="702">
        <v>43511</v>
      </c>
      <c r="O760" s="703" t="s">
        <v>338</v>
      </c>
      <c r="P760" s="20">
        <v>1662.67</v>
      </c>
      <c r="Q760" s="20">
        <v>0</v>
      </c>
      <c r="R760" s="20">
        <v>0</v>
      </c>
      <c r="S760" s="20">
        <v>0</v>
      </c>
      <c r="T760" s="20">
        <v>1662.67</v>
      </c>
      <c r="U760" s="20">
        <v>1505.64</v>
      </c>
      <c r="V760" s="20">
        <v>-157.03</v>
      </c>
      <c r="W760" s="20">
        <v>-212.45</v>
      </c>
      <c r="X760" s="20">
        <v>-55.42</v>
      </c>
      <c r="Y760" s="20">
        <v>0</v>
      </c>
      <c r="Z760" s="20">
        <v>0</v>
      </c>
      <c r="AA760" s="20">
        <v>0</v>
      </c>
      <c r="AB760" s="20">
        <v>1450.22</v>
      </c>
      <c r="AC760" t="s">
        <v>183</v>
      </c>
      <c r="AD760" t="s">
        <v>290</v>
      </c>
      <c r="AE760" s="702">
        <f t="shared" si="55"/>
        <v>43617</v>
      </c>
      <c r="AF760" s="289">
        <v>2587.4357133407211</v>
      </c>
      <c r="AG760">
        <f t="shared" si="56"/>
        <v>360</v>
      </c>
      <c r="AH760" s="289">
        <f t="shared" si="57"/>
        <v>7.1873214259464477</v>
      </c>
      <c r="AJ760" s="289">
        <f t="shared" si="58"/>
        <v>42</v>
      </c>
      <c r="AK760" s="289">
        <f t="shared" si="59"/>
        <v>301.86749988975083</v>
      </c>
    </row>
    <row r="761" spans="1:37">
      <c r="A761" s="703" t="s">
        <v>1808</v>
      </c>
      <c r="B761" s="703" t="s">
        <v>1606</v>
      </c>
      <c r="C761" s="703" t="s">
        <v>332</v>
      </c>
      <c r="D761" s="703" t="s">
        <v>334</v>
      </c>
      <c r="E761" s="703" t="s">
        <v>334</v>
      </c>
      <c r="F761" s="703" t="s">
        <v>335</v>
      </c>
      <c r="G761" s="703" t="s">
        <v>1809</v>
      </c>
      <c r="H761" s="703" t="s">
        <v>334</v>
      </c>
      <c r="I761" s="703" t="s">
        <v>334</v>
      </c>
      <c r="J761" s="703" t="s">
        <v>337</v>
      </c>
      <c r="K761" s="704">
        <v>0</v>
      </c>
      <c r="L761" s="703" t="s">
        <v>334</v>
      </c>
      <c r="M761" s="702">
        <v>39478</v>
      </c>
      <c r="N761" s="702">
        <v>43511</v>
      </c>
      <c r="O761" s="703" t="s">
        <v>338</v>
      </c>
      <c r="P761" s="20">
        <v>23968.69</v>
      </c>
      <c r="Q761" s="20">
        <v>0</v>
      </c>
      <c r="R761" s="20">
        <v>0</v>
      </c>
      <c r="S761" s="20">
        <v>0</v>
      </c>
      <c r="T761" s="20">
        <v>23968.69</v>
      </c>
      <c r="U761" s="20">
        <v>21704.97</v>
      </c>
      <c r="V761" s="20">
        <v>-2263.7199999999998</v>
      </c>
      <c r="W761" s="20">
        <v>-3062.68</v>
      </c>
      <c r="X761" s="20">
        <v>-798.96</v>
      </c>
      <c r="Y761" s="20">
        <v>0</v>
      </c>
      <c r="Z761" s="20">
        <v>0</v>
      </c>
      <c r="AA761" s="20">
        <v>0</v>
      </c>
      <c r="AB761" s="20">
        <v>20906.009999999998</v>
      </c>
      <c r="AC761" t="s">
        <v>183</v>
      </c>
      <c r="AD761" t="s">
        <v>290</v>
      </c>
      <c r="AE761" s="702">
        <f t="shared" si="55"/>
        <v>43617</v>
      </c>
      <c r="AF761" s="289">
        <v>37299.911893516211</v>
      </c>
      <c r="AG761">
        <f t="shared" si="56"/>
        <v>360</v>
      </c>
      <c r="AH761" s="289">
        <f t="shared" si="57"/>
        <v>103.61086637087837</v>
      </c>
      <c r="AJ761" s="289">
        <f t="shared" si="58"/>
        <v>42</v>
      </c>
      <c r="AK761" s="289">
        <f t="shared" si="59"/>
        <v>4351.6563875768916</v>
      </c>
    </row>
    <row r="762" spans="1:37">
      <c r="A762" s="703" t="s">
        <v>1810</v>
      </c>
      <c r="B762" s="703" t="s">
        <v>1606</v>
      </c>
      <c r="C762" s="703" t="s">
        <v>332</v>
      </c>
      <c r="D762" s="703" t="s">
        <v>334</v>
      </c>
      <c r="E762" s="703" t="s">
        <v>334</v>
      </c>
      <c r="F762" s="703" t="s">
        <v>335</v>
      </c>
      <c r="G762" s="703" t="s">
        <v>1811</v>
      </c>
      <c r="H762" s="703" t="s">
        <v>334</v>
      </c>
      <c r="I762" s="703" t="s">
        <v>334</v>
      </c>
      <c r="J762" s="703" t="s">
        <v>337</v>
      </c>
      <c r="K762" s="704">
        <v>0</v>
      </c>
      <c r="L762" s="703" t="s">
        <v>334</v>
      </c>
      <c r="M762" s="702">
        <v>39478</v>
      </c>
      <c r="N762" s="702">
        <v>43511</v>
      </c>
      <c r="O762" s="703" t="s">
        <v>338</v>
      </c>
      <c r="P762" s="20">
        <v>11812.74</v>
      </c>
      <c r="Q762" s="20">
        <v>0</v>
      </c>
      <c r="R762" s="20">
        <v>0</v>
      </c>
      <c r="S762" s="20">
        <v>0</v>
      </c>
      <c r="T762" s="20">
        <v>11812.74</v>
      </c>
      <c r="U762" s="20">
        <v>10697.09</v>
      </c>
      <c r="V762" s="20">
        <v>-1115.6500000000001</v>
      </c>
      <c r="W762" s="20">
        <v>-1509.41</v>
      </c>
      <c r="X762" s="20">
        <v>-393.76</v>
      </c>
      <c r="Y762" s="20">
        <v>0</v>
      </c>
      <c r="Z762" s="20">
        <v>0</v>
      </c>
      <c r="AA762" s="20">
        <v>0</v>
      </c>
      <c r="AB762" s="20">
        <v>10303.33</v>
      </c>
      <c r="AC762" t="s">
        <v>183</v>
      </c>
      <c r="AD762" t="s">
        <v>290</v>
      </c>
      <c r="AE762" s="702">
        <f t="shared" si="55"/>
        <v>43617</v>
      </c>
      <c r="AF762" s="289">
        <v>18382.905416233207</v>
      </c>
      <c r="AG762">
        <f t="shared" si="56"/>
        <v>360</v>
      </c>
      <c r="AH762" s="289">
        <f t="shared" si="57"/>
        <v>51.063626156203355</v>
      </c>
      <c r="AJ762" s="289">
        <f t="shared" si="58"/>
        <v>42</v>
      </c>
      <c r="AK762" s="289">
        <f t="shared" si="59"/>
        <v>2144.6722985605411</v>
      </c>
    </row>
    <row r="763" spans="1:37">
      <c r="A763" s="703" t="s">
        <v>1812</v>
      </c>
      <c r="B763" s="703" t="s">
        <v>1606</v>
      </c>
      <c r="C763" s="703" t="s">
        <v>332</v>
      </c>
      <c r="D763" s="703" t="s">
        <v>334</v>
      </c>
      <c r="E763" s="703" t="s">
        <v>334</v>
      </c>
      <c r="F763" s="703" t="s">
        <v>335</v>
      </c>
      <c r="G763" s="703" t="s">
        <v>1813</v>
      </c>
      <c r="H763" s="703" t="s">
        <v>334</v>
      </c>
      <c r="I763" s="703" t="s">
        <v>334</v>
      </c>
      <c r="J763" s="703" t="s">
        <v>337</v>
      </c>
      <c r="K763" s="704">
        <v>0</v>
      </c>
      <c r="L763" s="703" t="s">
        <v>334</v>
      </c>
      <c r="M763" s="702">
        <v>39478</v>
      </c>
      <c r="N763" s="702">
        <v>43511</v>
      </c>
      <c r="O763" s="703" t="s">
        <v>338</v>
      </c>
      <c r="P763" s="20">
        <v>462.3</v>
      </c>
      <c r="Q763" s="20">
        <v>0</v>
      </c>
      <c r="R763" s="20">
        <v>0</v>
      </c>
      <c r="S763" s="20">
        <v>0</v>
      </c>
      <c r="T763" s="20">
        <v>462.3</v>
      </c>
      <c r="U763" s="20">
        <v>418.64</v>
      </c>
      <c r="V763" s="20">
        <v>-43.66</v>
      </c>
      <c r="W763" s="20">
        <v>-59.07</v>
      </c>
      <c r="X763" s="20">
        <v>-15.41</v>
      </c>
      <c r="Y763" s="20">
        <v>0</v>
      </c>
      <c r="Z763" s="20">
        <v>0</v>
      </c>
      <c r="AA763" s="20">
        <v>0</v>
      </c>
      <c r="AB763" s="20">
        <v>403.23</v>
      </c>
      <c r="AC763" t="s">
        <v>183</v>
      </c>
      <c r="AD763" t="s">
        <v>290</v>
      </c>
      <c r="AE763" s="702">
        <f t="shared" si="55"/>
        <v>43617</v>
      </c>
      <c r="AF763" s="289">
        <v>719.42810676647525</v>
      </c>
      <c r="AG763">
        <f t="shared" si="56"/>
        <v>360</v>
      </c>
      <c r="AH763" s="289">
        <f t="shared" si="57"/>
        <v>1.9984114076846535</v>
      </c>
      <c r="AJ763" s="289">
        <f t="shared" si="58"/>
        <v>42</v>
      </c>
      <c r="AK763" s="289">
        <f t="shared" si="59"/>
        <v>83.933279122755451</v>
      </c>
    </row>
    <row r="764" spans="1:37">
      <c r="A764" s="703" t="s">
        <v>1814</v>
      </c>
      <c r="B764" s="703" t="s">
        <v>1606</v>
      </c>
      <c r="C764" s="703" t="s">
        <v>332</v>
      </c>
      <c r="D764" s="703" t="s">
        <v>334</v>
      </c>
      <c r="E764" s="703" t="s">
        <v>334</v>
      </c>
      <c r="F764" s="703" t="s">
        <v>335</v>
      </c>
      <c r="G764" s="703" t="s">
        <v>1815</v>
      </c>
      <c r="H764" s="703" t="s">
        <v>334</v>
      </c>
      <c r="I764" s="703" t="s">
        <v>334</v>
      </c>
      <c r="J764" s="703" t="s">
        <v>337</v>
      </c>
      <c r="K764" s="704">
        <v>0</v>
      </c>
      <c r="L764" s="703" t="s">
        <v>334</v>
      </c>
      <c r="M764" s="702">
        <v>42855</v>
      </c>
      <c r="N764" s="702">
        <v>43511</v>
      </c>
      <c r="O764" s="703" t="s">
        <v>338</v>
      </c>
      <c r="P764" s="20">
        <v>1662.67</v>
      </c>
      <c r="Q764" s="20">
        <v>0</v>
      </c>
      <c r="R764" s="20">
        <v>0</v>
      </c>
      <c r="S764" s="20">
        <v>0</v>
      </c>
      <c r="T764" s="20">
        <v>1662.67</v>
      </c>
      <c r="U764" s="20">
        <v>1505.64</v>
      </c>
      <c r="V764" s="20">
        <v>-157.03</v>
      </c>
      <c r="W764" s="20">
        <v>-212.45</v>
      </c>
      <c r="X764" s="20">
        <v>-55.42</v>
      </c>
      <c r="Y764" s="20">
        <v>0</v>
      </c>
      <c r="Z764" s="20">
        <v>0</v>
      </c>
      <c r="AA764" s="20">
        <v>0</v>
      </c>
      <c r="AB764" s="20">
        <v>1450.22</v>
      </c>
      <c r="AC764" t="s">
        <v>183</v>
      </c>
      <c r="AD764" t="s">
        <v>290</v>
      </c>
      <c r="AE764" s="702">
        <f t="shared" si="55"/>
        <v>43617</v>
      </c>
      <c r="AF764" s="289">
        <v>2587.4357133407211</v>
      </c>
      <c r="AG764">
        <f t="shared" si="56"/>
        <v>360</v>
      </c>
      <c r="AH764" s="289">
        <f t="shared" si="57"/>
        <v>7.1873214259464477</v>
      </c>
      <c r="AJ764" s="289">
        <f t="shared" si="58"/>
        <v>42</v>
      </c>
      <c r="AK764" s="289">
        <f t="shared" si="59"/>
        <v>301.86749988975083</v>
      </c>
    </row>
    <row r="765" spans="1:37">
      <c r="A765" s="703" t="s">
        <v>1816</v>
      </c>
      <c r="B765" s="703" t="s">
        <v>1606</v>
      </c>
      <c r="C765" s="703" t="s">
        <v>332</v>
      </c>
      <c r="D765" s="703" t="s">
        <v>334</v>
      </c>
      <c r="E765" s="703" t="s">
        <v>334</v>
      </c>
      <c r="F765" s="703" t="s">
        <v>335</v>
      </c>
      <c r="G765" s="703" t="s">
        <v>1817</v>
      </c>
      <c r="H765" s="703" t="s">
        <v>334</v>
      </c>
      <c r="I765" s="703" t="s">
        <v>334</v>
      </c>
      <c r="J765" s="703" t="s">
        <v>337</v>
      </c>
      <c r="K765" s="704">
        <v>0</v>
      </c>
      <c r="L765" s="703" t="s">
        <v>334</v>
      </c>
      <c r="M765" s="702">
        <v>42855</v>
      </c>
      <c r="N765" s="702">
        <v>43511</v>
      </c>
      <c r="O765" s="703" t="s">
        <v>338</v>
      </c>
      <c r="P765" s="20">
        <v>173652.4</v>
      </c>
      <c r="Q765" s="20">
        <v>0</v>
      </c>
      <c r="R765" s="20">
        <v>0</v>
      </c>
      <c r="S765" s="20">
        <v>0</v>
      </c>
      <c r="T765" s="20">
        <v>173652.4</v>
      </c>
      <c r="U765" s="20">
        <v>157251.9</v>
      </c>
      <c r="V765" s="20">
        <v>-16400.5</v>
      </c>
      <c r="W765" s="20">
        <v>-22188.91</v>
      </c>
      <c r="X765" s="20">
        <v>-5788.41</v>
      </c>
      <c r="Y765" s="20">
        <v>0</v>
      </c>
      <c r="Z765" s="20">
        <v>0</v>
      </c>
      <c r="AA765" s="20">
        <v>0</v>
      </c>
      <c r="AB765" s="20">
        <v>151463.49</v>
      </c>
      <c r="AC765" t="s">
        <v>183</v>
      </c>
      <c r="AD765" t="s">
        <v>290</v>
      </c>
      <c r="AE765" s="702">
        <f t="shared" si="55"/>
        <v>43617</v>
      </c>
      <c r="AF765" s="289">
        <v>270236.68044009228</v>
      </c>
      <c r="AG765">
        <f t="shared" si="56"/>
        <v>360</v>
      </c>
      <c r="AH765" s="289">
        <f t="shared" si="57"/>
        <v>750.65744566692297</v>
      </c>
      <c r="AJ765" s="289">
        <f t="shared" si="58"/>
        <v>42</v>
      </c>
      <c r="AK765" s="289">
        <f t="shared" si="59"/>
        <v>31527.612718010765</v>
      </c>
    </row>
    <row r="766" spans="1:37">
      <c r="A766" s="703" t="s">
        <v>1818</v>
      </c>
      <c r="B766" s="703" t="s">
        <v>1606</v>
      </c>
      <c r="C766" s="703" t="s">
        <v>332</v>
      </c>
      <c r="D766" s="703" t="s">
        <v>334</v>
      </c>
      <c r="E766" s="703" t="s">
        <v>334</v>
      </c>
      <c r="F766" s="703" t="s">
        <v>335</v>
      </c>
      <c r="G766" s="703" t="s">
        <v>1819</v>
      </c>
      <c r="H766" s="703" t="s">
        <v>334</v>
      </c>
      <c r="I766" s="703" t="s">
        <v>334</v>
      </c>
      <c r="J766" s="703" t="s">
        <v>337</v>
      </c>
      <c r="K766" s="704">
        <v>0</v>
      </c>
      <c r="L766" s="703" t="s">
        <v>334</v>
      </c>
      <c r="M766" s="702">
        <v>42886</v>
      </c>
      <c r="N766" s="702">
        <v>43511</v>
      </c>
      <c r="O766" s="703" t="s">
        <v>338</v>
      </c>
      <c r="P766" s="20">
        <v>2631.22</v>
      </c>
      <c r="Q766" s="20">
        <v>0</v>
      </c>
      <c r="R766" s="20">
        <v>0</v>
      </c>
      <c r="S766" s="20">
        <v>0</v>
      </c>
      <c r="T766" s="20">
        <v>2631.22</v>
      </c>
      <c r="U766" s="20">
        <v>2382.71</v>
      </c>
      <c r="V766" s="20">
        <v>-248.51</v>
      </c>
      <c r="W766" s="20">
        <v>-336.22</v>
      </c>
      <c r="X766" s="20">
        <v>-87.71</v>
      </c>
      <c r="Y766" s="20">
        <v>0</v>
      </c>
      <c r="Z766" s="20">
        <v>0</v>
      </c>
      <c r="AA766" s="20">
        <v>0</v>
      </c>
      <c r="AB766" s="20">
        <v>2295</v>
      </c>
      <c r="AC766" t="s">
        <v>183</v>
      </c>
      <c r="AD766" t="s">
        <v>290</v>
      </c>
      <c r="AE766" s="702">
        <f t="shared" si="55"/>
        <v>43617</v>
      </c>
      <c r="AF766" s="289">
        <v>4094.6866171016322</v>
      </c>
      <c r="AG766">
        <f t="shared" si="56"/>
        <v>360</v>
      </c>
      <c r="AH766" s="289">
        <f t="shared" si="57"/>
        <v>11.374129491948979</v>
      </c>
      <c r="AJ766" s="289">
        <f t="shared" si="58"/>
        <v>42</v>
      </c>
      <c r="AK766" s="289">
        <f t="shared" si="59"/>
        <v>477.71343866185714</v>
      </c>
    </row>
    <row r="767" spans="1:37">
      <c r="A767" s="703" t="s">
        <v>1820</v>
      </c>
      <c r="B767" s="703" t="s">
        <v>1606</v>
      </c>
      <c r="C767" s="703" t="s">
        <v>332</v>
      </c>
      <c r="D767" s="703" t="s">
        <v>334</v>
      </c>
      <c r="E767" s="703" t="s">
        <v>334</v>
      </c>
      <c r="F767" s="703" t="s">
        <v>335</v>
      </c>
      <c r="G767" s="703" t="s">
        <v>1821</v>
      </c>
      <c r="H767" s="703" t="s">
        <v>334</v>
      </c>
      <c r="I767" s="703" t="s">
        <v>334</v>
      </c>
      <c r="J767" s="703" t="s">
        <v>337</v>
      </c>
      <c r="K767" s="704">
        <v>0</v>
      </c>
      <c r="L767" s="703" t="s">
        <v>334</v>
      </c>
      <c r="M767" s="702">
        <v>42886</v>
      </c>
      <c r="N767" s="702">
        <v>43511</v>
      </c>
      <c r="O767" s="703" t="s">
        <v>338</v>
      </c>
      <c r="P767" s="20">
        <v>19439.919999999998</v>
      </c>
      <c r="Q767" s="20">
        <v>0</v>
      </c>
      <c r="R767" s="20">
        <v>0</v>
      </c>
      <c r="S767" s="20">
        <v>0</v>
      </c>
      <c r="T767" s="20">
        <v>19439.919999999998</v>
      </c>
      <c r="U767" s="20">
        <v>17603.919999999998</v>
      </c>
      <c r="V767" s="20">
        <v>-1836</v>
      </c>
      <c r="W767" s="20">
        <v>-2484</v>
      </c>
      <c r="X767" s="20">
        <v>-648</v>
      </c>
      <c r="Y767" s="20">
        <v>0</v>
      </c>
      <c r="Z767" s="20">
        <v>0</v>
      </c>
      <c r="AA767" s="20">
        <v>0</v>
      </c>
      <c r="AB767" s="20">
        <v>16955.919999999998</v>
      </c>
      <c r="AC767" t="s">
        <v>183</v>
      </c>
      <c r="AD767" t="s">
        <v>290</v>
      </c>
      <c r="AE767" s="702">
        <f t="shared" si="55"/>
        <v>43617</v>
      </c>
      <c r="AF767" s="289">
        <v>30252.270909132025</v>
      </c>
      <c r="AG767">
        <f t="shared" si="56"/>
        <v>360</v>
      </c>
      <c r="AH767" s="289">
        <f t="shared" si="57"/>
        <v>84.034085858700067</v>
      </c>
      <c r="AJ767" s="289">
        <f t="shared" si="58"/>
        <v>42</v>
      </c>
      <c r="AK767" s="289">
        <f t="shared" si="59"/>
        <v>3529.4316060654028</v>
      </c>
    </row>
    <row r="768" spans="1:37">
      <c r="A768" s="703" t="s">
        <v>569</v>
      </c>
      <c r="B768" s="703" t="s">
        <v>1606</v>
      </c>
      <c r="C768" s="703" t="s">
        <v>332</v>
      </c>
      <c r="D768" s="703" t="s">
        <v>333</v>
      </c>
      <c r="E768" s="703" t="s">
        <v>334</v>
      </c>
      <c r="F768" s="703" t="s">
        <v>335</v>
      </c>
      <c r="G768" s="703" t="s">
        <v>570</v>
      </c>
      <c r="H768" s="703" t="s">
        <v>334</v>
      </c>
      <c r="I768" s="703" t="s">
        <v>334</v>
      </c>
      <c r="J768" s="703" t="s">
        <v>337</v>
      </c>
      <c r="K768" s="704">
        <v>0</v>
      </c>
      <c r="L768" s="703" t="s">
        <v>334</v>
      </c>
      <c r="M768" s="702">
        <v>43434</v>
      </c>
      <c r="N768" s="702">
        <v>43511</v>
      </c>
      <c r="O768" s="703" t="s">
        <v>338</v>
      </c>
      <c r="P768" s="20">
        <v>49574.63</v>
      </c>
      <c r="Q768" s="20">
        <v>0</v>
      </c>
      <c r="R768" s="20">
        <v>0</v>
      </c>
      <c r="S768" s="20">
        <v>0</v>
      </c>
      <c r="T768" s="20">
        <v>49574.63</v>
      </c>
      <c r="U768" s="20">
        <v>44892.58</v>
      </c>
      <c r="V768" s="20">
        <v>-4682.05</v>
      </c>
      <c r="W768" s="20">
        <v>-6334.54</v>
      </c>
      <c r="X768" s="20">
        <v>-1652.49</v>
      </c>
      <c r="Y768" s="20">
        <v>0</v>
      </c>
      <c r="Z768" s="20">
        <v>0</v>
      </c>
      <c r="AA768" s="20">
        <v>0</v>
      </c>
      <c r="AB768" s="20">
        <v>43240.09</v>
      </c>
      <c r="AC768" t="s">
        <v>183</v>
      </c>
      <c r="AD768" t="s">
        <v>290</v>
      </c>
      <c r="AE768" s="702">
        <f t="shared" si="55"/>
        <v>43617</v>
      </c>
      <c r="AF768" s="289">
        <v>77147.701069756658</v>
      </c>
      <c r="AG768">
        <f t="shared" si="56"/>
        <v>360</v>
      </c>
      <c r="AH768" s="289">
        <f t="shared" si="57"/>
        <v>214.29916963821293</v>
      </c>
      <c r="AJ768" s="289">
        <f t="shared" si="58"/>
        <v>42</v>
      </c>
      <c r="AK768" s="289">
        <f t="shared" si="59"/>
        <v>9000.5651248049435</v>
      </c>
    </row>
    <row r="769" spans="1:37">
      <c r="A769" s="703" t="s">
        <v>1822</v>
      </c>
      <c r="B769" s="703" t="s">
        <v>1606</v>
      </c>
      <c r="C769" s="703" t="s">
        <v>390</v>
      </c>
      <c r="D769" s="703" t="s">
        <v>334</v>
      </c>
      <c r="E769" s="703" t="s">
        <v>334</v>
      </c>
      <c r="F769" s="703" t="s">
        <v>335</v>
      </c>
      <c r="G769" s="703" t="s">
        <v>1823</v>
      </c>
      <c r="H769" s="703" t="s">
        <v>334</v>
      </c>
      <c r="I769" s="703" t="s">
        <v>334</v>
      </c>
      <c r="J769" s="703" t="s">
        <v>337</v>
      </c>
      <c r="K769" s="704">
        <v>0</v>
      </c>
      <c r="L769" s="703" t="s">
        <v>334</v>
      </c>
      <c r="M769" s="702">
        <v>42886</v>
      </c>
      <c r="N769" s="702">
        <v>43511</v>
      </c>
      <c r="O769" s="703" t="s">
        <v>338</v>
      </c>
      <c r="P769" s="20">
        <v>17255.04</v>
      </c>
      <c r="Q769" s="20">
        <v>0</v>
      </c>
      <c r="R769" s="20">
        <v>0</v>
      </c>
      <c r="S769" s="20">
        <v>0</v>
      </c>
      <c r="T769" s="20">
        <v>17255.04</v>
      </c>
      <c r="U769" s="20">
        <v>15625.39</v>
      </c>
      <c r="V769" s="20">
        <v>-1629.65</v>
      </c>
      <c r="W769" s="20">
        <v>-2204.8200000000002</v>
      </c>
      <c r="X769" s="20">
        <v>-575.16999999999996</v>
      </c>
      <c r="Y769" s="20">
        <v>0</v>
      </c>
      <c r="Z769" s="20">
        <v>0</v>
      </c>
      <c r="AA769" s="20">
        <v>0</v>
      </c>
      <c r="AB769" s="20">
        <v>15050.22</v>
      </c>
      <c r="AC769" t="s">
        <v>188</v>
      </c>
      <c r="AD769" t="s">
        <v>290</v>
      </c>
      <c r="AE769" s="702">
        <f t="shared" si="55"/>
        <v>43617</v>
      </c>
      <c r="AF769" s="289">
        <v>26852.175555656067</v>
      </c>
      <c r="AG769">
        <f t="shared" si="56"/>
        <v>360</v>
      </c>
      <c r="AH769" s="289">
        <f t="shared" si="57"/>
        <v>74.589376543489081</v>
      </c>
      <c r="AJ769" s="289">
        <f t="shared" si="58"/>
        <v>42</v>
      </c>
      <c r="AK769" s="289">
        <f t="shared" si="59"/>
        <v>3132.7538148265412</v>
      </c>
    </row>
    <row r="770" spans="1:37">
      <c r="A770" s="703" t="s">
        <v>1824</v>
      </c>
      <c r="B770" s="703" t="s">
        <v>1606</v>
      </c>
      <c r="C770" s="703" t="s">
        <v>390</v>
      </c>
      <c r="D770" s="703" t="s">
        <v>334</v>
      </c>
      <c r="E770" s="703" t="s">
        <v>334</v>
      </c>
      <c r="F770" s="703" t="s">
        <v>335</v>
      </c>
      <c r="G770" s="703" t="s">
        <v>1825</v>
      </c>
      <c r="H770" s="703" t="s">
        <v>334</v>
      </c>
      <c r="I770" s="703" t="s">
        <v>334</v>
      </c>
      <c r="J770" s="703" t="s">
        <v>337</v>
      </c>
      <c r="K770" s="704">
        <v>0</v>
      </c>
      <c r="L770" s="703" t="s">
        <v>334</v>
      </c>
      <c r="M770" s="702">
        <v>42886</v>
      </c>
      <c r="N770" s="702">
        <v>43511</v>
      </c>
      <c r="O770" s="703" t="s">
        <v>338</v>
      </c>
      <c r="P770" s="20">
        <v>831.33</v>
      </c>
      <c r="Q770" s="20">
        <v>0</v>
      </c>
      <c r="R770" s="20">
        <v>0</v>
      </c>
      <c r="S770" s="20">
        <v>0</v>
      </c>
      <c r="T770" s="20">
        <v>831.33</v>
      </c>
      <c r="U770" s="20">
        <v>752.82</v>
      </c>
      <c r="V770" s="20">
        <v>-78.510000000000005</v>
      </c>
      <c r="W770" s="20">
        <v>-106.22</v>
      </c>
      <c r="X770" s="20">
        <v>-27.71</v>
      </c>
      <c r="Y770" s="20">
        <v>0</v>
      </c>
      <c r="Z770" s="20">
        <v>0</v>
      </c>
      <c r="AA770" s="20">
        <v>0</v>
      </c>
      <c r="AB770" s="20">
        <v>725.11</v>
      </c>
      <c r="AC770" t="s">
        <v>188</v>
      </c>
      <c r="AD770" t="s">
        <v>290</v>
      </c>
      <c r="AE770" s="702">
        <f t="shared" si="55"/>
        <v>43617</v>
      </c>
      <c r="AF770" s="289">
        <v>1293.7100757044643</v>
      </c>
      <c r="AG770">
        <f t="shared" si="56"/>
        <v>360</v>
      </c>
      <c r="AH770" s="289">
        <f t="shared" si="57"/>
        <v>3.5936390991790677</v>
      </c>
      <c r="AJ770" s="289">
        <f t="shared" si="58"/>
        <v>42</v>
      </c>
      <c r="AK770" s="289">
        <f t="shared" si="59"/>
        <v>150.93284216552084</v>
      </c>
    </row>
    <row r="771" spans="1:37">
      <c r="A771" s="703" t="s">
        <v>1826</v>
      </c>
      <c r="B771" s="703" t="s">
        <v>1606</v>
      </c>
      <c r="C771" s="703" t="s">
        <v>390</v>
      </c>
      <c r="D771" s="703" t="s">
        <v>334</v>
      </c>
      <c r="E771" s="703" t="s">
        <v>334</v>
      </c>
      <c r="F771" s="703" t="s">
        <v>335</v>
      </c>
      <c r="G771" s="703" t="s">
        <v>1827</v>
      </c>
      <c r="H771" s="703" t="s">
        <v>334</v>
      </c>
      <c r="I771" s="703" t="s">
        <v>334</v>
      </c>
      <c r="J771" s="703" t="s">
        <v>337</v>
      </c>
      <c r="K771" s="704">
        <v>0</v>
      </c>
      <c r="L771" s="703" t="s">
        <v>334</v>
      </c>
      <c r="M771" s="702">
        <v>42886</v>
      </c>
      <c r="N771" s="702">
        <v>43511</v>
      </c>
      <c r="O771" s="703" t="s">
        <v>338</v>
      </c>
      <c r="P771" s="20">
        <v>453.36</v>
      </c>
      <c r="Q771" s="20">
        <v>0</v>
      </c>
      <c r="R771" s="20">
        <v>0</v>
      </c>
      <c r="S771" s="20">
        <v>0</v>
      </c>
      <c r="T771" s="20">
        <v>453.36</v>
      </c>
      <c r="U771" s="20">
        <v>410.55</v>
      </c>
      <c r="V771" s="20">
        <v>-42.81</v>
      </c>
      <c r="W771" s="20">
        <v>-57.92</v>
      </c>
      <c r="X771" s="20">
        <v>-15.11</v>
      </c>
      <c r="Y771" s="20">
        <v>0</v>
      </c>
      <c r="Z771" s="20">
        <v>0</v>
      </c>
      <c r="AA771" s="20">
        <v>0</v>
      </c>
      <c r="AB771" s="20">
        <v>395.44</v>
      </c>
      <c r="AC771" t="s">
        <v>188</v>
      </c>
      <c r="AD771" t="s">
        <v>290</v>
      </c>
      <c r="AE771" s="702">
        <f t="shared" si="55"/>
        <v>43617</v>
      </c>
      <c r="AF771" s="289">
        <v>705.51573974399571</v>
      </c>
      <c r="AG771">
        <f t="shared" si="56"/>
        <v>360</v>
      </c>
      <c r="AH771" s="289">
        <f t="shared" si="57"/>
        <v>1.9597659437333215</v>
      </c>
      <c r="AJ771" s="289">
        <f t="shared" si="58"/>
        <v>42</v>
      </c>
      <c r="AK771" s="289">
        <f t="shared" si="59"/>
        <v>82.3101696367995</v>
      </c>
    </row>
    <row r="772" spans="1:37">
      <c r="A772" s="703" t="s">
        <v>1828</v>
      </c>
      <c r="B772" s="703" t="s">
        <v>1606</v>
      </c>
      <c r="C772" s="703" t="s">
        <v>390</v>
      </c>
      <c r="D772" s="703" t="s">
        <v>334</v>
      </c>
      <c r="E772" s="703" t="s">
        <v>334</v>
      </c>
      <c r="F772" s="703" t="s">
        <v>335</v>
      </c>
      <c r="G772" s="703" t="s">
        <v>1829</v>
      </c>
      <c r="H772" s="703" t="s">
        <v>334</v>
      </c>
      <c r="I772" s="703" t="s">
        <v>334</v>
      </c>
      <c r="J772" s="703" t="s">
        <v>337</v>
      </c>
      <c r="K772" s="704">
        <v>0</v>
      </c>
      <c r="L772" s="703" t="s">
        <v>334</v>
      </c>
      <c r="M772" s="702">
        <v>42886</v>
      </c>
      <c r="N772" s="702">
        <v>43511</v>
      </c>
      <c r="O772" s="703" t="s">
        <v>338</v>
      </c>
      <c r="P772" s="20">
        <v>21539.45</v>
      </c>
      <c r="Q772" s="20">
        <v>0</v>
      </c>
      <c r="R772" s="20">
        <v>0</v>
      </c>
      <c r="S772" s="20">
        <v>0</v>
      </c>
      <c r="T772" s="20">
        <v>21539.45</v>
      </c>
      <c r="U772" s="20">
        <v>19505.169999999998</v>
      </c>
      <c r="V772" s="20">
        <v>-2034.28</v>
      </c>
      <c r="W772" s="20">
        <v>-2752.26</v>
      </c>
      <c r="X772" s="20">
        <v>-717.98</v>
      </c>
      <c r="Y772" s="20">
        <v>0</v>
      </c>
      <c r="Z772" s="20">
        <v>0</v>
      </c>
      <c r="AA772" s="20">
        <v>0</v>
      </c>
      <c r="AB772" s="20">
        <v>18787.189999999999</v>
      </c>
      <c r="AC772" t="s">
        <v>188</v>
      </c>
      <c r="AD772" t="s">
        <v>290</v>
      </c>
      <c r="AE772" s="702">
        <f t="shared" si="55"/>
        <v>43617</v>
      </c>
      <c r="AF772" s="289">
        <v>33519.545174759151</v>
      </c>
      <c r="AG772">
        <f t="shared" si="56"/>
        <v>360</v>
      </c>
      <c r="AH772" s="289">
        <f t="shared" si="57"/>
        <v>93.109847707664301</v>
      </c>
      <c r="AJ772" s="289">
        <f t="shared" si="58"/>
        <v>42</v>
      </c>
      <c r="AK772" s="289">
        <f t="shared" si="59"/>
        <v>3910.6136037219007</v>
      </c>
    </row>
    <row r="773" spans="1:37">
      <c r="A773" s="703" t="s">
        <v>1830</v>
      </c>
      <c r="B773" s="703" t="s">
        <v>1606</v>
      </c>
      <c r="C773" s="703" t="s">
        <v>390</v>
      </c>
      <c r="D773" s="703" t="s">
        <v>334</v>
      </c>
      <c r="E773" s="703" t="s">
        <v>334</v>
      </c>
      <c r="F773" s="703" t="s">
        <v>335</v>
      </c>
      <c r="G773" s="703" t="s">
        <v>1831</v>
      </c>
      <c r="H773" s="703" t="s">
        <v>334</v>
      </c>
      <c r="I773" s="703" t="s">
        <v>334</v>
      </c>
      <c r="J773" s="703" t="s">
        <v>337</v>
      </c>
      <c r="K773" s="704">
        <v>0</v>
      </c>
      <c r="L773" s="703" t="s">
        <v>334</v>
      </c>
      <c r="M773" s="702">
        <v>42886</v>
      </c>
      <c r="N773" s="702">
        <v>43511</v>
      </c>
      <c r="O773" s="703" t="s">
        <v>338</v>
      </c>
      <c r="P773" s="20">
        <v>3348.42</v>
      </c>
      <c r="Q773" s="20">
        <v>0</v>
      </c>
      <c r="R773" s="20">
        <v>0</v>
      </c>
      <c r="S773" s="20">
        <v>0</v>
      </c>
      <c r="T773" s="20">
        <v>3348.42</v>
      </c>
      <c r="U773" s="20">
        <v>3032.19</v>
      </c>
      <c r="V773" s="20">
        <v>-316.23</v>
      </c>
      <c r="W773" s="20">
        <v>-427.84</v>
      </c>
      <c r="X773" s="20">
        <v>-111.61</v>
      </c>
      <c r="Y773" s="20">
        <v>0</v>
      </c>
      <c r="Z773" s="20">
        <v>0</v>
      </c>
      <c r="AA773" s="20">
        <v>0</v>
      </c>
      <c r="AB773" s="20">
        <v>2920.58</v>
      </c>
      <c r="AC773" t="s">
        <v>188</v>
      </c>
      <c r="AD773" t="s">
        <v>290</v>
      </c>
      <c r="AE773" s="702">
        <f t="shared" si="55"/>
        <v>43617</v>
      </c>
      <c r="AF773" s="289">
        <v>5210.7883652584915</v>
      </c>
      <c r="AG773">
        <f t="shared" si="56"/>
        <v>360</v>
      </c>
      <c r="AH773" s="289">
        <f t="shared" si="57"/>
        <v>14.474412125718032</v>
      </c>
      <c r="AJ773" s="289">
        <f t="shared" si="58"/>
        <v>42</v>
      </c>
      <c r="AK773" s="289">
        <f t="shared" si="59"/>
        <v>607.92530928015731</v>
      </c>
    </row>
    <row r="774" spans="1:37">
      <c r="A774" s="703" t="s">
        <v>1832</v>
      </c>
      <c r="B774" s="703" t="s">
        <v>1606</v>
      </c>
      <c r="C774" s="703" t="s">
        <v>390</v>
      </c>
      <c r="D774" s="703" t="s">
        <v>334</v>
      </c>
      <c r="E774" s="703" t="s">
        <v>334</v>
      </c>
      <c r="F774" s="703" t="s">
        <v>335</v>
      </c>
      <c r="G774" s="703" t="s">
        <v>1833</v>
      </c>
      <c r="H774" s="703" t="s">
        <v>334</v>
      </c>
      <c r="I774" s="703" t="s">
        <v>334</v>
      </c>
      <c r="J774" s="703" t="s">
        <v>337</v>
      </c>
      <c r="K774" s="704">
        <v>0</v>
      </c>
      <c r="L774" s="703" t="s">
        <v>334</v>
      </c>
      <c r="M774" s="702">
        <v>42886</v>
      </c>
      <c r="N774" s="702">
        <v>43511</v>
      </c>
      <c r="O774" s="703" t="s">
        <v>338</v>
      </c>
      <c r="P774" s="20">
        <v>1763.9</v>
      </c>
      <c r="Q774" s="20">
        <v>0</v>
      </c>
      <c r="R774" s="20">
        <v>0</v>
      </c>
      <c r="S774" s="20">
        <v>0</v>
      </c>
      <c r="T774" s="20">
        <v>1763.9</v>
      </c>
      <c r="U774" s="20">
        <v>1597.3</v>
      </c>
      <c r="V774" s="20">
        <v>-166.6</v>
      </c>
      <c r="W774" s="20">
        <v>-225.4</v>
      </c>
      <c r="X774" s="20">
        <v>-58.8</v>
      </c>
      <c r="Y774" s="20">
        <v>0</v>
      </c>
      <c r="Z774" s="20">
        <v>0</v>
      </c>
      <c r="AA774" s="20">
        <v>0</v>
      </c>
      <c r="AB774" s="20">
        <v>1538.5</v>
      </c>
      <c r="AC774" t="s">
        <v>188</v>
      </c>
      <c r="AD774" t="s">
        <v>290</v>
      </c>
      <c r="AE774" s="702">
        <f t="shared" si="55"/>
        <v>43617</v>
      </c>
      <c r="AF774" s="289">
        <v>2744.9691488760232</v>
      </c>
      <c r="AG774">
        <f t="shared" si="56"/>
        <v>360</v>
      </c>
      <c r="AH774" s="289">
        <f t="shared" si="57"/>
        <v>7.6249143024333979</v>
      </c>
      <c r="AJ774" s="289">
        <f t="shared" si="58"/>
        <v>42</v>
      </c>
      <c r="AK774" s="289">
        <f t="shared" si="59"/>
        <v>320.24640070220272</v>
      </c>
    </row>
    <row r="775" spans="1:37">
      <c r="A775" s="703" t="s">
        <v>1834</v>
      </c>
      <c r="B775" s="703" t="s">
        <v>1606</v>
      </c>
      <c r="C775" s="703" t="s">
        <v>390</v>
      </c>
      <c r="D775" s="703" t="s">
        <v>334</v>
      </c>
      <c r="E775" s="703" t="s">
        <v>334</v>
      </c>
      <c r="F775" s="703" t="s">
        <v>335</v>
      </c>
      <c r="G775" s="703" t="s">
        <v>1835</v>
      </c>
      <c r="H775" s="703" t="s">
        <v>334</v>
      </c>
      <c r="I775" s="703" t="s">
        <v>334</v>
      </c>
      <c r="J775" s="703" t="s">
        <v>337</v>
      </c>
      <c r="K775" s="704">
        <v>0</v>
      </c>
      <c r="L775" s="703" t="s">
        <v>334</v>
      </c>
      <c r="M775" s="702">
        <v>42886</v>
      </c>
      <c r="N775" s="702">
        <v>43511</v>
      </c>
      <c r="O775" s="703" t="s">
        <v>338</v>
      </c>
      <c r="P775" s="20">
        <v>1382.54</v>
      </c>
      <c r="Q775" s="20">
        <v>0</v>
      </c>
      <c r="R775" s="20">
        <v>0</v>
      </c>
      <c r="S775" s="20">
        <v>0</v>
      </c>
      <c r="T775" s="20">
        <v>1382.54</v>
      </c>
      <c r="U775" s="20">
        <v>1251.98</v>
      </c>
      <c r="V775" s="20">
        <v>-130.56</v>
      </c>
      <c r="W775" s="20">
        <v>-176.64</v>
      </c>
      <c r="X775" s="20">
        <v>-46.08</v>
      </c>
      <c r="Y775" s="20">
        <v>0</v>
      </c>
      <c r="Z775" s="20">
        <v>0</v>
      </c>
      <c r="AA775" s="20">
        <v>0</v>
      </c>
      <c r="AB775" s="20">
        <v>1205.9000000000001</v>
      </c>
      <c r="AC775" t="s">
        <v>188</v>
      </c>
      <c r="AD775" t="s">
        <v>290</v>
      </c>
      <c r="AE775" s="702">
        <f t="shared" ref="AE775:AE838" si="60">IF(N775&gt;=$AG$5,DATE(YEAR(N775),6,1),DATE(YEAR(N775),6,1))</f>
        <v>43617</v>
      </c>
      <c r="AF775" s="289">
        <v>2151.4993180379029</v>
      </c>
      <c r="AG775">
        <f t="shared" ref="AG775:AG838" si="61">+IF(AD775="intangível",20*12,IF(AD775="Diferido",120,IF(AD775="Não vinculados",0,IF(AE775&lt;=$AG$5,F775*12,360))))</f>
        <v>360</v>
      </c>
      <c r="AH775" s="289">
        <f t="shared" ref="AH775:AH838" si="62">IF(AG775=0,0,AF775/AG775)</f>
        <v>5.9763869945497303</v>
      </c>
      <c r="AJ775" s="289">
        <f t="shared" ref="AJ775:AJ838" si="63">+IF(AND(YEAR(AE775)&gt;=2018,YEAR(AE775)&lt;=2022),IF(DATEDIF(AE775,$AK$4,"m")&gt;=AG775,AG775,DATEDIF(AE775,$AK$4,"m")),0)</f>
        <v>42</v>
      </c>
      <c r="AK775" s="289">
        <f t="shared" ref="AK775:AK838" si="64">IF(AD775="Imobilizado",AJ775*AH775,0)</f>
        <v>251.00825377108868</v>
      </c>
    </row>
    <row r="776" spans="1:37">
      <c r="A776" s="703" t="s">
        <v>1836</v>
      </c>
      <c r="B776" s="703" t="s">
        <v>1606</v>
      </c>
      <c r="C776" s="703" t="s">
        <v>390</v>
      </c>
      <c r="D776" s="703" t="s">
        <v>334</v>
      </c>
      <c r="E776" s="703" t="s">
        <v>334</v>
      </c>
      <c r="F776" s="703" t="s">
        <v>335</v>
      </c>
      <c r="G776" s="703" t="s">
        <v>1837</v>
      </c>
      <c r="H776" s="703" t="s">
        <v>334</v>
      </c>
      <c r="I776" s="703" t="s">
        <v>334</v>
      </c>
      <c r="J776" s="703" t="s">
        <v>337</v>
      </c>
      <c r="K776" s="704">
        <v>0</v>
      </c>
      <c r="L776" s="703" t="s">
        <v>334</v>
      </c>
      <c r="M776" s="702">
        <v>42886</v>
      </c>
      <c r="N776" s="702">
        <v>43511</v>
      </c>
      <c r="O776" s="703" t="s">
        <v>338</v>
      </c>
      <c r="P776" s="20">
        <v>3872.34</v>
      </c>
      <c r="Q776" s="20">
        <v>0</v>
      </c>
      <c r="R776" s="20">
        <v>0</v>
      </c>
      <c r="S776" s="20">
        <v>0</v>
      </c>
      <c r="T776" s="20">
        <v>3872.34</v>
      </c>
      <c r="U776" s="20">
        <v>3506.61</v>
      </c>
      <c r="V776" s="20">
        <v>-365.73</v>
      </c>
      <c r="W776" s="20">
        <v>-494.81</v>
      </c>
      <c r="X776" s="20">
        <v>-129.08000000000001</v>
      </c>
      <c r="Y776" s="20">
        <v>0</v>
      </c>
      <c r="Z776" s="20">
        <v>0</v>
      </c>
      <c r="AA776" s="20">
        <v>0</v>
      </c>
      <c r="AB776" s="20">
        <v>3377.53</v>
      </c>
      <c r="AC776" t="s">
        <v>188</v>
      </c>
      <c r="AD776" t="s">
        <v>290</v>
      </c>
      <c r="AE776" s="702">
        <f t="shared" si="60"/>
        <v>43617</v>
      </c>
      <c r="AF776" s="289">
        <v>6026.1090957302458</v>
      </c>
      <c r="AG776">
        <f t="shared" si="61"/>
        <v>360</v>
      </c>
      <c r="AH776" s="289">
        <f t="shared" si="62"/>
        <v>16.739191932584017</v>
      </c>
      <c r="AJ776" s="289">
        <f t="shared" si="63"/>
        <v>42</v>
      </c>
      <c r="AK776" s="289">
        <f t="shared" si="64"/>
        <v>703.04606116852869</v>
      </c>
    </row>
    <row r="777" spans="1:37">
      <c r="A777" s="703" t="s">
        <v>1838</v>
      </c>
      <c r="B777" s="703" t="s">
        <v>1606</v>
      </c>
      <c r="C777" s="703" t="s">
        <v>390</v>
      </c>
      <c r="D777" s="703" t="s">
        <v>334</v>
      </c>
      <c r="E777" s="703" t="s">
        <v>334</v>
      </c>
      <c r="F777" s="703" t="s">
        <v>335</v>
      </c>
      <c r="G777" s="703" t="s">
        <v>1839</v>
      </c>
      <c r="H777" s="703" t="s">
        <v>334</v>
      </c>
      <c r="I777" s="703" t="s">
        <v>334</v>
      </c>
      <c r="J777" s="703" t="s">
        <v>337</v>
      </c>
      <c r="K777" s="704">
        <v>0</v>
      </c>
      <c r="L777" s="703" t="s">
        <v>334</v>
      </c>
      <c r="M777" s="702">
        <v>42886</v>
      </c>
      <c r="N777" s="702">
        <v>43511</v>
      </c>
      <c r="O777" s="703" t="s">
        <v>338</v>
      </c>
      <c r="P777" s="20">
        <v>3626.88</v>
      </c>
      <c r="Q777" s="20">
        <v>0</v>
      </c>
      <c r="R777" s="20">
        <v>0</v>
      </c>
      <c r="S777" s="20">
        <v>0</v>
      </c>
      <c r="T777" s="20">
        <v>3626.88</v>
      </c>
      <c r="U777" s="20">
        <v>3284.33</v>
      </c>
      <c r="V777" s="20">
        <v>-342.55</v>
      </c>
      <c r="W777" s="20">
        <v>-463.45</v>
      </c>
      <c r="X777" s="20">
        <v>-120.9</v>
      </c>
      <c r="Y777" s="20">
        <v>0</v>
      </c>
      <c r="Z777" s="20">
        <v>0</v>
      </c>
      <c r="AA777" s="20">
        <v>0</v>
      </c>
      <c r="AB777" s="20">
        <v>3163.43</v>
      </c>
      <c r="AC777" t="s">
        <v>188</v>
      </c>
      <c r="AD777" t="s">
        <v>290</v>
      </c>
      <c r="AE777" s="702">
        <f t="shared" si="60"/>
        <v>43617</v>
      </c>
      <c r="AF777" s="289">
        <v>5644.1259179519657</v>
      </c>
      <c r="AG777">
        <f t="shared" si="61"/>
        <v>360</v>
      </c>
      <c r="AH777" s="289">
        <f t="shared" si="62"/>
        <v>15.678127549866572</v>
      </c>
      <c r="AJ777" s="289">
        <f t="shared" si="63"/>
        <v>42</v>
      </c>
      <c r="AK777" s="289">
        <f t="shared" si="64"/>
        <v>658.481357094396</v>
      </c>
    </row>
    <row r="778" spans="1:37">
      <c r="A778" s="703" t="s">
        <v>1840</v>
      </c>
      <c r="B778" s="703" t="s">
        <v>1606</v>
      </c>
      <c r="C778" s="703" t="s">
        <v>390</v>
      </c>
      <c r="D778" s="703" t="s">
        <v>334</v>
      </c>
      <c r="E778" s="703" t="s">
        <v>334</v>
      </c>
      <c r="F778" s="703" t="s">
        <v>335</v>
      </c>
      <c r="G778" s="703" t="s">
        <v>1841</v>
      </c>
      <c r="H778" s="703" t="s">
        <v>334</v>
      </c>
      <c r="I778" s="703" t="s">
        <v>334</v>
      </c>
      <c r="J778" s="703" t="s">
        <v>337</v>
      </c>
      <c r="K778" s="704">
        <v>0</v>
      </c>
      <c r="L778" s="703" t="s">
        <v>334</v>
      </c>
      <c r="M778" s="702">
        <v>43100</v>
      </c>
      <c r="N778" s="702">
        <v>43511</v>
      </c>
      <c r="O778" s="703" t="s">
        <v>338</v>
      </c>
      <c r="P778" s="20">
        <v>2269.6</v>
      </c>
      <c r="Q778" s="20">
        <v>0</v>
      </c>
      <c r="R778" s="20">
        <v>0</v>
      </c>
      <c r="S778" s="20">
        <v>0</v>
      </c>
      <c r="T778" s="20">
        <v>2269.6</v>
      </c>
      <c r="U778" s="20">
        <v>2055.2600000000002</v>
      </c>
      <c r="V778" s="20">
        <v>-214.34</v>
      </c>
      <c r="W778" s="20">
        <v>-289.99</v>
      </c>
      <c r="X778" s="20">
        <v>-75.650000000000006</v>
      </c>
      <c r="Y778" s="20">
        <v>0</v>
      </c>
      <c r="Z778" s="20">
        <v>0</v>
      </c>
      <c r="AA778" s="20">
        <v>0</v>
      </c>
      <c r="AB778" s="20">
        <v>1979.61</v>
      </c>
      <c r="AC778" t="s">
        <v>188</v>
      </c>
      <c r="AD778" t="s">
        <v>290</v>
      </c>
      <c r="AE778" s="702">
        <f t="shared" si="60"/>
        <v>43617</v>
      </c>
      <c r="AF778" s="289">
        <v>3531.9360396218731</v>
      </c>
      <c r="AG778">
        <f t="shared" si="61"/>
        <v>360</v>
      </c>
      <c r="AH778" s="289">
        <f t="shared" si="62"/>
        <v>9.8109334433940916</v>
      </c>
      <c r="AJ778" s="289">
        <f t="shared" si="63"/>
        <v>42</v>
      </c>
      <c r="AK778" s="289">
        <f t="shared" si="64"/>
        <v>412.05920462255187</v>
      </c>
    </row>
    <row r="779" spans="1:37">
      <c r="A779" s="703" t="s">
        <v>1842</v>
      </c>
      <c r="B779" s="703" t="s">
        <v>1606</v>
      </c>
      <c r="C779" s="703" t="s">
        <v>390</v>
      </c>
      <c r="D779" s="703" t="s">
        <v>334</v>
      </c>
      <c r="E779" s="703" t="s">
        <v>334</v>
      </c>
      <c r="F779" s="703" t="s">
        <v>335</v>
      </c>
      <c r="G779" s="703" t="s">
        <v>1843</v>
      </c>
      <c r="H779" s="703" t="s">
        <v>334</v>
      </c>
      <c r="I779" s="703" t="s">
        <v>334</v>
      </c>
      <c r="J779" s="703" t="s">
        <v>337</v>
      </c>
      <c r="K779" s="704">
        <v>0</v>
      </c>
      <c r="L779" s="703" t="s">
        <v>334</v>
      </c>
      <c r="M779" s="702">
        <v>43251</v>
      </c>
      <c r="N779" s="702">
        <v>43511</v>
      </c>
      <c r="O779" s="703" t="s">
        <v>338</v>
      </c>
      <c r="P779" s="20">
        <v>1813.44</v>
      </c>
      <c r="Q779" s="20">
        <v>0</v>
      </c>
      <c r="R779" s="20">
        <v>0</v>
      </c>
      <c r="S779" s="20">
        <v>0</v>
      </c>
      <c r="T779" s="20">
        <v>1813.44</v>
      </c>
      <c r="U779" s="20">
        <v>1642.17</v>
      </c>
      <c r="V779" s="20">
        <v>-171.27</v>
      </c>
      <c r="W779" s="20">
        <v>-231.72</v>
      </c>
      <c r="X779" s="20">
        <v>-60.45</v>
      </c>
      <c r="Y779" s="20">
        <v>0</v>
      </c>
      <c r="Z779" s="20">
        <v>0</v>
      </c>
      <c r="AA779" s="20">
        <v>0</v>
      </c>
      <c r="AB779" s="20">
        <v>1581.72</v>
      </c>
      <c r="AC779" t="s">
        <v>188</v>
      </c>
      <c r="AD779" t="s">
        <v>290</v>
      </c>
      <c r="AE779" s="702">
        <f t="shared" si="60"/>
        <v>43617</v>
      </c>
      <c r="AF779" s="289">
        <v>2822.0629589759828</v>
      </c>
      <c r="AG779">
        <f t="shared" si="61"/>
        <v>360</v>
      </c>
      <c r="AH779" s="289">
        <f t="shared" si="62"/>
        <v>7.8390637749332859</v>
      </c>
      <c r="AJ779" s="289">
        <f t="shared" si="63"/>
        <v>42</v>
      </c>
      <c r="AK779" s="289">
        <f t="shared" si="64"/>
        <v>329.240678547198</v>
      </c>
    </row>
    <row r="780" spans="1:37">
      <c r="A780" s="703" t="s">
        <v>1844</v>
      </c>
      <c r="B780" s="703" t="s">
        <v>1606</v>
      </c>
      <c r="C780" s="703" t="s">
        <v>390</v>
      </c>
      <c r="D780" s="703" t="s">
        <v>334</v>
      </c>
      <c r="E780" s="703" t="s">
        <v>334</v>
      </c>
      <c r="F780" s="703" t="s">
        <v>335</v>
      </c>
      <c r="G780" s="703" t="s">
        <v>1845</v>
      </c>
      <c r="H780" s="703" t="s">
        <v>334</v>
      </c>
      <c r="I780" s="703" t="s">
        <v>334</v>
      </c>
      <c r="J780" s="703" t="s">
        <v>337</v>
      </c>
      <c r="K780" s="704">
        <v>0</v>
      </c>
      <c r="L780" s="703" t="s">
        <v>334</v>
      </c>
      <c r="M780" s="702">
        <v>43251</v>
      </c>
      <c r="N780" s="702">
        <v>43511</v>
      </c>
      <c r="O780" s="703" t="s">
        <v>338</v>
      </c>
      <c r="P780" s="20">
        <v>906.72</v>
      </c>
      <c r="Q780" s="20">
        <v>0</v>
      </c>
      <c r="R780" s="20">
        <v>0</v>
      </c>
      <c r="S780" s="20">
        <v>0</v>
      </c>
      <c r="T780" s="20">
        <v>906.72</v>
      </c>
      <c r="U780" s="20">
        <v>821.09</v>
      </c>
      <c r="V780" s="20">
        <v>-85.63</v>
      </c>
      <c r="W780" s="20">
        <v>-115.85</v>
      </c>
      <c r="X780" s="20">
        <v>-30.22</v>
      </c>
      <c r="Y780" s="20">
        <v>0</v>
      </c>
      <c r="Z780" s="20">
        <v>0</v>
      </c>
      <c r="AA780" s="20">
        <v>0</v>
      </c>
      <c r="AB780" s="20">
        <v>790.87</v>
      </c>
      <c r="AC780" t="s">
        <v>188</v>
      </c>
      <c r="AD780" t="s">
        <v>290</v>
      </c>
      <c r="AE780" s="702">
        <f t="shared" si="60"/>
        <v>43617</v>
      </c>
      <c r="AF780" s="289">
        <v>1411.0314794879914</v>
      </c>
      <c r="AG780">
        <f t="shared" si="61"/>
        <v>360</v>
      </c>
      <c r="AH780" s="289">
        <f t="shared" si="62"/>
        <v>3.9195318874666429</v>
      </c>
      <c r="AJ780" s="289">
        <f t="shared" si="63"/>
        <v>42</v>
      </c>
      <c r="AK780" s="289">
        <f t="shared" si="64"/>
        <v>164.620339273599</v>
      </c>
    </row>
    <row r="781" spans="1:37">
      <c r="A781" s="703" t="s">
        <v>1846</v>
      </c>
      <c r="B781" s="703" t="s">
        <v>1606</v>
      </c>
      <c r="C781" s="703" t="s">
        <v>390</v>
      </c>
      <c r="D781" s="703" t="s">
        <v>334</v>
      </c>
      <c r="E781" s="703" t="s">
        <v>334</v>
      </c>
      <c r="F781" s="703" t="s">
        <v>335</v>
      </c>
      <c r="G781" s="703" t="s">
        <v>1847</v>
      </c>
      <c r="H781" s="703" t="s">
        <v>334</v>
      </c>
      <c r="I781" s="703" t="s">
        <v>334</v>
      </c>
      <c r="J781" s="703" t="s">
        <v>337</v>
      </c>
      <c r="K781" s="704">
        <v>0</v>
      </c>
      <c r="L781" s="703" t="s">
        <v>334</v>
      </c>
      <c r="M781" s="702">
        <v>43251</v>
      </c>
      <c r="N781" s="702">
        <v>43511</v>
      </c>
      <c r="O781" s="703" t="s">
        <v>338</v>
      </c>
      <c r="P781" s="20">
        <v>6326.47</v>
      </c>
      <c r="Q781" s="20">
        <v>0</v>
      </c>
      <c r="R781" s="20">
        <v>0</v>
      </c>
      <c r="S781" s="20">
        <v>0</v>
      </c>
      <c r="T781" s="20">
        <v>6326.47</v>
      </c>
      <c r="U781" s="20">
        <v>5728.97</v>
      </c>
      <c r="V781" s="20">
        <v>-597.5</v>
      </c>
      <c r="W781" s="20">
        <v>-808.38</v>
      </c>
      <c r="X781" s="20">
        <v>-210.88</v>
      </c>
      <c r="Y781" s="20">
        <v>0</v>
      </c>
      <c r="Z781" s="20">
        <v>0</v>
      </c>
      <c r="AA781" s="20">
        <v>0</v>
      </c>
      <c r="AB781" s="20">
        <v>5518.09</v>
      </c>
      <c r="AC781" t="s">
        <v>188</v>
      </c>
      <c r="AD781" t="s">
        <v>290</v>
      </c>
      <c r="AE781" s="702">
        <f t="shared" si="60"/>
        <v>43617</v>
      </c>
      <c r="AF781" s="289">
        <v>9845.2094627188035</v>
      </c>
      <c r="AG781">
        <f t="shared" si="61"/>
        <v>360</v>
      </c>
      <c r="AH781" s="289">
        <f t="shared" si="62"/>
        <v>27.347804063107787</v>
      </c>
      <c r="AJ781" s="289">
        <f t="shared" si="63"/>
        <v>42</v>
      </c>
      <c r="AK781" s="289">
        <f t="shared" si="64"/>
        <v>1148.6077706505271</v>
      </c>
    </row>
    <row r="782" spans="1:37">
      <c r="A782" s="703" t="s">
        <v>1848</v>
      </c>
      <c r="B782" s="703" t="s">
        <v>1606</v>
      </c>
      <c r="C782" s="703" t="s">
        <v>574</v>
      </c>
      <c r="D782" s="703" t="s">
        <v>334</v>
      </c>
      <c r="E782" s="703" t="s">
        <v>334</v>
      </c>
      <c r="F782" s="703" t="s">
        <v>335</v>
      </c>
      <c r="G782" s="703" t="s">
        <v>1849</v>
      </c>
      <c r="H782" s="703" t="s">
        <v>334</v>
      </c>
      <c r="I782" s="703" t="s">
        <v>334</v>
      </c>
      <c r="J782" s="703" t="s">
        <v>577</v>
      </c>
      <c r="K782" s="704">
        <v>0</v>
      </c>
      <c r="L782" s="703" t="s">
        <v>334</v>
      </c>
      <c r="M782" s="702">
        <v>42794</v>
      </c>
      <c r="N782" s="702">
        <v>43511</v>
      </c>
      <c r="O782" s="703" t="s">
        <v>338</v>
      </c>
      <c r="P782" s="20">
        <v>1579333.31</v>
      </c>
      <c r="Q782" s="20">
        <v>0</v>
      </c>
      <c r="R782" s="20">
        <v>0</v>
      </c>
      <c r="S782" s="20">
        <v>0</v>
      </c>
      <c r="T782" s="20">
        <v>1579333.31</v>
      </c>
      <c r="U782" s="20">
        <v>1430174.06</v>
      </c>
      <c r="V782" s="20">
        <v>-149159.25</v>
      </c>
      <c r="W782" s="20">
        <v>-201803.69</v>
      </c>
      <c r="X782" s="20">
        <v>-52644.44</v>
      </c>
      <c r="Y782" s="20">
        <v>0</v>
      </c>
      <c r="Z782" s="20">
        <v>0</v>
      </c>
      <c r="AA782" s="20">
        <v>0</v>
      </c>
      <c r="AB782" s="20">
        <v>1377529.62</v>
      </c>
      <c r="AC782" t="s">
        <v>578</v>
      </c>
      <c r="AD782" t="s">
        <v>290</v>
      </c>
      <c r="AE782" s="702">
        <f t="shared" si="60"/>
        <v>43617</v>
      </c>
      <c r="AF782" s="289">
        <v>2457747.7247815933</v>
      </c>
      <c r="AG782">
        <f t="shared" si="61"/>
        <v>360</v>
      </c>
      <c r="AH782" s="289">
        <f t="shared" si="62"/>
        <v>6827.0770132822036</v>
      </c>
      <c r="AJ782" s="289">
        <f t="shared" si="63"/>
        <v>42</v>
      </c>
      <c r="AK782" s="289">
        <f t="shared" si="64"/>
        <v>286737.23455785256</v>
      </c>
    </row>
    <row r="783" spans="1:37">
      <c r="A783" s="703" t="s">
        <v>1850</v>
      </c>
      <c r="B783" s="703" t="s">
        <v>1606</v>
      </c>
      <c r="C783" s="703" t="s">
        <v>586</v>
      </c>
      <c r="D783" s="703" t="s">
        <v>334</v>
      </c>
      <c r="E783" s="703" t="s">
        <v>334</v>
      </c>
      <c r="F783" s="703" t="s">
        <v>335</v>
      </c>
      <c r="G783" s="703" t="s">
        <v>1851</v>
      </c>
      <c r="H783" s="703" t="s">
        <v>334</v>
      </c>
      <c r="I783" s="703" t="s">
        <v>334</v>
      </c>
      <c r="J783" s="703" t="s">
        <v>337</v>
      </c>
      <c r="K783" s="704">
        <v>0</v>
      </c>
      <c r="L783" s="703" t="s">
        <v>334</v>
      </c>
      <c r="M783" s="702">
        <v>40390</v>
      </c>
      <c r="N783" s="702">
        <v>43511</v>
      </c>
      <c r="O783" s="703" t="s">
        <v>338</v>
      </c>
      <c r="P783" s="20">
        <v>169888.89</v>
      </c>
      <c r="Q783" s="20">
        <v>0</v>
      </c>
      <c r="R783" s="20">
        <v>0</v>
      </c>
      <c r="S783" s="20">
        <v>0</v>
      </c>
      <c r="T783" s="20">
        <v>169888.89</v>
      </c>
      <c r="U783" s="20">
        <v>153843.82999999999</v>
      </c>
      <c r="V783" s="20">
        <v>-16045.06</v>
      </c>
      <c r="W783" s="20">
        <v>-21708.02</v>
      </c>
      <c r="X783" s="20">
        <v>-5662.96</v>
      </c>
      <c r="Y783" s="20">
        <v>0</v>
      </c>
      <c r="Z783" s="20">
        <v>0</v>
      </c>
      <c r="AA783" s="20">
        <v>0</v>
      </c>
      <c r="AB783" s="20">
        <v>148180.87</v>
      </c>
      <c r="AC783" t="s">
        <v>589</v>
      </c>
      <c r="AD783" t="s">
        <v>290</v>
      </c>
      <c r="AE783" s="702">
        <f t="shared" si="60"/>
        <v>43617</v>
      </c>
      <c r="AF783" s="289">
        <v>264379.93184805964</v>
      </c>
      <c r="AG783">
        <f t="shared" si="61"/>
        <v>360</v>
      </c>
      <c r="AH783" s="289">
        <f t="shared" si="62"/>
        <v>734.3886995779435</v>
      </c>
      <c r="AJ783" s="289">
        <f t="shared" si="63"/>
        <v>42</v>
      </c>
      <c r="AK783" s="289">
        <f t="shared" si="64"/>
        <v>30844.325382273626</v>
      </c>
    </row>
    <row r="784" spans="1:37">
      <c r="A784" s="703" t="s">
        <v>1852</v>
      </c>
      <c r="B784" s="703" t="s">
        <v>1606</v>
      </c>
      <c r="C784" s="703" t="s">
        <v>586</v>
      </c>
      <c r="D784" s="703" t="s">
        <v>334</v>
      </c>
      <c r="E784" s="703" t="s">
        <v>334</v>
      </c>
      <c r="F784" s="703" t="s">
        <v>335</v>
      </c>
      <c r="G784" s="703" t="s">
        <v>1853</v>
      </c>
      <c r="H784" s="703" t="s">
        <v>334</v>
      </c>
      <c r="I784" s="703" t="s">
        <v>334</v>
      </c>
      <c r="J784" s="703" t="s">
        <v>337</v>
      </c>
      <c r="K784" s="704">
        <v>0</v>
      </c>
      <c r="L784" s="703" t="s">
        <v>334</v>
      </c>
      <c r="M784" s="702">
        <v>43039</v>
      </c>
      <c r="N784" s="702">
        <v>43511</v>
      </c>
      <c r="O784" s="703" t="s">
        <v>338</v>
      </c>
      <c r="P784" s="20">
        <v>124437.64</v>
      </c>
      <c r="Q784" s="20">
        <v>0</v>
      </c>
      <c r="R784" s="20">
        <v>0</v>
      </c>
      <c r="S784" s="20">
        <v>0</v>
      </c>
      <c r="T784" s="20">
        <v>124437.64</v>
      </c>
      <c r="U784" s="20">
        <v>112685.2</v>
      </c>
      <c r="V784" s="20">
        <v>-11752.44</v>
      </c>
      <c r="W784" s="20">
        <v>-15900.36</v>
      </c>
      <c r="X784" s="20">
        <v>-4147.92</v>
      </c>
      <c r="Y784" s="20">
        <v>0</v>
      </c>
      <c r="Z784" s="20">
        <v>0</v>
      </c>
      <c r="AA784" s="20">
        <v>0</v>
      </c>
      <c r="AB784" s="20">
        <v>108537.28</v>
      </c>
      <c r="AC784" t="s">
        <v>589</v>
      </c>
      <c r="AD784" t="s">
        <v>290</v>
      </c>
      <c r="AE784" s="702">
        <f t="shared" si="60"/>
        <v>43617</v>
      </c>
      <c r="AF784" s="289">
        <v>193649.00660975167</v>
      </c>
      <c r="AG784">
        <f t="shared" si="61"/>
        <v>360</v>
      </c>
      <c r="AH784" s="289">
        <f t="shared" si="62"/>
        <v>537.91390724931023</v>
      </c>
      <c r="AJ784" s="289">
        <f t="shared" si="63"/>
        <v>42</v>
      </c>
      <c r="AK784" s="289">
        <f t="shared" si="64"/>
        <v>22592.384104471028</v>
      </c>
    </row>
    <row r="785" spans="1:37">
      <c r="A785" s="703" t="s">
        <v>1854</v>
      </c>
      <c r="B785" s="703" t="s">
        <v>1606</v>
      </c>
      <c r="C785" s="703" t="s">
        <v>586</v>
      </c>
      <c r="D785" s="703" t="s">
        <v>334</v>
      </c>
      <c r="E785" s="703" t="s">
        <v>334</v>
      </c>
      <c r="F785" s="703" t="s">
        <v>335</v>
      </c>
      <c r="G785" s="703" t="s">
        <v>1855</v>
      </c>
      <c r="H785" s="703" t="s">
        <v>334</v>
      </c>
      <c r="I785" s="703" t="s">
        <v>334</v>
      </c>
      <c r="J785" s="703" t="s">
        <v>337</v>
      </c>
      <c r="K785" s="704">
        <v>0</v>
      </c>
      <c r="L785" s="703" t="s">
        <v>334</v>
      </c>
      <c r="M785" s="702">
        <v>43039</v>
      </c>
      <c r="N785" s="702">
        <v>43511</v>
      </c>
      <c r="O785" s="703" t="s">
        <v>338</v>
      </c>
      <c r="P785" s="20">
        <v>91949.48</v>
      </c>
      <c r="Q785" s="20">
        <v>0</v>
      </c>
      <c r="R785" s="20">
        <v>0</v>
      </c>
      <c r="S785" s="20">
        <v>0</v>
      </c>
      <c r="T785" s="20">
        <v>91949.48</v>
      </c>
      <c r="U785" s="20">
        <v>83265.37</v>
      </c>
      <c r="V785" s="20">
        <v>-8684.11</v>
      </c>
      <c r="W785" s="20">
        <v>-11749.09</v>
      </c>
      <c r="X785" s="20">
        <v>-3064.98</v>
      </c>
      <c r="Y785" s="20">
        <v>0</v>
      </c>
      <c r="Z785" s="20">
        <v>0</v>
      </c>
      <c r="AA785" s="20">
        <v>0</v>
      </c>
      <c r="AB785" s="20">
        <v>80200.39</v>
      </c>
      <c r="AC785" t="s">
        <v>589</v>
      </c>
      <c r="AD785" t="s">
        <v>290</v>
      </c>
      <c r="AE785" s="702">
        <f t="shared" si="60"/>
        <v>43617</v>
      </c>
      <c r="AF785" s="289">
        <v>143091.15361142519</v>
      </c>
      <c r="AG785">
        <f t="shared" si="61"/>
        <v>360</v>
      </c>
      <c r="AH785" s="289">
        <f t="shared" si="62"/>
        <v>397.47542669840334</v>
      </c>
      <c r="AJ785" s="289">
        <f t="shared" si="63"/>
        <v>42</v>
      </c>
      <c r="AK785" s="289">
        <f t="shared" si="64"/>
        <v>16693.96792133294</v>
      </c>
    </row>
    <row r="786" spans="1:37">
      <c r="A786" s="703" t="s">
        <v>592</v>
      </c>
      <c r="B786" s="703" t="s">
        <v>1606</v>
      </c>
      <c r="C786" s="703" t="s">
        <v>586</v>
      </c>
      <c r="D786" s="703" t="s">
        <v>486</v>
      </c>
      <c r="E786" s="703" t="s">
        <v>587</v>
      </c>
      <c r="F786" s="703" t="s">
        <v>335</v>
      </c>
      <c r="G786" s="703" t="s">
        <v>593</v>
      </c>
      <c r="H786" s="703" t="s">
        <v>334</v>
      </c>
      <c r="I786" s="703" t="s">
        <v>334</v>
      </c>
      <c r="J786" s="703" t="s">
        <v>337</v>
      </c>
      <c r="K786" s="704">
        <v>0</v>
      </c>
      <c r="L786" s="703" t="s">
        <v>334</v>
      </c>
      <c r="M786" s="702">
        <v>40390</v>
      </c>
      <c r="N786" s="702">
        <v>43511</v>
      </c>
      <c r="O786" s="703" t="s">
        <v>338</v>
      </c>
      <c r="P786" s="20">
        <v>18372.14</v>
      </c>
      <c r="Q786" s="20">
        <v>0</v>
      </c>
      <c r="R786" s="20">
        <v>0</v>
      </c>
      <c r="S786" s="20">
        <v>0</v>
      </c>
      <c r="T786" s="20">
        <v>18372.14</v>
      </c>
      <c r="U786" s="20">
        <v>16637</v>
      </c>
      <c r="V786" s="20">
        <v>-1735.14</v>
      </c>
      <c r="W786" s="20">
        <v>-2347.54</v>
      </c>
      <c r="X786" s="20">
        <v>-612.4</v>
      </c>
      <c r="Y786" s="20">
        <v>0</v>
      </c>
      <c r="Z786" s="20">
        <v>0</v>
      </c>
      <c r="AA786" s="20">
        <v>0</v>
      </c>
      <c r="AB786" s="20">
        <v>16024.6</v>
      </c>
      <c r="AC786" t="s">
        <v>589</v>
      </c>
      <c r="AD786" t="s">
        <v>290</v>
      </c>
      <c r="AE786" s="702">
        <f t="shared" si="60"/>
        <v>43617</v>
      </c>
      <c r="AF786" s="289">
        <v>28590.59895619431</v>
      </c>
      <c r="AG786">
        <f t="shared" si="61"/>
        <v>360</v>
      </c>
      <c r="AH786" s="289">
        <f t="shared" si="62"/>
        <v>79.418330433873081</v>
      </c>
      <c r="AJ786" s="289">
        <f t="shared" si="63"/>
        <v>42</v>
      </c>
      <c r="AK786" s="289">
        <f t="shared" si="64"/>
        <v>3335.5698782226696</v>
      </c>
    </row>
    <row r="787" spans="1:37">
      <c r="A787" s="703" t="s">
        <v>1225</v>
      </c>
      <c r="B787" s="703" t="s">
        <v>1606</v>
      </c>
      <c r="C787" s="703" t="s">
        <v>586</v>
      </c>
      <c r="D787" s="703" t="s">
        <v>486</v>
      </c>
      <c r="E787" s="703" t="s">
        <v>587</v>
      </c>
      <c r="F787" s="703" t="s">
        <v>335</v>
      </c>
      <c r="G787" s="703" t="s">
        <v>1226</v>
      </c>
      <c r="H787" s="703" t="s">
        <v>1226</v>
      </c>
      <c r="I787" s="703" t="s">
        <v>334</v>
      </c>
      <c r="J787" s="703" t="s">
        <v>337</v>
      </c>
      <c r="K787" s="704">
        <v>0</v>
      </c>
      <c r="L787" s="703" t="s">
        <v>334</v>
      </c>
      <c r="M787" s="702">
        <v>40390</v>
      </c>
      <c r="N787" s="702">
        <v>43511</v>
      </c>
      <c r="O787" s="703" t="s">
        <v>338</v>
      </c>
      <c r="P787" s="20">
        <v>9915.85</v>
      </c>
      <c r="Q787" s="20">
        <v>0</v>
      </c>
      <c r="R787" s="20">
        <v>0</v>
      </c>
      <c r="S787" s="20">
        <v>0</v>
      </c>
      <c r="T787" s="20">
        <v>9915.85</v>
      </c>
      <c r="U787" s="20">
        <v>8979.35</v>
      </c>
      <c r="V787" s="20">
        <v>-936.5</v>
      </c>
      <c r="W787" s="20">
        <v>-1267.03</v>
      </c>
      <c r="X787" s="20">
        <v>-330.53</v>
      </c>
      <c r="Y787" s="20">
        <v>0</v>
      </c>
      <c r="Z787" s="20">
        <v>0</v>
      </c>
      <c r="AA787" s="20">
        <v>0</v>
      </c>
      <c r="AB787" s="20">
        <v>8648.82</v>
      </c>
      <c r="AC787" t="s">
        <v>589</v>
      </c>
      <c r="AD787" t="s">
        <v>290</v>
      </c>
      <c r="AE787" s="702">
        <f t="shared" si="60"/>
        <v>43617</v>
      </c>
      <c r="AF787" s="289">
        <v>15430.978136448959</v>
      </c>
      <c r="AG787">
        <f t="shared" si="61"/>
        <v>360</v>
      </c>
      <c r="AH787" s="289">
        <f t="shared" si="62"/>
        <v>42.863828156802661</v>
      </c>
      <c r="AJ787" s="289">
        <f t="shared" si="63"/>
        <v>42</v>
      </c>
      <c r="AK787" s="289">
        <f t="shared" si="64"/>
        <v>1800.2807825857117</v>
      </c>
    </row>
    <row r="788" spans="1:37">
      <c r="A788" s="703" t="s">
        <v>1231</v>
      </c>
      <c r="B788" s="703" t="s">
        <v>1606</v>
      </c>
      <c r="C788" s="703" t="s">
        <v>586</v>
      </c>
      <c r="D788" s="703" t="s">
        <v>486</v>
      </c>
      <c r="E788" s="703" t="s">
        <v>587</v>
      </c>
      <c r="F788" s="703" t="s">
        <v>335</v>
      </c>
      <c r="G788" s="703" t="s">
        <v>1232</v>
      </c>
      <c r="H788" s="703" t="s">
        <v>1232</v>
      </c>
      <c r="I788" s="703" t="s">
        <v>334</v>
      </c>
      <c r="J788" s="703" t="s">
        <v>337</v>
      </c>
      <c r="K788" s="704">
        <v>0</v>
      </c>
      <c r="L788" s="703" t="s">
        <v>334</v>
      </c>
      <c r="M788" s="702">
        <v>40390</v>
      </c>
      <c r="N788" s="702">
        <v>43511</v>
      </c>
      <c r="O788" s="703" t="s">
        <v>338</v>
      </c>
      <c r="P788" s="20">
        <v>30546.37</v>
      </c>
      <c r="Q788" s="20">
        <v>0</v>
      </c>
      <c r="R788" s="20">
        <v>0</v>
      </c>
      <c r="S788" s="20">
        <v>0</v>
      </c>
      <c r="T788" s="20">
        <v>30546.37</v>
      </c>
      <c r="U788" s="20">
        <v>27661.439999999999</v>
      </c>
      <c r="V788" s="20">
        <v>-2884.93</v>
      </c>
      <c r="W788" s="20">
        <v>-3903.14</v>
      </c>
      <c r="X788" s="20">
        <v>-1018.21</v>
      </c>
      <c r="Y788" s="20">
        <v>0</v>
      </c>
      <c r="Z788" s="20">
        <v>0</v>
      </c>
      <c r="AA788" s="20">
        <v>0</v>
      </c>
      <c r="AB788" s="20">
        <v>26643.23</v>
      </c>
      <c r="AC788" t="s">
        <v>589</v>
      </c>
      <c r="AD788" t="s">
        <v>290</v>
      </c>
      <c r="AE788" s="702">
        <f t="shared" si="60"/>
        <v>43617</v>
      </c>
      <c r="AF788" s="289">
        <v>47536.05264479397</v>
      </c>
      <c r="AG788">
        <f t="shared" si="61"/>
        <v>360</v>
      </c>
      <c r="AH788" s="289">
        <f t="shared" si="62"/>
        <v>132.04459067998326</v>
      </c>
      <c r="AJ788" s="289">
        <f t="shared" si="63"/>
        <v>42</v>
      </c>
      <c r="AK788" s="289">
        <f t="shared" si="64"/>
        <v>5545.8728085592966</v>
      </c>
    </row>
    <row r="789" spans="1:37">
      <c r="A789" s="703" t="s">
        <v>1325</v>
      </c>
      <c r="B789" s="703" t="s">
        <v>1606</v>
      </c>
      <c r="C789" s="703" t="s">
        <v>586</v>
      </c>
      <c r="D789" s="703" t="s">
        <v>486</v>
      </c>
      <c r="E789" s="703" t="s">
        <v>587</v>
      </c>
      <c r="F789" s="703" t="s">
        <v>335</v>
      </c>
      <c r="G789" s="703" t="s">
        <v>1326</v>
      </c>
      <c r="H789" s="703" t="s">
        <v>334</v>
      </c>
      <c r="I789" s="703" t="s">
        <v>334</v>
      </c>
      <c r="J789" s="703" t="s">
        <v>337</v>
      </c>
      <c r="K789" s="704">
        <v>0</v>
      </c>
      <c r="L789" s="703" t="s">
        <v>334</v>
      </c>
      <c r="M789" s="702">
        <v>40390</v>
      </c>
      <c r="N789" s="702">
        <v>43511</v>
      </c>
      <c r="O789" s="703" t="s">
        <v>338</v>
      </c>
      <c r="P789" s="20">
        <v>468.17</v>
      </c>
      <c r="Q789" s="20">
        <v>0</v>
      </c>
      <c r="R789" s="20">
        <v>0</v>
      </c>
      <c r="S789" s="20">
        <v>0</v>
      </c>
      <c r="T789" s="20">
        <v>468.17</v>
      </c>
      <c r="U789" s="20">
        <v>423.95</v>
      </c>
      <c r="V789" s="20">
        <v>-44.22</v>
      </c>
      <c r="W789" s="20">
        <v>-59.83</v>
      </c>
      <c r="X789" s="20">
        <v>-15.61</v>
      </c>
      <c r="Y789" s="20">
        <v>0</v>
      </c>
      <c r="Z789" s="20">
        <v>0</v>
      </c>
      <c r="AA789" s="20">
        <v>0</v>
      </c>
      <c r="AB789" s="20">
        <v>408.34</v>
      </c>
      <c r="AC789" t="s">
        <v>589</v>
      </c>
      <c r="AD789" t="s">
        <v>290</v>
      </c>
      <c r="AE789" s="702">
        <f t="shared" si="60"/>
        <v>43617</v>
      </c>
      <c r="AF789" s="289">
        <v>728.56296072866257</v>
      </c>
      <c r="AG789">
        <f t="shared" si="61"/>
        <v>360</v>
      </c>
      <c r="AH789" s="289">
        <f t="shared" si="62"/>
        <v>2.0237860020240626</v>
      </c>
      <c r="AJ789" s="289">
        <f t="shared" si="63"/>
        <v>42</v>
      </c>
      <c r="AK789" s="289">
        <f t="shared" si="64"/>
        <v>84.999012085010634</v>
      </c>
    </row>
    <row r="790" spans="1:37">
      <c r="A790" s="703" t="s">
        <v>1327</v>
      </c>
      <c r="B790" s="703" t="s">
        <v>1606</v>
      </c>
      <c r="C790" s="703" t="s">
        <v>586</v>
      </c>
      <c r="D790" s="703" t="s">
        <v>486</v>
      </c>
      <c r="E790" s="703" t="s">
        <v>587</v>
      </c>
      <c r="F790" s="703" t="s">
        <v>335</v>
      </c>
      <c r="G790" s="703" t="s">
        <v>1328</v>
      </c>
      <c r="H790" s="703" t="s">
        <v>334</v>
      </c>
      <c r="I790" s="703" t="s">
        <v>334</v>
      </c>
      <c r="J790" s="703" t="s">
        <v>337</v>
      </c>
      <c r="K790" s="704">
        <v>0</v>
      </c>
      <c r="L790" s="703" t="s">
        <v>334</v>
      </c>
      <c r="M790" s="702">
        <v>40390</v>
      </c>
      <c r="N790" s="702">
        <v>43511</v>
      </c>
      <c r="O790" s="703" t="s">
        <v>338</v>
      </c>
      <c r="P790" s="20">
        <v>1779.9</v>
      </c>
      <c r="Q790" s="20">
        <v>0</v>
      </c>
      <c r="R790" s="20">
        <v>0</v>
      </c>
      <c r="S790" s="20">
        <v>0</v>
      </c>
      <c r="T790" s="20">
        <v>1779.9</v>
      </c>
      <c r="U790" s="20">
        <v>1611.8</v>
      </c>
      <c r="V790" s="20">
        <v>-168.1</v>
      </c>
      <c r="W790" s="20">
        <v>-227.43</v>
      </c>
      <c r="X790" s="20">
        <v>-59.33</v>
      </c>
      <c r="Y790" s="20">
        <v>0</v>
      </c>
      <c r="Z790" s="20">
        <v>0</v>
      </c>
      <c r="AA790" s="20">
        <v>0</v>
      </c>
      <c r="AB790" s="20">
        <v>1552.47</v>
      </c>
      <c r="AC790" t="s">
        <v>589</v>
      </c>
      <c r="AD790" t="s">
        <v>290</v>
      </c>
      <c r="AE790" s="702">
        <f t="shared" si="60"/>
        <v>43617</v>
      </c>
      <c r="AF790" s="289">
        <v>2769.8682397439957</v>
      </c>
      <c r="AG790">
        <f t="shared" si="61"/>
        <v>360</v>
      </c>
      <c r="AH790" s="289">
        <f t="shared" si="62"/>
        <v>7.6940784437333214</v>
      </c>
      <c r="AJ790" s="289">
        <f t="shared" si="63"/>
        <v>42</v>
      </c>
      <c r="AK790" s="289">
        <f t="shared" si="64"/>
        <v>323.15129463679949</v>
      </c>
    </row>
    <row r="791" spans="1:37">
      <c r="A791" s="703" t="s">
        <v>1329</v>
      </c>
      <c r="B791" s="703" t="s">
        <v>1606</v>
      </c>
      <c r="C791" s="703" t="s">
        <v>586</v>
      </c>
      <c r="D791" s="703" t="s">
        <v>486</v>
      </c>
      <c r="E791" s="703" t="s">
        <v>587</v>
      </c>
      <c r="F791" s="703" t="s">
        <v>335</v>
      </c>
      <c r="G791" s="703" t="s">
        <v>1330</v>
      </c>
      <c r="H791" s="703" t="s">
        <v>334</v>
      </c>
      <c r="I791" s="703" t="s">
        <v>334</v>
      </c>
      <c r="J791" s="703" t="s">
        <v>337</v>
      </c>
      <c r="K791" s="704">
        <v>0</v>
      </c>
      <c r="L791" s="703" t="s">
        <v>334</v>
      </c>
      <c r="M791" s="702">
        <v>40390</v>
      </c>
      <c r="N791" s="702">
        <v>43511</v>
      </c>
      <c r="O791" s="703" t="s">
        <v>338</v>
      </c>
      <c r="P791" s="20">
        <v>1031.3399999999999</v>
      </c>
      <c r="Q791" s="20">
        <v>0</v>
      </c>
      <c r="R791" s="20">
        <v>0</v>
      </c>
      <c r="S791" s="20">
        <v>0</v>
      </c>
      <c r="T791" s="20">
        <v>1031.3399999999999</v>
      </c>
      <c r="U791" s="20">
        <v>933.93</v>
      </c>
      <c r="V791" s="20">
        <v>-97.41</v>
      </c>
      <c r="W791" s="20">
        <v>-131.79</v>
      </c>
      <c r="X791" s="20">
        <v>-34.380000000000003</v>
      </c>
      <c r="Y791" s="20">
        <v>0</v>
      </c>
      <c r="Z791" s="20">
        <v>0</v>
      </c>
      <c r="AA791" s="20">
        <v>0</v>
      </c>
      <c r="AB791" s="20">
        <v>899.55</v>
      </c>
      <c r="AC791" t="s">
        <v>589</v>
      </c>
      <c r="AD791" t="s">
        <v>290</v>
      </c>
      <c r="AE791" s="702">
        <f t="shared" si="60"/>
        <v>43617</v>
      </c>
      <c r="AF791" s="289">
        <v>1604.9642734859106</v>
      </c>
      <c r="AG791">
        <f t="shared" si="61"/>
        <v>360</v>
      </c>
      <c r="AH791" s="289">
        <f t="shared" si="62"/>
        <v>4.4582340930164186</v>
      </c>
      <c r="AJ791" s="289">
        <f t="shared" si="63"/>
        <v>42</v>
      </c>
      <c r="AK791" s="289">
        <f t="shared" si="64"/>
        <v>187.24583190668957</v>
      </c>
    </row>
    <row r="792" spans="1:37">
      <c r="A792" s="703" t="s">
        <v>1856</v>
      </c>
      <c r="B792" s="703" t="s">
        <v>1606</v>
      </c>
      <c r="C792" s="703" t="s">
        <v>1124</v>
      </c>
      <c r="D792" s="703" t="s">
        <v>334</v>
      </c>
      <c r="E792" s="703" t="s">
        <v>334</v>
      </c>
      <c r="F792" s="703" t="s">
        <v>335</v>
      </c>
      <c r="G792" s="703" t="s">
        <v>1857</v>
      </c>
      <c r="H792" s="703" t="s">
        <v>334</v>
      </c>
      <c r="I792" s="703" t="s">
        <v>334</v>
      </c>
      <c r="J792" s="703" t="s">
        <v>337</v>
      </c>
      <c r="K792" s="704">
        <v>0</v>
      </c>
      <c r="L792" s="703" t="s">
        <v>334</v>
      </c>
      <c r="M792" s="702">
        <v>40939</v>
      </c>
      <c r="N792" s="702">
        <v>43511</v>
      </c>
      <c r="O792" s="703" t="s">
        <v>338</v>
      </c>
      <c r="P792" s="20">
        <v>831.33</v>
      </c>
      <c r="Q792" s="20">
        <v>0</v>
      </c>
      <c r="R792" s="20">
        <v>0</v>
      </c>
      <c r="S792" s="20">
        <v>0</v>
      </c>
      <c r="T792" s="20">
        <v>831.33</v>
      </c>
      <c r="U792" s="20">
        <v>752.82</v>
      </c>
      <c r="V792" s="20">
        <v>-78.510000000000005</v>
      </c>
      <c r="W792" s="20">
        <v>-106.22</v>
      </c>
      <c r="X792" s="20">
        <v>-27.71</v>
      </c>
      <c r="Y792" s="20">
        <v>0</v>
      </c>
      <c r="Z792" s="20">
        <v>0</v>
      </c>
      <c r="AA792" s="20">
        <v>0</v>
      </c>
      <c r="AB792" s="20">
        <v>725.11</v>
      </c>
      <c r="AC792" t="s">
        <v>1127</v>
      </c>
      <c r="AD792" t="s">
        <v>290</v>
      </c>
      <c r="AE792" s="702">
        <f t="shared" si="60"/>
        <v>43617</v>
      </c>
      <c r="AF792" s="289">
        <v>1293.7100757044643</v>
      </c>
      <c r="AG792">
        <f t="shared" si="61"/>
        <v>360</v>
      </c>
      <c r="AH792" s="289">
        <f t="shared" si="62"/>
        <v>3.5936390991790677</v>
      </c>
      <c r="AJ792" s="289">
        <f t="shared" si="63"/>
        <v>42</v>
      </c>
      <c r="AK792" s="289">
        <f t="shared" si="64"/>
        <v>150.93284216552084</v>
      </c>
    </row>
    <row r="793" spans="1:37">
      <c r="A793" s="703" t="s">
        <v>1858</v>
      </c>
      <c r="B793" s="703" t="s">
        <v>1606</v>
      </c>
      <c r="C793" s="703" t="s">
        <v>1124</v>
      </c>
      <c r="D793" s="703" t="s">
        <v>334</v>
      </c>
      <c r="E793" s="703" t="s">
        <v>334</v>
      </c>
      <c r="F793" s="703" t="s">
        <v>335</v>
      </c>
      <c r="G793" s="703" t="s">
        <v>1859</v>
      </c>
      <c r="H793" s="703" t="s">
        <v>334</v>
      </c>
      <c r="I793" s="703" t="s">
        <v>334</v>
      </c>
      <c r="J793" s="703" t="s">
        <v>337</v>
      </c>
      <c r="K793" s="704">
        <v>0</v>
      </c>
      <c r="L793" s="703" t="s">
        <v>334</v>
      </c>
      <c r="M793" s="702">
        <v>40968</v>
      </c>
      <c r="N793" s="702">
        <v>43511</v>
      </c>
      <c r="O793" s="703" t="s">
        <v>338</v>
      </c>
      <c r="P793" s="20">
        <v>831.33</v>
      </c>
      <c r="Q793" s="20">
        <v>0</v>
      </c>
      <c r="R793" s="20">
        <v>0</v>
      </c>
      <c r="S793" s="20">
        <v>0</v>
      </c>
      <c r="T793" s="20">
        <v>831.33</v>
      </c>
      <c r="U793" s="20">
        <v>752.82</v>
      </c>
      <c r="V793" s="20">
        <v>-78.510000000000005</v>
      </c>
      <c r="W793" s="20">
        <v>-106.22</v>
      </c>
      <c r="X793" s="20">
        <v>-27.71</v>
      </c>
      <c r="Y793" s="20">
        <v>0</v>
      </c>
      <c r="Z793" s="20">
        <v>0</v>
      </c>
      <c r="AA793" s="20">
        <v>0</v>
      </c>
      <c r="AB793" s="20">
        <v>725.11</v>
      </c>
      <c r="AC793" t="s">
        <v>1127</v>
      </c>
      <c r="AD793" t="s">
        <v>290</v>
      </c>
      <c r="AE793" s="702">
        <f t="shared" si="60"/>
        <v>43617</v>
      </c>
      <c r="AF793" s="289">
        <v>1293.7100757044643</v>
      </c>
      <c r="AG793">
        <f t="shared" si="61"/>
        <v>360</v>
      </c>
      <c r="AH793" s="289">
        <f t="shared" si="62"/>
        <v>3.5936390991790677</v>
      </c>
      <c r="AJ793" s="289">
        <f t="shared" si="63"/>
        <v>42</v>
      </c>
      <c r="AK793" s="289">
        <f t="shared" si="64"/>
        <v>150.93284216552084</v>
      </c>
    </row>
    <row r="794" spans="1:37">
      <c r="A794" s="703" t="s">
        <v>1860</v>
      </c>
      <c r="B794" s="703" t="s">
        <v>1606</v>
      </c>
      <c r="C794" s="703" t="s">
        <v>1124</v>
      </c>
      <c r="D794" s="703" t="s">
        <v>334</v>
      </c>
      <c r="E794" s="703" t="s">
        <v>334</v>
      </c>
      <c r="F794" s="703" t="s">
        <v>335</v>
      </c>
      <c r="G794" s="703" t="s">
        <v>1861</v>
      </c>
      <c r="H794" s="703" t="s">
        <v>334</v>
      </c>
      <c r="I794" s="703" t="s">
        <v>334</v>
      </c>
      <c r="J794" s="703" t="s">
        <v>337</v>
      </c>
      <c r="K794" s="704">
        <v>0</v>
      </c>
      <c r="L794" s="703" t="s">
        <v>334</v>
      </c>
      <c r="M794" s="702">
        <v>40968</v>
      </c>
      <c r="N794" s="702">
        <v>43511</v>
      </c>
      <c r="O794" s="703" t="s">
        <v>338</v>
      </c>
      <c r="P794" s="20">
        <v>36649.699999999997</v>
      </c>
      <c r="Q794" s="20">
        <v>0</v>
      </c>
      <c r="R794" s="20">
        <v>0</v>
      </c>
      <c r="S794" s="20">
        <v>0</v>
      </c>
      <c r="T794" s="20">
        <v>36649.699999999997</v>
      </c>
      <c r="U794" s="20">
        <v>33188.33</v>
      </c>
      <c r="V794" s="20">
        <v>-3461.37</v>
      </c>
      <c r="W794" s="20">
        <v>-4683.03</v>
      </c>
      <c r="X794" s="20">
        <v>-1221.6600000000001</v>
      </c>
      <c r="Y794" s="20">
        <v>0</v>
      </c>
      <c r="Z794" s="20">
        <v>0</v>
      </c>
      <c r="AA794" s="20">
        <v>0</v>
      </c>
      <c r="AB794" s="20">
        <v>31966.67</v>
      </c>
      <c r="AC794" t="s">
        <v>1127</v>
      </c>
      <c r="AD794" t="s">
        <v>290</v>
      </c>
      <c r="AE794" s="702">
        <f t="shared" si="60"/>
        <v>43617</v>
      </c>
      <c r="AF794" s="289">
        <v>57034.013161495313</v>
      </c>
      <c r="AG794">
        <f t="shared" si="61"/>
        <v>360</v>
      </c>
      <c r="AH794" s="289">
        <f t="shared" si="62"/>
        <v>158.42781433748698</v>
      </c>
      <c r="AJ794" s="289">
        <f t="shared" si="63"/>
        <v>42</v>
      </c>
      <c r="AK794" s="289">
        <f t="shared" si="64"/>
        <v>6653.9682021744529</v>
      </c>
    </row>
    <row r="795" spans="1:37">
      <c r="A795" s="703" t="s">
        <v>1862</v>
      </c>
      <c r="B795" s="703" t="s">
        <v>1606</v>
      </c>
      <c r="C795" s="703" t="s">
        <v>1124</v>
      </c>
      <c r="D795" s="703" t="s">
        <v>334</v>
      </c>
      <c r="E795" s="703" t="s">
        <v>334</v>
      </c>
      <c r="F795" s="703" t="s">
        <v>335</v>
      </c>
      <c r="G795" s="703" t="s">
        <v>1863</v>
      </c>
      <c r="H795" s="703" t="s">
        <v>334</v>
      </c>
      <c r="I795" s="703" t="s">
        <v>334</v>
      </c>
      <c r="J795" s="703" t="s">
        <v>337</v>
      </c>
      <c r="K795" s="704">
        <v>0</v>
      </c>
      <c r="L795" s="703" t="s">
        <v>334</v>
      </c>
      <c r="M795" s="702">
        <v>40968</v>
      </c>
      <c r="N795" s="702">
        <v>43511</v>
      </c>
      <c r="O795" s="703" t="s">
        <v>338</v>
      </c>
      <c r="P795" s="20">
        <v>2494</v>
      </c>
      <c r="Q795" s="20">
        <v>0</v>
      </c>
      <c r="R795" s="20">
        <v>0</v>
      </c>
      <c r="S795" s="20">
        <v>0</v>
      </c>
      <c r="T795" s="20">
        <v>2494</v>
      </c>
      <c r="U795" s="20">
        <v>2258.46</v>
      </c>
      <c r="V795" s="20">
        <v>-235.54</v>
      </c>
      <c r="W795" s="20">
        <v>-318.67</v>
      </c>
      <c r="X795" s="20">
        <v>-83.13</v>
      </c>
      <c r="Y795" s="20">
        <v>0</v>
      </c>
      <c r="Z795" s="20">
        <v>0</v>
      </c>
      <c r="AA795" s="20">
        <v>0</v>
      </c>
      <c r="AB795" s="20">
        <v>2175.33</v>
      </c>
      <c r="AC795" t="s">
        <v>1127</v>
      </c>
      <c r="AD795" t="s">
        <v>290</v>
      </c>
      <c r="AE795" s="702">
        <f t="shared" si="60"/>
        <v>43617</v>
      </c>
      <c r="AF795" s="289">
        <v>3881.1457890451852</v>
      </c>
      <c r="AG795">
        <f t="shared" si="61"/>
        <v>360</v>
      </c>
      <c r="AH795" s="289">
        <f t="shared" si="62"/>
        <v>10.780960525125515</v>
      </c>
      <c r="AJ795" s="289">
        <f t="shared" si="63"/>
        <v>42</v>
      </c>
      <c r="AK795" s="289">
        <f t="shared" si="64"/>
        <v>452.80034205527164</v>
      </c>
    </row>
    <row r="796" spans="1:37">
      <c r="A796" s="703" t="s">
        <v>1864</v>
      </c>
      <c r="B796" s="703" t="s">
        <v>1606</v>
      </c>
      <c r="C796" s="703" t="s">
        <v>1124</v>
      </c>
      <c r="D796" s="703" t="s">
        <v>334</v>
      </c>
      <c r="E796" s="703" t="s">
        <v>334</v>
      </c>
      <c r="F796" s="703" t="s">
        <v>335</v>
      </c>
      <c r="G796" s="703" t="s">
        <v>1865</v>
      </c>
      <c r="H796" s="703" t="s">
        <v>334</v>
      </c>
      <c r="I796" s="703" t="s">
        <v>334</v>
      </c>
      <c r="J796" s="703" t="s">
        <v>337</v>
      </c>
      <c r="K796" s="704">
        <v>0</v>
      </c>
      <c r="L796" s="703" t="s">
        <v>334</v>
      </c>
      <c r="M796" s="702">
        <v>40968</v>
      </c>
      <c r="N796" s="702">
        <v>43511</v>
      </c>
      <c r="O796" s="703" t="s">
        <v>338</v>
      </c>
      <c r="P796" s="20">
        <v>22858.12</v>
      </c>
      <c r="Q796" s="20">
        <v>0</v>
      </c>
      <c r="R796" s="20">
        <v>0</v>
      </c>
      <c r="S796" s="20">
        <v>0</v>
      </c>
      <c r="T796" s="20">
        <v>22858.12</v>
      </c>
      <c r="U796" s="20">
        <v>20699.29</v>
      </c>
      <c r="V796" s="20">
        <v>-2158.83</v>
      </c>
      <c r="W796" s="20">
        <v>-2920.77</v>
      </c>
      <c r="X796" s="20">
        <v>-761.94</v>
      </c>
      <c r="Y796" s="20">
        <v>0</v>
      </c>
      <c r="Z796" s="20">
        <v>0</v>
      </c>
      <c r="AA796" s="20">
        <v>0</v>
      </c>
      <c r="AB796" s="20">
        <v>19937.349999999999</v>
      </c>
      <c r="AC796" t="s">
        <v>1127</v>
      </c>
      <c r="AD796" t="s">
        <v>290</v>
      </c>
      <c r="AE796" s="702">
        <f t="shared" si="60"/>
        <v>43617</v>
      </c>
      <c r="AF796" s="289">
        <v>35571.650434438459</v>
      </c>
      <c r="AG796">
        <f t="shared" si="61"/>
        <v>360</v>
      </c>
      <c r="AH796" s="289">
        <f t="shared" si="62"/>
        <v>98.810140095662391</v>
      </c>
      <c r="AJ796" s="289">
        <f t="shared" si="63"/>
        <v>42</v>
      </c>
      <c r="AK796" s="289">
        <f t="shared" si="64"/>
        <v>4150.0258840178203</v>
      </c>
    </row>
    <row r="797" spans="1:37">
      <c r="A797" s="703" t="s">
        <v>1866</v>
      </c>
      <c r="B797" s="703" t="s">
        <v>1606</v>
      </c>
      <c r="C797" s="703" t="s">
        <v>1124</v>
      </c>
      <c r="D797" s="703" t="s">
        <v>334</v>
      </c>
      <c r="E797" s="703" t="s">
        <v>334</v>
      </c>
      <c r="F797" s="703" t="s">
        <v>335</v>
      </c>
      <c r="G797" s="703" t="s">
        <v>1867</v>
      </c>
      <c r="H797" s="703" t="s">
        <v>334</v>
      </c>
      <c r="I797" s="703" t="s">
        <v>334</v>
      </c>
      <c r="J797" s="703" t="s">
        <v>337</v>
      </c>
      <c r="K797" s="704">
        <v>0</v>
      </c>
      <c r="L797" s="703" t="s">
        <v>334</v>
      </c>
      <c r="M797" s="702">
        <v>40968</v>
      </c>
      <c r="N797" s="702">
        <v>43511</v>
      </c>
      <c r="O797" s="703" t="s">
        <v>338</v>
      </c>
      <c r="P797" s="20">
        <v>349.95</v>
      </c>
      <c r="Q797" s="20">
        <v>0</v>
      </c>
      <c r="R797" s="20">
        <v>0</v>
      </c>
      <c r="S797" s="20">
        <v>0</v>
      </c>
      <c r="T797" s="20">
        <v>349.95</v>
      </c>
      <c r="U797" s="20">
        <v>316.89</v>
      </c>
      <c r="V797" s="20">
        <v>-33.06</v>
      </c>
      <c r="W797" s="20">
        <v>-44.73</v>
      </c>
      <c r="X797" s="20">
        <v>-11.67</v>
      </c>
      <c r="Y797" s="20">
        <v>0</v>
      </c>
      <c r="Z797" s="20">
        <v>0</v>
      </c>
      <c r="AA797" s="20">
        <v>0</v>
      </c>
      <c r="AB797" s="20">
        <v>305.22000000000003</v>
      </c>
      <c r="AC797" t="s">
        <v>1127</v>
      </c>
      <c r="AD797" t="s">
        <v>290</v>
      </c>
      <c r="AE797" s="702">
        <f t="shared" si="60"/>
        <v>43617</v>
      </c>
      <c r="AF797" s="289">
        <v>544.58980307793206</v>
      </c>
      <c r="AG797">
        <f t="shared" si="61"/>
        <v>360</v>
      </c>
      <c r="AH797" s="289">
        <f t="shared" si="62"/>
        <v>1.5127494529942558</v>
      </c>
      <c r="AJ797" s="289">
        <f t="shared" si="63"/>
        <v>42</v>
      </c>
      <c r="AK797" s="289">
        <f t="shared" si="64"/>
        <v>63.535477025758745</v>
      </c>
    </row>
    <row r="798" spans="1:37">
      <c r="A798" s="703" t="s">
        <v>1868</v>
      </c>
      <c r="B798" s="703" t="s">
        <v>1606</v>
      </c>
      <c r="C798" s="703" t="s">
        <v>1124</v>
      </c>
      <c r="D798" s="703" t="s">
        <v>334</v>
      </c>
      <c r="E798" s="703" t="s">
        <v>334</v>
      </c>
      <c r="F798" s="703" t="s">
        <v>335</v>
      </c>
      <c r="G798" s="703" t="s">
        <v>1869</v>
      </c>
      <c r="H798" s="703" t="s">
        <v>334</v>
      </c>
      <c r="I798" s="703" t="s">
        <v>334</v>
      </c>
      <c r="J798" s="703" t="s">
        <v>337</v>
      </c>
      <c r="K798" s="704">
        <v>0</v>
      </c>
      <c r="L798" s="703" t="s">
        <v>334</v>
      </c>
      <c r="M798" s="702">
        <v>40968</v>
      </c>
      <c r="N798" s="702">
        <v>43511</v>
      </c>
      <c r="O798" s="703" t="s">
        <v>338</v>
      </c>
      <c r="P798" s="20">
        <v>30181.32</v>
      </c>
      <c r="Q798" s="20">
        <v>0</v>
      </c>
      <c r="R798" s="20">
        <v>0</v>
      </c>
      <c r="S798" s="20">
        <v>0</v>
      </c>
      <c r="T798" s="20">
        <v>30181.32</v>
      </c>
      <c r="U798" s="20">
        <v>27330.87</v>
      </c>
      <c r="V798" s="20">
        <v>-2850.45</v>
      </c>
      <c r="W798" s="20">
        <v>-3856.49</v>
      </c>
      <c r="X798" s="20">
        <v>-1006.04</v>
      </c>
      <c r="Y798" s="20">
        <v>0</v>
      </c>
      <c r="Z798" s="20">
        <v>0</v>
      </c>
      <c r="AA798" s="20">
        <v>0</v>
      </c>
      <c r="AB798" s="20">
        <v>26324.83</v>
      </c>
      <c r="AC798" t="s">
        <v>1127</v>
      </c>
      <c r="AD798" t="s">
        <v>290</v>
      </c>
      <c r="AE798" s="702">
        <f t="shared" si="60"/>
        <v>43617</v>
      </c>
      <c r="AF798" s="289">
        <v>46967.964324709392</v>
      </c>
      <c r="AG798">
        <f t="shared" si="61"/>
        <v>360</v>
      </c>
      <c r="AH798" s="289">
        <f t="shared" si="62"/>
        <v>130.4665675686372</v>
      </c>
      <c r="AJ798" s="289">
        <f t="shared" si="63"/>
        <v>42</v>
      </c>
      <c r="AK798" s="289">
        <f t="shared" si="64"/>
        <v>5479.5958378827627</v>
      </c>
    </row>
    <row r="799" spans="1:37">
      <c r="A799" s="703" t="s">
        <v>1870</v>
      </c>
      <c r="B799" s="703" t="s">
        <v>1606</v>
      </c>
      <c r="C799" s="703" t="s">
        <v>1124</v>
      </c>
      <c r="D799" s="703" t="s">
        <v>334</v>
      </c>
      <c r="E799" s="703" t="s">
        <v>334</v>
      </c>
      <c r="F799" s="703" t="s">
        <v>335</v>
      </c>
      <c r="G799" s="703" t="s">
        <v>1871</v>
      </c>
      <c r="H799" s="703" t="s">
        <v>334</v>
      </c>
      <c r="I799" s="703" t="s">
        <v>334</v>
      </c>
      <c r="J799" s="703" t="s">
        <v>337</v>
      </c>
      <c r="K799" s="704">
        <v>0</v>
      </c>
      <c r="L799" s="703" t="s">
        <v>334</v>
      </c>
      <c r="M799" s="702">
        <v>40968</v>
      </c>
      <c r="N799" s="702">
        <v>43511</v>
      </c>
      <c r="O799" s="703" t="s">
        <v>338</v>
      </c>
      <c r="P799" s="20">
        <v>5977.71</v>
      </c>
      <c r="Q799" s="20">
        <v>0</v>
      </c>
      <c r="R799" s="20">
        <v>0</v>
      </c>
      <c r="S799" s="20">
        <v>0</v>
      </c>
      <c r="T799" s="20">
        <v>5977.71</v>
      </c>
      <c r="U799" s="20">
        <v>5413.14</v>
      </c>
      <c r="V799" s="20">
        <v>-564.57000000000005</v>
      </c>
      <c r="W799" s="20">
        <v>-763.83</v>
      </c>
      <c r="X799" s="20">
        <v>-199.26</v>
      </c>
      <c r="Y799" s="20">
        <v>0</v>
      </c>
      <c r="Z799" s="20">
        <v>0</v>
      </c>
      <c r="AA799" s="20">
        <v>0</v>
      </c>
      <c r="AB799" s="20">
        <v>5213.88</v>
      </c>
      <c r="AC799" t="s">
        <v>1127</v>
      </c>
      <c r="AD799" t="s">
        <v>290</v>
      </c>
      <c r="AE799" s="702">
        <f t="shared" si="60"/>
        <v>43617</v>
      </c>
      <c r="AF799" s="289">
        <v>9302.4715295241767</v>
      </c>
      <c r="AG799">
        <f t="shared" si="61"/>
        <v>360</v>
      </c>
      <c r="AH799" s="289">
        <f t="shared" si="62"/>
        <v>25.840198693122712</v>
      </c>
      <c r="AJ799" s="289">
        <f t="shared" si="63"/>
        <v>42</v>
      </c>
      <c r="AK799" s="289">
        <f t="shared" si="64"/>
        <v>1085.2883451111538</v>
      </c>
    </row>
    <row r="800" spans="1:37">
      <c r="A800" s="703" t="s">
        <v>1872</v>
      </c>
      <c r="B800" s="703" t="s">
        <v>1606</v>
      </c>
      <c r="C800" s="703" t="s">
        <v>1124</v>
      </c>
      <c r="D800" s="703" t="s">
        <v>334</v>
      </c>
      <c r="E800" s="703" t="s">
        <v>334</v>
      </c>
      <c r="F800" s="703" t="s">
        <v>335</v>
      </c>
      <c r="G800" s="703" t="s">
        <v>1873</v>
      </c>
      <c r="H800" s="703" t="s">
        <v>334</v>
      </c>
      <c r="I800" s="703" t="s">
        <v>334</v>
      </c>
      <c r="J800" s="703" t="s">
        <v>337</v>
      </c>
      <c r="K800" s="704">
        <v>0</v>
      </c>
      <c r="L800" s="703" t="s">
        <v>334</v>
      </c>
      <c r="M800" s="702">
        <v>40968</v>
      </c>
      <c r="N800" s="702">
        <v>43511</v>
      </c>
      <c r="O800" s="703" t="s">
        <v>338</v>
      </c>
      <c r="P800" s="20">
        <v>22162.639999999999</v>
      </c>
      <c r="Q800" s="20">
        <v>0</v>
      </c>
      <c r="R800" s="20">
        <v>0</v>
      </c>
      <c r="S800" s="20">
        <v>0</v>
      </c>
      <c r="T800" s="20">
        <v>22162.639999999999</v>
      </c>
      <c r="U800" s="20">
        <v>20069.509999999998</v>
      </c>
      <c r="V800" s="20">
        <v>-2093.13</v>
      </c>
      <c r="W800" s="20">
        <v>-2831.88</v>
      </c>
      <c r="X800" s="20">
        <v>-738.75</v>
      </c>
      <c r="Y800" s="20">
        <v>0</v>
      </c>
      <c r="Z800" s="20">
        <v>0</v>
      </c>
      <c r="AA800" s="20">
        <v>0</v>
      </c>
      <c r="AB800" s="20">
        <v>19330.759999999998</v>
      </c>
      <c r="AC800" t="s">
        <v>1127</v>
      </c>
      <c r="AD800" t="s">
        <v>290</v>
      </c>
      <c r="AE800" s="702">
        <f t="shared" si="60"/>
        <v>43617</v>
      </c>
      <c r="AF800" s="289">
        <v>34489.349202134872</v>
      </c>
      <c r="AG800">
        <f t="shared" si="61"/>
        <v>360</v>
      </c>
      <c r="AH800" s="289">
        <f t="shared" si="62"/>
        <v>95.803747783707976</v>
      </c>
      <c r="AJ800" s="289">
        <f t="shared" si="63"/>
        <v>42</v>
      </c>
      <c r="AK800" s="289">
        <f t="shared" si="64"/>
        <v>4023.7574069157349</v>
      </c>
    </row>
    <row r="801" spans="1:37">
      <c r="A801" s="703" t="s">
        <v>1874</v>
      </c>
      <c r="B801" s="703" t="s">
        <v>1606</v>
      </c>
      <c r="C801" s="703" t="s">
        <v>1124</v>
      </c>
      <c r="D801" s="703" t="s">
        <v>334</v>
      </c>
      <c r="E801" s="703" t="s">
        <v>334</v>
      </c>
      <c r="F801" s="703" t="s">
        <v>335</v>
      </c>
      <c r="G801" s="703" t="s">
        <v>1875</v>
      </c>
      <c r="H801" s="703" t="s">
        <v>334</v>
      </c>
      <c r="I801" s="703" t="s">
        <v>334</v>
      </c>
      <c r="J801" s="703" t="s">
        <v>337</v>
      </c>
      <c r="K801" s="704">
        <v>0</v>
      </c>
      <c r="L801" s="703" t="s">
        <v>334</v>
      </c>
      <c r="M801" s="702">
        <v>40968</v>
      </c>
      <c r="N801" s="702">
        <v>43511</v>
      </c>
      <c r="O801" s="703" t="s">
        <v>338</v>
      </c>
      <c r="P801" s="20">
        <v>59635.17</v>
      </c>
      <c r="Q801" s="20">
        <v>0</v>
      </c>
      <c r="R801" s="20">
        <v>0</v>
      </c>
      <c r="S801" s="20">
        <v>0</v>
      </c>
      <c r="T801" s="20">
        <v>59635.17</v>
      </c>
      <c r="U801" s="20">
        <v>54002.96</v>
      </c>
      <c r="V801" s="20">
        <v>-5632.21</v>
      </c>
      <c r="W801" s="20">
        <v>-7620.05</v>
      </c>
      <c r="X801" s="20">
        <v>-1987.84</v>
      </c>
      <c r="Y801" s="20">
        <v>0</v>
      </c>
      <c r="Z801" s="20">
        <v>0</v>
      </c>
      <c r="AA801" s="20">
        <v>0</v>
      </c>
      <c r="AB801" s="20">
        <v>52015.12</v>
      </c>
      <c r="AC801" t="s">
        <v>1127</v>
      </c>
      <c r="AD801" t="s">
        <v>290</v>
      </c>
      <c r="AE801" s="702">
        <f t="shared" si="60"/>
        <v>43617</v>
      </c>
      <c r="AF801" s="289">
        <v>92803.844797311045</v>
      </c>
      <c r="AG801">
        <f t="shared" si="61"/>
        <v>360</v>
      </c>
      <c r="AH801" s="289">
        <f t="shared" si="62"/>
        <v>257.78845777030847</v>
      </c>
      <c r="AJ801" s="289">
        <f t="shared" si="63"/>
        <v>42</v>
      </c>
      <c r="AK801" s="289">
        <f t="shared" si="64"/>
        <v>10827.115226352955</v>
      </c>
    </row>
    <row r="802" spans="1:37">
      <c r="A802" s="703" t="s">
        <v>1876</v>
      </c>
      <c r="B802" s="703" t="s">
        <v>1606</v>
      </c>
      <c r="C802" s="703" t="s">
        <v>1124</v>
      </c>
      <c r="D802" s="703" t="s">
        <v>334</v>
      </c>
      <c r="E802" s="703" t="s">
        <v>334</v>
      </c>
      <c r="F802" s="703" t="s">
        <v>335</v>
      </c>
      <c r="G802" s="703" t="s">
        <v>1877</v>
      </c>
      <c r="H802" s="703" t="s">
        <v>334</v>
      </c>
      <c r="I802" s="703" t="s">
        <v>334</v>
      </c>
      <c r="J802" s="703" t="s">
        <v>337</v>
      </c>
      <c r="K802" s="704">
        <v>0</v>
      </c>
      <c r="L802" s="703" t="s">
        <v>334</v>
      </c>
      <c r="M802" s="702">
        <v>40968</v>
      </c>
      <c r="N802" s="702">
        <v>43511</v>
      </c>
      <c r="O802" s="703" t="s">
        <v>338</v>
      </c>
      <c r="P802" s="20">
        <v>6563.31</v>
      </c>
      <c r="Q802" s="20">
        <v>0</v>
      </c>
      <c r="R802" s="20">
        <v>0</v>
      </c>
      <c r="S802" s="20">
        <v>0</v>
      </c>
      <c r="T802" s="20">
        <v>6563.31</v>
      </c>
      <c r="U802" s="20">
        <v>5943.44</v>
      </c>
      <c r="V802" s="20">
        <v>-619.87</v>
      </c>
      <c r="W802" s="20">
        <v>-838.65</v>
      </c>
      <c r="X802" s="20">
        <v>-218.78</v>
      </c>
      <c r="Y802" s="20">
        <v>0</v>
      </c>
      <c r="Z802" s="20">
        <v>0</v>
      </c>
      <c r="AA802" s="20">
        <v>0</v>
      </c>
      <c r="AB802" s="20">
        <v>5724.66</v>
      </c>
      <c r="AC802" t="s">
        <v>1127</v>
      </c>
      <c r="AD802" t="s">
        <v>290</v>
      </c>
      <c r="AE802" s="702">
        <f t="shared" si="60"/>
        <v>43617</v>
      </c>
      <c r="AF802" s="289">
        <v>10213.778255291963</v>
      </c>
      <c r="AG802">
        <f t="shared" si="61"/>
        <v>360</v>
      </c>
      <c r="AH802" s="289">
        <f t="shared" si="62"/>
        <v>28.371606264699899</v>
      </c>
      <c r="AJ802" s="289">
        <f t="shared" si="63"/>
        <v>42</v>
      </c>
      <c r="AK802" s="289">
        <f t="shared" si="64"/>
        <v>1191.6074631173958</v>
      </c>
    </row>
    <row r="803" spans="1:37">
      <c r="A803" s="703" t="s">
        <v>1878</v>
      </c>
      <c r="B803" s="703" t="s">
        <v>1606</v>
      </c>
      <c r="C803" s="703" t="s">
        <v>1124</v>
      </c>
      <c r="D803" s="703" t="s">
        <v>334</v>
      </c>
      <c r="E803" s="703" t="s">
        <v>334</v>
      </c>
      <c r="F803" s="703" t="s">
        <v>335</v>
      </c>
      <c r="G803" s="703" t="s">
        <v>1879</v>
      </c>
      <c r="H803" s="703" t="s">
        <v>334</v>
      </c>
      <c r="I803" s="703" t="s">
        <v>334</v>
      </c>
      <c r="J803" s="703" t="s">
        <v>337</v>
      </c>
      <c r="K803" s="704">
        <v>0</v>
      </c>
      <c r="L803" s="703" t="s">
        <v>334</v>
      </c>
      <c r="M803" s="702">
        <v>40968</v>
      </c>
      <c r="N803" s="702">
        <v>43511</v>
      </c>
      <c r="O803" s="703" t="s">
        <v>338</v>
      </c>
      <c r="P803" s="20">
        <v>37131.22</v>
      </c>
      <c r="Q803" s="20">
        <v>0</v>
      </c>
      <c r="R803" s="20">
        <v>0</v>
      </c>
      <c r="S803" s="20">
        <v>0</v>
      </c>
      <c r="T803" s="20">
        <v>37131.22</v>
      </c>
      <c r="U803" s="20">
        <v>33624.379999999997</v>
      </c>
      <c r="V803" s="20">
        <v>-3506.84</v>
      </c>
      <c r="W803" s="20">
        <v>-4744.55</v>
      </c>
      <c r="X803" s="20">
        <v>-1237.71</v>
      </c>
      <c r="Y803" s="20">
        <v>0</v>
      </c>
      <c r="Z803" s="20">
        <v>0</v>
      </c>
      <c r="AA803" s="20">
        <v>0</v>
      </c>
      <c r="AB803" s="20">
        <v>32386.67</v>
      </c>
      <c r="AC803" t="s">
        <v>1127</v>
      </c>
      <c r="AD803" t="s">
        <v>290</v>
      </c>
      <c r="AE803" s="702">
        <f t="shared" si="60"/>
        <v>43617</v>
      </c>
      <c r="AF803" s="289">
        <v>57783.351301166942</v>
      </c>
      <c r="AG803">
        <f t="shared" si="61"/>
        <v>360</v>
      </c>
      <c r="AH803" s="289">
        <f t="shared" si="62"/>
        <v>160.50930916990816</v>
      </c>
      <c r="AJ803" s="289">
        <f t="shared" si="63"/>
        <v>42</v>
      </c>
      <c r="AK803" s="289">
        <f t="shared" si="64"/>
        <v>6741.3909851361432</v>
      </c>
    </row>
    <row r="804" spans="1:37">
      <c r="A804" s="703" t="s">
        <v>1880</v>
      </c>
      <c r="B804" s="703" t="s">
        <v>1606</v>
      </c>
      <c r="C804" s="703" t="s">
        <v>1124</v>
      </c>
      <c r="D804" s="703" t="s">
        <v>334</v>
      </c>
      <c r="E804" s="703" t="s">
        <v>334</v>
      </c>
      <c r="F804" s="703" t="s">
        <v>335</v>
      </c>
      <c r="G804" s="703" t="s">
        <v>1881</v>
      </c>
      <c r="H804" s="703" t="s">
        <v>334</v>
      </c>
      <c r="I804" s="703" t="s">
        <v>334</v>
      </c>
      <c r="J804" s="703" t="s">
        <v>337</v>
      </c>
      <c r="K804" s="704">
        <v>0</v>
      </c>
      <c r="L804" s="703" t="s">
        <v>334</v>
      </c>
      <c r="M804" s="702">
        <v>40968</v>
      </c>
      <c r="N804" s="702">
        <v>43511</v>
      </c>
      <c r="O804" s="703" t="s">
        <v>338</v>
      </c>
      <c r="P804" s="20">
        <v>151629.12</v>
      </c>
      <c r="Q804" s="20">
        <v>0</v>
      </c>
      <c r="R804" s="20">
        <v>0</v>
      </c>
      <c r="S804" s="20">
        <v>0</v>
      </c>
      <c r="T804" s="20">
        <v>151629.12</v>
      </c>
      <c r="U804" s="20">
        <v>137308.6</v>
      </c>
      <c r="V804" s="20">
        <v>-14320.52</v>
      </c>
      <c r="W804" s="20">
        <v>-19374.82</v>
      </c>
      <c r="X804" s="20">
        <v>-5054.3</v>
      </c>
      <c r="Y804" s="20">
        <v>0</v>
      </c>
      <c r="Z804" s="20">
        <v>0</v>
      </c>
      <c r="AA804" s="20">
        <v>0</v>
      </c>
      <c r="AB804" s="20">
        <v>132254.29999999999</v>
      </c>
      <c r="AC804" t="s">
        <v>1127</v>
      </c>
      <c r="AD804" t="s">
        <v>290</v>
      </c>
      <c r="AE804" s="702">
        <f t="shared" si="60"/>
        <v>43617</v>
      </c>
      <c r="AF804" s="289">
        <v>235964.20231941741</v>
      </c>
      <c r="AG804">
        <f t="shared" si="61"/>
        <v>360</v>
      </c>
      <c r="AH804" s="289">
        <f t="shared" si="62"/>
        <v>655.45611755393725</v>
      </c>
      <c r="AJ804" s="289">
        <f t="shared" si="63"/>
        <v>42</v>
      </c>
      <c r="AK804" s="289">
        <f t="shared" si="64"/>
        <v>27529.156937265365</v>
      </c>
    </row>
    <row r="805" spans="1:37">
      <c r="A805" s="703" t="s">
        <v>1882</v>
      </c>
      <c r="B805" s="703" t="s">
        <v>1606</v>
      </c>
      <c r="C805" s="703" t="s">
        <v>1124</v>
      </c>
      <c r="D805" s="703" t="s">
        <v>334</v>
      </c>
      <c r="E805" s="703" t="s">
        <v>334</v>
      </c>
      <c r="F805" s="703" t="s">
        <v>335</v>
      </c>
      <c r="G805" s="703" t="s">
        <v>1883</v>
      </c>
      <c r="H805" s="703" t="s">
        <v>334</v>
      </c>
      <c r="I805" s="703" t="s">
        <v>334</v>
      </c>
      <c r="J805" s="703" t="s">
        <v>337</v>
      </c>
      <c r="K805" s="704">
        <v>0</v>
      </c>
      <c r="L805" s="703" t="s">
        <v>334</v>
      </c>
      <c r="M805" s="702">
        <v>40968</v>
      </c>
      <c r="N805" s="702">
        <v>43511</v>
      </c>
      <c r="O805" s="703" t="s">
        <v>338</v>
      </c>
      <c r="P805" s="20">
        <v>174070.22</v>
      </c>
      <c r="Q805" s="20">
        <v>0</v>
      </c>
      <c r="R805" s="20">
        <v>0</v>
      </c>
      <c r="S805" s="20">
        <v>0</v>
      </c>
      <c r="T805" s="20">
        <v>174070.22</v>
      </c>
      <c r="U805" s="20">
        <v>157630.26</v>
      </c>
      <c r="V805" s="20">
        <v>-16439.96</v>
      </c>
      <c r="W805" s="20">
        <v>-22242.3</v>
      </c>
      <c r="X805" s="20">
        <v>-5802.34</v>
      </c>
      <c r="Y805" s="20">
        <v>0</v>
      </c>
      <c r="Z805" s="20">
        <v>0</v>
      </c>
      <c r="AA805" s="20">
        <v>0</v>
      </c>
      <c r="AB805" s="20">
        <v>151827.92000000001</v>
      </c>
      <c r="AC805" t="s">
        <v>1127</v>
      </c>
      <c r="AD805" t="s">
        <v>290</v>
      </c>
      <c r="AE805" s="702">
        <f t="shared" si="60"/>
        <v>43617</v>
      </c>
      <c r="AF805" s="289">
        <v>270886.88907424576</v>
      </c>
      <c r="AG805">
        <f t="shared" si="61"/>
        <v>360</v>
      </c>
      <c r="AH805" s="289">
        <f t="shared" si="62"/>
        <v>752.46358076179376</v>
      </c>
      <c r="AJ805" s="289">
        <f t="shared" si="63"/>
        <v>42</v>
      </c>
      <c r="AK805" s="289">
        <f t="shared" si="64"/>
        <v>31603.470391995339</v>
      </c>
    </row>
    <row r="806" spans="1:37">
      <c r="A806" s="703" t="s">
        <v>1884</v>
      </c>
      <c r="B806" s="703" t="s">
        <v>1606</v>
      </c>
      <c r="C806" s="703" t="s">
        <v>1124</v>
      </c>
      <c r="D806" s="703" t="s">
        <v>334</v>
      </c>
      <c r="E806" s="703" t="s">
        <v>334</v>
      </c>
      <c r="F806" s="703" t="s">
        <v>335</v>
      </c>
      <c r="G806" s="703" t="s">
        <v>1885</v>
      </c>
      <c r="H806" s="703" t="s">
        <v>334</v>
      </c>
      <c r="I806" s="703" t="s">
        <v>334</v>
      </c>
      <c r="J806" s="703" t="s">
        <v>337</v>
      </c>
      <c r="K806" s="704">
        <v>0</v>
      </c>
      <c r="L806" s="703" t="s">
        <v>334</v>
      </c>
      <c r="M806" s="702">
        <v>40968</v>
      </c>
      <c r="N806" s="702">
        <v>43511</v>
      </c>
      <c r="O806" s="703" t="s">
        <v>338</v>
      </c>
      <c r="P806" s="20">
        <v>2484.83</v>
      </c>
      <c r="Q806" s="20">
        <v>0</v>
      </c>
      <c r="R806" s="20">
        <v>0</v>
      </c>
      <c r="S806" s="20">
        <v>0</v>
      </c>
      <c r="T806" s="20">
        <v>2484.83</v>
      </c>
      <c r="U806" s="20">
        <v>2250.15</v>
      </c>
      <c r="V806" s="20">
        <v>-234.68</v>
      </c>
      <c r="W806" s="20">
        <v>-317.51</v>
      </c>
      <c r="X806" s="20">
        <v>-82.83</v>
      </c>
      <c r="Y806" s="20">
        <v>0</v>
      </c>
      <c r="Z806" s="20">
        <v>0</v>
      </c>
      <c r="AA806" s="20">
        <v>0</v>
      </c>
      <c r="AB806" s="20">
        <v>2167.3200000000002</v>
      </c>
      <c r="AC806" t="s">
        <v>1127</v>
      </c>
      <c r="AD806" t="s">
        <v>290</v>
      </c>
      <c r="AE806" s="702">
        <f t="shared" si="60"/>
        <v>43617</v>
      </c>
      <c r="AF806" s="289">
        <v>3866.8754975914781</v>
      </c>
      <c r="AG806">
        <f t="shared" si="61"/>
        <v>360</v>
      </c>
      <c r="AH806" s="289">
        <f t="shared" si="62"/>
        <v>10.741320826642994</v>
      </c>
      <c r="AJ806" s="289">
        <f t="shared" si="63"/>
        <v>42</v>
      </c>
      <c r="AK806" s="289">
        <f t="shared" si="64"/>
        <v>451.13547471900574</v>
      </c>
    </row>
    <row r="807" spans="1:37">
      <c r="A807" s="703" t="s">
        <v>1886</v>
      </c>
      <c r="B807" s="703" t="s">
        <v>1606</v>
      </c>
      <c r="C807" s="703" t="s">
        <v>1124</v>
      </c>
      <c r="D807" s="703" t="s">
        <v>334</v>
      </c>
      <c r="E807" s="703" t="s">
        <v>334</v>
      </c>
      <c r="F807" s="703" t="s">
        <v>335</v>
      </c>
      <c r="G807" s="703" t="s">
        <v>1887</v>
      </c>
      <c r="H807" s="703" t="s">
        <v>334</v>
      </c>
      <c r="I807" s="703" t="s">
        <v>334</v>
      </c>
      <c r="J807" s="703" t="s">
        <v>337</v>
      </c>
      <c r="K807" s="704">
        <v>0</v>
      </c>
      <c r="L807" s="703" t="s">
        <v>334</v>
      </c>
      <c r="M807" s="702">
        <v>40968</v>
      </c>
      <c r="N807" s="702">
        <v>43511</v>
      </c>
      <c r="O807" s="703" t="s">
        <v>338</v>
      </c>
      <c r="P807" s="20">
        <v>17449.09</v>
      </c>
      <c r="Q807" s="20">
        <v>0</v>
      </c>
      <c r="R807" s="20">
        <v>0</v>
      </c>
      <c r="S807" s="20">
        <v>0</v>
      </c>
      <c r="T807" s="20">
        <v>17449.09</v>
      </c>
      <c r="U807" s="20">
        <v>15801.11</v>
      </c>
      <c r="V807" s="20">
        <v>-1647.98</v>
      </c>
      <c r="W807" s="20">
        <v>-2229.62</v>
      </c>
      <c r="X807" s="20">
        <v>-581.64</v>
      </c>
      <c r="Y807" s="20">
        <v>0</v>
      </c>
      <c r="Z807" s="20">
        <v>0</v>
      </c>
      <c r="AA807" s="20">
        <v>0</v>
      </c>
      <c r="AB807" s="20">
        <v>15219.47</v>
      </c>
      <c r="AC807" t="s">
        <v>1127</v>
      </c>
      <c r="AD807" t="s">
        <v>290</v>
      </c>
      <c r="AE807" s="702">
        <f t="shared" si="60"/>
        <v>43617</v>
      </c>
      <c r="AF807" s="289">
        <v>27154.154842089192</v>
      </c>
      <c r="AG807">
        <f t="shared" si="61"/>
        <v>360</v>
      </c>
      <c r="AH807" s="289">
        <f t="shared" si="62"/>
        <v>75.428207894692207</v>
      </c>
      <c r="AJ807" s="289">
        <f t="shared" si="63"/>
        <v>42</v>
      </c>
      <c r="AK807" s="289">
        <f t="shared" si="64"/>
        <v>3167.9847315770726</v>
      </c>
    </row>
    <row r="808" spans="1:37">
      <c r="A808" s="703" t="s">
        <v>1888</v>
      </c>
      <c r="B808" s="703" t="s">
        <v>1606</v>
      </c>
      <c r="C808" s="703" t="s">
        <v>1124</v>
      </c>
      <c r="D808" s="703" t="s">
        <v>334</v>
      </c>
      <c r="E808" s="703" t="s">
        <v>334</v>
      </c>
      <c r="F808" s="703" t="s">
        <v>335</v>
      </c>
      <c r="G808" s="703" t="s">
        <v>1889</v>
      </c>
      <c r="H808" s="703" t="s">
        <v>334</v>
      </c>
      <c r="I808" s="703" t="s">
        <v>334</v>
      </c>
      <c r="J808" s="703" t="s">
        <v>337</v>
      </c>
      <c r="K808" s="704">
        <v>0</v>
      </c>
      <c r="L808" s="703" t="s">
        <v>334</v>
      </c>
      <c r="M808" s="702">
        <v>40968</v>
      </c>
      <c r="N808" s="702">
        <v>43511</v>
      </c>
      <c r="O808" s="703" t="s">
        <v>338</v>
      </c>
      <c r="P808" s="20">
        <v>943.81</v>
      </c>
      <c r="Q808" s="20">
        <v>0</v>
      </c>
      <c r="R808" s="20">
        <v>0</v>
      </c>
      <c r="S808" s="20">
        <v>0</v>
      </c>
      <c r="T808" s="20">
        <v>943.81</v>
      </c>
      <c r="U808" s="20">
        <v>854.67</v>
      </c>
      <c r="V808" s="20">
        <v>-89.14</v>
      </c>
      <c r="W808" s="20">
        <v>-120.6</v>
      </c>
      <c r="X808" s="20">
        <v>-31.46</v>
      </c>
      <c r="Y808" s="20">
        <v>0</v>
      </c>
      <c r="Z808" s="20">
        <v>0</v>
      </c>
      <c r="AA808" s="20">
        <v>0</v>
      </c>
      <c r="AB808" s="20">
        <v>823.21</v>
      </c>
      <c r="AC808" t="s">
        <v>1127</v>
      </c>
      <c r="AD808" t="s">
        <v>290</v>
      </c>
      <c r="AE808" s="702">
        <f t="shared" si="60"/>
        <v>43617</v>
      </c>
      <c r="AF808" s="289">
        <v>1468.7506845063094</v>
      </c>
      <c r="AG808">
        <f t="shared" si="61"/>
        <v>360</v>
      </c>
      <c r="AH808" s="289">
        <f t="shared" si="62"/>
        <v>4.0798630125175261</v>
      </c>
      <c r="AJ808" s="289">
        <f t="shared" si="63"/>
        <v>42</v>
      </c>
      <c r="AK808" s="289">
        <f t="shared" si="64"/>
        <v>171.3542465257361</v>
      </c>
    </row>
    <row r="809" spans="1:37">
      <c r="A809" s="703" t="s">
        <v>1890</v>
      </c>
      <c r="B809" s="703" t="s">
        <v>1606</v>
      </c>
      <c r="C809" s="703" t="s">
        <v>1124</v>
      </c>
      <c r="D809" s="703" t="s">
        <v>334</v>
      </c>
      <c r="E809" s="703" t="s">
        <v>334</v>
      </c>
      <c r="F809" s="703" t="s">
        <v>335</v>
      </c>
      <c r="G809" s="703" t="s">
        <v>1891</v>
      </c>
      <c r="H809" s="703" t="s">
        <v>334</v>
      </c>
      <c r="I809" s="703" t="s">
        <v>334</v>
      </c>
      <c r="J809" s="703" t="s">
        <v>337</v>
      </c>
      <c r="K809" s="704">
        <v>0</v>
      </c>
      <c r="L809" s="703" t="s">
        <v>334</v>
      </c>
      <c r="M809" s="702">
        <v>40968</v>
      </c>
      <c r="N809" s="702">
        <v>43511</v>
      </c>
      <c r="O809" s="703" t="s">
        <v>338</v>
      </c>
      <c r="P809" s="20">
        <v>8308.2800000000007</v>
      </c>
      <c r="Q809" s="20">
        <v>0</v>
      </c>
      <c r="R809" s="20">
        <v>0</v>
      </c>
      <c r="S809" s="20">
        <v>0</v>
      </c>
      <c r="T809" s="20">
        <v>8308.2800000000007</v>
      </c>
      <c r="U809" s="20">
        <v>7523.61</v>
      </c>
      <c r="V809" s="20">
        <v>-784.67</v>
      </c>
      <c r="W809" s="20">
        <v>-1061.6099999999999</v>
      </c>
      <c r="X809" s="20">
        <v>-276.94</v>
      </c>
      <c r="Y809" s="20">
        <v>0</v>
      </c>
      <c r="Z809" s="20">
        <v>0</v>
      </c>
      <c r="AA809" s="20">
        <v>0</v>
      </c>
      <c r="AB809" s="20">
        <v>7246.67</v>
      </c>
      <c r="AC809" t="s">
        <v>1127</v>
      </c>
      <c r="AD809" t="s">
        <v>290</v>
      </c>
      <c r="AE809" s="702">
        <f t="shared" si="60"/>
        <v>43617</v>
      </c>
      <c r="AF809" s="289">
        <v>12929.288667284816</v>
      </c>
      <c r="AG809">
        <f t="shared" si="61"/>
        <v>360</v>
      </c>
      <c r="AH809" s="289">
        <f t="shared" si="62"/>
        <v>35.914690742457822</v>
      </c>
      <c r="AJ809" s="289">
        <f t="shared" si="63"/>
        <v>42</v>
      </c>
      <c r="AK809" s="289">
        <f t="shared" si="64"/>
        <v>1508.4170111832286</v>
      </c>
    </row>
    <row r="810" spans="1:37">
      <c r="A810" s="703" t="s">
        <v>1892</v>
      </c>
      <c r="B810" s="703" t="s">
        <v>1606</v>
      </c>
      <c r="C810" s="703" t="s">
        <v>1124</v>
      </c>
      <c r="D810" s="703" t="s">
        <v>334</v>
      </c>
      <c r="E810" s="703" t="s">
        <v>334</v>
      </c>
      <c r="F810" s="703" t="s">
        <v>335</v>
      </c>
      <c r="G810" s="703" t="s">
        <v>1893</v>
      </c>
      <c r="H810" s="703" t="s">
        <v>334</v>
      </c>
      <c r="I810" s="703" t="s">
        <v>334</v>
      </c>
      <c r="J810" s="703" t="s">
        <v>337</v>
      </c>
      <c r="K810" s="704">
        <v>0</v>
      </c>
      <c r="L810" s="703" t="s">
        <v>334</v>
      </c>
      <c r="M810" s="702">
        <v>40968</v>
      </c>
      <c r="N810" s="702">
        <v>43511</v>
      </c>
      <c r="O810" s="703" t="s">
        <v>338</v>
      </c>
      <c r="P810" s="20">
        <v>85752.58</v>
      </c>
      <c r="Q810" s="20">
        <v>0</v>
      </c>
      <c r="R810" s="20">
        <v>0</v>
      </c>
      <c r="S810" s="20">
        <v>0</v>
      </c>
      <c r="T810" s="20">
        <v>85752.58</v>
      </c>
      <c r="U810" s="20">
        <v>77653.72</v>
      </c>
      <c r="V810" s="20">
        <v>-8098.86</v>
      </c>
      <c r="W810" s="20">
        <v>-10957.28</v>
      </c>
      <c r="X810" s="20">
        <v>-2858.42</v>
      </c>
      <c r="Y810" s="20">
        <v>0</v>
      </c>
      <c r="Z810" s="20">
        <v>0</v>
      </c>
      <c r="AA810" s="20">
        <v>0</v>
      </c>
      <c r="AB810" s="20">
        <v>74795.3</v>
      </c>
      <c r="AC810" t="s">
        <v>1127</v>
      </c>
      <c r="AD810" t="s">
        <v>290</v>
      </c>
      <c r="AE810" s="702">
        <f t="shared" si="60"/>
        <v>43617</v>
      </c>
      <c r="AF810" s="289">
        <v>133447.5800989416</v>
      </c>
      <c r="AG810">
        <f t="shared" si="61"/>
        <v>360</v>
      </c>
      <c r="AH810" s="289">
        <f t="shared" si="62"/>
        <v>370.68772249706001</v>
      </c>
      <c r="AJ810" s="289">
        <f t="shared" si="63"/>
        <v>42</v>
      </c>
      <c r="AK810" s="289">
        <f t="shared" si="64"/>
        <v>15568.88434487652</v>
      </c>
    </row>
    <row r="811" spans="1:37">
      <c r="A811" s="703" t="s">
        <v>1894</v>
      </c>
      <c r="B811" s="703" t="s">
        <v>1606</v>
      </c>
      <c r="C811" s="703" t="s">
        <v>1124</v>
      </c>
      <c r="D811" s="703" t="s">
        <v>334</v>
      </c>
      <c r="E811" s="703" t="s">
        <v>334</v>
      </c>
      <c r="F811" s="703" t="s">
        <v>335</v>
      </c>
      <c r="G811" s="703" t="s">
        <v>1895</v>
      </c>
      <c r="H811" s="703" t="s">
        <v>334</v>
      </c>
      <c r="I811" s="703" t="s">
        <v>334</v>
      </c>
      <c r="J811" s="703" t="s">
        <v>337</v>
      </c>
      <c r="K811" s="704">
        <v>0</v>
      </c>
      <c r="L811" s="703" t="s">
        <v>334</v>
      </c>
      <c r="M811" s="702">
        <v>40968</v>
      </c>
      <c r="N811" s="702">
        <v>43511</v>
      </c>
      <c r="O811" s="703" t="s">
        <v>338</v>
      </c>
      <c r="P811" s="20">
        <v>4035.23</v>
      </c>
      <c r="Q811" s="20">
        <v>0</v>
      </c>
      <c r="R811" s="20">
        <v>0</v>
      </c>
      <c r="S811" s="20">
        <v>0</v>
      </c>
      <c r="T811" s="20">
        <v>4035.23</v>
      </c>
      <c r="U811" s="20">
        <v>3654.12</v>
      </c>
      <c r="V811" s="20">
        <v>-381.11</v>
      </c>
      <c r="W811" s="20">
        <v>-515.62</v>
      </c>
      <c r="X811" s="20">
        <v>-134.51</v>
      </c>
      <c r="Y811" s="20">
        <v>0</v>
      </c>
      <c r="Z811" s="20">
        <v>0</v>
      </c>
      <c r="AA811" s="20">
        <v>0</v>
      </c>
      <c r="AB811" s="20">
        <v>3519.61</v>
      </c>
      <c r="AC811" t="s">
        <v>1127</v>
      </c>
      <c r="AD811" t="s">
        <v>290</v>
      </c>
      <c r="AE811" s="702">
        <f t="shared" si="60"/>
        <v>43617</v>
      </c>
      <c r="AF811" s="289">
        <v>6279.5974026979957</v>
      </c>
      <c r="AG811">
        <f t="shared" si="61"/>
        <v>360</v>
      </c>
      <c r="AH811" s="289">
        <f t="shared" si="62"/>
        <v>17.443326118605544</v>
      </c>
      <c r="AJ811" s="289">
        <f t="shared" si="63"/>
        <v>42</v>
      </c>
      <c r="AK811" s="289">
        <f t="shared" si="64"/>
        <v>732.61969698143287</v>
      </c>
    </row>
    <row r="812" spans="1:37">
      <c r="A812" s="703" t="s">
        <v>1896</v>
      </c>
      <c r="B812" s="703" t="s">
        <v>1606</v>
      </c>
      <c r="C812" s="703" t="s">
        <v>332</v>
      </c>
      <c r="D812" s="703" t="s">
        <v>334</v>
      </c>
      <c r="E812" s="703" t="s">
        <v>334</v>
      </c>
      <c r="F812" s="703" t="s">
        <v>335</v>
      </c>
      <c r="G812" s="703" t="s">
        <v>1897</v>
      </c>
      <c r="H812" s="703" t="s">
        <v>334</v>
      </c>
      <c r="I812" s="703" t="s">
        <v>334</v>
      </c>
      <c r="J812" s="703" t="s">
        <v>337</v>
      </c>
      <c r="K812" s="704">
        <v>0</v>
      </c>
      <c r="L812" s="703" t="s">
        <v>334</v>
      </c>
      <c r="M812" s="702">
        <v>39478</v>
      </c>
      <c r="N812" s="702">
        <v>43514</v>
      </c>
      <c r="O812" s="703" t="s">
        <v>338</v>
      </c>
      <c r="P812" s="20">
        <v>37537.47</v>
      </c>
      <c r="Q812" s="20">
        <v>0</v>
      </c>
      <c r="R812" s="20">
        <v>0</v>
      </c>
      <c r="S812" s="20">
        <v>0</v>
      </c>
      <c r="T812" s="20">
        <v>37537.47</v>
      </c>
      <c r="U812" s="20">
        <v>33992.26</v>
      </c>
      <c r="V812" s="20">
        <v>-3545.21</v>
      </c>
      <c r="W812" s="20">
        <v>-4796.46</v>
      </c>
      <c r="X812" s="20">
        <v>-1251.25</v>
      </c>
      <c r="Y812" s="20">
        <v>0</v>
      </c>
      <c r="Z812" s="20">
        <v>0</v>
      </c>
      <c r="AA812" s="20">
        <v>0</v>
      </c>
      <c r="AB812" s="20">
        <v>32741.01</v>
      </c>
      <c r="AC812" t="s">
        <v>183</v>
      </c>
      <c r="AD812" t="s">
        <v>290</v>
      </c>
      <c r="AE812" s="702">
        <f t="shared" si="60"/>
        <v>43617</v>
      </c>
      <c r="AF812" s="289">
        <v>58415.554780236555</v>
      </c>
      <c r="AG812">
        <f t="shared" si="61"/>
        <v>360</v>
      </c>
      <c r="AH812" s="289">
        <f t="shared" si="62"/>
        <v>162.26542994510154</v>
      </c>
      <c r="AJ812" s="289">
        <f t="shared" si="63"/>
        <v>42</v>
      </c>
      <c r="AK812" s="289">
        <f t="shared" si="64"/>
        <v>6815.1480576942649</v>
      </c>
    </row>
    <row r="813" spans="1:37">
      <c r="A813" s="703" t="s">
        <v>1898</v>
      </c>
      <c r="B813" s="703" t="s">
        <v>1606</v>
      </c>
      <c r="C813" s="703" t="s">
        <v>332</v>
      </c>
      <c r="D813" s="703" t="s">
        <v>334</v>
      </c>
      <c r="E813" s="703" t="s">
        <v>334</v>
      </c>
      <c r="F813" s="703" t="s">
        <v>335</v>
      </c>
      <c r="G813" s="703" t="s">
        <v>1899</v>
      </c>
      <c r="H813" s="703" t="s">
        <v>334</v>
      </c>
      <c r="I813" s="703" t="s">
        <v>334</v>
      </c>
      <c r="J813" s="703" t="s">
        <v>337</v>
      </c>
      <c r="K813" s="704">
        <v>0</v>
      </c>
      <c r="L813" s="703" t="s">
        <v>334</v>
      </c>
      <c r="M813" s="702">
        <v>39478</v>
      </c>
      <c r="N813" s="702">
        <v>43514</v>
      </c>
      <c r="O813" s="703" t="s">
        <v>338</v>
      </c>
      <c r="P813" s="20">
        <v>448.41</v>
      </c>
      <c r="Q813" s="20">
        <v>0</v>
      </c>
      <c r="R813" s="20">
        <v>0</v>
      </c>
      <c r="S813" s="20">
        <v>0</v>
      </c>
      <c r="T813" s="20">
        <v>448.41</v>
      </c>
      <c r="U813" s="20">
        <v>406.05</v>
      </c>
      <c r="V813" s="20">
        <v>-42.36</v>
      </c>
      <c r="W813" s="20">
        <v>-57.31</v>
      </c>
      <c r="X813" s="20">
        <v>-14.95</v>
      </c>
      <c r="Y813" s="20">
        <v>0</v>
      </c>
      <c r="Z813" s="20">
        <v>0</v>
      </c>
      <c r="AA813" s="20">
        <v>0</v>
      </c>
      <c r="AB813" s="20">
        <v>391.1</v>
      </c>
      <c r="AC813" t="s">
        <v>183</v>
      </c>
      <c r="AD813" t="s">
        <v>290</v>
      </c>
      <c r="AE813" s="702">
        <f t="shared" si="60"/>
        <v>43617</v>
      </c>
      <c r="AF813" s="289">
        <v>697.81258350671681</v>
      </c>
      <c r="AG813">
        <f t="shared" si="61"/>
        <v>360</v>
      </c>
      <c r="AH813" s="289">
        <f t="shared" si="62"/>
        <v>1.9383682875186579</v>
      </c>
      <c r="AJ813" s="289">
        <f t="shared" si="63"/>
        <v>42</v>
      </c>
      <c r="AK813" s="289">
        <f t="shared" si="64"/>
        <v>81.411468075783631</v>
      </c>
    </row>
    <row r="814" spans="1:37">
      <c r="A814" s="703" t="s">
        <v>1900</v>
      </c>
      <c r="B814" s="703" t="s">
        <v>1606</v>
      </c>
      <c r="C814" s="703" t="s">
        <v>332</v>
      </c>
      <c r="D814" s="703" t="s">
        <v>334</v>
      </c>
      <c r="E814" s="703" t="s">
        <v>334</v>
      </c>
      <c r="F814" s="703" t="s">
        <v>335</v>
      </c>
      <c r="G814" s="703" t="s">
        <v>1901</v>
      </c>
      <c r="H814" s="703" t="s">
        <v>334</v>
      </c>
      <c r="I814" s="703" t="s">
        <v>334</v>
      </c>
      <c r="J814" s="703" t="s">
        <v>337</v>
      </c>
      <c r="K814" s="704">
        <v>0</v>
      </c>
      <c r="L814" s="703" t="s">
        <v>334</v>
      </c>
      <c r="M814" s="702">
        <v>39478</v>
      </c>
      <c r="N814" s="702">
        <v>43514</v>
      </c>
      <c r="O814" s="703" t="s">
        <v>338</v>
      </c>
      <c r="P814" s="20">
        <v>495.13</v>
      </c>
      <c r="Q814" s="20">
        <v>0</v>
      </c>
      <c r="R814" s="20">
        <v>0</v>
      </c>
      <c r="S814" s="20">
        <v>0</v>
      </c>
      <c r="T814" s="20">
        <v>495.13</v>
      </c>
      <c r="U814" s="20">
        <v>448.38</v>
      </c>
      <c r="V814" s="20">
        <v>-46.75</v>
      </c>
      <c r="W814" s="20">
        <v>-63.25</v>
      </c>
      <c r="X814" s="20">
        <v>-16.5</v>
      </c>
      <c r="Y814" s="20">
        <v>0</v>
      </c>
      <c r="Z814" s="20">
        <v>0</v>
      </c>
      <c r="AA814" s="20">
        <v>0</v>
      </c>
      <c r="AB814" s="20">
        <v>431.88</v>
      </c>
      <c r="AC814" t="s">
        <v>183</v>
      </c>
      <c r="AD814" t="s">
        <v>290</v>
      </c>
      <c r="AE814" s="702">
        <f t="shared" si="60"/>
        <v>43617</v>
      </c>
      <c r="AF814" s="289">
        <v>770.51792884119595</v>
      </c>
      <c r="AG814">
        <f t="shared" si="61"/>
        <v>360</v>
      </c>
      <c r="AH814" s="289">
        <f t="shared" si="62"/>
        <v>2.140327580114433</v>
      </c>
      <c r="AJ814" s="289">
        <f t="shared" si="63"/>
        <v>42</v>
      </c>
      <c r="AK814" s="289">
        <f t="shared" si="64"/>
        <v>89.893758364806189</v>
      </c>
    </row>
    <row r="815" spans="1:37">
      <c r="A815" s="703" t="s">
        <v>1902</v>
      </c>
      <c r="B815" s="703" t="s">
        <v>1606</v>
      </c>
      <c r="C815" s="703" t="s">
        <v>332</v>
      </c>
      <c r="D815" s="703" t="s">
        <v>334</v>
      </c>
      <c r="E815" s="703" t="s">
        <v>334</v>
      </c>
      <c r="F815" s="703" t="s">
        <v>335</v>
      </c>
      <c r="G815" s="703" t="s">
        <v>1903</v>
      </c>
      <c r="H815" s="703" t="s">
        <v>334</v>
      </c>
      <c r="I815" s="703" t="s">
        <v>334</v>
      </c>
      <c r="J815" s="703" t="s">
        <v>337</v>
      </c>
      <c r="K815" s="704">
        <v>0</v>
      </c>
      <c r="L815" s="703" t="s">
        <v>334</v>
      </c>
      <c r="M815" s="702">
        <v>39478</v>
      </c>
      <c r="N815" s="702">
        <v>43514</v>
      </c>
      <c r="O815" s="703" t="s">
        <v>338</v>
      </c>
      <c r="P815" s="20">
        <v>84.58</v>
      </c>
      <c r="Q815" s="20">
        <v>0</v>
      </c>
      <c r="R815" s="20">
        <v>0</v>
      </c>
      <c r="S815" s="20">
        <v>0</v>
      </c>
      <c r="T815" s="20">
        <v>84.58</v>
      </c>
      <c r="U815" s="20">
        <v>76.59</v>
      </c>
      <c r="V815" s="20">
        <v>-7.99</v>
      </c>
      <c r="W815" s="20">
        <v>-10.81</v>
      </c>
      <c r="X815" s="20">
        <v>-2.82</v>
      </c>
      <c r="Y815" s="20">
        <v>0</v>
      </c>
      <c r="Z815" s="20">
        <v>0</v>
      </c>
      <c r="AA815" s="20">
        <v>0</v>
      </c>
      <c r="AB815" s="20">
        <v>73.77</v>
      </c>
      <c r="AC815" t="s">
        <v>183</v>
      </c>
      <c r="AD815" t="s">
        <v>290</v>
      </c>
      <c r="AE815" s="702">
        <f t="shared" si="60"/>
        <v>43617</v>
      </c>
      <c r="AF815" s="289">
        <v>131.62281910081867</v>
      </c>
      <c r="AG815">
        <f t="shared" si="61"/>
        <v>360</v>
      </c>
      <c r="AH815" s="289">
        <f t="shared" si="62"/>
        <v>0.36561894194671851</v>
      </c>
      <c r="AJ815" s="289">
        <f t="shared" si="63"/>
        <v>42</v>
      </c>
      <c r="AK815" s="289">
        <f t="shared" si="64"/>
        <v>15.355995561762178</v>
      </c>
    </row>
    <row r="816" spans="1:37">
      <c r="A816" s="703" t="s">
        <v>1904</v>
      </c>
      <c r="B816" s="703" t="s">
        <v>1606</v>
      </c>
      <c r="C816" s="703" t="s">
        <v>332</v>
      </c>
      <c r="D816" s="703" t="s">
        <v>334</v>
      </c>
      <c r="E816" s="703" t="s">
        <v>334</v>
      </c>
      <c r="F816" s="703" t="s">
        <v>335</v>
      </c>
      <c r="G816" s="703" t="s">
        <v>1905</v>
      </c>
      <c r="H816" s="703" t="s">
        <v>334</v>
      </c>
      <c r="I816" s="703" t="s">
        <v>334</v>
      </c>
      <c r="J816" s="703" t="s">
        <v>337</v>
      </c>
      <c r="K816" s="704">
        <v>0</v>
      </c>
      <c r="L816" s="703" t="s">
        <v>334</v>
      </c>
      <c r="M816" s="702">
        <v>39478</v>
      </c>
      <c r="N816" s="702">
        <v>43514</v>
      </c>
      <c r="O816" s="703" t="s">
        <v>338</v>
      </c>
      <c r="P816" s="20">
        <v>1382.54</v>
      </c>
      <c r="Q816" s="20">
        <v>0</v>
      </c>
      <c r="R816" s="20">
        <v>0</v>
      </c>
      <c r="S816" s="20">
        <v>0</v>
      </c>
      <c r="T816" s="20">
        <v>1382.54</v>
      </c>
      <c r="U816" s="20">
        <v>1251.98</v>
      </c>
      <c r="V816" s="20">
        <v>-130.56</v>
      </c>
      <c r="W816" s="20">
        <v>-176.64</v>
      </c>
      <c r="X816" s="20">
        <v>-46.08</v>
      </c>
      <c r="Y816" s="20">
        <v>0</v>
      </c>
      <c r="Z816" s="20">
        <v>0</v>
      </c>
      <c r="AA816" s="20">
        <v>0</v>
      </c>
      <c r="AB816" s="20">
        <v>1205.9000000000001</v>
      </c>
      <c r="AC816" t="s">
        <v>183</v>
      </c>
      <c r="AD816" t="s">
        <v>290</v>
      </c>
      <c r="AE816" s="702">
        <f t="shared" si="60"/>
        <v>43617</v>
      </c>
      <c r="AF816" s="289">
        <v>2151.4993180379029</v>
      </c>
      <c r="AG816">
        <f t="shared" si="61"/>
        <v>360</v>
      </c>
      <c r="AH816" s="289">
        <f t="shared" si="62"/>
        <v>5.9763869945497303</v>
      </c>
      <c r="AJ816" s="289">
        <f t="shared" si="63"/>
        <v>42</v>
      </c>
      <c r="AK816" s="289">
        <f t="shared" si="64"/>
        <v>251.00825377108868</v>
      </c>
    </row>
    <row r="817" spans="1:37">
      <c r="A817" s="703" t="s">
        <v>1906</v>
      </c>
      <c r="B817" s="703" t="s">
        <v>1606</v>
      </c>
      <c r="C817" s="703" t="s">
        <v>332</v>
      </c>
      <c r="D817" s="703" t="s">
        <v>334</v>
      </c>
      <c r="E817" s="703" t="s">
        <v>334</v>
      </c>
      <c r="F817" s="703" t="s">
        <v>335</v>
      </c>
      <c r="G817" s="703" t="s">
        <v>1907</v>
      </c>
      <c r="H817" s="703" t="s">
        <v>334</v>
      </c>
      <c r="I817" s="703" t="s">
        <v>334</v>
      </c>
      <c r="J817" s="703" t="s">
        <v>337</v>
      </c>
      <c r="K817" s="704">
        <v>0</v>
      </c>
      <c r="L817" s="703" t="s">
        <v>334</v>
      </c>
      <c r="M817" s="702">
        <v>39478</v>
      </c>
      <c r="N817" s="702">
        <v>43514</v>
      </c>
      <c r="O817" s="703" t="s">
        <v>338</v>
      </c>
      <c r="P817" s="20">
        <v>1912.92</v>
      </c>
      <c r="Q817" s="20">
        <v>0</v>
      </c>
      <c r="R817" s="20">
        <v>0</v>
      </c>
      <c r="S817" s="20">
        <v>0</v>
      </c>
      <c r="T817" s="20">
        <v>1912.92</v>
      </c>
      <c r="U817" s="20">
        <v>1732.26</v>
      </c>
      <c r="V817" s="20">
        <v>-180.66</v>
      </c>
      <c r="W817" s="20">
        <v>-244.42</v>
      </c>
      <c r="X817" s="20">
        <v>-63.76</v>
      </c>
      <c r="Y817" s="20">
        <v>0</v>
      </c>
      <c r="Z817" s="20">
        <v>0</v>
      </c>
      <c r="AA817" s="20">
        <v>0</v>
      </c>
      <c r="AB817" s="20">
        <v>1668.5</v>
      </c>
      <c r="AC817" t="s">
        <v>183</v>
      </c>
      <c r="AD817" t="s">
        <v>290</v>
      </c>
      <c r="AE817" s="702">
        <f t="shared" si="60"/>
        <v>43617</v>
      </c>
      <c r="AF817" s="289">
        <v>2976.8730564476004</v>
      </c>
      <c r="AG817">
        <f t="shared" si="61"/>
        <v>360</v>
      </c>
      <c r="AH817" s="289">
        <f t="shared" si="62"/>
        <v>8.2690918234655566</v>
      </c>
      <c r="AJ817" s="289">
        <f t="shared" si="63"/>
        <v>42</v>
      </c>
      <c r="AK817" s="289">
        <f t="shared" si="64"/>
        <v>347.30185658555337</v>
      </c>
    </row>
    <row r="818" spans="1:37">
      <c r="A818" s="703" t="s">
        <v>1908</v>
      </c>
      <c r="B818" s="703" t="s">
        <v>1606</v>
      </c>
      <c r="C818" s="703" t="s">
        <v>332</v>
      </c>
      <c r="D818" s="703" t="s">
        <v>334</v>
      </c>
      <c r="E818" s="703" t="s">
        <v>334</v>
      </c>
      <c r="F818" s="703" t="s">
        <v>335</v>
      </c>
      <c r="G818" s="703" t="s">
        <v>1909</v>
      </c>
      <c r="H818" s="703" t="s">
        <v>334</v>
      </c>
      <c r="I818" s="703" t="s">
        <v>334</v>
      </c>
      <c r="J818" s="703" t="s">
        <v>337</v>
      </c>
      <c r="K818" s="704">
        <v>0</v>
      </c>
      <c r="L818" s="703" t="s">
        <v>334</v>
      </c>
      <c r="M818" s="702">
        <v>39478</v>
      </c>
      <c r="N818" s="702">
        <v>43514</v>
      </c>
      <c r="O818" s="703" t="s">
        <v>338</v>
      </c>
      <c r="P818" s="20">
        <v>160</v>
      </c>
      <c r="Q818" s="20">
        <v>0</v>
      </c>
      <c r="R818" s="20">
        <v>0</v>
      </c>
      <c r="S818" s="20">
        <v>0</v>
      </c>
      <c r="T818" s="20">
        <v>160</v>
      </c>
      <c r="U818" s="20">
        <v>144.9</v>
      </c>
      <c r="V818" s="20">
        <v>-15.1</v>
      </c>
      <c r="W818" s="20">
        <v>-20.43</v>
      </c>
      <c r="X818" s="20">
        <v>-5.33</v>
      </c>
      <c r="Y818" s="20">
        <v>0</v>
      </c>
      <c r="Z818" s="20">
        <v>0</v>
      </c>
      <c r="AA818" s="20">
        <v>0</v>
      </c>
      <c r="AB818" s="20">
        <v>139.57</v>
      </c>
      <c r="AC818" t="s">
        <v>183</v>
      </c>
      <c r="AD818" t="s">
        <v>290</v>
      </c>
      <c r="AE818" s="702">
        <f t="shared" si="60"/>
        <v>43617</v>
      </c>
      <c r="AF818" s="289">
        <v>248.99090867972319</v>
      </c>
      <c r="AG818">
        <f t="shared" si="61"/>
        <v>360</v>
      </c>
      <c r="AH818" s="289">
        <f t="shared" si="62"/>
        <v>0.6916414129992311</v>
      </c>
      <c r="AJ818" s="289">
        <f t="shared" si="63"/>
        <v>42</v>
      </c>
      <c r="AK818" s="289">
        <f t="shared" si="64"/>
        <v>29.048939345967707</v>
      </c>
    </row>
    <row r="819" spans="1:37">
      <c r="A819" s="703" t="s">
        <v>1910</v>
      </c>
      <c r="B819" s="703" t="s">
        <v>1606</v>
      </c>
      <c r="C819" s="703" t="s">
        <v>332</v>
      </c>
      <c r="D819" s="703" t="s">
        <v>334</v>
      </c>
      <c r="E819" s="703" t="s">
        <v>334</v>
      </c>
      <c r="F819" s="703" t="s">
        <v>335</v>
      </c>
      <c r="G819" s="703" t="s">
        <v>1911</v>
      </c>
      <c r="H819" s="703" t="s">
        <v>334</v>
      </c>
      <c r="I819" s="703" t="s">
        <v>334</v>
      </c>
      <c r="J819" s="703" t="s">
        <v>337</v>
      </c>
      <c r="K819" s="704">
        <v>0</v>
      </c>
      <c r="L819" s="703" t="s">
        <v>334</v>
      </c>
      <c r="M819" s="702">
        <v>39478</v>
      </c>
      <c r="N819" s="702">
        <v>43514</v>
      </c>
      <c r="O819" s="703" t="s">
        <v>338</v>
      </c>
      <c r="P819" s="20">
        <v>160944.16</v>
      </c>
      <c r="Q819" s="20">
        <v>0</v>
      </c>
      <c r="R819" s="20">
        <v>0</v>
      </c>
      <c r="S819" s="20">
        <v>0</v>
      </c>
      <c r="T819" s="20">
        <v>160944.16</v>
      </c>
      <c r="U819" s="20">
        <v>145743.87</v>
      </c>
      <c r="V819" s="20">
        <v>-15200.29</v>
      </c>
      <c r="W819" s="20">
        <v>-20565.099999999999</v>
      </c>
      <c r="X819" s="20">
        <v>-5364.81</v>
      </c>
      <c r="Y819" s="20">
        <v>0</v>
      </c>
      <c r="Z819" s="20">
        <v>0</v>
      </c>
      <c r="AA819" s="20">
        <v>0</v>
      </c>
      <c r="AB819" s="20">
        <v>140379.06</v>
      </c>
      <c r="AC819" t="s">
        <v>183</v>
      </c>
      <c r="AD819" t="s">
        <v>290</v>
      </c>
      <c r="AE819" s="702">
        <f t="shared" si="60"/>
        <v>43617</v>
      </c>
      <c r="AF819" s="289">
        <v>250460.20403184221</v>
      </c>
      <c r="AG819">
        <f t="shared" si="61"/>
        <v>360</v>
      </c>
      <c r="AH819" s="289">
        <f t="shared" si="62"/>
        <v>695.72278897733952</v>
      </c>
      <c r="AJ819" s="289">
        <f t="shared" si="63"/>
        <v>42</v>
      </c>
      <c r="AK819" s="289">
        <f t="shared" si="64"/>
        <v>29220.35713704826</v>
      </c>
    </row>
    <row r="820" spans="1:37">
      <c r="A820" s="703" t="s">
        <v>1912</v>
      </c>
      <c r="B820" s="703" t="s">
        <v>1606</v>
      </c>
      <c r="C820" s="703" t="s">
        <v>332</v>
      </c>
      <c r="D820" s="703" t="s">
        <v>334</v>
      </c>
      <c r="E820" s="703" t="s">
        <v>334</v>
      </c>
      <c r="F820" s="703" t="s">
        <v>335</v>
      </c>
      <c r="G820" s="703" t="s">
        <v>1913</v>
      </c>
      <c r="H820" s="703" t="s">
        <v>334</v>
      </c>
      <c r="I820" s="703" t="s">
        <v>334</v>
      </c>
      <c r="J820" s="703" t="s">
        <v>337</v>
      </c>
      <c r="K820" s="704">
        <v>0</v>
      </c>
      <c r="L820" s="703" t="s">
        <v>334</v>
      </c>
      <c r="M820" s="702">
        <v>39478</v>
      </c>
      <c r="N820" s="702">
        <v>43514</v>
      </c>
      <c r="O820" s="703" t="s">
        <v>338</v>
      </c>
      <c r="P820" s="20">
        <v>2765.09</v>
      </c>
      <c r="Q820" s="20">
        <v>0</v>
      </c>
      <c r="R820" s="20">
        <v>0</v>
      </c>
      <c r="S820" s="20">
        <v>0</v>
      </c>
      <c r="T820" s="20">
        <v>2765.09</v>
      </c>
      <c r="U820" s="20">
        <v>2503.94</v>
      </c>
      <c r="V820" s="20">
        <v>-261.14999999999998</v>
      </c>
      <c r="W820" s="20">
        <v>-353.32</v>
      </c>
      <c r="X820" s="20">
        <v>-92.17</v>
      </c>
      <c r="Y820" s="20">
        <v>0</v>
      </c>
      <c r="Z820" s="20">
        <v>0</v>
      </c>
      <c r="AA820" s="20">
        <v>0</v>
      </c>
      <c r="AB820" s="20">
        <v>2411.77</v>
      </c>
      <c r="AC820" t="s">
        <v>183</v>
      </c>
      <c r="AD820" t="s">
        <v>290</v>
      </c>
      <c r="AE820" s="702">
        <f t="shared" si="60"/>
        <v>43617</v>
      </c>
      <c r="AF820" s="289">
        <v>4303.0141980075987</v>
      </c>
      <c r="AG820">
        <f t="shared" si="61"/>
        <v>360</v>
      </c>
      <c r="AH820" s="289">
        <f t="shared" si="62"/>
        <v>11.952817216687775</v>
      </c>
      <c r="AJ820" s="289">
        <f t="shared" si="63"/>
        <v>42</v>
      </c>
      <c r="AK820" s="289">
        <f t="shared" si="64"/>
        <v>502.01832310088656</v>
      </c>
    </row>
    <row r="821" spans="1:37">
      <c r="A821" s="703" t="s">
        <v>1914</v>
      </c>
      <c r="B821" s="703" t="s">
        <v>1606</v>
      </c>
      <c r="C821" s="703" t="s">
        <v>332</v>
      </c>
      <c r="D821" s="703" t="s">
        <v>334</v>
      </c>
      <c r="E821" s="703" t="s">
        <v>334</v>
      </c>
      <c r="F821" s="703" t="s">
        <v>335</v>
      </c>
      <c r="G821" s="703" t="s">
        <v>1915</v>
      </c>
      <c r="H821" s="703" t="s">
        <v>334</v>
      </c>
      <c r="I821" s="703" t="s">
        <v>334</v>
      </c>
      <c r="J821" s="703" t="s">
        <v>337</v>
      </c>
      <c r="K821" s="704">
        <v>0</v>
      </c>
      <c r="L821" s="703" t="s">
        <v>334</v>
      </c>
      <c r="M821" s="702">
        <v>39478</v>
      </c>
      <c r="N821" s="702">
        <v>43514</v>
      </c>
      <c r="O821" s="703" t="s">
        <v>338</v>
      </c>
      <c r="P821" s="20">
        <v>9113.86</v>
      </c>
      <c r="Q821" s="20">
        <v>0</v>
      </c>
      <c r="R821" s="20">
        <v>0</v>
      </c>
      <c r="S821" s="20">
        <v>0</v>
      </c>
      <c r="T821" s="20">
        <v>9113.86</v>
      </c>
      <c r="U821" s="20">
        <v>8253.1</v>
      </c>
      <c r="V821" s="20">
        <v>-860.76</v>
      </c>
      <c r="W821" s="20">
        <v>-1164.56</v>
      </c>
      <c r="X821" s="20">
        <v>-303.8</v>
      </c>
      <c r="Y821" s="20">
        <v>0</v>
      </c>
      <c r="Z821" s="20">
        <v>0</v>
      </c>
      <c r="AA821" s="20">
        <v>0</v>
      </c>
      <c r="AB821" s="20">
        <v>7949.3</v>
      </c>
      <c r="AC821" t="s">
        <v>183</v>
      </c>
      <c r="AD821" t="s">
        <v>290</v>
      </c>
      <c r="AE821" s="702">
        <f t="shared" si="60"/>
        <v>43617</v>
      </c>
      <c r="AF821" s="289">
        <v>14182.926768623636</v>
      </c>
      <c r="AG821">
        <f t="shared" si="61"/>
        <v>360</v>
      </c>
      <c r="AH821" s="289">
        <f t="shared" si="62"/>
        <v>39.397018801732322</v>
      </c>
      <c r="AJ821" s="289">
        <f t="shared" si="63"/>
        <v>42</v>
      </c>
      <c r="AK821" s="289">
        <f t="shared" si="64"/>
        <v>1654.6747896727575</v>
      </c>
    </row>
    <row r="822" spans="1:37">
      <c r="A822" s="703" t="s">
        <v>1916</v>
      </c>
      <c r="B822" s="703" t="s">
        <v>1606</v>
      </c>
      <c r="C822" s="703" t="s">
        <v>332</v>
      </c>
      <c r="D822" s="703" t="s">
        <v>334</v>
      </c>
      <c r="E822" s="703" t="s">
        <v>334</v>
      </c>
      <c r="F822" s="703" t="s">
        <v>335</v>
      </c>
      <c r="G822" s="703" t="s">
        <v>1917</v>
      </c>
      <c r="H822" s="703" t="s">
        <v>334</v>
      </c>
      <c r="I822" s="703" t="s">
        <v>334</v>
      </c>
      <c r="J822" s="703" t="s">
        <v>337</v>
      </c>
      <c r="K822" s="704">
        <v>0</v>
      </c>
      <c r="L822" s="703" t="s">
        <v>334</v>
      </c>
      <c r="M822" s="702">
        <v>39478</v>
      </c>
      <c r="N822" s="702">
        <v>43514</v>
      </c>
      <c r="O822" s="703" t="s">
        <v>338</v>
      </c>
      <c r="P822" s="20">
        <v>1460.78</v>
      </c>
      <c r="Q822" s="20">
        <v>0</v>
      </c>
      <c r="R822" s="20">
        <v>0</v>
      </c>
      <c r="S822" s="20">
        <v>0</v>
      </c>
      <c r="T822" s="20">
        <v>1460.78</v>
      </c>
      <c r="U822" s="20">
        <v>1322.82</v>
      </c>
      <c r="V822" s="20">
        <v>-137.96</v>
      </c>
      <c r="W822" s="20">
        <v>-186.65</v>
      </c>
      <c r="X822" s="20">
        <v>-48.69</v>
      </c>
      <c r="Y822" s="20">
        <v>0</v>
      </c>
      <c r="Z822" s="20">
        <v>0</v>
      </c>
      <c r="AA822" s="20">
        <v>0</v>
      </c>
      <c r="AB822" s="20">
        <v>1274.1300000000001</v>
      </c>
      <c r="AC822" t="s">
        <v>183</v>
      </c>
      <c r="AD822" t="s">
        <v>290</v>
      </c>
      <c r="AE822" s="702">
        <f t="shared" si="60"/>
        <v>43617</v>
      </c>
      <c r="AF822" s="289">
        <v>2273.2558723822876</v>
      </c>
      <c r="AG822">
        <f t="shared" si="61"/>
        <v>360</v>
      </c>
      <c r="AH822" s="289">
        <f t="shared" si="62"/>
        <v>6.3145996455063544</v>
      </c>
      <c r="AJ822" s="289">
        <f t="shared" si="63"/>
        <v>42</v>
      </c>
      <c r="AK822" s="289">
        <f t="shared" si="64"/>
        <v>265.21318511126691</v>
      </c>
    </row>
    <row r="823" spans="1:37">
      <c r="A823" s="703" t="s">
        <v>1918</v>
      </c>
      <c r="B823" s="703" t="s">
        <v>1606</v>
      </c>
      <c r="C823" s="703" t="s">
        <v>332</v>
      </c>
      <c r="D823" s="703" t="s">
        <v>334</v>
      </c>
      <c r="E823" s="703" t="s">
        <v>334</v>
      </c>
      <c r="F823" s="703" t="s">
        <v>335</v>
      </c>
      <c r="G823" s="703" t="s">
        <v>1919</v>
      </c>
      <c r="H823" s="703" t="s">
        <v>334</v>
      </c>
      <c r="I823" s="703" t="s">
        <v>334</v>
      </c>
      <c r="J823" s="703" t="s">
        <v>337</v>
      </c>
      <c r="K823" s="704">
        <v>0</v>
      </c>
      <c r="L823" s="703" t="s">
        <v>334</v>
      </c>
      <c r="M823" s="702">
        <v>39478</v>
      </c>
      <c r="N823" s="702">
        <v>43514</v>
      </c>
      <c r="O823" s="703" t="s">
        <v>338</v>
      </c>
      <c r="P823" s="20">
        <v>30710.33</v>
      </c>
      <c r="Q823" s="20">
        <v>0</v>
      </c>
      <c r="R823" s="20">
        <v>0</v>
      </c>
      <c r="S823" s="20">
        <v>0</v>
      </c>
      <c r="T823" s="20">
        <v>30710.33</v>
      </c>
      <c r="U823" s="20">
        <v>27809.91</v>
      </c>
      <c r="V823" s="20">
        <v>-2900.42</v>
      </c>
      <c r="W823" s="20">
        <v>-3924.1</v>
      </c>
      <c r="X823" s="20">
        <v>-1023.68</v>
      </c>
      <c r="Y823" s="20">
        <v>0</v>
      </c>
      <c r="Z823" s="20">
        <v>0</v>
      </c>
      <c r="AA823" s="20">
        <v>0</v>
      </c>
      <c r="AB823" s="20">
        <v>26786.23</v>
      </c>
      <c r="AC823" t="s">
        <v>183</v>
      </c>
      <c r="AD823" t="s">
        <v>290</v>
      </c>
      <c r="AE823" s="702">
        <f t="shared" si="60"/>
        <v>43617</v>
      </c>
      <c r="AF823" s="289">
        <v>47791.206078463525</v>
      </c>
      <c r="AG823">
        <f t="shared" si="61"/>
        <v>360</v>
      </c>
      <c r="AH823" s="289">
        <f t="shared" si="62"/>
        <v>132.75335021795425</v>
      </c>
      <c r="AJ823" s="289">
        <f t="shared" si="63"/>
        <v>42</v>
      </c>
      <c r="AK823" s="289">
        <f t="shared" si="64"/>
        <v>5575.6407091540786</v>
      </c>
    </row>
    <row r="824" spans="1:37">
      <c r="A824" s="703" t="s">
        <v>1920</v>
      </c>
      <c r="B824" s="703" t="s">
        <v>1606</v>
      </c>
      <c r="C824" s="703" t="s">
        <v>332</v>
      </c>
      <c r="D824" s="703" t="s">
        <v>334</v>
      </c>
      <c r="E824" s="703" t="s">
        <v>334</v>
      </c>
      <c r="F824" s="703" t="s">
        <v>335</v>
      </c>
      <c r="G824" s="703" t="s">
        <v>1921</v>
      </c>
      <c r="H824" s="703" t="s">
        <v>334</v>
      </c>
      <c r="I824" s="703" t="s">
        <v>334</v>
      </c>
      <c r="J824" s="703" t="s">
        <v>337</v>
      </c>
      <c r="K824" s="704">
        <v>0</v>
      </c>
      <c r="L824" s="703" t="s">
        <v>334</v>
      </c>
      <c r="M824" s="702">
        <v>39478</v>
      </c>
      <c r="N824" s="702">
        <v>43514</v>
      </c>
      <c r="O824" s="703" t="s">
        <v>338</v>
      </c>
      <c r="P824" s="20">
        <v>58299.199999999997</v>
      </c>
      <c r="Q824" s="20">
        <v>0</v>
      </c>
      <c r="R824" s="20">
        <v>0</v>
      </c>
      <c r="S824" s="20">
        <v>0</v>
      </c>
      <c r="T824" s="20">
        <v>58299.199999999997</v>
      </c>
      <c r="U824" s="20">
        <v>52793.16</v>
      </c>
      <c r="V824" s="20">
        <v>-5506.04</v>
      </c>
      <c r="W824" s="20">
        <v>-7449.35</v>
      </c>
      <c r="X824" s="20">
        <v>-1943.31</v>
      </c>
      <c r="Y824" s="20">
        <v>0</v>
      </c>
      <c r="Z824" s="20">
        <v>0</v>
      </c>
      <c r="AA824" s="20">
        <v>0</v>
      </c>
      <c r="AB824" s="20">
        <v>50849.85</v>
      </c>
      <c r="AC824" t="s">
        <v>183</v>
      </c>
      <c r="AD824" t="s">
        <v>290</v>
      </c>
      <c r="AE824" s="702">
        <f t="shared" si="60"/>
        <v>43617</v>
      </c>
      <c r="AF824" s="289">
        <v>90724.817395630729</v>
      </c>
      <c r="AG824">
        <f t="shared" si="61"/>
        <v>360</v>
      </c>
      <c r="AH824" s="289">
        <f t="shared" si="62"/>
        <v>252.01338165452981</v>
      </c>
      <c r="AJ824" s="289">
        <f t="shared" si="63"/>
        <v>42</v>
      </c>
      <c r="AK824" s="289">
        <f t="shared" si="64"/>
        <v>10584.562029490253</v>
      </c>
    </row>
    <row r="825" spans="1:37">
      <c r="A825" s="703" t="s">
        <v>1922</v>
      </c>
      <c r="B825" s="703" t="s">
        <v>1606</v>
      </c>
      <c r="C825" s="703" t="s">
        <v>332</v>
      </c>
      <c r="D825" s="703" t="s">
        <v>334</v>
      </c>
      <c r="E825" s="703" t="s">
        <v>334</v>
      </c>
      <c r="F825" s="703" t="s">
        <v>335</v>
      </c>
      <c r="G825" s="703" t="s">
        <v>1923</v>
      </c>
      <c r="H825" s="703" t="s">
        <v>334</v>
      </c>
      <c r="I825" s="703" t="s">
        <v>334</v>
      </c>
      <c r="J825" s="703" t="s">
        <v>337</v>
      </c>
      <c r="K825" s="704">
        <v>0</v>
      </c>
      <c r="L825" s="703" t="s">
        <v>334</v>
      </c>
      <c r="M825" s="702">
        <v>39478</v>
      </c>
      <c r="N825" s="702">
        <v>43514</v>
      </c>
      <c r="O825" s="703" t="s">
        <v>338</v>
      </c>
      <c r="P825" s="20">
        <v>51.6</v>
      </c>
      <c r="Q825" s="20">
        <v>0</v>
      </c>
      <c r="R825" s="20">
        <v>0</v>
      </c>
      <c r="S825" s="20">
        <v>0</v>
      </c>
      <c r="T825" s="20">
        <v>51.6</v>
      </c>
      <c r="U825" s="20">
        <v>46.73</v>
      </c>
      <c r="V825" s="20">
        <v>-4.87</v>
      </c>
      <c r="W825" s="20">
        <v>-6.59</v>
      </c>
      <c r="X825" s="20">
        <v>-1.72</v>
      </c>
      <c r="Y825" s="20">
        <v>0</v>
      </c>
      <c r="Z825" s="20">
        <v>0</v>
      </c>
      <c r="AA825" s="20">
        <v>0</v>
      </c>
      <c r="AB825" s="20">
        <v>45.01</v>
      </c>
      <c r="AC825" t="s">
        <v>183</v>
      </c>
      <c r="AD825" t="s">
        <v>290</v>
      </c>
      <c r="AE825" s="702">
        <f t="shared" si="60"/>
        <v>43617</v>
      </c>
      <c r="AF825" s="289">
        <v>80.299568049210734</v>
      </c>
      <c r="AG825">
        <f t="shared" si="61"/>
        <v>360</v>
      </c>
      <c r="AH825" s="289">
        <f t="shared" si="62"/>
        <v>0.22305435569225204</v>
      </c>
      <c r="AJ825" s="289">
        <f t="shared" si="63"/>
        <v>42</v>
      </c>
      <c r="AK825" s="289">
        <f t="shared" si="64"/>
        <v>9.3682829390745859</v>
      </c>
    </row>
    <row r="826" spans="1:37">
      <c r="A826" s="703" t="s">
        <v>1924</v>
      </c>
      <c r="B826" s="703" t="s">
        <v>1606</v>
      </c>
      <c r="C826" s="703" t="s">
        <v>332</v>
      </c>
      <c r="D826" s="703" t="s">
        <v>334</v>
      </c>
      <c r="E826" s="703" t="s">
        <v>334</v>
      </c>
      <c r="F826" s="703" t="s">
        <v>335</v>
      </c>
      <c r="G826" s="703" t="s">
        <v>1925</v>
      </c>
      <c r="H826" s="703" t="s">
        <v>334</v>
      </c>
      <c r="I826" s="703" t="s">
        <v>334</v>
      </c>
      <c r="J826" s="703" t="s">
        <v>337</v>
      </c>
      <c r="K826" s="704">
        <v>0</v>
      </c>
      <c r="L826" s="703" t="s">
        <v>334</v>
      </c>
      <c r="M826" s="702">
        <v>39478</v>
      </c>
      <c r="N826" s="702">
        <v>43514</v>
      </c>
      <c r="O826" s="703" t="s">
        <v>338</v>
      </c>
      <c r="P826" s="20">
        <v>63041.06</v>
      </c>
      <c r="Q826" s="20">
        <v>0</v>
      </c>
      <c r="R826" s="20">
        <v>0</v>
      </c>
      <c r="S826" s="20">
        <v>0</v>
      </c>
      <c r="T826" s="20">
        <v>63041.06</v>
      </c>
      <c r="U826" s="20">
        <v>57087.18</v>
      </c>
      <c r="V826" s="20">
        <v>-5953.88</v>
      </c>
      <c r="W826" s="20">
        <v>-8055.25</v>
      </c>
      <c r="X826" s="20">
        <v>-2101.37</v>
      </c>
      <c r="Y826" s="20">
        <v>0</v>
      </c>
      <c r="Z826" s="20">
        <v>0</v>
      </c>
      <c r="AA826" s="20">
        <v>0</v>
      </c>
      <c r="AB826" s="20">
        <v>54985.81</v>
      </c>
      <c r="AC826" t="s">
        <v>183</v>
      </c>
      <c r="AD826" t="s">
        <v>290</v>
      </c>
      <c r="AE826" s="702">
        <f t="shared" si="60"/>
        <v>43617</v>
      </c>
      <c r="AF826" s="289">
        <v>98104.067584580931</v>
      </c>
      <c r="AG826">
        <f t="shared" si="61"/>
        <v>360</v>
      </c>
      <c r="AH826" s="289">
        <f t="shared" si="62"/>
        <v>272.51129884605814</v>
      </c>
      <c r="AJ826" s="289">
        <f t="shared" si="63"/>
        <v>42</v>
      </c>
      <c r="AK826" s="289">
        <f t="shared" si="64"/>
        <v>11445.474551534442</v>
      </c>
    </row>
    <row r="827" spans="1:37">
      <c r="A827" s="703" t="s">
        <v>1926</v>
      </c>
      <c r="B827" s="703" t="s">
        <v>1606</v>
      </c>
      <c r="C827" s="703" t="s">
        <v>332</v>
      </c>
      <c r="D827" s="703" t="s">
        <v>334</v>
      </c>
      <c r="E827" s="703" t="s">
        <v>334</v>
      </c>
      <c r="F827" s="703" t="s">
        <v>335</v>
      </c>
      <c r="G827" s="703" t="s">
        <v>1927</v>
      </c>
      <c r="H827" s="703" t="s">
        <v>334</v>
      </c>
      <c r="I827" s="703" t="s">
        <v>334</v>
      </c>
      <c r="J827" s="703" t="s">
        <v>337</v>
      </c>
      <c r="K827" s="704">
        <v>0</v>
      </c>
      <c r="L827" s="703" t="s">
        <v>334</v>
      </c>
      <c r="M827" s="702">
        <v>39478</v>
      </c>
      <c r="N827" s="702">
        <v>43514</v>
      </c>
      <c r="O827" s="703" t="s">
        <v>338</v>
      </c>
      <c r="P827" s="20">
        <v>338</v>
      </c>
      <c r="Q827" s="20">
        <v>0</v>
      </c>
      <c r="R827" s="20">
        <v>0</v>
      </c>
      <c r="S827" s="20">
        <v>0</v>
      </c>
      <c r="T827" s="20">
        <v>338</v>
      </c>
      <c r="U827" s="20">
        <v>306.07</v>
      </c>
      <c r="V827" s="20">
        <v>-31.93</v>
      </c>
      <c r="W827" s="20">
        <v>-43.2</v>
      </c>
      <c r="X827" s="20">
        <v>-11.27</v>
      </c>
      <c r="Y827" s="20">
        <v>0</v>
      </c>
      <c r="Z827" s="20">
        <v>0</v>
      </c>
      <c r="AA827" s="20">
        <v>0</v>
      </c>
      <c r="AB827" s="20">
        <v>294.8</v>
      </c>
      <c r="AC827" t="s">
        <v>183</v>
      </c>
      <c r="AD827" t="s">
        <v>290</v>
      </c>
      <c r="AE827" s="702">
        <f t="shared" si="60"/>
        <v>43617</v>
      </c>
      <c r="AF827" s="289">
        <v>525.99329458591524</v>
      </c>
      <c r="AG827">
        <f t="shared" si="61"/>
        <v>360</v>
      </c>
      <c r="AH827" s="289">
        <f t="shared" si="62"/>
        <v>1.4610924849608757</v>
      </c>
      <c r="AJ827" s="289">
        <f t="shared" si="63"/>
        <v>42</v>
      </c>
      <c r="AK827" s="289">
        <f t="shared" si="64"/>
        <v>61.365884368356781</v>
      </c>
    </row>
    <row r="828" spans="1:37">
      <c r="A828" s="703" t="s">
        <v>1928</v>
      </c>
      <c r="B828" s="703" t="s">
        <v>1606</v>
      </c>
      <c r="C828" s="703" t="s">
        <v>332</v>
      </c>
      <c r="D828" s="703" t="s">
        <v>334</v>
      </c>
      <c r="E828" s="703" t="s">
        <v>334</v>
      </c>
      <c r="F828" s="703" t="s">
        <v>335</v>
      </c>
      <c r="G828" s="703" t="s">
        <v>1929</v>
      </c>
      <c r="H828" s="703" t="s">
        <v>334</v>
      </c>
      <c r="I828" s="703" t="s">
        <v>334</v>
      </c>
      <c r="J828" s="703" t="s">
        <v>337</v>
      </c>
      <c r="K828" s="704">
        <v>0</v>
      </c>
      <c r="L828" s="703" t="s">
        <v>334</v>
      </c>
      <c r="M828" s="702">
        <v>39478</v>
      </c>
      <c r="N828" s="702">
        <v>43514</v>
      </c>
      <c r="O828" s="703" t="s">
        <v>338</v>
      </c>
      <c r="P828" s="20">
        <v>831.33</v>
      </c>
      <c r="Q828" s="20">
        <v>0</v>
      </c>
      <c r="R828" s="20">
        <v>0</v>
      </c>
      <c r="S828" s="20">
        <v>0</v>
      </c>
      <c r="T828" s="20">
        <v>831.33</v>
      </c>
      <c r="U828" s="20">
        <v>752.82</v>
      </c>
      <c r="V828" s="20">
        <v>-78.510000000000005</v>
      </c>
      <c r="W828" s="20">
        <v>-106.22</v>
      </c>
      <c r="X828" s="20">
        <v>-27.71</v>
      </c>
      <c r="Y828" s="20">
        <v>0</v>
      </c>
      <c r="Z828" s="20">
        <v>0</v>
      </c>
      <c r="AA828" s="20">
        <v>0</v>
      </c>
      <c r="AB828" s="20">
        <v>725.11</v>
      </c>
      <c r="AC828" t="s">
        <v>183</v>
      </c>
      <c r="AD828" t="s">
        <v>290</v>
      </c>
      <c r="AE828" s="702">
        <f t="shared" si="60"/>
        <v>43617</v>
      </c>
      <c r="AF828" s="289">
        <v>1293.7100757044643</v>
      </c>
      <c r="AG828">
        <f t="shared" si="61"/>
        <v>360</v>
      </c>
      <c r="AH828" s="289">
        <f t="shared" si="62"/>
        <v>3.5936390991790677</v>
      </c>
      <c r="AJ828" s="289">
        <f t="shared" si="63"/>
        <v>42</v>
      </c>
      <c r="AK828" s="289">
        <f t="shared" si="64"/>
        <v>150.93284216552084</v>
      </c>
    </row>
    <row r="829" spans="1:37">
      <c r="A829" s="703" t="s">
        <v>1930</v>
      </c>
      <c r="B829" s="703" t="s">
        <v>1606</v>
      </c>
      <c r="C829" s="703" t="s">
        <v>332</v>
      </c>
      <c r="D829" s="703" t="s">
        <v>334</v>
      </c>
      <c r="E829" s="703" t="s">
        <v>334</v>
      </c>
      <c r="F829" s="703" t="s">
        <v>335</v>
      </c>
      <c r="G829" s="703" t="s">
        <v>1931</v>
      </c>
      <c r="H829" s="703" t="s">
        <v>334</v>
      </c>
      <c r="I829" s="703" t="s">
        <v>334</v>
      </c>
      <c r="J829" s="703" t="s">
        <v>337</v>
      </c>
      <c r="K829" s="704">
        <v>0</v>
      </c>
      <c r="L829" s="703" t="s">
        <v>334</v>
      </c>
      <c r="M829" s="702">
        <v>39478</v>
      </c>
      <c r="N829" s="702">
        <v>43514</v>
      </c>
      <c r="O829" s="703" t="s">
        <v>338</v>
      </c>
      <c r="P829" s="20">
        <v>346211.72</v>
      </c>
      <c r="Q829" s="20">
        <v>0</v>
      </c>
      <c r="R829" s="20">
        <v>0</v>
      </c>
      <c r="S829" s="20">
        <v>0</v>
      </c>
      <c r="T829" s="20">
        <v>346211.72</v>
      </c>
      <c r="U829" s="20">
        <v>313513.95</v>
      </c>
      <c r="V829" s="20">
        <v>-32697.77</v>
      </c>
      <c r="W829" s="20">
        <v>-44238.16</v>
      </c>
      <c r="X829" s="20">
        <v>-11540.39</v>
      </c>
      <c r="Y829" s="20">
        <v>0</v>
      </c>
      <c r="Z829" s="20">
        <v>0</v>
      </c>
      <c r="AA829" s="20">
        <v>0</v>
      </c>
      <c r="AB829" s="20">
        <v>301973.56</v>
      </c>
      <c r="AC829" t="s">
        <v>183</v>
      </c>
      <c r="AD829" t="s">
        <v>290</v>
      </c>
      <c r="AE829" s="702">
        <f t="shared" si="60"/>
        <v>43617</v>
      </c>
      <c r="AF829" s="289">
        <v>538772.31723981176</v>
      </c>
      <c r="AG829">
        <f t="shared" si="61"/>
        <v>360</v>
      </c>
      <c r="AH829" s="289">
        <f t="shared" si="62"/>
        <v>1496.5897701105882</v>
      </c>
      <c r="AJ829" s="289">
        <f t="shared" si="63"/>
        <v>42</v>
      </c>
      <c r="AK829" s="289">
        <f t="shared" si="64"/>
        <v>62856.770344644705</v>
      </c>
    </row>
    <row r="830" spans="1:37">
      <c r="A830" s="703" t="s">
        <v>1932</v>
      </c>
      <c r="B830" s="703" t="s">
        <v>1606</v>
      </c>
      <c r="C830" s="703" t="s">
        <v>332</v>
      </c>
      <c r="D830" s="703" t="s">
        <v>334</v>
      </c>
      <c r="E830" s="703" t="s">
        <v>334</v>
      </c>
      <c r="F830" s="703" t="s">
        <v>335</v>
      </c>
      <c r="G830" s="703" t="s">
        <v>1933</v>
      </c>
      <c r="H830" s="703" t="s">
        <v>334</v>
      </c>
      <c r="I830" s="703" t="s">
        <v>334</v>
      </c>
      <c r="J830" s="703" t="s">
        <v>337</v>
      </c>
      <c r="K830" s="704">
        <v>0</v>
      </c>
      <c r="L830" s="703" t="s">
        <v>334</v>
      </c>
      <c r="M830" s="702">
        <v>39478</v>
      </c>
      <c r="N830" s="702">
        <v>43514</v>
      </c>
      <c r="O830" s="703" t="s">
        <v>338</v>
      </c>
      <c r="P830" s="20">
        <v>18083.07</v>
      </c>
      <c r="Q830" s="20">
        <v>0</v>
      </c>
      <c r="R830" s="20">
        <v>0</v>
      </c>
      <c r="S830" s="20">
        <v>0</v>
      </c>
      <c r="T830" s="20">
        <v>18083.07</v>
      </c>
      <c r="U830" s="20">
        <v>16375.22</v>
      </c>
      <c r="V830" s="20">
        <v>-1707.85</v>
      </c>
      <c r="W830" s="20">
        <v>-2310.62</v>
      </c>
      <c r="X830" s="20">
        <v>-602.77</v>
      </c>
      <c r="Y830" s="20">
        <v>0</v>
      </c>
      <c r="Z830" s="20">
        <v>0</v>
      </c>
      <c r="AA830" s="20">
        <v>0</v>
      </c>
      <c r="AB830" s="20">
        <v>15772.45</v>
      </c>
      <c r="AC830" t="s">
        <v>183</v>
      </c>
      <c r="AD830" t="s">
        <v>290</v>
      </c>
      <c r="AE830" s="702">
        <f t="shared" si="60"/>
        <v>43617</v>
      </c>
      <c r="AF830" s="289">
        <v>28140.750193869011</v>
      </c>
      <c r="AG830">
        <f t="shared" si="61"/>
        <v>360</v>
      </c>
      <c r="AH830" s="289">
        <f t="shared" si="62"/>
        <v>78.168750538525032</v>
      </c>
      <c r="AJ830" s="289">
        <f t="shared" si="63"/>
        <v>42</v>
      </c>
      <c r="AK830" s="289">
        <f t="shared" si="64"/>
        <v>3283.0875226180515</v>
      </c>
    </row>
    <row r="831" spans="1:37">
      <c r="A831" s="703" t="s">
        <v>1934</v>
      </c>
      <c r="B831" s="703" t="s">
        <v>1606</v>
      </c>
      <c r="C831" s="703" t="s">
        <v>332</v>
      </c>
      <c r="D831" s="703" t="s">
        <v>334</v>
      </c>
      <c r="E831" s="703" t="s">
        <v>334</v>
      </c>
      <c r="F831" s="703" t="s">
        <v>335</v>
      </c>
      <c r="G831" s="703" t="s">
        <v>1935</v>
      </c>
      <c r="H831" s="703" t="s">
        <v>334</v>
      </c>
      <c r="I831" s="703" t="s">
        <v>334</v>
      </c>
      <c r="J831" s="703" t="s">
        <v>337</v>
      </c>
      <c r="K831" s="704">
        <v>0</v>
      </c>
      <c r="L831" s="703" t="s">
        <v>334</v>
      </c>
      <c r="M831" s="702">
        <v>39478</v>
      </c>
      <c r="N831" s="702">
        <v>43514</v>
      </c>
      <c r="O831" s="703" t="s">
        <v>338</v>
      </c>
      <c r="P831" s="20">
        <v>251.84</v>
      </c>
      <c r="Q831" s="20">
        <v>0</v>
      </c>
      <c r="R831" s="20">
        <v>0</v>
      </c>
      <c r="S831" s="20">
        <v>0</v>
      </c>
      <c r="T831" s="20">
        <v>251.84</v>
      </c>
      <c r="U831" s="20">
        <v>228.06</v>
      </c>
      <c r="V831" s="20">
        <v>-23.78</v>
      </c>
      <c r="W831" s="20">
        <v>-32.17</v>
      </c>
      <c r="X831" s="20">
        <v>-8.39</v>
      </c>
      <c r="Y831" s="20">
        <v>0</v>
      </c>
      <c r="Z831" s="20">
        <v>0</v>
      </c>
      <c r="AA831" s="20">
        <v>0</v>
      </c>
      <c r="AB831" s="20">
        <v>219.67</v>
      </c>
      <c r="AC831" t="s">
        <v>183</v>
      </c>
      <c r="AD831" t="s">
        <v>290</v>
      </c>
      <c r="AE831" s="702">
        <f t="shared" si="60"/>
        <v>43617</v>
      </c>
      <c r="AF831" s="289">
        <v>391.91169026188425</v>
      </c>
      <c r="AG831">
        <f t="shared" si="61"/>
        <v>360</v>
      </c>
      <c r="AH831" s="289">
        <f t="shared" si="62"/>
        <v>1.0886435840607895</v>
      </c>
      <c r="AJ831" s="289">
        <f t="shared" si="63"/>
        <v>42</v>
      </c>
      <c r="AK831" s="289">
        <f t="shared" si="64"/>
        <v>45.72303053055316</v>
      </c>
    </row>
    <row r="832" spans="1:37">
      <c r="A832" s="703" t="s">
        <v>1936</v>
      </c>
      <c r="B832" s="703" t="s">
        <v>1606</v>
      </c>
      <c r="C832" s="703" t="s">
        <v>332</v>
      </c>
      <c r="D832" s="703" t="s">
        <v>334</v>
      </c>
      <c r="E832" s="703" t="s">
        <v>334</v>
      </c>
      <c r="F832" s="703" t="s">
        <v>335</v>
      </c>
      <c r="G832" s="703" t="s">
        <v>1937</v>
      </c>
      <c r="H832" s="703" t="s">
        <v>334</v>
      </c>
      <c r="I832" s="703" t="s">
        <v>334</v>
      </c>
      <c r="J832" s="703" t="s">
        <v>337</v>
      </c>
      <c r="K832" s="704">
        <v>0</v>
      </c>
      <c r="L832" s="703" t="s">
        <v>334</v>
      </c>
      <c r="M832" s="702">
        <v>39478</v>
      </c>
      <c r="N832" s="702">
        <v>43514</v>
      </c>
      <c r="O832" s="703" t="s">
        <v>338</v>
      </c>
      <c r="P832" s="20">
        <v>163.82</v>
      </c>
      <c r="Q832" s="20">
        <v>0</v>
      </c>
      <c r="R832" s="20">
        <v>0</v>
      </c>
      <c r="S832" s="20">
        <v>0</v>
      </c>
      <c r="T832" s="20">
        <v>163.82</v>
      </c>
      <c r="U832" s="20">
        <v>148.35</v>
      </c>
      <c r="V832" s="20">
        <v>-15.47</v>
      </c>
      <c r="W832" s="20">
        <v>-20.93</v>
      </c>
      <c r="X832" s="20">
        <v>-5.46</v>
      </c>
      <c r="Y832" s="20">
        <v>0</v>
      </c>
      <c r="Z832" s="20">
        <v>0</v>
      </c>
      <c r="AA832" s="20">
        <v>0</v>
      </c>
      <c r="AB832" s="20">
        <v>142.88999999999999</v>
      </c>
      <c r="AC832" t="s">
        <v>183</v>
      </c>
      <c r="AD832" t="s">
        <v>290</v>
      </c>
      <c r="AE832" s="702">
        <f t="shared" si="60"/>
        <v>43617</v>
      </c>
      <c r="AF832" s="289">
        <v>254.93556662445155</v>
      </c>
      <c r="AG832">
        <f t="shared" si="61"/>
        <v>360</v>
      </c>
      <c r="AH832" s="289">
        <f t="shared" si="62"/>
        <v>0.70815435173458763</v>
      </c>
      <c r="AJ832" s="289">
        <f t="shared" si="63"/>
        <v>42</v>
      </c>
      <c r="AK832" s="289">
        <f t="shared" si="64"/>
        <v>29.742482772852682</v>
      </c>
    </row>
    <row r="833" spans="1:37">
      <c r="A833" s="703" t="s">
        <v>1938</v>
      </c>
      <c r="B833" s="703" t="s">
        <v>1606</v>
      </c>
      <c r="C833" s="703" t="s">
        <v>332</v>
      </c>
      <c r="D833" s="703" t="s">
        <v>334</v>
      </c>
      <c r="E833" s="703" t="s">
        <v>334</v>
      </c>
      <c r="F833" s="703" t="s">
        <v>335</v>
      </c>
      <c r="G833" s="703" t="s">
        <v>1939</v>
      </c>
      <c r="H833" s="703" t="s">
        <v>334</v>
      </c>
      <c r="I833" s="703" t="s">
        <v>334</v>
      </c>
      <c r="J833" s="703" t="s">
        <v>337</v>
      </c>
      <c r="K833" s="704">
        <v>0</v>
      </c>
      <c r="L833" s="703" t="s">
        <v>334</v>
      </c>
      <c r="M833" s="702">
        <v>39478</v>
      </c>
      <c r="N833" s="702">
        <v>43514</v>
      </c>
      <c r="O833" s="703" t="s">
        <v>338</v>
      </c>
      <c r="P833" s="20">
        <v>11142.75</v>
      </c>
      <c r="Q833" s="20">
        <v>0</v>
      </c>
      <c r="R833" s="20">
        <v>0</v>
      </c>
      <c r="S833" s="20">
        <v>0</v>
      </c>
      <c r="T833" s="20">
        <v>11142.75</v>
      </c>
      <c r="U833" s="20">
        <v>10090.370000000001</v>
      </c>
      <c r="V833" s="20">
        <v>-1052.3800000000001</v>
      </c>
      <c r="W833" s="20">
        <v>-1423.81</v>
      </c>
      <c r="X833" s="20">
        <v>-371.43</v>
      </c>
      <c r="Y833" s="20">
        <v>0</v>
      </c>
      <c r="Z833" s="20">
        <v>0</v>
      </c>
      <c r="AA833" s="20">
        <v>0</v>
      </c>
      <c r="AB833" s="20">
        <v>9718.94</v>
      </c>
      <c r="AC833" t="s">
        <v>183</v>
      </c>
      <c r="AD833" t="s">
        <v>290</v>
      </c>
      <c r="AE833" s="702">
        <f t="shared" si="60"/>
        <v>43617</v>
      </c>
      <c r="AF833" s="289">
        <v>17340.27154806866</v>
      </c>
      <c r="AG833">
        <f t="shared" si="61"/>
        <v>360</v>
      </c>
      <c r="AH833" s="289">
        <f t="shared" si="62"/>
        <v>48.167420966857392</v>
      </c>
      <c r="AJ833" s="289">
        <f t="shared" si="63"/>
        <v>42</v>
      </c>
      <c r="AK833" s="289">
        <f t="shared" si="64"/>
        <v>2023.0316806080104</v>
      </c>
    </row>
    <row r="834" spans="1:37">
      <c r="A834" s="703" t="s">
        <v>1940</v>
      </c>
      <c r="B834" s="703" t="s">
        <v>1606</v>
      </c>
      <c r="C834" s="703" t="s">
        <v>332</v>
      </c>
      <c r="D834" s="703" t="s">
        <v>334</v>
      </c>
      <c r="E834" s="703" t="s">
        <v>334</v>
      </c>
      <c r="F834" s="703" t="s">
        <v>335</v>
      </c>
      <c r="G834" s="703" t="s">
        <v>1941</v>
      </c>
      <c r="H834" s="703" t="s">
        <v>334</v>
      </c>
      <c r="I834" s="703" t="s">
        <v>334</v>
      </c>
      <c r="J834" s="703" t="s">
        <v>337</v>
      </c>
      <c r="K834" s="704">
        <v>0</v>
      </c>
      <c r="L834" s="703" t="s">
        <v>334</v>
      </c>
      <c r="M834" s="702">
        <v>39478</v>
      </c>
      <c r="N834" s="702">
        <v>43514</v>
      </c>
      <c r="O834" s="703" t="s">
        <v>338</v>
      </c>
      <c r="P834" s="20">
        <v>1724.45</v>
      </c>
      <c r="Q834" s="20">
        <v>0</v>
      </c>
      <c r="R834" s="20">
        <v>0</v>
      </c>
      <c r="S834" s="20">
        <v>0</v>
      </c>
      <c r="T834" s="20">
        <v>1724.45</v>
      </c>
      <c r="U834" s="20">
        <v>1561.59</v>
      </c>
      <c r="V834" s="20">
        <v>-162.86000000000001</v>
      </c>
      <c r="W834" s="20">
        <v>-220.34</v>
      </c>
      <c r="X834" s="20">
        <v>-57.48</v>
      </c>
      <c r="Y834" s="20">
        <v>0</v>
      </c>
      <c r="Z834" s="20">
        <v>0</v>
      </c>
      <c r="AA834" s="20">
        <v>0</v>
      </c>
      <c r="AB834" s="20">
        <v>1504.11</v>
      </c>
      <c r="AC834" t="s">
        <v>183</v>
      </c>
      <c r="AD834" t="s">
        <v>290</v>
      </c>
      <c r="AE834" s="702">
        <f t="shared" si="60"/>
        <v>43617</v>
      </c>
      <c r="AF834" s="289">
        <v>2683.5773279546793</v>
      </c>
      <c r="AG834">
        <f t="shared" si="61"/>
        <v>360</v>
      </c>
      <c r="AH834" s="289">
        <f t="shared" si="62"/>
        <v>7.4543814665407755</v>
      </c>
      <c r="AJ834" s="289">
        <f t="shared" si="63"/>
        <v>42</v>
      </c>
      <c r="AK834" s="289">
        <f t="shared" si="64"/>
        <v>313.08402159471257</v>
      </c>
    </row>
    <row r="835" spans="1:37">
      <c r="A835" s="703" t="s">
        <v>1942</v>
      </c>
      <c r="B835" s="703" t="s">
        <v>1606</v>
      </c>
      <c r="C835" s="703" t="s">
        <v>332</v>
      </c>
      <c r="D835" s="703" t="s">
        <v>334</v>
      </c>
      <c r="E835" s="703" t="s">
        <v>334</v>
      </c>
      <c r="F835" s="703" t="s">
        <v>335</v>
      </c>
      <c r="G835" s="703" t="s">
        <v>1943</v>
      </c>
      <c r="H835" s="703" t="s">
        <v>334</v>
      </c>
      <c r="I835" s="703" t="s">
        <v>334</v>
      </c>
      <c r="J835" s="703" t="s">
        <v>337</v>
      </c>
      <c r="K835" s="704">
        <v>0</v>
      </c>
      <c r="L835" s="703" t="s">
        <v>334</v>
      </c>
      <c r="M835" s="702">
        <v>39478</v>
      </c>
      <c r="N835" s="702">
        <v>43514</v>
      </c>
      <c r="O835" s="703" t="s">
        <v>338</v>
      </c>
      <c r="P835" s="20">
        <v>38664.03</v>
      </c>
      <c r="Q835" s="20">
        <v>0</v>
      </c>
      <c r="R835" s="20">
        <v>0</v>
      </c>
      <c r="S835" s="20">
        <v>0</v>
      </c>
      <c r="T835" s="20">
        <v>38664.03</v>
      </c>
      <c r="U835" s="20">
        <v>35012.43</v>
      </c>
      <c r="V835" s="20">
        <v>-3651.6</v>
      </c>
      <c r="W835" s="20">
        <v>-4940.3999999999996</v>
      </c>
      <c r="X835" s="20">
        <v>-1288.8</v>
      </c>
      <c r="Y835" s="20">
        <v>0</v>
      </c>
      <c r="Z835" s="20">
        <v>0</v>
      </c>
      <c r="AA835" s="20">
        <v>0</v>
      </c>
      <c r="AB835" s="20">
        <v>33723.629999999997</v>
      </c>
      <c r="AC835" t="s">
        <v>183</v>
      </c>
      <c r="AD835" t="s">
        <v>290</v>
      </c>
      <c r="AE835" s="702">
        <f t="shared" si="60"/>
        <v>43617</v>
      </c>
      <c r="AF835" s="289">
        <v>60168.699768250481</v>
      </c>
      <c r="AG835">
        <f t="shared" si="61"/>
        <v>360</v>
      </c>
      <c r="AH835" s="289">
        <f t="shared" si="62"/>
        <v>167.13527713402911</v>
      </c>
      <c r="AJ835" s="289">
        <f t="shared" si="63"/>
        <v>42</v>
      </c>
      <c r="AK835" s="289">
        <f t="shared" si="64"/>
        <v>7019.6816396292224</v>
      </c>
    </row>
    <row r="836" spans="1:37">
      <c r="A836" s="703" t="s">
        <v>1944</v>
      </c>
      <c r="B836" s="703" t="s">
        <v>1606</v>
      </c>
      <c r="C836" s="703" t="s">
        <v>332</v>
      </c>
      <c r="D836" s="703" t="s">
        <v>334</v>
      </c>
      <c r="E836" s="703" t="s">
        <v>334</v>
      </c>
      <c r="F836" s="703" t="s">
        <v>335</v>
      </c>
      <c r="G836" s="703" t="s">
        <v>1945</v>
      </c>
      <c r="H836" s="703" t="s">
        <v>334</v>
      </c>
      <c r="I836" s="703" t="s">
        <v>334</v>
      </c>
      <c r="J836" s="703" t="s">
        <v>337</v>
      </c>
      <c r="K836" s="704">
        <v>0</v>
      </c>
      <c r="L836" s="703" t="s">
        <v>334</v>
      </c>
      <c r="M836" s="702">
        <v>39478</v>
      </c>
      <c r="N836" s="702">
        <v>43514</v>
      </c>
      <c r="O836" s="703" t="s">
        <v>338</v>
      </c>
      <c r="P836" s="20">
        <v>64.84</v>
      </c>
      <c r="Q836" s="20">
        <v>0</v>
      </c>
      <c r="R836" s="20">
        <v>0</v>
      </c>
      <c r="S836" s="20">
        <v>0</v>
      </c>
      <c r="T836" s="20">
        <v>64.84</v>
      </c>
      <c r="U836" s="20">
        <v>58.72</v>
      </c>
      <c r="V836" s="20">
        <v>-6.12</v>
      </c>
      <c r="W836" s="20">
        <v>-8.2799999999999994</v>
      </c>
      <c r="X836" s="20">
        <v>-2.16</v>
      </c>
      <c r="Y836" s="20">
        <v>0</v>
      </c>
      <c r="Z836" s="20">
        <v>0</v>
      </c>
      <c r="AA836" s="20">
        <v>0</v>
      </c>
      <c r="AB836" s="20">
        <v>56.56</v>
      </c>
      <c r="AC836" t="s">
        <v>183</v>
      </c>
      <c r="AD836" t="s">
        <v>290</v>
      </c>
      <c r="AE836" s="702">
        <f t="shared" si="60"/>
        <v>43617</v>
      </c>
      <c r="AF836" s="289">
        <v>100.90356574245783</v>
      </c>
      <c r="AG836">
        <f t="shared" si="61"/>
        <v>360</v>
      </c>
      <c r="AH836" s="289">
        <f t="shared" si="62"/>
        <v>0.28028768261793841</v>
      </c>
      <c r="AJ836" s="289">
        <f t="shared" si="63"/>
        <v>42</v>
      </c>
      <c r="AK836" s="289">
        <f t="shared" si="64"/>
        <v>11.772082669953413</v>
      </c>
    </row>
    <row r="837" spans="1:37">
      <c r="A837" s="703" t="s">
        <v>1946</v>
      </c>
      <c r="B837" s="703" t="s">
        <v>1606</v>
      </c>
      <c r="C837" s="703" t="s">
        <v>332</v>
      </c>
      <c r="D837" s="703" t="s">
        <v>334</v>
      </c>
      <c r="E837" s="703" t="s">
        <v>334</v>
      </c>
      <c r="F837" s="703" t="s">
        <v>335</v>
      </c>
      <c r="G837" s="703" t="s">
        <v>1947</v>
      </c>
      <c r="H837" s="703" t="s">
        <v>334</v>
      </c>
      <c r="I837" s="703" t="s">
        <v>334</v>
      </c>
      <c r="J837" s="703" t="s">
        <v>337</v>
      </c>
      <c r="K837" s="704">
        <v>0</v>
      </c>
      <c r="L837" s="703" t="s">
        <v>334</v>
      </c>
      <c r="M837" s="702">
        <v>42613</v>
      </c>
      <c r="N837" s="702">
        <v>43514</v>
      </c>
      <c r="O837" s="703" t="s">
        <v>338</v>
      </c>
      <c r="P837" s="20">
        <v>10706.76</v>
      </c>
      <c r="Q837" s="20">
        <v>0</v>
      </c>
      <c r="R837" s="20">
        <v>0</v>
      </c>
      <c r="S837" s="20">
        <v>0</v>
      </c>
      <c r="T837" s="20">
        <v>10706.76</v>
      </c>
      <c r="U837" s="20">
        <v>9695.57</v>
      </c>
      <c r="V837" s="20">
        <v>-1011.19</v>
      </c>
      <c r="W837" s="20">
        <v>-1368.08</v>
      </c>
      <c r="X837" s="20">
        <v>-356.89</v>
      </c>
      <c r="Y837" s="20">
        <v>0</v>
      </c>
      <c r="Z837" s="20">
        <v>0</v>
      </c>
      <c r="AA837" s="20">
        <v>0</v>
      </c>
      <c r="AB837" s="20">
        <v>9338.68</v>
      </c>
      <c r="AC837" t="s">
        <v>183</v>
      </c>
      <c r="AD837" t="s">
        <v>290</v>
      </c>
      <c r="AE837" s="702">
        <f t="shared" si="60"/>
        <v>43617</v>
      </c>
      <c r="AF837" s="289">
        <v>16661.786883848206</v>
      </c>
      <c r="AG837">
        <f t="shared" si="61"/>
        <v>360</v>
      </c>
      <c r="AH837" s="289">
        <f t="shared" si="62"/>
        <v>46.282741344022796</v>
      </c>
      <c r="AJ837" s="289">
        <f t="shared" si="63"/>
        <v>42</v>
      </c>
      <c r="AK837" s="289">
        <f t="shared" si="64"/>
        <v>1943.8751364489574</v>
      </c>
    </row>
    <row r="838" spans="1:37">
      <c r="A838" s="703" t="s">
        <v>1948</v>
      </c>
      <c r="B838" s="703" t="s">
        <v>1606</v>
      </c>
      <c r="C838" s="703" t="s">
        <v>332</v>
      </c>
      <c r="D838" s="703" t="s">
        <v>334</v>
      </c>
      <c r="E838" s="703" t="s">
        <v>334</v>
      </c>
      <c r="F838" s="703" t="s">
        <v>335</v>
      </c>
      <c r="G838" s="703" t="s">
        <v>1949</v>
      </c>
      <c r="H838" s="703" t="s">
        <v>334</v>
      </c>
      <c r="I838" s="703" t="s">
        <v>334</v>
      </c>
      <c r="J838" s="703" t="s">
        <v>337</v>
      </c>
      <c r="K838" s="704">
        <v>0</v>
      </c>
      <c r="L838" s="703" t="s">
        <v>334</v>
      </c>
      <c r="M838" s="702">
        <v>42613</v>
      </c>
      <c r="N838" s="702">
        <v>43514</v>
      </c>
      <c r="O838" s="703" t="s">
        <v>338</v>
      </c>
      <c r="P838" s="20">
        <v>2217.15</v>
      </c>
      <c r="Q838" s="20">
        <v>0</v>
      </c>
      <c r="R838" s="20">
        <v>0</v>
      </c>
      <c r="S838" s="20">
        <v>0</v>
      </c>
      <c r="T838" s="20">
        <v>2217.15</v>
      </c>
      <c r="U838" s="20">
        <v>2007.74</v>
      </c>
      <c r="V838" s="20">
        <v>-209.41</v>
      </c>
      <c r="W838" s="20">
        <v>-283.32</v>
      </c>
      <c r="X838" s="20">
        <v>-73.91</v>
      </c>
      <c r="Y838" s="20">
        <v>0</v>
      </c>
      <c r="Z838" s="20">
        <v>0</v>
      </c>
      <c r="AA838" s="20">
        <v>0</v>
      </c>
      <c r="AB838" s="20">
        <v>1933.83</v>
      </c>
      <c r="AC838" t="s">
        <v>183</v>
      </c>
      <c r="AD838" t="s">
        <v>290</v>
      </c>
      <c r="AE838" s="702">
        <f t="shared" si="60"/>
        <v>43617</v>
      </c>
      <c r="AF838" s="289">
        <v>3450.3137073703019</v>
      </c>
      <c r="AG838">
        <f t="shared" si="61"/>
        <v>360</v>
      </c>
      <c r="AH838" s="289">
        <f t="shared" si="62"/>
        <v>9.5842047426952828</v>
      </c>
      <c r="AJ838" s="289">
        <f t="shared" si="63"/>
        <v>42</v>
      </c>
      <c r="AK838" s="289">
        <f t="shared" si="64"/>
        <v>402.53659919320188</v>
      </c>
    </row>
    <row r="839" spans="1:37">
      <c r="A839" s="703" t="s">
        <v>1950</v>
      </c>
      <c r="B839" s="703" t="s">
        <v>1606</v>
      </c>
      <c r="C839" s="703" t="s">
        <v>332</v>
      </c>
      <c r="D839" s="703" t="s">
        <v>334</v>
      </c>
      <c r="E839" s="703" t="s">
        <v>334</v>
      </c>
      <c r="F839" s="703" t="s">
        <v>335</v>
      </c>
      <c r="G839" s="703" t="s">
        <v>1951</v>
      </c>
      <c r="H839" s="703" t="s">
        <v>334</v>
      </c>
      <c r="I839" s="703" t="s">
        <v>334</v>
      </c>
      <c r="J839" s="703" t="s">
        <v>337</v>
      </c>
      <c r="K839" s="704">
        <v>0</v>
      </c>
      <c r="L839" s="703" t="s">
        <v>334</v>
      </c>
      <c r="M839" s="702">
        <v>42886</v>
      </c>
      <c r="N839" s="702">
        <v>43514</v>
      </c>
      <c r="O839" s="703" t="s">
        <v>338</v>
      </c>
      <c r="P839" s="20">
        <v>19189.97</v>
      </c>
      <c r="Q839" s="20">
        <v>0</v>
      </c>
      <c r="R839" s="20">
        <v>0</v>
      </c>
      <c r="S839" s="20">
        <v>0</v>
      </c>
      <c r="T839" s="20">
        <v>19189.97</v>
      </c>
      <c r="U839" s="20">
        <v>17377.580000000002</v>
      </c>
      <c r="V839" s="20">
        <v>-1812.39</v>
      </c>
      <c r="W839" s="20">
        <v>-2452.06</v>
      </c>
      <c r="X839" s="20">
        <v>-639.66999999999996</v>
      </c>
      <c r="Y839" s="20">
        <v>0</v>
      </c>
      <c r="Z839" s="20">
        <v>0</v>
      </c>
      <c r="AA839" s="20">
        <v>0</v>
      </c>
      <c r="AB839" s="20">
        <v>16737.91</v>
      </c>
      <c r="AC839" t="s">
        <v>183</v>
      </c>
      <c r="AD839" t="s">
        <v>290</v>
      </c>
      <c r="AE839" s="702">
        <f t="shared" ref="AE839:AE902" si="65">IF(N839&gt;=$AG$5,DATE(YEAR(N839),6,1),DATE(YEAR(N839),6,1))</f>
        <v>43617</v>
      </c>
      <c r="AF839" s="289">
        <v>29863.300423978922</v>
      </c>
      <c r="AG839">
        <f t="shared" ref="AG839:AG902" si="66">+IF(AD839="intangível",20*12,IF(AD839="Diferido",120,IF(AD839="Não vinculados",0,IF(AE839&lt;=$AG$5,F839*12,360))))</f>
        <v>360</v>
      </c>
      <c r="AH839" s="289">
        <f t="shared" ref="AH839:AH902" si="67">IF(AG839=0,0,AF839/AG839)</f>
        <v>82.953612288830342</v>
      </c>
      <c r="AJ839" s="289">
        <f t="shared" ref="AJ839:AJ902" si="68">+IF(AND(YEAR(AE839)&gt;=2018,YEAR(AE839)&lt;=2022),IF(DATEDIF(AE839,$AK$4,"m")&gt;=AG839,AG839,DATEDIF(AE839,$AK$4,"m")),0)</f>
        <v>42</v>
      </c>
      <c r="AK839" s="289">
        <f t="shared" ref="AK839:AK902" si="69">IF(AD839="Imobilizado",AJ839*AH839,0)</f>
        <v>3484.0517161308744</v>
      </c>
    </row>
    <row r="840" spans="1:37">
      <c r="A840" s="703" t="s">
        <v>1952</v>
      </c>
      <c r="B840" s="703" t="s">
        <v>1606</v>
      </c>
      <c r="C840" s="703" t="s">
        <v>332</v>
      </c>
      <c r="D840" s="703" t="s">
        <v>334</v>
      </c>
      <c r="E840" s="703" t="s">
        <v>334</v>
      </c>
      <c r="F840" s="703" t="s">
        <v>335</v>
      </c>
      <c r="G840" s="703" t="s">
        <v>1953</v>
      </c>
      <c r="H840" s="703" t="s">
        <v>334</v>
      </c>
      <c r="I840" s="703" t="s">
        <v>334</v>
      </c>
      <c r="J840" s="703" t="s">
        <v>337</v>
      </c>
      <c r="K840" s="704">
        <v>0</v>
      </c>
      <c r="L840" s="703" t="s">
        <v>334</v>
      </c>
      <c r="M840" s="702">
        <v>42886</v>
      </c>
      <c r="N840" s="702">
        <v>43514</v>
      </c>
      <c r="O840" s="703" t="s">
        <v>338</v>
      </c>
      <c r="P840" s="20">
        <v>15318.03</v>
      </c>
      <c r="Q840" s="20">
        <v>0</v>
      </c>
      <c r="R840" s="20">
        <v>0</v>
      </c>
      <c r="S840" s="20">
        <v>0</v>
      </c>
      <c r="T840" s="20">
        <v>15318.03</v>
      </c>
      <c r="U840" s="20">
        <v>13871.33</v>
      </c>
      <c r="V840" s="20">
        <v>-1446.7</v>
      </c>
      <c r="W840" s="20">
        <v>-1957.3</v>
      </c>
      <c r="X840" s="20">
        <v>-510.6</v>
      </c>
      <c r="Y840" s="20">
        <v>0</v>
      </c>
      <c r="Z840" s="20">
        <v>0</v>
      </c>
      <c r="AA840" s="20">
        <v>0</v>
      </c>
      <c r="AB840" s="20">
        <v>13360.73</v>
      </c>
      <c r="AC840" t="s">
        <v>183</v>
      </c>
      <c r="AD840" t="s">
        <v>290</v>
      </c>
      <c r="AE840" s="702">
        <f t="shared" si="65"/>
        <v>43617</v>
      </c>
      <c r="AF840" s="289">
        <v>23837.813805520374</v>
      </c>
      <c r="AG840">
        <f t="shared" si="66"/>
        <v>360</v>
      </c>
      <c r="AH840" s="289">
        <f t="shared" si="67"/>
        <v>66.216149459778819</v>
      </c>
      <c r="AJ840" s="289">
        <f t="shared" si="68"/>
        <v>42</v>
      </c>
      <c r="AK840" s="289">
        <f t="shared" si="69"/>
        <v>2781.0782773107103</v>
      </c>
    </row>
    <row r="841" spans="1:37">
      <c r="A841" s="703" t="s">
        <v>1954</v>
      </c>
      <c r="B841" s="703" t="s">
        <v>1606</v>
      </c>
      <c r="C841" s="703" t="s">
        <v>332</v>
      </c>
      <c r="D841" s="703" t="s">
        <v>334</v>
      </c>
      <c r="E841" s="703" t="s">
        <v>334</v>
      </c>
      <c r="F841" s="703" t="s">
        <v>335</v>
      </c>
      <c r="G841" s="703" t="s">
        <v>1955</v>
      </c>
      <c r="H841" s="703" t="s">
        <v>334</v>
      </c>
      <c r="I841" s="703" t="s">
        <v>334</v>
      </c>
      <c r="J841" s="703" t="s">
        <v>337</v>
      </c>
      <c r="K841" s="704">
        <v>0</v>
      </c>
      <c r="L841" s="703" t="s">
        <v>334</v>
      </c>
      <c r="M841" s="702">
        <v>42886</v>
      </c>
      <c r="N841" s="702">
        <v>43514</v>
      </c>
      <c r="O841" s="703" t="s">
        <v>338</v>
      </c>
      <c r="P841" s="20">
        <v>9677.7999999999993</v>
      </c>
      <c r="Q841" s="20">
        <v>0</v>
      </c>
      <c r="R841" s="20">
        <v>0</v>
      </c>
      <c r="S841" s="20">
        <v>0</v>
      </c>
      <c r="T841" s="20">
        <v>9677.7999999999993</v>
      </c>
      <c r="U841" s="20">
        <v>8763.7900000000009</v>
      </c>
      <c r="V841" s="20">
        <v>-914.01</v>
      </c>
      <c r="W841" s="20">
        <v>-1236.5999999999999</v>
      </c>
      <c r="X841" s="20">
        <v>-322.58999999999997</v>
      </c>
      <c r="Y841" s="20">
        <v>0</v>
      </c>
      <c r="Z841" s="20">
        <v>0</v>
      </c>
      <c r="AA841" s="20">
        <v>0</v>
      </c>
      <c r="AB841" s="20">
        <v>8441.2000000000007</v>
      </c>
      <c r="AC841" t="s">
        <v>183</v>
      </c>
      <c r="AD841" t="s">
        <v>290</v>
      </c>
      <c r="AE841" s="702">
        <f t="shared" si="65"/>
        <v>43617</v>
      </c>
      <c r="AF841" s="289">
        <v>15060.526350128906</v>
      </c>
      <c r="AG841">
        <f t="shared" si="66"/>
        <v>360</v>
      </c>
      <c r="AH841" s="289">
        <f t="shared" si="67"/>
        <v>41.834795417024743</v>
      </c>
      <c r="AJ841" s="289">
        <f t="shared" si="68"/>
        <v>42</v>
      </c>
      <c r="AK841" s="289">
        <f t="shared" si="69"/>
        <v>1757.0614075150393</v>
      </c>
    </row>
    <row r="842" spans="1:37">
      <c r="A842" s="703" t="s">
        <v>1956</v>
      </c>
      <c r="B842" s="703" t="s">
        <v>1606</v>
      </c>
      <c r="C842" s="703" t="s">
        <v>332</v>
      </c>
      <c r="D842" s="703" t="s">
        <v>334</v>
      </c>
      <c r="E842" s="703" t="s">
        <v>334</v>
      </c>
      <c r="F842" s="703" t="s">
        <v>335</v>
      </c>
      <c r="G842" s="703" t="s">
        <v>1957</v>
      </c>
      <c r="H842" s="703" t="s">
        <v>334</v>
      </c>
      <c r="I842" s="703" t="s">
        <v>334</v>
      </c>
      <c r="J842" s="703" t="s">
        <v>337</v>
      </c>
      <c r="K842" s="704">
        <v>0</v>
      </c>
      <c r="L842" s="703" t="s">
        <v>334</v>
      </c>
      <c r="M842" s="702">
        <v>42886</v>
      </c>
      <c r="N842" s="702">
        <v>43514</v>
      </c>
      <c r="O842" s="703" t="s">
        <v>338</v>
      </c>
      <c r="P842" s="20">
        <v>1935.74</v>
      </c>
      <c r="Q842" s="20">
        <v>0</v>
      </c>
      <c r="R842" s="20">
        <v>0</v>
      </c>
      <c r="S842" s="20">
        <v>0</v>
      </c>
      <c r="T842" s="20">
        <v>1935.74</v>
      </c>
      <c r="U842" s="20">
        <v>1752.93</v>
      </c>
      <c r="V842" s="20">
        <v>-182.81</v>
      </c>
      <c r="W842" s="20">
        <v>-247.33</v>
      </c>
      <c r="X842" s="20">
        <v>-64.52</v>
      </c>
      <c r="Y842" s="20">
        <v>0</v>
      </c>
      <c r="Z842" s="20">
        <v>0</v>
      </c>
      <c r="AA842" s="20">
        <v>0</v>
      </c>
      <c r="AB842" s="20">
        <v>1688.41</v>
      </c>
      <c r="AC842" t="s">
        <v>183</v>
      </c>
      <c r="AD842" t="s">
        <v>290</v>
      </c>
      <c r="AE842" s="702">
        <f t="shared" si="65"/>
        <v>43617</v>
      </c>
      <c r="AF842" s="289">
        <v>3012.3853847980458</v>
      </c>
      <c r="AG842">
        <f t="shared" si="66"/>
        <v>360</v>
      </c>
      <c r="AH842" s="289">
        <f t="shared" si="67"/>
        <v>8.3677371799945721</v>
      </c>
      <c r="AJ842" s="289">
        <f t="shared" si="68"/>
        <v>42</v>
      </c>
      <c r="AK842" s="289">
        <f t="shared" si="69"/>
        <v>351.44496155977203</v>
      </c>
    </row>
    <row r="843" spans="1:37">
      <c r="A843" s="703" t="s">
        <v>1958</v>
      </c>
      <c r="B843" s="703" t="s">
        <v>1606</v>
      </c>
      <c r="C843" s="703" t="s">
        <v>332</v>
      </c>
      <c r="D843" s="703" t="s">
        <v>334</v>
      </c>
      <c r="E843" s="703" t="s">
        <v>334</v>
      </c>
      <c r="F843" s="703" t="s">
        <v>335</v>
      </c>
      <c r="G843" s="703" t="s">
        <v>1959</v>
      </c>
      <c r="H843" s="703" t="s">
        <v>334</v>
      </c>
      <c r="I843" s="703" t="s">
        <v>334</v>
      </c>
      <c r="J843" s="703" t="s">
        <v>337</v>
      </c>
      <c r="K843" s="704">
        <v>0</v>
      </c>
      <c r="L843" s="703" t="s">
        <v>334</v>
      </c>
      <c r="M843" s="702">
        <v>42886</v>
      </c>
      <c r="N843" s="702">
        <v>43514</v>
      </c>
      <c r="O843" s="703" t="s">
        <v>338</v>
      </c>
      <c r="P843" s="20">
        <v>78269.23</v>
      </c>
      <c r="Q843" s="20">
        <v>0</v>
      </c>
      <c r="R843" s="20">
        <v>0</v>
      </c>
      <c r="S843" s="20">
        <v>0</v>
      </c>
      <c r="T843" s="20">
        <v>78269.23</v>
      </c>
      <c r="U843" s="20">
        <v>70877.14</v>
      </c>
      <c r="V843" s="20">
        <v>-7392.09</v>
      </c>
      <c r="W843" s="20">
        <v>-10001.06</v>
      </c>
      <c r="X843" s="20">
        <v>-2608.9699999999998</v>
      </c>
      <c r="Y843" s="20">
        <v>0</v>
      </c>
      <c r="Z843" s="20">
        <v>0</v>
      </c>
      <c r="AA843" s="20">
        <v>0</v>
      </c>
      <c r="AB843" s="20">
        <v>68268.17</v>
      </c>
      <c r="AC843" t="s">
        <v>183</v>
      </c>
      <c r="AD843" t="s">
        <v>290</v>
      </c>
      <c r="AE843" s="702">
        <f t="shared" si="65"/>
        <v>43617</v>
      </c>
      <c r="AF843" s="289">
        <v>121802.04187101405</v>
      </c>
      <c r="AG843">
        <f t="shared" si="66"/>
        <v>360</v>
      </c>
      <c r="AH843" s="289">
        <f t="shared" si="67"/>
        <v>338.33900519726126</v>
      </c>
      <c r="AJ843" s="289">
        <f t="shared" si="68"/>
        <v>42</v>
      </c>
      <c r="AK843" s="289">
        <f t="shared" si="69"/>
        <v>14210.238218284972</v>
      </c>
    </row>
    <row r="844" spans="1:37">
      <c r="A844" s="703" t="s">
        <v>1960</v>
      </c>
      <c r="B844" s="703" t="s">
        <v>1606</v>
      </c>
      <c r="C844" s="703" t="s">
        <v>332</v>
      </c>
      <c r="D844" s="703" t="s">
        <v>334</v>
      </c>
      <c r="E844" s="703" t="s">
        <v>334</v>
      </c>
      <c r="F844" s="703" t="s">
        <v>335</v>
      </c>
      <c r="G844" s="703" t="s">
        <v>1961</v>
      </c>
      <c r="H844" s="703" t="s">
        <v>334</v>
      </c>
      <c r="I844" s="703" t="s">
        <v>334</v>
      </c>
      <c r="J844" s="703" t="s">
        <v>337</v>
      </c>
      <c r="K844" s="704">
        <v>0</v>
      </c>
      <c r="L844" s="703" t="s">
        <v>334</v>
      </c>
      <c r="M844" s="702">
        <v>42886</v>
      </c>
      <c r="N844" s="702">
        <v>43514</v>
      </c>
      <c r="O844" s="703" t="s">
        <v>338</v>
      </c>
      <c r="P844" s="20">
        <v>11734.71</v>
      </c>
      <c r="Q844" s="20">
        <v>0</v>
      </c>
      <c r="R844" s="20">
        <v>0</v>
      </c>
      <c r="S844" s="20">
        <v>0</v>
      </c>
      <c r="T844" s="20">
        <v>11734.71</v>
      </c>
      <c r="U844" s="20">
        <v>10626.43</v>
      </c>
      <c r="V844" s="20">
        <v>-1108.28</v>
      </c>
      <c r="W844" s="20">
        <v>-1499.44</v>
      </c>
      <c r="X844" s="20">
        <v>-391.16</v>
      </c>
      <c r="Y844" s="20">
        <v>0</v>
      </c>
      <c r="Z844" s="20">
        <v>0</v>
      </c>
      <c r="AA844" s="20">
        <v>0</v>
      </c>
      <c r="AB844" s="20">
        <v>10235.27</v>
      </c>
      <c r="AC844" t="s">
        <v>183</v>
      </c>
      <c r="AD844" t="s">
        <v>290</v>
      </c>
      <c r="AE844" s="702">
        <f t="shared" si="65"/>
        <v>43617</v>
      </c>
      <c r="AF844" s="289">
        <v>18261.475662456462</v>
      </c>
      <c r="AG844">
        <f t="shared" si="66"/>
        <v>360</v>
      </c>
      <c r="AH844" s="289">
        <f t="shared" si="67"/>
        <v>50.726321284601283</v>
      </c>
      <c r="AJ844" s="289">
        <f t="shared" si="68"/>
        <v>42</v>
      </c>
      <c r="AK844" s="289">
        <f t="shared" si="69"/>
        <v>2130.5054939532538</v>
      </c>
    </row>
    <row r="845" spans="1:37">
      <c r="A845" s="703" t="s">
        <v>1962</v>
      </c>
      <c r="B845" s="703" t="s">
        <v>1606</v>
      </c>
      <c r="C845" s="703" t="s">
        <v>332</v>
      </c>
      <c r="D845" s="703" t="s">
        <v>334</v>
      </c>
      <c r="E845" s="703" t="s">
        <v>334</v>
      </c>
      <c r="F845" s="703" t="s">
        <v>335</v>
      </c>
      <c r="G845" s="703" t="s">
        <v>1963</v>
      </c>
      <c r="H845" s="703" t="s">
        <v>334</v>
      </c>
      <c r="I845" s="703" t="s">
        <v>334</v>
      </c>
      <c r="J845" s="703" t="s">
        <v>337</v>
      </c>
      <c r="K845" s="704">
        <v>0</v>
      </c>
      <c r="L845" s="703" t="s">
        <v>334</v>
      </c>
      <c r="M845" s="702">
        <v>42886</v>
      </c>
      <c r="N845" s="702">
        <v>43514</v>
      </c>
      <c r="O845" s="703" t="s">
        <v>338</v>
      </c>
      <c r="P845" s="20">
        <v>4765.3599999999997</v>
      </c>
      <c r="Q845" s="20">
        <v>0</v>
      </c>
      <c r="R845" s="20">
        <v>0</v>
      </c>
      <c r="S845" s="20">
        <v>0</v>
      </c>
      <c r="T845" s="20">
        <v>4765.3599999999997</v>
      </c>
      <c r="U845" s="20">
        <v>4315.29</v>
      </c>
      <c r="V845" s="20">
        <v>-450.07</v>
      </c>
      <c r="W845" s="20">
        <v>-608.91999999999996</v>
      </c>
      <c r="X845" s="20">
        <v>-158.85</v>
      </c>
      <c r="Y845" s="20">
        <v>0</v>
      </c>
      <c r="Z845" s="20">
        <v>0</v>
      </c>
      <c r="AA845" s="20">
        <v>0</v>
      </c>
      <c r="AB845" s="20">
        <v>4156.4399999999996</v>
      </c>
      <c r="AC845" t="s">
        <v>183</v>
      </c>
      <c r="AD845" t="s">
        <v>290</v>
      </c>
      <c r="AE845" s="702">
        <f t="shared" si="65"/>
        <v>43617</v>
      </c>
      <c r="AF845" s="289">
        <v>7415.8207286625357</v>
      </c>
      <c r="AG845">
        <f t="shared" si="66"/>
        <v>360</v>
      </c>
      <c r="AH845" s="289">
        <f t="shared" si="67"/>
        <v>20.599502024062598</v>
      </c>
      <c r="AJ845" s="289">
        <f t="shared" si="68"/>
        <v>42</v>
      </c>
      <c r="AK845" s="289">
        <f t="shared" si="69"/>
        <v>865.17908501062914</v>
      </c>
    </row>
    <row r="846" spans="1:37">
      <c r="A846" s="703" t="s">
        <v>1964</v>
      </c>
      <c r="B846" s="703" t="s">
        <v>1606</v>
      </c>
      <c r="C846" s="703" t="s">
        <v>332</v>
      </c>
      <c r="D846" s="703" t="s">
        <v>334</v>
      </c>
      <c r="E846" s="703" t="s">
        <v>334</v>
      </c>
      <c r="F846" s="703" t="s">
        <v>335</v>
      </c>
      <c r="G846" s="703" t="s">
        <v>1965</v>
      </c>
      <c r="H846" s="703" t="s">
        <v>334</v>
      </c>
      <c r="I846" s="703" t="s">
        <v>334</v>
      </c>
      <c r="J846" s="703" t="s">
        <v>337</v>
      </c>
      <c r="K846" s="704">
        <v>0</v>
      </c>
      <c r="L846" s="703" t="s">
        <v>334</v>
      </c>
      <c r="M846" s="702">
        <v>42886</v>
      </c>
      <c r="N846" s="702">
        <v>43514</v>
      </c>
      <c r="O846" s="703" t="s">
        <v>338</v>
      </c>
      <c r="P846" s="20">
        <v>786.63</v>
      </c>
      <c r="Q846" s="20">
        <v>0</v>
      </c>
      <c r="R846" s="20">
        <v>0</v>
      </c>
      <c r="S846" s="20">
        <v>0</v>
      </c>
      <c r="T846" s="20">
        <v>786.63</v>
      </c>
      <c r="U846" s="20">
        <v>712.34</v>
      </c>
      <c r="V846" s="20">
        <v>-74.290000000000006</v>
      </c>
      <c r="W846" s="20">
        <v>-100.51</v>
      </c>
      <c r="X846" s="20">
        <v>-26.22</v>
      </c>
      <c r="Y846" s="20">
        <v>0</v>
      </c>
      <c r="Z846" s="20">
        <v>0</v>
      </c>
      <c r="AA846" s="20">
        <v>0</v>
      </c>
      <c r="AB846" s="20">
        <v>686.12</v>
      </c>
      <c r="AC846" t="s">
        <v>183</v>
      </c>
      <c r="AD846" t="s">
        <v>290</v>
      </c>
      <c r="AE846" s="702">
        <f t="shared" si="65"/>
        <v>43617</v>
      </c>
      <c r="AF846" s="289">
        <v>1224.1482405920665</v>
      </c>
      <c r="AG846">
        <f t="shared" si="66"/>
        <v>360</v>
      </c>
      <c r="AH846" s="289">
        <f t="shared" si="67"/>
        <v>3.4004117794224067</v>
      </c>
      <c r="AJ846" s="289">
        <f t="shared" si="68"/>
        <v>42</v>
      </c>
      <c r="AK846" s="289">
        <f t="shared" si="69"/>
        <v>142.81729473574109</v>
      </c>
    </row>
    <row r="847" spans="1:37">
      <c r="A847" s="703" t="s">
        <v>1966</v>
      </c>
      <c r="B847" s="703" t="s">
        <v>1606</v>
      </c>
      <c r="C847" s="703" t="s">
        <v>332</v>
      </c>
      <c r="D847" s="703" t="s">
        <v>334</v>
      </c>
      <c r="E847" s="703" t="s">
        <v>334</v>
      </c>
      <c r="F847" s="703" t="s">
        <v>335</v>
      </c>
      <c r="G847" s="703" t="s">
        <v>1967</v>
      </c>
      <c r="H847" s="703" t="s">
        <v>334</v>
      </c>
      <c r="I847" s="703" t="s">
        <v>334</v>
      </c>
      <c r="J847" s="703" t="s">
        <v>337</v>
      </c>
      <c r="K847" s="704">
        <v>0</v>
      </c>
      <c r="L847" s="703" t="s">
        <v>334</v>
      </c>
      <c r="M847" s="702">
        <v>42886</v>
      </c>
      <c r="N847" s="702">
        <v>43514</v>
      </c>
      <c r="O847" s="703" t="s">
        <v>338</v>
      </c>
      <c r="P847" s="20">
        <v>11024.89</v>
      </c>
      <c r="Q847" s="20">
        <v>0</v>
      </c>
      <c r="R847" s="20">
        <v>0</v>
      </c>
      <c r="S847" s="20">
        <v>0</v>
      </c>
      <c r="T847" s="20">
        <v>11024.89</v>
      </c>
      <c r="U847" s="20">
        <v>9983.64</v>
      </c>
      <c r="V847" s="20">
        <v>-1041.25</v>
      </c>
      <c r="W847" s="20">
        <v>-1408.75</v>
      </c>
      <c r="X847" s="20">
        <v>-367.5</v>
      </c>
      <c r="Y847" s="20">
        <v>0</v>
      </c>
      <c r="Z847" s="20">
        <v>0</v>
      </c>
      <c r="AA847" s="20">
        <v>0</v>
      </c>
      <c r="AB847" s="20">
        <v>9616.14</v>
      </c>
      <c r="AC847" t="s">
        <v>183</v>
      </c>
      <c r="AD847" t="s">
        <v>290</v>
      </c>
      <c r="AE847" s="702">
        <f t="shared" si="65"/>
        <v>43617</v>
      </c>
      <c r="AF847" s="289">
        <v>17156.858619962459</v>
      </c>
      <c r="AG847">
        <f t="shared" si="66"/>
        <v>360</v>
      </c>
      <c r="AH847" s="289">
        <f t="shared" si="67"/>
        <v>47.657940611006829</v>
      </c>
      <c r="AJ847" s="289">
        <f t="shared" si="68"/>
        <v>42</v>
      </c>
      <c r="AK847" s="289">
        <f t="shared" si="69"/>
        <v>2001.6335056622868</v>
      </c>
    </row>
    <row r="848" spans="1:37">
      <c r="A848" s="703" t="s">
        <v>1968</v>
      </c>
      <c r="B848" s="703" t="s">
        <v>1606</v>
      </c>
      <c r="C848" s="703" t="s">
        <v>332</v>
      </c>
      <c r="D848" s="703" t="s">
        <v>334</v>
      </c>
      <c r="E848" s="703" t="s">
        <v>334</v>
      </c>
      <c r="F848" s="703" t="s">
        <v>335</v>
      </c>
      <c r="G848" s="703" t="s">
        <v>1969</v>
      </c>
      <c r="H848" s="703" t="s">
        <v>334</v>
      </c>
      <c r="I848" s="703" t="s">
        <v>334</v>
      </c>
      <c r="J848" s="703" t="s">
        <v>337</v>
      </c>
      <c r="K848" s="704">
        <v>0</v>
      </c>
      <c r="L848" s="703" t="s">
        <v>334</v>
      </c>
      <c r="M848" s="702">
        <v>43131</v>
      </c>
      <c r="N848" s="702">
        <v>43514</v>
      </c>
      <c r="O848" s="703" t="s">
        <v>338</v>
      </c>
      <c r="P848" s="20">
        <v>65000</v>
      </c>
      <c r="Q848" s="20">
        <v>0</v>
      </c>
      <c r="R848" s="20">
        <v>0</v>
      </c>
      <c r="S848" s="20">
        <v>0</v>
      </c>
      <c r="T848" s="20">
        <v>65000</v>
      </c>
      <c r="U848" s="20">
        <v>58861.1</v>
      </c>
      <c r="V848" s="20">
        <v>-6138.9</v>
      </c>
      <c r="W848" s="20">
        <v>-8305.57</v>
      </c>
      <c r="X848" s="20">
        <v>-2166.67</v>
      </c>
      <c r="Y848" s="20">
        <v>0</v>
      </c>
      <c r="Z848" s="20">
        <v>0</v>
      </c>
      <c r="AA848" s="20">
        <v>0</v>
      </c>
      <c r="AB848" s="20">
        <v>56694.43</v>
      </c>
      <c r="AC848" t="s">
        <v>183</v>
      </c>
      <c r="AD848" t="s">
        <v>290</v>
      </c>
      <c r="AE848" s="702">
        <f t="shared" si="65"/>
        <v>43617</v>
      </c>
      <c r="AF848" s="289">
        <v>101152.55665113754</v>
      </c>
      <c r="AG848">
        <f t="shared" si="66"/>
        <v>360</v>
      </c>
      <c r="AH848" s="289">
        <f t="shared" si="67"/>
        <v>280.97932403093762</v>
      </c>
      <c r="AJ848" s="289">
        <f t="shared" si="68"/>
        <v>42</v>
      </c>
      <c r="AK848" s="289">
        <f t="shared" si="69"/>
        <v>11801.13160929938</v>
      </c>
    </row>
    <row r="849" spans="1:37">
      <c r="A849" s="703" t="s">
        <v>1970</v>
      </c>
      <c r="B849" s="703" t="s">
        <v>1606</v>
      </c>
      <c r="C849" s="703" t="s">
        <v>332</v>
      </c>
      <c r="D849" s="703" t="s">
        <v>334</v>
      </c>
      <c r="E849" s="703" t="s">
        <v>334</v>
      </c>
      <c r="F849" s="703" t="s">
        <v>335</v>
      </c>
      <c r="G849" s="703" t="s">
        <v>1971</v>
      </c>
      <c r="H849" s="703" t="s">
        <v>334</v>
      </c>
      <c r="I849" s="703" t="s">
        <v>334</v>
      </c>
      <c r="J849" s="703" t="s">
        <v>337</v>
      </c>
      <c r="K849" s="704">
        <v>0</v>
      </c>
      <c r="L849" s="703" t="s">
        <v>334</v>
      </c>
      <c r="M849" s="702">
        <v>43404</v>
      </c>
      <c r="N849" s="702">
        <v>43514</v>
      </c>
      <c r="O849" s="703" t="s">
        <v>338</v>
      </c>
      <c r="P849" s="20">
        <v>3568.53</v>
      </c>
      <c r="Q849" s="20">
        <v>0</v>
      </c>
      <c r="R849" s="20">
        <v>0</v>
      </c>
      <c r="S849" s="20">
        <v>0</v>
      </c>
      <c r="T849" s="20">
        <v>3568.53</v>
      </c>
      <c r="U849" s="20">
        <v>3231.5</v>
      </c>
      <c r="V849" s="20">
        <v>-337.03</v>
      </c>
      <c r="W849" s="20">
        <v>-455.98</v>
      </c>
      <c r="X849" s="20">
        <v>-118.95</v>
      </c>
      <c r="Y849" s="20">
        <v>0</v>
      </c>
      <c r="Z849" s="20">
        <v>0</v>
      </c>
      <c r="AA849" s="20">
        <v>0</v>
      </c>
      <c r="AB849" s="20">
        <v>3112.55</v>
      </c>
      <c r="AC849" t="s">
        <v>183</v>
      </c>
      <c r="AD849" t="s">
        <v>290</v>
      </c>
      <c r="AE849" s="702">
        <f t="shared" si="65"/>
        <v>43617</v>
      </c>
      <c r="AF849" s="289">
        <v>5553.3220459428294</v>
      </c>
      <c r="AG849">
        <f t="shared" si="66"/>
        <v>360</v>
      </c>
      <c r="AH849" s="289">
        <f t="shared" si="67"/>
        <v>15.425894572063415</v>
      </c>
      <c r="AJ849" s="289">
        <f t="shared" si="68"/>
        <v>42</v>
      </c>
      <c r="AK849" s="289">
        <f t="shared" si="69"/>
        <v>647.88757202666341</v>
      </c>
    </row>
    <row r="850" spans="1:37">
      <c r="A850" s="703" t="s">
        <v>1972</v>
      </c>
      <c r="B850" s="703" t="s">
        <v>1606</v>
      </c>
      <c r="C850" s="703" t="s">
        <v>332</v>
      </c>
      <c r="D850" s="703" t="s">
        <v>334</v>
      </c>
      <c r="E850" s="703" t="s">
        <v>334</v>
      </c>
      <c r="F850" s="703" t="s">
        <v>335</v>
      </c>
      <c r="G850" s="703" t="s">
        <v>1973</v>
      </c>
      <c r="H850" s="703" t="s">
        <v>334</v>
      </c>
      <c r="I850" s="703" t="s">
        <v>334</v>
      </c>
      <c r="J850" s="703" t="s">
        <v>337</v>
      </c>
      <c r="K850" s="704">
        <v>0</v>
      </c>
      <c r="L850" s="703" t="s">
        <v>334</v>
      </c>
      <c r="M850" s="702">
        <v>43434</v>
      </c>
      <c r="N850" s="702">
        <v>43514</v>
      </c>
      <c r="O850" s="703" t="s">
        <v>338</v>
      </c>
      <c r="P850" s="20">
        <v>3416.61</v>
      </c>
      <c r="Q850" s="20">
        <v>0</v>
      </c>
      <c r="R850" s="20">
        <v>0</v>
      </c>
      <c r="S850" s="20">
        <v>0</v>
      </c>
      <c r="T850" s="20">
        <v>3416.61</v>
      </c>
      <c r="U850" s="20">
        <v>3093.92</v>
      </c>
      <c r="V850" s="20">
        <v>-322.69</v>
      </c>
      <c r="W850" s="20">
        <v>-436.58</v>
      </c>
      <c r="X850" s="20">
        <v>-113.89</v>
      </c>
      <c r="Y850" s="20">
        <v>0</v>
      </c>
      <c r="Z850" s="20">
        <v>0</v>
      </c>
      <c r="AA850" s="20">
        <v>0</v>
      </c>
      <c r="AB850" s="20">
        <v>2980.03</v>
      </c>
      <c r="AC850" t="s">
        <v>183</v>
      </c>
      <c r="AD850" t="s">
        <v>290</v>
      </c>
      <c r="AE850" s="702">
        <f t="shared" si="65"/>
        <v>43617</v>
      </c>
      <c r="AF850" s="289">
        <v>5316.9051781514318</v>
      </c>
      <c r="AG850">
        <f t="shared" si="66"/>
        <v>360</v>
      </c>
      <c r="AH850" s="289">
        <f t="shared" si="67"/>
        <v>14.769181050420643</v>
      </c>
      <c r="AJ850" s="289">
        <f t="shared" si="68"/>
        <v>42</v>
      </c>
      <c r="AK850" s="289">
        <f t="shared" si="69"/>
        <v>620.30560411766703</v>
      </c>
    </row>
    <row r="851" spans="1:37">
      <c r="A851" s="703" t="s">
        <v>1974</v>
      </c>
      <c r="B851" s="703" t="s">
        <v>1606</v>
      </c>
      <c r="C851" s="703" t="s">
        <v>332</v>
      </c>
      <c r="D851" s="703" t="s">
        <v>334</v>
      </c>
      <c r="E851" s="703" t="s">
        <v>334</v>
      </c>
      <c r="F851" s="703" t="s">
        <v>335</v>
      </c>
      <c r="G851" s="703" t="s">
        <v>1975</v>
      </c>
      <c r="H851" s="703" t="s">
        <v>334</v>
      </c>
      <c r="I851" s="703" t="s">
        <v>334</v>
      </c>
      <c r="J851" s="703" t="s">
        <v>337</v>
      </c>
      <c r="K851" s="704">
        <v>0</v>
      </c>
      <c r="L851" s="703" t="s">
        <v>334</v>
      </c>
      <c r="M851" s="702">
        <v>43434</v>
      </c>
      <c r="N851" s="702">
        <v>43514</v>
      </c>
      <c r="O851" s="703" t="s">
        <v>338</v>
      </c>
      <c r="P851" s="20">
        <v>920</v>
      </c>
      <c r="Q851" s="20">
        <v>0</v>
      </c>
      <c r="R851" s="20">
        <v>0</v>
      </c>
      <c r="S851" s="20">
        <v>0</v>
      </c>
      <c r="T851" s="20">
        <v>920</v>
      </c>
      <c r="U851" s="20">
        <v>833.1</v>
      </c>
      <c r="V851" s="20">
        <v>-86.9</v>
      </c>
      <c r="W851" s="20">
        <v>-117.57</v>
      </c>
      <c r="X851" s="20">
        <v>-30.67</v>
      </c>
      <c r="Y851" s="20">
        <v>0</v>
      </c>
      <c r="Z851" s="20">
        <v>0</v>
      </c>
      <c r="AA851" s="20">
        <v>0</v>
      </c>
      <c r="AB851" s="20">
        <v>802.43</v>
      </c>
      <c r="AC851" t="s">
        <v>183</v>
      </c>
      <c r="AD851" t="s">
        <v>290</v>
      </c>
      <c r="AE851" s="702">
        <f t="shared" si="65"/>
        <v>43617</v>
      </c>
      <c r="AF851" s="289">
        <v>1431.6977249084084</v>
      </c>
      <c r="AG851">
        <f t="shared" si="66"/>
        <v>360</v>
      </c>
      <c r="AH851" s="289">
        <f t="shared" si="67"/>
        <v>3.9769381247455788</v>
      </c>
      <c r="AJ851" s="289">
        <f t="shared" si="68"/>
        <v>42</v>
      </c>
      <c r="AK851" s="289">
        <f t="shared" si="69"/>
        <v>167.03140123931431</v>
      </c>
    </row>
    <row r="852" spans="1:37">
      <c r="A852" s="703" t="s">
        <v>1976</v>
      </c>
      <c r="B852" s="703" t="s">
        <v>1606</v>
      </c>
      <c r="C852" s="703" t="s">
        <v>332</v>
      </c>
      <c r="D852" s="703" t="s">
        <v>334</v>
      </c>
      <c r="E852" s="703" t="s">
        <v>334</v>
      </c>
      <c r="F852" s="703" t="s">
        <v>335</v>
      </c>
      <c r="G852" s="703" t="s">
        <v>1977</v>
      </c>
      <c r="H852" s="703" t="s">
        <v>334</v>
      </c>
      <c r="I852" s="703" t="s">
        <v>334</v>
      </c>
      <c r="J852" s="703" t="s">
        <v>337</v>
      </c>
      <c r="K852" s="704">
        <v>0</v>
      </c>
      <c r="L852" s="703" t="s">
        <v>334</v>
      </c>
      <c r="M852" s="702">
        <v>43465</v>
      </c>
      <c r="N852" s="702">
        <v>43514</v>
      </c>
      <c r="O852" s="703" t="s">
        <v>338</v>
      </c>
      <c r="P852" s="20">
        <v>826.36</v>
      </c>
      <c r="Q852" s="20">
        <v>0</v>
      </c>
      <c r="R852" s="20">
        <v>0</v>
      </c>
      <c r="S852" s="20">
        <v>0</v>
      </c>
      <c r="T852" s="20">
        <v>826.36</v>
      </c>
      <c r="U852" s="20">
        <v>748.31</v>
      </c>
      <c r="V852" s="20">
        <v>-78.05</v>
      </c>
      <c r="W852" s="20">
        <v>-105.6</v>
      </c>
      <c r="X852" s="20">
        <v>-27.55</v>
      </c>
      <c r="Y852" s="20">
        <v>0</v>
      </c>
      <c r="Z852" s="20">
        <v>0</v>
      </c>
      <c r="AA852" s="20">
        <v>0</v>
      </c>
      <c r="AB852" s="20">
        <v>720.76</v>
      </c>
      <c r="AC852" t="s">
        <v>183</v>
      </c>
      <c r="AD852" t="s">
        <v>290</v>
      </c>
      <c r="AE852" s="702">
        <f t="shared" si="65"/>
        <v>43617</v>
      </c>
      <c r="AF852" s="289">
        <v>1285.9757956036003</v>
      </c>
      <c r="AG852">
        <f t="shared" si="66"/>
        <v>360</v>
      </c>
      <c r="AH852" s="289">
        <f t="shared" si="67"/>
        <v>3.5721549877877785</v>
      </c>
      <c r="AJ852" s="289">
        <f t="shared" si="68"/>
        <v>42</v>
      </c>
      <c r="AK852" s="289">
        <f t="shared" si="69"/>
        <v>150.0305094870867</v>
      </c>
    </row>
    <row r="853" spans="1:37">
      <c r="A853" s="703" t="s">
        <v>1978</v>
      </c>
      <c r="B853" s="703" t="s">
        <v>1606</v>
      </c>
      <c r="C853" s="703" t="s">
        <v>390</v>
      </c>
      <c r="D853" s="703" t="s">
        <v>334</v>
      </c>
      <c r="E853" s="703" t="s">
        <v>334</v>
      </c>
      <c r="F853" s="703" t="s">
        <v>335</v>
      </c>
      <c r="G853" s="703" t="s">
        <v>1979</v>
      </c>
      <c r="H853" s="703" t="s">
        <v>334</v>
      </c>
      <c r="I853" s="703" t="s">
        <v>334</v>
      </c>
      <c r="J853" s="703" t="s">
        <v>337</v>
      </c>
      <c r="K853" s="704">
        <v>0</v>
      </c>
      <c r="L853" s="703" t="s">
        <v>334</v>
      </c>
      <c r="M853" s="702">
        <v>42794</v>
      </c>
      <c r="N853" s="702">
        <v>43514</v>
      </c>
      <c r="O853" s="703" t="s">
        <v>338</v>
      </c>
      <c r="P853" s="20">
        <v>1896.3</v>
      </c>
      <c r="Q853" s="20">
        <v>0</v>
      </c>
      <c r="R853" s="20">
        <v>0</v>
      </c>
      <c r="S853" s="20">
        <v>0</v>
      </c>
      <c r="T853" s="20">
        <v>1896.3</v>
      </c>
      <c r="U853" s="20">
        <v>1717.2</v>
      </c>
      <c r="V853" s="20">
        <v>-179.1</v>
      </c>
      <c r="W853" s="20">
        <v>-242.31</v>
      </c>
      <c r="X853" s="20">
        <v>-63.21</v>
      </c>
      <c r="Y853" s="20">
        <v>0</v>
      </c>
      <c r="Z853" s="20">
        <v>0</v>
      </c>
      <c r="AA853" s="20">
        <v>0</v>
      </c>
      <c r="AB853" s="20">
        <v>1653.99</v>
      </c>
      <c r="AC853" t="s">
        <v>188</v>
      </c>
      <c r="AD853" t="s">
        <v>290</v>
      </c>
      <c r="AE853" s="702">
        <f t="shared" si="65"/>
        <v>43617</v>
      </c>
      <c r="AF853" s="289">
        <v>2951.009125808494</v>
      </c>
      <c r="AG853">
        <f t="shared" si="66"/>
        <v>360</v>
      </c>
      <c r="AH853" s="289">
        <f t="shared" si="67"/>
        <v>8.1972475716902604</v>
      </c>
      <c r="AJ853" s="289">
        <f t="shared" si="68"/>
        <v>42</v>
      </c>
      <c r="AK853" s="289">
        <f t="shared" si="69"/>
        <v>344.28439801099091</v>
      </c>
    </row>
    <row r="854" spans="1:37">
      <c r="A854" s="703" t="s">
        <v>1980</v>
      </c>
      <c r="B854" s="703" t="s">
        <v>1606</v>
      </c>
      <c r="C854" s="703" t="s">
        <v>390</v>
      </c>
      <c r="D854" s="703" t="s">
        <v>334</v>
      </c>
      <c r="E854" s="703" t="s">
        <v>334</v>
      </c>
      <c r="F854" s="703" t="s">
        <v>335</v>
      </c>
      <c r="G854" s="703" t="s">
        <v>1981</v>
      </c>
      <c r="H854" s="703" t="s">
        <v>334</v>
      </c>
      <c r="I854" s="703" t="s">
        <v>334</v>
      </c>
      <c r="J854" s="703" t="s">
        <v>337</v>
      </c>
      <c r="K854" s="704">
        <v>0</v>
      </c>
      <c r="L854" s="703" t="s">
        <v>334</v>
      </c>
      <c r="M854" s="702">
        <v>42794</v>
      </c>
      <c r="N854" s="702">
        <v>43514</v>
      </c>
      <c r="O854" s="703" t="s">
        <v>338</v>
      </c>
      <c r="P854" s="20">
        <v>430.53</v>
      </c>
      <c r="Q854" s="20">
        <v>0</v>
      </c>
      <c r="R854" s="20">
        <v>0</v>
      </c>
      <c r="S854" s="20">
        <v>0</v>
      </c>
      <c r="T854" s="20">
        <v>430.53</v>
      </c>
      <c r="U854" s="20">
        <v>389.87</v>
      </c>
      <c r="V854" s="20">
        <v>-40.659999999999997</v>
      </c>
      <c r="W854" s="20">
        <v>-55.01</v>
      </c>
      <c r="X854" s="20">
        <v>-14.35</v>
      </c>
      <c r="Y854" s="20">
        <v>0</v>
      </c>
      <c r="Z854" s="20">
        <v>0</v>
      </c>
      <c r="AA854" s="20">
        <v>0</v>
      </c>
      <c r="AB854" s="20">
        <v>375.52</v>
      </c>
      <c r="AC854" t="s">
        <v>188</v>
      </c>
      <c r="AD854" t="s">
        <v>290</v>
      </c>
      <c r="AE854" s="702">
        <f t="shared" si="65"/>
        <v>43617</v>
      </c>
      <c r="AF854" s="289">
        <v>669.98784946175761</v>
      </c>
      <c r="AG854">
        <f t="shared" si="66"/>
        <v>360</v>
      </c>
      <c r="AH854" s="289">
        <f t="shared" si="67"/>
        <v>1.8610773596159933</v>
      </c>
      <c r="AJ854" s="289">
        <f t="shared" si="68"/>
        <v>42</v>
      </c>
      <c r="AK854" s="289">
        <f t="shared" si="69"/>
        <v>78.165249103871716</v>
      </c>
    </row>
    <row r="855" spans="1:37">
      <c r="A855" s="703" t="s">
        <v>1982</v>
      </c>
      <c r="B855" s="703" t="s">
        <v>1606</v>
      </c>
      <c r="C855" s="703" t="s">
        <v>390</v>
      </c>
      <c r="D855" s="703" t="s">
        <v>334</v>
      </c>
      <c r="E855" s="703" t="s">
        <v>334</v>
      </c>
      <c r="F855" s="703" t="s">
        <v>335</v>
      </c>
      <c r="G855" s="703" t="s">
        <v>1983</v>
      </c>
      <c r="H855" s="703" t="s">
        <v>334</v>
      </c>
      <c r="I855" s="703" t="s">
        <v>334</v>
      </c>
      <c r="J855" s="703" t="s">
        <v>337</v>
      </c>
      <c r="K855" s="704">
        <v>0</v>
      </c>
      <c r="L855" s="703" t="s">
        <v>334</v>
      </c>
      <c r="M855" s="702">
        <v>42794</v>
      </c>
      <c r="N855" s="702">
        <v>43514</v>
      </c>
      <c r="O855" s="703" t="s">
        <v>338</v>
      </c>
      <c r="P855" s="20">
        <v>211.47</v>
      </c>
      <c r="Q855" s="20">
        <v>0</v>
      </c>
      <c r="R855" s="20">
        <v>0</v>
      </c>
      <c r="S855" s="20">
        <v>0</v>
      </c>
      <c r="T855" s="20">
        <v>211.47</v>
      </c>
      <c r="U855" s="20">
        <v>191.5</v>
      </c>
      <c r="V855" s="20">
        <v>-19.97</v>
      </c>
      <c r="W855" s="20">
        <v>-27.02</v>
      </c>
      <c r="X855" s="20">
        <v>-7.05</v>
      </c>
      <c r="Y855" s="20">
        <v>0</v>
      </c>
      <c r="Z855" s="20">
        <v>0</v>
      </c>
      <c r="AA855" s="20">
        <v>0</v>
      </c>
      <c r="AB855" s="20">
        <v>184.45</v>
      </c>
      <c r="AC855" t="s">
        <v>188</v>
      </c>
      <c r="AD855" t="s">
        <v>290</v>
      </c>
      <c r="AE855" s="702">
        <f t="shared" si="65"/>
        <v>43617</v>
      </c>
      <c r="AF855" s="289">
        <v>329.08817161563161</v>
      </c>
      <c r="AG855">
        <f t="shared" si="66"/>
        <v>360</v>
      </c>
      <c r="AH855" s="289">
        <f t="shared" si="67"/>
        <v>0.91413381004342109</v>
      </c>
      <c r="AJ855" s="289">
        <f t="shared" si="68"/>
        <v>42</v>
      </c>
      <c r="AK855" s="289">
        <f t="shared" si="69"/>
        <v>38.393620021823686</v>
      </c>
    </row>
    <row r="856" spans="1:37">
      <c r="A856" s="703" t="s">
        <v>1984</v>
      </c>
      <c r="B856" s="703" t="s">
        <v>1606</v>
      </c>
      <c r="C856" s="703" t="s">
        <v>390</v>
      </c>
      <c r="D856" s="703" t="s">
        <v>334</v>
      </c>
      <c r="E856" s="703" t="s">
        <v>334</v>
      </c>
      <c r="F856" s="703" t="s">
        <v>335</v>
      </c>
      <c r="G856" s="703" t="s">
        <v>1985</v>
      </c>
      <c r="H856" s="703" t="s">
        <v>334</v>
      </c>
      <c r="I856" s="703" t="s">
        <v>334</v>
      </c>
      <c r="J856" s="703" t="s">
        <v>337</v>
      </c>
      <c r="K856" s="704">
        <v>0</v>
      </c>
      <c r="L856" s="703" t="s">
        <v>334</v>
      </c>
      <c r="M856" s="702">
        <v>42794</v>
      </c>
      <c r="N856" s="702">
        <v>43514</v>
      </c>
      <c r="O856" s="703" t="s">
        <v>338</v>
      </c>
      <c r="P856" s="20">
        <v>240.14</v>
      </c>
      <c r="Q856" s="20">
        <v>0</v>
      </c>
      <c r="R856" s="20">
        <v>0</v>
      </c>
      <c r="S856" s="20">
        <v>0</v>
      </c>
      <c r="T856" s="20">
        <v>240.14</v>
      </c>
      <c r="U856" s="20">
        <v>217.47</v>
      </c>
      <c r="V856" s="20">
        <v>-22.67</v>
      </c>
      <c r="W856" s="20">
        <v>-30.67</v>
      </c>
      <c r="X856" s="20">
        <v>-8</v>
      </c>
      <c r="Y856" s="20">
        <v>0</v>
      </c>
      <c r="Z856" s="20">
        <v>0</v>
      </c>
      <c r="AA856" s="20">
        <v>0</v>
      </c>
      <c r="AB856" s="20">
        <v>209.47</v>
      </c>
      <c r="AC856" t="s">
        <v>188</v>
      </c>
      <c r="AD856" t="s">
        <v>290</v>
      </c>
      <c r="AE856" s="702">
        <f t="shared" si="65"/>
        <v>43617</v>
      </c>
      <c r="AF856" s="289">
        <v>373.70423006467956</v>
      </c>
      <c r="AG856">
        <f t="shared" si="66"/>
        <v>360</v>
      </c>
      <c r="AH856" s="289">
        <f t="shared" si="67"/>
        <v>1.038067305735221</v>
      </c>
      <c r="AJ856" s="289">
        <f t="shared" si="68"/>
        <v>42</v>
      </c>
      <c r="AK856" s="289">
        <f t="shared" si="69"/>
        <v>43.598826840879283</v>
      </c>
    </row>
    <row r="857" spans="1:37">
      <c r="A857" s="703" t="s">
        <v>1986</v>
      </c>
      <c r="B857" s="703" t="s">
        <v>1606</v>
      </c>
      <c r="C857" s="703" t="s">
        <v>390</v>
      </c>
      <c r="D857" s="703" t="s">
        <v>334</v>
      </c>
      <c r="E857" s="703" t="s">
        <v>334</v>
      </c>
      <c r="F857" s="703" t="s">
        <v>335</v>
      </c>
      <c r="G857" s="703" t="s">
        <v>1987</v>
      </c>
      <c r="H857" s="703" t="s">
        <v>334</v>
      </c>
      <c r="I857" s="703" t="s">
        <v>334</v>
      </c>
      <c r="J857" s="703" t="s">
        <v>337</v>
      </c>
      <c r="K857" s="704">
        <v>0</v>
      </c>
      <c r="L857" s="703" t="s">
        <v>334</v>
      </c>
      <c r="M857" s="702">
        <v>42886</v>
      </c>
      <c r="N857" s="702">
        <v>43514</v>
      </c>
      <c r="O857" s="703" t="s">
        <v>338</v>
      </c>
      <c r="P857" s="20">
        <v>49713.279999999999</v>
      </c>
      <c r="Q857" s="20">
        <v>0</v>
      </c>
      <c r="R857" s="20">
        <v>0</v>
      </c>
      <c r="S857" s="20">
        <v>0</v>
      </c>
      <c r="T857" s="20">
        <v>49713.279999999999</v>
      </c>
      <c r="U857" s="20">
        <v>45018.14</v>
      </c>
      <c r="V857" s="20">
        <v>-4695.1400000000003</v>
      </c>
      <c r="W857" s="20">
        <v>-6352.25</v>
      </c>
      <c r="X857" s="20">
        <v>-1657.11</v>
      </c>
      <c r="Y857" s="20">
        <v>0</v>
      </c>
      <c r="Z857" s="20">
        <v>0</v>
      </c>
      <c r="AA857" s="20">
        <v>0</v>
      </c>
      <c r="AB857" s="20">
        <v>43361.03</v>
      </c>
      <c r="AC857" t="s">
        <v>188</v>
      </c>
      <c r="AD857" t="s">
        <v>290</v>
      </c>
      <c r="AE857" s="702">
        <f t="shared" si="65"/>
        <v>43617</v>
      </c>
      <c r="AF857" s="289">
        <v>77363.467254059433</v>
      </c>
      <c r="AG857">
        <f t="shared" si="66"/>
        <v>360</v>
      </c>
      <c r="AH857" s="289">
        <f t="shared" si="67"/>
        <v>214.8985201501651</v>
      </c>
      <c r="AJ857" s="289">
        <f t="shared" si="68"/>
        <v>42</v>
      </c>
      <c r="AK857" s="289">
        <f t="shared" si="69"/>
        <v>9025.7378463069344</v>
      </c>
    </row>
    <row r="858" spans="1:37">
      <c r="A858" s="703" t="s">
        <v>1988</v>
      </c>
      <c r="B858" s="703" t="s">
        <v>1606</v>
      </c>
      <c r="C858" s="703" t="s">
        <v>390</v>
      </c>
      <c r="D858" s="703" t="s">
        <v>334</v>
      </c>
      <c r="E858" s="703" t="s">
        <v>334</v>
      </c>
      <c r="F858" s="703" t="s">
        <v>335</v>
      </c>
      <c r="G858" s="703" t="s">
        <v>1989</v>
      </c>
      <c r="H858" s="703" t="s">
        <v>334</v>
      </c>
      <c r="I858" s="703" t="s">
        <v>334</v>
      </c>
      <c r="J858" s="703" t="s">
        <v>337</v>
      </c>
      <c r="K858" s="704">
        <v>0</v>
      </c>
      <c r="L858" s="703" t="s">
        <v>334</v>
      </c>
      <c r="M858" s="702">
        <v>42886</v>
      </c>
      <c r="N858" s="702">
        <v>43514</v>
      </c>
      <c r="O858" s="703" t="s">
        <v>338</v>
      </c>
      <c r="P858" s="20">
        <v>1780.91</v>
      </c>
      <c r="Q858" s="20">
        <v>0</v>
      </c>
      <c r="R858" s="20">
        <v>0</v>
      </c>
      <c r="S858" s="20">
        <v>0</v>
      </c>
      <c r="T858" s="20">
        <v>1780.91</v>
      </c>
      <c r="U858" s="20">
        <v>1612.72</v>
      </c>
      <c r="V858" s="20">
        <v>-168.19</v>
      </c>
      <c r="W858" s="20">
        <v>-227.55</v>
      </c>
      <c r="X858" s="20">
        <v>-59.36</v>
      </c>
      <c r="Y858" s="20">
        <v>0</v>
      </c>
      <c r="Z858" s="20">
        <v>0</v>
      </c>
      <c r="AA858" s="20">
        <v>0</v>
      </c>
      <c r="AB858" s="20">
        <v>1553.36</v>
      </c>
      <c r="AC858" t="s">
        <v>188</v>
      </c>
      <c r="AD858" t="s">
        <v>290</v>
      </c>
      <c r="AE858" s="702">
        <f t="shared" si="65"/>
        <v>43617</v>
      </c>
      <c r="AF858" s="289">
        <v>2771.4399948550367</v>
      </c>
      <c r="AG858">
        <f t="shared" si="66"/>
        <v>360</v>
      </c>
      <c r="AH858" s="289">
        <f t="shared" si="67"/>
        <v>7.6984444301528798</v>
      </c>
      <c r="AJ858" s="289">
        <f t="shared" si="68"/>
        <v>42</v>
      </c>
      <c r="AK858" s="289">
        <f t="shared" si="69"/>
        <v>323.33466606642094</v>
      </c>
    </row>
    <row r="859" spans="1:37">
      <c r="A859" s="703" t="s">
        <v>1990</v>
      </c>
      <c r="B859" s="703" t="s">
        <v>1606</v>
      </c>
      <c r="C859" s="703" t="s">
        <v>390</v>
      </c>
      <c r="D859" s="703" t="s">
        <v>334</v>
      </c>
      <c r="E859" s="703" t="s">
        <v>334</v>
      </c>
      <c r="F859" s="703" t="s">
        <v>335</v>
      </c>
      <c r="G859" s="703" t="s">
        <v>1991</v>
      </c>
      <c r="H859" s="703" t="s">
        <v>334</v>
      </c>
      <c r="I859" s="703" t="s">
        <v>334</v>
      </c>
      <c r="J859" s="703" t="s">
        <v>337</v>
      </c>
      <c r="K859" s="704">
        <v>0</v>
      </c>
      <c r="L859" s="703" t="s">
        <v>334</v>
      </c>
      <c r="M859" s="702">
        <v>42886</v>
      </c>
      <c r="N859" s="702">
        <v>43514</v>
      </c>
      <c r="O859" s="703" t="s">
        <v>338</v>
      </c>
      <c r="P859" s="20">
        <v>189.53</v>
      </c>
      <c r="Q859" s="20">
        <v>0</v>
      </c>
      <c r="R859" s="20">
        <v>0</v>
      </c>
      <c r="S859" s="20">
        <v>0</v>
      </c>
      <c r="T859" s="20">
        <v>189.53</v>
      </c>
      <c r="U859" s="20">
        <v>171.63</v>
      </c>
      <c r="V859" s="20">
        <v>-17.899999999999999</v>
      </c>
      <c r="W859" s="20">
        <v>-24.22</v>
      </c>
      <c r="X859" s="20">
        <v>-6.32</v>
      </c>
      <c r="Y859" s="20">
        <v>0</v>
      </c>
      <c r="Z859" s="20">
        <v>0</v>
      </c>
      <c r="AA859" s="20">
        <v>0</v>
      </c>
      <c r="AB859" s="20">
        <v>165.31</v>
      </c>
      <c r="AC859" t="s">
        <v>188</v>
      </c>
      <c r="AD859" t="s">
        <v>290</v>
      </c>
      <c r="AE859" s="702">
        <f t="shared" si="65"/>
        <v>43617</v>
      </c>
      <c r="AF859" s="289">
        <v>294.94529326292462</v>
      </c>
      <c r="AG859">
        <f t="shared" si="66"/>
        <v>360</v>
      </c>
      <c r="AH859" s="289">
        <f t="shared" si="67"/>
        <v>0.81929248128590171</v>
      </c>
      <c r="AJ859" s="289">
        <f t="shared" si="68"/>
        <v>42</v>
      </c>
      <c r="AK859" s="289">
        <f t="shared" si="69"/>
        <v>34.410284214007874</v>
      </c>
    </row>
    <row r="860" spans="1:37">
      <c r="A860" s="703" t="s">
        <v>1992</v>
      </c>
      <c r="B860" s="703" t="s">
        <v>1606</v>
      </c>
      <c r="C860" s="703" t="s">
        <v>390</v>
      </c>
      <c r="D860" s="703" t="s">
        <v>334</v>
      </c>
      <c r="E860" s="703" t="s">
        <v>334</v>
      </c>
      <c r="F860" s="703" t="s">
        <v>335</v>
      </c>
      <c r="G860" s="703" t="s">
        <v>1993</v>
      </c>
      <c r="H860" s="703" t="s">
        <v>334</v>
      </c>
      <c r="I860" s="703" t="s">
        <v>334</v>
      </c>
      <c r="J860" s="703" t="s">
        <v>337</v>
      </c>
      <c r="K860" s="704">
        <v>0</v>
      </c>
      <c r="L860" s="703" t="s">
        <v>334</v>
      </c>
      <c r="M860" s="702">
        <v>42886</v>
      </c>
      <c r="N860" s="702">
        <v>43514</v>
      </c>
      <c r="O860" s="703" t="s">
        <v>338</v>
      </c>
      <c r="P860" s="20">
        <v>20543.36</v>
      </c>
      <c r="Q860" s="20">
        <v>0</v>
      </c>
      <c r="R860" s="20">
        <v>0</v>
      </c>
      <c r="S860" s="20">
        <v>0</v>
      </c>
      <c r="T860" s="20">
        <v>20543.36</v>
      </c>
      <c r="U860" s="20">
        <v>18603.150000000001</v>
      </c>
      <c r="V860" s="20">
        <v>-1940.21</v>
      </c>
      <c r="W860" s="20">
        <v>-2624.99</v>
      </c>
      <c r="X860" s="20">
        <v>-684.78</v>
      </c>
      <c r="Y860" s="20">
        <v>0</v>
      </c>
      <c r="Z860" s="20">
        <v>0</v>
      </c>
      <c r="AA860" s="20">
        <v>0</v>
      </c>
      <c r="AB860" s="20">
        <v>17918.37</v>
      </c>
      <c r="AC860" t="s">
        <v>188</v>
      </c>
      <c r="AD860" t="s">
        <v>290</v>
      </c>
      <c r="AE860" s="702">
        <f t="shared" si="65"/>
        <v>43617</v>
      </c>
      <c r="AF860" s="289">
        <v>31969.436710841739</v>
      </c>
      <c r="AG860">
        <f t="shared" si="66"/>
        <v>360</v>
      </c>
      <c r="AH860" s="289">
        <f t="shared" si="67"/>
        <v>88.803990863449272</v>
      </c>
      <c r="AJ860" s="289">
        <f t="shared" si="68"/>
        <v>42</v>
      </c>
      <c r="AK860" s="289">
        <f t="shared" si="69"/>
        <v>3729.7676162648695</v>
      </c>
    </row>
    <row r="861" spans="1:37">
      <c r="A861" s="703" t="s">
        <v>1994</v>
      </c>
      <c r="B861" s="703" t="s">
        <v>1606</v>
      </c>
      <c r="C861" s="703" t="s">
        <v>390</v>
      </c>
      <c r="D861" s="703" t="s">
        <v>334</v>
      </c>
      <c r="E861" s="703" t="s">
        <v>334</v>
      </c>
      <c r="F861" s="703" t="s">
        <v>335</v>
      </c>
      <c r="G861" s="703" t="s">
        <v>1995</v>
      </c>
      <c r="H861" s="703" t="s">
        <v>334</v>
      </c>
      <c r="I861" s="703" t="s">
        <v>334</v>
      </c>
      <c r="J861" s="703" t="s">
        <v>337</v>
      </c>
      <c r="K861" s="704">
        <v>0</v>
      </c>
      <c r="L861" s="703" t="s">
        <v>334</v>
      </c>
      <c r="M861" s="702">
        <v>42886</v>
      </c>
      <c r="N861" s="702">
        <v>43514</v>
      </c>
      <c r="O861" s="703" t="s">
        <v>338</v>
      </c>
      <c r="P861" s="20">
        <v>1662.67</v>
      </c>
      <c r="Q861" s="20">
        <v>0</v>
      </c>
      <c r="R861" s="20">
        <v>0</v>
      </c>
      <c r="S861" s="20">
        <v>0</v>
      </c>
      <c r="T861" s="20">
        <v>1662.67</v>
      </c>
      <c r="U861" s="20">
        <v>1505.64</v>
      </c>
      <c r="V861" s="20">
        <v>-157.03</v>
      </c>
      <c r="W861" s="20">
        <v>-212.45</v>
      </c>
      <c r="X861" s="20">
        <v>-55.42</v>
      </c>
      <c r="Y861" s="20">
        <v>0</v>
      </c>
      <c r="Z861" s="20">
        <v>0</v>
      </c>
      <c r="AA861" s="20">
        <v>0</v>
      </c>
      <c r="AB861" s="20">
        <v>1450.22</v>
      </c>
      <c r="AC861" t="s">
        <v>188</v>
      </c>
      <c r="AD861" t="s">
        <v>290</v>
      </c>
      <c r="AE861" s="702">
        <f t="shared" si="65"/>
        <v>43617</v>
      </c>
      <c r="AF861" s="289">
        <v>2587.4357133407211</v>
      </c>
      <c r="AG861">
        <f t="shared" si="66"/>
        <v>360</v>
      </c>
      <c r="AH861" s="289">
        <f t="shared" si="67"/>
        <v>7.1873214259464477</v>
      </c>
      <c r="AJ861" s="289">
        <f t="shared" si="68"/>
        <v>42</v>
      </c>
      <c r="AK861" s="289">
        <f t="shared" si="69"/>
        <v>301.86749988975083</v>
      </c>
    </row>
    <row r="862" spans="1:37">
      <c r="A862" s="703" t="s">
        <v>1996</v>
      </c>
      <c r="B862" s="703" t="s">
        <v>1606</v>
      </c>
      <c r="C862" s="703" t="s">
        <v>390</v>
      </c>
      <c r="D862" s="703" t="s">
        <v>334</v>
      </c>
      <c r="E862" s="703" t="s">
        <v>334</v>
      </c>
      <c r="F862" s="703" t="s">
        <v>335</v>
      </c>
      <c r="G862" s="703" t="s">
        <v>1997</v>
      </c>
      <c r="H862" s="703" t="s">
        <v>334</v>
      </c>
      <c r="I862" s="703" t="s">
        <v>334</v>
      </c>
      <c r="J862" s="703" t="s">
        <v>337</v>
      </c>
      <c r="K862" s="704">
        <v>0</v>
      </c>
      <c r="L862" s="703" t="s">
        <v>334</v>
      </c>
      <c r="M862" s="702">
        <v>42886</v>
      </c>
      <c r="N862" s="702">
        <v>43514</v>
      </c>
      <c r="O862" s="703" t="s">
        <v>338</v>
      </c>
      <c r="P862" s="20">
        <v>1198.26</v>
      </c>
      <c r="Q862" s="20">
        <v>0</v>
      </c>
      <c r="R862" s="20">
        <v>0</v>
      </c>
      <c r="S862" s="20">
        <v>0</v>
      </c>
      <c r="T862" s="20">
        <v>1198.26</v>
      </c>
      <c r="U862" s="20">
        <v>1085.0899999999999</v>
      </c>
      <c r="V862" s="20">
        <v>-113.17</v>
      </c>
      <c r="W862" s="20">
        <v>-153.11000000000001</v>
      </c>
      <c r="X862" s="20">
        <v>-39.94</v>
      </c>
      <c r="Y862" s="20">
        <v>0</v>
      </c>
      <c r="Z862" s="20">
        <v>0</v>
      </c>
      <c r="AA862" s="20">
        <v>0</v>
      </c>
      <c r="AB862" s="20">
        <v>1045.1500000000001</v>
      </c>
      <c r="AC862" t="s">
        <v>188</v>
      </c>
      <c r="AD862" t="s">
        <v>290</v>
      </c>
      <c r="AE862" s="702">
        <f t="shared" si="65"/>
        <v>43617</v>
      </c>
      <c r="AF862" s="289">
        <v>1864.7240389660319</v>
      </c>
      <c r="AG862">
        <f t="shared" si="66"/>
        <v>360</v>
      </c>
      <c r="AH862" s="289">
        <f t="shared" si="67"/>
        <v>5.1797889971278668</v>
      </c>
      <c r="AJ862" s="289">
        <f t="shared" si="68"/>
        <v>42</v>
      </c>
      <c r="AK862" s="289">
        <f t="shared" si="69"/>
        <v>217.5511378793704</v>
      </c>
    </row>
    <row r="863" spans="1:37">
      <c r="A863" s="703" t="s">
        <v>1998</v>
      </c>
      <c r="B863" s="703" t="s">
        <v>1606</v>
      </c>
      <c r="C863" s="703" t="s">
        <v>390</v>
      </c>
      <c r="D863" s="703" t="s">
        <v>334</v>
      </c>
      <c r="E863" s="703" t="s">
        <v>334</v>
      </c>
      <c r="F863" s="703" t="s">
        <v>335</v>
      </c>
      <c r="G863" s="703" t="s">
        <v>1999</v>
      </c>
      <c r="H863" s="703" t="s">
        <v>334</v>
      </c>
      <c r="I863" s="703" t="s">
        <v>334</v>
      </c>
      <c r="J863" s="703" t="s">
        <v>337</v>
      </c>
      <c r="K863" s="704">
        <v>0</v>
      </c>
      <c r="L863" s="703" t="s">
        <v>334</v>
      </c>
      <c r="M863" s="702">
        <v>42886</v>
      </c>
      <c r="N863" s="702">
        <v>43514</v>
      </c>
      <c r="O863" s="703" t="s">
        <v>338</v>
      </c>
      <c r="P863" s="20">
        <v>199.78</v>
      </c>
      <c r="Q863" s="20">
        <v>0</v>
      </c>
      <c r="R863" s="20">
        <v>0</v>
      </c>
      <c r="S863" s="20">
        <v>0</v>
      </c>
      <c r="T863" s="20">
        <v>199.78</v>
      </c>
      <c r="U863" s="20">
        <v>180.91</v>
      </c>
      <c r="V863" s="20">
        <v>-18.87</v>
      </c>
      <c r="W863" s="20">
        <v>-25.53</v>
      </c>
      <c r="X863" s="20">
        <v>-6.66</v>
      </c>
      <c r="Y863" s="20">
        <v>0</v>
      </c>
      <c r="Z863" s="20">
        <v>0</v>
      </c>
      <c r="AA863" s="20">
        <v>0</v>
      </c>
      <c r="AB863" s="20">
        <v>174.25</v>
      </c>
      <c r="AC863" t="s">
        <v>188</v>
      </c>
      <c r="AD863" t="s">
        <v>290</v>
      </c>
      <c r="AE863" s="702">
        <f t="shared" si="65"/>
        <v>43617</v>
      </c>
      <c r="AF863" s="289">
        <v>310.89627335021936</v>
      </c>
      <c r="AG863">
        <f t="shared" si="66"/>
        <v>360</v>
      </c>
      <c r="AH863" s="289">
        <f t="shared" si="67"/>
        <v>0.86360075930616487</v>
      </c>
      <c r="AJ863" s="289">
        <f t="shared" si="68"/>
        <v>42</v>
      </c>
      <c r="AK863" s="289">
        <f t="shared" si="69"/>
        <v>36.271231890858921</v>
      </c>
    </row>
    <row r="864" spans="1:37">
      <c r="A864" s="703" t="s">
        <v>2000</v>
      </c>
      <c r="B864" s="703" t="s">
        <v>1606</v>
      </c>
      <c r="C864" s="703" t="s">
        <v>390</v>
      </c>
      <c r="D864" s="703" t="s">
        <v>334</v>
      </c>
      <c r="E864" s="703" t="s">
        <v>334</v>
      </c>
      <c r="F864" s="703" t="s">
        <v>335</v>
      </c>
      <c r="G864" s="703" t="s">
        <v>2001</v>
      </c>
      <c r="H864" s="703" t="s">
        <v>334</v>
      </c>
      <c r="I864" s="703" t="s">
        <v>334</v>
      </c>
      <c r="J864" s="703" t="s">
        <v>337</v>
      </c>
      <c r="K864" s="704">
        <v>0</v>
      </c>
      <c r="L864" s="703" t="s">
        <v>334</v>
      </c>
      <c r="M864" s="702">
        <v>42886</v>
      </c>
      <c r="N864" s="702">
        <v>43514</v>
      </c>
      <c r="O864" s="703" t="s">
        <v>338</v>
      </c>
      <c r="P864" s="20">
        <v>831.33</v>
      </c>
      <c r="Q864" s="20">
        <v>0</v>
      </c>
      <c r="R864" s="20">
        <v>0</v>
      </c>
      <c r="S864" s="20">
        <v>0</v>
      </c>
      <c r="T864" s="20">
        <v>831.33</v>
      </c>
      <c r="U864" s="20">
        <v>752.82</v>
      </c>
      <c r="V864" s="20">
        <v>-78.510000000000005</v>
      </c>
      <c r="W864" s="20">
        <v>-106.22</v>
      </c>
      <c r="X864" s="20">
        <v>-27.71</v>
      </c>
      <c r="Y864" s="20">
        <v>0</v>
      </c>
      <c r="Z864" s="20">
        <v>0</v>
      </c>
      <c r="AA864" s="20">
        <v>0</v>
      </c>
      <c r="AB864" s="20">
        <v>725.11</v>
      </c>
      <c r="AC864" t="s">
        <v>188</v>
      </c>
      <c r="AD864" t="s">
        <v>290</v>
      </c>
      <c r="AE864" s="702">
        <f t="shared" si="65"/>
        <v>43617</v>
      </c>
      <c r="AF864" s="289">
        <v>1293.7100757044643</v>
      </c>
      <c r="AG864">
        <f t="shared" si="66"/>
        <v>360</v>
      </c>
      <c r="AH864" s="289">
        <f t="shared" si="67"/>
        <v>3.5936390991790677</v>
      </c>
      <c r="AJ864" s="289">
        <f t="shared" si="68"/>
        <v>42</v>
      </c>
      <c r="AK864" s="289">
        <f t="shared" si="69"/>
        <v>150.93284216552084</v>
      </c>
    </row>
    <row r="865" spans="1:37">
      <c r="A865" s="703" t="s">
        <v>2002</v>
      </c>
      <c r="B865" s="703" t="s">
        <v>1606</v>
      </c>
      <c r="C865" s="703" t="s">
        <v>390</v>
      </c>
      <c r="D865" s="703" t="s">
        <v>334</v>
      </c>
      <c r="E865" s="703" t="s">
        <v>334</v>
      </c>
      <c r="F865" s="703" t="s">
        <v>335</v>
      </c>
      <c r="G865" s="703" t="s">
        <v>2003</v>
      </c>
      <c r="H865" s="703" t="s">
        <v>334</v>
      </c>
      <c r="I865" s="703" t="s">
        <v>334</v>
      </c>
      <c r="J865" s="703" t="s">
        <v>337</v>
      </c>
      <c r="K865" s="704">
        <v>0</v>
      </c>
      <c r="L865" s="703" t="s">
        <v>334</v>
      </c>
      <c r="M865" s="702">
        <v>42886</v>
      </c>
      <c r="N865" s="702">
        <v>43514</v>
      </c>
      <c r="O865" s="703" t="s">
        <v>338</v>
      </c>
      <c r="P865" s="20">
        <v>3120.59</v>
      </c>
      <c r="Q865" s="20">
        <v>0</v>
      </c>
      <c r="R865" s="20">
        <v>0</v>
      </c>
      <c r="S865" s="20">
        <v>0</v>
      </c>
      <c r="T865" s="20">
        <v>3120.59</v>
      </c>
      <c r="U865" s="20">
        <v>2825.87</v>
      </c>
      <c r="V865" s="20">
        <v>-294.72000000000003</v>
      </c>
      <c r="W865" s="20">
        <v>-398.74</v>
      </c>
      <c r="X865" s="20">
        <v>-104.02</v>
      </c>
      <c r="Y865" s="20">
        <v>0</v>
      </c>
      <c r="Z865" s="20">
        <v>0</v>
      </c>
      <c r="AA865" s="20">
        <v>0</v>
      </c>
      <c r="AB865" s="20">
        <v>2721.85</v>
      </c>
      <c r="AC865" t="s">
        <v>188</v>
      </c>
      <c r="AD865" t="s">
        <v>290</v>
      </c>
      <c r="AE865" s="702">
        <f t="shared" si="65"/>
        <v>43617</v>
      </c>
      <c r="AF865" s="289">
        <v>4856.2408732303593</v>
      </c>
      <c r="AG865">
        <f t="shared" si="66"/>
        <v>360</v>
      </c>
      <c r="AH865" s="289">
        <f t="shared" si="67"/>
        <v>13.489557981195443</v>
      </c>
      <c r="AJ865" s="289">
        <f t="shared" si="68"/>
        <v>42</v>
      </c>
      <c r="AK865" s="289">
        <f t="shared" si="69"/>
        <v>566.56143521020863</v>
      </c>
    </row>
    <row r="866" spans="1:37">
      <c r="A866" s="703" t="s">
        <v>2004</v>
      </c>
      <c r="B866" s="703" t="s">
        <v>1606</v>
      </c>
      <c r="C866" s="703" t="s">
        <v>390</v>
      </c>
      <c r="D866" s="703" t="s">
        <v>334</v>
      </c>
      <c r="E866" s="703" t="s">
        <v>334</v>
      </c>
      <c r="F866" s="703" t="s">
        <v>335</v>
      </c>
      <c r="G866" s="703" t="s">
        <v>2005</v>
      </c>
      <c r="H866" s="703" t="s">
        <v>334</v>
      </c>
      <c r="I866" s="703" t="s">
        <v>334</v>
      </c>
      <c r="J866" s="703" t="s">
        <v>337</v>
      </c>
      <c r="K866" s="704">
        <v>0</v>
      </c>
      <c r="L866" s="703" t="s">
        <v>334</v>
      </c>
      <c r="M866" s="702">
        <v>42886</v>
      </c>
      <c r="N866" s="702">
        <v>43514</v>
      </c>
      <c r="O866" s="703" t="s">
        <v>338</v>
      </c>
      <c r="P866" s="20">
        <v>30609.45</v>
      </c>
      <c r="Q866" s="20">
        <v>0</v>
      </c>
      <c r="R866" s="20">
        <v>0</v>
      </c>
      <c r="S866" s="20">
        <v>0</v>
      </c>
      <c r="T866" s="20">
        <v>30609.45</v>
      </c>
      <c r="U866" s="20">
        <v>27718.55</v>
      </c>
      <c r="V866" s="20">
        <v>-2890.9</v>
      </c>
      <c r="W866" s="20">
        <v>-3911.22</v>
      </c>
      <c r="X866" s="20">
        <v>-1020.32</v>
      </c>
      <c r="Y866" s="20">
        <v>0</v>
      </c>
      <c r="Z866" s="20">
        <v>0</v>
      </c>
      <c r="AA866" s="20">
        <v>0</v>
      </c>
      <c r="AB866" s="20">
        <v>26698.23</v>
      </c>
      <c r="AC866" t="s">
        <v>188</v>
      </c>
      <c r="AD866" t="s">
        <v>290</v>
      </c>
      <c r="AE866" s="702">
        <f t="shared" si="65"/>
        <v>43617</v>
      </c>
      <c r="AF866" s="289">
        <v>47634.217310540953</v>
      </c>
      <c r="AG866">
        <f t="shared" si="66"/>
        <v>360</v>
      </c>
      <c r="AH866" s="289">
        <f t="shared" si="67"/>
        <v>132.31727030705821</v>
      </c>
      <c r="AJ866" s="289">
        <f t="shared" si="68"/>
        <v>42</v>
      </c>
      <c r="AK866" s="289">
        <f t="shared" si="69"/>
        <v>5557.3253528964451</v>
      </c>
    </row>
    <row r="867" spans="1:37">
      <c r="A867" s="703" t="s">
        <v>2006</v>
      </c>
      <c r="B867" s="703" t="s">
        <v>1606</v>
      </c>
      <c r="C867" s="703" t="s">
        <v>390</v>
      </c>
      <c r="D867" s="703" t="s">
        <v>334</v>
      </c>
      <c r="E867" s="703" t="s">
        <v>334</v>
      </c>
      <c r="F867" s="703" t="s">
        <v>335</v>
      </c>
      <c r="G867" s="703" t="s">
        <v>2007</v>
      </c>
      <c r="H867" s="703" t="s">
        <v>334</v>
      </c>
      <c r="I867" s="703" t="s">
        <v>334</v>
      </c>
      <c r="J867" s="703" t="s">
        <v>337</v>
      </c>
      <c r="K867" s="704">
        <v>0</v>
      </c>
      <c r="L867" s="703" t="s">
        <v>334</v>
      </c>
      <c r="M867" s="702">
        <v>42886</v>
      </c>
      <c r="N867" s="702">
        <v>43514</v>
      </c>
      <c r="O867" s="703" t="s">
        <v>338</v>
      </c>
      <c r="P867" s="20">
        <v>9895.27</v>
      </c>
      <c r="Q867" s="20">
        <v>0</v>
      </c>
      <c r="R867" s="20">
        <v>0</v>
      </c>
      <c r="S867" s="20">
        <v>0</v>
      </c>
      <c r="T867" s="20">
        <v>9895.27</v>
      </c>
      <c r="U867" s="20">
        <v>8960.7199999999993</v>
      </c>
      <c r="V867" s="20">
        <v>-934.55</v>
      </c>
      <c r="W867" s="20">
        <v>-1264.3900000000001</v>
      </c>
      <c r="X867" s="20">
        <v>-329.84</v>
      </c>
      <c r="Y867" s="20">
        <v>0</v>
      </c>
      <c r="Z867" s="20">
        <v>0</v>
      </c>
      <c r="AA867" s="20">
        <v>0</v>
      </c>
      <c r="AB867" s="20">
        <v>8630.8799999999992</v>
      </c>
      <c r="AC867" t="s">
        <v>188</v>
      </c>
      <c r="AD867" t="s">
        <v>290</v>
      </c>
      <c r="AE867" s="702">
        <f t="shared" si="65"/>
        <v>43617</v>
      </c>
      <c r="AF867" s="289">
        <v>15398.951680820028</v>
      </c>
      <c r="AG867">
        <f t="shared" si="66"/>
        <v>360</v>
      </c>
      <c r="AH867" s="289">
        <f t="shared" si="67"/>
        <v>42.774865780055634</v>
      </c>
      <c r="AJ867" s="289">
        <f t="shared" si="68"/>
        <v>42</v>
      </c>
      <c r="AK867" s="289">
        <f t="shared" si="69"/>
        <v>1796.5443627623367</v>
      </c>
    </row>
    <row r="868" spans="1:37">
      <c r="A868" s="703" t="s">
        <v>2008</v>
      </c>
      <c r="B868" s="703" t="s">
        <v>1606</v>
      </c>
      <c r="C868" s="703" t="s">
        <v>390</v>
      </c>
      <c r="D868" s="703" t="s">
        <v>334</v>
      </c>
      <c r="E868" s="703" t="s">
        <v>334</v>
      </c>
      <c r="F868" s="703" t="s">
        <v>335</v>
      </c>
      <c r="G868" s="703" t="s">
        <v>2009</v>
      </c>
      <c r="H868" s="703" t="s">
        <v>334</v>
      </c>
      <c r="I868" s="703" t="s">
        <v>334</v>
      </c>
      <c r="J868" s="703" t="s">
        <v>337</v>
      </c>
      <c r="K868" s="704">
        <v>0</v>
      </c>
      <c r="L868" s="703" t="s">
        <v>334</v>
      </c>
      <c r="M868" s="702">
        <v>42886</v>
      </c>
      <c r="N868" s="702">
        <v>43514</v>
      </c>
      <c r="O868" s="703" t="s">
        <v>338</v>
      </c>
      <c r="P868" s="20">
        <v>6650.67</v>
      </c>
      <c r="Q868" s="20">
        <v>0</v>
      </c>
      <c r="R868" s="20">
        <v>0</v>
      </c>
      <c r="S868" s="20">
        <v>0</v>
      </c>
      <c r="T868" s="20">
        <v>6650.67</v>
      </c>
      <c r="U868" s="20">
        <v>6022.55</v>
      </c>
      <c r="V868" s="20">
        <v>-628.12</v>
      </c>
      <c r="W868" s="20">
        <v>-849.81</v>
      </c>
      <c r="X868" s="20">
        <v>-221.69</v>
      </c>
      <c r="Y868" s="20">
        <v>0</v>
      </c>
      <c r="Z868" s="20">
        <v>0</v>
      </c>
      <c r="AA868" s="20">
        <v>0</v>
      </c>
      <c r="AB868" s="20">
        <v>5800.86</v>
      </c>
      <c r="AC868" t="s">
        <v>188</v>
      </c>
      <c r="AD868" t="s">
        <v>290</v>
      </c>
      <c r="AE868" s="702">
        <f t="shared" si="65"/>
        <v>43617</v>
      </c>
      <c r="AF868" s="289">
        <v>10349.727291431091</v>
      </c>
      <c r="AG868">
        <f t="shared" si="66"/>
        <v>360</v>
      </c>
      <c r="AH868" s="289">
        <f t="shared" si="67"/>
        <v>28.749242476197473</v>
      </c>
      <c r="AJ868" s="289">
        <f t="shared" si="68"/>
        <v>42</v>
      </c>
      <c r="AK868" s="289">
        <f t="shared" si="69"/>
        <v>1207.4681840002938</v>
      </c>
    </row>
    <row r="869" spans="1:37">
      <c r="A869" s="703" t="s">
        <v>2010</v>
      </c>
      <c r="B869" s="703" t="s">
        <v>1606</v>
      </c>
      <c r="C869" s="703" t="s">
        <v>390</v>
      </c>
      <c r="D869" s="703" t="s">
        <v>334</v>
      </c>
      <c r="E869" s="703" t="s">
        <v>334</v>
      </c>
      <c r="F869" s="703" t="s">
        <v>335</v>
      </c>
      <c r="G869" s="703" t="s">
        <v>2011</v>
      </c>
      <c r="H869" s="703" t="s">
        <v>334</v>
      </c>
      <c r="I869" s="703" t="s">
        <v>334</v>
      </c>
      <c r="J869" s="703" t="s">
        <v>337</v>
      </c>
      <c r="K869" s="704">
        <v>0</v>
      </c>
      <c r="L869" s="703" t="s">
        <v>334</v>
      </c>
      <c r="M869" s="702">
        <v>42886</v>
      </c>
      <c r="N869" s="702">
        <v>43514</v>
      </c>
      <c r="O869" s="703" t="s">
        <v>338</v>
      </c>
      <c r="P869" s="20">
        <v>8190.08</v>
      </c>
      <c r="Q869" s="20">
        <v>0</v>
      </c>
      <c r="R869" s="20">
        <v>0</v>
      </c>
      <c r="S869" s="20">
        <v>0</v>
      </c>
      <c r="T869" s="20">
        <v>8190.08</v>
      </c>
      <c r="U869" s="20">
        <v>7416.58</v>
      </c>
      <c r="V869" s="20">
        <v>-773.5</v>
      </c>
      <c r="W869" s="20">
        <v>-1046.5</v>
      </c>
      <c r="X869" s="20">
        <v>-273</v>
      </c>
      <c r="Y869" s="20">
        <v>0</v>
      </c>
      <c r="Z869" s="20">
        <v>0</v>
      </c>
      <c r="AA869" s="20">
        <v>0</v>
      </c>
      <c r="AB869" s="20">
        <v>7143.58</v>
      </c>
      <c r="AC869" t="s">
        <v>188</v>
      </c>
      <c r="AD869" t="s">
        <v>290</v>
      </c>
      <c r="AE869" s="702">
        <f t="shared" si="65"/>
        <v>43617</v>
      </c>
      <c r="AF869" s="289">
        <v>12745.346633497671</v>
      </c>
      <c r="AG869">
        <f t="shared" si="66"/>
        <v>360</v>
      </c>
      <c r="AH869" s="289">
        <f t="shared" si="67"/>
        <v>35.403740648604639</v>
      </c>
      <c r="AJ869" s="289">
        <f t="shared" si="68"/>
        <v>42</v>
      </c>
      <c r="AK869" s="289">
        <f t="shared" si="69"/>
        <v>1486.9571072413949</v>
      </c>
    </row>
    <row r="870" spans="1:37">
      <c r="A870" s="703" t="s">
        <v>2012</v>
      </c>
      <c r="B870" s="703" t="s">
        <v>1606</v>
      </c>
      <c r="C870" s="703" t="s">
        <v>390</v>
      </c>
      <c r="D870" s="703" t="s">
        <v>334</v>
      </c>
      <c r="E870" s="703" t="s">
        <v>334</v>
      </c>
      <c r="F870" s="703" t="s">
        <v>335</v>
      </c>
      <c r="G870" s="703" t="s">
        <v>2013</v>
      </c>
      <c r="H870" s="703" t="s">
        <v>334</v>
      </c>
      <c r="I870" s="703" t="s">
        <v>334</v>
      </c>
      <c r="J870" s="703" t="s">
        <v>337</v>
      </c>
      <c r="K870" s="704">
        <v>0</v>
      </c>
      <c r="L870" s="703" t="s">
        <v>334</v>
      </c>
      <c r="M870" s="702">
        <v>42886</v>
      </c>
      <c r="N870" s="702">
        <v>43514</v>
      </c>
      <c r="O870" s="703" t="s">
        <v>338</v>
      </c>
      <c r="P870" s="20">
        <v>1813.44</v>
      </c>
      <c r="Q870" s="20">
        <v>0</v>
      </c>
      <c r="R870" s="20">
        <v>0</v>
      </c>
      <c r="S870" s="20">
        <v>0</v>
      </c>
      <c r="T870" s="20">
        <v>1813.44</v>
      </c>
      <c r="U870" s="20">
        <v>1642.17</v>
      </c>
      <c r="V870" s="20">
        <v>-171.27</v>
      </c>
      <c r="W870" s="20">
        <v>-231.72</v>
      </c>
      <c r="X870" s="20">
        <v>-60.45</v>
      </c>
      <c r="Y870" s="20">
        <v>0</v>
      </c>
      <c r="Z870" s="20">
        <v>0</v>
      </c>
      <c r="AA870" s="20">
        <v>0</v>
      </c>
      <c r="AB870" s="20">
        <v>1581.72</v>
      </c>
      <c r="AC870" t="s">
        <v>188</v>
      </c>
      <c r="AD870" t="s">
        <v>290</v>
      </c>
      <c r="AE870" s="702">
        <f t="shared" si="65"/>
        <v>43617</v>
      </c>
      <c r="AF870" s="289">
        <v>2822.0629589759828</v>
      </c>
      <c r="AG870">
        <f t="shared" si="66"/>
        <v>360</v>
      </c>
      <c r="AH870" s="289">
        <f t="shared" si="67"/>
        <v>7.8390637749332859</v>
      </c>
      <c r="AJ870" s="289">
        <f t="shared" si="68"/>
        <v>42</v>
      </c>
      <c r="AK870" s="289">
        <f t="shared" si="69"/>
        <v>329.240678547198</v>
      </c>
    </row>
    <row r="871" spans="1:37">
      <c r="A871" s="703" t="s">
        <v>2014</v>
      </c>
      <c r="B871" s="703" t="s">
        <v>1606</v>
      </c>
      <c r="C871" s="703" t="s">
        <v>390</v>
      </c>
      <c r="D871" s="703" t="s">
        <v>334</v>
      </c>
      <c r="E871" s="703" t="s">
        <v>334</v>
      </c>
      <c r="F871" s="703" t="s">
        <v>335</v>
      </c>
      <c r="G871" s="703" t="s">
        <v>2015</v>
      </c>
      <c r="H871" s="703" t="s">
        <v>334</v>
      </c>
      <c r="I871" s="703" t="s">
        <v>334</v>
      </c>
      <c r="J871" s="703" t="s">
        <v>337</v>
      </c>
      <c r="K871" s="704">
        <v>0</v>
      </c>
      <c r="L871" s="703" t="s">
        <v>334</v>
      </c>
      <c r="M871" s="702">
        <v>42886</v>
      </c>
      <c r="N871" s="702">
        <v>43514</v>
      </c>
      <c r="O871" s="703" t="s">
        <v>338</v>
      </c>
      <c r="P871" s="20">
        <v>3248.02</v>
      </c>
      <c r="Q871" s="20">
        <v>0</v>
      </c>
      <c r="R871" s="20">
        <v>0</v>
      </c>
      <c r="S871" s="20">
        <v>0</v>
      </c>
      <c r="T871" s="20">
        <v>3248.02</v>
      </c>
      <c r="U871" s="20">
        <v>2941.26</v>
      </c>
      <c r="V871" s="20">
        <v>-306.76</v>
      </c>
      <c r="W871" s="20">
        <v>-415.03</v>
      </c>
      <c r="X871" s="20">
        <v>-108.27</v>
      </c>
      <c r="Y871" s="20">
        <v>0</v>
      </c>
      <c r="Z871" s="20">
        <v>0</v>
      </c>
      <c r="AA871" s="20">
        <v>0</v>
      </c>
      <c r="AB871" s="20">
        <v>2832.99</v>
      </c>
      <c r="AC871" t="s">
        <v>188</v>
      </c>
      <c r="AD871" t="s">
        <v>290</v>
      </c>
      <c r="AE871" s="702">
        <f t="shared" si="65"/>
        <v>43617</v>
      </c>
      <c r="AF871" s="289">
        <v>5054.5465700619661</v>
      </c>
      <c r="AG871">
        <f t="shared" si="66"/>
        <v>360</v>
      </c>
      <c r="AH871" s="289">
        <f t="shared" si="67"/>
        <v>14.040407139061017</v>
      </c>
      <c r="AJ871" s="289">
        <f t="shared" si="68"/>
        <v>42</v>
      </c>
      <c r="AK871" s="289">
        <f t="shared" si="69"/>
        <v>589.69709984056271</v>
      </c>
    </row>
    <row r="872" spans="1:37">
      <c r="A872" s="703" t="s">
        <v>2016</v>
      </c>
      <c r="B872" s="703" t="s">
        <v>1606</v>
      </c>
      <c r="C872" s="703" t="s">
        <v>390</v>
      </c>
      <c r="D872" s="703" t="s">
        <v>334</v>
      </c>
      <c r="E872" s="703" t="s">
        <v>334</v>
      </c>
      <c r="F872" s="703" t="s">
        <v>335</v>
      </c>
      <c r="G872" s="703" t="s">
        <v>2017</v>
      </c>
      <c r="H872" s="703" t="s">
        <v>334</v>
      </c>
      <c r="I872" s="703" t="s">
        <v>334</v>
      </c>
      <c r="J872" s="703" t="s">
        <v>337</v>
      </c>
      <c r="K872" s="704">
        <v>0</v>
      </c>
      <c r="L872" s="703" t="s">
        <v>334</v>
      </c>
      <c r="M872" s="702">
        <v>42886</v>
      </c>
      <c r="N872" s="702">
        <v>43514</v>
      </c>
      <c r="O872" s="703" t="s">
        <v>338</v>
      </c>
      <c r="P872" s="20">
        <v>32252.31</v>
      </c>
      <c r="Q872" s="20">
        <v>0</v>
      </c>
      <c r="R872" s="20">
        <v>0</v>
      </c>
      <c r="S872" s="20">
        <v>0</v>
      </c>
      <c r="T872" s="20">
        <v>32252.31</v>
      </c>
      <c r="U872" s="20">
        <v>29206.25</v>
      </c>
      <c r="V872" s="20">
        <v>-3046.06</v>
      </c>
      <c r="W872" s="20">
        <v>-4121.1400000000003</v>
      </c>
      <c r="X872" s="20">
        <v>-1075.08</v>
      </c>
      <c r="Y872" s="20">
        <v>0</v>
      </c>
      <c r="Z872" s="20">
        <v>0</v>
      </c>
      <c r="AA872" s="20">
        <v>0</v>
      </c>
      <c r="AB872" s="20">
        <v>28131.17</v>
      </c>
      <c r="AC872" t="s">
        <v>188</v>
      </c>
      <c r="AD872" t="s">
        <v>290</v>
      </c>
      <c r="AE872" s="702">
        <f t="shared" si="65"/>
        <v>43617</v>
      </c>
      <c r="AF872" s="289">
        <v>50190.824837000771</v>
      </c>
      <c r="AG872">
        <f t="shared" si="66"/>
        <v>360</v>
      </c>
      <c r="AH872" s="289">
        <f t="shared" si="67"/>
        <v>139.41895788055768</v>
      </c>
      <c r="AJ872" s="289">
        <f t="shared" si="68"/>
        <v>42</v>
      </c>
      <c r="AK872" s="289">
        <f t="shared" si="69"/>
        <v>5855.5962309834231</v>
      </c>
    </row>
    <row r="873" spans="1:37">
      <c r="A873" s="703" t="s">
        <v>2018</v>
      </c>
      <c r="B873" s="703" t="s">
        <v>1606</v>
      </c>
      <c r="C873" s="703" t="s">
        <v>390</v>
      </c>
      <c r="D873" s="703" t="s">
        <v>334</v>
      </c>
      <c r="E873" s="703" t="s">
        <v>334</v>
      </c>
      <c r="F873" s="703" t="s">
        <v>335</v>
      </c>
      <c r="G873" s="703" t="s">
        <v>2019</v>
      </c>
      <c r="H873" s="703" t="s">
        <v>334</v>
      </c>
      <c r="I873" s="703" t="s">
        <v>334</v>
      </c>
      <c r="J873" s="703" t="s">
        <v>337</v>
      </c>
      <c r="K873" s="704">
        <v>0</v>
      </c>
      <c r="L873" s="703" t="s">
        <v>334</v>
      </c>
      <c r="M873" s="702">
        <v>42886</v>
      </c>
      <c r="N873" s="702">
        <v>43514</v>
      </c>
      <c r="O873" s="703" t="s">
        <v>338</v>
      </c>
      <c r="P873" s="20">
        <v>4419.75</v>
      </c>
      <c r="Q873" s="20">
        <v>0</v>
      </c>
      <c r="R873" s="20">
        <v>0</v>
      </c>
      <c r="S873" s="20">
        <v>0</v>
      </c>
      <c r="T873" s="20">
        <v>4419.75</v>
      </c>
      <c r="U873" s="20">
        <v>4002.32</v>
      </c>
      <c r="V873" s="20">
        <v>-417.43</v>
      </c>
      <c r="W873" s="20">
        <v>-564.76</v>
      </c>
      <c r="X873" s="20">
        <v>-147.33000000000001</v>
      </c>
      <c r="Y873" s="20">
        <v>0</v>
      </c>
      <c r="Z873" s="20">
        <v>0</v>
      </c>
      <c r="AA873" s="20">
        <v>0</v>
      </c>
      <c r="AB873" s="20">
        <v>3854.99</v>
      </c>
      <c r="AC873" t="s">
        <v>188</v>
      </c>
      <c r="AD873" t="s">
        <v>290</v>
      </c>
      <c r="AE873" s="702">
        <f t="shared" si="65"/>
        <v>43617</v>
      </c>
      <c r="AF873" s="289">
        <v>6877.9848039825411</v>
      </c>
      <c r="AG873">
        <f t="shared" si="66"/>
        <v>360</v>
      </c>
      <c r="AH873" s="289">
        <f t="shared" si="67"/>
        <v>19.105513344395948</v>
      </c>
      <c r="AJ873" s="289">
        <f t="shared" si="68"/>
        <v>42</v>
      </c>
      <c r="AK873" s="289">
        <f t="shared" si="69"/>
        <v>802.4315604646298</v>
      </c>
    </row>
    <row r="874" spans="1:37">
      <c r="A874" s="703" t="s">
        <v>2020</v>
      </c>
      <c r="B874" s="703" t="s">
        <v>1606</v>
      </c>
      <c r="C874" s="703" t="s">
        <v>390</v>
      </c>
      <c r="D874" s="703" t="s">
        <v>334</v>
      </c>
      <c r="E874" s="703" t="s">
        <v>334</v>
      </c>
      <c r="F874" s="703" t="s">
        <v>335</v>
      </c>
      <c r="G874" s="703" t="s">
        <v>2021</v>
      </c>
      <c r="H874" s="703" t="s">
        <v>334</v>
      </c>
      <c r="I874" s="703" t="s">
        <v>334</v>
      </c>
      <c r="J874" s="703" t="s">
        <v>337</v>
      </c>
      <c r="K874" s="704">
        <v>0</v>
      </c>
      <c r="L874" s="703" t="s">
        <v>334</v>
      </c>
      <c r="M874" s="702">
        <v>42886</v>
      </c>
      <c r="N874" s="702">
        <v>43514</v>
      </c>
      <c r="O874" s="703" t="s">
        <v>338</v>
      </c>
      <c r="P874" s="20">
        <v>99.89</v>
      </c>
      <c r="Q874" s="20">
        <v>0</v>
      </c>
      <c r="R874" s="20">
        <v>0</v>
      </c>
      <c r="S874" s="20">
        <v>0</v>
      </c>
      <c r="T874" s="20">
        <v>99.89</v>
      </c>
      <c r="U874" s="20">
        <v>90.46</v>
      </c>
      <c r="V874" s="20">
        <v>-9.43</v>
      </c>
      <c r="W874" s="20">
        <v>-12.76</v>
      </c>
      <c r="X874" s="20">
        <v>-3.33</v>
      </c>
      <c r="Y874" s="20">
        <v>0</v>
      </c>
      <c r="Z874" s="20">
        <v>0</v>
      </c>
      <c r="AA874" s="20">
        <v>0</v>
      </c>
      <c r="AB874" s="20">
        <v>87.13</v>
      </c>
      <c r="AC874" t="s">
        <v>188</v>
      </c>
      <c r="AD874" t="s">
        <v>290</v>
      </c>
      <c r="AE874" s="702">
        <f t="shared" si="65"/>
        <v>43617</v>
      </c>
      <c r="AF874" s="289">
        <v>155.44813667510968</v>
      </c>
      <c r="AG874">
        <f t="shared" si="66"/>
        <v>360</v>
      </c>
      <c r="AH874" s="289">
        <f t="shared" si="67"/>
        <v>0.43180037965308243</v>
      </c>
      <c r="AJ874" s="289">
        <f t="shared" si="68"/>
        <v>42</v>
      </c>
      <c r="AK874" s="289">
        <f t="shared" si="69"/>
        <v>18.135615945429461</v>
      </c>
    </row>
    <row r="875" spans="1:37">
      <c r="A875" s="703" t="s">
        <v>2022</v>
      </c>
      <c r="B875" s="703" t="s">
        <v>1606</v>
      </c>
      <c r="C875" s="703" t="s">
        <v>390</v>
      </c>
      <c r="D875" s="703" t="s">
        <v>334</v>
      </c>
      <c r="E875" s="703" t="s">
        <v>334</v>
      </c>
      <c r="F875" s="703" t="s">
        <v>335</v>
      </c>
      <c r="G875" s="703" t="s">
        <v>2023</v>
      </c>
      <c r="H875" s="703" t="s">
        <v>334</v>
      </c>
      <c r="I875" s="703" t="s">
        <v>334</v>
      </c>
      <c r="J875" s="703" t="s">
        <v>337</v>
      </c>
      <c r="K875" s="704">
        <v>0</v>
      </c>
      <c r="L875" s="703" t="s">
        <v>334</v>
      </c>
      <c r="M875" s="702">
        <v>42886</v>
      </c>
      <c r="N875" s="702">
        <v>43514</v>
      </c>
      <c r="O875" s="703" t="s">
        <v>338</v>
      </c>
      <c r="P875" s="20">
        <v>2414.4</v>
      </c>
      <c r="Q875" s="20">
        <v>0</v>
      </c>
      <c r="R875" s="20">
        <v>0</v>
      </c>
      <c r="S875" s="20">
        <v>0</v>
      </c>
      <c r="T875" s="20">
        <v>2414.4</v>
      </c>
      <c r="U875" s="20">
        <v>2186.37</v>
      </c>
      <c r="V875" s="20">
        <v>-228.03</v>
      </c>
      <c r="W875" s="20">
        <v>-308.51</v>
      </c>
      <c r="X875" s="20">
        <v>-80.48</v>
      </c>
      <c r="Y875" s="20">
        <v>0</v>
      </c>
      <c r="Z875" s="20">
        <v>0</v>
      </c>
      <c r="AA875" s="20">
        <v>0</v>
      </c>
      <c r="AB875" s="20">
        <v>2105.89</v>
      </c>
      <c r="AC875" t="s">
        <v>188</v>
      </c>
      <c r="AD875" t="s">
        <v>290</v>
      </c>
      <c r="AE875" s="702">
        <f t="shared" si="65"/>
        <v>43617</v>
      </c>
      <c r="AF875" s="289">
        <v>3757.2728119770231</v>
      </c>
      <c r="AG875">
        <f t="shared" si="66"/>
        <v>360</v>
      </c>
      <c r="AH875" s="289">
        <f t="shared" si="67"/>
        <v>10.436868922158398</v>
      </c>
      <c r="AJ875" s="289">
        <f t="shared" si="68"/>
        <v>42</v>
      </c>
      <c r="AK875" s="289">
        <f t="shared" si="69"/>
        <v>438.3484947306527</v>
      </c>
    </row>
    <row r="876" spans="1:37">
      <c r="A876" s="703" t="s">
        <v>2024</v>
      </c>
      <c r="B876" s="703" t="s">
        <v>1606</v>
      </c>
      <c r="C876" s="703" t="s">
        <v>390</v>
      </c>
      <c r="D876" s="703" t="s">
        <v>334</v>
      </c>
      <c r="E876" s="703" t="s">
        <v>334</v>
      </c>
      <c r="F876" s="703" t="s">
        <v>335</v>
      </c>
      <c r="G876" s="703" t="s">
        <v>2025</v>
      </c>
      <c r="H876" s="703" t="s">
        <v>334</v>
      </c>
      <c r="I876" s="703" t="s">
        <v>334</v>
      </c>
      <c r="J876" s="703" t="s">
        <v>337</v>
      </c>
      <c r="K876" s="704">
        <v>0</v>
      </c>
      <c r="L876" s="703" t="s">
        <v>334</v>
      </c>
      <c r="M876" s="702">
        <v>42886</v>
      </c>
      <c r="N876" s="702">
        <v>43514</v>
      </c>
      <c r="O876" s="703" t="s">
        <v>338</v>
      </c>
      <c r="P876" s="20">
        <v>9653.7900000000009</v>
      </c>
      <c r="Q876" s="20">
        <v>0</v>
      </c>
      <c r="R876" s="20">
        <v>0</v>
      </c>
      <c r="S876" s="20">
        <v>0</v>
      </c>
      <c r="T876" s="20">
        <v>9653.7900000000009</v>
      </c>
      <c r="U876" s="20">
        <v>8742.0499999999993</v>
      </c>
      <c r="V876" s="20">
        <v>-911.74</v>
      </c>
      <c r="W876" s="20">
        <v>-1233.53</v>
      </c>
      <c r="X876" s="20">
        <v>-321.79000000000002</v>
      </c>
      <c r="Y876" s="20">
        <v>0</v>
      </c>
      <c r="Z876" s="20">
        <v>0</v>
      </c>
      <c r="AA876" s="20">
        <v>0</v>
      </c>
      <c r="AB876" s="20">
        <v>8420.26</v>
      </c>
      <c r="AC876" t="s">
        <v>188</v>
      </c>
      <c r="AD876" t="s">
        <v>290</v>
      </c>
      <c r="AE876" s="702">
        <f t="shared" si="65"/>
        <v>43617</v>
      </c>
      <c r="AF876" s="289">
        <v>15023.162151895158</v>
      </c>
      <c r="AG876">
        <f t="shared" si="66"/>
        <v>360</v>
      </c>
      <c r="AH876" s="289">
        <f t="shared" si="67"/>
        <v>41.731005977486546</v>
      </c>
      <c r="AJ876" s="289">
        <f t="shared" si="68"/>
        <v>42</v>
      </c>
      <c r="AK876" s="289">
        <f t="shared" si="69"/>
        <v>1752.702251054435</v>
      </c>
    </row>
    <row r="877" spans="1:37">
      <c r="A877" s="703" t="s">
        <v>2026</v>
      </c>
      <c r="B877" s="703" t="s">
        <v>1606</v>
      </c>
      <c r="C877" s="703" t="s">
        <v>390</v>
      </c>
      <c r="D877" s="703" t="s">
        <v>334</v>
      </c>
      <c r="E877" s="703" t="s">
        <v>334</v>
      </c>
      <c r="F877" s="703" t="s">
        <v>335</v>
      </c>
      <c r="G877" s="703" t="s">
        <v>2027</v>
      </c>
      <c r="H877" s="703" t="s">
        <v>334</v>
      </c>
      <c r="I877" s="703" t="s">
        <v>334</v>
      </c>
      <c r="J877" s="703" t="s">
        <v>337</v>
      </c>
      <c r="K877" s="704">
        <v>0</v>
      </c>
      <c r="L877" s="703" t="s">
        <v>334</v>
      </c>
      <c r="M877" s="702">
        <v>42886</v>
      </c>
      <c r="N877" s="702">
        <v>43514</v>
      </c>
      <c r="O877" s="703" t="s">
        <v>338</v>
      </c>
      <c r="P877" s="20">
        <v>237.5</v>
      </c>
      <c r="Q877" s="20">
        <v>0</v>
      </c>
      <c r="R877" s="20">
        <v>0</v>
      </c>
      <c r="S877" s="20">
        <v>0</v>
      </c>
      <c r="T877" s="20">
        <v>237.5</v>
      </c>
      <c r="U877" s="20">
        <v>215.06</v>
      </c>
      <c r="V877" s="20">
        <v>-22.44</v>
      </c>
      <c r="W877" s="20">
        <v>-30.36</v>
      </c>
      <c r="X877" s="20">
        <v>-7.92</v>
      </c>
      <c r="Y877" s="20">
        <v>0</v>
      </c>
      <c r="Z877" s="20">
        <v>0</v>
      </c>
      <c r="AA877" s="20">
        <v>0</v>
      </c>
      <c r="AB877" s="20">
        <v>207.14</v>
      </c>
      <c r="AC877" t="s">
        <v>188</v>
      </c>
      <c r="AD877" t="s">
        <v>290</v>
      </c>
      <c r="AE877" s="702">
        <f t="shared" si="65"/>
        <v>43617</v>
      </c>
      <c r="AF877" s="289">
        <v>369.59588007146414</v>
      </c>
      <c r="AG877">
        <f t="shared" si="66"/>
        <v>360</v>
      </c>
      <c r="AH877" s="289">
        <f t="shared" si="67"/>
        <v>1.0266552224207337</v>
      </c>
      <c r="AJ877" s="289">
        <f t="shared" si="68"/>
        <v>42</v>
      </c>
      <c r="AK877" s="289">
        <f t="shared" si="69"/>
        <v>43.119519341670816</v>
      </c>
    </row>
    <row r="878" spans="1:37">
      <c r="A878" s="703" t="s">
        <v>2028</v>
      </c>
      <c r="B878" s="703" t="s">
        <v>1606</v>
      </c>
      <c r="C878" s="703" t="s">
        <v>390</v>
      </c>
      <c r="D878" s="703" t="s">
        <v>334</v>
      </c>
      <c r="E878" s="703" t="s">
        <v>334</v>
      </c>
      <c r="F878" s="703" t="s">
        <v>335</v>
      </c>
      <c r="G878" s="703" t="s">
        <v>2029</v>
      </c>
      <c r="H878" s="703" t="s">
        <v>334</v>
      </c>
      <c r="I878" s="703" t="s">
        <v>334</v>
      </c>
      <c r="J878" s="703" t="s">
        <v>337</v>
      </c>
      <c r="K878" s="704">
        <v>0</v>
      </c>
      <c r="L878" s="703" t="s">
        <v>334</v>
      </c>
      <c r="M878" s="702">
        <v>42886</v>
      </c>
      <c r="N878" s="702">
        <v>43514</v>
      </c>
      <c r="O878" s="703" t="s">
        <v>338</v>
      </c>
      <c r="P878" s="20">
        <v>4739.95</v>
      </c>
      <c r="Q878" s="20">
        <v>0</v>
      </c>
      <c r="R878" s="20">
        <v>0</v>
      </c>
      <c r="S878" s="20">
        <v>0</v>
      </c>
      <c r="T878" s="20">
        <v>4739.95</v>
      </c>
      <c r="U878" s="20">
        <v>4292.28</v>
      </c>
      <c r="V878" s="20">
        <v>-447.67</v>
      </c>
      <c r="W878" s="20">
        <v>-605.66999999999996</v>
      </c>
      <c r="X878" s="20">
        <v>-158</v>
      </c>
      <c r="Y878" s="20">
        <v>0</v>
      </c>
      <c r="Z878" s="20">
        <v>0</v>
      </c>
      <c r="AA878" s="20">
        <v>0</v>
      </c>
      <c r="AB878" s="20">
        <v>4134.28</v>
      </c>
      <c r="AC878" t="s">
        <v>188</v>
      </c>
      <c r="AD878" t="s">
        <v>290</v>
      </c>
      <c r="AE878" s="702">
        <f t="shared" si="65"/>
        <v>43617</v>
      </c>
      <c r="AF878" s="289">
        <v>7376.2778599778367</v>
      </c>
      <c r="AG878">
        <f t="shared" si="66"/>
        <v>360</v>
      </c>
      <c r="AH878" s="289">
        <f t="shared" si="67"/>
        <v>20.489660722160657</v>
      </c>
      <c r="AJ878" s="289">
        <f t="shared" si="68"/>
        <v>42</v>
      </c>
      <c r="AK878" s="289">
        <f t="shared" si="69"/>
        <v>860.56575033074762</v>
      </c>
    </row>
    <row r="879" spans="1:37">
      <c r="A879" s="703" t="s">
        <v>2030</v>
      </c>
      <c r="B879" s="703" t="s">
        <v>1606</v>
      </c>
      <c r="C879" s="703" t="s">
        <v>390</v>
      </c>
      <c r="D879" s="703" t="s">
        <v>334</v>
      </c>
      <c r="E879" s="703" t="s">
        <v>334</v>
      </c>
      <c r="F879" s="703" t="s">
        <v>335</v>
      </c>
      <c r="G879" s="703" t="s">
        <v>2031</v>
      </c>
      <c r="H879" s="703" t="s">
        <v>334</v>
      </c>
      <c r="I879" s="703" t="s">
        <v>334</v>
      </c>
      <c r="J879" s="703" t="s">
        <v>337</v>
      </c>
      <c r="K879" s="704">
        <v>0</v>
      </c>
      <c r="L879" s="703" t="s">
        <v>334</v>
      </c>
      <c r="M879" s="702">
        <v>42886</v>
      </c>
      <c r="N879" s="702">
        <v>43514</v>
      </c>
      <c r="O879" s="703" t="s">
        <v>338</v>
      </c>
      <c r="P879" s="20">
        <v>1224.01</v>
      </c>
      <c r="Q879" s="20">
        <v>0</v>
      </c>
      <c r="R879" s="20">
        <v>0</v>
      </c>
      <c r="S879" s="20">
        <v>0</v>
      </c>
      <c r="T879" s="20">
        <v>1224.01</v>
      </c>
      <c r="U879" s="20">
        <v>1108.4100000000001</v>
      </c>
      <c r="V879" s="20">
        <v>-115.6</v>
      </c>
      <c r="W879" s="20">
        <v>-156.4</v>
      </c>
      <c r="X879" s="20">
        <v>-40.799999999999997</v>
      </c>
      <c r="Y879" s="20">
        <v>0</v>
      </c>
      <c r="Z879" s="20">
        <v>0</v>
      </c>
      <c r="AA879" s="20">
        <v>0</v>
      </c>
      <c r="AB879" s="20">
        <v>1067.6099999999999</v>
      </c>
      <c r="AC879" t="s">
        <v>188</v>
      </c>
      <c r="AD879" t="s">
        <v>290</v>
      </c>
      <c r="AE879" s="702">
        <f t="shared" si="65"/>
        <v>43617</v>
      </c>
      <c r="AF879" s="289">
        <v>1904.7960133316747</v>
      </c>
      <c r="AG879">
        <f t="shared" si="66"/>
        <v>360</v>
      </c>
      <c r="AH879" s="289">
        <f t="shared" si="67"/>
        <v>5.2911000370324297</v>
      </c>
      <c r="AJ879" s="289">
        <f t="shared" si="68"/>
        <v>42</v>
      </c>
      <c r="AK879" s="289">
        <f t="shared" si="69"/>
        <v>222.22620155536205</v>
      </c>
    </row>
    <row r="880" spans="1:37">
      <c r="A880" s="703" t="s">
        <v>2032</v>
      </c>
      <c r="B880" s="703" t="s">
        <v>1606</v>
      </c>
      <c r="C880" s="703" t="s">
        <v>390</v>
      </c>
      <c r="D880" s="703" t="s">
        <v>334</v>
      </c>
      <c r="E880" s="703" t="s">
        <v>334</v>
      </c>
      <c r="F880" s="703" t="s">
        <v>335</v>
      </c>
      <c r="G880" s="703" t="s">
        <v>2033</v>
      </c>
      <c r="H880" s="703" t="s">
        <v>334</v>
      </c>
      <c r="I880" s="703" t="s">
        <v>334</v>
      </c>
      <c r="J880" s="703" t="s">
        <v>337</v>
      </c>
      <c r="K880" s="704">
        <v>0</v>
      </c>
      <c r="L880" s="703" t="s">
        <v>334</v>
      </c>
      <c r="M880" s="702">
        <v>43100</v>
      </c>
      <c r="N880" s="702">
        <v>43514</v>
      </c>
      <c r="O880" s="703" t="s">
        <v>338</v>
      </c>
      <c r="P880" s="20">
        <v>21279.22</v>
      </c>
      <c r="Q880" s="20">
        <v>0</v>
      </c>
      <c r="R880" s="20">
        <v>0</v>
      </c>
      <c r="S880" s="20">
        <v>0</v>
      </c>
      <c r="T880" s="20">
        <v>21279.22</v>
      </c>
      <c r="U880" s="20">
        <v>19269.509999999998</v>
      </c>
      <c r="V880" s="20">
        <v>-2009.71</v>
      </c>
      <c r="W880" s="20">
        <v>-2719.02</v>
      </c>
      <c r="X880" s="20">
        <v>-709.31</v>
      </c>
      <c r="Y880" s="20">
        <v>0</v>
      </c>
      <c r="Z880" s="20">
        <v>0</v>
      </c>
      <c r="AA880" s="20">
        <v>0</v>
      </c>
      <c r="AB880" s="20">
        <v>18560.2</v>
      </c>
      <c r="AC880" t="s">
        <v>188</v>
      </c>
      <c r="AD880" t="s">
        <v>290</v>
      </c>
      <c r="AE880" s="702">
        <f t="shared" si="65"/>
        <v>43617</v>
      </c>
      <c r="AF880" s="289">
        <v>33114.577023723374</v>
      </c>
      <c r="AG880">
        <f t="shared" si="66"/>
        <v>360</v>
      </c>
      <c r="AH880" s="289">
        <f t="shared" si="67"/>
        <v>91.984936177009374</v>
      </c>
      <c r="AJ880" s="289">
        <f t="shared" si="68"/>
        <v>42</v>
      </c>
      <c r="AK880" s="289">
        <f t="shared" si="69"/>
        <v>3863.3673194343937</v>
      </c>
    </row>
    <row r="881" spans="1:37">
      <c r="A881" s="703" t="s">
        <v>2034</v>
      </c>
      <c r="B881" s="703" t="s">
        <v>1606</v>
      </c>
      <c r="C881" s="703" t="s">
        <v>390</v>
      </c>
      <c r="D881" s="703" t="s">
        <v>334</v>
      </c>
      <c r="E881" s="703" t="s">
        <v>334</v>
      </c>
      <c r="F881" s="703" t="s">
        <v>335</v>
      </c>
      <c r="G881" s="703" t="s">
        <v>2035</v>
      </c>
      <c r="H881" s="703" t="s">
        <v>334</v>
      </c>
      <c r="I881" s="703" t="s">
        <v>334</v>
      </c>
      <c r="J881" s="703" t="s">
        <v>337</v>
      </c>
      <c r="K881" s="704">
        <v>0</v>
      </c>
      <c r="L881" s="703" t="s">
        <v>334</v>
      </c>
      <c r="M881" s="702">
        <v>43251</v>
      </c>
      <c r="N881" s="702">
        <v>43514</v>
      </c>
      <c r="O881" s="703" t="s">
        <v>338</v>
      </c>
      <c r="P881" s="20">
        <v>32518.16</v>
      </c>
      <c r="Q881" s="20">
        <v>0</v>
      </c>
      <c r="R881" s="20">
        <v>0</v>
      </c>
      <c r="S881" s="20">
        <v>0</v>
      </c>
      <c r="T881" s="20">
        <v>32518.16</v>
      </c>
      <c r="U881" s="20">
        <v>29447</v>
      </c>
      <c r="V881" s="20">
        <v>-3071.16</v>
      </c>
      <c r="W881" s="20">
        <v>-4155.1000000000004</v>
      </c>
      <c r="X881" s="20">
        <v>-1083.94</v>
      </c>
      <c r="Y881" s="20">
        <v>0</v>
      </c>
      <c r="Z881" s="20">
        <v>0</v>
      </c>
      <c r="AA881" s="20">
        <v>0</v>
      </c>
      <c r="AB881" s="20">
        <v>28363.06</v>
      </c>
      <c r="AC881" t="s">
        <v>188</v>
      </c>
      <c r="AD881" t="s">
        <v>290</v>
      </c>
      <c r="AE881" s="702">
        <f t="shared" si="65"/>
        <v>43617</v>
      </c>
      <c r="AF881" s="289">
        <v>50604.538793703912</v>
      </c>
      <c r="AG881">
        <f t="shared" si="66"/>
        <v>360</v>
      </c>
      <c r="AH881" s="289">
        <f t="shared" si="67"/>
        <v>140.5681633158442</v>
      </c>
      <c r="AJ881" s="289">
        <f t="shared" si="68"/>
        <v>42</v>
      </c>
      <c r="AK881" s="289">
        <f t="shared" si="69"/>
        <v>5903.8628592654568</v>
      </c>
    </row>
    <row r="882" spans="1:37">
      <c r="A882" s="703" t="s">
        <v>2036</v>
      </c>
      <c r="B882" s="703" t="s">
        <v>1606</v>
      </c>
      <c r="C882" s="703" t="s">
        <v>390</v>
      </c>
      <c r="D882" s="703" t="s">
        <v>334</v>
      </c>
      <c r="E882" s="703" t="s">
        <v>334</v>
      </c>
      <c r="F882" s="703" t="s">
        <v>335</v>
      </c>
      <c r="G882" s="703" t="s">
        <v>2037</v>
      </c>
      <c r="H882" s="703" t="s">
        <v>334</v>
      </c>
      <c r="I882" s="703" t="s">
        <v>334</v>
      </c>
      <c r="J882" s="703" t="s">
        <v>337</v>
      </c>
      <c r="K882" s="704">
        <v>0</v>
      </c>
      <c r="L882" s="703" t="s">
        <v>334</v>
      </c>
      <c r="M882" s="702">
        <v>43251</v>
      </c>
      <c r="N882" s="702">
        <v>43514</v>
      </c>
      <c r="O882" s="703" t="s">
        <v>338</v>
      </c>
      <c r="P882" s="20">
        <v>568.82000000000005</v>
      </c>
      <c r="Q882" s="20">
        <v>0</v>
      </c>
      <c r="R882" s="20">
        <v>0</v>
      </c>
      <c r="S882" s="20">
        <v>0</v>
      </c>
      <c r="T882" s="20">
        <v>568.82000000000005</v>
      </c>
      <c r="U882" s="20">
        <v>515.1</v>
      </c>
      <c r="V882" s="20">
        <v>-53.72</v>
      </c>
      <c r="W882" s="20">
        <v>-72.680000000000007</v>
      </c>
      <c r="X882" s="20">
        <v>-18.96</v>
      </c>
      <c r="Y882" s="20">
        <v>0</v>
      </c>
      <c r="Z882" s="20">
        <v>0</v>
      </c>
      <c r="AA882" s="20">
        <v>0</v>
      </c>
      <c r="AB882" s="20">
        <v>496.14</v>
      </c>
      <c r="AC882" t="s">
        <v>188</v>
      </c>
      <c r="AD882" t="s">
        <v>290</v>
      </c>
      <c r="AE882" s="702">
        <f t="shared" si="65"/>
        <v>43617</v>
      </c>
      <c r="AF882" s="289">
        <v>885.19380422000097</v>
      </c>
      <c r="AG882">
        <f t="shared" si="66"/>
        <v>360</v>
      </c>
      <c r="AH882" s="289">
        <f t="shared" si="67"/>
        <v>2.4588716783888915</v>
      </c>
      <c r="AJ882" s="289">
        <f t="shared" si="68"/>
        <v>42</v>
      </c>
      <c r="AK882" s="289">
        <f t="shared" si="69"/>
        <v>103.27261049233344</v>
      </c>
    </row>
    <row r="883" spans="1:37">
      <c r="A883" s="703" t="s">
        <v>2038</v>
      </c>
      <c r="B883" s="703" t="s">
        <v>1606</v>
      </c>
      <c r="C883" s="703" t="s">
        <v>390</v>
      </c>
      <c r="D883" s="703" t="s">
        <v>334</v>
      </c>
      <c r="E883" s="703" t="s">
        <v>334</v>
      </c>
      <c r="F883" s="703" t="s">
        <v>335</v>
      </c>
      <c r="G883" s="703" t="s">
        <v>2039</v>
      </c>
      <c r="H883" s="703" t="s">
        <v>334</v>
      </c>
      <c r="I883" s="703" t="s">
        <v>334</v>
      </c>
      <c r="J883" s="703" t="s">
        <v>337</v>
      </c>
      <c r="K883" s="704">
        <v>0</v>
      </c>
      <c r="L883" s="703" t="s">
        <v>334</v>
      </c>
      <c r="M883" s="702">
        <v>43251</v>
      </c>
      <c r="N883" s="702">
        <v>43514</v>
      </c>
      <c r="O883" s="703" t="s">
        <v>338</v>
      </c>
      <c r="P883" s="20">
        <v>5296.39</v>
      </c>
      <c r="Q883" s="20">
        <v>0</v>
      </c>
      <c r="R883" s="20">
        <v>0</v>
      </c>
      <c r="S883" s="20">
        <v>0</v>
      </c>
      <c r="T883" s="20">
        <v>5296.39</v>
      </c>
      <c r="U883" s="20">
        <v>4796.17</v>
      </c>
      <c r="V883" s="20">
        <v>-500.22</v>
      </c>
      <c r="W883" s="20">
        <v>-676.77</v>
      </c>
      <c r="X883" s="20">
        <v>-176.55</v>
      </c>
      <c r="Y883" s="20">
        <v>0</v>
      </c>
      <c r="Z883" s="20">
        <v>0</v>
      </c>
      <c r="AA883" s="20">
        <v>0</v>
      </c>
      <c r="AB883" s="20">
        <v>4619.62</v>
      </c>
      <c r="AC883" t="s">
        <v>188</v>
      </c>
      <c r="AD883" t="s">
        <v>290</v>
      </c>
      <c r="AE883" s="702">
        <f t="shared" si="65"/>
        <v>43617</v>
      </c>
      <c r="AF883" s="289">
        <v>8242.2059926387446</v>
      </c>
      <c r="AG883">
        <f t="shared" si="66"/>
        <v>360</v>
      </c>
      <c r="AH883" s="289">
        <f t="shared" si="67"/>
        <v>22.895016646218735</v>
      </c>
      <c r="AJ883" s="289">
        <f t="shared" si="68"/>
        <v>42</v>
      </c>
      <c r="AK883" s="289">
        <f t="shared" si="69"/>
        <v>961.59069914118686</v>
      </c>
    </row>
    <row r="884" spans="1:37">
      <c r="A884" s="703" t="s">
        <v>2040</v>
      </c>
      <c r="B884" s="703" t="s">
        <v>1606</v>
      </c>
      <c r="C884" s="703" t="s">
        <v>390</v>
      </c>
      <c r="D884" s="703" t="s">
        <v>334</v>
      </c>
      <c r="E884" s="703" t="s">
        <v>334</v>
      </c>
      <c r="F884" s="703" t="s">
        <v>335</v>
      </c>
      <c r="G884" s="703" t="s">
        <v>2041</v>
      </c>
      <c r="H884" s="703" t="s">
        <v>334</v>
      </c>
      <c r="I884" s="703" t="s">
        <v>334</v>
      </c>
      <c r="J884" s="703" t="s">
        <v>337</v>
      </c>
      <c r="K884" s="704">
        <v>0</v>
      </c>
      <c r="L884" s="703" t="s">
        <v>334</v>
      </c>
      <c r="M884" s="702">
        <v>43251</v>
      </c>
      <c r="N884" s="702">
        <v>43514</v>
      </c>
      <c r="O884" s="703" t="s">
        <v>338</v>
      </c>
      <c r="P884" s="20">
        <v>2451.0700000000002</v>
      </c>
      <c r="Q884" s="20">
        <v>0</v>
      </c>
      <c r="R884" s="20">
        <v>0</v>
      </c>
      <c r="S884" s="20">
        <v>0</v>
      </c>
      <c r="T884" s="20">
        <v>2451.0700000000002</v>
      </c>
      <c r="U884" s="20">
        <v>2219.58</v>
      </c>
      <c r="V884" s="20">
        <v>-231.49</v>
      </c>
      <c r="W884" s="20">
        <v>-313.19</v>
      </c>
      <c r="X884" s="20">
        <v>-81.7</v>
      </c>
      <c r="Y884" s="20">
        <v>0</v>
      </c>
      <c r="Z884" s="20">
        <v>0</v>
      </c>
      <c r="AA884" s="20">
        <v>0</v>
      </c>
      <c r="AB884" s="20">
        <v>2137.88</v>
      </c>
      <c r="AC884" t="s">
        <v>188</v>
      </c>
      <c r="AD884" t="s">
        <v>290</v>
      </c>
      <c r="AE884" s="702">
        <f t="shared" si="65"/>
        <v>43617</v>
      </c>
      <c r="AF884" s="289">
        <v>3814.3384158600575</v>
      </c>
      <c r="AG884">
        <f t="shared" si="66"/>
        <v>360</v>
      </c>
      <c r="AH884" s="289">
        <f t="shared" si="67"/>
        <v>10.59538448850016</v>
      </c>
      <c r="AJ884" s="289">
        <f t="shared" si="68"/>
        <v>42</v>
      </c>
      <c r="AK884" s="289">
        <f t="shared" si="69"/>
        <v>445.00614851700675</v>
      </c>
    </row>
    <row r="885" spans="1:37">
      <c r="A885" s="703" t="s">
        <v>2042</v>
      </c>
      <c r="B885" s="703" t="s">
        <v>1606</v>
      </c>
      <c r="C885" s="703" t="s">
        <v>390</v>
      </c>
      <c r="D885" s="703" t="s">
        <v>334</v>
      </c>
      <c r="E885" s="703" t="s">
        <v>334</v>
      </c>
      <c r="F885" s="703" t="s">
        <v>335</v>
      </c>
      <c r="G885" s="703" t="s">
        <v>2043</v>
      </c>
      <c r="H885" s="703" t="s">
        <v>334</v>
      </c>
      <c r="I885" s="703" t="s">
        <v>334</v>
      </c>
      <c r="J885" s="703" t="s">
        <v>337</v>
      </c>
      <c r="K885" s="704">
        <v>0</v>
      </c>
      <c r="L885" s="703" t="s">
        <v>334</v>
      </c>
      <c r="M885" s="702">
        <v>43251</v>
      </c>
      <c r="N885" s="702">
        <v>43514</v>
      </c>
      <c r="O885" s="703" t="s">
        <v>338</v>
      </c>
      <c r="P885" s="20">
        <v>7316.4</v>
      </c>
      <c r="Q885" s="20">
        <v>0</v>
      </c>
      <c r="R885" s="20">
        <v>0</v>
      </c>
      <c r="S885" s="20">
        <v>0</v>
      </c>
      <c r="T885" s="20">
        <v>7316.4</v>
      </c>
      <c r="U885" s="20">
        <v>6625.41</v>
      </c>
      <c r="V885" s="20">
        <v>-690.99</v>
      </c>
      <c r="W885" s="20">
        <v>-934.87</v>
      </c>
      <c r="X885" s="20">
        <v>-243.88</v>
      </c>
      <c r="Y885" s="20">
        <v>0</v>
      </c>
      <c r="Z885" s="20">
        <v>0</v>
      </c>
      <c r="AA885" s="20">
        <v>0</v>
      </c>
      <c r="AB885" s="20">
        <v>6381.53</v>
      </c>
      <c r="AC885" t="s">
        <v>188</v>
      </c>
      <c r="AD885" t="s">
        <v>290</v>
      </c>
      <c r="AE885" s="702">
        <f t="shared" si="65"/>
        <v>43617</v>
      </c>
      <c r="AF885" s="289">
        <v>11385.731776652041</v>
      </c>
      <c r="AG885">
        <f t="shared" si="66"/>
        <v>360</v>
      </c>
      <c r="AH885" s="289">
        <f t="shared" si="67"/>
        <v>31.627032712922336</v>
      </c>
      <c r="AJ885" s="289">
        <f t="shared" si="68"/>
        <v>42</v>
      </c>
      <c r="AK885" s="289">
        <f t="shared" si="69"/>
        <v>1328.3353739427382</v>
      </c>
    </row>
    <row r="886" spans="1:37">
      <c r="A886" s="703" t="s">
        <v>2044</v>
      </c>
      <c r="B886" s="703" t="s">
        <v>1606</v>
      </c>
      <c r="C886" s="703" t="s">
        <v>390</v>
      </c>
      <c r="D886" s="703" t="s">
        <v>334</v>
      </c>
      <c r="E886" s="703" t="s">
        <v>334</v>
      </c>
      <c r="F886" s="703" t="s">
        <v>335</v>
      </c>
      <c r="G886" s="703" t="s">
        <v>2045</v>
      </c>
      <c r="H886" s="703" t="s">
        <v>334</v>
      </c>
      <c r="I886" s="703" t="s">
        <v>334</v>
      </c>
      <c r="J886" s="703" t="s">
        <v>337</v>
      </c>
      <c r="K886" s="704">
        <v>0</v>
      </c>
      <c r="L886" s="703" t="s">
        <v>334</v>
      </c>
      <c r="M886" s="702">
        <v>43251</v>
      </c>
      <c r="N886" s="702">
        <v>43514</v>
      </c>
      <c r="O886" s="703" t="s">
        <v>338</v>
      </c>
      <c r="P886" s="20">
        <v>10770.05</v>
      </c>
      <c r="Q886" s="20">
        <v>0</v>
      </c>
      <c r="R886" s="20">
        <v>0</v>
      </c>
      <c r="S886" s="20">
        <v>0</v>
      </c>
      <c r="T886" s="20">
        <v>10770.05</v>
      </c>
      <c r="U886" s="20">
        <v>9752.8799999999992</v>
      </c>
      <c r="V886" s="20">
        <v>-1017.17</v>
      </c>
      <c r="W886" s="20">
        <v>-1376.17</v>
      </c>
      <c r="X886" s="20">
        <v>-359</v>
      </c>
      <c r="Y886" s="20">
        <v>0</v>
      </c>
      <c r="Z886" s="20">
        <v>0</v>
      </c>
      <c r="AA886" s="20">
        <v>0</v>
      </c>
      <c r="AB886" s="20">
        <v>9393.8799999999992</v>
      </c>
      <c r="AC886" t="s">
        <v>188</v>
      </c>
      <c r="AD886" t="s">
        <v>290</v>
      </c>
      <c r="AE886" s="702">
        <f t="shared" si="65"/>
        <v>43617</v>
      </c>
      <c r="AF886" s="289">
        <v>16760.278350162829</v>
      </c>
      <c r="AG886">
        <f t="shared" si="66"/>
        <v>360</v>
      </c>
      <c r="AH886" s="289">
        <f t="shared" si="67"/>
        <v>46.556328750452302</v>
      </c>
      <c r="AJ886" s="289">
        <f t="shared" si="68"/>
        <v>42</v>
      </c>
      <c r="AK886" s="289">
        <f t="shared" si="69"/>
        <v>1955.3658075189967</v>
      </c>
    </row>
    <row r="887" spans="1:37">
      <c r="A887" s="703" t="s">
        <v>2046</v>
      </c>
      <c r="B887" s="703" t="s">
        <v>1606</v>
      </c>
      <c r="C887" s="703" t="s">
        <v>390</v>
      </c>
      <c r="D887" s="703" t="s">
        <v>334</v>
      </c>
      <c r="E887" s="703" t="s">
        <v>334</v>
      </c>
      <c r="F887" s="703" t="s">
        <v>335</v>
      </c>
      <c r="G887" s="703" t="s">
        <v>2047</v>
      </c>
      <c r="H887" s="703" t="s">
        <v>334</v>
      </c>
      <c r="I887" s="703" t="s">
        <v>334</v>
      </c>
      <c r="J887" s="703" t="s">
        <v>337</v>
      </c>
      <c r="K887" s="704">
        <v>0</v>
      </c>
      <c r="L887" s="703" t="s">
        <v>334</v>
      </c>
      <c r="M887" s="702">
        <v>43251</v>
      </c>
      <c r="N887" s="702">
        <v>43514</v>
      </c>
      <c r="O887" s="703" t="s">
        <v>338</v>
      </c>
      <c r="P887" s="20">
        <v>6388.69</v>
      </c>
      <c r="Q887" s="20">
        <v>0</v>
      </c>
      <c r="R887" s="20">
        <v>0</v>
      </c>
      <c r="S887" s="20">
        <v>0</v>
      </c>
      <c r="T887" s="20">
        <v>6388.69</v>
      </c>
      <c r="U887" s="20">
        <v>5785.31</v>
      </c>
      <c r="V887" s="20">
        <v>-603.38</v>
      </c>
      <c r="W887" s="20">
        <v>-816.34</v>
      </c>
      <c r="X887" s="20">
        <v>-212.96</v>
      </c>
      <c r="Y887" s="20">
        <v>0</v>
      </c>
      <c r="Z887" s="20">
        <v>0</v>
      </c>
      <c r="AA887" s="20">
        <v>0</v>
      </c>
      <c r="AB887" s="20">
        <v>5572.35</v>
      </c>
      <c r="AC887" t="s">
        <v>188</v>
      </c>
      <c r="AD887" t="s">
        <v>290</v>
      </c>
      <c r="AE887" s="702">
        <f t="shared" si="65"/>
        <v>43617</v>
      </c>
      <c r="AF887" s="289">
        <v>9942.0358023316294</v>
      </c>
      <c r="AG887">
        <f t="shared" si="66"/>
        <v>360</v>
      </c>
      <c r="AH887" s="289">
        <f t="shared" si="67"/>
        <v>27.616766117587858</v>
      </c>
      <c r="AJ887" s="289">
        <f t="shared" si="68"/>
        <v>42</v>
      </c>
      <c r="AK887" s="289">
        <f t="shared" si="69"/>
        <v>1159.9041769386899</v>
      </c>
    </row>
    <row r="888" spans="1:37">
      <c r="A888" s="703" t="s">
        <v>2048</v>
      </c>
      <c r="B888" s="703" t="s">
        <v>1606</v>
      </c>
      <c r="C888" s="703" t="s">
        <v>390</v>
      </c>
      <c r="D888" s="703" t="s">
        <v>334</v>
      </c>
      <c r="E888" s="703" t="s">
        <v>334</v>
      </c>
      <c r="F888" s="703" t="s">
        <v>335</v>
      </c>
      <c r="G888" s="703" t="s">
        <v>2049</v>
      </c>
      <c r="H888" s="703" t="s">
        <v>334</v>
      </c>
      <c r="I888" s="703" t="s">
        <v>334</v>
      </c>
      <c r="J888" s="703" t="s">
        <v>337</v>
      </c>
      <c r="K888" s="704">
        <v>0</v>
      </c>
      <c r="L888" s="703" t="s">
        <v>334</v>
      </c>
      <c r="M888" s="702">
        <v>43251</v>
      </c>
      <c r="N888" s="702">
        <v>43514</v>
      </c>
      <c r="O888" s="703" t="s">
        <v>338</v>
      </c>
      <c r="P888" s="20">
        <v>8429.77</v>
      </c>
      <c r="Q888" s="20">
        <v>0</v>
      </c>
      <c r="R888" s="20">
        <v>0</v>
      </c>
      <c r="S888" s="20">
        <v>0</v>
      </c>
      <c r="T888" s="20">
        <v>8429.77</v>
      </c>
      <c r="U888" s="20">
        <v>7633.63</v>
      </c>
      <c r="V888" s="20">
        <v>-796.14</v>
      </c>
      <c r="W888" s="20">
        <v>-1077.1300000000001</v>
      </c>
      <c r="X888" s="20">
        <v>-280.99</v>
      </c>
      <c r="Y888" s="20">
        <v>0</v>
      </c>
      <c r="Z888" s="20">
        <v>0</v>
      </c>
      <c r="AA888" s="20">
        <v>0</v>
      </c>
      <c r="AB888" s="20">
        <v>7352.64</v>
      </c>
      <c r="AC888" t="s">
        <v>188</v>
      </c>
      <c r="AD888" t="s">
        <v>290</v>
      </c>
      <c r="AE888" s="702">
        <f t="shared" si="65"/>
        <v>43617</v>
      </c>
      <c r="AF888" s="289">
        <v>13118.35057663169</v>
      </c>
      <c r="AG888">
        <f t="shared" si="66"/>
        <v>360</v>
      </c>
      <c r="AH888" s="289">
        <f t="shared" si="67"/>
        <v>36.439862712865803</v>
      </c>
      <c r="AJ888" s="289">
        <f t="shared" si="68"/>
        <v>42</v>
      </c>
      <c r="AK888" s="289">
        <f t="shared" si="69"/>
        <v>1530.4742339403638</v>
      </c>
    </row>
    <row r="889" spans="1:37">
      <c r="A889" s="703" t="s">
        <v>2050</v>
      </c>
      <c r="B889" s="703" t="s">
        <v>1606</v>
      </c>
      <c r="C889" s="703" t="s">
        <v>390</v>
      </c>
      <c r="D889" s="703" t="s">
        <v>334</v>
      </c>
      <c r="E889" s="703" t="s">
        <v>334</v>
      </c>
      <c r="F889" s="703" t="s">
        <v>335</v>
      </c>
      <c r="G889" s="703" t="s">
        <v>2051</v>
      </c>
      <c r="H889" s="703" t="s">
        <v>334</v>
      </c>
      <c r="I889" s="703" t="s">
        <v>334</v>
      </c>
      <c r="J889" s="703" t="s">
        <v>337</v>
      </c>
      <c r="K889" s="704">
        <v>0</v>
      </c>
      <c r="L889" s="703" t="s">
        <v>334</v>
      </c>
      <c r="M889" s="702">
        <v>43251</v>
      </c>
      <c r="N889" s="702">
        <v>43514</v>
      </c>
      <c r="O889" s="703" t="s">
        <v>338</v>
      </c>
      <c r="P889" s="20">
        <v>349.81</v>
      </c>
      <c r="Q889" s="20">
        <v>0</v>
      </c>
      <c r="R889" s="20">
        <v>0</v>
      </c>
      <c r="S889" s="20">
        <v>0</v>
      </c>
      <c r="T889" s="20">
        <v>349.81</v>
      </c>
      <c r="U889" s="20">
        <v>316.77</v>
      </c>
      <c r="V889" s="20">
        <v>-33.04</v>
      </c>
      <c r="W889" s="20">
        <v>-44.7</v>
      </c>
      <c r="X889" s="20">
        <v>-11.66</v>
      </c>
      <c r="Y889" s="20">
        <v>0</v>
      </c>
      <c r="Z889" s="20">
        <v>0</v>
      </c>
      <c r="AA889" s="20">
        <v>0</v>
      </c>
      <c r="AB889" s="20">
        <v>305.11</v>
      </c>
      <c r="AC889" t="s">
        <v>188</v>
      </c>
      <c r="AD889" t="s">
        <v>290</v>
      </c>
      <c r="AE889" s="702">
        <f t="shared" si="65"/>
        <v>43617</v>
      </c>
      <c r="AF889" s="289">
        <v>544.37193603283731</v>
      </c>
      <c r="AG889">
        <f t="shared" si="66"/>
        <v>360</v>
      </c>
      <c r="AH889" s="289">
        <f t="shared" si="67"/>
        <v>1.5121442667578815</v>
      </c>
      <c r="AJ889" s="289">
        <f t="shared" si="68"/>
        <v>42</v>
      </c>
      <c r="AK889" s="289">
        <f t="shared" si="69"/>
        <v>63.51005920383102</v>
      </c>
    </row>
    <row r="890" spans="1:37">
      <c r="A890" s="703" t="s">
        <v>2052</v>
      </c>
      <c r="B890" s="703" t="s">
        <v>1606</v>
      </c>
      <c r="C890" s="703" t="s">
        <v>390</v>
      </c>
      <c r="D890" s="703" t="s">
        <v>334</v>
      </c>
      <c r="E890" s="703" t="s">
        <v>334</v>
      </c>
      <c r="F890" s="703" t="s">
        <v>335</v>
      </c>
      <c r="G890" s="703" t="s">
        <v>2053</v>
      </c>
      <c r="H890" s="703" t="s">
        <v>334</v>
      </c>
      <c r="I890" s="703" t="s">
        <v>334</v>
      </c>
      <c r="J890" s="703" t="s">
        <v>337</v>
      </c>
      <c r="K890" s="704">
        <v>0</v>
      </c>
      <c r="L890" s="703" t="s">
        <v>334</v>
      </c>
      <c r="M890" s="702">
        <v>43251</v>
      </c>
      <c r="N890" s="702">
        <v>43514</v>
      </c>
      <c r="O890" s="703" t="s">
        <v>338</v>
      </c>
      <c r="P890" s="20">
        <v>26185.759999999998</v>
      </c>
      <c r="Q890" s="20">
        <v>0</v>
      </c>
      <c r="R890" s="20">
        <v>0</v>
      </c>
      <c r="S890" s="20">
        <v>0</v>
      </c>
      <c r="T890" s="20">
        <v>26185.759999999998</v>
      </c>
      <c r="U890" s="20">
        <v>23712.66</v>
      </c>
      <c r="V890" s="20">
        <v>-2473.1</v>
      </c>
      <c r="W890" s="20">
        <v>-3345.96</v>
      </c>
      <c r="X890" s="20">
        <v>-872.86</v>
      </c>
      <c r="Y890" s="20">
        <v>0</v>
      </c>
      <c r="Z890" s="20">
        <v>0</v>
      </c>
      <c r="AA890" s="20">
        <v>0</v>
      </c>
      <c r="AB890" s="20">
        <v>22839.8</v>
      </c>
      <c r="AC890" t="s">
        <v>188</v>
      </c>
      <c r="AD890" t="s">
        <v>290</v>
      </c>
      <c r="AE890" s="702">
        <f t="shared" si="65"/>
        <v>43617</v>
      </c>
      <c r="AF890" s="289">
        <v>40750.101105432172</v>
      </c>
      <c r="AG890">
        <f t="shared" si="66"/>
        <v>360</v>
      </c>
      <c r="AH890" s="289">
        <f t="shared" si="67"/>
        <v>113.19472529286715</v>
      </c>
      <c r="AJ890" s="289">
        <f t="shared" si="68"/>
        <v>42</v>
      </c>
      <c r="AK890" s="289">
        <f t="shared" si="69"/>
        <v>4754.1784623004205</v>
      </c>
    </row>
    <row r="891" spans="1:37">
      <c r="A891" s="703" t="s">
        <v>2054</v>
      </c>
      <c r="B891" s="703" t="s">
        <v>1606</v>
      </c>
      <c r="C891" s="703" t="s">
        <v>390</v>
      </c>
      <c r="D891" s="703" t="s">
        <v>334</v>
      </c>
      <c r="E891" s="703" t="s">
        <v>334</v>
      </c>
      <c r="F891" s="703" t="s">
        <v>335</v>
      </c>
      <c r="G891" s="703" t="s">
        <v>2055</v>
      </c>
      <c r="H891" s="703" t="s">
        <v>334</v>
      </c>
      <c r="I891" s="703" t="s">
        <v>334</v>
      </c>
      <c r="J891" s="703" t="s">
        <v>337</v>
      </c>
      <c r="K891" s="704">
        <v>0</v>
      </c>
      <c r="L891" s="703" t="s">
        <v>334</v>
      </c>
      <c r="M891" s="702">
        <v>43251</v>
      </c>
      <c r="N891" s="702">
        <v>43514</v>
      </c>
      <c r="O891" s="703" t="s">
        <v>338</v>
      </c>
      <c r="P891" s="20">
        <v>831.33</v>
      </c>
      <c r="Q891" s="20">
        <v>0</v>
      </c>
      <c r="R891" s="20">
        <v>0</v>
      </c>
      <c r="S891" s="20">
        <v>0</v>
      </c>
      <c r="T891" s="20">
        <v>831.33</v>
      </c>
      <c r="U891" s="20">
        <v>752.82</v>
      </c>
      <c r="V891" s="20">
        <v>-78.510000000000005</v>
      </c>
      <c r="W891" s="20">
        <v>-106.22</v>
      </c>
      <c r="X891" s="20">
        <v>-27.71</v>
      </c>
      <c r="Y891" s="20">
        <v>0</v>
      </c>
      <c r="Z891" s="20">
        <v>0</v>
      </c>
      <c r="AA891" s="20">
        <v>0</v>
      </c>
      <c r="AB891" s="20">
        <v>725.11</v>
      </c>
      <c r="AC891" t="s">
        <v>188</v>
      </c>
      <c r="AD891" t="s">
        <v>290</v>
      </c>
      <c r="AE891" s="702">
        <f t="shared" si="65"/>
        <v>43617</v>
      </c>
      <c r="AF891" s="289">
        <v>1293.7100757044643</v>
      </c>
      <c r="AG891">
        <f t="shared" si="66"/>
        <v>360</v>
      </c>
      <c r="AH891" s="289">
        <f t="shared" si="67"/>
        <v>3.5936390991790677</v>
      </c>
      <c r="AJ891" s="289">
        <f t="shared" si="68"/>
        <v>42</v>
      </c>
      <c r="AK891" s="289">
        <f t="shared" si="69"/>
        <v>150.93284216552084</v>
      </c>
    </row>
    <row r="892" spans="1:37">
      <c r="A892" s="703" t="s">
        <v>2056</v>
      </c>
      <c r="B892" s="703" t="s">
        <v>1606</v>
      </c>
      <c r="C892" s="703" t="s">
        <v>390</v>
      </c>
      <c r="D892" s="703" t="s">
        <v>334</v>
      </c>
      <c r="E892" s="703" t="s">
        <v>334</v>
      </c>
      <c r="F892" s="703" t="s">
        <v>335</v>
      </c>
      <c r="G892" s="703" t="s">
        <v>2057</v>
      </c>
      <c r="H892" s="703" t="s">
        <v>334</v>
      </c>
      <c r="I892" s="703" t="s">
        <v>334</v>
      </c>
      <c r="J892" s="703" t="s">
        <v>337</v>
      </c>
      <c r="K892" s="704">
        <v>0</v>
      </c>
      <c r="L892" s="703" t="s">
        <v>334</v>
      </c>
      <c r="M892" s="702">
        <v>43251</v>
      </c>
      <c r="N892" s="702">
        <v>43514</v>
      </c>
      <c r="O892" s="703" t="s">
        <v>338</v>
      </c>
      <c r="P892" s="20">
        <v>13089.21</v>
      </c>
      <c r="Q892" s="20">
        <v>0</v>
      </c>
      <c r="R892" s="20">
        <v>0</v>
      </c>
      <c r="S892" s="20">
        <v>0</v>
      </c>
      <c r="T892" s="20">
        <v>13089.21</v>
      </c>
      <c r="U892" s="20">
        <v>11853</v>
      </c>
      <c r="V892" s="20">
        <v>-1236.21</v>
      </c>
      <c r="W892" s="20">
        <v>-1672.52</v>
      </c>
      <c r="X892" s="20">
        <v>-436.31</v>
      </c>
      <c r="Y892" s="20">
        <v>0</v>
      </c>
      <c r="Z892" s="20">
        <v>0</v>
      </c>
      <c r="AA892" s="20">
        <v>0</v>
      </c>
      <c r="AB892" s="20">
        <v>11416.69</v>
      </c>
      <c r="AC892" t="s">
        <v>188</v>
      </c>
      <c r="AD892" t="s">
        <v>290</v>
      </c>
      <c r="AE892" s="702">
        <f t="shared" si="65"/>
        <v>43617</v>
      </c>
      <c r="AF892" s="289">
        <v>20369.339323748245</v>
      </c>
      <c r="AG892">
        <f t="shared" si="66"/>
        <v>360</v>
      </c>
      <c r="AH892" s="289">
        <f t="shared" si="67"/>
        <v>56.581498121522905</v>
      </c>
      <c r="AJ892" s="289">
        <f t="shared" si="68"/>
        <v>42</v>
      </c>
      <c r="AK892" s="289">
        <f t="shared" si="69"/>
        <v>2376.4229211039619</v>
      </c>
    </row>
    <row r="893" spans="1:37">
      <c r="A893" s="703" t="s">
        <v>2058</v>
      </c>
      <c r="B893" s="703" t="s">
        <v>1606</v>
      </c>
      <c r="C893" s="703" t="s">
        <v>390</v>
      </c>
      <c r="D893" s="703" t="s">
        <v>334</v>
      </c>
      <c r="E893" s="703" t="s">
        <v>334</v>
      </c>
      <c r="F893" s="703" t="s">
        <v>335</v>
      </c>
      <c r="G893" s="703" t="s">
        <v>2059</v>
      </c>
      <c r="H893" s="703" t="s">
        <v>334</v>
      </c>
      <c r="I893" s="703" t="s">
        <v>334</v>
      </c>
      <c r="J893" s="703" t="s">
        <v>337</v>
      </c>
      <c r="K893" s="704">
        <v>0</v>
      </c>
      <c r="L893" s="703" t="s">
        <v>334</v>
      </c>
      <c r="M893" s="702">
        <v>43251</v>
      </c>
      <c r="N893" s="702">
        <v>43514</v>
      </c>
      <c r="O893" s="703" t="s">
        <v>338</v>
      </c>
      <c r="P893" s="20">
        <v>47971.02</v>
      </c>
      <c r="Q893" s="20">
        <v>0</v>
      </c>
      <c r="R893" s="20">
        <v>0</v>
      </c>
      <c r="S893" s="20">
        <v>0</v>
      </c>
      <c r="T893" s="20">
        <v>47971.02</v>
      </c>
      <c r="U893" s="20">
        <v>43440.43</v>
      </c>
      <c r="V893" s="20">
        <v>-4530.59</v>
      </c>
      <c r="W893" s="20">
        <v>-6129.62</v>
      </c>
      <c r="X893" s="20">
        <v>-1599.03</v>
      </c>
      <c r="Y893" s="20">
        <v>0</v>
      </c>
      <c r="Z893" s="20">
        <v>0</v>
      </c>
      <c r="AA893" s="20">
        <v>0</v>
      </c>
      <c r="AB893" s="20">
        <v>41841.4</v>
      </c>
      <c r="AC893" t="s">
        <v>188</v>
      </c>
      <c r="AD893" t="s">
        <v>290</v>
      </c>
      <c r="AE893" s="702">
        <f t="shared" si="65"/>
        <v>43617</v>
      </c>
      <c r="AF893" s="289">
        <v>74652.174125582344</v>
      </c>
      <c r="AG893">
        <f t="shared" si="66"/>
        <v>360</v>
      </c>
      <c r="AH893" s="289">
        <f t="shared" si="67"/>
        <v>207.36715034883986</v>
      </c>
      <c r="AJ893" s="289">
        <f t="shared" si="68"/>
        <v>42</v>
      </c>
      <c r="AK893" s="289">
        <f t="shared" si="69"/>
        <v>8709.4203146512737</v>
      </c>
    </row>
    <row r="894" spans="1:37">
      <c r="A894" s="703" t="s">
        <v>2060</v>
      </c>
      <c r="B894" s="703" t="s">
        <v>1606</v>
      </c>
      <c r="C894" s="703" t="s">
        <v>390</v>
      </c>
      <c r="D894" s="703" t="s">
        <v>334</v>
      </c>
      <c r="E894" s="703" t="s">
        <v>334</v>
      </c>
      <c r="F894" s="703" t="s">
        <v>335</v>
      </c>
      <c r="G894" s="703" t="s">
        <v>2061</v>
      </c>
      <c r="H894" s="703" t="s">
        <v>334</v>
      </c>
      <c r="I894" s="703" t="s">
        <v>334</v>
      </c>
      <c r="J894" s="703" t="s">
        <v>337</v>
      </c>
      <c r="K894" s="704">
        <v>0</v>
      </c>
      <c r="L894" s="703" t="s">
        <v>334</v>
      </c>
      <c r="M894" s="702">
        <v>43251</v>
      </c>
      <c r="N894" s="702">
        <v>43514</v>
      </c>
      <c r="O894" s="703" t="s">
        <v>338</v>
      </c>
      <c r="P894" s="20">
        <v>21103.06</v>
      </c>
      <c r="Q894" s="20">
        <v>0</v>
      </c>
      <c r="R894" s="20">
        <v>0</v>
      </c>
      <c r="S894" s="20">
        <v>0</v>
      </c>
      <c r="T894" s="20">
        <v>21103.06</v>
      </c>
      <c r="U894" s="20">
        <v>19109.98</v>
      </c>
      <c r="V894" s="20">
        <v>-1993.08</v>
      </c>
      <c r="W894" s="20">
        <v>-2696.52</v>
      </c>
      <c r="X894" s="20">
        <v>-703.44</v>
      </c>
      <c r="Y894" s="20">
        <v>0</v>
      </c>
      <c r="Z894" s="20">
        <v>0</v>
      </c>
      <c r="AA894" s="20">
        <v>0</v>
      </c>
      <c r="AB894" s="20">
        <v>18406.54</v>
      </c>
      <c r="AC894" t="s">
        <v>188</v>
      </c>
      <c r="AD894" t="s">
        <v>290</v>
      </c>
      <c r="AE894" s="702">
        <f t="shared" si="65"/>
        <v>43617</v>
      </c>
      <c r="AF894" s="289">
        <v>32840.438033266997</v>
      </c>
      <c r="AG894">
        <f t="shared" si="66"/>
        <v>360</v>
      </c>
      <c r="AH894" s="289">
        <f t="shared" si="67"/>
        <v>91.223438981297221</v>
      </c>
      <c r="AJ894" s="289">
        <f t="shared" si="68"/>
        <v>42</v>
      </c>
      <c r="AK894" s="289">
        <f t="shared" si="69"/>
        <v>3831.3844372144831</v>
      </c>
    </row>
    <row r="895" spans="1:37">
      <c r="A895" s="703" t="s">
        <v>2062</v>
      </c>
      <c r="B895" s="703" t="s">
        <v>1606</v>
      </c>
      <c r="C895" s="703" t="s">
        <v>390</v>
      </c>
      <c r="D895" s="703" t="s">
        <v>334</v>
      </c>
      <c r="E895" s="703" t="s">
        <v>334</v>
      </c>
      <c r="F895" s="703" t="s">
        <v>335</v>
      </c>
      <c r="G895" s="703" t="s">
        <v>2063</v>
      </c>
      <c r="H895" s="703" t="s">
        <v>334</v>
      </c>
      <c r="I895" s="703" t="s">
        <v>334</v>
      </c>
      <c r="J895" s="703" t="s">
        <v>337</v>
      </c>
      <c r="K895" s="704">
        <v>0</v>
      </c>
      <c r="L895" s="703" t="s">
        <v>334</v>
      </c>
      <c r="M895" s="702">
        <v>43251</v>
      </c>
      <c r="N895" s="702">
        <v>43514</v>
      </c>
      <c r="O895" s="703" t="s">
        <v>338</v>
      </c>
      <c r="P895" s="20">
        <v>50354.59</v>
      </c>
      <c r="Q895" s="20">
        <v>0</v>
      </c>
      <c r="R895" s="20">
        <v>0</v>
      </c>
      <c r="S895" s="20">
        <v>0</v>
      </c>
      <c r="T895" s="20">
        <v>50354.59</v>
      </c>
      <c r="U895" s="20">
        <v>45598.87</v>
      </c>
      <c r="V895" s="20">
        <v>-4755.72</v>
      </c>
      <c r="W895" s="20">
        <v>-6434.21</v>
      </c>
      <c r="X895" s="20">
        <v>-1678.49</v>
      </c>
      <c r="Y895" s="20">
        <v>0</v>
      </c>
      <c r="Z895" s="20">
        <v>0</v>
      </c>
      <c r="AA895" s="20">
        <v>0</v>
      </c>
      <c r="AB895" s="20">
        <v>43920.38</v>
      </c>
      <c r="AC895" t="s">
        <v>188</v>
      </c>
      <c r="AD895" t="s">
        <v>290</v>
      </c>
      <c r="AE895" s="702">
        <f t="shared" si="65"/>
        <v>43617</v>
      </c>
      <c r="AF895" s="289">
        <v>78361.469501843123</v>
      </c>
      <c r="AG895">
        <f t="shared" si="66"/>
        <v>360</v>
      </c>
      <c r="AH895" s="289">
        <f t="shared" si="67"/>
        <v>217.6707486162309</v>
      </c>
      <c r="AJ895" s="289">
        <f t="shared" si="68"/>
        <v>42</v>
      </c>
      <c r="AK895" s="289">
        <f t="shared" si="69"/>
        <v>9142.1714418816973</v>
      </c>
    </row>
    <row r="896" spans="1:37">
      <c r="A896" s="703" t="s">
        <v>2064</v>
      </c>
      <c r="B896" s="703" t="s">
        <v>1606</v>
      </c>
      <c r="C896" s="703" t="s">
        <v>390</v>
      </c>
      <c r="D896" s="703" t="s">
        <v>334</v>
      </c>
      <c r="E896" s="703" t="s">
        <v>334</v>
      </c>
      <c r="F896" s="703" t="s">
        <v>335</v>
      </c>
      <c r="G896" s="703" t="s">
        <v>2065</v>
      </c>
      <c r="H896" s="703" t="s">
        <v>334</v>
      </c>
      <c r="I896" s="703" t="s">
        <v>334</v>
      </c>
      <c r="J896" s="703" t="s">
        <v>337</v>
      </c>
      <c r="K896" s="704">
        <v>0</v>
      </c>
      <c r="L896" s="703" t="s">
        <v>334</v>
      </c>
      <c r="M896" s="702">
        <v>43251</v>
      </c>
      <c r="N896" s="702">
        <v>43514</v>
      </c>
      <c r="O896" s="703" t="s">
        <v>338</v>
      </c>
      <c r="P896" s="20">
        <v>31219.13</v>
      </c>
      <c r="Q896" s="20">
        <v>0</v>
      </c>
      <c r="R896" s="20">
        <v>0</v>
      </c>
      <c r="S896" s="20">
        <v>0</v>
      </c>
      <c r="T896" s="20">
        <v>31219.13</v>
      </c>
      <c r="U896" s="20">
        <v>28270.65</v>
      </c>
      <c r="V896" s="20">
        <v>-2948.48</v>
      </c>
      <c r="W896" s="20">
        <v>-3989.12</v>
      </c>
      <c r="X896" s="20">
        <v>-1040.6400000000001</v>
      </c>
      <c r="Y896" s="20">
        <v>0</v>
      </c>
      <c r="Z896" s="20">
        <v>0</v>
      </c>
      <c r="AA896" s="20">
        <v>0</v>
      </c>
      <c r="AB896" s="20">
        <v>27230.01</v>
      </c>
      <c r="AC896" t="s">
        <v>188</v>
      </c>
      <c r="AD896" t="s">
        <v>290</v>
      </c>
      <c r="AE896" s="702">
        <f t="shared" si="65"/>
        <v>43617</v>
      </c>
      <c r="AF896" s="289">
        <v>48582.997168065041</v>
      </c>
      <c r="AG896">
        <f t="shared" si="66"/>
        <v>360</v>
      </c>
      <c r="AH896" s="289">
        <f t="shared" si="67"/>
        <v>134.9527699112918</v>
      </c>
      <c r="AJ896" s="289">
        <f t="shared" si="68"/>
        <v>42</v>
      </c>
      <c r="AK896" s="289">
        <f t="shared" si="69"/>
        <v>5668.0163362742551</v>
      </c>
    </row>
    <row r="897" spans="1:37">
      <c r="A897" s="703" t="s">
        <v>2066</v>
      </c>
      <c r="B897" s="703" t="s">
        <v>1606</v>
      </c>
      <c r="C897" s="703" t="s">
        <v>390</v>
      </c>
      <c r="D897" s="703" t="s">
        <v>334</v>
      </c>
      <c r="E897" s="703" t="s">
        <v>334</v>
      </c>
      <c r="F897" s="703" t="s">
        <v>335</v>
      </c>
      <c r="G897" s="703" t="s">
        <v>2067</v>
      </c>
      <c r="H897" s="703" t="s">
        <v>334</v>
      </c>
      <c r="I897" s="703" t="s">
        <v>334</v>
      </c>
      <c r="J897" s="703" t="s">
        <v>337</v>
      </c>
      <c r="K897" s="704">
        <v>0</v>
      </c>
      <c r="L897" s="703" t="s">
        <v>334</v>
      </c>
      <c r="M897" s="702">
        <v>43251</v>
      </c>
      <c r="N897" s="702">
        <v>43514</v>
      </c>
      <c r="O897" s="703" t="s">
        <v>338</v>
      </c>
      <c r="P897" s="20">
        <v>580.13</v>
      </c>
      <c r="Q897" s="20">
        <v>0</v>
      </c>
      <c r="R897" s="20">
        <v>0</v>
      </c>
      <c r="S897" s="20">
        <v>0</v>
      </c>
      <c r="T897" s="20">
        <v>580.13</v>
      </c>
      <c r="U897" s="20">
        <v>525.34</v>
      </c>
      <c r="V897" s="20">
        <v>-54.79</v>
      </c>
      <c r="W897" s="20">
        <v>-74.13</v>
      </c>
      <c r="X897" s="20">
        <v>-19.34</v>
      </c>
      <c r="Y897" s="20">
        <v>0</v>
      </c>
      <c r="Z897" s="20">
        <v>0</v>
      </c>
      <c r="AA897" s="20">
        <v>0</v>
      </c>
      <c r="AB897" s="20">
        <v>506</v>
      </c>
      <c r="AC897" t="s">
        <v>188</v>
      </c>
      <c r="AD897" t="s">
        <v>290</v>
      </c>
      <c r="AE897" s="702">
        <f t="shared" si="65"/>
        <v>43617</v>
      </c>
      <c r="AF897" s="289">
        <v>902.79434907729888</v>
      </c>
      <c r="AG897">
        <f t="shared" si="66"/>
        <v>360</v>
      </c>
      <c r="AH897" s="289">
        <f t="shared" si="67"/>
        <v>2.5077620807702745</v>
      </c>
      <c r="AJ897" s="289">
        <f t="shared" si="68"/>
        <v>42</v>
      </c>
      <c r="AK897" s="289">
        <f t="shared" si="69"/>
        <v>105.32600739235153</v>
      </c>
    </row>
    <row r="898" spans="1:37">
      <c r="A898" s="703" t="s">
        <v>2068</v>
      </c>
      <c r="B898" s="703" t="s">
        <v>1606</v>
      </c>
      <c r="C898" s="703" t="s">
        <v>390</v>
      </c>
      <c r="D898" s="703" t="s">
        <v>334</v>
      </c>
      <c r="E898" s="703" t="s">
        <v>334</v>
      </c>
      <c r="F898" s="703" t="s">
        <v>335</v>
      </c>
      <c r="G898" s="703" t="s">
        <v>2069</v>
      </c>
      <c r="H898" s="703" t="s">
        <v>334</v>
      </c>
      <c r="I898" s="703" t="s">
        <v>334</v>
      </c>
      <c r="J898" s="703" t="s">
        <v>337</v>
      </c>
      <c r="K898" s="704">
        <v>0</v>
      </c>
      <c r="L898" s="703" t="s">
        <v>334</v>
      </c>
      <c r="M898" s="702">
        <v>43251</v>
      </c>
      <c r="N898" s="702">
        <v>43514</v>
      </c>
      <c r="O898" s="703" t="s">
        <v>338</v>
      </c>
      <c r="P898" s="20">
        <v>441.86</v>
      </c>
      <c r="Q898" s="20">
        <v>0</v>
      </c>
      <c r="R898" s="20">
        <v>0</v>
      </c>
      <c r="S898" s="20">
        <v>0</v>
      </c>
      <c r="T898" s="20">
        <v>441.86</v>
      </c>
      <c r="U898" s="20">
        <v>400.13</v>
      </c>
      <c r="V898" s="20">
        <v>-41.73</v>
      </c>
      <c r="W898" s="20">
        <v>-56.46</v>
      </c>
      <c r="X898" s="20">
        <v>-14.73</v>
      </c>
      <c r="Y898" s="20">
        <v>0</v>
      </c>
      <c r="Z898" s="20">
        <v>0</v>
      </c>
      <c r="AA898" s="20">
        <v>0</v>
      </c>
      <c r="AB898" s="20">
        <v>385.4</v>
      </c>
      <c r="AC898" t="s">
        <v>188</v>
      </c>
      <c r="AD898" t="s">
        <v>290</v>
      </c>
      <c r="AE898" s="702">
        <f t="shared" si="65"/>
        <v>43617</v>
      </c>
      <c r="AF898" s="289">
        <v>687.61951818264049</v>
      </c>
      <c r="AG898">
        <f t="shared" si="66"/>
        <v>360</v>
      </c>
      <c r="AH898" s="289">
        <f t="shared" si="67"/>
        <v>1.9100542171740014</v>
      </c>
      <c r="AJ898" s="289">
        <f t="shared" si="68"/>
        <v>42</v>
      </c>
      <c r="AK898" s="289">
        <f t="shared" si="69"/>
        <v>80.222277121308053</v>
      </c>
    </row>
    <row r="899" spans="1:37">
      <c r="A899" s="703" t="s">
        <v>2070</v>
      </c>
      <c r="B899" s="703" t="s">
        <v>1606</v>
      </c>
      <c r="C899" s="703" t="s">
        <v>390</v>
      </c>
      <c r="D899" s="703" t="s">
        <v>334</v>
      </c>
      <c r="E899" s="703" t="s">
        <v>334</v>
      </c>
      <c r="F899" s="703" t="s">
        <v>335</v>
      </c>
      <c r="G899" s="703" t="s">
        <v>2071</v>
      </c>
      <c r="H899" s="703" t="s">
        <v>334</v>
      </c>
      <c r="I899" s="703" t="s">
        <v>334</v>
      </c>
      <c r="J899" s="703" t="s">
        <v>337</v>
      </c>
      <c r="K899" s="704">
        <v>0</v>
      </c>
      <c r="L899" s="703" t="s">
        <v>334</v>
      </c>
      <c r="M899" s="702">
        <v>43251</v>
      </c>
      <c r="N899" s="702">
        <v>43514</v>
      </c>
      <c r="O899" s="703" t="s">
        <v>338</v>
      </c>
      <c r="P899" s="20">
        <v>4177.75</v>
      </c>
      <c r="Q899" s="20">
        <v>0</v>
      </c>
      <c r="R899" s="20">
        <v>0</v>
      </c>
      <c r="S899" s="20">
        <v>0</v>
      </c>
      <c r="T899" s="20">
        <v>4177.75</v>
      </c>
      <c r="U899" s="20">
        <v>3783.18</v>
      </c>
      <c r="V899" s="20">
        <v>-394.57</v>
      </c>
      <c r="W899" s="20">
        <v>-533.83000000000004</v>
      </c>
      <c r="X899" s="20">
        <v>-139.26</v>
      </c>
      <c r="Y899" s="20">
        <v>0</v>
      </c>
      <c r="Z899" s="20">
        <v>0</v>
      </c>
      <c r="AA899" s="20">
        <v>0</v>
      </c>
      <c r="AB899" s="20">
        <v>3643.92</v>
      </c>
      <c r="AC899" t="s">
        <v>188</v>
      </c>
      <c r="AD899" t="s">
        <v>290</v>
      </c>
      <c r="AE899" s="702">
        <f t="shared" si="65"/>
        <v>43617</v>
      </c>
      <c r="AF899" s="289">
        <v>6501.3860546044598</v>
      </c>
      <c r="AG899">
        <f t="shared" si="66"/>
        <v>360</v>
      </c>
      <c r="AH899" s="289">
        <f t="shared" si="67"/>
        <v>18.05940570723461</v>
      </c>
      <c r="AJ899" s="289">
        <f t="shared" si="68"/>
        <v>42</v>
      </c>
      <c r="AK899" s="289">
        <f t="shared" si="69"/>
        <v>758.49503970385365</v>
      </c>
    </row>
    <row r="900" spans="1:37">
      <c r="A900" s="703" t="s">
        <v>2072</v>
      </c>
      <c r="B900" s="703" t="s">
        <v>1606</v>
      </c>
      <c r="C900" s="703" t="s">
        <v>390</v>
      </c>
      <c r="D900" s="703" t="s">
        <v>334</v>
      </c>
      <c r="E900" s="703" t="s">
        <v>334</v>
      </c>
      <c r="F900" s="703" t="s">
        <v>335</v>
      </c>
      <c r="G900" s="703" t="s">
        <v>2073</v>
      </c>
      <c r="H900" s="703" t="s">
        <v>334</v>
      </c>
      <c r="I900" s="703" t="s">
        <v>334</v>
      </c>
      <c r="J900" s="703" t="s">
        <v>337</v>
      </c>
      <c r="K900" s="704">
        <v>0</v>
      </c>
      <c r="L900" s="703" t="s">
        <v>334</v>
      </c>
      <c r="M900" s="702">
        <v>43251</v>
      </c>
      <c r="N900" s="702">
        <v>43514</v>
      </c>
      <c r="O900" s="703" t="s">
        <v>338</v>
      </c>
      <c r="P900" s="20">
        <v>7094.05</v>
      </c>
      <c r="Q900" s="20">
        <v>0</v>
      </c>
      <c r="R900" s="20">
        <v>0</v>
      </c>
      <c r="S900" s="20">
        <v>0</v>
      </c>
      <c r="T900" s="20">
        <v>7094.05</v>
      </c>
      <c r="U900" s="20">
        <v>6424.05</v>
      </c>
      <c r="V900" s="20">
        <v>-670</v>
      </c>
      <c r="W900" s="20">
        <v>-906.47</v>
      </c>
      <c r="X900" s="20">
        <v>-236.47</v>
      </c>
      <c r="Y900" s="20">
        <v>0</v>
      </c>
      <c r="Z900" s="20">
        <v>0</v>
      </c>
      <c r="AA900" s="20">
        <v>0</v>
      </c>
      <c r="AB900" s="20">
        <v>6187.58</v>
      </c>
      <c r="AC900" t="s">
        <v>188</v>
      </c>
      <c r="AD900" t="s">
        <v>290</v>
      </c>
      <c r="AE900" s="702">
        <f t="shared" si="65"/>
        <v>43617</v>
      </c>
      <c r="AF900" s="289">
        <v>11039.71222324619</v>
      </c>
      <c r="AG900">
        <f t="shared" si="66"/>
        <v>360</v>
      </c>
      <c r="AH900" s="289">
        <f t="shared" si="67"/>
        <v>30.66586728679497</v>
      </c>
      <c r="AJ900" s="289">
        <f t="shared" si="68"/>
        <v>42</v>
      </c>
      <c r="AK900" s="289">
        <f t="shared" si="69"/>
        <v>1287.9664260453887</v>
      </c>
    </row>
    <row r="901" spans="1:37">
      <c r="A901" s="703" t="s">
        <v>2074</v>
      </c>
      <c r="B901" s="703" t="s">
        <v>1606</v>
      </c>
      <c r="C901" s="703" t="s">
        <v>390</v>
      </c>
      <c r="D901" s="703" t="s">
        <v>334</v>
      </c>
      <c r="E901" s="703" t="s">
        <v>334</v>
      </c>
      <c r="F901" s="703" t="s">
        <v>335</v>
      </c>
      <c r="G901" s="703" t="s">
        <v>2075</v>
      </c>
      <c r="H901" s="703" t="s">
        <v>334</v>
      </c>
      <c r="I901" s="703" t="s">
        <v>334</v>
      </c>
      <c r="J901" s="703" t="s">
        <v>337</v>
      </c>
      <c r="K901" s="704">
        <v>0</v>
      </c>
      <c r="L901" s="703" t="s">
        <v>334</v>
      </c>
      <c r="M901" s="702">
        <v>43251</v>
      </c>
      <c r="N901" s="702">
        <v>43514</v>
      </c>
      <c r="O901" s="703" t="s">
        <v>338</v>
      </c>
      <c r="P901" s="20">
        <v>5213.4399999999996</v>
      </c>
      <c r="Q901" s="20">
        <v>0</v>
      </c>
      <c r="R901" s="20">
        <v>0</v>
      </c>
      <c r="S901" s="20">
        <v>0</v>
      </c>
      <c r="T901" s="20">
        <v>5213.4399999999996</v>
      </c>
      <c r="U901" s="20">
        <v>4721.0600000000004</v>
      </c>
      <c r="V901" s="20">
        <v>-492.38</v>
      </c>
      <c r="W901" s="20">
        <v>-666.16</v>
      </c>
      <c r="X901" s="20">
        <v>-173.78</v>
      </c>
      <c r="Y901" s="20">
        <v>0</v>
      </c>
      <c r="Z901" s="20">
        <v>0</v>
      </c>
      <c r="AA901" s="20">
        <v>0</v>
      </c>
      <c r="AB901" s="20">
        <v>4547.28</v>
      </c>
      <c r="AC901" t="s">
        <v>188</v>
      </c>
      <c r="AD901" t="s">
        <v>290</v>
      </c>
      <c r="AE901" s="702">
        <f t="shared" si="65"/>
        <v>43617</v>
      </c>
      <c r="AF901" s="289">
        <v>8113.1197684200988</v>
      </c>
      <c r="AG901">
        <f t="shared" si="66"/>
        <v>360</v>
      </c>
      <c r="AH901" s="289">
        <f t="shared" si="67"/>
        <v>22.536443801166943</v>
      </c>
      <c r="AJ901" s="289">
        <f t="shared" si="68"/>
        <v>42</v>
      </c>
      <c r="AK901" s="289">
        <f t="shared" si="69"/>
        <v>946.53063964901162</v>
      </c>
    </row>
    <row r="902" spans="1:37">
      <c r="A902" s="703" t="s">
        <v>2076</v>
      </c>
      <c r="B902" s="703" t="s">
        <v>1606</v>
      </c>
      <c r="C902" s="703" t="s">
        <v>390</v>
      </c>
      <c r="D902" s="703" t="s">
        <v>334</v>
      </c>
      <c r="E902" s="703" t="s">
        <v>334</v>
      </c>
      <c r="F902" s="703" t="s">
        <v>335</v>
      </c>
      <c r="G902" s="703" t="s">
        <v>2077</v>
      </c>
      <c r="H902" s="703" t="s">
        <v>334</v>
      </c>
      <c r="I902" s="703" t="s">
        <v>334</v>
      </c>
      <c r="J902" s="703" t="s">
        <v>337</v>
      </c>
      <c r="K902" s="704">
        <v>0</v>
      </c>
      <c r="L902" s="703" t="s">
        <v>334</v>
      </c>
      <c r="M902" s="702">
        <v>43251</v>
      </c>
      <c r="N902" s="702">
        <v>43514</v>
      </c>
      <c r="O902" s="703" t="s">
        <v>338</v>
      </c>
      <c r="P902" s="20">
        <v>1719.1</v>
      </c>
      <c r="Q902" s="20">
        <v>0</v>
      </c>
      <c r="R902" s="20">
        <v>0</v>
      </c>
      <c r="S902" s="20">
        <v>0</v>
      </c>
      <c r="T902" s="20">
        <v>1719.1</v>
      </c>
      <c r="U902" s="20">
        <v>1556.75</v>
      </c>
      <c r="V902" s="20">
        <v>-162.35</v>
      </c>
      <c r="W902" s="20">
        <v>-219.65</v>
      </c>
      <c r="X902" s="20">
        <v>-57.3</v>
      </c>
      <c r="Y902" s="20">
        <v>0</v>
      </c>
      <c r="Z902" s="20">
        <v>0</v>
      </c>
      <c r="AA902" s="20">
        <v>0</v>
      </c>
      <c r="AB902" s="20">
        <v>1499.45</v>
      </c>
      <c r="AC902" t="s">
        <v>188</v>
      </c>
      <c r="AD902" t="s">
        <v>290</v>
      </c>
      <c r="AE902" s="702">
        <f t="shared" si="65"/>
        <v>43617</v>
      </c>
      <c r="AF902" s="289">
        <v>2675.2516944457007</v>
      </c>
      <c r="AG902">
        <f t="shared" si="66"/>
        <v>360</v>
      </c>
      <c r="AH902" s="289">
        <f t="shared" si="67"/>
        <v>7.431254706793613</v>
      </c>
      <c r="AJ902" s="289">
        <f t="shared" si="68"/>
        <v>42</v>
      </c>
      <c r="AK902" s="289">
        <f t="shared" si="69"/>
        <v>312.11269768533174</v>
      </c>
    </row>
    <row r="903" spans="1:37">
      <c r="A903" s="703" t="s">
        <v>2078</v>
      </c>
      <c r="B903" s="703" t="s">
        <v>1606</v>
      </c>
      <c r="C903" s="703" t="s">
        <v>390</v>
      </c>
      <c r="D903" s="703" t="s">
        <v>334</v>
      </c>
      <c r="E903" s="703" t="s">
        <v>334</v>
      </c>
      <c r="F903" s="703" t="s">
        <v>335</v>
      </c>
      <c r="G903" s="703" t="s">
        <v>2079</v>
      </c>
      <c r="H903" s="703" t="s">
        <v>334</v>
      </c>
      <c r="I903" s="703" t="s">
        <v>334</v>
      </c>
      <c r="J903" s="703" t="s">
        <v>337</v>
      </c>
      <c r="K903" s="704">
        <v>0</v>
      </c>
      <c r="L903" s="703" t="s">
        <v>334</v>
      </c>
      <c r="M903" s="702">
        <v>43251</v>
      </c>
      <c r="N903" s="702">
        <v>43514</v>
      </c>
      <c r="O903" s="703" t="s">
        <v>338</v>
      </c>
      <c r="P903" s="20">
        <v>2248.6</v>
      </c>
      <c r="Q903" s="20">
        <v>0</v>
      </c>
      <c r="R903" s="20">
        <v>0</v>
      </c>
      <c r="S903" s="20">
        <v>0</v>
      </c>
      <c r="T903" s="20">
        <v>2248.6</v>
      </c>
      <c r="U903" s="20">
        <v>2036.24</v>
      </c>
      <c r="V903" s="20">
        <v>-212.36</v>
      </c>
      <c r="W903" s="20">
        <v>-287.31</v>
      </c>
      <c r="X903" s="20">
        <v>-74.95</v>
      </c>
      <c r="Y903" s="20">
        <v>0</v>
      </c>
      <c r="Z903" s="20">
        <v>0</v>
      </c>
      <c r="AA903" s="20">
        <v>0</v>
      </c>
      <c r="AB903" s="20">
        <v>1961.29</v>
      </c>
      <c r="AC903" t="s">
        <v>188</v>
      </c>
      <c r="AD903" t="s">
        <v>290</v>
      </c>
      <c r="AE903" s="702">
        <f t="shared" ref="AE903:AE966" si="70">IF(N903&gt;=$AG$5,DATE(YEAR(N903),6,1),DATE(YEAR(N903),6,1))</f>
        <v>43617</v>
      </c>
      <c r="AF903" s="289">
        <v>3499.2559828576595</v>
      </c>
      <c r="AG903">
        <f t="shared" ref="AG903:AG966" si="71">+IF(AD903="intangível",20*12,IF(AD903="Diferido",120,IF(AD903="Não vinculados",0,IF(AE903&lt;=$AG$5,F903*12,360))))</f>
        <v>360</v>
      </c>
      <c r="AH903" s="289">
        <f t="shared" ref="AH903:AH966" si="72">IF(AG903=0,0,AF903/AG903)</f>
        <v>9.7201555079379425</v>
      </c>
      <c r="AJ903" s="289">
        <f t="shared" ref="AJ903:AJ966" si="73">+IF(AND(YEAR(AE903)&gt;=2018,YEAR(AE903)&lt;=2022),IF(DATEDIF(AE903,$AK$4,"m")&gt;=AG903,AG903,DATEDIF(AE903,$AK$4,"m")),0)</f>
        <v>42</v>
      </c>
      <c r="AK903" s="289">
        <f t="shared" ref="AK903:AK966" si="74">IF(AD903="Imobilizado",AJ903*AH903,0)</f>
        <v>408.24653133339359</v>
      </c>
    </row>
    <row r="904" spans="1:37">
      <c r="A904" s="703" t="s">
        <v>2080</v>
      </c>
      <c r="B904" s="703" t="s">
        <v>1606</v>
      </c>
      <c r="C904" s="703" t="s">
        <v>390</v>
      </c>
      <c r="D904" s="703" t="s">
        <v>334</v>
      </c>
      <c r="E904" s="703" t="s">
        <v>334</v>
      </c>
      <c r="F904" s="703" t="s">
        <v>335</v>
      </c>
      <c r="G904" s="703" t="s">
        <v>2081</v>
      </c>
      <c r="H904" s="703" t="s">
        <v>334</v>
      </c>
      <c r="I904" s="703" t="s">
        <v>334</v>
      </c>
      <c r="J904" s="703" t="s">
        <v>337</v>
      </c>
      <c r="K904" s="704">
        <v>0</v>
      </c>
      <c r="L904" s="703" t="s">
        <v>334</v>
      </c>
      <c r="M904" s="702">
        <v>43251</v>
      </c>
      <c r="N904" s="702">
        <v>43514</v>
      </c>
      <c r="O904" s="703" t="s">
        <v>338</v>
      </c>
      <c r="P904" s="20">
        <v>146.84</v>
      </c>
      <c r="Q904" s="20">
        <v>0</v>
      </c>
      <c r="R904" s="20">
        <v>0</v>
      </c>
      <c r="S904" s="20">
        <v>0</v>
      </c>
      <c r="T904" s="20">
        <v>146.84</v>
      </c>
      <c r="U904" s="20">
        <v>132.97999999999999</v>
      </c>
      <c r="V904" s="20">
        <v>-13.86</v>
      </c>
      <c r="W904" s="20">
        <v>-18.75</v>
      </c>
      <c r="X904" s="20">
        <v>-4.8899999999999997</v>
      </c>
      <c r="Y904" s="20">
        <v>0</v>
      </c>
      <c r="Z904" s="20">
        <v>0</v>
      </c>
      <c r="AA904" s="20">
        <v>0</v>
      </c>
      <c r="AB904" s="20">
        <v>128.09</v>
      </c>
      <c r="AC904" t="s">
        <v>188</v>
      </c>
      <c r="AD904" t="s">
        <v>290</v>
      </c>
      <c r="AE904" s="702">
        <f t="shared" si="70"/>
        <v>43617</v>
      </c>
      <c r="AF904" s="289">
        <v>228.51140644081596</v>
      </c>
      <c r="AG904">
        <f t="shared" si="71"/>
        <v>360</v>
      </c>
      <c r="AH904" s="289">
        <f t="shared" si="72"/>
        <v>0.63475390678004429</v>
      </c>
      <c r="AJ904" s="289">
        <f t="shared" si="73"/>
        <v>42</v>
      </c>
      <c r="AK904" s="289">
        <f t="shared" si="74"/>
        <v>26.659664084761861</v>
      </c>
    </row>
    <row r="905" spans="1:37">
      <c r="A905" s="703" t="s">
        <v>2082</v>
      </c>
      <c r="B905" s="703" t="s">
        <v>1606</v>
      </c>
      <c r="C905" s="703" t="s">
        <v>390</v>
      </c>
      <c r="D905" s="703" t="s">
        <v>334</v>
      </c>
      <c r="E905" s="703" t="s">
        <v>334</v>
      </c>
      <c r="F905" s="703" t="s">
        <v>335</v>
      </c>
      <c r="G905" s="703" t="s">
        <v>2083</v>
      </c>
      <c r="H905" s="703" t="s">
        <v>334</v>
      </c>
      <c r="I905" s="703" t="s">
        <v>334</v>
      </c>
      <c r="J905" s="703" t="s">
        <v>337</v>
      </c>
      <c r="K905" s="704">
        <v>0</v>
      </c>
      <c r="L905" s="703" t="s">
        <v>334</v>
      </c>
      <c r="M905" s="702">
        <v>43496</v>
      </c>
      <c r="N905" s="702">
        <v>43514</v>
      </c>
      <c r="O905" s="703" t="s">
        <v>338</v>
      </c>
      <c r="P905" s="20">
        <v>854.31</v>
      </c>
      <c r="Q905" s="20">
        <v>0</v>
      </c>
      <c r="R905" s="20">
        <v>0</v>
      </c>
      <c r="S905" s="20">
        <v>0</v>
      </c>
      <c r="T905" s="20">
        <v>854.31</v>
      </c>
      <c r="U905" s="20">
        <v>773.62</v>
      </c>
      <c r="V905" s="20">
        <v>-80.69</v>
      </c>
      <c r="W905" s="20">
        <v>-109.17</v>
      </c>
      <c r="X905" s="20">
        <v>-28.48</v>
      </c>
      <c r="Y905" s="20">
        <v>0</v>
      </c>
      <c r="Z905" s="20">
        <v>0</v>
      </c>
      <c r="AA905" s="20">
        <v>0</v>
      </c>
      <c r="AB905" s="20">
        <v>745.14</v>
      </c>
      <c r="AC905" t="s">
        <v>188</v>
      </c>
      <c r="AD905" t="s">
        <v>290</v>
      </c>
      <c r="AE905" s="702">
        <f t="shared" si="70"/>
        <v>43617</v>
      </c>
      <c r="AF905" s="289">
        <v>1329.4713949635893</v>
      </c>
      <c r="AG905">
        <f t="shared" si="71"/>
        <v>360</v>
      </c>
      <c r="AH905" s="289">
        <f t="shared" si="72"/>
        <v>3.6929760971210817</v>
      </c>
      <c r="AJ905" s="289">
        <f t="shared" si="73"/>
        <v>42</v>
      </c>
      <c r="AK905" s="289">
        <f t="shared" si="74"/>
        <v>155.10499607908542</v>
      </c>
    </row>
    <row r="906" spans="1:37">
      <c r="A906" s="703" t="s">
        <v>2084</v>
      </c>
      <c r="B906" s="703" t="s">
        <v>1606</v>
      </c>
      <c r="C906" s="703" t="s">
        <v>390</v>
      </c>
      <c r="D906" s="703" t="s">
        <v>334</v>
      </c>
      <c r="E906" s="703" t="s">
        <v>334</v>
      </c>
      <c r="F906" s="703" t="s">
        <v>335</v>
      </c>
      <c r="G906" s="703" t="s">
        <v>2085</v>
      </c>
      <c r="H906" s="703" t="s">
        <v>334</v>
      </c>
      <c r="I906" s="703" t="s">
        <v>334</v>
      </c>
      <c r="J906" s="703" t="s">
        <v>337</v>
      </c>
      <c r="K906" s="704">
        <v>0</v>
      </c>
      <c r="L906" s="703" t="s">
        <v>334</v>
      </c>
      <c r="M906" s="702">
        <v>43496</v>
      </c>
      <c r="N906" s="702">
        <v>43514</v>
      </c>
      <c r="O906" s="703" t="s">
        <v>338</v>
      </c>
      <c r="P906" s="20">
        <v>907.07</v>
      </c>
      <c r="Q906" s="20">
        <v>0</v>
      </c>
      <c r="R906" s="20">
        <v>0</v>
      </c>
      <c r="S906" s="20">
        <v>0</v>
      </c>
      <c r="T906" s="20">
        <v>907.07</v>
      </c>
      <c r="U906" s="20">
        <v>821.39</v>
      </c>
      <c r="V906" s="20">
        <v>-85.68</v>
      </c>
      <c r="W906" s="20">
        <v>-115.92</v>
      </c>
      <c r="X906" s="20">
        <v>-30.24</v>
      </c>
      <c r="Y906" s="20">
        <v>0</v>
      </c>
      <c r="Z906" s="20">
        <v>0</v>
      </c>
      <c r="AA906" s="20">
        <v>0</v>
      </c>
      <c r="AB906" s="20">
        <v>791.15</v>
      </c>
      <c r="AC906" t="s">
        <v>188</v>
      </c>
      <c r="AD906" t="s">
        <v>290</v>
      </c>
      <c r="AE906" s="702">
        <f t="shared" si="70"/>
        <v>43617</v>
      </c>
      <c r="AF906" s="289">
        <v>1411.5761471007283</v>
      </c>
      <c r="AG906">
        <f t="shared" si="71"/>
        <v>360</v>
      </c>
      <c r="AH906" s="289">
        <f t="shared" si="72"/>
        <v>3.9210448530575785</v>
      </c>
      <c r="AJ906" s="289">
        <f t="shared" si="73"/>
        <v>42</v>
      </c>
      <c r="AK906" s="289">
        <f t="shared" si="74"/>
        <v>164.68388382841829</v>
      </c>
    </row>
    <row r="907" spans="1:37">
      <c r="A907" s="703" t="s">
        <v>1321</v>
      </c>
      <c r="B907" s="703" t="s">
        <v>1606</v>
      </c>
      <c r="C907" s="703" t="s">
        <v>574</v>
      </c>
      <c r="D907" s="703" t="s">
        <v>575</v>
      </c>
      <c r="E907" s="703" t="s">
        <v>334</v>
      </c>
      <c r="F907" s="703" t="s">
        <v>335</v>
      </c>
      <c r="G907" s="703" t="s">
        <v>1322</v>
      </c>
      <c r="H907" s="703" t="s">
        <v>334</v>
      </c>
      <c r="I907" s="703" t="s">
        <v>334</v>
      </c>
      <c r="J907" s="703" t="s">
        <v>577</v>
      </c>
      <c r="K907" s="704">
        <v>0</v>
      </c>
      <c r="L907" s="703" t="s">
        <v>334</v>
      </c>
      <c r="M907" s="702">
        <v>43434</v>
      </c>
      <c r="N907" s="702">
        <v>43514</v>
      </c>
      <c r="O907" s="703" t="s">
        <v>338</v>
      </c>
      <c r="P907" s="20">
        <v>18960.68</v>
      </c>
      <c r="Q907" s="20">
        <v>0</v>
      </c>
      <c r="R907" s="20">
        <v>0</v>
      </c>
      <c r="S907" s="20">
        <v>0</v>
      </c>
      <c r="T907" s="20">
        <v>18960.68</v>
      </c>
      <c r="U907" s="20">
        <v>17169.95</v>
      </c>
      <c r="V907" s="20">
        <v>-1790.73</v>
      </c>
      <c r="W907" s="20">
        <v>-2422.75</v>
      </c>
      <c r="X907" s="20">
        <v>-632.02</v>
      </c>
      <c r="Y907" s="20">
        <v>0</v>
      </c>
      <c r="Z907" s="20">
        <v>0</v>
      </c>
      <c r="AA907" s="20">
        <v>0</v>
      </c>
      <c r="AB907" s="20">
        <v>16537.93</v>
      </c>
      <c r="AC907" t="s">
        <v>578</v>
      </c>
      <c r="AD907" t="s">
        <v>290</v>
      </c>
      <c r="AE907" s="702">
        <f t="shared" si="70"/>
        <v>43617</v>
      </c>
      <c r="AF907" s="289">
        <v>29506.480889909086</v>
      </c>
      <c r="AG907">
        <f t="shared" si="71"/>
        <v>360</v>
      </c>
      <c r="AH907" s="289">
        <f t="shared" si="72"/>
        <v>81.962446916414123</v>
      </c>
      <c r="AJ907" s="289">
        <f t="shared" si="73"/>
        <v>42</v>
      </c>
      <c r="AK907" s="289">
        <f t="shared" si="74"/>
        <v>3442.4227704893933</v>
      </c>
    </row>
    <row r="908" spans="1:37">
      <c r="A908" s="703" t="s">
        <v>1323</v>
      </c>
      <c r="B908" s="703" t="s">
        <v>1606</v>
      </c>
      <c r="C908" s="703" t="s">
        <v>574</v>
      </c>
      <c r="D908" s="703" t="s">
        <v>575</v>
      </c>
      <c r="E908" s="703" t="s">
        <v>334</v>
      </c>
      <c r="F908" s="703" t="s">
        <v>335</v>
      </c>
      <c r="G908" s="703" t="s">
        <v>1324</v>
      </c>
      <c r="H908" s="703" t="s">
        <v>334</v>
      </c>
      <c r="I908" s="703" t="s">
        <v>334</v>
      </c>
      <c r="J908" s="703" t="s">
        <v>577</v>
      </c>
      <c r="K908" s="704">
        <v>0</v>
      </c>
      <c r="L908" s="703" t="s">
        <v>334</v>
      </c>
      <c r="M908" s="702">
        <v>43434</v>
      </c>
      <c r="N908" s="702">
        <v>43514</v>
      </c>
      <c r="O908" s="703" t="s">
        <v>338</v>
      </c>
      <c r="P908" s="20">
        <v>13810.95</v>
      </c>
      <c r="Q908" s="20">
        <v>0</v>
      </c>
      <c r="R908" s="20">
        <v>0</v>
      </c>
      <c r="S908" s="20">
        <v>0</v>
      </c>
      <c r="T908" s="20">
        <v>13810.95</v>
      </c>
      <c r="U908" s="20">
        <v>12506.57</v>
      </c>
      <c r="V908" s="20">
        <v>-1304.3800000000001</v>
      </c>
      <c r="W908" s="20">
        <v>-1764.75</v>
      </c>
      <c r="X908" s="20">
        <v>-460.37</v>
      </c>
      <c r="Y908" s="20">
        <v>0</v>
      </c>
      <c r="Z908" s="20">
        <v>0</v>
      </c>
      <c r="AA908" s="20">
        <v>0</v>
      </c>
      <c r="AB908" s="20">
        <v>12046.2</v>
      </c>
      <c r="AC908" t="s">
        <v>578</v>
      </c>
      <c r="AD908" t="s">
        <v>290</v>
      </c>
      <c r="AE908" s="702">
        <f t="shared" si="70"/>
        <v>43617</v>
      </c>
      <c r="AF908" s="289">
        <v>21492.506188938893</v>
      </c>
      <c r="AG908">
        <f t="shared" si="71"/>
        <v>360</v>
      </c>
      <c r="AH908" s="289">
        <f t="shared" si="72"/>
        <v>59.701406080385816</v>
      </c>
      <c r="AJ908" s="289">
        <f t="shared" si="73"/>
        <v>42</v>
      </c>
      <c r="AK908" s="289">
        <f t="shared" si="74"/>
        <v>2507.4590553762041</v>
      </c>
    </row>
    <row r="909" spans="1:37">
      <c r="A909" s="703" t="s">
        <v>2086</v>
      </c>
      <c r="B909" s="703" t="s">
        <v>1606</v>
      </c>
      <c r="C909" s="703" t="s">
        <v>574</v>
      </c>
      <c r="D909" s="703" t="s">
        <v>334</v>
      </c>
      <c r="E909" s="703" t="s">
        <v>334</v>
      </c>
      <c r="F909" s="703" t="s">
        <v>335</v>
      </c>
      <c r="G909" s="703" t="s">
        <v>2087</v>
      </c>
      <c r="H909" s="703" t="s">
        <v>334</v>
      </c>
      <c r="I909" s="703" t="s">
        <v>334</v>
      </c>
      <c r="J909" s="703" t="s">
        <v>577</v>
      </c>
      <c r="K909" s="704">
        <v>0</v>
      </c>
      <c r="L909" s="703" t="s">
        <v>334</v>
      </c>
      <c r="M909" s="702">
        <v>43434</v>
      </c>
      <c r="N909" s="702">
        <v>43514</v>
      </c>
      <c r="O909" s="703" t="s">
        <v>338</v>
      </c>
      <c r="P909" s="20">
        <v>1695.17</v>
      </c>
      <c r="Q909" s="20">
        <v>0</v>
      </c>
      <c r="R909" s="20">
        <v>0</v>
      </c>
      <c r="S909" s="20">
        <v>0</v>
      </c>
      <c r="T909" s="20">
        <v>1695.17</v>
      </c>
      <c r="U909" s="20">
        <v>1535.06</v>
      </c>
      <c r="V909" s="20">
        <v>-160.11000000000001</v>
      </c>
      <c r="W909" s="20">
        <v>-216.62</v>
      </c>
      <c r="X909" s="20">
        <v>-56.51</v>
      </c>
      <c r="Y909" s="20">
        <v>0</v>
      </c>
      <c r="Z909" s="20">
        <v>0</v>
      </c>
      <c r="AA909" s="20">
        <v>0</v>
      </c>
      <c r="AB909" s="20">
        <v>1478.55</v>
      </c>
      <c r="AC909" t="s">
        <v>578</v>
      </c>
      <c r="AD909" t="s">
        <v>290</v>
      </c>
      <c r="AE909" s="702">
        <f t="shared" si="70"/>
        <v>43617</v>
      </c>
      <c r="AF909" s="289">
        <v>2638.0119916662898</v>
      </c>
      <c r="AG909">
        <f t="shared" si="71"/>
        <v>360</v>
      </c>
      <c r="AH909" s="289">
        <f t="shared" si="72"/>
        <v>7.3278110879619156</v>
      </c>
      <c r="AJ909" s="289">
        <f t="shared" si="73"/>
        <v>42</v>
      </c>
      <c r="AK909" s="289">
        <f t="shared" si="74"/>
        <v>307.76806569440043</v>
      </c>
    </row>
    <row r="910" spans="1:37">
      <c r="A910" s="703" t="s">
        <v>2088</v>
      </c>
      <c r="B910" s="703" t="s">
        <v>1606</v>
      </c>
      <c r="C910" s="703" t="s">
        <v>574</v>
      </c>
      <c r="D910" s="703" t="s">
        <v>334</v>
      </c>
      <c r="E910" s="703" t="s">
        <v>334</v>
      </c>
      <c r="F910" s="703" t="s">
        <v>335</v>
      </c>
      <c r="G910" s="703" t="s">
        <v>2089</v>
      </c>
      <c r="H910" s="703" t="s">
        <v>334</v>
      </c>
      <c r="I910" s="703" t="s">
        <v>334</v>
      </c>
      <c r="J910" s="703" t="s">
        <v>577</v>
      </c>
      <c r="K910" s="704">
        <v>0</v>
      </c>
      <c r="L910" s="703" t="s">
        <v>334</v>
      </c>
      <c r="M910" s="702">
        <v>43312</v>
      </c>
      <c r="N910" s="702">
        <v>43514</v>
      </c>
      <c r="O910" s="703" t="s">
        <v>338</v>
      </c>
      <c r="P910" s="20">
        <v>742888.88</v>
      </c>
      <c r="Q910" s="20">
        <v>0</v>
      </c>
      <c r="R910" s="20">
        <v>0</v>
      </c>
      <c r="S910" s="20">
        <v>0</v>
      </c>
      <c r="T910" s="20">
        <v>742888.88</v>
      </c>
      <c r="U910" s="20">
        <v>672727.16</v>
      </c>
      <c r="V910" s="20">
        <v>-70161.72</v>
      </c>
      <c r="W910" s="20">
        <v>-94924.68</v>
      </c>
      <c r="X910" s="20">
        <v>-24762.959999999999</v>
      </c>
      <c r="Y910" s="20">
        <v>0</v>
      </c>
      <c r="Z910" s="20">
        <v>0</v>
      </c>
      <c r="AA910" s="20">
        <v>0</v>
      </c>
      <c r="AB910" s="20">
        <v>647964.19999999995</v>
      </c>
      <c r="AC910" t="s">
        <v>578</v>
      </c>
      <c r="AD910" t="s">
        <v>290</v>
      </c>
      <c r="AE910" s="702">
        <f t="shared" si="70"/>
        <v>43617</v>
      </c>
      <c r="AF910" s="289">
        <v>1156078.6079953865</v>
      </c>
      <c r="AG910">
        <f t="shared" si="71"/>
        <v>360</v>
      </c>
      <c r="AH910" s="289">
        <f t="shared" si="72"/>
        <v>3211.3294666538513</v>
      </c>
      <c r="AJ910" s="289">
        <f t="shared" si="73"/>
        <v>42</v>
      </c>
      <c r="AK910" s="289">
        <f t="shared" si="74"/>
        <v>134875.83759946175</v>
      </c>
    </row>
    <row r="911" spans="1:37">
      <c r="A911" s="703" t="s">
        <v>2090</v>
      </c>
      <c r="B911" s="703" t="s">
        <v>1606</v>
      </c>
      <c r="C911" s="703" t="s">
        <v>574</v>
      </c>
      <c r="D911" s="703" t="s">
        <v>334</v>
      </c>
      <c r="E911" s="703" t="s">
        <v>334</v>
      </c>
      <c r="F911" s="703" t="s">
        <v>335</v>
      </c>
      <c r="G911" s="703" t="s">
        <v>2091</v>
      </c>
      <c r="H911" s="703" t="s">
        <v>334</v>
      </c>
      <c r="I911" s="703" t="s">
        <v>334</v>
      </c>
      <c r="J911" s="703" t="s">
        <v>577</v>
      </c>
      <c r="K911" s="704">
        <v>0</v>
      </c>
      <c r="L911" s="703" t="s">
        <v>334</v>
      </c>
      <c r="M911" s="702">
        <v>42825</v>
      </c>
      <c r="N911" s="702">
        <v>43514</v>
      </c>
      <c r="O911" s="703" t="s">
        <v>338</v>
      </c>
      <c r="P911" s="20">
        <v>1087964.73</v>
      </c>
      <c r="Q911" s="20">
        <v>0</v>
      </c>
      <c r="R911" s="20">
        <v>0</v>
      </c>
      <c r="S911" s="20">
        <v>0</v>
      </c>
      <c r="T911" s="20">
        <v>1087964.73</v>
      </c>
      <c r="U911" s="20">
        <v>985212.51</v>
      </c>
      <c r="V911" s="20">
        <v>-102752.22</v>
      </c>
      <c r="W911" s="20">
        <v>-139017.71</v>
      </c>
      <c r="X911" s="20">
        <v>-36265.49</v>
      </c>
      <c r="Y911" s="20">
        <v>0</v>
      </c>
      <c r="Z911" s="20">
        <v>0</v>
      </c>
      <c r="AA911" s="20">
        <v>0</v>
      </c>
      <c r="AB911" s="20">
        <v>948947.02</v>
      </c>
      <c r="AC911" t="s">
        <v>578</v>
      </c>
      <c r="AD911" t="s">
        <v>290</v>
      </c>
      <c r="AE911" s="702">
        <f t="shared" si="70"/>
        <v>43617</v>
      </c>
      <c r="AF911" s="289">
        <v>1693083.2920886853</v>
      </c>
      <c r="AG911">
        <f t="shared" si="71"/>
        <v>360</v>
      </c>
      <c r="AH911" s="289">
        <f t="shared" si="72"/>
        <v>4703.0091446907927</v>
      </c>
      <c r="AJ911" s="289">
        <f t="shared" si="73"/>
        <v>42</v>
      </c>
      <c r="AK911" s="289">
        <f t="shared" si="74"/>
        <v>197526.3840770133</v>
      </c>
    </row>
    <row r="912" spans="1:37">
      <c r="A912" s="703" t="s">
        <v>2092</v>
      </c>
      <c r="B912" s="703" t="s">
        <v>1606</v>
      </c>
      <c r="C912" s="703" t="s">
        <v>574</v>
      </c>
      <c r="D912" s="703" t="s">
        <v>334</v>
      </c>
      <c r="E912" s="703" t="s">
        <v>334</v>
      </c>
      <c r="F912" s="703" t="s">
        <v>335</v>
      </c>
      <c r="G912" s="703" t="s">
        <v>2093</v>
      </c>
      <c r="H912" s="703" t="s">
        <v>334</v>
      </c>
      <c r="I912" s="703" t="s">
        <v>334</v>
      </c>
      <c r="J912" s="703" t="s">
        <v>577</v>
      </c>
      <c r="K912" s="704">
        <v>0</v>
      </c>
      <c r="L912" s="703" t="s">
        <v>334</v>
      </c>
      <c r="M912" s="702">
        <v>43434</v>
      </c>
      <c r="N912" s="702">
        <v>43514</v>
      </c>
      <c r="O912" s="703" t="s">
        <v>338</v>
      </c>
      <c r="P912" s="20">
        <v>675.05</v>
      </c>
      <c r="Q912" s="20">
        <v>0</v>
      </c>
      <c r="R912" s="20">
        <v>0</v>
      </c>
      <c r="S912" s="20">
        <v>0</v>
      </c>
      <c r="T912" s="20">
        <v>675.05</v>
      </c>
      <c r="U912" s="20">
        <v>611.29999999999995</v>
      </c>
      <c r="V912" s="20">
        <v>-63.75</v>
      </c>
      <c r="W912" s="20">
        <v>-86.25</v>
      </c>
      <c r="X912" s="20">
        <v>-22.5</v>
      </c>
      <c r="Y912" s="20">
        <v>0</v>
      </c>
      <c r="Z912" s="20">
        <v>0</v>
      </c>
      <c r="AA912" s="20">
        <v>0</v>
      </c>
      <c r="AB912" s="20">
        <v>588.79999999999995</v>
      </c>
      <c r="AC912" t="s">
        <v>578</v>
      </c>
      <c r="AD912" t="s">
        <v>290</v>
      </c>
      <c r="AE912" s="702">
        <f t="shared" si="70"/>
        <v>43617</v>
      </c>
      <c r="AF912" s="289">
        <v>1050.5082056515446</v>
      </c>
      <c r="AG912">
        <f t="shared" si="71"/>
        <v>360</v>
      </c>
      <c r="AH912" s="289">
        <f t="shared" si="72"/>
        <v>2.9180783490320681</v>
      </c>
      <c r="AJ912" s="289">
        <f t="shared" si="73"/>
        <v>42</v>
      </c>
      <c r="AK912" s="289">
        <f t="shared" si="74"/>
        <v>122.55929065934686</v>
      </c>
    </row>
    <row r="913" spans="1:37">
      <c r="A913" s="703" t="s">
        <v>2094</v>
      </c>
      <c r="B913" s="703" t="s">
        <v>1606</v>
      </c>
      <c r="C913" s="703" t="s">
        <v>574</v>
      </c>
      <c r="D913" s="703" t="s">
        <v>334</v>
      </c>
      <c r="E913" s="703" t="s">
        <v>334</v>
      </c>
      <c r="F913" s="703" t="s">
        <v>335</v>
      </c>
      <c r="G913" s="703" t="s">
        <v>2095</v>
      </c>
      <c r="H913" s="703" t="s">
        <v>334</v>
      </c>
      <c r="I913" s="703" t="s">
        <v>334</v>
      </c>
      <c r="J913" s="703" t="s">
        <v>577</v>
      </c>
      <c r="K913" s="704">
        <v>0</v>
      </c>
      <c r="L913" s="703" t="s">
        <v>334</v>
      </c>
      <c r="M913" s="702">
        <v>43465</v>
      </c>
      <c r="N913" s="702">
        <v>43514</v>
      </c>
      <c r="O913" s="703" t="s">
        <v>338</v>
      </c>
      <c r="P913" s="20">
        <v>24265.8</v>
      </c>
      <c r="Q913" s="20">
        <v>0</v>
      </c>
      <c r="R913" s="20">
        <v>0</v>
      </c>
      <c r="S913" s="20">
        <v>0</v>
      </c>
      <c r="T913" s="20">
        <v>24265.8</v>
      </c>
      <c r="U913" s="20">
        <v>21974.03</v>
      </c>
      <c r="V913" s="20">
        <v>-2291.77</v>
      </c>
      <c r="W913" s="20">
        <v>-3100.63</v>
      </c>
      <c r="X913" s="20">
        <v>-808.86</v>
      </c>
      <c r="Y913" s="20">
        <v>0</v>
      </c>
      <c r="Z913" s="20">
        <v>0</v>
      </c>
      <c r="AA913" s="20">
        <v>0</v>
      </c>
      <c r="AB913" s="20">
        <v>21165.17</v>
      </c>
      <c r="AC913" t="s">
        <v>578</v>
      </c>
      <c r="AD913" t="s">
        <v>290</v>
      </c>
      <c r="AE913" s="702">
        <f t="shared" si="70"/>
        <v>43617</v>
      </c>
      <c r="AF913" s="289">
        <v>37762.272449002667</v>
      </c>
      <c r="AG913">
        <f t="shared" si="71"/>
        <v>360</v>
      </c>
      <c r="AH913" s="289">
        <f t="shared" si="72"/>
        <v>104.89520124722964</v>
      </c>
      <c r="AJ913" s="289">
        <f t="shared" si="73"/>
        <v>42</v>
      </c>
      <c r="AK913" s="289">
        <f t="shared" si="74"/>
        <v>4405.5984523836451</v>
      </c>
    </row>
    <row r="914" spans="1:37">
      <c r="A914" s="703" t="s">
        <v>2096</v>
      </c>
      <c r="B914" s="703" t="s">
        <v>1606</v>
      </c>
      <c r="C914" s="703" t="s">
        <v>586</v>
      </c>
      <c r="D914" s="703" t="s">
        <v>334</v>
      </c>
      <c r="E914" s="703" t="s">
        <v>334</v>
      </c>
      <c r="F914" s="703" t="s">
        <v>335</v>
      </c>
      <c r="G914" s="703" t="s">
        <v>2097</v>
      </c>
      <c r="H914" s="703" t="s">
        <v>334</v>
      </c>
      <c r="I914" s="703" t="s">
        <v>334</v>
      </c>
      <c r="J914" s="703" t="s">
        <v>337</v>
      </c>
      <c r="K914" s="704">
        <v>0</v>
      </c>
      <c r="L914" s="703" t="s">
        <v>334</v>
      </c>
      <c r="M914" s="702">
        <v>43131</v>
      </c>
      <c r="N914" s="702">
        <v>43514</v>
      </c>
      <c r="O914" s="703" t="s">
        <v>338</v>
      </c>
      <c r="P914" s="20">
        <v>184139.46</v>
      </c>
      <c r="Q914" s="20">
        <v>0</v>
      </c>
      <c r="R914" s="20">
        <v>0</v>
      </c>
      <c r="S914" s="20">
        <v>0</v>
      </c>
      <c r="T914" s="20">
        <v>184139.46</v>
      </c>
      <c r="U914" s="20">
        <v>166748.51</v>
      </c>
      <c r="V914" s="20">
        <v>-17390.95</v>
      </c>
      <c r="W914" s="20">
        <v>-23528.93</v>
      </c>
      <c r="X914" s="20">
        <v>-6137.98</v>
      </c>
      <c r="Y914" s="20">
        <v>0</v>
      </c>
      <c r="Z914" s="20">
        <v>0</v>
      </c>
      <c r="AA914" s="20">
        <v>0</v>
      </c>
      <c r="AB914" s="20">
        <v>160610.53</v>
      </c>
      <c r="AC914" t="s">
        <v>589</v>
      </c>
      <c r="AD914" t="s">
        <v>290</v>
      </c>
      <c r="AE914" s="702">
        <f t="shared" si="70"/>
        <v>43617</v>
      </c>
      <c r="AF914" s="289">
        <v>286556.57168245962</v>
      </c>
      <c r="AG914">
        <f t="shared" si="71"/>
        <v>360</v>
      </c>
      <c r="AH914" s="289">
        <f t="shared" si="72"/>
        <v>795.99047689572114</v>
      </c>
      <c r="AJ914" s="289">
        <f t="shared" si="73"/>
        <v>42</v>
      </c>
      <c r="AK914" s="289">
        <f t="shared" si="74"/>
        <v>33431.600029620291</v>
      </c>
    </row>
    <row r="915" spans="1:37">
      <c r="A915" s="703" t="s">
        <v>2098</v>
      </c>
      <c r="B915" s="703" t="s">
        <v>1606</v>
      </c>
      <c r="C915" s="703" t="s">
        <v>586</v>
      </c>
      <c r="D915" s="703" t="s">
        <v>334</v>
      </c>
      <c r="E915" s="703" t="s">
        <v>334</v>
      </c>
      <c r="F915" s="703" t="s">
        <v>335</v>
      </c>
      <c r="G915" s="703" t="s">
        <v>2099</v>
      </c>
      <c r="H915" s="703" t="s">
        <v>334</v>
      </c>
      <c r="I915" s="703" t="s">
        <v>334</v>
      </c>
      <c r="J915" s="703" t="s">
        <v>337</v>
      </c>
      <c r="K915" s="704">
        <v>0</v>
      </c>
      <c r="L915" s="703" t="s">
        <v>334</v>
      </c>
      <c r="M915" s="702">
        <v>43131</v>
      </c>
      <c r="N915" s="702">
        <v>43514</v>
      </c>
      <c r="O915" s="703" t="s">
        <v>338</v>
      </c>
      <c r="P915" s="20">
        <v>192440.33</v>
      </c>
      <c r="Q915" s="20">
        <v>0</v>
      </c>
      <c r="R915" s="20">
        <v>0</v>
      </c>
      <c r="S915" s="20">
        <v>0</v>
      </c>
      <c r="T915" s="20">
        <v>192440.33</v>
      </c>
      <c r="U915" s="20">
        <v>174265.41</v>
      </c>
      <c r="V915" s="20">
        <v>-18174.919999999998</v>
      </c>
      <c r="W915" s="20">
        <v>-24589.599999999999</v>
      </c>
      <c r="X915" s="20">
        <v>-6414.68</v>
      </c>
      <c r="Y915" s="20">
        <v>0</v>
      </c>
      <c r="Z915" s="20">
        <v>0</v>
      </c>
      <c r="AA915" s="20">
        <v>0</v>
      </c>
      <c r="AB915" s="20">
        <v>167850.73</v>
      </c>
      <c r="AC915" t="s">
        <v>589</v>
      </c>
      <c r="AD915" t="s">
        <v>290</v>
      </c>
      <c r="AE915" s="702">
        <f t="shared" si="70"/>
        <v>43617</v>
      </c>
      <c r="AF915" s="289">
        <v>299474.32895828621</v>
      </c>
      <c r="AG915">
        <f t="shared" si="71"/>
        <v>360</v>
      </c>
      <c r="AH915" s="289">
        <f t="shared" si="72"/>
        <v>831.87313599523941</v>
      </c>
      <c r="AJ915" s="289">
        <f t="shared" si="73"/>
        <v>42</v>
      </c>
      <c r="AK915" s="289">
        <f t="shared" si="74"/>
        <v>34938.671711800052</v>
      </c>
    </row>
    <row r="916" spans="1:37">
      <c r="A916" s="703" t="s">
        <v>2100</v>
      </c>
      <c r="B916" s="703" t="s">
        <v>1606</v>
      </c>
      <c r="C916" s="703" t="s">
        <v>586</v>
      </c>
      <c r="D916" s="703" t="s">
        <v>334</v>
      </c>
      <c r="E916" s="703" t="s">
        <v>334</v>
      </c>
      <c r="F916" s="703" t="s">
        <v>335</v>
      </c>
      <c r="G916" s="703" t="s">
        <v>2101</v>
      </c>
      <c r="H916" s="703" t="s">
        <v>334</v>
      </c>
      <c r="I916" s="703" t="s">
        <v>334</v>
      </c>
      <c r="J916" s="703" t="s">
        <v>337</v>
      </c>
      <c r="K916" s="704">
        <v>0</v>
      </c>
      <c r="L916" s="703" t="s">
        <v>334</v>
      </c>
      <c r="M916" s="702">
        <v>43131</v>
      </c>
      <c r="N916" s="702">
        <v>43514</v>
      </c>
      <c r="O916" s="703" t="s">
        <v>338</v>
      </c>
      <c r="P916" s="20">
        <v>209668.62</v>
      </c>
      <c r="Q916" s="20">
        <v>0</v>
      </c>
      <c r="R916" s="20">
        <v>0</v>
      </c>
      <c r="S916" s="20">
        <v>0</v>
      </c>
      <c r="T916" s="20">
        <v>209668.62</v>
      </c>
      <c r="U916" s="20">
        <v>189866.59</v>
      </c>
      <c r="V916" s="20">
        <v>-19802.03</v>
      </c>
      <c r="W916" s="20">
        <v>-26790.98</v>
      </c>
      <c r="X916" s="20">
        <v>-6988.95</v>
      </c>
      <c r="Y916" s="20">
        <v>0</v>
      </c>
      <c r="Z916" s="20">
        <v>0</v>
      </c>
      <c r="AA916" s="20">
        <v>0</v>
      </c>
      <c r="AB916" s="20">
        <v>182877.64</v>
      </c>
      <c r="AC916" t="s">
        <v>589</v>
      </c>
      <c r="AD916" t="s">
        <v>290</v>
      </c>
      <c r="AE916" s="702">
        <f t="shared" si="70"/>
        <v>43617</v>
      </c>
      <c r="AF916" s="289">
        <v>326284.87634639739</v>
      </c>
      <c r="AG916">
        <f t="shared" si="71"/>
        <v>360</v>
      </c>
      <c r="AH916" s="289">
        <f t="shared" si="72"/>
        <v>906.34687873999269</v>
      </c>
      <c r="AJ916" s="289">
        <f t="shared" si="73"/>
        <v>42</v>
      </c>
      <c r="AK916" s="289">
        <f t="shared" si="74"/>
        <v>38066.568907079694</v>
      </c>
    </row>
    <row r="917" spans="1:37">
      <c r="A917" s="703" t="s">
        <v>2102</v>
      </c>
      <c r="B917" s="703" t="s">
        <v>1606</v>
      </c>
      <c r="C917" s="703" t="s">
        <v>586</v>
      </c>
      <c r="D917" s="703" t="s">
        <v>334</v>
      </c>
      <c r="E917" s="703" t="s">
        <v>334</v>
      </c>
      <c r="F917" s="703" t="s">
        <v>335</v>
      </c>
      <c r="G917" s="703" t="s">
        <v>2103</v>
      </c>
      <c r="H917" s="703" t="s">
        <v>334</v>
      </c>
      <c r="I917" s="703" t="s">
        <v>334</v>
      </c>
      <c r="J917" s="703" t="s">
        <v>337</v>
      </c>
      <c r="K917" s="704">
        <v>0</v>
      </c>
      <c r="L917" s="703" t="s">
        <v>334</v>
      </c>
      <c r="M917" s="702">
        <v>43281</v>
      </c>
      <c r="N917" s="702">
        <v>43514</v>
      </c>
      <c r="O917" s="703" t="s">
        <v>338</v>
      </c>
      <c r="P917" s="20">
        <v>107959.55</v>
      </c>
      <c r="Q917" s="20">
        <v>0</v>
      </c>
      <c r="R917" s="20">
        <v>0</v>
      </c>
      <c r="S917" s="20">
        <v>0</v>
      </c>
      <c r="T917" s="20">
        <v>107959.55</v>
      </c>
      <c r="U917" s="20">
        <v>97763.37</v>
      </c>
      <c r="V917" s="20">
        <v>-10196.18</v>
      </c>
      <c r="W917" s="20">
        <v>-13794.83</v>
      </c>
      <c r="X917" s="20">
        <v>-3598.65</v>
      </c>
      <c r="Y917" s="20">
        <v>0</v>
      </c>
      <c r="Z917" s="20">
        <v>0</v>
      </c>
      <c r="AA917" s="20">
        <v>0</v>
      </c>
      <c r="AB917" s="20">
        <v>94164.72</v>
      </c>
      <c r="AC917" t="s">
        <v>589</v>
      </c>
      <c r="AD917" t="s">
        <v>290</v>
      </c>
      <c r="AE917" s="702">
        <f t="shared" si="70"/>
        <v>43617</v>
      </c>
      <c r="AF917" s="289">
        <v>168005.91534471256</v>
      </c>
      <c r="AG917">
        <f t="shared" si="71"/>
        <v>360</v>
      </c>
      <c r="AH917" s="289">
        <f t="shared" si="72"/>
        <v>466.68309817975711</v>
      </c>
      <c r="AJ917" s="289">
        <f t="shared" si="73"/>
        <v>42</v>
      </c>
      <c r="AK917" s="289">
        <f t="shared" si="74"/>
        <v>19600.690123549797</v>
      </c>
    </row>
    <row r="918" spans="1:37">
      <c r="A918" s="703" t="s">
        <v>2104</v>
      </c>
      <c r="B918" s="703" t="s">
        <v>1606</v>
      </c>
      <c r="C918" s="703" t="s">
        <v>586</v>
      </c>
      <c r="D918" s="703" t="s">
        <v>334</v>
      </c>
      <c r="E918" s="703" t="s">
        <v>334</v>
      </c>
      <c r="F918" s="703" t="s">
        <v>335</v>
      </c>
      <c r="G918" s="703" t="s">
        <v>2105</v>
      </c>
      <c r="H918" s="703" t="s">
        <v>334</v>
      </c>
      <c r="I918" s="703" t="s">
        <v>334</v>
      </c>
      <c r="J918" s="703" t="s">
        <v>337</v>
      </c>
      <c r="K918" s="704">
        <v>0</v>
      </c>
      <c r="L918" s="703" t="s">
        <v>334</v>
      </c>
      <c r="M918" s="702">
        <v>43281</v>
      </c>
      <c r="N918" s="702">
        <v>43514</v>
      </c>
      <c r="O918" s="703" t="s">
        <v>338</v>
      </c>
      <c r="P918" s="20">
        <v>54925.760000000002</v>
      </c>
      <c r="Q918" s="20">
        <v>0</v>
      </c>
      <c r="R918" s="20">
        <v>0</v>
      </c>
      <c r="S918" s="20">
        <v>0</v>
      </c>
      <c r="T918" s="20">
        <v>54925.760000000002</v>
      </c>
      <c r="U918" s="20">
        <v>49738.32</v>
      </c>
      <c r="V918" s="20">
        <v>-5187.4399999999996</v>
      </c>
      <c r="W918" s="20">
        <v>-7018.3</v>
      </c>
      <c r="X918" s="20">
        <v>-1830.86</v>
      </c>
      <c r="Y918" s="20">
        <v>0</v>
      </c>
      <c r="Z918" s="20">
        <v>0</v>
      </c>
      <c r="AA918" s="20">
        <v>0</v>
      </c>
      <c r="AB918" s="20">
        <v>47907.46</v>
      </c>
      <c r="AC918" t="s">
        <v>589</v>
      </c>
      <c r="AD918" t="s">
        <v>290</v>
      </c>
      <c r="AE918" s="702">
        <f t="shared" si="70"/>
        <v>43617</v>
      </c>
      <c r="AF918" s="289">
        <v>85475.093077027457</v>
      </c>
      <c r="AG918">
        <f t="shared" si="71"/>
        <v>360</v>
      </c>
      <c r="AH918" s="289">
        <f t="shared" si="72"/>
        <v>237.43081410285404</v>
      </c>
      <c r="AJ918" s="289">
        <f t="shared" si="73"/>
        <v>42</v>
      </c>
      <c r="AK918" s="289">
        <f t="shared" si="74"/>
        <v>9972.0941923198698</v>
      </c>
    </row>
    <row r="919" spans="1:37">
      <c r="A919" s="703" t="s">
        <v>2106</v>
      </c>
      <c r="B919" s="703" t="s">
        <v>1606</v>
      </c>
      <c r="C919" s="703" t="s">
        <v>586</v>
      </c>
      <c r="D919" s="703" t="s">
        <v>334</v>
      </c>
      <c r="E919" s="703" t="s">
        <v>334</v>
      </c>
      <c r="F919" s="703" t="s">
        <v>335</v>
      </c>
      <c r="G919" s="703" t="s">
        <v>2107</v>
      </c>
      <c r="H919" s="703" t="s">
        <v>334</v>
      </c>
      <c r="I919" s="703" t="s">
        <v>334</v>
      </c>
      <c r="J919" s="703" t="s">
        <v>337</v>
      </c>
      <c r="K919" s="704">
        <v>0</v>
      </c>
      <c r="L919" s="703" t="s">
        <v>334</v>
      </c>
      <c r="M919" s="702">
        <v>43131</v>
      </c>
      <c r="N919" s="702">
        <v>43514</v>
      </c>
      <c r="O919" s="703" t="s">
        <v>338</v>
      </c>
      <c r="P919" s="20">
        <v>39236.69</v>
      </c>
      <c r="Q919" s="20">
        <v>0</v>
      </c>
      <c r="R919" s="20">
        <v>0</v>
      </c>
      <c r="S919" s="20">
        <v>0</v>
      </c>
      <c r="T919" s="20">
        <v>39236.69</v>
      </c>
      <c r="U919" s="20">
        <v>35531</v>
      </c>
      <c r="V919" s="20">
        <v>-3705.69</v>
      </c>
      <c r="W919" s="20">
        <v>-5013.58</v>
      </c>
      <c r="X919" s="20">
        <v>-1307.8900000000001</v>
      </c>
      <c r="Y919" s="20">
        <v>0</v>
      </c>
      <c r="Z919" s="20">
        <v>0</v>
      </c>
      <c r="AA919" s="20">
        <v>0</v>
      </c>
      <c r="AB919" s="20">
        <v>34223.11</v>
      </c>
      <c r="AC919" t="s">
        <v>589</v>
      </c>
      <c r="AD919" t="s">
        <v>290</v>
      </c>
      <c r="AE919" s="702">
        <f t="shared" si="70"/>
        <v>43617</v>
      </c>
      <c r="AF919" s="289">
        <v>61059.869354278795</v>
      </c>
      <c r="AG919">
        <f t="shared" si="71"/>
        <v>360</v>
      </c>
      <c r="AH919" s="289">
        <f t="shared" si="72"/>
        <v>169.61074820632999</v>
      </c>
      <c r="AJ919" s="289">
        <f t="shared" si="73"/>
        <v>42</v>
      </c>
      <c r="AK919" s="289">
        <f t="shared" si="74"/>
        <v>7123.6514246658598</v>
      </c>
    </row>
    <row r="920" spans="1:37">
      <c r="A920" s="703" t="s">
        <v>2108</v>
      </c>
      <c r="B920" s="703" t="s">
        <v>1606</v>
      </c>
      <c r="C920" s="703" t="s">
        <v>586</v>
      </c>
      <c r="D920" s="703" t="s">
        <v>334</v>
      </c>
      <c r="E920" s="703" t="s">
        <v>334</v>
      </c>
      <c r="F920" s="703" t="s">
        <v>335</v>
      </c>
      <c r="G920" s="703" t="s">
        <v>2109</v>
      </c>
      <c r="H920" s="703" t="s">
        <v>334</v>
      </c>
      <c r="I920" s="703" t="s">
        <v>334</v>
      </c>
      <c r="J920" s="703" t="s">
        <v>337</v>
      </c>
      <c r="K920" s="704">
        <v>0</v>
      </c>
      <c r="L920" s="703" t="s">
        <v>334</v>
      </c>
      <c r="M920" s="702">
        <v>43281</v>
      </c>
      <c r="N920" s="702">
        <v>43514</v>
      </c>
      <c r="O920" s="703" t="s">
        <v>338</v>
      </c>
      <c r="P920" s="20">
        <v>26055.84</v>
      </c>
      <c r="Q920" s="20">
        <v>0</v>
      </c>
      <c r="R920" s="20">
        <v>0</v>
      </c>
      <c r="S920" s="20">
        <v>0</v>
      </c>
      <c r="T920" s="20">
        <v>26055.84</v>
      </c>
      <c r="U920" s="20">
        <v>23595.01</v>
      </c>
      <c r="V920" s="20">
        <v>-2460.83</v>
      </c>
      <c r="W920" s="20">
        <v>-3329.36</v>
      </c>
      <c r="X920" s="20">
        <v>-868.53</v>
      </c>
      <c r="Y920" s="20">
        <v>0</v>
      </c>
      <c r="Z920" s="20">
        <v>0</v>
      </c>
      <c r="AA920" s="20">
        <v>0</v>
      </c>
      <c r="AB920" s="20">
        <v>22726.48</v>
      </c>
      <c r="AC920" t="s">
        <v>589</v>
      </c>
      <c r="AD920" t="s">
        <v>290</v>
      </c>
      <c r="AE920" s="702">
        <f t="shared" si="70"/>
        <v>43617</v>
      </c>
      <c r="AF920" s="289">
        <v>40547.920487584241</v>
      </c>
      <c r="AG920">
        <f t="shared" si="71"/>
        <v>360</v>
      </c>
      <c r="AH920" s="289">
        <f t="shared" si="72"/>
        <v>112.63311246551179</v>
      </c>
      <c r="AJ920" s="289">
        <f t="shared" si="73"/>
        <v>42</v>
      </c>
      <c r="AK920" s="289">
        <f t="shared" si="74"/>
        <v>4730.5907235514951</v>
      </c>
    </row>
    <row r="921" spans="1:37">
      <c r="A921" s="703" t="s">
        <v>2110</v>
      </c>
      <c r="B921" s="703" t="s">
        <v>1606</v>
      </c>
      <c r="C921" s="703" t="s">
        <v>586</v>
      </c>
      <c r="D921" s="703" t="s">
        <v>334</v>
      </c>
      <c r="E921" s="703" t="s">
        <v>334</v>
      </c>
      <c r="F921" s="703" t="s">
        <v>335</v>
      </c>
      <c r="G921" s="703" t="s">
        <v>2111</v>
      </c>
      <c r="H921" s="703" t="s">
        <v>334</v>
      </c>
      <c r="I921" s="703" t="s">
        <v>334</v>
      </c>
      <c r="J921" s="703" t="s">
        <v>337</v>
      </c>
      <c r="K921" s="704">
        <v>0</v>
      </c>
      <c r="L921" s="703" t="s">
        <v>334</v>
      </c>
      <c r="M921" s="702">
        <v>43251</v>
      </c>
      <c r="N921" s="702">
        <v>43514</v>
      </c>
      <c r="O921" s="703" t="s">
        <v>338</v>
      </c>
      <c r="P921" s="20">
        <v>236335.45</v>
      </c>
      <c r="Q921" s="20">
        <v>0</v>
      </c>
      <c r="R921" s="20">
        <v>0</v>
      </c>
      <c r="S921" s="20">
        <v>0</v>
      </c>
      <c r="T921" s="20">
        <v>236335.45</v>
      </c>
      <c r="U921" s="20">
        <v>214014.88</v>
      </c>
      <c r="V921" s="20">
        <v>-22320.57</v>
      </c>
      <c r="W921" s="20">
        <v>-30198.42</v>
      </c>
      <c r="X921" s="20">
        <v>-7877.85</v>
      </c>
      <c r="Y921" s="20">
        <v>0</v>
      </c>
      <c r="Z921" s="20">
        <v>0</v>
      </c>
      <c r="AA921" s="20">
        <v>0</v>
      </c>
      <c r="AB921" s="20">
        <v>206137.03</v>
      </c>
      <c r="AC921" t="s">
        <v>589</v>
      </c>
      <c r="AD921" t="s">
        <v>290</v>
      </c>
      <c r="AE921" s="702">
        <f t="shared" si="70"/>
        <v>43617</v>
      </c>
      <c r="AF921" s="289">
        <v>367783.61530457053</v>
      </c>
      <c r="AG921">
        <f t="shared" si="71"/>
        <v>360</v>
      </c>
      <c r="AH921" s="289">
        <f t="shared" si="72"/>
        <v>1021.621153623807</v>
      </c>
      <c r="AJ921" s="289">
        <f t="shared" si="73"/>
        <v>42</v>
      </c>
      <c r="AK921" s="289">
        <f t="shared" si="74"/>
        <v>42908.088452199896</v>
      </c>
    </row>
    <row r="922" spans="1:37">
      <c r="A922" s="703" t="s">
        <v>1237</v>
      </c>
      <c r="B922" s="703" t="s">
        <v>1606</v>
      </c>
      <c r="C922" s="703" t="s">
        <v>586</v>
      </c>
      <c r="D922" s="703" t="s">
        <v>486</v>
      </c>
      <c r="E922" s="703" t="s">
        <v>587</v>
      </c>
      <c r="F922" s="703" t="s">
        <v>335</v>
      </c>
      <c r="G922" s="703" t="s">
        <v>1238</v>
      </c>
      <c r="H922" s="703" t="s">
        <v>1239</v>
      </c>
      <c r="I922" s="703" t="s">
        <v>334</v>
      </c>
      <c r="J922" s="703" t="s">
        <v>337</v>
      </c>
      <c r="K922" s="704">
        <v>0</v>
      </c>
      <c r="L922" s="703" t="s">
        <v>334</v>
      </c>
      <c r="M922" s="702">
        <v>40390</v>
      </c>
      <c r="N922" s="702">
        <v>43514</v>
      </c>
      <c r="O922" s="703" t="s">
        <v>338</v>
      </c>
      <c r="P922" s="20">
        <v>2671.54</v>
      </c>
      <c r="Q922" s="20">
        <v>0</v>
      </c>
      <c r="R922" s="20">
        <v>0</v>
      </c>
      <c r="S922" s="20">
        <v>0</v>
      </c>
      <c r="T922" s="20">
        <v>2671.54</v>
      </c>
      <c r="U922" s="20">
        <v>2419.23</v>
      </c>
      <c r="V922" s="20">
        <v>-252.31</v>
      </c>
      <c r="W922" s="20">
        <v>-341.36</v>
      </c>
      <c r="X922" s="20">
        <v>-89.05</v>
      </c>
      <c r="Y922" s="20">
        <v>0</v>
      </c>
      <c r="Z922" s="20">
        <v>0</v>
      </c>
      <c r="AA922" s="20">
        <v>0</v>
      </c>
      <c r="AB922" s="20">
        <v>2330.1799999999998</v>
      </c>
      <c r="AC922" t="s">
        <v>589</v>
      </c>
      <c r="AD922" t="s">
        <v>290</v>
      </c>
      <c r="AE922" s="702">
        <f t="shared" si="70"/>
        <v>43617</v>
      </c>
      <c r="AF922" s="289">
        <v>4157.4323260889223</v>
      </c>
      <c r="AG922">
        <f t="shared" si="71"/>
        <v>360</v>
      </c>
      <c r="AH922" s="289">
        <f t="shared" si="72"/>
        <v>11.548423128024783</v>
      </c>
      <c r="AJ922" s="289">
        <f t="shared" si="73"/>
        <v>42</v>
      </c>
      <c r="AK922" s="289">
        <f t="shared" si="74"/>
        <v>485.03377137704092</v>
      </c>
    </row>
    <row r="923" spans="1:37">
      <c r="A923" s="703" t="s">
        <v>1516</v>
      </c>
      <c r="B923" s="703" t="s">
        <v>1606</v>
      </c>
      <c r="C923" s="703" t="s">
        <v>586</v>
      </c>
      <c r="D923" s="703" t="s">
        <v>486</v>
      </c>
      <c r="E923" s="703" t="s">
        <v>587</v>
      </c>
      <c r="F923" s="703" t="s">
        <v>335</v>
      </c>
      <c r="G923" s="703" t="s">
        <v>1517</v>
      </c>
      <c r="H923" s="703" t="s">
        <v>334</v>
      </c>
      <c r="I923" s="703" t="s">
        <v>334</v>
      </c>
      <c r="J923" s="703" t="s">
        <v>337</v>
      </c>
      <c r="K923" s="704">
        <v>0</v>
      </c>
      <c r="L923" s="703" t="s">
        <v>334</v>
      </c>
      <c r="M923" s="702">
        <v>40390</v>
      </c>
      <c r="N923" s="702">
        <v>43514</v>
      </c>
      <c r="O923" s="703" t="s">
        <v>338</v>
      </c>
      <c r="P923" s="20">
        <v>3026.08</v>
      </c>
      <c r="Q923" s="20">
        <v>0</v>
      </c>
      <c r="R923" s="20">
        <v>0</v>
      </c>
      <c r="S923" s="20">
        <v>0</v>
      </c>
      <c r="T923" s="20">
        <v>3026.08</v>
      </c>
      <c r="U923" s="20">
        <v>2740.28</v>
      </c>
      <c r="V923" s="20">
        <v>-285.8</v>
      </c>
      <c r="W923" s="20">
        <v>-386.67</v>
      </c>
      <c r="X923" s="20">
        <v>-100.87</v>
      </c>
      <c r="Y923" s="20">
        <v>0</v>
      </c>
      <c r="Z923" s="20">
        <v>0</v>
      </c>
      <c r="AA923" s="20">
        <v>0</v>
      </c>
      <c r="AB923" s="20">
        <v>2639.41</v>
      </c>
      <c r="AC923" t="s">
        <v>589</v>
      </c>
      <c r="AD923" t="s">
        <v>290</v>
      </c>
      <c r="AE923" s="702">
        <f t="shared" si="70"/>
        <v>43617</v>
      </c>
      <c r="AF923" s="289">
        <v>4709.1650558596048</v>
      </c>
      <c r="AG923">
        <f t="shared" si="71"/>
        <v>360</v>
      </c>
      <c r="AH923" s="289">
        <f t="shared" si="72"/>
        <v>13.081014044054458</v>
      </c>
      <c r="AJ923" s="289">
        <f t="shared" si="73"/>
        <v>42</v>
      </c>
      <c r="AK923" s="289">
        <f t="shared" si="74"/>
        <v>549.4025898502872</v>
      </c>
    </row>
    <row r="924" spans="1:37">
      <c r="A924" s="703" t="s">
        <v>2112</v>
      </c>
      <c r="B924" s="703" t="s">
        <v>1606</v>
      </c>
      <c r="C924" s="703" t="s">
        <v>1124</v>
      </c>
      <c r="D924" s="703" t="s">
        <v>334</v>
      </c>
      <c r="E924" s="703" t="s">
        <v>334</v>
      </c>
      <c r="F924" s="703" t="s">
        <v>335</v>
      </c>
      <c r="G924" s="703" t="s">
        <v>2113</v>
      </c>
      <c r="H924" s="703" t="s">
        <v>334</v>
      </c>
      <c r="I924" s="703" t="s">
        <v>334</v>
      </c>
      <c r="J924" s="703" t="s">
        <v>337</v>
      </c>
      <c r="K924" s="704">
        <v>0</v>
      </c>
      <c r="L924" s="703" t="s">
        <v>334</v>
      </c>
      <c r="M924" s="702">
        <v>40968</v>
      </c>
      <c r="N924" s="702">
        <v>43514</v>
      </c>
      <c r="O924" s="703" t="s">
        <v>338</v>
      </c>
      <c r="P924" s="20">
        <v>330767.63</v>
      </c>
      <c r="Q924" s="20">
        <v>0</v>
      </c>
      <c r="R924" s="20">
        <v>0</v>
      </c>
      <c r="S924" s="20">
        <v>0</v>
      </c>
      <c r="T924" s="20">
        <v>330767.63</v>
      </c>
      <c r="U924" s="20">
        <v>299528.46000000002</v>
      </c>
      <c r="V924" s="20">
        <v>-31239.17</v>
      </c>
      <c r="W924" s="20">
        <v>-42264.76</v>
      </c>
      <c r="X924" s="20">
        <v>-11025.59</v>
      </c>
      <c r="Y924" s="20">
        <v>0</v>
      </c>
      <c r="Z924" s="20">
        <v>0</v>
      </c>
      <c r="AA924" s="20">
        <v>0</v>
      </c>
      <c r="AB924" s="20">
        <v>288502.87</v>
      </c>
      <c r="AC924" t="s">
        <v>1127</v>
      </c>
      <c r="AD924" t="s">
        <v>290</v>
      </c>
      <c r="AE924" s="702">
        <f t="shared" si="70"/>
        <v>43617</v>
      </c>
      <c r="AF924" s="289">
        <v>514738.32972211542</v>
      </c>
      <c r="AG924">
        <f t="shared" si="71"/>
        <v>360</v>
      </c>
      <c r="AH924" s="289">
        <f t="shared" si="72"/>
        <v>1429.8286936725428</v>
      </c>
      <c r="AJ924" s="289">
        <f t="shared" si="73"/>
        <v>42</v>
      </c>
      <c r="AK924" s="289">
        <f t="shared" si="74"/>
        <v>60052.805134246802</v>
      </c>
    </row>
    <row r="925" spans="1:37">
      <c r="A925" s="703" t="s">
        <v>2114</v>
      </c>
      <c r="B925" s="703" t="s">
        <v>1606</v>
      </c>
      <c r="C925" s="703" t="s">
        <v>1124</v>
      </c>
      <c r="D925" s="703" t="s">
        <v>334</v>
      </c>
      <c r="E925" s="703" t="s">
        <v>334</v>
      </c>
      <c r="F925" s="703" t="s">
        <v>335</v>
      </c>
      <c r="G925" s="703" t="s">
        <v>2115</v>
      </c>
      <c r="H925" s="703" t="s">
        <v>334</v>
      </c>
      <c r="I925" s="703" t="s">
        <v>334</v>
      </c>
      <c r="J925" s="703" t="s">
        <v>337</v>
      </c>
      <c r="K925" s="704">
        <v>0</v>
      </c>
      <c r="L925" s="703" t="s">
        <v>334</v>
      </c>
      <c r="M925" s="702">
        <v>40968</v>
      </c>
      <c r="N925" s="702">
        <v>43514</v>
      </c>
      <c r="O925" s="703" t="s">
        <v>338</v>
      </c>
      <c r="P925" s="20">
        <v>270163.71999999997</v>
      </c>
      <c r="Q925" s="20">
        <v>0</v>
      </c>
      <c r="R925" s="20">
        <v>0</v>
      </c>
      <c r="S925" s="20">
        <v>0</v>
      </c>
      <c r="T925" s="20">
        <v>270163.71999999997</v>
      </c>
      <c r="U925" s="20">
        <v>244648.25</v>
      </c>
      <c r="V925" s="20">
        <v>-25515.47</v>
      </c>
      <c r="W925" s="20">
        <v>-34520.93</v>
      </c>
      <c r="X925" s="20">
        <v>-9005.4599999999991</v>
      </c>
      <c r="Y925" s="20">
        <v>0</v>
      </c>
      <c r="Z925" s="20">
        <v>0</v>
      </c>
      <c r="AA925" s="20">
        <v>0</v>
      </c>
      <c r="AB925" s="20">
        <v>235642.79</v>
      </c>
      <c r="AC925" t="s">
        <v>1127</v>
      </c>
      <c r="AD925" t="s">
        <v>290</v>
      </c>
      <c r="AE925" s="702">
        <f t="shared" si="70"/>
        <v>43617</v>
      </c>
      <c r="AF925" s="289">
        <v>420426.93834433937</v>
      </c>
      <c r="AG925">
        <f t="shared" si="71"/>
        <v>360</v>
      </c>
      <c r="AH925" s="289">
        <f t="shared" si="72"/>
        <v>1167.8526065120539</v>
      </c>
      <c r="AJ925" s="289">
        <f t="shared" si="73"/>
        <v>42</v>
      </c>
      <c r="AK925" s="289">
        <f t="shared" si="74"/>
        <v>49049.809473506262</v>
      </c>
    </row>
    <row r="926" spans="1:37">
      <c r="A926" s="703" t="s">
        <v>2116</v>
      </c>
      <c r="B926" s="703" t="s">
        <v>1606</v>
      </c>
      <c r="C926" s="703" t="s">
        <v>1124</v>
      </c>
      <c r="D926" s="703" t="s">
        <v>334</v>
      </c>
      <c r="E926" s="703" t="s">
        <v>334</v>
      </c>
      <c r="F926" s="703" t="s">
        <v>335</v>
      </c>
      <c r="G926" s="703" t="s">
        <v>2117</v>
      </c>
      <c r="H926" s="703" t="s">
        <v>334</v>
      </c>
      <c r="I926" s="703" t="s">
        <v>334</v>
      </c>
      <c r="J926" s="703" t="s">
        <v>337</v>
      </c>
      <c r="K926" s="704">
        <v>0</v>
      </c>
      <c r="L926" s="703" t="s">
        <v>334</v>
      </c>
      <c r="M926" s="702">
        <v>40968</v>
      </c>
      <c r="N926" s="702">
        <v>43514</v>
      </c>
      <c r="O926" s="703" t="s">
        <v>338</v>
      </c>
      <c r="P926" s="20">
        <v>296602.3</v>
      </c>
      <c r="Q926" s="20">
        <v>0</v>
      </c>
      <c r="R926" s="20">
        <v>0</v>
      </c>
      <c r="S926" s="20">
        <v>0</v>
      </c>
      <c r="T926" s="20">
        <v>296602.3</v>
      </c>
      <c r="U926" s="20">
        <v>268589.87</v>
      </c>
      <c r="V926" s="20">
        <v>-28012.43</v>
      </c>
      <c r="W926" s="20">
        <v>-37899.17</v>
      </c>
      <c r="X926" s="20">
        <v>-9886.74</v>
      </c>
      <c r="Y926" s="20">
        <v>0</v>
      </c>
      <c r="Z926" s="20">
        <v>0</v>
      </c>
      <c r="AA926" s="20">
        <v>0</v>
      </c>
      <c r="AB926" s="20">
        <v>258703.13</v>
      </c>
      <c r="AC926" t="s">
        <v>1127</v>
      </c>
      <c r="AD926" t="s">
        <v>290</v>
      </c>
      <c r="AE926" s="702">
        <f t="shared" si="70"/>
        <v>43617</v>
      </c>
      <c r="AF926" s="289">
        <v>461570.47620934912</v>
      </c>
      <c r="AG926">
        <f t="shared" si="71"/>
        <v>360</v>
      </c>
      <c r="AH926" s="289">
        <f t="shared" si="72"/>
        <v>1282.1402116926365</v>
      </c>
      <c r="AJ926" s="289">
        <f t="shared" si="73"/>
        <v>42</v>
      </c>
      <c r="AK926" s="289">
        <f t="shared" si="74"/>
        <v>53849.888891090734</v>
      </c>
    </row>
    <row r="927" spans="1:37">
      <c r="A927" s="703" t="s">
        <v>2118</v>
      </c>
      <c r="B927" s="703" t="s">
        <v>1606</v>
      </c>
      <c r="C927" s="703" t="s">
        <v>1124</v>
      </c>
      <c r="D927" s="703" t="s">
        <v>334</v>
      </c>
      <c r="E927" s="703" t="s">
        <v>334</v>
      </c>
      <c r="F927" s="703" t="s">
        <v>335</v>
      </c>
      <c r="G927" s="703" t="s">
        <v>2119</v>
      </c>
      <c r="H927" s="703" t="s">
        <v>334</v>
      </c>
      <c r="I927" s="703" t="s">
        <v>334</v>
      </c>
      <c r="J927" s="703" t="s">
        <v>337</v>
      </c>
      <c r="K927" s="704">
        <v>0</v>
      </c>
      <c r="L927" s="703" t="s">
        <v>334</v>
      </c>
      <c r="M927" s="702">
        <v>40968</v>
      </c>
      <c r="N927" s="702">
        <v>43514</v>
      </c>
      <c r="O927" s="703" t="s">
        <v>338</v>
      </c>
      <c r="P927" s="20">
        <v>30570.71</v>
      </c>
      <c r="Q927" s="20">
        <v>0</v>
      </c>
      <c r="R927" s="20">
        <v>0</v>
      </c>
      <c r="S927" s="20">
        <v>0</v>
      </c>
      <c r="T927" s="20">
        <v>30570.71</v>
      </c>
      <c r="U927" s="20">
        <v>27683.48</v>
      </c>
      <c r="V927" s="20">
        <v>-2887.23</v>
      </c>
      <c r="W927" s="20">
        <v>-3906.25</v>
      </c>
      <c r="X927" s="20">
        <v>-1019.02</v>
      </c>
      <c r="Y927" s="20">
        <v>0</v>
      </c>
      <c r="Z927" s="20">
        <v>0</v>
      </c>
      <c r="AA927" s="20">
        <v>0</v>
      </c>
      <c r="AB927" s="20">
        <v>26664.46</v>
      </c>
      <c r="AC927" t="s">
        <v>1127</v>
      </c>
      <c r="AD927" t="s">
        <v>290</v>
      </c>
      <c r="AE927" s="702">
        <f t="shared" si="70"/>
        <v>43617</v>
      </c>
      <c r="AF927" s="289">
        <v>47573.930386776869</v>
      </c>
      <c r="AG927">
        <f t="shared" si="71"/>
        <v>360</v>
      </c>
      <c r="AH927" s="289">
        <f t="shared" si="72"/>
        <v>132.14980662993574</v>
      </c>
      <c r="AJ927" s="289">
        <f t="shared" si="73"/>
        <v>42</v>
      </c>
      <c r="AK927" s="289">
        <f t="shared" si="74"/>
        <v>5550.2918784573012</v>
      </c>
    </row>
    <row r="928" spans="1:37">
      <c r="A928" s="703" t="s">
        <v>2120</v>
      </c>
      <c r="B928" s="703" t="s">
        <v>1606</v>
      </c>
      <c r="C928" s="703" t="s">
        <v>1124</v>
      </c>
      <c r="D928" s="703" t="s">
        <v>334</v>
      </c>
      <c r="E928" s="703" t="s">
        <v>334</v>
      </c>
      <c r="F928" s="703" t="s">
        <v>335</v>
      </c>
      <c r="G928" s="703" t="s">
        <v>2119</v>
      </c>
      <c r="H928" s="703" t="s">
        <v>334</v>
      </c>
      <c r="I928" s="703" t="s">
        <v>334</v>
      </c>
      <c r="J928" s="703" t="s">
        <v>337</v>
      </c>
      <c r="K928" s="704">
        <v>0</v>
      </c>
      <c r="L928" s="703" t="s">
        <v>334</v>
      </c>
      <c r="M928" s="702">
        <v>40968</v>
      </c>
      <c r="N928" s="702">
        <v>43514</v>
      </c>
      <c r="O928" s="703" t="s">
        <v>338</v>
      </c>
      <c r="P928" s="20">
        <v>160042.43</v>
      </c>
      <c r="Q928" s="20">
        <v>0</v>
      </c>
      <c r="R928" s="20">
        <v>0</v>
      </c>
      <c r="S928" s="20">
        <v>0</v>
      </c>
      <c r="T928" s="20">
        <v>160042.43</v>
      </c>
      <c r="U928" s="20">
        <v>144927.31</v>
      </c>
      <c r="V928" s="20">
        <v>-15115.12</v>
      </c>
      <c r="W928" s="20">
        <v>-20449.87</v>
      </c>
      <c r="X928" s="20">
        <v>-5334.75</v>
      </c>
      <c r="Y928" s="20">
        <v>0</v>
      </c>
      <c r="Z928" s="20">
        <v>0</v>
      </c>
      <c r="AA928" s="20">
        <v>0</v>
      </c>
      <c r="AB928" s="20">
        <v>139592.56</v>
      </c>
      <c r="AC928" t="s">
        <v>1127</v>
      </c>
      <c r="AD928" t="s">
        <v>290</v>
      </c>
      <c r="AE928" s="702">
        <f t="shared" si="70"/>
        <v>43617</v>
      </c>
      <c r="AF928" s="289">
        <v>249056.93795631867</v>
      </c>
      <c r="AG928">
        <f t="shared" si="71"/>
        <v>360</v>
      </c>
      <c r="AH928" s="289">
        <f t="shared" si="72"/>
        <v>691.82482765644079</v>
      </c>
      <c r="AJ928" s="289">
        <f t="shared" si="73"/>
        <v>42</v>
      </c>
      <c r="AK928" s="289">
        <f t="shared" si="74"/>
        <v>29056.642761570514</v>
      </c>
    </row>
    <row r="929" spans="1:37">
      <c r="A929" s="703" t="s">
        <v>2121</v>
      </c>
      <c r="B929" s="703" t="s">
        <v>1606</v>
      </c>
      <c r="C929" s="703" t="s">
        <v>1124</v>
      </c>
      <c r="D929" s="703" t="s">
        <v>334</v>
      </c>
      <c r="E929" s="703" t="s">
        <v>334</v>
      </c>
      <c r="F929" s="703" t="s">
        <v>335</v>
      </c>
      <c r="G929" s="703" t="s">
        <v>2122</v>
      </c>
      <c r="H929" s="703" t="s">
        <v>334</v>
      </c>
      <c r="I929" s="703" t="s">
        <v>334</v>
      </c>
      <c r="J929" s="703" t="s">
        <v>337</v>
      </c>
      <c r="K929" s="704">
        <v>0</v>
      </c>
      <c r="L929" s="703" t="s">
        <v>334</v>
      </c>
      <c r="M929" s="702">
        <v>40968</v>
      </c>
      <c r="N929" s="702">
        <v>43514</v>
      </c>
      <c r="O929" s="703" t="s">
        <v>338</v>
      </c>
      <c r="P929" s="20">
        <v>31332.32</v>
      </c>
      <c r="Q929" s="20">
        <v>0</v>
      </c>
      <c r="R929" s="20">
        <v>0</v>
      </c>
      <c r="S929" s="20">
        <v>0</v>
      </c>
      <c r="T929" s="20">
        <v>31332.32</v>
      </c>
      <c r="U929" s="20">
        <v>28373.16</v>
      </c>
      <c r="V929" s="20">
        <v>-2959.16</v>
      </c>
      <c r="W929" s="20">
        <v>-4003.57</v>
      </c>
      <c r="X929" s="20">
        <v>-1044.4100000000001</v>
      </c>
      <c r="Y929" s="20">
        <v>0</v>
      </c>
      <c r="Z929" s="20">
        <v>0</v>
      </c>
      <c r="AA929" s="20">
        <v>0</v>
      </c>
      <c r="AB929" s="20">
        <v>27328.75</v>
      </c>
      <c r="AC929" t="s">
        <v>1127</v>
      </c>
      <c r="AD929" t="s">
        <v>290</v>
      </c>
      <c r="AE929" s="702">
        <f t="shared" si="70"/>
        <v>43617</v>
      </c>
      <c r="AF929" s="289">
        <v>48759.142674024151</v>
      </c>
      <c r="AG929">
        <f t="shared" si="71"/>
        <v>360</v>
      </c>
      <c r="AH929" s="289">
        <f t="shared" si="72"/>
        <v>135.44206298340043</v>
      </c>
      <c r="AJ929" s="289">
        <f t="shared" si="73"/>
        <v>42</v>
      </c>
      <c r="AK929" s="289">
        <f t="shared" si="74"/>
        <v>5688.566645302818</v>
      </c>
    </row>
    <row r="930" spans="1:37">
      <c r="A930" s="703" t="s">
        <v>2123</v>
      </c>
      <c r="B930" s="703" t="s">
        <v>1606</v>
      </c>
      <c r="C930" s="703" t="s">
        <v>1124</v>
      </c>
      <c r="D930" s="703" t="s">
        <v>334</v>
      </c>
      <c r="E930" s="703" t="s">
        <v>334</v>
      </c>
      <c r="F930" s="703" t="s">
        <v>335</v>
      </c>
      <c r="G930" s="703" t="s">
        <v>2124</v>
      </c>
      <c r="H930" s="703" t="s">
        <v>334</v>
      </c>
      <c r="I930" s="703" t="s">
        <v>334</v>
      </c>
      <c r="J930" s="703" t="s">
        <v>337</v>
      </c>
      <c r="K930" s="704">
        <v>0</v>
      </c>
      <c r="L930" s="703" t="s">
        <v>334</v>
      </c>
      <c r="M930" s="702">
        <v>40968</v>
      </c>
      <c r="N930" s="702">
        <v>43514</v>
      </c>
      <c r="O930" s="703" t="s">
        <v>338</v>
      </c>
      <c r="P930" s="20">
        <v>23266.26</v>
      </c>
      <c r="Q930" s="20">
        <v>0</v>
      </c>
      <c r="R930" s="20">
        <v>0</v>
      </c>
      <c r="S930" s="20">
        <v>0</v>
      </c>
      <c r="T930" s="20">
        <v>23266.26</v>
      </c>
      <c r="U930" s="20">
        <v>21068.89</v>
      </c>
      <c r="V930" s="20">
        <v>-2197.37</v>
      </c>
      <c r="W930" s="20">
        <v>-2972.91</v>
      </c>
      <c r="X930" s="20">
        <v>-775.54</v>
      </c>
      <c r="Y930" s="20">
        <v>0</v>
      </c>
      <c r="Z930" s="20">
        <v>0</v>
      </c>
      <c r="AA930" s="20">
        <v>0</v>
      </c>
      <c r="AB930" s="20">
        <v>20293.349999999999</v>
      </c>
      <c r="AC930" t="s">
        <v>1127</v>
      </c>
      <c r="AD930" t="s">
        <v>290</v>
      </c>
      <c r="AE930" s="702">
        <f t="shared" si="70"/>
        <v>43617</v>
      </c>
      <c r="AF930" s="289">
        <v>36206.79511861685</v>
      </c>
      <c r="AG930">
        <f t="shared" si="71"/>
        <v>360</v>
      </c>
      <c r="AH930" s="289">
        <f t="shared" si="72"/>
        <v>100.57443088504681</v>
      </c>
      <c r="AJ930" s="289">
        <f t="shared" si="73"/>
        <v>42</v>
      </c>
      <c r="AK930" s="289">
        <f t="shared" si="74"/>
        <v>4224.1260971719657</v>
      </c>
    </row>
    <row r="931" spans="1:37">
      <c r="A931" s="703" t="s">
        <v>2125</v>
      </c>
      <c r="B931" s="703" t="s">
        <v>1606</v>
      </c>
      <c r="C931" s="703" t="s">
        <v>1124</v>
      </c>
      <c r="D931" s="703" t="s">
        <v>334</v>
      </c>
      <c r="E931" s="703" t="s">
        <v>334</v>
      </c>
      <c r="F931" s="703" t="s">
        <v>335</v>
      </c>
      <c r="G931" s="703" t="s">
        <v>2126</v>
      </c>
      <c r="H931" s="703" t="s">
        <v>334</v>
      </c>
      <c r="I931" s="703" t="s">
        <v>334</v>
      </c>
      <c r="J931" s="703" t="s">
        <v>337</v>
      </c>
      <c r="K931" s="704">
        <v>0</v>
      </c>
      <c r="L931" s="703" t="s">
        <v>334</v>
      </c>
      <c r="M931" s="702">
        <v>40968</v>
      </c>
      <c r="N931" s="702">
        <v>43514</v>
      </c>
      <c r="O931" s="703" t="s">
        <v>338</v>
      </c>
      <c r="P931" s="20">
        <v>831.33</v>
      </c>
      <c r="Q931" s="20">
        <v>0</v>
      </c>
      <c r="R931" s="20">
        <v>0</v>
      </c>
      <c r="S931" s="20">
        <v>0</v>
      </c>
      <c r="T931" s="20">
        <v>831.33</v>
      </c>
      <c r="U931" s="20">
        <v>752.82</v>
      </c>
      <c r="V931" s="20">
        <v>-78.510000000000005</v>
      </c>
      <c r="W931" s="20">
        <v>-106.22</v>
      </c>
      <c r="X931" s="20">
        <v>-27.71</v>
      </c>
      <c r="Y931" s="20">
        <v>0</v>
      </c>
      <c r="Z931" s="20">
        <v>0</v>
      </c>
      <c r="AA931" s="20">
        <v>0</v>
      </c>
      <c r="AB931" s="20">
        <v>725.11</v>
      </c>
      <c r="AC931" t="s">
        <v>1127</v>
      </c>
      <c r="AD931" t="s">
        <v>290</v>
      </c>
      <c r="AE931" s="702">
        <f t="shared" si="70"/>
        <v>43617</v>
      </c>
      <c r="AF931" s="289">
        <v>1293.7100757044643</v>
      </c>
      <c r="AG931">
        <f t="shared" si="71"/>
        <v>360</v>
      </c>
      <c r="AH931" s="289">
        <f t="shared" si="72"/>
        <v>3.5936390991790677</v>
      </c>
      <c r="AJ931" s="289">
        <f t="shared" si="73"/>
        <v>42</v>
      </c>
      <c r="AK931" s="289">
        <f t="shared" si="74"/>
        <v>150.93284216552084</v>
      </c>
    </row>
    <row r="932" spans="1:37">
      <c r="A932" s="703" t="s">
        <v>2127</v>
      </c>
      <c r="B932" s="703" t="s">
        <v>1606</v>
      </c>
      <c r="C932" s="703" t="s">
        <v>1124</v>
      </c>
      <c r="D932" s="703" t="s">
        <v>334</v>
      </c>
      <c r="E932" s="703" t="s">
        <v>334</v>
      </c>
      <c r="F932" s="703" t="s">
        <v>335</v>
      </c>
      <c r="G932" s="703" t="s">
        <v>2128</v>
      </c>
      <c r="H932" s="703" t="s">
        <v>334</v>
      </c>
      <c r="I932" s="703" t="s">
        <v>334</v>
      </c>
      <c r="J932" s="703" t="s">
        <v>337</v>
      </c>
      <c r="K932" s="704">
        <v>0</v>
      </c>
      <c r="L932" s="703" t="s">
        <v>334</v>
      </c>
      <c r="M932" s="702">
        <v>40968</v>
      </c>
      <c r="N932" s="702">
        <v>43514</v>
      </c>
      <c r="O932" s="703" t="s">
        <v>338</v>
      </c>
      <c r="P932" s="20">
        <v>5530.17</v>
      </c>
      <c r="Q932" s="20">
        <v>0</v>
      </c>
      <c r="R932" s="20">
        <v>0</v>
      </c>
      <c r="S932" s="20">
        <v>0</v>
      </c>
      <c r="T932" s="20">
        <v>5530.17</v>
      </c>
      <c r="U932" s="20">
        <v>5007.87</v>
      </c>
      <c r="V932" s="20">
        <v>-522.29999999999995</v>
      </c>
      <c r="W932" s="20">
        <v>-706.64</v>
      </c>
      <c r="X932" s="20">
        <v>-184.34</v>
      </c>
      <c r="Y932" s="20">
        <v>0</v>
      </c>
      <c r="Z932" s="20">
        <v>0</v>
      </c>
      <c r="AA932" s="20">
        <v>0</v>
      </c>
      <c r="AB932" s="20">
        <v>4823.53</v>
      </c>
      <c r="AC932" t="s">
        <v>1127</v>
      </c>
      <c r="AD932" t="s">
        <v>290</v>
      </c>
      <c r="AE932" s="702">
        <f t="shared" si="70"/>
        <v>43617</v>
      </c>
      <c r="AF932" s="289">
        <v>8606.0128340834053</v>
      </c>
      <c r="AG932">
        <f t="shared" si="71"/>
        <v>360</v>
      </c>
      <c r="AH932" s="289">
        <f t="shared" si="72"/>
        <v>23.905591205787236</v>
      </c>
      <c r="AJ932" s="289">
        <f t="shared" si="73"/>
        <v>42</v>
      </c>
      <c r="AK932" s="289">
        <f t="shared" si="74"/>
        <v>1004.0348306430639</v>
      </c>
    </row>
    <row r="933" spans="1:37">
      <c r="A933" s="703" t="s">
        <v>2129</v>
      </c>
      <c r="B933" s="703" t="s">
        <v>1606</v>
      </c>
      <c r="C933" s="703" t="s">
        <v>1124</v>
      </c>
      <c r="D933" s="703" t="s">
        <v>334</v>
      </c>
      <c r="E933" s="703" t="s">
        <v>334</v>
      </c>
      <c r="F933" s="703" t="s">
        <v>335</v>
      </c>
      <c r="G933" s="703" t="s">
        <v>2128</v>
      </c>
      <c r="H933" s="703" t="s">
        <v>334</v>
      </c>
      <c r="I933" s="703" t="s">
        <v>334</v>
      </c>
      <c r="J933" s="703" t="s">
        <v>337</v>
      </c>
      <c r="K933" s="704">
        <v>0</v>
      </c>
      <c r="L933" s="703" t="s">
        <v>334</v>
      </c>
      <c r="M933" s="702">
        <v>40968</v>
      </c>
      <c r="N933" s="702">
        <v>43514</v>
      </c>
      <c r="O933" s="703" t="s">
        <v>338</v>
      </c>
      <c r="P933" s="20">
        <v>2765.09</v>
      </c>
      <c r="Q933" s="20">
        <v>0</v>
      </c>
      <c r="R933" s="20">
        <v>0</v>
      </c>
      <c r="S933" s="20">
        <v>0</v>
      </c>
      <c r="T933" s="20">
        <v>2765.09</v>
      </c>
      <c r="U933" s="20">
        <v>2503.94</v>
      </c>
      <c r="V933" s="20">
        <v>-261.14999999999998</v>
      </c>
      <c r="W933" s="20">
        <v>-353.32</v>
      </c>
      <c r="X933" s="20">
        <v>-92.17</v>
      </c>
      <c r="Y933" s="20">
        <v>0</v>
      </c>
      <c r="Z933" s="20">
        <v>0</v>
      </c>
      <c r="AA933" s="20">
        <v>0</v>
      </c>
      <c r="AB933" s="20">
        <v>2411.77</v>
      </c>
      <c r="AC933" t="s">
        <v>1127</v>
      </c>
      <c r="AD933" t="s">
        <v>290</v>
      </c>
      <c r="AE933" s="702">
        <f t="shared" si="70"/>
        <v>43617</v>
      </c>
      <c r="AF933" s="289">
        <v>4303.0141980075987</v>
      </c>
      <c r="AG933">
        <f t="shared" si="71"/>
        <v>360</v>
      </c>
      <c r="AH933" s="289">
        <f t="shared" si="72"/>
        <v>11.952817216687775</v>
      </c>
      <c r="AJ933" s="289">
        <f t="shared" si="73"/>
        <v>42</v>
      </c>
      <c r="AK933" s="289">
        <f t="shared" si="74"/>
        <v>502.01832310088656</v>
      </c>
    </row>
    <row r="934" spans="1:37">
      <c r="A934" s="703" t="s">
        <v>2130</v>
      </c>
      <c r="B934" s="703" t="s">
        <v>1606</v>
      </c>
      <c r="C934" s="703" t="s">
        <v>1124</v>
      </c>
      <c r="D934" s="703" t="s">
        <v>334</v>
      </c>
      <c r="E934" s="703" t="s">
        <v>334</v>
      </c>
      <c r="F934" s="703" t="s">
        <v>335</v>
      </c>
      <c r="G934" s="703" t="s">
        <v>2131</v>
      </c>
      <c r="H934" s="703" t="s">
        <v>334</v>
      </c>
      <c r="I934" s="703" t="s">
        <v>334</v>
      </c>
      <c r="J934" s="703" t="s">
        <v>337</v>
      </c>
      <c r="K934" s="704">
        <v>0</v>
      </c>
      <c r="L934" s="703" t="s">
        <v>334</v>
      </c>
      <c r="M934" s="702">
        <v>40968</v>
      </c>
      <c r="N934" s="702">
        <v>43514</v>
      </c>
      <c r="O934" s="703" t="s">
        <v>338</v>
      </c>
      <c r="P934" s="20">
        <v>1382.54</v>
      </c>
      <c r="Q934" s="20">
        <v>0</v>
      </c>
      <c r="R934" s="20">
        <v>0</v>
      </c>
      <c r="S934" s="20">
        <v>0</v>
      </c>
      <c r="T934" s="20">
        <v>1382.54</v>
      </c>
      <c r="U934" s="20">
        <v>1251.98</v>
      </c>
      <c r="V934" s="20">
        <v>-130.56</v>
      </c>
      <c r="W934" s="20">
        <v>-176.64</v>
      </c>
      <c r="X934" s="20">
        <v>-46.08</v>
      </c>
      <c r="Y934" s="20">
        <v>0</v>
      </c>
      <c r="Z934" s="20">
        <v>0</v>
      </c>
      <c r="AA934" s="20">
        <v>0</v>
      </c>
      <c r="AB934" s="20">
        <v>1205.9000000000001</v>
      </c>
      <c r="AC934" t="s">
        <v>1127</v>
      </c>
      <c r="AD934" t="s">
        <v>290</v>
      </c>
      <c r="AE934" s="702">
        <f t="shared" si="70"/>
        <v>43617</v>
      </c>
      <c r="AF934" s="289">
        <v>2151.4993180379029</v>
      </c>
      <c r="AG934">
        <f t="shared" si="71"/>
        <v>360</v>
      </c>
      <c r="AH934" s="289">
        <f t="shared" si="72"/>
        <v>5.9763869945497303</v>
      </c>
      <c r="AJ934" s="289">
        <f t="shared" si="73"/>
        <v>42</v>
      </c>
      <c r="AK934" s="289">
        <f t="shared" si="74"/>
        <v>251.00825377108868</v>
      </c>
    </row>
    <row r="935" spans="1:37">
      <c r="A935" s="703" t="s">
        <v>2132</v>
      </c>
      <c r="B935" s="703" t="s">
        <v>1606</v>
      </c>
      <c r="C935" s="703" t="s">
        <v>1124</v>
      </c>
      <c r="D935" s="703" t="s">
        <v>334</v>
      </c>
      <c r="E935" s="703" t="s">
        <v>334</v>
      </c>
      <c r="F935" s="703" t="s">
        <v>335</v>
      </c>
      <c r="G935" s="703" t="s">
        <v>2133</v>
      </c>
      <c r="H935" s="703" t="s">
        <v>334</v>
      </c>
      <c r="I935" s="703" t="s">
        <v>334</v>
      </c>
      <c r="J935" s="703" t="s">
        <v>337</v>
      </c>
      <c r="K935" s="704">
        <v>0</v>
      </c>
      <c r="L935" s="703" t="s">
        <v>334</v>
      </c>
      <c r="M935" s="702">
        <v>40968</v>
      </c>
      <c r="N935" s="702">
        <v>43514</v>
      </c>
      <c r="O935" s="703" t="s">
        <v>338</v>
      </c>
      <c r="P935" s="20">
        <v>907.07</v>
      </c>
      <c r="Q935" s="20">
        <v>0</v>
      </c>
      <c r="R935" s="20">
        <v>0</v>
      </c>
      <c r="S935" s="20">
        <v>0</v>
      </c>
      <c r="T935" s="20">
        <v>907.07</v>
      </c>
      <c r="U935" s="20">
        <v>821.39</v>
      </c>
      <c r="V935" s="20">
        <v>-85.68</v>
      </c>
      <c r="W935" s="20">
        <v>-115.92</v>
      </c>
      <c r="X935" s="20">
        <v>-30.24</v>
      </c>
      <c r="Y935" s="20">
        <v>0</v>
      </c>
      <c r="Z935" s="20">
        <v>0</v>
      </c>
      <c r="AA935" s="20">
        <v>0</v>
      </c>
      <c r="AB935" s="20">
        <v>791.15</v>
      </c>
      <c r="AC935" t="s">
        <v>1127</v>
      </c>
      <c r="AD935" t="s">
        <v>290</v>
      </c>
      <c r="AE935" s="702">
        <f t="shared" si="70"/>
        <v>43617</v>
      </c>
      <c r="AF935" s="289">
        <v>1411.5761471007283</v>
      </c>
      <c r="AG935">
        <f t="shared" si="71"/>
        <v>360</v>
      </c>
      <c r="AH935" s="289">
        <f t="shared" si="72"/>
        <v>3.9210448530575785</v>
      </c>
      <c r="AJ935" s="289">
        <f t="shared" si="73"/>
        <v>42</v>
      </c>
      <c r="AK935" s="289">
        <f t="shared" si="74"/>
        <v>164.68388382841829</v>
      </c>
    </row>
    <row r="936" spans="1:37">
      <c r="A936" s="703" t="s">
        <v>2134</v>
      </c>
      <c r="B936" s="703" t="s">
        <v>1606</v>
      </c>
      <c r="C936" s="703" t="s">
        <v>1124</v>
      </c>
      <c r="D936" s="703" t="s">
        <v>334</v>
      </c>
      <c r="E936" s="703" t="s">
        <v>334</v>
      </c>
      <c r="F936" s="703" t="s">
        <v>335</v>
      </c>
      <c r="G936" s="703" t="s">
        <v>2135</v>
      </c>
      <c r="H936" s="703" t="s">
        <v>334</v>
      </c>
      <c r="I936" s="703" t="s">
        <v>334</v>
      </c>
      <c r="J936" s="703" t="s">
        <v>337</v>
      </c>
      <c r="K936" s="704">
        <v>0</v>
      </c>
      <c r="L936" s="703" t="s">
        <v>334</v>
      </c>
      <c r="M936" s="702">
        <v>40968</v>
      </c>
      <c r="N936" s="702">
        <v>43514</v>
      </c>
      <c r="O936" s="703" t="s">
        <v>338</v>
      </c>
      <c r="P936" s="20">
        <v>34487.22</v>
      </c>
      <c r="Q936" s="20">
        <v>0</v>
      </c>
      <c r="R936" s="20">
        <v>0</v>
      </c>
      <c r="S936" s="20">
        <v>0</v>
      </c>
      <c r="T936" s="20">
        <v>34487.22</v>
      </c>
      <c r="U936" s="20">
        <v>31230.1</v>
      </c>
      <c r="V936" s="20">
        <v>-3257.12</v>
      </c>
      <c r="W936" s="20">
        <v>-4406.6899999999996</v>
      </c>
      <c r="X936" s="20">
        <v>-1149.57</v>
      </c>
      <c r="Y936" s="20">
        <v>0</v>
      </c>
      <c r="Z936" s="20">
        <v>0</v>
      </c>
      <c r="AA936" s="20">
        <v>0</v>
      </c>
      <c r="AB936" s="20">
        <v>30080.53</v>
      </c>
      <c r="AC936" t="s">
        <v>1127</v>
      </c>
      <c r="AD936" t="s">
        <v>290</v>
      </c>
      <c r="AE936" s="702">
        <f t="shared" si="70"/>
        <v>43617</v>
      </c>
      <c r="AF936" s="289">
        <v>53668.776535234516</v>
      </c>
      <c r="AG936">
        <f t="shared" si="71"/>
        <v>360</v>
      </c>
      <c r="AH936" s="289">
        <f t="shared" si="72"/>
        <v>149.07993482009587</v>
      </c>
      <c r="AJ936" s="289">
        <f t="shared" si="73"/>
        <v>42</v>
      </c>
      <c r="AK936" s="289">
        <f t="shared" si="74"/>
        <v>6261.3572624440267</v>
      </c>
    </row>
    <row r="937" spans="1:37">
      <c r="A937" s="703" t="s">
        <v>2136</v>
      </c>
      <c r="B937" s="703" t="s">
        <v>1606</v>
      </c>
      <c r="C937" s="703" t="s">
        <v>1124</v>
      </c>
      <c r="D937" s="703" t="s">
        <v>334</v>
      </c>
      <c r="E937" s="703" t="s">
        <v>334</v>
      </c>
      <c r="F937" s="703" t="s">
        <v>335</v>
      </c>
      <c r="G937" s="703" t="s">
        <v>2137</v>
      </c>
      <c r="H937" s="703" t="s">
        <v>334</v>
      </c>
      <c r="I937" s="703" t="s">
        <v>334</v>
      </c>
      <c r="J937" s="703" t="s">
        <v>337</v>
      </c>
      <c r="K937" s="704">
        <v>0</v>
      </c>
      <c r="L937" s="703" t="s">
        <v>334</v>
      </c>
      <c r="M937" s="702">
        <v>40968</v>
      </c>
      <c r="N937" s="702">
        <v>43514</v>
      </c>
      <c r="O937" s="703" t="s">
        <v>338</v>
      </c>
      <c r="P937" s="20">
        <v>146.84</v>
      </c>
      <c r="Q937" s="20">
        <v>0</v>
      </c>
      <c r="R937" s="20">
        <v>0</v>
      </c>
      <c r="S937" s="20">
        <v>0</v>
      </c>
      <c r="T937" s="20">
        <v>146.84</v>
      </c>
      <c r="U937" s="20">
        <v>132.97999999999999</v>
      </c>
      <c r="V937" s="20">
        <v>-13.86</v>
      </c>
      <c r="W937" s="20">
        <v>-18.75</v>
      </c>
      <c r="X937" s="20">
        <v>-4.8899999999999997</v>
      </c>
      <c r="Y937" s="20">
        <v>0</v>
      </c>
      <c r="Z937" s="20">
        <v>0</v>
      </c>
      <c r="AA937" s="20">
        <v>0</v>
      </c>
      <c r="AB937" s="20">
        <v>128.09</v>
      </c>
      <c r="AC937" t="s">
        <v>1127</v>
      </c>
      <c r="AD937" t="s">
        <v>290</v>
      </c>
      <c r="AE937" s="702">
        <f t="shared" si="70"/>
        <v>43617</v>
      </c>
      <c r="AF937" s="289">
        <v>228.51140644081596</v>
      </c>
      <c r="AG937">
        <f t="shared" si="71"/>
        <v>360</v>
      </c>
      <c r="AH937" s="289">
        <f t="shared" si="72"/>
        <v>0.63475390678004429</v>
      </c>
      <c r="AJ937" s="289">
        <f t="shared" si="73"/>
        <v>42</v>
      </c>
      <c r="AK937" s="289">
        <f t="shared" si="74"/>
        <v>26.659664084761861</v>
      </c>
    </row>
    <row r="938" spans="1:37">
      <c r="A938" s="703" t="s">
        <v>2138</v>
      </c>
      <c r="B938" s="703" t="s">
        <v>1606</v>
      </c>
      <c r="C938" s="703" t="s">
        <v>1124</v>
      </c>
      <c r="D938" s="703" t="s">
        <v>334</v>
      </c>
      <c r="E938" s="703" t="s">
        <v>334</v>
      </c>
      <c r="F938" s="703" t="s">
        <v>335</v>
      </c>
      <c r="G938" s="703" t="s">
        <v>2139</v>
      </c>
      <c r="H938" s="703" t="s">
        <v>334</v>
      </c>
      <c r="I938" s="703" t="s">
        <v>334</v>
      </c>
      <c r="J938" s="703" t="s">
        <v>337</v>
      </c>
      <c r="K938" s="704">
        <v>0</v>
      </c>
      <c r="L938" s="703" t="s">
        <v>334</v>
      </c>
      <c r="M938" s="702">
        <v>40968</v>
      </c>
      <c r="N938" s="702">
        <v>43514</v>
      </c>
      <c r="O938" s="703" t="s">
        <v>338</v>
      </c>
      <c r="P938" s="20">
        <v>801456.81</v>
      </c>
      <c r="Q938" s="20">
        <v>0</v>
      </c>
      <c r="R938" s="20">
        <v>0</v>
      </c>
      <c r="S938" s="20">
        <v>0</v>
      </c>
      <c r="T938" s="20">
        <v>801456.81</v>
      </c>
      <c r="U938" s="20">
        <v>725763.66</v>
      </c>
      <c r="V938" s="20">
        <v>-75693.149999999994</v>
      </c>
      <c r="W938" s="20">
        <v>-102408.38</v>
      </c>
      <c r="X938" s="20">
        <v>-26715.23</v>
      </c>
      <c r="Y938" s="20">
        <v>0</v>
      </c>
      <c r="Z938" s="20">
        <v>0</v>
      </c>
      <c r="AA938" s="20">
        <v>0</v>
      </c>
      <c r="AB938" s="20">
        <v>699048.43</v>
      </c>
      <c r="AC938" t="s">
        <v>1127</v>
      </c>
      <c r="AD938" t="s">
        <v>290</v>
      </c>
      <c r="AE938" s="702">
        <f t="shared" si="70"/>
        <v>43617</v>
      </c>
      <c r="AF938" s="289">
        <v>1247221.6211840766</v>
      </c>
      <c r="AG938">
        <f t="shared" si="71"/>
        <v>360</v>
      </c>
      <c r="AH938" s="289">
        <f t="shared" si="72"/>
        <v>3464.5045032891016</v>
      </c>
      <c r="AJ938" s="289">
        <f t="shared" si="73"/>
        <v>42</v>
      </c>
      <c r="AK938" s="289">
        <f t="shared" si="74"/>
        <v>145509.18913814228</v>
      </c>
    </row>
    <row r="939" spans="1:37">
      <c r="A939" s="703" t="s">
        <v>2140</v>
      </c>
      <c r="B939" s="703" t="s">
        <v>1606</v>
      </c>
      <c r="C939" s="703" t="s">
        <v>1124</v>
      </c>
      <c r="D939" s="703" t="s">
        <v>334</v>
      </c>
      <c r="E939" s="703" t="s">
        <v>334</v>
      </c>
      <c r="F939" s="703" t="s">
        <v>335</v>
      </c>
      <c r="G939" s="703" t="s">
        <v>2141</v>
      </c>
      <c r="H939" s="703" t="s">
        <v>334</v>
      </c>
      <c r="I939" s="703" t="s">
        <v>334</v>
      </c>
      <c r="J939" s="703" t="s">
        <v>337</v>
      </c>
      <c r="K939" s="704">
        <v>0</v>
      </c>
      <c r="L939" s="703" t="s">
        <v>334</v>
      </c>
      <c r="M939" s="702">
        <v>40968</v>
      </c>
      <c r="N939" s="702">
        <v>43514</v>
      </c>
      <c r="O939" s="703" t="s">
        <v>338</v>
      </c>
      <c r="P939" s="20">
        <v>17222.330000000002</v>
      </c>
      <c r="Q939" s="20">
        <v>0</v>
      </c>
      <c r="R939" s="20">
        <v>0</v>
      </c>
      <c r="S939" s="20">
        <v>0</v>
      </c>
      <c r="T939" s="20">
        <v>17222.330000000002</v>
      </c>
      <c r="U939" s="20">
        <v>15595.77</v>
      </c>
      <c r="V939" s="20">
        <v>-1626.56</v>
      </c>
      <c r="W939" s="20">
        <v>-2200.64</v>
      </c>
      <c r="X939" s="20">
        <v>-574.08000000000004</v>
      </c>
      <c r="Y939" s="20">
        <v>0</v>
      </c>
      <c r="Z939" s="20">
        <v>0</v>
      </c>
      <c r="AA939" s="20">
        <v>0</v>
      </c>
      <c r="AB939" s="20">
        <v>15021.69</v>
      </c>
      <c r="AC939" t="s">
        <v>1127</v>
      </c>
      <c r="AD939" t="s">
        <v>290</v>
      </c>
      <c r="AE939" s="702">
        <f t="shared" si="70"/>
        <v>43617</v>
      </c>
      <c r="AF939" s="289">
        <v>26801.272476762857</v>
      </c>
      <c r="AG939">
        <f t="shared" si="71"/>
        <v>360</v>
      </c>
      <c r="AH939" s="289">
        <f t="shared" si="72"/>
        <v>74.447979102119049</v>
      </c>
      <c r="AJ939" s="289">
        <f t="shared" si="73"/>
        <v>42</v>
      </c>
      <c r="AK939" s="289">
        <f t="shared" si="74"/>
        <v>3126.8151222890001</v>
      </c>
    </row>
    <row r="940" spans="1:37">
      <c r="A940" s="703" t="s">
        <v>2142</v>
      </c>
      <c r="B940" s="703" t="s">
        <v>1606</v>
      </c>
      <c r="C940" s="703" t="s">
        <v>1124</v>
      </c>
      <c r="D940" s="703" t="s">
        <v>334</v>
      </c>
      <c r="E940" s="703" t="s">
        <v>334</v>
      </c>
      <c r="F940" s="703" t="s">
        <v>335</v>
      </c>
      <c r="G940" s="703" t="s">
        <v>2143</v>
      </c>
      <c r="H940" s="703" t="s">
        <v>334</v>
      </c>
      <c r="I940" s="703" t="s">
        <v>334</v>
      </c>
      <c r="J940" s="703" t="s">
        <v>337</v>
      </c>
      <c r="K940" s="704">
        <v>0</v>
      </c>
      <c r="L940" s="703" t="s">
        <v>334</v>
      </c>
      <c r="M940" s="702">
        <v>40968</v>
      </c>
      <c r="N940" s="702">
        <v>43514</v>
      </c>
      <c r="O940" s="703" t="s">
        <v>338</v>
      </c>
      <c r="P940" s="20">
        <v>43807.64</v>
      </c>
      <c r="Q940" s="20">
        <v>0</v>
      </c>
      <c r="R940" s="20">
        <v>0</v>
      </c>
      <c r="S940" s="20">
        <v>0</v>
      </c>
      <c r="T940" s="20">
        <v>43807.64</v>
      </c>
      <c r="U940" s="20">
        <v>39670.26</v>
      </c>
      <c r="V940" s="20">
        <v>-4137.38</v>
      </c>
      <c r="W940" s="20">
        <v>-5597.63</v>
      </c>
      <c r="X940" s="20">
        <v>-1460.25</v>
      </c>
      <c r="Y940" s="20">
        <v>0</v>
      </c>
      <c r="Z940" s="20">
        <v>0</v>
      </c>
      <c r="AA940" s="20">
        <v>0</v>
      </c>
      <c r="AB940" s="20">
        <v>38210.01</v>
      </c>
      <c r="AC940" t="s">
        <v>1127</v>
      </c>
      <c r="AD940" t="s">
        <v>290</v>
      </c>
      <c r="AE940" s="702">
        <f t="shared" si="70"/>
        <v>43617</v>
      </c>
      <c r="AF940" s="289">
        <v>68173.150566963683</v>
      </c>
      <c r="AG940">
        <f t="shared" si="71"/>
        <v>360</v>
      </c>
      <c r="AH940" s="289">
        <f t="shared" si="72"/>
        <v>189.36986268601024</v>
      </c>
      <c r="AJ940" s="289">
        <f t="shared" si="73"/>
        <v>42</v>
      </c>
      <c r="AK940" s="289">
        <f t="shared" si="74"/>
        <v>7953.5342328124298</v>
      </c>
    </row>
    <row r="941" spans="1:37">
      <c r="A941" s="703" t="s">
        <v>2144</v>
      </c>
      <c r="B941" s="703" t="s">
        <v>1606</v>
      </c>
      <c r="C941" s="703" t="s">
        <v>1124</v>
      </c>
      <c r="D941" s="703" t="s">
        <v>334</v>
      </c>
      <c r="E941" s="703" t="s">
        <v>334</v>
      </c>
      <c r="F941" s="703" t="s">
        <v>335</v>
      </c>
      <c r="G941" s="703" t="s">
        <v>2145</v>
      </c>
      <c r="H941" s="703" t="s">
        <v>334</v>
      </c>
      <c r="I941" s="703" t="s">
        <v>334</v>
      </c>
      <c r="J941" s="703" t="s">
        <v>337</v>
      </c>
      <c r="K941" s="704">
        <v>0</v>
      </c>
      <c r="L941" s="703" t="s">
        <v>334</v>
      </c>
      <c r="M941" s="702">
        <v>40968</v>
      </c>
      <c r="N941" s="702">
        <v>43514</v>
      </c>
      <c r="O941" s="703" t="s">
        <v>338</v>
      </c>
      <c r="P941" s="20">
        <v>30150.46</v>
      </c>
      <c r="Q941" s="20">
        <v>0</v>
      </c>
      <c r="R941" s="20">
        <v>0</v>
      </c>
      <c r="S941" s="20">
        <v>0</v>
      </c>
      <c r="T941" s="20">
        <v>30150.46</v>
      </c>
      <c r="U941" s="20">
        <v>27302.91</v>
      </c>
      <c r="V941" s="20">
        <v>-2847.55</v>
      </c>
      <c r="W941" s="20">
        <v>-3852.57</v>
      </c>
      <c r="X941" s="20">
        <v>-1005.02</v>
      </c>
      <c r="Y941" s="20">
        <v>0</v>
      </c>
      <c r="Z941" s="20">
        <v>0</v>
      </c>
      <c r="AA941" s="20">
        <v>0</v>
      </c>
      <c r="AB941" s="20">
        <v>26297.89</v>
      </c>
      <c r="AC941" t="s">
        <v>1127</v>
      </c>
      <c r="AD941" t="s">
        <v>290</v>
      </c>
      <c r="AE941" s="702">
        <f t="shared" si="70"/>
        <v>43617</v>
      </c>
      <c r="AF941" s="289">
        <v>46919.940203197788</v>
      </c>
      <c r="AG941">
        <f t="shared" si="71"/>
        <v>360</v>
      </c>
      <c r="AH941" s="289">
        <f t="shared" si="72"/>
        <v>130.33316723110497</v>
      </c>
      <c r="AJ941" s="289">
        <f t="shared" si="73"/>
        <v>42</v>
      </c>
      <c r="AK941" s="289">
        <f t="shared" si="74"/>
        <v>5473.9930237064082</v>
      </c>
    </row>
    <row r="942" spans="1:37">
      <c r="A942" s="703" t="s">
        <v>2146</v>
      </c>
      <c r="B942" s="703" t="s">
        <v>1606</v>
      </c>
      <c r="C942" s="703" t="s">
        <v>1124</v>
      </c>
      <c r="D942" s="703" t="s">
        <v>334</v>
      </c>
      <c r="E942" s="703" t="s">
        <v>334</v>
      </c>
      <c r="F942" s="703" t="s">
        <v>335</v>
      </c>
      <c r="G942" s="703" t="s">
        <v>2147</v>
      </c>
      <c r="H942" s="703" t="s">
        <v>334</v>
      </c>
      <c r="I942" s="703" t="s">
        <v>334</v>
      </c>
      <c r="J942" s="703" t="s">
        <v>337</v>
      </c>
      <c r="K942" s="704">
        <v>0</v>
      </c>
      <c r="L942" s="703" t="s">
        <v>334</v>
      </c>
      <c r="M942" s="702">
        <v>40968</v>
      </c>
      <c r="N942" s="702">
        <v>43514</v>
      </c>
      <c r="O942" s="703" t="s">
        <v>338</v>
      </c>
      <c r="P942" s="20">
        <v>525981.32999999996</v>
      </c>
      <c r="Q942" s="20">
        <v>0</v>
      </c>
      <c r="R942" s="20">
        <v>0</v>
      </c>
      <c r="S942" s="20">
        <v>0</v>
      </c>
      <c r="T942" s="20">
        <v>525981.32999999996</v>
      </c>
      <c r="U942" s="20">
        <v>476305.32</v>
      </c>
      <c r="V942" s="20">
        <v>-49676.01</v>
      </c>
      <c r="W942" s="20">
        <v>-67208.72</v>
      </c>
      <c r="X942" s="20">
        <v>-17532.71</v>
      </c>
      <c r="Y942" s="20">
        <v>0</v>
      </c>
      <c r="Z942" s="20">
        <v>0</v>
      </c>
      <c r="AA942" s="20">
        <v>0</v>
      </c>
      <c r="AB942" s="20">
        <v>458772.61</v>
      </c>
      <c r="AC942" t="s">
        <v>1127</v>
      </c>
      <c r="AD942" t="s">
        <v>290</v>
      </c>
      <c r="AE942" s="702">
        <f t="shared" si="70"/>
        <v>43617</v>
      </c>
      <c r="AF942" s="289">
        <v>818528.55815793329</v>
      </c>
      <c r="AG942">
        <f t="shared" si="71"/>
        <v>360</v>
      </c>
      <c r="AH942" s="289">
        <f t="shared" si="72"/>
        <v>2273.6904393275927</v>
      </c>
      <c r="AJ942" s="289">
        <f t="shared" si="73"/>
        <v>42</v>
      </c>
      <c r="AK942" s="289">
        <f t="shared" si="74"/>
        <v>95494.998451758889</v>
      </c>
    </row>
    <row r="943" spans="1:37">
      <c r="A943" s="703" t="s">
        <v>2148</v>
      </c>
      <c r="B943" s="703" t="s">
        <v>1606</v>
      </c>
      <c r="C943" s="703" t="s">
        <v>1124</v>
      </c>
      <c r="D943" s="703" t="s">
        <v>334</v>
      </c>
      <c r="E943" s="703" t="s">
        <v>334</v>
      </c>
      <c r="F943" s="703" t="s">
        <v>335</v>
      </c>
      <c r="G943" s="703" t="s">
        <v>2149</v>
      </c>
      <c r="H943" s="703" t="s">
        <v>334</v>
      </c>
      <c r="I943" s="703" t="s">
        <v>334</v>
      </c>
      <c r="J943" s="703" t="s">
        <v>337</v>
      </c>
      <c r="K943" s="704">
        <v>0</v>
      </c>
      <c r="L943" s="703" t="s">
        <v>334</v>
      </c>
      <c r="M943" s="702">
        <v>40968</v>
      </c>
      <c r="N943" s="702">
        <v>43514</v>
      </c>
      <c r="O943" s="703" t="s">
        <v>338</v>
      </c>
      <c r="P943" s="20">
        <v>116384.73</v>
      </c>
      <c r="Q943" s="20">
        <v>0</v>
      </c>
      <c r="R943" s="20">
        <v>0</v>
      </c>
      <c r="S943" s="20">
        <v>0</v>
      </c>
      <c r="T943" s="20">
        <v>116384.73</v>
      </c>
      <c r="U943" s="20">
        <v>105392.84</v>
      </c>
      <c r="V943" s="20">
        <v>-10991.89</v>
      </c>
      <c r="W943" s="20">
        <v>-14871.38</v>
      </c>
      <c r="X943" s="20">
        <v>-3879.49</v>
      </c>
      <c r="Y943" s="20">
        <v>0</v>
      </c>
      <c r="Z943" s="20">
        <v>0</v>
      </c>
      <c r="AA943" s="20">
        <v>0</v>
      </c>
      <c r="AB943" s="20">
        <v>101513.35</v>
      </c>
      <c r="AC943" t="s">
        <v>1127</v>
      </c>
      <c r="AD943" t="s">
        <v>290</v>
      </c>
      <c r="AE943" s="702">
        <f t="shared" si="70"/>
        <v>43617</v>
      </c>
      <c r="AF943" s="289">
        <v>181117.12299465149</v>
      </c>
      <c r="AG943">
        <f t="shared" si="71"/>
        <v>360</v>
      </c>
      <c r="AH943" s="289">
        <f t="shared" si="72"/>
        <v>503.10311942958748</v>
      </c>
      <c r="AJ943" s="289">
        <f t="shared" si="73"/>
        <v>42</v>
      </c>
      <c r="AK943" s="289">
        <f t="shared" si="74"/>
        <v>21130.331016042674</v>
      </c>
    </row>
    <row r="944" spans="1:37">
      <c r="A944" s="703" t="s">
        <v>2150</v>
      </c>
      <c r="B944" s="703" t="s">
        <v>1606</v>
      </c>
      <c r="C944" s="703" t="s">
        <v>1124</v>
      </c>
      <c r="D944" s="703" t="s">
        <v>334</v>
      </c>
      <c r="E944" s="703" t="s">
        <v>334</v>
      </c>
      <c r="F944" s="703" t="s">
        <v>335</v>
      </c>
      <c r="G944" s="703" t="s">
        <v>2151</v>
      </c>
      <c r="H944" s="703" t="s">
        <v>334</v>
      </c>
      <c r="I944" s="703" t="s">
        <v>334</v>
      </c>
      <c r="J944" s="703" t="s">
        <v>337</v>
      </c>
      <c r="K944" s="704">
        <v>0</v>
      </c>
      <c r="L944" s="703" t="s">
        <v>334</v>
      </c>
      <c r="M944" s="702">
        <v>40968</v>
      </c>
      <c r="N944" s="702">
        <v>43514</v>
      </c>
      <c r="O944" s="703" t="s">
        <v>338</v>
      </c>
      <c r="P944" s="20">
        <v>100508.06</v>
      </c>
      <c r="Q944" s="20">
        <v>0</v>
      </c>
      <c r="R944" s="20">
        <v>0</v>
      </c>
      <c r="S944" s="20">
        <v>0</v>
      </c>
      <c r="T944" s="20">
        <v>100508.06</v>
      </c>
      <c r="U944" s="20">
        <v>91015.63</v>
      </c>
      <c r="V944" s="20">
        <v>-9492.43</v>
      </c>
      <c r="W944" s="20">
        <v>-12842.7</v>
      </c>
      <c r="X944" s="20">
        <v>-3350.27</v>
      </c>
      <c r="Y944" s="20">
        <v>0</v>
      </c>
      <c r="Z944" s="20">
        <v>0</v>
      </c>
      <c r="AA944" s="20">
        <v>0</v>
      </c>
      <c r="AB944" s="20">
        <v>87665.36</v>
      </c>
      <c r="AC944" t="s">
        <v>1127</v>
      </c>
      <c r="AD944" t="s">
        <v>290</v>
      </c>
      <c r="AE944" s="702">
        <f t="shared" si="70"/>
        <v>43617</v>
      </c>
      <c r="AF944" s="289">
        <v>156409.95743147586</v>
      </c>
      <c r="AG944">
        <f t="shared" si="71"/>
        <v>360</v>
      </c>
      <c r="AH944" s="289">
        <f t="shared" si="72"/>
        <v>434.47210397632182</v>
      </c>
      <c r="AJ944" s="289">
        <f t="shared" si="73"/>
        <v>42</v>
      </c>
      <c r="AK944" s="289">
        <f t="shared" si="74"/>
        <v>18247.828367005517</v>
      </c>
    </row>
    <row r="945" spans="1:37">
      <c r="A945" s="703" t="s">
        <v>2152</v>
      </c>
      <c r="B945" s="703" t="s">
        <v>1606</v>
      </c>
      <c r="C945" s="703" t="s">
        <v>1124</v>
      </c>
      <c r="D945" s="703" t="s">
        <v>334</v>
      </c>
      <c r="E945" s="703" t="s">
        <v>334</v>
      </c>
      <c r="F945" s="703" t="s">
        <v>335</v>
      </c>
      <c r="G945" s="703" t="s">
        <v>2153</v>
      </c>
      <c r="H945" s="703" t="s">
        <v>334</v>
      </c>
      <c r="I945" s="703" t="s">
        <v>334</v>
      </c>
      <c r="J945" s="703" t="s">
        <v>337</v>
      </c>
      <c r="K945" s="704">
        <v>0</v>
      </c>
      <c r="L945" s="703" t="s">
        <v>334</v>
      </c>
      <c r="M945" s="702">
        <v>40968</v>
      </c>
      <c r="N945" s="702">
        <v>43514</v>
      </c>
      <c r="O945" s="703" t="s">
        <v>338</v>
      </c>
      <c r="P945" s="20">
        <v>36232.629999999997</v>
      </c>
      <c r="Q945" s="20">
        <v>0</v>
      </c>
      <c r="R945" s="20">
        <v>0</v>
      </c>
      <c r="S945" s="20">
        <v>0</v>
      </c>
      <c r="T945" s="20">
        <v>36232.629999999997</v>
      </c>
      <c r="U945" s="20">
        <v>32810.67</v>
      </c>
      <c r="V945" s="20">
        <v>-3421.96</v>
      </c>
      <c r="W945" s="20">
        <v>-4629.71</v>
      </c>
      <c r="X945" s="20">
        <v>-1207.75</v>
      </c>
      <c r="Y945" s="20">
        <v>0</v>
      </c>
      <c r="Z945" s="20">
        <v>0</v>
      </c>
      <c r="AA945" s="20">
        <v>0</v>
      </c>
      <c r="AB945" s="20">
        <v>31602.92</v>
      </c>
      <c r="AC945" t="s">
        <v>1127</v>
      </c>
      <c r="AD945" t="s">
        <v>290</v>
      </c>
      <c r="AE945" s="702">
        <f t="shared" si="70"/>
        <v>43617</v>
      </c>
      <c r="AF945" s="289">
        <v>56384.971672226238</v>
      </c>
      <c r="AG945">
        <f t="shared" si="71"/>
        <v>360</v>
      </c>
      <c r="AH945" s="289">
        <f t="shared" si="72"/>
        <v>156.62492131173954</v>
      </c>
      <c r="AJ945" s="289">
        <f t="shared" si="73"/>
        <v>42</v>
      </c>
      <c r="AK945" s="289">
        <f t="shared" si="74"/>
        <v>6578.2466950930611</v>
      </c>
    </row>
    <row r="946" spans="1:37">
      <c r="A946" s="703" t="s">
        <v>2154</v>
      </c>
      <c r="B946" s="703" t="s">
        <v>1606</v>
      </c>
      <c r="C946" s="703" t="s">
        <v>1124</v>
      </c>
      <c r="D946" s="703" t="s">
        <v>334</v>
      </c>
      <c r="E946" s="703" t="s">
        <v>334</v>
      </c>
      <c r="F946" s="703" t="s">
        <v>335</v>
      </c>
      <c r="G946" s="703" t="s">
        <v>2155</v>
      </c>
      <c r="H946" s="703" t="s">
        <v>334</v>
      </c>
      <c r="I946" s="703" t="s">
        <v>334</v>
      </c>
      <c r="J946" s="703" t="s">
        <v>337</v>
      </c>
      <c r="K946" s="704">
        <v>0</v>
      </c>
      <c r="L946" s="703" t="s">
        <v>334</v>
      </c>
      <c r="M946" s="702">
        <v>40968</v>
      </c>
      <c r="N946" s="702">
        <v>43514</v>
      </c>
      <c r="O946" s="703" t="s">
        <v>338</v>
      </c>
      <c r="P946" s="20">
        <v>68985.2</v>
      </c>
      <c r="Q946" s="20">
        <v>0</v>
      </c>
      <c r="R946" s="20">
        <v>0</v>
      </c>
      <c r="S946" s="20">
        <v>0</v>
      </c>
      <c r="T946" s="20">
        <v>68985.2</v>
      </c>
      <c r="U946" s="20">
        <v>62469.919999999998</v>
      </c>
      <c r="V946" s="20">
        <v>-6515.28</v>
      </c>
      <c r="W946" s="20">
        <v>-8814.7900000000009</v>
      </c>
      <c r="X946" s="20">
        <v>-2299.5100000000002</v>
      </c>
      <c r="Y946" s="20">
        <v>0</v>
      </c>
      <c r="Z946" s="20">
        <v>0</v>
      </c>
      <c r="AA946" s="20">
        <v>0</v>
      </c>
      <c r="AB946" s="20">
        <v>60170.41</v>
      </c>
      <c r="AC946" t="s">
        <v>1127</v>
      </c>
      <c r="AD946" t="s">
        <v>290</v>
      </c>
      <c r="AE946" s="702">
        <f t="shared" si="70"/>
        <v>43617</v>
      </c>
      <c r="AF946" s="289">
        <v>107354.29770907774</v>
      </c>
      <c r="AG946">
        <f t="shared" si="71"/>
        <v>360</v>
      </c>
      <c r="AH946" s="289">
        <f t="shared" si="72"/>
        <v>298.20638252521593</v>
      </c>
      <c r="AJ946" s="289">
        <f t="shared" si="73"/>
        <v>42</v>
      </c>
      <c r="AK946" s="289">
        <f t="shared" si="74"/>
        <v>12524.668066059068</v>
      </c>
    </row>
    <row r="947" spans="1:37">
      <c r="A947" s="703" t="s">
        <v>2156</v>
      </c>
      <c r="B947" s="703" t="s">
        <v>1606</v>
      </c>
      <c r="C947" s="703" t="s">
        <v>1124</v>
      </c>
      <c r="D947" s="703" t="s">
        <v>334</v>
      </c>
      <c r="E947" s="703" t="s">
        <v>334</v>
      </c>
      <c r="F947" s="703" t="s">
        <v>335</v>
      </c>
      <c r="G947" s="703" t="s">
        <v>2157</v>
      </c>
      <c r="H947" s="703" t="s">
        <v>334</v>
      </c>
      <c r="I947" s="703" t="s">
        <v>334</v>
      </c>
      <c r="J947" s="703" t="s">
        <v>337</v>
      </c>
      <c r="K947" s="704">
        <v>0</v>
      </c>
      <c r="L947" s="703" t="s">
        <v>334</v>
      </c>
      <c r="M947" s="702">
        <v>40939</v>
      </c>
      <c r="N947" s="702">
        <v>43514</v>
      </c>
      <c r="O947" s="703" t="s">
        <v>338</v>
      </c>
      <c r="P947" s="20">
        <v>765.21</v>
      </c>
      <c r="Q947" s="20">
        <v>0</v>
      </c>
      <c r="R947" s="20">
        <v>0</v>
      </c>
      <c r="S947" s="20">
        <v>0</v>
      </c>
      <c r="T947" s="20">
        <v>765.21</v>
      </c>
      <c r="U947" s="20">
        <v>692.93</v>
      </c>
      <c r="V947" s="20">
        <v>-72.28</v>
      </c>
      <c r="W947" s="20">
        <v>-97.79</v>
      </c>
      <c r="X947" s="20">
        <v>-25.51</v>
      </c>
      <c r="Y947" s="20">
        <v>0</v>
      </c>
      <c r="Z947" s="20">
        <v>0</v>
      </c>
      <c r="AA947" s="20">
        <v>0</v>
      </c>
      <c r="AB947" s="20">
        <v>667.42</v>
      </c>
      <c r="AC947" t="s">
        <v>1127</v>
      </c>
      <c r="AD947" t="s">
        <v>290</v>
      </c>
      <c r="AE947" s="702">
        <f t="shared" si="70"/>
        <v>43617</v>
      </c>
      <c r="AF947" s="289">
        <v>1190.8145826925686</v>
      </c>
      <c r="AG947">
        <f t="shared" si="71"/>
        <v>360</v>
      </c>
      <c r="AH947" s="289">
        <f t="shared" si="72"/>
        <v>3.3078182852571349</v>
      </c>
      <c r="AJ947" s="289">
        <f t="shared" si="73"/>
        <v>42</v>
      </c>
      <c r="AK947" s="289">
        <f t="shared" si="74"/>
        <v>138.92836798079966</v>
      </c>
    </row>
    <row r="948" spans="1:37">
      <c r="A948" s="703" t="s">
        <v>2158</v>
      </c>
      <c r="B948" s="703" t="s">
        <v>1606</v>
      </c>
      <c r="C948" s="703" t="s">
        <v>332</v>
      </c>
      <c r="D948" s="703" t="s">
        <v>334</v>
      </c>
      <c r="E948" s="703" t="s">
        <v>334</v>
      </c>
      <c r="F948" s="703" t="s">
        <v>335</v>
      </c>
      <c r="G948" s="703" t="s">
        <v>2159</v>
      </c>
      <c r="H948" s="703" t="s">
        <v>334</v>
      </c>
      <c r="I948" s="703" t="s">
        <v>334</v>
      </c>
      <c r="J948" s="703" t="s">
        <v>337</v>
      </c>
      <c r="K948" s="704">
        <v>0</v>
      </c>
      <c r="L948" s="703" t="s">
        <v>334</v>
      </c>
      <c r="M948" s="702">
        <v>42886</v>
      </c>
      <c r="N948" s="702">
        <v>43515</v>
      </c>
      <c r="O948" s="703" t="s">
        <v>338</v>
      </c>
      <c r="P948" s="20">
        <v>12032.58</v>
      </c>
      <c r="Q948" s="20">
        <v>0</v>
      </c>
      <c r="R948" s="20">
        <v>0</v>
      </c>
      <c r="S948" s="20">
        <v>0</v>
      </c>
      <c r="T948" s="20">
        <v>12032.58</v>
      </c>
      <c r="U948" s="20">
        <v>10896.16</v>
      </c>
      <c r="V948" s="20">
        <v>-1136.42</v>
      </c>
      <c r="W948" s="20">
        <v>-1537.51</v>
      </c>
      <c r="X948" s="20">
        <v>-401.09</v>
      </c>
      <c r="Y948" s="20">
        <v>0</v>
      </c>
      <c r="Z948" s="20">
        <v>0</v>
      </c>
      <c r="AA948" s="20">
        <v>0</v>
      </c>
      <c r="AB948" s="20">
        <v>10495.07</v>
      </c>
      <c r="AC948" t="s">
        <v>183</v>
      </c>
      <c r="AD948" t="s">
        <v>290</v>
      </c>
      <c r="AE948" s="702">
        <f t="shared" si="70"/>
        <v>43617</v>
      </c>
      <c r="AF948" s="289">
        <v>18725.018924759148</v>
      </c>
      <c r="AG948">
        <f t="shared" si="71"/>
        <v>360</v>
      </c>
      <c r="AH948" s="289">
        <f t="shared" si="72"/>
        <v>52.013941457664302</v>
      </c>
      <c r="AJ948" s="289">
        <f t="shared" si="73"/>
        <v>42</v>
      </c>
      <c r="AK948" s="289">
        <f t="shared" si="74"/>
        <v>2184.5855412219007</v>
      </c>
    </row>
    <row r="949" spans="1:37">
      <c r="A949" s="703" t="s">
        <v>2160</v>
      </c>
      <c r="B949" s="703" t="s">
        <v>1606</v>
      </c>
      <c r="C949" s="703" t="s">
        <v>332</v>
      </c>
      <c r="D949" s="703" t="s">
        <v>334</v>
      </c>
      <c r="E949" s="703" t="s">
        <v>334</v>
      </c>
      <c r="F949" s="703" t="s">
        <v>335</v>
      </c>
      <c r="G949" s="703" t="s">
        <v>2161</v>
      </c>
      <c r="H949" s="703" t="s">
        <v>334</v>
      </c>
      <c r="I949" s="703" t="s">
        <v>334</v>
      </c>
      <c r="J949" s="703" t="s">
        <v>337</v>
      </c>
      <c r="K949" s="704">
        <v>0</v>
      </c>
      <c r="L949" s="703" t="s">
        <v>334</v>
      </c>
      <c r="M949" s="702">
        <v>39478</v>
      </c>
      <c r="N949" s="702">
        <v>43515</v>
      </c>
      <c r="O949" s="703" t="s">
        <v>338</v>
      </c>
      <c r="P949" s="20">
        <v>8879.9500000000007</v>
      </c>
      <c r="Q949" s="20">
        <v>0</v>
      </c>
      <c r="R949" s="20">
        <v>0</v>
      </c>
      <c r="S949" s="20">
        <v>0</v>
      </c>
      <c r="T949" s="20">
        <v>8879.9500000000007</v>
      </c>
      <c r="U949" s="20">
        <v>8041.28</v>
      </c>
      <c r="V949" s="20">
        <v>-838.67</v>
      </c>
      <c r="W949" s="20">
        <v>-1134.67</v>
      </c>
      <c r="X949" s="20">
        <v>-296</v>
      </c>
      <c r="Y949" s="20">
        <v>0</v>
      </c>
      <c r="Z949" s="20">
        <v>0</v>
      </c>
      <c r="AA949" s="20">
        <v>0</v>
      </c>
      <c r="AB949" s="20">
        <v>7745.28</v>
      </c>
      <c r="AC949" t="s">
        <v>183</v>
      </c>
      <c r="AD949" t="s">
        <v>290</v>
      </c>
      <c r="AE949" s="702">
        <f t="shared" si="70"/>
        <v>43617</v>
      </c>
      <c r="AF949" s="289">
        <v>13818.917622065675</v>
      </c>
      <c r="AG949">
        <f t="shared" si="71"/>
        <v>360</v>
      </c>
      <c r="AH949" s="289">
        <f t="shared" si="72"/>
        <v>38.385882283515762</v>
      </c>
      <c r="AJ949" s="289">
        <f t="shared" si="73"/>
        <v>42</v>
      </c>
      <c r="AK949" s="289">
        <f t="shared" si="74"/>
        <v>1612.2070559076619</v>
      </c>
    </row>
    <row r="950" spans="1:37">
      <c r="A950" s="703" t="s">
        <v>2162</v>
      </c>
      <c r="B950" s="703" t="s">
        <v>1606</v>
      </c>
      <c r="C950" s="703" t="s">
        <v>390</v>
      </c>
      <c r="D950" s="703" t="s">
        <v>334</v>
      </c>
      <c r="E950" s="703" t="s">
        <v>334</v>
      </c>
      <c r="F950" s="703" t="s">
        <v>335</v>
      </c>
      <c r="G950" s="703" t="s">
        <v>2163</v>
      </c>
      <c r="H950" s="703" t="s">
        <v>334</v>
      </c>
      <c r="I950" s="703" t="s">
        <v>334</v>
      </c>
      <c r="J950" s="703" t="s">
        <v>337</v>
      </c>
      <c r="K950" s="704">
        <v>0</v>
      </c>
      <c r="L950" s="703" t="s">
        <v>334</v>
      </c>
      <c r="M950" s="702">
        <v>42886</v>
      </c>
      <c r="N950" s="702">
        <v>43515</v>
      </c>
      <c r="O950" s="703" t="s">
        <v>338</v>
      </c>
      <c r="P950" s="20">
        <v>1944.06</v>
      </c>
      <c r="Q950" s="20">
        <v>0</v>
      </c>
      <c r="R950" s="20">
        <v>0</v>
      </c>
      <c r="S950" s="20">
        <v>0</v>
      </c>
      <c r="T950" s="20">
        <v>1944.06</v>
      </c>
      <c r="U950" s="20">
        <v>1760.46</v>
      </c>
      <c r="V950" s="20">
        <v>-183.6</v>
      </c>
      <c r="W950" s="20">
        <v>-248.4</v>
      </c>
      <c r="X950" s="20">
        <v>-64.8</v>
      </c>
      <c r="Y950" s="20">
        <v>0</v>
      </c>
      <c r="Z950" s="20">
        <v>0</v>
      </c>
      <c r="AA950" s="20">
        <v>0</v>
      </c>
      <c r="AB950" s="20">
        <v>1695.66</v>
      </c>
      <c r="AC950" t="s">
        <v>188</v>
      </c>
      <c r="AD950" t="s">
        <v>290</v>
      </c>
      <c r="AE950" s="702">
        <f t="shared" si="70"/>
        <v>43617</v>
      </c>
      <c r="AF950" s="289">
        <v>3025.3329120493913</v>
      </c>
      <c r="AG950">
        <f t="shared" si="71"/>
        <v>360</v>
      </c>
      <c r="AH950" s="289">
        <f t="shared" si="72"/>
        <v>8.4037025334705309</v>
      </c>
      <c r="AJ950" s="289">
        <f t="shared" si="73"/>
        <v>42</v>
      </c>
      <c r="AK950" s="289">
        <f t="shared" si="74"/>
        <v>352.95550640576232</v>
      </c>
    </row>
    <row r="951" spans="1:37">
      <c r="A951" s="703" t="s">
        <v>2164</v>
      </c>
      <c r="B951" s="703" t="s">
        <v>1606</v>
      </c>
      <c r="C951" s="703" t="s">
        <v>390</v>
      </c>
      <c r="D951" s="703" t="s">
        <v>334</v>
      </c>
      <c r="E951" s="703" t="s">
        <v>334</v>
      </c>
      <c r="F951" s="703" t="s">
        <v>335</v>
      </c>
      <c r="G951" s="703" t="s">
        <v>2165</v>
      </c>
      <c r="H951" s="703" t="s">
        <v>334</v>
      </c>
      <c r="I951" s="703" t="s">
        <v>334</v>
      </c>
      <c r="J951" s="703" t="s">
        <v>337</v>
      </c>
      <c r="K951" s="704">
        <v>0</v>
      </c>
      <c r="L951" s="703" t="s">
        <v>334</v>
      </c>
      <c r="M951" s="702">
        <v>42886</v>
      </c>
      <c r="N951" s="702">
        <v>43515</v>
      </c>
      <c r="O951" s="703" t="s">
        <v>338</v>
      </c>
      <c r="P951" s="20">
        <v>15016.76</v>
      </c>
      <c r="Q951" s="20">
        <v>0</v>
      </c>
      <c r="R951" s="20">
        <v>0</v>
      </c>
      <c r="S951" s="20">
        <v>0</v>
      </c>
      <c r="T951" s="20">
        <v>15016.76</v>
      </c>
      <c r="U951" s="20">
        <v>13598.51</v>
      </c>
      <c r="V951" s="20">
        <v>-1418.25</v>
      </c>
      <c r="W951" s="20">
        <v>-1918.81</v>
      </c>
      <c r="X951" s="20">
        <v>-500.56</v>
      </c>
      <c r="Y951" s="20">
        <v>0</v>
      </c>
      <c r="Z951" s="20">
        <v>0</v>
      </c>
      <c r="AA951" s="20">
        <v>0</v>
      </c>
      <c r="AB951" s="20">
        <v>13097.95</v>
      </c>
      <c r="AC951" t="s">
        <v>188</v>
      </c>
      <c r="AD951" t="s">
        <v>290</v>
      </c>
      <c r="AE951" s="702">
        <f t="shared" si="70"/>
        <v>43617</v>
      </c>
      <c r="AF951" s="289">
        <v>23368.979486408251</v>
      </c>
      <c r="AG951">
        <f t="shared" si="71"/>
        <v>360</v>
      </c>
      <c r="AH951" s="289">
        <f t="shared" si="72"/>
        <v>64.91383190668958</v>
      </c>
      <c r="AJ951" s="289">
        <f t="shared" si="73"/>
        <v>42</v>
      </c>
      <c r="AK951" s="289">
        <f t="shared" si="74"/>
        <v>2726.3809400809623</v>
      </c>
    </row>
    <row r="952" spans="1:37">
      <c r="A952" s="703" t="s">
        <v>2166</v>
      </c>
      <c r="B952" s="703" t="s">
        <v>1606</v>
      </c>
      <c r="C952" s="703" t="s">
        <v>390</v>
      </c>
      <c r="D952" s="703" t="s">
        <v>334</v>
      </c>
      <c r="E952" s="703" t="s">
        <v>334</v>
      </c>
      <c r="F952" s="703" t="s">
        <v>335</v>
      </c>
      <c r="G952" s="703" t="s">
        <v>2167</v>
      </c>
      <c r="H952" s="703" t="s">
        <v>334</v>
      </c>
      <c r="I952" s="703" t="s">
        <v>334</v>
      </c>
      <c r="J952" s="703" t="s">
        <v>337</v>
      </c>
      <c r="K952" s="704">
        <v>0</v>
      </c>
      <c r="L952" s="703" t="s">
        <v>334</v>
      </c>
      <c r="M952" s="702">
        <v>43251</v>
      </c>
      <c r="N952" s="702">
        <v>43515</v>
      </c>
      <c r="O952" s="703" t="s">
        <v>338</v>
      </c>
      <c r="P952" s="20">
        <v>10006.89</v>
      </c>
      <c r="Q952" s="20">
        <v>0</v>
      </c>
      <c r="R952" s="20">
        <v>0</v>
      </c>
      <c r="S952" s="20">
        <v>0</v>
      </c>
      <c r="T952" s="20">
        <v>10006.89</v>
      </c>
      <c r="U952" s="20">
        <v>9061.7999999999993</v>
      </c>
      <c r="V952" s="20">
        <v>-945.09</v>
      </c>
      <c r="W952" s="20">
        <v>-1278.6500000000001</v>
      </c>
      <c r="X952" s="20">
        <v>-333.56</v>
      </c>
      <c r="Y952" s="20">
        <v>0</v>
      </c>
      <c r="Z952" s="20">
        <v>0</v>
      </c>
      <c r="AA952" s="20">
        <v>0</v>
      </c>
      <c r="AB952" s="20">
        <v>8728.24</v>
      </c>
      <c r="AC952" t="s">
        <v>188</v>
      </c>
      <c r="AD952" t="s">
        <v>290</v>
      </c>
      <c r="AE952" s="702">
        <f t="shared" si="70"/>
        <v>43617</v>
      </c>
      <c r="AF952" s="289">
        <v>15572.653963487719</v>
      </c>
      <c r="AG952">
        <f t="shared" si="71"/>
        <v>360</v>
      </c>
      <c r="AH952" s="289">
        <f t="shared" si="72"/>
        <v>43.257372120799218</v>
      </c>
      <c r="AJ952" s="289">
        <f t="shared" si="73"/>
        <v>42</v>
      </c>
      <c r="AK952" s="289">
        <f t="shared" si="74"/>
        <v>1816.8096290735671</v>
      </c>
    </row>
    <row r="953" spans="1:37">
      <c r="A953" s="703" t="s">
        <v>2168</v>
      </c>
      <c r="B953" s="703" t="s">
        <v>1606</v>
      </c>
      <c r="C953" s="703" t="s">
        <v>390</v>
      </c>
      <c r="D953" s="703" t="s">
        <v>334</v>
      </c>
      <c r="E953" s="703" t="s">
        <v>334</v>
      </c>
      <c r="F953" s="703" t="s">
        <v>335</v>
      </c>
      <c r="G953" s="703" t="s">
        <v>2169</v>
      </c>
      <c r="H953" s="703" t="s">
        <v>334</v>
      </c>
      <c r="I953" s="703" t="s">
        <v>334</v>
      </c>
      <c r="J953" s="703" t="s">
        <v>337</v>
      </c>
      <c r="K953" s="704">
        <v>0</v>
      </c>
      <c r="L953" s="703" t="s">
        <v>334</v>
      </c>
      <c r="M953" s="702">
        <v>43251</v>
      </c>
      <c r="N953" s="702">
        <v>43538</v>
      </c>
      <c r="O953" s="703" t="s">
        <v>338</v>
      </c>
      <c r="P953" s="20">
        <v>784.75</v>
      </c>
      <c r="Q953" s="20">
        <v>0</v>
      </c>
      <c r="R953" s="20">
        <v>0</v>
      </c>
      <c r="S953" s="20">
        <v>0</v>
      </c>
      <c r="T953" s="20">
        <v>784.75</v>
      </c>
      <c r="U953" s="20">
        <v>712.81</v>
      </c>
      <c r="V953" s="20">
        <v>-71.94</v>
      </c>
      <c r="W953" s="20">
        <v>-98.1</v>
      </c>
      <c r="X953" s="20">
        <v>-26.16</v>
      </c>
      <c r="Y953" s="20">
        <v>0</v>
      </c>
      <c r="Z953" s="20">
        <v>0</v>
      </c>
      <c r="AA953" s="20">
        <v>0</v>
      </c>
      <c r="AB953" s="20">
        <v>686.65</v>
      </c>
      <c r="AC953" t="s">
        <v>188</v>
      </c>
      <c r="AD953" t="s">
        <v>290</v>
      </c>
      <c r="AE953" s="702">
        <f t="shared" si="70"/>
        <v>43617</v>
      </c>
      <c r="AF953" s="289">
        <v>1221.2225974150799</v>
      </c>
      <c r="AG953">
        <f t="shared" si="71"/>
        <v>360</v>
      </c>
      <c r="AH953" s="289">
        <f t="shared" si="72"/>
        <v>3.3922849928196666</v>
      </c>
      <c r="AJ953" s="289">
        <f t="shared" si="73"/>
        <v>42</v>
      </c>
      <c r="AK953" s="289">
        <f t="shared" si="74"/>
        <v>142.47596969842598</v>
      </c>
    </row>
    <row r="954" spans="1:37">
      <c r="A954" s="703" t="s">
        <v>2170</v>
      </c>
      <c r="B954" s="703" t="s">
        <v>1606</v>
      </c>
      <c r="C954" s="703" t="s">
        <v>332</v>
      </c>
      <c r="D954" s="703" t="s">
        <v>334</v>
      </c>
      <c r="E954" s="703" t="s">
        <v>334</v>
      </c>
      <c r="F954" s="703" t="s">
        <v>335</v>
      </c>
      <c r="G954" s="703" t="s">
        <v>2171</v>
      </c>
      <c r="H954" s="703" t="s">
        <v>334</v>
      </c>
      <c r="I954" s="703" t="s">
        <v>334</v>
      </c>
      <c r="J954" s="703" t="s">
        <v>337</v>
      </c>
      <c r="K954" s="704">
        <v>0</v>
      </c>
      <c r="L954" s="703" t="s">
        <v>334</v>
      </c>
      <c r="M954" s="702">
        <v>43496</v>
      </c>
      <c r="N954" s="702">
        <v>43539</v>
      </c>
      <c r="O954" s="703" t="s">
        <v>338</v>
      </c>
      <c r="P954" s="20">
        <v>5441.07</v>
      </c>
      <c r="Q954" s="20">
        <v>0</v>
      </c>
      <c r="R954" s="20">
        <v>0</v>
      </c>
      <c r="S954" s="20">
        <v>0</v>
      </c>
      <c r="T954" s="20">
        <v>5441.07</v>
      </c>
      <c r="U954" s="20">
        <v>4942.3</v>
      </c>
      <c r="V954" s="20">
        <v>-498.77</v>
      </c>
      <c r="W954" s="20">
        <v>-680.14</v>
      </c>
      <c r="X954" s="20">
        <v>-181.37</v>
      </c>
      <c r="Y954" s="20">
        <v>0</v>
      </c>
      <c r="Z954" s="20">
        <v>0</v>
      </c>
      <c r="AA954" s="20">
        <v>0</v>
      </c>
      <c r="AB954" s="20">
        <v>4760.93</v>
      </c>
      <c r="AC954" t="s">
        <v>183</v>
      </c>
      <c r="AD954" t="s">
        <v>290</v>
      </c>
      <c r="AE954" s="702">
        <f t="shared" si="70"/>
        <v>43617</v>
      </c>
      <c r="AF954" s="289">
        <v>8467.3560218123839</v>
      </c>
      <c r="AG954">
        <f t="shared" si="71"/>
        <v>360</v>
      </c>
      <c r="AH954" s="289">
        <f t="shared" si="72"/>
        <v>23.520433393923287</v>
      </c>
      <c r="AJ954" s="289">
        <f t="shared" si="73"/>
        <v>42</v>
      </c>
      <c r="AK954" s="289">
        <f t="shared" si="74"/>
        <v>987.85820254477812</v>
      </c>
    </row>
    <row r="955" spans="1:37">
      <c r="A955" s="703" t="s">
        <v>2172</v>
      </c>
      <c r="B955" s="703" t="s">
        <v>1606</v>
      </c>
      <c r="C955" s="703" t="s">
        <v>332</v>
      </c>
      <c r="D955" s="703" t="s">
        <v>334</v>
      </c>
      <c r="E955" s="703" t="s">
        <v>334</v>
      </c>
      <c r="F955" s="703" t="s">
        <v>335</v>
      </c>
      <c r="G955" s="703" t="s">
        <v>2173</v>
      </c>
      <c r="H955" s="703" t="s">
        <v>334</v>
      </c>
      <c r="I955" s="703" t="s">
        <v>334</v>
      </c>
      <c r="J955" s="703" t="s">
        <v>337</v>
      </c>
      <c r="K955" s="704">
        <v>0</v>
      </c>
      <c r="L955" s="703" t="s">
        <v>334</v>
      </c>
      <c r="M955" s="702">
        <v>43496</v>
      </c>
      <c r="N955" s="702">
        <v>43539</v>
      </c>
      <c r="O955" s="703" t="s">
        <v>338</v>
      </c>
      <c r="P955" s="20">
        <v>2199.31</v>
      </c>
      <c r="Q955" s="20">
        <v>0</v>
      </c>
      <c r="R955" s="20">
        <v>0</v>
      </c>
      <c r="S955" s="20">
        <v>0</v>
      </c>
      <c r="T955" s="20">
        <v>2199.31</v>
      </c>
      <c r="U955" s="20">
        <v>1997.71</v>
      </c>
      <c r="V955" s="20">
        <v>-201.6</v>
      </c>
      <c r="W955" s="20">
        <v>-274.91000000000003</v>
      </c>
      <c r="X955" s="20">
        <v>-73.31</v>
      </c>
      <c r="Y955" s="20">
        <v>0</v>
      </c>
      <c r="Z955" s="20">
        <v>0</v>
      </c>
      <c r="AA955" s="20">
        <v>0</v>
      </c>
      <c r="AB955" s="20">
        <v>1924.4</v>
      </c>
      <c r="AC955" t="s">
        <v>183</v>
      </c>
      <c r="AD955" t="s">
        <v>290</v>
      </c>
      <c r="AE955" s="702">
        <f t="shared" si="70"/>
        <v>43617</v>
      </c>
      <c r="AF955" s="289">
        <v>3422.5512210525121</v>
      </c>
      <c r="AG955">
        <f t="shared" si="71"/>
        <v>360</v>
      </c>
      <c r="AH955" s="289">
        <f t="shared" si="72"/>
        <v>9.5070867251458662</v>
      </c>
      <c r="AJ955" s="289">
        <f t="shared" si="73"/>
        <v>42</v>
      </c>
      <c r="AK955" s="289">
        <f t="shared" si="74"/>
        <v>399.29764245612637</v>
      </c>
    </row>
    <row r="956" spans="1:37">
      <c r="A956" s="703" t="s">
        <v>2174</v>
      </c>
      <c r="B956" s="703" t="s">
        <v>1606</v>
      </c>
      <c r="C956" s="703" t="s">
        <v>454</v>
      </c>
      <c r="D956" s="703" t="s">
        <v>467</v>
      </c>
      <c r="E956" s="703" t="s">
        <v>334</v>
      </c>
      <c r="F956" s="703" t="s">
        <v>455</v>
      </c>
      <c r="G956" s="703" t="s">
        <v>2175</v>
      </c>
      <c r="H956" s="703" t="s">
        <v>334</v>
      </c>
      <c r="I956" s="703" t="s">
        <v>334</v>
      </c>
      <c r="J956" s="703" t="s">
        <v>458</v>
      </c>
      <c r="K956" s="704">
        <v>0</v>
      </c>
      <c r="L956" s="703" t="s">
        <v>334</v>
      </c>
      <c r="M956" s="702"/>
      <c r="N956" s="702">
        <v>43555</v>
      </c>
      <c r="O956" s="703" t="s">
        <v>338</v>
      </c>
      <c r="P956" s="20">
        <v>30763.87</v>
      </c>
      <c r="Q956" s="20">
        <v>0</v>
      </c>
      <c r="R956" s="20">
        <v>0</v>
      </c>
      <c r="S956" s="20">
        <v>0</v>
      </c>
      <c r="T956" s="20">
        <v>30763.87</v>
      </c>
      <c r="U956" s="20">
        <v>26888.2</v>
      </c>
      <c r="V956" s="20">
        <v>-3875.67</v>
      </c>
      <c r="W956" s="20">
        <v>-5413.86</v>
      </c>
      <c r="X956" s="20">
        <v>-1538.19</v>
      </c>
      <c r="Y956" s="20">
        <v>0</v>
      </c>
      <c r="Z956" s="20">
        <v>0</v>
      </c>
      <c r="AA956" s="20">
        <v>0</v>
      </c>
      <c r="AB956" s="20">
        <v>25350.01</v>
      </c>
      <c r="AC956" t="s">
        <v>459</v>
      </c>
      <c r="AD956" t="s">
        <v>290</v>
      </c>
      <c r="AE956" s="702">
        <f t="shared" si="70"/>
        <v>43617</v>
      </c>
      <c r="AF956" s="289">
        <v>47874.524661280477</v>
      </c>
      <c r="AG956">
        <f t="shared" si="71"/>
        <v>360</v>
      </c>
      <c r="AH956" s="289">
        <f t="shared" si="72"/>
        <v>132.98479072577911</v>
      </c>
      <c r="AJ956" s="289">
        <f t="shared" si="73"/>
        <v>42</v>
      </c>
      <c r="AK956" s="289">
        <f t="shared" si="74"/>
        <v>5585.3612104827225</v>
      </c>
    </row>
    <row r="957" spans="1:37">
      <c r="A957" s="703" t="s">
        <v>471</v>
      </c>
      <c r="B957" s="703" t="s">
        <v>1606</v>
      </c>
      <c r="C957" s="703" t="s">
        <v>472</v>
      </c>
      <c r="D957" s="703" t="s">
        <v>473</v>
      </c>
      <c r="E957" s="703" t="s">
        <v>334</v>
      </c>
      <c r="F957" s="703" t="s">
        <v>474</v>
      </c>
      <c r="G957" s="703" t="s">
        <v>475</v>
      </c>
      <c r="H957" s="703" t="s">
        <v>334</v>
      </c>
      <c r="I957" s="703" t="s">
        <v>334</v>
      </c>
      <c r="J957" s="703" t="s">
        <v>476</v>
      </c>
      <c r="K957" s="704">
        <v>0</v>
      </c>
      <c r="L957" s="703" t="s">
        <v>334</v>
      </c>
      <c r="M957" s="702"/>
      <c r="N957" s="702">
        <v>43555</v>
      </c>
      <c r="O957" s="703" t="s">
        <v>338</v>
      </c>
      <c r="P957" s="20">
        <v>16664.41</v>
      </c>
      <c r="Q957" s="20">
        <v>0</v>
      </c>
      <c r="R957" s="20">
        <v>0</v>
      </c>
      <c r="S957" s="20">
        <v>0</v>
      </c>
      <c r="T957" s="20">
        <v>16664.41</v>
      </c>
      <c r="U957" s="20">
        <v>12483.87</v>
      </c>
      <c r="V957" s="20">
        <v>-4180.54</v>
      </c>
      <c r="W957" s="20">
        <v>-5846.98</v>
      </c>
      <c r="X957" s="20">
        <v>-1666.44</v>
      </c>
      <c r="Y957" s="20">
        <v>0</v>
      </c>
      <c r="Z957" s="20">
        <v>0</v>
      </c>
      <c r="AA957" s="20">
        <v>0</v>
      </c>
      <c r="AB957" s="20">
        <v>10817.43</v>
      </c>
      <c r="AC957" t="s">
        <v>477</v>
      </c>
      <c r="AD957" t="s">
        <v>290</v>
      </c>
      <c r="AE957" s="702">
        <f t="shared" si="70"/>
        <v>43617</v>
      </c>
      <c r="AF957" s="289">
        <v>25933.041178196658</v>
      </c>
      <c r="AG957">
        <f t="shared" si="71"/>
        <v>360</v>
      </c>
      <c r="AH957" s="289">
        <f t="shared" si="72"/>
        <v>72.036225494990717</v>
      </c>
      <c r="AJ957" s="289">
        <f t="shared" si="73"/>
        <v>42</v>
      </c>
      <c r="AK957" s="289">
        <f t="shared" si="74"/>
        <v>3025.5214707896102</v>
      </c>
    </row>
    <row r="958" spans="1:37">
      <c r="A958" s="703" t="s">
        <v>481</v>
      </c>
      <c r="B958" s="703" t="s">
        <v>1606</v>
      </c>
      <c r="C958" s="703" t="s">
        <v>472</v>
      </c>
      <c r="D958" s="703" t="s">
        <v>473</v>
      </c>
      <c r="E958" s="703" t="s">
        <v>334</v>
      </c>
      <c r="F958" s="703" t="s">
        <v>474</v>
      </c>
      <c r="G958" s="703" t="s">
        <v>479</v>
      </c>
      <c r="H958" s="703" t="s">
        <v>482</v>
      </c>
      <c r="I958" s="703" t="s">
        <v>334</v>
      </c>
      <c r="J958" s="703" t="s">
        <v>476</v>
      </c>
      <c r="K958" s="704">
        <v>0</v>
      </c>
      <c r="L958" s="703" t="s">
        <v>334</v>
      </c>
      <c r="M958" s="702"/>
      <c r="N958" s="702">
        <v>43555</v>
      </c>
      <c r="O958" s="703" t="s">
        <v>338</v>
      </c>
      <c r="P958" s="20">
        <v>29999.599999999999</v>
      </c>
      <c r="Q958" s="20">
        <v>0</v>
      </c>
      <c r="R958" s="20">
        <v>0</v>
      </c>
      <c r="S958" s="20">
        <v>0</v>
      </c>
      <c r="T958" s="20">
        <v>29999.599999999999</v>
      </c>
      <c r="U958" s="20">
        <v>23083.05</v>
      </c>
      <c r="V958" s="20">
        <v>-6916.55</v>
      </c>
      <c r="W958" s="20">
        <v>-9916.51</v>
      </c>
      <c r="X958" s="20">
        <v>-2999.96</v>
      </c>
      <c r="Y958" s="20">
        <v>0</v>
      </c>
      <c r="Z958" s="20">
        <v>0</v>
      </c>
      <c r="AA958" s="20">
        <v>0</v>
      </c>
      <c r="AB958" s="20">
        <v>20083.09</v>
      </c>
      <c r="AC958" t="s">
        <v>477</v>
      </c>
      <c r="AD958" t="s">
        <v>290</v>
      </c>
      <c r="AE958" s="702">
        <f t="shared" si="70"/>
        <v>43617</v>
      </c>
      <c r="AF958" s="289">
        <v>46685.172900176396</v>
      </c>
      <c r="AG958">
        <f t="shared" si="71"/>
        <v>360</v>
      </c>
      <c r="AH958" s="289">
        <f t="shared" si="72"/>
        <v>129.68103583382333</v>
      </c>
      <c r="AJ958" s="289">
        <f t="shared" si="73"/>
        <v>42</v>
      </c>
      <c r="AK958" s="289">
        <f t="shared" si="74"/>
        <v>5446.6035050205801</v>
      </c>
    </row>
    <row r="959" spans="1:37">
      <c r="A959" s="703" t="s">
        <v>2176</v>
      </c>
      <c r="B959" s="703" t="s">
        <v>484</v>
      </c>
      <c r="C959" s="703" t="s">
        <v>1214</v>
      </c>
      <c r="D959" s="703" t="s">
        <v>575</v>
      </c>
      <c r="E959" s="703" t="s">
        <v>334</v>
      </c>
      <c r="F959" s="703" t="s">
        <v>487</v>
      </c>
      <c r="G959" s="703" t="s">
        <v>2177</v>
      </c>
      <c r="H959" s="703" t="s">
        <v>334</v>
      </c>
      <c r="I959" s="703" t="s">
        <v>334</v>
      </c>
      <c r="J959" s="703" t="s">
        <v>1217</v>
      </c>
      <c r="K959" s="704">
        <v>0</v>
      </c>
      <c r="L959" s="703" t="s">
        <v>334</v>
      </c>
      <c r="M959" s="702"/>
      <c r="N959" s="702">
        <v>43555</v>
      </c>
      <c r="O959" s="703" t="s">
        <v>338</v>
      </c>
      <c r="P959" s="20">
        <v>4448341.6399999997</v>
      </c>
      <c r="Q959" s="20">
        <v>0</v>
      </c>
      <c r="R959" s="20">
        <v>-2119267.52</v>
      </c>
      <c r="S959" s="20">
        <v>0</v>
      </c>
      <c r="T959" s="20">
        <v>2329074.12</v>
      </c>
      <c r="U959" s="20">
        <v>4448341.6399999997</v>
      </c>
      <c r="V959" s="20">
        <v>0</v>
      </c>
      <c r="W959" s="20">
        <v>0</v>
      </c>
      <c r="X959" s="20">
        <v>0</v>
      </c>
      <c r="Y959" s="20">
        <v>0</v>
      </c>
      <c r="Z959" s="20">
        <v>0</v>
      </c>
      <c r="AA959" s="20">
        <v>0</v>
      </c>
      <c r="AB959" s="20">
        <v>2329074.12</v>
      </c>
      <c r="AC959" t="s">
        <v>1218</v>
      </c>
      <c r="AD959" t="s">
        <v>492</v>
      </c>
      <c r="AE959" s="702">
        <f t="shared" si="70"/>
        <v>43617</v>
      </c>
      <c r="AF959" s="289">
        <v>3624489.2595076668</v>
      </c>
      <c r="AG959">
        <f t="shared" si="71"/>
        <v>360</v>
      </c>
      <c r="AH959" s="289">
        <f t="shared" si="72"/>
        <v>10068.02572085463</v>
      </c>
      <c r="AJ959" s="289">
        <f t="shared" si="73"/>
        <v>42</v>
      </c>
      <c r="AK959" s="289">
        <f t="shared" si="74"/>
        <v>0</v>
      </c>
    </row>
    <row r="960" spans="1:37">
      <c r="A960" s="703" t="s">
        <v>2178</v>
      </c>
      <c r="B960" s="703" t="s">
        <v>1606</v>
      </c>
      <c r="C960" s="703" t="s">
        <v>332</v>
      </c>
      <c r="D960" s="703" t="s">
        <v>334</v>
      </c>
      <c r="E960" s="703" t="s">
        <v>334</v>
      </c>
      <c r="F960" s="703" t="s">
        <v>335</v>
      </c>
      <c r="G960" s="703" t="s">
        <v>2179</v>
      </c>
      <c r="H960" s="703" t="s">
        <v>334</v>
      </c>
      <c r="I960" s="703" t="s">
        <v>334</v>
      </c>
      <c r="J960" s="703" t="s">
        <v>337</v>
      </c>
      <c r="K960" s="704">
        <v>0</v>
      </c>
      <c r="L960" s="703" t="s">
        <v>334</v>
      </c>
      <c r="M960" s="702">
        <v>39478</v>
      </c>
      <c r="N960" s="702">
        <v>43572</v>
      </c>
      <c r="O960" s="703" t="s">
        <v>338</v>
      </c>
      <c r="P960" s="20">
        <v>128304.89</v>
      </c>
      <c r="Q960" s="20">
        <v>0</v>
      </c>
      <c r="R960" s="20">
        <v>0</v>
      </c>
      <c r="S960" s="20">
        <v>0</v>
      </c>
      <c r="T960" s="20">
        <v>128304.89</v>
      </c>
      <c r="U960" s="20">
        <v>118447.52</v>
      </c>
      <c r="V960" s="20">
        <v>-9857.3700000000008</v>
      </c>
      <c r="W960" s="20">
        <v>-14134.2</v>
      </c>
      <c r="X960" s="20">
        <v>-4276.83</v>
      </c>
      <c r="Y960" s="20">
        <v>0</v>
      </c>
      <c r="Z960" s="20">
        <v>0</v>
      </c>
      <c r="AA960" s="20">
        <v>0</v>
      </c>
      <c r="AB960" s="20">
        <v>114170.69</v>
      </c>
      <c r="AC960" t="s">
        <v>183</v>
      </c>
      <c r="AD960" t="s">
        <v>290</v>
      </c>
      <c r="AE960" s="702">
        <f t="shared" si="70"/>
        <v>43617</v>
      </c>
      <c r="AF960" s="289">
        <v>199667.19468219954</v>
      </c>
      <c r="AG960">
        <f t="shared" si="71"/>
        <v>360</v>
      </c>
      <c r="AH960" s="289">
        <f t="shared" si="72"/>
        <v>554.63109633944316</v>
      </c>
      <c r="AJ960" s="289">
        <f t="shared" si="73"/>
        <v>42</v>
      </c>
      <c r="AK960" s="289">
        <f t="shared" si="74"/>
        <v>23294.506046256614</v>
      </c>
    </row>
    <row r="961" spans="1:37">
      <c r="A961" s="703" t="s">
        <v>2180</v>
      </c>
      <c r="B961" s="703" t="s">
        <v>1606</v>
      </c>
      <c r="C961" s="703" t="s">
        <v>586</v>
      </c>
      <c r="D961" s="703" t="s">
        <v>334</v>
      </c>
      <c r="E961" s="703" t="s">
        <v>334</v>
      </c>
      <c r="F961" s="703" t="s">
        <v>335</v>
      </c>
      <c r="G961" s="703" t="s">
        <v>2181</v>
      </c>
      <c r="H961" s="703" t="s">
        <v>334</v>
      </c>
      <c r="I961" s="703" t="s">
        <v>334</v>
      </c>
      <c r="J961" s="703" t="s">
        <v>337</v>
      </c>
      <c r="K961" s="704">
        <v>0</v>
      </c>
      <c r="L961" s="703" t="s">
        <v>334</v>
      </c>
      <c r="M961" s="702">
        <v>43496</v>
      </c>
      <c r="N961" s="702">
        <v>43572</v>
      </c>
      <c r="O961" s="703" t="s">
        <v>338</v>
      </c>
      <c r="P961" s="20">
        <v>792834.31</v>
      </c>
      <c r="Q961" s="20">
        <v>0</v>
      </c>
      <c r="R961" s="20">
        <v>0</v>
      </c>
      <c r="S961" s="20">
        <v>0</v>
      </c>
      <c r="T961" s="20">
        <v>792834.31</v>
      </c>
      <c r="U961" s="20">
        <v>732303.58</v>
      </c>
      <c r="V961" s="20">
        <v>-60530.73</v>
      </c>
      <c r="W961" s="20">
        <v>-86958.54</v>
      </c>
      <c r="X961" s="20">
        <v>-26427.81</v>
      </c>
      <c r="Y961" s="20">
        <v>0</v>
      </c>
      <c r="Z961" s="20">
        <v>0</v>
      </c>
      <c r="AA961" s="20">
        <v>0</v>
      </c>
      <c r="AB961" s="20">
        <v>705875.77</v>
      </c>
      <c r="AC961" t="s">
        <v>589</v>
      </c>
      <c r="AD961" t="s">
        <v>290</v>
      </c>
      <c r="AE961" s="702">
        <f t="shared" si="70"/>
        <v>43617</v>
      </c>
      <c r="AF961" s="289">
        <v>1233803.3454960084</v>
      </c>
      <c r="AG961">
        <f t="shared" si="71"/>
        <v>360</v>
      </c>
      <c r="AH961" s="289">
        <f t="shared" si="72"/>
        <v>3427.2315152666902</v>
      </c>
      <c r="AJ961" s="289">
        <f t="shared" si="73"/>
        <v>42</v>
      </c>
      <c r="AK961" s="289">
        <f t="shared" si="74"/>
        <v>143943.72364120098</v>
      </c>
    </row>
    <row r="962" spans="1:37">
      <c r="A962" s="703" t="s">
        <v>2182</v>
      </c>
      <c r="B962" s="703" t="s">
        <v>1606</v>
      </c>
      <c r="C962" s="703" t="s">
        <v>332</v>
      </c>
      <c r="D962" s="703" t="s">
        <v>334</v>
      </c>
      <c r="E962" s="703" t="s">
        <v>334</v>
      </c>
      <c r="F962" s="703" t="s">
        <v>335</v>
      </c>
      <c r="G962" s="703" t="s">
        <v>2183</v>
      </c>
      <c r="H962" s="703" t="s">
        <v>334</v>
      </c>
      <c r="I962" s="703" t="s">
        <v>334</v>
      </c>
      <c r="J962" s="703" t="s">
        <v>337</v>
      </c>
      <c r="K962" s="704">
        <v>0</v>
      </c>
      <c r="L962" s="703" t="s">
        <v>334</v>
      </c>
      <c r="M962" s="702">
        <v>42886</v>
      </c>
      <c r="N962" s="702">
        <v>43577</v>
      </c>
      <c r="O962" s="703" t="s">
        <v>338</v>
      </c>
      <c r="P962" s="20">
        <v>70066.55</v>
      </c>
      <c r="Q962" s="20">
        <v>0</v>
      </c>
      <c r="R962" s="20">
        <v>0</v>
      </c>
      <c r="S962" s="20">
        <v>0</v>
      </c>
      <c r="T962" s="20">
        <v>70066.55</v>
      </c>
      <c r="U962" s="20">
        <v>64554.93</v>
      </c>
      <c r="V962" s="20">
        <v>-5511.62</v>
      </c>
      <c r="W962" s="20">
        <v>-7847.17</v>
      </c>
      <c r="X962" s="20">
        <v>-2335.5500000000002</v>
      </c>
      <c r="Y962" s="20">
        <v>0</v>
      </c>
      <c r="Z962" s="20">
        <v>0</v>
      </c>
      <c r="AA962" s="20">
        <v>0</v>
      </c>
      <c r="AB962" s="20">
        <v>62219.38</v>
      </c>
      <c r="AC962" t="s">
        <v>183</v>
      </c>
      <c r="AD962" t="s">
        <v>290</v>
      </c>
      <c r="AE962" s="702">
        <f t="shared" si="70"/>
        <v>43617</v>
      </c>
      <c r="AF962" s="289">
        <v>109037.08720345788</v>
      </c>
      <c r="AG962">
        <f t="shared" si="71"/>
        <v>360</v>
      </c>
      <c r="AH962" s="289">
        <f t="shared" si="72"/>
        <v>302.88079778738302</v>
      </c>
      <c r="AJ962" s="289">
        <f t="shared" si="73"/>
        <v>42</v>
      </c>
      <c r="AK962" s="289">
        <f t="shared" si="74"/>
        <v>12720.993507070087</v>
      </c>
    </row>
    <row r="963" spans="1:37">
      <c r="A963" s="703" t="s">
        <v>2184</v>
      </c>
      <c r="B963" s="703" t="s">
        <v>1606</v>
      </c>
      <c r="C963" s="703" t="s">
        <v>332</v>
      </c>
      <c r="D963" s="703" t="s">
        <v>334</v>
      </c>
      <c r="E963" s="703" t="s">
        <v>334</v>
      </c>
      <c r="F963" s="703" t="s">
        <v>335</v>
      </c>
      <c r="G963" s="703" t="s">
        <v>2185</v>
      </c>
      <c r="H963" s="703" t="s">
        <v>334</v>
      </c>
      <c r="I963" s="703" t="s">
        <v>334</v>
      </c>
      <c r="J963" s="703" t="s">
        <v>337</v>
      </c>
      <c r="K963" s="704">
        <v>0</v>
      </c>
      <c r="L963" s="703" t="s">
        <v>334</v>
      </c>
      <c r="M963" s="702">
        <v>43434</v>
      </c>
      <c r="N963" s="702">
        <v>43577</v>
      </c>
      <c r="O963" s="703" t="s">
        <v>338</v>
      </c>
      <c r="P963" s="20">
        <v>844025.78</v>
      </c>
      <c r="Q963" s="20">
        <v>0</v>
      </c>
      <c r="R963" s="20">
        <v>0</v>
      </c>
      <c r="S963" s="20">
        <v>0</v>
      </c>
      <c r="T963" s="20">
        <v>844025.78</v>
      </c>
      <c r="U963" s="20">
        <v>781778.19</v>
      </c>
      <c r="V963" s="20">
        <v>-62247.59</v>
      </c>
      <c r="W963" s="20">
        <v>-90381.78</v>
      </c>
      <c r="X963" s="20">
        <v>-28134.19</v>
      </c>
      <c r="Y963" s="20">
        <v>0</v>
      </c>
      <c r="Z963" s="20">
        <v>0</v>
      </c>
      <c r="AA963" s="20">
        <v>0</v>
      </c>
      <c r="AB963" s="20">
        <v>753644</v>
      </c>
      <c r="AC963" t="s">
        <v>183</v>
      </c>
      <c r="AD963" t="s">
        <v>290</v>
      </c>
      <c r="AE963" s="702">
        <f t="shared" si="70"/>
        <v>43617</v>
      </c>
      <c r="AF963" s="289">
        <v>1313467.1619457009</v>
      </c>
      <c r="AG963">
        <f t="shared" si="71"/>
        <v>360</v>
      </c>
      <c r="AH963" s="289">
        <f t="shared" si="72"/>
        <v>3648.5198942936136</v>
      </c>
      <c r="AJ963" s="289">
        <f t="shared" si="73"/>
        <v>42</v>
      </c>
      <c r="AK963" s="289">
        <f t="shared" si="74"/>
        <v>153237.83556033176</v>
      </c>
    </row>
    <row r="964" spans="1:37">
      <c r="A964" s="703" t="s">
        <v>2186</v>
      </c>
      <c r="B964" s="703" t="s">
        <v>1606</v>
      </c>
      <c r="C964" s="703" t="s">
        <v>390</v>
      </c>
      <c r="D964" s="703" t="s">
        <v>334</v>
      </c>
      <c r="E964" s="703" t="s">
        <v>334</v>
      </c>
      <c r="F964" s="703" t="s">
        <v>335</v>
      </c>
      <c r="G964" s="703" t="s">
        <v>2187</v>
      </c>
      <c r="H964" s="703" t="s">
        <v>334</v>
      </c>
      <c r="I964" s="703" t="s">
        <v>334</v>
      </c>
      <c r="J964" s="703" t="s">
        <v>337</v>
      </c>
      <c r="K964" s="704">
        <v>0</v>
      </c>
      <c r="L964" s="703" t="s">
        <v>334</v>
      </c>
      <c r="M964" s="702">
        <v>42886</v>
      </c>
      <c r="N964" s="702">
        <v>43577</v>
      </c>
      <c r="O964" s="703" t="s">
        <v>338</v>
      </c>
      <c r="P964" s="20">
        <v>88099.6</v>
      </c>
      <c r="Q964" s="20">
        <v>0</v>
      </c>
      <c r="R964" s="20">
        <v>0</v>
      </c>
      <c r="S964" s="20">
        <v>0</v>
      </c>
      <c r="T964" s="20">
        <v>88099.6</v>
      </c>
      <c r="U964" s="20">
        <v>81488.210000000006</v>
      </c>
      <c r="V964" s="20">
        <v>-6611.39</v>
      </c>
      <c r="W964" s="20">
        <v>-9548.0400000000009</v>
      </c>
      <c r="X964" s="20">
        <v>-2936.65</v>
      </c>
      <c r="Y964" s="20">
        <v>0</v>
      </c>
      <c r="Z964" s="20">
        <v>0</v>
      </c>
      <c r="AA964" s="20">
        <v>0</v>
      </c>
      <c r="AB964" s="20">
        <v>78551.56</v>
      </c>
      <c r="AC964" t="s">
        <v>188</v>
      </c>
      <c r="AD964" t="s">
        <v>290</v>
      </c>
      <c r="AE964" s="702">
        <f t="shared" si="70"/>
        <v>43617</v>
      </c>
      <c r="AF964" s="289">
        <v>137099.99661450088</v>
      </c>
      <c r="AG964">
        <f t="shared" si="71"/>
        <v>360</v>
      </c>
      <c r="AH964" s="289">
        <f t="shared" si="72"/>
        <v>380.83332392916913</v>
      </c>
      <c r="AJ964" s="289">
        <f t="shared" si="73"/>
        <v>42</v>
      </c>
      <c r="AK964" s="289">
        <f t="shared" si="74"/>
        <v>15994.999605025103</v>
      </c>
    </row>
    <row r="965" spans="1:37">
      <c r="A965" s="703" t="s">
        <v>2188</v>
      </c>
      <c r="B965" s="703" t="s">
        <v>1606</v>
      </c>
      <c r="C965" s="703" t="s">
        <v>390</v>
      </c>
      <c r="D965" s="703" t="s">
        <v>334</v>
      </c>
      <c r="E965" s="703" t="s">
        <v>334</v>
      </c>
      <c r="F965" s="703" t="s">
        <v>335</v>
      </c>
      <c r="G965" s="703" t="s">
        <v>1211</v>
      </c>
      <c r="H965" s="703" t="s">
        <v>334</v>
      </c>
      <c r="I965" s="703" t="s">
        <v>334</v>
      </c>
      <c r="J965" s="703" t="s">
        <v>337</v>
      </c>
      <c r="K965" s="704">
        <v>0</v>
      </c>
      <c r="L965" s="703" t="s">
        <v>334</v>
      </c>
      <c r="M965" s="702">
        <v>43251</v>
      </c>
      <c r="N965" s="702">
        <v>43577</v>
      </c>
      <c r="O965" s="703" t="s">
        <v>338</v>
      </c>
      <c r="P965" s="20">
        <v>348216.94</v>
      </c>
      <c r="Q965" s="20">
        <v>0</v>
      </c>
      <c r="R965" s="20">
        <v>0</v>
      </c>
      <c r="S965" s="20">
        <v>0</v>
      </c>
      <c r="T965" s="20">
        <v>348216.94</v>
      </c>
      <c r="U965" s="20">
        <v>320919.78999999998</v>
      </c>
      <c r="V965" s="20">
        <v>-27297.15</v>
      </c>
      <c r="W965" s="20">
        <v>-38904.379999999997</v>
      </c>
      <c r="X965" s="20">
        <v>-11607.23</v>
      </c>
      <c r="Y965" s="20">
        <v>0</v>
      </c>
      <c r="Z965" s="20">
        <v>0</v>
      </c>
      <c r="AA965" s="20">
        <v>0</v>
      </c>
      <c r="AB965" s="20">
        <v>309312.56</v>
      </c>
      <c r="AC965" t="s">
        <v>188</v>
      </c>
      <c r="AD965" t="s">
        <v>290</v>
      </c>
      <c r="AE965" s="702">
        <f t="shared" si="70"/>
        <v>43617</v>
      </c>
      <c r="AF965" s="289">
        <v>541892.82692670403</v>
      </c>
      <c r="AG965">
        <f t="shared" si="71"/>
        <v>360</v>
      </c>
      <c r="AH965" s="289">
        <f t="shared" si="72"/>
        <v>1505.2578525741778</v>
      </c>
      <c r="AJ965" s="289">
        <f t="shared" si="73"/>
        <v>42</v>
      </c>
      <c r="AK965" s="289">
        <f t="shared" si="74"/>
        <v>63220.829808115472</v>
      </c>
    </row>
    <row r="966" spans="1:37">
      <c r="A966" s="703" t="s">
        <v>2189</v>
      </c>
      <c r="B966" s="703" t="s">
        <v>1606</v>
      </c>
      <c r="C966" s="703" t="s">
        <v>574</v>
      </c>
      <c r="D966" s="703" t="s">
        <v>334</v>
      </c>
      <c r="E966" s="703" t="s">
        <v>334</v>
      </c>
      <c r="F966" s="703" t="s">
        <v>335</v>
      </c>
      <c r="G966" s="703" t="s">
        <v>1785</v>
      </c>
      <c r="H966" s="703" t="s">
        <v>1786</v>
      </c>
      <c r="I966" s="703" t="s">
        <v>334</v>
      </c>
      <c r="J966" s="703" t="s">
        <v>577</v>
      </c>
      <c r="K966" s="704">
        <v>0</v>
      </c>
      <c r="L966" s="703" t="s">
        <v>334</v>
      </c>
      <c r="M966" s="702">
        <v>43496</v>
      </c>
      <c r="N966" s="702">
        <v>43578</v>
      </c>
      <c r="O966" s="703" t="s">
        <v>338</v>
      </c>
      <c r="P966" s="20">
        <v>508583.84</v>
      </c>
      <c r="Q966" s="20">
        <v>0</v>
      </c>
      <c r="R966" s="20">
        <v>0</v>
      </c>
      <c r="S966" s="20">
        <v>0</v>
      </c>
      <c r="T966" s="20">
        <v>508583.84</v>
      </c>
      <c r="U966" s="20">
        <v>464596.98</v>
      </c>
      <c r="V966" s="20">
        <v>-43986.86</v>
      </c>
      <c r="W966" s="20">
        <v>-60939.65</v>
      </c>
      <c r="X966" s="20">
        <v>-16952.79</v>
      </c>
      <c r="Y966" s="20">
        <v>0</v>
      </c>
      <c r="Z966" s="20">
        <v>0</v>
      </c>
      <c r="AA966" s="20">
        <v>0</v>
      </c>
      <c r="AB966" s="20">
        <v>447644.19</v>
      </c>
      <c r="AC966" t="s">
        <v>578</v>
      </c>
      <c r="AD966" t="s">
        <v>290</v>
      </c>
      <c r="AE966" s="702">
        <f t="shared" si="70"/>
        <v>43617</v>
      </c>
      <c r="AF966" s="289">
        <v>791454.70288389339</v>
      </c>
      <c r="AG966">
        <f t="shared" si="71"/>
        <v>360</v>
      </c>
      <c r="AH966" s="289">
        <f t="shared" si="72"/>
        <v>2198.4852857885926</v>
      </c>
      <c r="AJ966" s="289">
        <f t="shared" si="73"/>
        <v>42</v>
      </c>
      <c r="AK966" s="289">
        <f t="shared" si="74"/>
        <v>92336.382003120889</v>
      </c>
    </row>
    <row r="967" spans="1:37">
      <c r="A967" s="703" t="s">
        <v>2190</v>
      </c>
      <c r="B967" s="703" t="s">
        <v>1606</v>
      </c>
      <c r="C967" s="703" t="s">
        <v>1124</v>
      </c>
      <c r="D967" s="703" t="s">
        <v>334</v>
      </c>
      <c r="E967" s="703" t="s">
        <v>334</v>
      </c>
      <c r="F967" s="703" t="s">
        <v>335</v>
      </c>
      <c r="G967" s="703" t="s">
        <v>2191</v>
      </c>
      <c r="H967" s="703" t="s">
        <v>334</v>
      </c>
      <c r="I967" s="703" t="s">
        <v>334</v>
      </c>
      <c r="J967" s="703" t="s">
        <v>337</v>
      </c>
      <c r="K967" s="704">
        <v>0</v>
      </c>
      <c r="L967" s="703" t="s">
        <v>334</v>
      </c>
      <c r="M967" s="702">
        <v>40968</v>
      </c>
      <c r="N967" s="702">
        <v>43578</v>
      </c>
      <c r="O967" s="703" t="s">
        <v>338</v>
      </c>
      <c r="P967" s="20">
        <v>503254.66</v>
      </c>
      <c r="Q967" s="20">
        <v>0</v>
      </c>
      <c r="R967" s="20">
        <v>0</v>
      </c>
      <c r="S967" s="20">
        <v>0</v>
      </c>
      <c r="T967" s="20">
        <v>503254.66</v>
      </c>
      <c r="U967" s="20">
        <v>463338.78</v>
      </c>
      <c r="V967" s="20">
        <v>-39915.879999999997</v>
      </c>
      <c r="W967" s="20">
        <v>-56691.040000000001</v>
      </c>
      <c r="X967" s="20">
        <v>-16775.16</v>
      </c>
      <c r="Y967" s="20">
        <v>0</v>
      </c>
      <c r="Z967" s="20">
        <v>0</v>
      </c>
      <c r="AA967" s="20">
        <v>0</v>
      </c>
      <c r="AB967" s="20">
        <v>446563.62</v>
      </c>
      <c r="AC967" t="s">
        <v>1127</v>
      </c>
      <c r="AD967" t="s">
        <v>290</v>
      </c>
      <c r="AE967" s="702">
        <f t="shared" ref="AE967:AE1030" si="75">IF(N967&gt;=$AG$5,DATE(YEAR(N967),6,1),DATE(YEAR(N967),6,1))</f>
        <v>43617</v>
      </c>
      <c r="AF967" s="289">
        <v>783161.46931690699</v>
      </c>
      <c r="AG967">
        <f t="shared" ref="AG967:AG1030" si="76">+IF(AD967="intangível",20*12,IF(AD967="Diferido",120,IF(AD967="Não vinculados",0,IF(AE967&lt;=$AG$5,F967*12,360))))</f>
        <v>360</v>
      </c>
      <c r="AH967" s="289">
        <f t="shared" ref="AH967:AH1030" si="77">IF(AG967=0,0,AF967/AG967)</f>
        <v>2175.448525880297</v>
      </c>
      <c r="AJ967" s="289">
        <f t="shared" ref="AJ967:AJ1030" si="78">+IF(AND(YEAR(AE967)&gt;=2018,YEAR(AE967)&lt;=2022),IF(DATEDIF(AE967,$AK$4,"m")&gt;=AG967,AG967,DATEDIF(AE967,$AK$4,"m")),0)</f>
        <v>42</v>
      </c>
      <c r="AK967" s="289">
        <f t="shared" ref="AK967:AK1030" si="79">IF(AD967="Imobilizado",AJ967*AH967,0)</f>
        <v>91368.838086972479</v>
      </c>
    </row>
    <row r="968" spans="1:37">
      <c r="A968" s="703" t="s">
        <v>1499</v>
      </c>
      <c r="B968" s="703" t="s">
        <v>1606</v>
      </c>
      <c r="C968" s="703" t="s">
        <v>1500</v>
      </c>
      <c r="D968" s="703" t="s">
        <v>1501</v>
      </c>
      <c r="E968" s="703" t="s">
        <v>334</v>
      </c>
      <c r="F968" s="703" t="s">
        <v>1502</v>
      </c>
      <c r="G968" s="703" t="s">
        <v>1503</v>
      </c>
      <c r="H968" s="703" t="s">
        <v>334</v>
      </c>
      <c r="I968" s="703" t="s">
        <v>334</v>
      </c>
      <c r="J968" s="703" t="s">
        <v>1504</v>
      </c>
      <c r="K968" s="704">
        <v>0</v>
      </c>
      <c r="L968" s="703" t="s">
        <v>334</v>
      </c>
      <c r="M968" s="702"/>
      <c r="N968" s="702">
        <v>43585</v>
      </c>
      <c r="O968" s="703" t="s">
        <v>338</v>
      </c>
      <c r="P968" s="20">
        <v>389134.12</v>
      </c>
      <c r="Q968" s="20">
        <v>0</v>
      </c>
      <c r="R968" s="20">
        <v>0</v>
      </c>
      <c r="S968" s="20">
        <v>0</v>
      </c>
      <c r="T968" s="20">
        <v>389134.12</v>
      </c>
      <c r="U968" s="20">
        <v>88423.05</v>
      </c>
      <c r="V968" s="20">
        <v>-300711.07</v>
      </c>
      <c r="W968" s="20">
        <v>-389134.12</v>
      </c>
      <c r="X968" s="20">
        <v>-88423.05</v>
      </c>
      <c r="Y968" s="20">
        <v>0</v>
      </c>
      <c r="Z968" s="20">
        <v>0</v>
      </c>
      <c r="AA968" s="20">
        <v>0</v>
      </c>
      <c r="AB968" s="20">
        <v>0</v>
      </c>
      <c r="AC968" t="s">
        <v>1505</v>
      </c>
      <c r="AD968" t="s">
        <v>290</v>
      </c>
      <c r="AE968" s="702">
        <f t="shared" si="75"/>
        <v>43617</v>
      </c>
      <c r="AF968" s="289">
        <v>605567.86335677782</v>
      </c>
      <c r="AG968">
        <f t="shared" si="76"/>
        <v>360</v>
      </c>
      <c r="AH968" s="289">
        <f t="shared" si="77"/>
        <v>1682.1329537688273</v>
      </c>
      <c r="AJ968" s="289">
        <f t="shared" si="78"/>
        <v>42</v>
      </c>
      <c r="AK968" s="289">
        <f t="shared" si="79"/>
        <v>70649.58405829074</v>
      </c>
    </row>
    <row r="969" spans="1:37">
      <c r="A969" s="703" t="s">
        <v>1569</v>
      </c>
      <c r="B969" s="703" t="s">
        <v>1606</v>
      </c>
      <c r="C969" s="703" t="s">
        <v>1570</v>
      </c>
      <c r="D969" s="703" t="s">
        <v>1571</v>
      </c>
      <c r="E969" s="703" t="s">
        <v>334</v>
      </c>
      <c r="F969" s="703" t="s">
        <v>502</v>
      </c>
      <c r="G969" s="703" t="s">
        <v>1572</v>
      </c>
      <c r="H969" s="703" t="s">
        <v>1573</v>
      </c>
      <c r="I969" s="703" t="s">
        <v>334</v>
      </c>
      <c r="J969" s="703" t="s">
        <v>1574</v>
      </c>
      <c r="K969" s="704">
        <v>0</v>
      </c>
      <c r="L969" s="703" t="s">
        <v>334</v>
      </c>
      <c r="M969" s="702"/>
      <c r="N969" s="702">
        <v>43616</v>
      </c>
      <c r="O969" s="703" t="s">
        <v>338</v>
      </c>
      <c r="P969" s="20">
        <v>164552.67000000001</v>
      </c>
      <c r="Q969" s="20">
        <v>0</v>
      </c>
      <c r="R969" s="20">
        <v>0</v>
      </c>
      <c r="S969" s="20">
        <v>0</v>
      </c>
      <c r="T969" s="20">
        <v>164552.67000000001</v>
      </c>
      <c r="U969" s="20">
        <v>81816.539999999994</v>
      </c>
      <c r="V969" s="20">
        <v>-82736.13</v>
      </c>
      <c r="W969" s="20">
        <v>-115646.66</v>
      </c>
      <c r="X969" s="20">
        <v>-32910.53</v>
      </c>
      <c r="Y969" s="20">
        <v>0</v>
      </c>
      <c r="Z969" s="20">
        <v>0</v>
      </c>
      <c r="AA969" s="20">
        <v>0</v>
      </c>
      <c r="AB969" s="20">
        <v>48906.01</v>
      </c>
      <c r="AC969" t="s">
        <v>1575</v>
      </c>
      <c r="AD969" t="s">
        <v>290</v>
      </c>
      <c r="AE969" s="702">
        <f t="shared" si="75"/>
        <v>43617</v>
      </c>
      <c r="AF969" s="289">
        <v>256075.74268109142</v>
      </c>
      <c r="AG969">
        <f t="shared" si="76"/>
        <v>360</v>
      </c>
      <c r="AH969" s="289">
        <f t="shared" si="77"/>
        <v>711.32150744747616</v>
      </c>
      <c r="AJ969" s="289">
        <f t="shared" si="78"/>
        <v>42</v>
      </c>
      <c r="AK969" s="289">
        <f t="shared" si="79"/>
        <v>29875.503312794001</v>
      </c>
    </row>
    <row r="970" spans="1:37">
      <c r="A970" s="703" t="s">
        <v>466</v>
      </c>
      <c r="B970" s="703" t="s">
        <v>1606</v>
      </c>
      <c r="C970" s="703" t="s">
        <v>454</v>
      </c>
      <c r="D970" s="703" t="s">
        <v>467</v>
      </c>
      <c r="E970" s="703" t="s">
        <v>334</v>
      </c>
      <c r="F970" s="703" t="s">
        <v>455</v>
      </c>
      <c r="G970" s="703" t="s">
        <v>468</v>
      </c>
      <c r="H970" s="703" t="s">
        <v>334</v>
      </c>
      <c r="I970" s="703" t="s">
        <v>334</v>
      </c>
      <c r="J970" s="703" t="s">
        <v>458</v>
      </c>
      <c r="K970" s="704">
        <v>3</v>
      </c>
      <c r="L970" s="703" t="s">
        <v>463</v>
      </c>
      <c r="M970" s="702"/>
      <c r="N970" s="702">
        <v>43616</v>
      </c>
      <c r="O970" s="703" t="s">
        <v>338</v>
      </c>
      <c r="P970" s="20">
        <v>11392.88</v>
      </c>
      <c r="Q970" s="20">
        <v>0</v>
      </c>
      <c r="R970" s="20">
        <v>0</v>
      </c>
      <c r="S970" s="20">
        <v>0</v>
      </c>
      <c r="T970" s="20">
        <v>11392.88</v>
      </c>
      <c r="U970" s="20">
        <v>10138.35</v>
      </c>
      <c r="V970" s="20">
        <v>-1254.53</v>
      </c>
      <c r="W970" s="20">
        <v>-1824.17</v>
      </c>
      <c r="X970" s="20">
        <v>-569.64</v>
      </c>
      <c r="Y970" s="20">
        <v>0</v>
      </c>
      <c r="Z970" s="20">
        <v>0</v>
      </c>
      <c r="AA970" s="20">
        <v>0</v>
      </c>
      <c r="AB970" s="20">
        <v>9568.7099999999991</v>
      </c>
      <c r="AC970" t="s">
        <v>459</v>
      </c>
      <c r="AD970" t="s">
        <v>290</v>
      </c>
      <c r="AE970" s="702">
        <f t="shared" si="75"/>
        <v>43617</v>
      </c>
      <c r="AF970" s="289">
        <v>17729.52214799403</v>
      </c>
      <c r="AG970">
        <f t="shared" si="76"/>
        <v>360</v>
      </c>
      <c r="AH970" s="289">
        <f t="shared" si="77"/>
        <v>49.248672633316751</v>
      </c>
      <c r="AJ970" s="289">
        <f t="shared" si="78"/>
        <v>42</v>
      </c>
      <c r="AK970" s="289">
        <f t="shared" si="79"/>
        <v>2068.4442505993034</v>
      </c>
    </row>
    <row r="971" spans="1:37">
      <c r="A971" s="703" t="s">
        <v>809</v>
      </c>
      <c r="B971" s="703" t="s">
        <v>1606</v>
      </c>
      <c r="C971" s="703" t="s">
        <v>472</v>
      </c>
      <c r="D971" s="703" t="s">
        <v>334</v>
      </c>
      <c r="E971" s="703" t="s">
        <v>334</v>
      </c>
      <c r="F971" s="703" t="s">
        <v>474</v>
      </c>
      <c r="G971" s="703" t="s">
        <v>810</v>
      </c>
      <c r="H971" s="703" t="s">
        <v>811</v>
      </c>
      <c r="I971" s="703" t="s">
        <v>334</v>
      </c>
      <c r="J971" s="703" t="s">
        <v>476</v>
      </c>
      <c r="K971" s="704">
        <v>0</v>
      </c>
      <c r="L971" s="703" t="s">
        <v>334</v>
      </c>
      <c r="M971" s="702"/>
      <c r="N971" s="702">
        <v>43616</v>
      </c>
      <c r="O971" s="703" t="s">
        <v>338</v>
      </c>
      <c r="P971" s="20">
        <v>17599.64</v>
      </c>
      <c r="Q971" s="20">
        <v>0</v>
      </c>
      <c r="R971" s="20">
        <v>0</v>
      </c>
      <c r="S971" s="20">
        <v>0</v>
      </c>
      <c r="T971" s="20">
        <v>17599.64</v>
      </c>
      <c r="U971" s="20">
        <v>13190.89</v>
      </c>
      <c r="V971" s="20">
        <v>-4408.75</v>
      </c>
      <c r="W971" s="20">
        <v>-6168.71</v>
      </c>
      <c r="X971" s="20">
        <v>-1759.96</v>
      </c>
      <c r="Y971" s="20">
        <v>0</v>
      </c>
      <c r="Z971" s="20">
        <v>0</v>
      </c>
      <c r="AA971" s="20">
        <v>0</v>
      </c>
      <c r="AB971" s="20">
        <v>11430.93</v>
      </c>
      <c r="AC971" t="s">
        <v>477</v>
      </c>
      <c r="AD971" t="s">
        <v>290</v>
      </c>
      <c r="AE971" s="702">
        <f t="shared" si="75"/>
        <v>43617</v>
      </c>
      <c r="AF971" s="289">
        <v>27388.43972522502</v>
      </c>
      <c r="AG971">
        <f t="shared" si="76"/>
        <v>360</v>
      </c>
      <c r="AH971" s="289">
        <f t="shared" si="77"/>
        <v>76.078999236736166</v>
      </c>
      <c r="AJ971" s="289">
        <f t="shared" si="78"/>
        <v>42</v>
      </c>
      <c r="AK971" s="289">
        <f t="shared" si="79"/>
        <v>3195.317967942919</v>
      </c>
    </row>
    <row r="972" spans="1:37">
      <c r="A972" s="703" t="s">
        <v>2192</v>
      </c>
      <c r="B972" s="703" t="s">
        <v>1606</v>
      </c>
      <c r="C972" s="703" t="s">
        <v>1577</v>
      </c>
      <c r="D972" s="703" t="s">
        <v>334</v>
      </c>
      <c r="E972" s="703" t="s">
        <v>334</v>
      </c>
      <c r="F972" s="703" t="s">
        <v>502</v>
      </c>
      <c r="G972" s="703" t="s">
        <v>2193</v>
      </c>
      <c r="H972" s="703" t="s">
        <v>334</v>
      </c>
      <c r="I972" s="703" t="s">
        <v>334</v>
      </c>
      <c r="J972" s="703" t="s">
        <v>1579</v>
      </c>
      <c r="K972" s="704">
        <v>0</v>
      </c>
      <c r="L972" s="703" t="s">
        <v>334</v>
      </c>
      <c r="M972" s="702"/>
      <c r="N972" s="702">
        <v>43616</v>
      </c>
      <c r="O972" s="703" t="s">
        <v>338</v>
      </c>
      <c r="P972" s="20">
        <v>106739.2</v>
      </c>
      <c r="Q972" s="20">
        <v>0</v>
      </c>
      <c r="R972" s="20">
        <v>0</v>
      </c>
      <c r="S972" s="20">
        <v>0</v>
      </c>
      <c r="T972" s="20">
        <v>106739.2</v>
      </c>
      <c r="U972" s="20">
        <v>60538.45</v>
      </c>
      <c r="V972" s="20">
        <v>-46200.75</v>
      </c>
      <c r="W972" s="20">
        <v>-67548.59</v>
      </c>
      <c r="X972" s="20">
        <v>-21347.84</v>
      </c>
      <c r="Y972" s="20">
        <v>0</v>
      </c>
      <c r="Z972" s="20">
        <v>0</v>
      </c>
      <c r="AA972" s="20">
        <v>0</v>
      </c>
      <c r="AB972" s="20">
        <v>39190.61</v>
      </c>
      <c r="AC972" t="s">
        <v>1580</v>
      </c>
      <c r="AD972" t="s">
        <v>290</v>
      </c>
      <c r="AE972" s="702">
        <f t="shared" si="75"/>
        <v>43617</v>
      </c>
      <c r="AF972" s="289">
        <v>166106.81499841693</v>
      </c>
      <c r="AG972">
        <f t="shared" si="76"/>
        <v>360</v>
      </c>
      <c r="AH972" s="289">
        <f t="shared" si="77"/>
        <v>461.40781944004704</v>
      </c>
      <c r="AJ972" s="289">
        <f t="shared" si="78"/>
        <v>42</v>
      </c>
      <c r="AK972" s="289">
        <f t="shared" si="79"/>
        <v>19379.128416481977</v>
      </c>
    </row>
    <row r="973" spans="1:37">
      <c r="A973" s="703" t="s">
        <v>2194</v>
      </c>
      <c r="B973" s="703" t="s">
        <v>484</v>
      </c>
      <c r="C973" s="703" t="s">
        <v>485</v>
      </c>
      <c r="D973" s="703" t="s">
        <v>486</v>
      </c>
      <c r="E973" s="703" t="s">
        <v>334</v>
      </c>
      <c r="F973" s="703" t="s">
        <v>487</v>
      </c>
      <c r="G973" s="703" t="s">
        <v>2181</v>
      </c>
      <c r="H973" s="703" t="s">
        <v>2195</v>
      </c>
      <c r="I973" s="703" t="s">
        <v>334</v>
      </c>
      <c r="J973" s="703" t="s">
        <v>490</v>
      </c>
      <c r="K973" s="704">
        <v>0</v>
      </c>
      <c r="L973" s="703" t="s">
        <v>334</v>
      </c>
      <c r="M973" s="702"/>
      <c r="N973" s="702">
        <v>43616</v>
      </c>
      <c r="O973" s="703" t="s">
        <v>338</v>
      </c>
      <c r="P973" s="20">
        <v>1404756.07</v>
      </c>
      <c r="Q973" s="20">
        <v>2888704.79</v>
      </c>
      <c r="R973" s="20">
        <v>-1383784.47</v>
      </c>
      <c r="S973" s="20">
        <v>0</v>
      </c>
      <c r="T973" s="20">
        <v>2909676.39</v>
      </c>
      <c r="U973" s="20">
        <v>1404756.07</v>
      </c>
      <c r="V973" s="20">
        <v>0</v>
      </c>
      <c r="W973" s="20">
        <v>0</v>
      </c>
      <c r="X973" s="20">
        <v>0</v>
      </c>
      <c r="Y973" s="20">
        <v>0</v>
      </c>
      <c r="Z973" s="20">
        <v>0</v>
      </c>
      <c r="AA973" s="20">
        <v>0</v>
      </c>
      <c r="AB973" s="20">
        <v>2909676.39</v>
      </c>
      <c r="AC973" t="s">
        <v>491</v>
      </c>
      <c r="AD973" t="s">
        <v>492</v>
      </c>
      <c r="AE973" s="702">
        <f t="shared" si="75"/>
        <v>43617</v>
      </c>
      <c r="AF973" s="289">
        <v>4528018.5519377291</v>
      </c>
      <c r="AG973">
        <f t="shared" si="76"/>
        <v>360</v>
      </c>
      <c r="AH973" s="289">
        <f t="shared" si="77"/>
        <v>12577.829310938136</v>
      </c>
      <c r="AJ973" s="289">
        <f t="shared" si="78"/>
        <v>42</v>
      </c>
      <c r="AK973" s="289">
        <f t="shared" si="79"/>
        <v>0</v>
      </c>
    </row>
    <row r="974" spans="1:37">
      <c r="A974" s="703" t="s">
        <v>2196</v>
      </c>
      <c r="B974" s="703" t="s">
        <v>484</v>
      </c>
      <c r="C974" s="703" t="s">
        <v>485</v>
      </c>
      <c r="D974" s="703" t="s">
        <v>486</v>
      </c>
      <c r="E974" s="703" t="s">
        <v>334</v>
      </c>
      <c r="F974" s="703" t="s">
        <v>487</v>
      </c>
      <c r="G974" s="703" t="s">
        <v>2181</v>
      </c>
      <c r="H974" s="703" t="s">
        <v>2195</v>
      </c>
      <c r="I974" s="703" t="s">
        <v>334</v>
      </c>
      <c r="J974" s="703" t="s">
        <v>490</v>
      </c>
      <c r="K974" s="704">
        <v>0</v>
      </c>
      <c r="L974" s="703" t="s">
        <v>334</v>
      </c>
      <c r="M974" s="702"/>
      <c r="N974" s="702">
        <v>43616</v>
      </c>
      <c r="O974" s="703" t="s">
        <v>338</v>
      </c>
      <c r="P974" s="20">
        <v>72888.45</v>
      </c>
      <c r="Q974" s="20">
        <v>0</v>
      </c>
      <c r="R974" s="20">
        <v>0</v>
      </c>
      <c r="S974" s="20">
        <v>0</v>
      </c>
      <c r="T974" s="20">
        <v>72888.45</v>
      </c>
      <c r="U974" s="20">
        <v>72888.45</v>
      </c>
      <c r="V974" s="20">
        <v>0</v>
      </c>
      <c r="W974" s="20">
        <v>0</v>
      </c>
      <c r="X974" s="20">
        <v>0</v>
      </c>
      <c r="Y974" s="20">
        <v>0</v>
      </c>
      <c r="Z974" s="20">
        <v>0</v>
      </c>
      <c r="AA974" s="20">
        <v>0</v>
      </c>
      <c r="AB974" s="20">
        <v>72888.45</v>
      </c>
      <c r="AC974" t="s">
        <v>491</v>
      </c>
      <c r="AD974" t="s">
        <v>492</v>
      </c>
      <c r="AE974" s="702">
        <f t="shared" si="75"/>
        <v>43617</v>
      </c>
      <c r="AF974" s="289">
        <v>113428.50873597855</v>
      </c>
      <c r="AG974">
        <f t="shared" si="76"/>
        <v>360</v>
      </c>
      <c r="AH974" s="289">
        <f t="shared" si="77"/>
        <v>315.07919093327376</v>
      </c>
      <c r="AJ974" s="289">
        <f t="shared" si="78"/>
        <v>42</v>
      </c>
      <c r="AK974" s="289">
        <f t="shared" si="79"/>
        <v>0</v>
      </c>
    </row>
    <row r="975" spans="1:37">
      <c r="A975" s="703" t="s">
        <v>1506</v>
      </c>
      <c r="B975" s="703" t="s">
        <v>1606</v>
      </c>
      <c r="C975" s="703" t="s">
        <v>472</v>
      </c>
      <c r="D975" s="703" t="s">
        <v>334</v>
      </c>
      <c r="E975" s="703" t="s">
        <v>334</v>
      </c>
      <c r="F975" s="703" t="s">
        <v>474</v>
      </c>
      <c r="G975" s="703" t="s">
        <v>810</v>
      </c>
      <c r="H975" s="703" t="s">
        <v>1507</v>
      </c>
      <c r="I975" s="703" t="s">
        <v>334</v>
      </c>
      <c r="J975" s="703" t="s">
        <v>476</v>
      </c>
      <c r="K975" s="704">
        <v>0</v>
      </c>
      <c r="L975" s="703" t="s">
        <v>334</v>
      </c>
      <c r="M975" s="702"/>
      <c r="N975" s="702">
        <v>43646</v>
      </c>
      <c r="O975" s="703" t="s">
        <v>338</v>
      </c>
      <c r="P975" s="20">
        <v>73338.55</v>
      </c>
      <c r="Q975" s="20">
        <v>0</v>
      </c>
      <c r="R975" s="20">
        <v>0</v>
      </c>
      <c r="S975" s="20">
        <v>0</v>
      </c>
      <c r="T975" s="20">
        <v>73338.55</v>
      </c>
      <c r="U975" s="20">
        <v>57647.23</v>
      </c>
      <c r="V975" s="20">
        <v>-15691.32</v>
      </c>
      <c r="W975" s="20">
        <v>-23025.18</v>
      </c>
      <c r="X975" s="20">
        <v>-7333.86</v>
      </c>
      <c r="Y975" s="20">
        <v>0</v>
      </c>
      <c r="Z975" s="20">
        <v>0</v>
      </c>
      <c r="AA975" s="20">
        <v>0</v>
      </c>
      <c r="AB975" s="20">
        <v>50313.37</v>
      </c>
      <c r="AC975" t="s">
        <v>477</v>
      </c>
      <c r="AD975" t="s">
        <v>290</v>
      </c>
      <c r="AE975" s="702">
        <f t="shared" si="75"/>
        <v>43617</v>
      </c>
      <c r="AF975" s="289">
        <v>114128.95128595822</v>
      </c>
      <c r="AG975">
        <f t="shared" si="76"/>
        <v>360</v>
      </c>
      <c r="AH975" s="289">
        <f t="shared" si="77"/>
        <v>317.02486468321729</v>
      </c>
      <c r="AJ975" s="289">
        <f t="shared" si="78"/>
        <v>42</v>
      </c>
      <c r="AK975" s="289">
        <f t="shared" si="79"/>
        <v>13315.044316695126</v>
      </c>
    </row>
    <row r="976" spans="1:37">
      <c r="A976" s="703" t="s">
        <v>1465</v>
      </c>
      <c r="B976" s="703" t="s">
        <v>1606</v>
      </c>
      <c r="C976" s="703" t="s">
        <v>472</v>
      </c>
      <c r="D976" s="703" t="s">
        <v>473</v>
      </c>
      <c r="E976" s="703" t="s">
        <v>334</v>
      </c>
      <c r="F976" s="703" t="s">
        <v>474</v>
      </c>
      <c r="G976" s="703" t="s">
        <v>479</v>
      </c>
      <c r="H976" s="703" t="s">
        <v>1466</v>
      </c>
      <c r="I976" s="703" t="s">
        <v>334</v>
      </c>
      <c r="J976" s="703" t="s">
        <v>476</v>
      </c>
      <c r="K976" s="704">
        <v>0</v>
      </c>
      <c r="L976" s="703" t="s">
        <v>334</v>
      </c>
      <c r="M976" s="702"/>
      <c r="N976" s="702">
        <v>43646</v>
      </c>
      <c r="O976" s="703" t="s">
        <v>338</v>
      </c>
      <c r="P976" s="20">
        <v>164435.76999999999</v>
      </c>
      <c r="Q976" s="20">
        <v>0</v>
      </c>
      <c r="R976" s="20">
        <v>0</v>
      </c>
      <c r="S976" s="20">
        <v>0</v>
      </c>
      <c r="T976" s="20">
        <v>164435.76999999999</v>
      </c>
      <c r="U976" s="20">
        <v>123326.82</v>
      </c>
      <c r="V976" s="20">
        <v>-41108.949999999997</v>
      </c>
      <c r="W976" s="20">
        <v>-57552.53</v>
      </c>
      <c r="X976" s="20">
        <v>-16443.580000000002</v>
      </c>
      <c r="Y976" s="20">
        <v>0</v>
      </c>
      <c r="Z976" s="20">
        <v>0</v>
      </c>
      <c r="AA976" s="20">
        <v>0</v>
      </c>
      <c r="AB976" s="20">
        <v>106883.24</v>
      </c>
      <c r="AC976" t="s">
        <v>477</v>
      </c>
      <c r="AD976" t="s">
        <v>290</v>
      </c>
      <c r="AE976" s="702">
        <f t="shared" si="75"/>
        <v>43617</v>
      </c>
      <c r="AF976" s="289">
        <v>255893.82369843728</v>
      </c>
      <c r="AG976">
        <f t="shared" si="76"/>
        <v>360</v>
      </c>
      <c r="AH976" s="289">
        <f t="shared" si="77"/>
        <v>710.81617694010356</v>
      </c>
      <c r="AJ976" s="289">
        <f t="shared" si="78"/>
        <v>42</v>
      </c>
      <c r="AK976" s="289">
        <f t="shared" si="79"/>
        <v>29854.279431484349</v>
      </c>
    </row>
    <row r="977" spans="1:37">
      <c r="A977" s="703" t="s">
        <v>2197</v>
      </c>
      <c r="B977" s="703" t="s">
        <v>484</v>
      </c>
      <c r="C977" s="703" t="s">
        <v>1776</v>
      </c>
      <c r="D977" s="703" t="s">
        <v>333</v>
      </c>
      <c r="E977" s="703" t="s">
        <v>334</v>
      </c>
      <c r="F977" s="703" t="s">
        <v>487</v>
      </c>
      <c r="G977" s="703" t="s">
        <v>1783</v>
      </c>
      <c r="H977" s="703" t="s">
        <v>334</v>
      </c>
      <c r="I977" s="703" t="s">
        <v>334</v>
      </c>
      <c r="J977" s="703" t="s">
        <v>490</v>
      </c>
      <c r="K977" s="704">
        <v>0</v>
      </c>
      <c r="L977" s="703" t="s">
        <v>334</v>
      </c>
      <c r="M977" s="702"/>
      <c r="N977" s="702">
        <v>43646</v>
      </c>
      <c r="O977" s="703" t="s">
        <v>338</v>
      </c>
      <c r="P977" s="20">
        <v>20574.759999999998</v>
      </c>
      <c r="Q977" s="20">
        <v>0</v>
      </c>
      <c r="R977" s="20">
        <v>-20574.759999999998</v>
      </c>
      <c r="S977" s="20">
        <v>0</v>
      </c>
      <c r="T977" s="20">
        <v>0</v>
      </c>
      <c r="U977" s="20">
        <v>20574.759999999998</v>
      </c>
      <c r="V977" s="20">
        <v>0</v>
      </c>
      <c r="W977" s="20">
        <v>0</v>
      </c>
      <c r="X977" s="20">
        <v>0</v>
      </c>
      <c r="Y977" s="20">
        <v>0</v>
      </c>
      <c r="Z977" s="20">
        <v>0</v>
      </c>
      <c r="AA977" s="20">
        <v>0</v>
      </c>
      <c r="AB977" s="20">
        <v>0</v>
      </c>
      <c r="AC977" t="s">
        <v>1779</v>
      </c>
      <c r="AD977" t="s">
        <v>492</v>
      </c>
      <c r="AE977" s="702">
        <f t="shared" si="75"/>
        <v>43617</v>
      </c>
      <c r="AF977" s="289">
        <v>0</v>
      </c>
      <c r="AG977">
        <f t="shared" si="76"/>
        <v>360</v>
      </c>
      <c r="AH977" s="289">
        <f t="shared" si="77"/>
        <v>0</v>
      </c>
      <c r="AJ977" s="289">
        <f t="shared" si="78"/>
        <v>42</v>
      </c>
      <c r="AK977" s="289">
        <f t="shared" si="79"/>
        <v>0</v>
      </c>
    </row>
    <row r="978" spans="1:37">
      <c r="A978" s="703" t="s">
        <v>2198</v>
      </c>
      <c r="B978" s="703" t="s">
        <v>484</v>
      </c>
      <c r="C978" s="703" t="s">
        <v>1210</v>
      </c>
      <c r="D978" s="703" t="s">
        <v>391</v>
      </c>
      <c r="E978" s="703" t="s">
        <v>334</v>
      </c>
      <c r="F978" s="703" t="s">
        <v>487</v>
      </c>
      <c r="G978" s="703" t="s">
        <v>2199</v>
      </c>
      <c r="H978" s="703" t="s">
        <v>334</v>
      </c>
      <c r="I978" s="703" t="s">
        <v>334</v>
      </c>
      <c r="J978" s="703" t="s">
        <v>490</v>
      </c>
      <c r="K978" s="704">
        <v>0</v>
      </c>
      <c r="L978" s="703" t="s">
        <v>334</v>
      </c>
      <c r="M978" s="702"/>
      <c r="N978" s="702">
        <v>43646</v>
      </c>
      <c r="O978" s="703" t="s">
        <v>338</v>
      </c>
      <c r="P978" s="20">
        <v>56564.58</v>
      </c>
      <c r="Q978" s="20">
        <v>109514.8</v>
      </c>
      <c r="R978" s="20">
        <v>0</v>
      </c>
      <c r="S978" s="20">
        <v>0</v>
      </c>
      <c r="T978" s="20">
        <v>166079.38</v>
      </c>
      <c r="U978" s="20">
        <v>56564.58</v>
      </c>
      <c r="V978" s="20">
        <v>0</v>
      </c>
      <c r="W978" s="20">
        <v>0</v>
      </c>
      <c r="X978" s="20">
        <v>0</v>
      </c>
      <c r="Y978" s="20">
        <v>0</v>
      </c>
      <c r="Z978" s="20">
        <v>0</v>
      </c>
      <c r="AA978" s="20">
        <v>0</v>
      </c>
      <c r="AB978" s="20">
        <v>166079.38</v>
      </c>
      <c r="AC978" t="s">
        <v>1212</v>
      </c>
      <c r="AD978" t="s">
        <v>492</v>
      </c>
      <c r="AE978" s="702">
        <f t="shared" si="75"/>
        <v>43617</v>
      </c>
      <c r="AF978" s="289">
        <v>258451.59836978154</v>
      </c>
      <c r="AG978">
        <f t="shared" si="76"/>
        <v>360</v>
      </c>
      <c r="AH978" s="289">
        <f t="shared" si="77"/>
        <v>717.92110658272645</v>
      </c>
      <c r="AJ978" s="289">
        <f t="shared" si="78"/>
        <v>42</v>
      </c>
      <c r="AK978" s="289">
        <f t="shared" si="79"/>
        <v>0</v>
      </c>
    </row>
    <row r="979" spans="1:37">
      <c r="A979" s="703" t="s">
        <v>2200</v>
      </c>
      <c r="B979" s="703" t="s">
        <v>1606</v>
      </c>
      <c r="C979" s="703" t="s">
        <v>332</v>
      </c>
      <c r="D979" s="703" t="s">
        <v>333</v>
      </c>
      <c r="E979" s="703" t="s">
        <v>334</v>
      </c>
      <c r="F979" s="703" t="s">
        <v>335</v>
      </c>
      <c r="G979" s="703" t="s">
        <v>2161</v>
      </c>
      <c r="H979" s="703" t="s">
        <v>334</v>
      </c>
      <c r="I979" s="703" t="s">
        <v>334</v>
      </c>
      <c r="J979" s="703" t="s">
        <v>337</v>
      </c>
      <c r="K979" s="704">
        <v>0</v>
      </c>
      <c r="L979" s="703" t="s">
        <v>334</v>
      </c>
      <c r="M979" s="702">
        <v>39478</v>
      </c>
      <c r="N979" s="702">
        <v>43662</v>
      </c>
      <c r="O979" s="703" t="s">
        <v>338</v>
      </c>
      <c r="P979" s="20">
        <v>52036.85</v>
      </c>
      <c r="Q979" s="20">
        <v>0</v>
      </c>
      <c r="R979" s="20">
        <v>0</v>
      </c>
      <c r="S979" s="20">
        <v>0</v>
      </c>
      <c r="T979" s="20">
        <v>52036.85</v>
      </c>
      <c r="U979" s="20">
        <v>48095.35</v>
      </c>
      <c r="V979" s="20">
        <v>-3941.5</v>
      </c>
      <c r="W979" s="20">
        <v>-5676.06</v>
      </c>
      <c r="X979" s="20">
        <v>-1734.56</v>
      </c>
      <c r="Y979" s="20">
        <v>0</v>
      </c>
      <c r="Z979" s="20">
        <v>0</v>
      </c>
      <c r="AA979" s="20">
        <v>0</v>
      </c>
      <c r="AB979" s="20">
        <v>46360.79</v>
      </c>
      <c r="AC979" t="s">
        <v>183</v>
      </c>
      <c r="AD979" t="s">
        <v>290</v>
      </c>
      <c r="AE979" s="702">
        <f t="shared" si="75"/>
        <v>43617</v>
      </c>
      <c r="AF979" s="289">
        <v>80979.391039565337</v>
      </c>
      <c r="AG979">
        <f t="shared" si="76"/>
        <v>360</v>
      </c>
      <c r="AH979" s="289">
        <f t="shared" si="77"/>
        <v>224.94275288768148</v>
      </c>
      <c r="AJ979" s="289">
        <f t="shared" si="78"/>
        <v>42</v>
      </c>
      <c r="AK979" s="289">
        <f t="shared" si="79"/>
        <v>9447.5956212826222</v>
      </c>
    </row>
    <row r="980" spans="1:37">
      <c r="A980" s="703" t="s">
        <v>2201</v>
      </c>
      <c r="B980" s="703" t="s">
        <v>1606</v>
      </c>
      <c r="C980" s="703" t="s">
        <v>332</v>
      </c>
      <c r="D980" s="703" t="s">
        <v>333</v>
      </c>
      <c r="E980" s="703" t="s">
        <v>334</v>
      </c>
      <c r="F980" s="703" t="s">
        <v>335</v>
      </c>
      <c r="G980" s="703" t="s">
        <v>2202</v>
      </c>
      <c r="H980" s="703" t="s">
        <v>334</v>
      </c>
      <c r="I980" s="703" t="s">
        <v>334</v>
      </c>
      <c r="J980" s="703" t="s">
        <v>337</v>
      </c>
      <c r="K980" s="704">
        <v>0</v>
      </c>
      <c r="L980" s="703" t="s">
        <v>334</v>
      </c>
      <c r="M980" s="702">
        <v>39478</v>
      </c>
      <c r="N980" s="702">
        <v>43662</v>
      </c>
      <c r="O980" s="703" t="s">
        <v>338</v>
      </c>
      <c r="P980" s="20">
        <v>27522.31</v>
      </c>
      <c r="Q980" s="20">
        <v>0</v>
      </c>
      <c r="R980" s="20">
        <v>0</v>
      </c>
      <c r="S980" s="20">
        <v>0</v>
      </c>
      <c r="T980" s="20">
        <v>27522.31</v>
      </c>
      <c r="U980" s="20">
        <v>25305.24</v>
      </c>
      <c r="V980" s="20">
        <v>-2217.0700000000002</v>
      </c>
      <c r="W980" s="20">
        <v>-3134.48</v>
      </c>
      <c r="X980" s="20">
        <v>-917.41</v>
      </c>
      <c r="Y980" s="20">
        <v>0</v>
      </c>
      <c r="Z980" s="20">
        <v>0</v>
      </c>
      <c r="AA980" s="20">
        <v>0</v>
      </c>
      <c r="AB980" s="20">
        <v>24387.83</v>
      </c>
      <c r="AC980" t="s">
        <v>183</v>
      </c>
      <c r="AD980" t="s">
        <v>290</v>
      </c>
      <c r="AE980" s="702">
        <f t="shared" si="75"/>
        <v>43617</v>
      </c>
      <c r="AF980" s="289">
        <v>42830.031099156455</v>
      </c>
      <c r="AG980">
        <f t="shared" si="76"/>
        <v>360</v>
      </c>
      <c r="AH980" s="289">
        <f t="shared" si="77"/>
        <v>118.97230860876793</v>
      </c>
      <c r="AJ980" s="289">
        <f t="shared" si="78"/>
        <v>42</v>
      </c>
      <c r="AK980" s="289">
        <f t="shared" si="79"/>
        <v>4996.8369615682532</v>
      </c>
    </row>
    <row r="981" spans="1:37">
      <c r="A981" s="703" t="s">
        <v>2203</v>
      </c>
      <c r="B981" s="703" t="s">
        <v>1606</v>
      </c>
      <c r="C981" s="703" t="s">
        <v>332</v>
      </c>
      <c r="D981" s="703" t="s">
        <v>333</v>
      </c>
      <c r="E981" s="703" t="s">
        <v>334</v>
      </c>
      <c r="F981" s="703" t="s">
        <v>335</v>
      </c>
      <c r="G981" s="703" t="s">
        <v>2204</v>
      </c>
      <c r="H981" s="703" t="s">
        <v>334</v>
      </c>
      <c r="I981" s="703" t="s">
        <v>334</v>
      </c>
      <c r="J981" s="703" t="s">
        <v>337</v>
      </c>
      <c r="K981" s="704">
        <v>0</v>
      </c>
      <c r="L981" s="703" t="s">
        <v>334</v>
      </c>
      <c r="M981" s="702">
        <v>39478</v>
      </c>
      <c r="N981" s="702">
        <v>43662</v>
      </c>
      <c r="O981" s="703" t="s">
        <v>338</v>
      </c>
      <c r="P981" s="20">
        <v>28971.58</v>
      </c>
      <c r="Q981" s="20">
        <v>0</v>
      </c>
      <c r="R981" s="20">
        <v>0</v>
      </c>
      <c r="S981" s="20">
        <v>0</v>
      </c>
      <c r="T981" s="20">
        <v>28971.58</v>
      </c>
      <c r="U981" s="20">
        <v>26749.25</v>
      </c>
      <c r="V981" s="20">
        <v>-2222.33</v>
      </c>
      <c r="W981" s="20">
        <v>-3188.05</v>
      </c>
      <c r="X981" s="20">
        <v>-965.72</v>
      </c>
      <c r="Y981" s="20">
        <v>0</v>
      </c>
      <c r="Z981" s="20">
        <v>0</v>
      </c>
      <c r="AA981" s="20">
        <v>0</v>
      </c>
      <c r="AB981" s="20">
        <v>25783.53</v>
      </c>
      <c r="AC981" t="s">
        <v>183</v>
      </c>
      <c r="AD981" t="s">
        <v>290</v>
      </c>
      <c r="AE981" s="702">
        <f t="shared" si="75"/>
        <v>43617</v>
      </c>
      <c r="AF981" s="289">
        <v>45085.375188045589</v>
      </c>
      <c r="AG981">
        <f t="shared" si="76"/>
        <v>360</v>
      </c>
      <c r="AH981" s="289">
        <f t="shared" si="77"/>
        <v>125.23715330012664</v>
      </c>
      <c r="AJ981" s="289">
        <f t="shared" si="78"/>
        <v>42</v>
      </c>
      <c r="AK981" s="289">
        <f t="shared" si="79"/>
        <v>5259.9604386053188</v>
      </c>
    </row>
    <row r="982" spans="1:37">
      <c r="A982" s="703" t="s">
        <v>2205</v>
      </c>
      <c r="B982" s="703" t="s">
        <v>1606</v>
      </c>
      <c r="C982" s="703" t="s">
        <v>332</v>
      </c>
      <c r="D982" s="703" t="s">
        <v>333</v>
      </c>
      <c r="E982" s="703" t="s">
        <v>334</v>
      </c>
      <c r="F982" s="703" t="s">
        <v>335</v>
      </c>
      <c r="G982" s="703" t="s">
        <v>2206</v>
      </c>
      <c r="H982" s="703" t="s">
        <v>334</v>
      </c>
      <c r="I982" s="703" t="s">
        <v>334</v>
      </c>
      <c r="J982" s="703" t="s">
        <v>337</v>
      </c>
      <c r="K982" s="704">
        <v>0</v>
      </c>
      <c r="L982" s="703" t="s">
        <v>334</v>
      </c>
      <c r="M982" s="702">
        <v>39478</v>
      </c>
      <c r="N982" s="702">
        <v>43662</v>
      </c>
      <c r="O982" s="703" t="s">
        <v>338</v>
      </c>
      <c r="P982" s="20">
        <v>863888.63</v>
      </c>
      <c r="Q982" s="20">
        <v>0</v>
      </c>
      <c r="R982" s="20">
        <v>0</v>
      </c>
      <c r="S982" s="20">
        <v>0</v>
      </c>
      <c r="T982" s="20">
        <v>863888.63</v>
      </c>
      <c r="U982" s="20">
        <v>794373.37</v>
      </c>
      <c r="V982" s="20">
        <v>-69515.259999999995</v>
      </c>
      <c r="W982" s="20">
        <v>-98311.55</v>
      </c>
      <c r="X982" s="20">
        <v>-28796.29</v>
      </c>
      <c r="Y982" s="20">
        <v>0</v>
      </c>
      <c r="Z982" s="20">
        <v>0</v>
      </c>
      <c r="AA982" s="20">
        <v>0</v>
      </c>
      <c r="AB982" s="20">
        <v>765577.08</v>
      </c>
      <c r="AC982" t="s">
        <v>183</v>
      </c>
      <c r="AD982" t="s">
        <v>290</v>
      </c>
      <c r="AE982" s="702">
        <f t="shared" si="75"/>
        <v>43617</v>
      </c>
      <c r="AF982" s="289">
        <v>1344377.5936361323</v>
      </c>
      <c r="AG982">
        <f t="shared" si="76"/>
        <v>360</v>
      </c>
      <c r="AH982" s="289">
        <f t="shared" si="77"/>
        <v>3734.3822045448119</v>
      </c>
      <c r="AJ982" s="289">
        <f t="shared" si="78"/>
        <v>42</v>
      </c>
      <c r="AK982" s="289">
        <f t="shared" si="79"/>
        <v>156844.05259088209</v>
      </c>
    </row>
    <row r="983" spans="1:37">
      <c r="A983" s="703" t="s">
        <v>2207</v>
      </c>
      <c r="B983" s="703" t="s">
        <v>1606</v>
      </c>
      <c r="C983" s="703" t="s">
        <v>332</v>
      </c>
      <c r="D983" s="703" t="s">
        <v>333</v>
      </c>
      <c r="E983" s="703" t="s">
        <v>334</v>
      </c>
      <c r="F983" s="703" t="s">
        <v>335</v>
      </c>
      <c r="G983" s="703" t="s">
        <v>2159</v>
      </c>
      <c r="H983" s="703" t="s">
        <v>334</v>
      </c>
      <c r="I983" s="703" t="s">
        <v>334</v>
      </c>
      <c r="J983" s="703" t="s">
        <v>337</v>
      </c>
      <c r="K983" s="704">
        <v>0</v>
      </c>
      <c r="L983" s="703" t="s">
        <v>334</v>
      </c>
      <c r="M983" s="702">
        <v>42886</v>
      </c>
      <c r="N983" s="702">
        <v>43662</v>
      </c>
      <c r="O983" s="703" t="s">
        <v>338</v>
      </c>
      <c r="P983" s="20">
        <v>1109959.93</v>
      </c>
      <c r="Q983" s="20">
        <v>0</v>
      </c>
      <c r="R983" s="20">
        <v>0</v>
      </c>
      <c r="S983" s="20">
        <v>0</v>
      </c>
      <c r="T983" s="20">
        <v>1109959.93</v>
      </c>
      <c r="U983" s="20">
        <v>1026526.75</v>
      </c>
      <c r="V983" s="20">
        <v>-83433.179999999993</v>
      </c>
      <c r="W983" s="20">
        <v>-120431.84</v>
      </c>
      <c r="X983" s="20">
        <v>-36998.660000000003</v>
      </c>
      <c r="Y983" s="20">
        <v>0</v>
      </c>
      <c r="Z983" s="20">
        <v>0</v>
      </c>
      <c r="AA983" s="20">
        <v>0</v>
      </c>
      <c r="AB983" s="20">
        <v>989528.09</v>
      </c>
      <c r="AC983" t="s">
        <v>183</v>
      </c>
      <c r="AD983" t="s">
        <v>290</v>
      </c>
      <c r="AE983" s="702">
        <f t="shared" si="75"/>
        <v>43617</v>
      </c>
      <c r="AF983" s="289">
        <v>1727312.072304887</v>
      </c>
      <c r="AG983">
        <f t="shared" si="76"/>
        <v>360</v>
      </c>
      <c r="AH983" s="289">
        <f t="shared" si="77"/>
        <v>4798.0890897357976</v>
      </c>
      <c r="AJ983" s="289">
        <f t="shared" si="78"/>
        <v>42</v>
      </c>
      <c r="AK983" s="289">
        <f t="shared" si="79"/>
        <v>201519.74176890351</v>
      </c>
    </row>
    <row r="984" spans="1:37">
      <c r="A984" s="703" t="s">
        <v>2208</v>
      </c>
      <c r="B984" s="703" t="s">
        <v>1606</v>
      </c>
      <c r="C984" s="703" t="s">
        <v>390</v>
      </c>
      <c r="D984" s="703" t="s">
        <v>391</v>
      </c>
      <c r="E984" s="703" t="s">
        <v>334</v>
      </c>
      <c r="F984" s="703" t="s">
        <v>487</v>
      </c>
      <c r="G984" s="703" t="s">
        <v>2209</v>
      </c>
      <c r="H984" s="703" t="s">
        <v>334</v>
      </c>
      <c r="I984" s="703" t="s">
        <v>334</v>
      </c>
      <c r="J984" s="703" t="s">
        <v>337</v>
      </c>
      <c r="K984" s="704">
        <v>0</v>
      </c>
      <c r="L984" s="703" t="s">
        <v>334</v>
      </c>
      <c r="M984" s="702">
        <v>42886</v>
      </c>
      <c r="N984" s="702">
        <v>43662</v>
      </c>
      <c r="O984" s="703" t="s">
        <v>338</v>
      </c>
      <c r="P984" s="20">
        <v>57569.78</v>
      </c>
      <c r="Q984" s="20">
        <v>0</v>
      </c>
      <c r="R984" s="20">
        <v>0</v>
      </c>
      <c r="S984" s="20">
        <v>0</v>
      </c>
      <c r="T984" s="20">
        <v>57569.78</v>
      </c>
      <c r="U984" s="20">
        <v>57569.78</v>
      </c>
      <c r="V984" s="20">
        <v>0</v>
      </c>
      <c r="W984" s="20">
        <v>0</v>
      </c>
      <c r="X984" s="20">
        <v>0</v>
      </c>
      <c r="Y984" s="20">
        <v>0</v>
      </c>
      <c r="Z984" s="20">
        <v>0</v>
      </c>
      <c r="AA984" s="20">
        <v>0</v>
      </c>
      <c r="AB984" s="20">
        <v>57569.78</v>
      </c>
      <c r="AC984" t="s">
        <v>188</v>
      </c>
      <c r="AD984" t="s">
        <v>290</v>
      </c>
      <c r="AE984" s="702">
        <f t="shared" si="75"/>
        <v>43617</v>
      </c>
      <c r="AF984" s="289">
        <v>89589.69896682346</v>
      </c>
      <c r="AG984">
        <f t="shared" si="76"/>
        <v>360</v>
      </c>
      <c r="AH984" s="289">
        <f t="shared" si="77"/>
        <v>248.86027490784295</v>
      </c>
      <c r="AJ984" s="289">
        <f t="shared" si="78"/>
        <v>42</v>
      </c>
      <c r="AK984" s="289">
        <f t="shared" si="79"/>
        <v>10452.131546129403</v>
      </c>
    </row>
    <row r="985" spans="1:37">
      <c r="A985" s="703" t="s">
        <v>1541</v>
      </c>
      <c r="B985" s="703" t="s">
        <v>1606</v>
      </c>
      <c r="C985" s="703" t="s">
        <v>390</v>
      </c>
      <c r="D985" s="703" t="s">
        <v>391</v>
      </c>
      <c r="E985" s="703" t="s">
        <v>334</v>
      </c>
      <c r="F985" s="703" t="s">
        <v>335</v>
      </c>
      <c r="G985" s="703" t="s">
        <v>1542</v>
      </c>
      <c r="H985" s="703" t="s">
        <v>334</v>
      </c>
      <c r="I985" s="703" t="s">
        <v>334</v>
      </c>
      <c r="J985" s="703" t="s">
        <v>337</v>
      </c>
      <c r="K985" s="704">
        <v>0</v>
      </c>
      <c r="L985" s="703" t="s">
        <v>334</v>
      </c>
      <c r="M985" s="702">
        <v>42063</v>
      </c>
      <c r="N985" s="702">
        <v>43662</v>
      </c>
      <c r="O985" s="703" t="s">
        <v>338</v>
      </c>
      <c r="P985" s="20">
        <v>41776.199999999997</v>
      </c>
      <c r="Q985" s="20">
        <v>0</v>
      </c>
      <c r="R985" s="20">
        <v>0</v>
      </c>
      <c r="S985" s="20">
        <v>0</v>
      </c>
      <c r="T985" s="20">
        <v>41776.199999999997</v>
      </c>
      <c r="U985" s="20">
        <v>38410.89</v>
      </c>
      <c r="V985" s="20">
        <v>-3365.31</v>
      </c>
      <c r="W985" s="20">
        <v>-4757.8500000000004</v>
      </c>
      <c r="X985" s="20">
        <v>-1392.54</v>
      </c>
      <c r="Y985" s="20">
        <v>0</v>
      </c>
      <c r="Z985" s="20">
        <v>0</v>
      </c>
      <c r="AA985" s="20">
        <v>0</v>
      </c>
      <c r="AB985" s="20">
        <v>37018.35</v>
      </c>
      <c r="AC985" t="s">
        <v>188</v>
      </c>
      <c r="AD985" t="s">
        <v>290</v>
      </c>
      <c r="AE985" s="702">
        <f t="shared" si="75"/>
        <v>43617</v>
      </c>
      <c r="AF985" s="289">
        <v>65011.837494911568</v>
      </c>
      <c r="AG985">
        <f t="shared" si="76"/>
        <v>360</v>
      </c>
      <c r="AH985" s="289">
        <f t="shared" si="77"/>
        <v>180.58843748586546</v>
      </c>
      <c r="AJ985" s="289">
        <f t="shared" si="78"/>
        <v>42</v>
      </c>
      <c r="AK985" s="289">
        <f t="shared" si="79"/>
        <v>7584.7143744063487</v>
      </c>
    </row>
    <row r="986" spans="1:37">
      <c r="A986" s="703" t="s">
        <v>2210</v>
      </c>
      <c r="B986" s="703" t="s">
        <v>1606</v>
      </c>
      <c r="C986" s="703" t="s">
        <v>390</v>
      </c>
      <c r="D986" s="703" t="s">
        <v>391</v>
      </c>
      <c r="E986" s="703" t="s">
        <v>334</v>
      </c>
      <c r="F986" s="703" t="s">
        <v>335</v>
      </c>
      <c r="G986" s="703" t="s">
        <v>2211</v>
      </c>
      <c r="H986" s="703" t="s">
        <v>334</v>
      </c>
      <c r="I986" s="703" t="s">
        <v>334</v>
      </c>
      <c r="J986" s="703" t="s">
        <v>337</v>
      </c>
      <c r="K986" s="704">
        <v>0</v>
      </c>
      <c r="L986" s="703" t="s">
        <v>334</v>
      </c>
      <c r="M986" s="702">
        <v>42886</v>
      </c>
      <c r="N986" s="702">
        <v>43662</v>
      </c>
      <c r="O986" s="703" t="s">
        <v>338</v>
      </c>
      <c r="P986" s="20">
        <v>2338.31</v>
      </c>
      <c r="Q986" s="20">
        <v>0</v>
      </c>
      <c r="R986" s="20">
        <v>0</v>
      </c>
      <c r="S986" s="20">
        <v>0</v>
      </c>
      <c r="T986" s="20">
        <v>2338.31</v>
      </c>
      <c r="U986" s="20">
        <v>2149.9499999999998</v>
      </c>
      <c r="V986" s="20">
        <v>-188.36</v>
      </c>
      <c r="W986" s="20">
        <v>-266.3</v>
      </c>
      <c r="X986" s="20">
        <v>-77.94</v>
      </c>
      <c r="Y986" s="20">
        <v>0</v>
      </c>
      <c r="Z986" s="20">
        <v>0</v>
      </c>
      <c r="AA986" s="20">
        <v>0</v>
      </c>
      <c r="AB986" s="20">
        <v>2072.0100000000002</v>
      </c>
      <c r="AC986" t="s">
        <v>188</v>
      </c>
      <c r="AD986" t="s">
        <v>290</v>
      </c>
      <c r="AE986" s="702">
        <f t="shared" si="75"/>
        <v>43617</v>
      </c>
      <c r="AF986" s="289">
        <v>3638.8620729680219</v>
      </c>
      <c r="AG986">
        <f t="shared" si="76"/>
        <v>360</v>
      </c>
      <c r="AH986" s="289">
        <f t="shared" si="77"/>
        <v>10.107950202688951</v>
      </c>
      <c r="AJ986" s="289">
        <f t="shared" si="78"/>
        <v>42</v>
      </c>
      <c r="AK986" s="289">
        <f t="shared" si="79"/>
        <v>424.53390851293591</v>
      </c>
    </row>
    <row r="987" spans="1:37">
      <c r="A987" s="703" t="s">
        <v>2212</v>
      </c>
      <c r="B987" s="703" t="s">
        <v>1606</v>
      </c>
      <c r="C987" s="703" t="s">
        <v>390</v>
      </c>
      <c r="D987" s="703" t="s">
        <v>391</v>
      </c>
      <c r="E987" s="703" t="s">
        <v>334</v>
      </c>
      <c r="F987" s="703" t="s">
        <v>335</v>
      </c>
      <c r="G987" s="703" t="s">
        <v>2165</v>
      </c>
      <c r="H987" s="703" t="s">
        <v>334</v>
      </c>
      <c r="I987" s="703" t="s">
        <v>334</v>
      </c>
      <c r="J987" s="703" t="s">
        <v>337</v>
      </c>
      <c r="K987" s="704">
        <v>0</v>
      </c>
      <c r="L987" s="703" t="s">
        <v>334</v>
      </c>
      <c r="M987" s="702">
        <v>42886</v>
      </c>
      <c r="N987" s="702">
        <v>43662</v>
      </c>
      <c r="O987" s="703" t="s">
        <v>338</v>
      </c>
      <c r="P987" s="20">
        <v>53557.77</v>
      </c>
      <c r="Q987" s="20">
        <v>0</v>
      </c>
      <c r="R987" s="20">
        <v>0</v>
      </c>
      <c r="S987" s="20">
        <v>0</v>
      </c>
      <c r="T987" s="20">
        <v>53557.77</v>
      </c>
      <c r="U987" s="20">
        <v>49426.81</v>
      </c>
      <c r="V987" s="20">
        <v>-4130.96</v>
      </c>
      <c r="W987" s="20">
        <v>-5916.22</v>
      </c>
      <c r="X987" s="20">
        <v>-1785.26</v>
      </c>
      <c r="Y987" s="20">
        <v>0</v>
      </c>
      <c r="Z987" s="20">
        <v>0</v>
      </c>
      <c r="AA987" s="20">
        <v>0</v>
      </c>
      <c r="AB987" s="20">
        <v>47641.55</v>
      </c>
      <c r="AC987" t="s">
        <v>188</v>
      </c>
      <c r="AD987" t="s">
        <v>290</v>
      </c>
      <c r="AE987" s="702">
        <f t="shared" si="75"/>
        <v>43617</v>
      </c>
      <c r="AF987" s="289">
        <v>83346.23636974761</v>
      </c>
      <c r="AG987">
        <f t="shared" si="76"/>
        <v>360</v>
      </c>
      <c r="AH987" s="289">
        <f t="shared" si="77"/>
        <v>231.51732324929893</v>
      </c>
      <c r="AJ987" s="289">
        <f t="shared" si="78"/>
        <v>42</v>
      </c>
      <c r="AK987" s="289">
        <f t="shared" si="79"/>
        <v>9723.7275764705555</v>
      </c>
    </row>
    <row r="988" spans="1:37">
      <c r="A988" s="703" t="s">
        <v>2213</v>
      </c>
      <c r="B988" s="703" t="s">
        <v>1606</v>
      </c>
      <c r="C988" s="703" t="s">
        <v>390</v>
      </c>
      <c r="D988" s="703" t="s">
        <v>391</v>
      </c>
      <c r="E988" s="703" t="s">
        <v>334</v>
      </c>
      <c r="F988" s="703" t="s">
        <v>335</v>
      </c>
      <c r="G988" s="703" t="s">
        <v>2214</v>
      </c>
      <c r="H988" s="703" t="s">
        <v>334</v>
      </c>
      <c r="I988" s="703" t="s">
        <v>334</v>
      </c>
      <c r="J988" s="703" t="s">
        <v>337</v>
      </c>
      <c r="K988" s="704">
        <v>0</v>
      </c>
      <c r="L988" s="703" t="s">
        <v>334</v>
      </c>
      <c r="M988" s="702">
        <v>42886</v>
      </c>
      <c r="N988" s="702">
        <v>43662</v>
      </c>
      <c r="O988" s="703" t="s">
        <v>338</v>
      </c>
      <c r="P988" s="20">
        <v>23264.09</v>
      </c>
      <c r="Q988" s="20">
        <v>0</v>
      </c>
      <c r="R988" s="20">
        <v>0</v>
      </c>
      <c r="S988" s="20">
        <v>0</v>
      </c>
      <c r="T988" s="20">
        <v>23264.09</v>
      </c>
      <c r="U988" s="20">
        <v>21545.89</v>
      </c>
      <c r="V988" s="20">
        <v>-1718.2</v>
      </c>
      <c r="W988" s="20">
        <v>-2493.67</v>
      </c>
      <c r="X988" s="20">
        <v>-775.47</v>
      </c>
      <c r="Y988" s="20">
        <v>0</v>
      </c>
      <c r="Z988" s="20">
        <v>0</v>
      </c>
      <c r="AA988" s="20">
        <v>0</v>
      </c>
      <c r="AB988" s="20">
        <v>20770.419999999998</v>
      </c>
      <c r="AC988" t="s">
        <v>188</v>
      </c>
      <c r="AD988" t="s">
        <v>290</v>
      </c>
      <c r="AE988" s="702">
        <f t="shared" si="75"/>
        <v>43617</v>
      </c>
      <c r="AF988" s="289">
        <v>36203.418179417888</v>
      </c>
      <c r="AG988">
        <f t="shared" si="76"/>
        <v>360</v>
      </c>
      <c r="AH988" s="289">
        <f t="shared" si="77"/>
        <v>100.56505049838302</v>
      </c>
      <c r="AJ988" s="289">
        <f t="shared" si="78"/>
        <v>42</v>
      </c>
      <c r="AK988" s="289">
        <f t="shared" si="79"/>
        <v>4223.7321209320871</v>
      </c>
    </row>
    <row r="989" spans="1:37">
      <c r="A989" s="703" t="s">
        <v>2215</v>
      </c>
      <c r="B989" s="703" t="s">
        <v>1606</v>
      </c>
      <c r="C989" s="703" t="s">
        <v>390</v>
      </c>
      <c r="D989" s="703" t="s">
        <v>391</v>
      </c>
      <c r="E989" s="703" t="s">
        <v>334</v>
      </c>
      <c r="F989" s="703" t="s">
        <v>335</v>
      </c>
      <c r="G989" s="703" t="s">
        <v>2216</v>
      </c>
      <c r="H989" s="703" t="s">
        <v>334</v>
      </c>
      <c r="I989" s="703" t="s">
        <v>334</v>
      </c>
      <c r="J989" s="703" t="s">
        <v>337</v>
      </c>
      <c r="K989" s="704">
        <v>0</v>
      </c>
      <c r="L989" s="703" t="s">
        <v>334</v>
      </c>
      <c r="M989" s="702">
        <v>42886</v>
      </c>
      <c r="N989" s="702">
        <v>43662</v>
      </c>
      <c r="O989" s="703" t="s">
        <v>338</v>
      </c>
      <c r="P989" s="20">
        <v>39479.01</v>
      </c>
      <c r="Q989" s="20">
        <v>0</v>
      </c>
      <c r="R989" s="20">
        <v>0</v>
      </c>
      <c r="S989" s="20">
        <v>0</v>
      </c>
      <c r="T989" s="20">
        <v>39479.01</v>
      </c>
      <c r="U989" s="20">
        <v>36340.22</v>
      </c>
      <c r="V989" s="20">
        <v>-3138.79</v>
      </c>
      <c r="W989" s="20">
        <v>-4454.76</v>
      </c>
      <c r="X989" s="20">
        <v>-1315.97</v>
      </c>
      <c r="Y989" s="20">
        <v>0</v>
      </c>
      <c r="Z989" s="20">
        <v>0</v>
      </c>
      <c r="AA989" s="20">
        <v>0</v>
      </c>
      <c r="AB989" s="20">
        <v>35024.25</v>
      </c>
      <c r="AC989" t="s">
        <v>188</v>
      </c>
      <c r="AD989" t="s">
        <v>290</v>
      </c>
      <c r="AE989" s="702">
        <f t="shared" si="75"/>
        <v>43617</v>
      </c>
      <c r="AF989" s="289">
        <v>61436.96608547424</v>
      </c>
      <c r="AG989">
        <f t="shared" si="76"/>
        <v>360</v>
      </c>
      <c r="AH989" s="289">
        <f t="shared" si="77"/>
        <v>170.65823912631734</v>
      </c>
      <c r="AJ989" s="289">
        <f t="shared" si="78"/>
        <v>42</v>
      </c>
      <c r="AK989" s="289">
        <f t="shared" si="79"/>
        <v>7167.646043305328</v>
      </c>
    </row>
    <row r="990" spans="1:37">
      <c r="A990" s="703" t="s">
        <v>2217</v>
      </c>
      <c r="B990" s="703" t="s">
        <v>1606</v>
      </c>
      <c r="C990" s="703" t="s">
        <v>390</v>
      </c>
      <c r="D990" s="703" t="s">
        <v>391</v>
      </c>
      <c r="E990" s="703" t="s">
        <v>334</v>
      </c>
      <c r="F990" s="703" t="s">
        <v>335</v>
      </c>
      <c r="G990" s="703" t="s">
        <v>2167</v>
      </c>
      <c r="H990" s="703" t="s">
        <v>334</v>
      </c>
      <c r="I990" s="703" t="s">
        <v>334</v>
      </c>
      <c r="J990" s="703" t="s">
        <v>337</v>
      </c>
      <c r="K990" s="704">
        <v>0</v>
      </c>
      <c r="L990" s="703" t="s">
        <v>334</v>
      </c>
      <c r="M990" s="702">
        <v>43251</v>
      </c>
      <c r="N990" s="702">
        <v>43662</v>
      </c>
      <c r="O990" s="703" t="s">
        <v>338</v>
      </c>
      <c r="P990" s="20">
        <v>426978.99</v>
      </c>
      <c r="Q990" s="20">
        <v>0</v>
      </c>
      <c r="R990" s="20">
        <v>0</v>
      </c>
      <c r="S990" s="20">
        <v>0</v>
      </c>
      <c r="T990" s="20">
        <v>426978.99</v>
      </c>
      <c r="U990" s="20">
        <v>394618.68</v>
      </c>
      <c r="V990" s="20">
        <v>-32360.31</v>
      </c>
      <c r="W990" s="20">
        <v>-46592.94</v>
      </c>
      <c r="X990" s="20">
        <v>-14232.63</v>
      </c>
      <c r="Y990" s="20">
        <v>0</v>
      </c>
      <c r="Z990" s="20">
        <v>0</v>
      </c>
      <c r="AA990" s="20">
        <v>0</v>
      </c>
      <c r="AB990" s="20">
        <v>380386.05</v>
      </c>
      <c r="AC990" t="s">
        <v>188</v>
      </c>
      <c r="AD990" t="s">
        <v>290</v>
      </c>
      <c r="AE990" s="702">
        <f t="shared" si="75"/>
        <v>43617</v>
      </c>
      <c r="AF990" s="289">
        <v>664461.79192031524</v>
      </c>
      <c r="AG990">
        <f t="shared" si="76"/>
        <v>360</v>
      </c>
      <c r="AH990" s="289">
        <f t="shared" si="77"/>
        <v>1845.7271997786534</v>
      </c>
      <c r="AJ990" s="289">
        <f t="shared" si="78"/>
        <v>42</v>
      </c>
      <c r="AK990" s="289">
        <f t="shared" si="79"/>
        <v>77520.542390703442</v>
      </c>
    </row>
    <row r="991" spans="1:37">
      <c r="A991" s="703" t="s">
        <v>2218</v>
      </c>
      <c r="B991" s="703" t="s">
        <v>1606</v>
      </c>
      <c r="C991" s="703" t="s">
        <v>390</v>
      </c>
      <c r="D991" s="703" t="s">
        <v>391</v>
      </c>
      <c r="E991" s="703" t="s">
        <v>334</v>
      </c>
      <c r="F991" s="703" t="s">
        <v>335</v>
      </c>
      <c r="G991" s="703" t="s">
        <v>2219</v>
      </c>
      <c r="H991" s="703" t="s">
        <v>334</v>
      </c>
      <c r="I991" s="703" t="s">
        <v>334</v>
      </c>
      <c r="J991" s="703" t="s">
        <v>337</v>
      </c>
      <c r="K991" s="704">
        <v>0</v>
      </c>
      <c r="L991" s="703" t="s">
        <v>334</v>
      </c>
      <c r="M991" s="702">
        <v>43496</v>
      </c>
      <c r="N991" s="702">
        <v>43662</v>
      </c>
      <c r="O991" s="703" t="s">
        <v>338</v>
      </c>
      <c r="P991" s="20">
        <v>10158.76</v>
      </c>
      <c r="Q991" s="20">
        <v>0</v>
      </c>
      <c r="R991" s="20">
        <v>0</v>
      </c>
      <c r="S991" s="20">
        <v>0</v>
      </c>
      <c r="T991" s="20">
        <v>10158.76</v>
      </c>
      <c r="U991" s="20">
        <v>9340.41</v>
      </c>
      <c r="V991" s="20">
        <v>-818.35</v>
      </c>
      <c r="W991" s="20">
        <v>-1156.98</v>
      </c>
      <c r="X991" s="20">
        <v>-338.63</v>
      </c>
      <c r="Y991" s="20">
        <v>0</v>
      </c>
      <c r="Z991" s="20">
        <v>0</v>
      </c>
      <c r="AA991" s="20">
        <v>0</v>
      </c>
      <c r="AB991" s="20">
        <v>9001.7800000000007</v>
      </c>
      <c r="AC991" t="s">
        <v>188</v>
      </c>
      <c r="AD991" t="s">
        <v>290</v>
      </c>
      <c r="AE991" s="702">
        <f t="shared" si="75"/>
        <v>43617</v>
      </c>
      <c r="AF991" s="289">
        <v>15808.993021620156</v>
      </c>
      <c r="AG991">
        <f t="shared" si="76"/>
        <v>360</v>
      </c>
      <c r="AH991" s="289">
        <f t="shared" si="77"/>
        <v>43.913869504500433</v>
      </c>
      <c r="AJ991" s="289">
        <f t="shared" si="78"/>
        <v>42</v>
      </c>
      <c r="AK991" s="289">
        <f t="shared" si="79"/>
        <v>1844.3825191890182</v>
      </c>
    </row>
    <row r="992" spans="1:37">
      <c r="A992" s="703" t="s">
        <v>2220</v>
      </c>
      <c r="B992" s="703" t="s">
        <v>1606</v>
      </c>
      <c r="C992" s="703" t="s">
        <v>390</v>
      </c>
      <c r="D992" s="703" t="s">
        <v>391</v>
      </c>
      <c r="E992" s="703" t="s">
        <v>334</v>
      </c>
      <c r="F992" s="703" t="s">
        <v>335</v>
      </c>
      <c r="G992" s="703" t="s">
        <v>2221</v>
      </c>
      <c r="H992" s="703" t="s">
        <v>334</v>
      </c>
      <c r="I992" s="703" t="s">
        <v>334</v>
      </c>
      <c r="J992" s="703" t="s">
        <v>337</v>
      </c>
      <c r="K992" s="704">
        <v>0</v>
      </c>
      <c r="L992" s="703" t="s">
        <v>334</v>
      </c>
      <c r="M992" s="702">
        <v>42886</v>
      </c>
      <c r="N992" s="702">
        <v>43662</v>
      </c>
      <c r="O992" s="703" t="s">
        <v>338</v>
      </c>
      <c r="P992" s="20">
        <v>11455.23</v>
      </c>
      <c r="Q992" s="20">
        <v>0</v>
      </c>
      <c r="R992" s="20">
        <v>0</v>
      </c>
      <c r="S992" s="20">
        <v>0</v>
      </c>
      <c r="T992" s="20">
        <v>11455.23</v>
      </c>
      <c r="U992" s="20">
        <v>10532.45</v>
      </c>
      <c r="V992" s="20">
        <v>-922.78</v>
      </c>
      <c r="W992" s="20">
        <v>-1304.6199999999999</v>
      </c>
      <c r="X992" s="20">
        <v>-381.84</v>
      </c>
      <c r="Y992" s="20">
        <v>0</v>
      </c>
      <c r="Z992" s="20">
        <v>0</v>
      </c>
      <c r="AA992" s="20">
        <v>0</v>
      </c>
      <c r="AB992" s="20">
        <v>10150.61</v>
      </c>
      <c r="AC992" t="s">
        <v>188</v>
      </c>
      <c r="AD992" t="s">
        <v>290</v>
      </c>
      <c r="AE992" s="702">
        <f t="shared" si="75"/>
        <v>43617</v>
      </c>
      <c r="AF992" s="289">
        <v>17826.550792720158</v>
      </c>
      <c r="AG992">
        <f t="shared" si="76"/>
        <v>360</v>
      </c>
      <c r="AH992" s="289">
        <f t="shared" si="77"/>
        <v>49.518196646444885</v>
      </c>
      <c r="AJ992" s="289">
        <f t="shared" si="78"/>
        <v>42</v>
      </c>
      <c r="AK992" s="289">
        <f t="shared" si="79"/>
        <v>2079.7642591506851</v>
      </c>
    </row>
    <row r="993" spans="1:37">
      <c r="A993" s="703" t="s">
        <v>518</v>
      </c>
      <c r="B993" s="703" t="s">
        <v>1606</v>
      </c>
      <c r="C993" s="703" t="s">
        <v>472</v>
      </c>
      <c r="D993" s="703" t="s">
        <v>334</v>
      </c>
      <c r="E993" s="703" t="s">
        <v>334</v>
      </c>
      <c r="F993" s="703" t="s">
        <v>474</v>
      </c>
      <c r="G993" s="703" t="s">
        <v>519</v>
      </c>
      <c r="H993" s="703" t="s">
        <v>520</v>
      </c>
      <c r="I993" s="703" t="s">
        <v>334</v>
      </c>
      <c r="J993" s="703" t="s">
        <v>476</v>
      </c>
      <c r="K993" s="704">
        <v>0</v>
      </c>
      <c r="L993" s="703" t="s">
        <v>334</v>
      </c>
      <c r="M993" s="702"/>
      <c r="N993" s="702">
        <v>43677</v>
      </c>
      <c r="O993" s="703" t="s">
        <v>338</v>
      </c>
      <c r="P993" s="20">
        <v>635839.38</v>
      </c>
      <c r="Q993" s="20">
        <v>0</v>
      </c>
      <c r="R993" s="20">
        <v>0</v>
      </c>
      <c r="S993" s="20">
        <v>0</v>
      </c>
      <c r="T993" s="20">
        <v>635839.38</v>
      </c>
      <c r="U993" s="20">
        <v>496619.79</v>
      </c>
      <c r="V993" s="20">
        <v>-139219.59</v>
      </c>
      <c r="W993" s="20">
        <v>-202803.53</v>
      </c>
      <c r="X993" s="20">
        <v>-63583.94</v>
      </c>
      <c r="Y993" s="20">
        <v>0</v>
      </c>
      <c r="Z993" s="20">
        <v>0</v>
      </c>
      <c r="AA993" s="20">
        <v>0</v>
      </c>
      <c r="AB993" s="20">
        <v>433035.85</v>
      </c>
      <c r="AC993" t="s">
        <v>477</v>
      </c>
      <c r="AD993" t="s">
        <v>290</v>
      </c>
      <c r="AE993" s="702">
        <f t="shared" si="75"/>
        <v>43617</v>
      </c>
      <c r="AF993" s="289">
        <v>989488.9062534488</v>
      </c>
      <c r="AG993">
        <f t="shared" si="76"/>
        <v>360</v>
      </c>
      <c r="AH993" s="289">
        <f t="shared" si="77"/>
        <v>2748.5802951484688</v>
      </c>
      <c r="AJ993" s="289">
        <f t="shared" si="78"/>
        <v>42</v>
      </c>
      <c r="AK993" s="289">
        <f t="shared" si="79"/>
        <v>115440.37239623569</v>
      </c>
    </row>
    <row r="994" spans="1:37">
      <c r="A994" s="703" t="s">
        <v>2222</v>
      </c>
      <c r="B994" s="703" t="s">
        <v>1606</v>
      </c>
      <c r="C994" s="703" t="s">
        <v>332</v>
      </c>
      <c r="D994" s="703" t="s">
        <v>334</v>
      </c>
      <c r="E994" s="703" t="s">
        <v>334</v>
      </c>
      <c r="F994" s="703" t="s">
        <v>335</v>
      </c>
      <c r="G994" s="703" t="s">
        <v>696</v>
      </c>
      <c r="H994" s="703" t="s">
        <v>334</v>
      </c>
      <c r="I994" s="703" t="s">
        <v>334</v>
      </c>
      <c r="J994" s="703" t="s">
        <v>337</v>
      </c>
      <c r="K994" s="704">
        <v>0</v>
      </c>
      <c r="L994" s="703" t="s">
        <v>334</v>
      </c>
      <c r="M994" s="702">
        <v>39478</v>
      </c>
      <c r="N994" s="702">
        <v>43703</v>
      </c>
      <c r="O994" s="703" t="s">
        <v>338</v>
      </c>
      <c r="P994" s="20">
        <v>101952.01</v>
      </c>
      <c r="Q994" s="20">
        <v>0</v>
      </c>
      <c r="R994" s="20">
        <v>0</v>
      </c>
      <c r="S994" s="20">
        <v>0</v>
      </c>
      <c r="T994" s="20">
        <v>101952.01</v>
      </c>
      <c r="U994" s="20">
        <v>94022.41</v>
      </c>
      <c r="V994" s="20">
        <v>-7929.6</v>
      </c>
      <c r="W994" s="20">
        <v>-11328</v>
      </c>
      <c r="X994" s="20">
        <v>-3398.4</v>
      </c>
      <c r="Y994" s="20">
        <v>0</v>
      </c>
      <c r="Z994" s="20">
        <v>0</v>
      </c>
      <c r="AA994" s="20">
        <v>0</v>
      </c>
      <c r="AB994" s="20">
        <v>90624.01</v>
      </c>
      <c r="AC994" t="s">
        <v>183</v>
      </c>
      <c r="AD994" t="s">
        <v>290</v>
      </c>
      <c r="AE994" s="702">
        <f t="shared" si="75"/>
        <v>43617</v>
      </c>
      <c r="AF994" s="289">
        <v>158657.02257265139</v>
      </c>
      <c r="AG994">
        <f t="shared" si="76"/>
        <v>360</v>
      </c>
      <c r="AH994" s="289">
        <f t="shared" si="77"/>
        <v>440.71395159069829</v>
      </c>
      <c r="AJ994" s="289">
        <f t="shared" si="78"/>
        <v>42</v>
      </c>
      <c r="AK994" s="289">
        <f t="shared" si="79"/>
        <v>18509.985966809327</v>
      </c>
    </row>
    <row r="995" spans="1:37">
      <c r="A995" s="703" t="s">
        <v>2223</v>
      </c>
      <c r="B995" s="703" t="s">
        <v>1606</v>
      </c>
      <c r="C995" s="703" t="s">
        <v>332</v>
      </c>
      <c r="D995" s="703" t="s">
        <v>334</v>
      </c>
      <c r="E995" s="703" t="s">
        <v>334</v>
      </c>
      <c r="F995" s="703" t="s">
        <v>335</v>
      </c>
      <c r="G995" s="703" t="s">
        <v>694</v>
      </c>
      <c r="H995" s="703" t="s">
        <v>334</v>
      </c>
      <c r="I995" s="703" t="s">
        <v>334</v>
      </c>
      <c r="J995" s="703" t="s">
        <v>337</v>
      </c>
      <c r="K995" s="704">
        <v>0</v>
      </c>
      <c r="L995" s="703" t="s">
        <v>334</v>
      </c>
      <c r="M995" s="702">
        <v>39478</v>
      </c>
      <c r="N995" s="702">
        <v>43703</v>
      </c>
      <c r="O995" s="703" t="s">
        <v>338</v>
      </c>
      <c r="P995" s="20">
        <v>58082.52</v>
      </c>
      <c r="Q995" s="20">
        <v>0</v>
      </c>
      <c r="R995" s="20">
        <v>0</v>
      </c>
      <c r="S995" s="20">
        <v>0</v>
      </c>
      <c r="T995" s="20">
        <v>58082.52</v>
      </c>
      <c r="U995" s="20">
        <v>53565</v>
      </c>
      <c r="V995" s="20">
        <v>-4517.5200000000004</v>
      </c>
      <c r="W995" s="20">
        <v>-6453.6</v>
      </c>
      <c r="X995" s="20">
        <v>-1936.08</v>
      </c>
      <c r="Y995" s="20">
        <v>0</v>
      </c>
      <c r="Z995" s="20">
        <v>0</v>
      </c>
      <c r="AA995" s="20">
        <v>0</v>
      </c>
      <c r="AB995" s="20">
        <v>51628.92</v>
      </c>
      <c r="AC995" t="s">
        <v>183</v>
      </c>
      <c r="AD995" t="s">
        <v>290</v>
      </c>
      <c r="AE995" s="702">
        <f t="shared" si="75"/>
        <v>43617</v>
      </c>
      <c r="AF995" s="289">
        <v>90387.621457551228</v>
      </c>
      <c r="AG995">
        <f t="shared" si="76"/>
        <v>360</v>
      </c>
      <c r="AH995" s="289">
        <f t="shared" si="77"/>
        <v>251.07672627097563</v>
      </c>
      <c r="AJ995" s="289">
        <f t="shared" si="78"/>
        <v>42</v>
      </c>
      <c r="AK995" s="289">
        <f t="shared" si="79"/>
        <v>10545.222503380975</v>
      </c>
    </row>
    <row r="996" spans="1:37">
      <c r="A996" s="703" t="s">
        <v>2224</v>
      </c>
      <c r="B996" s="703" t="s">
        <v>1606</v>
      </c>
      <c r="C996" s="703" t="s">
        <v>332</v>
      </c>
      <c r="D996" s="703" t="s">
        <v>334</v>
      </c>
      <c r="E996" s="703" t="s">
        <v>334</v>
      </c>
      <c r="F996" s="703" t="s">
        <v>335</v>
      </c>
      <c r="G996" s="703" t="s">
        <v>672</v>
      </c>
      <c r="H996" s="703" t="s">
        <v>334</v>
      </c>
      <c r="I996" s="703" t="s">
        <v>334</v>
      </c>
      <c r="J996" s="703" t="s">
        <v>337</v>
      </c>
      <c r="K996" s="704">
        <v>0</v>
      </c>
      <c r="L996" s="703" t="s">
        <v>334</v>
      </c>
      <c r="M996" s="702">
        <v>39478</v>
      </c>
      <c r="N996" s="702">
        <v>43703</v>
      </c>
      <c r="O996" s="703" t="s">
        <v>338</v>
      </c>
      <c r="P996" s="20">
        <v>118301.37</v>
      </c>
      <c r="Q996" s="20">
        <v>0</v>
      </c>
      <c r="R996" s="20">
        <v>0</v>
      </c>
      <c r="S996" s="20">
        <v>0</v>
      </c>
      <c r="T996" s="20">
        <v>118301.37</v>
      </c>
      <c r="U996" s="20">
        <v>109100.15</v>
      </c>
      <c r="V996" s="20">
        <v>-9201.2199999999993</v>
      </c>
      <c r="W996" s="20">
        <v>-13144.6</v>
      </c>
      <c r="X996" s="20">
        <v>-3943.38</v>
      </c>
      <c r="Y996" s="20">
        <v>0</v>
      </c>
      <c r="Z996" s="20">
        <v>0</v>
      </c>
      <c r="AA996" s="20">
        <v>0</v>
      </c>
      <c r="AB996" s="20">
        <v>105156.77</v>
      </c>
      <c r="AC996" t="s">
        <v>183</v>
      </c>
      <c r="AD996" t="s">
        <v>290</v>
      </c>
      <c r="AE996" s="702">
        <f t="shared" si="75"/>
        <v>43617</v>
      </c>
      <c r="AF996" s="289">
        <v>184099.78508972589</v>
      </c>
      <c r="AG996">
        <f t="shared" si="76"/>
        <v>360</v>
      </c>
      <c r="AH996" s="289">
        <f t="shared" si="77"/>
        <v>511.38829191590526</v>
      </c>
      <c r="AJ996" s="289">
        <f t="shared" si="78"/>
        <v>42</v>
      </c>
      <c r="AK996" s="289">
        <f t="shared" si="79"/>
        <v>21478.30826046802</v>
      </c>
    </row>
    <row r="997" spans="1:37">
      <c r="A997" s="703" t="s">
        <v>2225</v>
      </c>
      <c r="B997" s="703" t="s">
        <v>1606</v>
      </c>
      <c r="C997" s="703" t="s">
        <v>332</v>
      </c>
      <c r="D997" s="703" t="s">
        <v>334</v>
      </c>
      <c r="E997" s="703" t="s">
        <v>334</v>
      </c>
      <c r="F997" s="703" t="s">
        <v>335</v>
      </c>
      <c r="G997" s="703" t="s">
        <v>2226</v>
      </c>
      <c r="H997" s="703" t="s">
        <v>334</v>
      </c>
      <c r="I997" s="703" t="s">
        <v>334</v>
      </c>
      <c r="J997" s="703" t="s">
        <v>337</v>
      </c>
      <c r="K997" s="704">
        <v>0</v>
      </c>
      <c r="L997" s="703" t="s">
        <v>334</v>
      </c>
      <c r="M997" s="702">
        <v>39478</v>
      </c>
      <c r="N997" s="702">
        <v>43703</v>
      </c>
      <c r="O997" s="703" t="s">
        <v>338</v>
      </c>
      <c r="P997" s="20">
        <v>6265.55</v>
      </c>
      <c r="Q997" s="20">
        <v>0</v>
      </c>
      <c r="R997" s="20">
        <v>0</v>
      </c>
      <c r="S997" s="20">
        <v>0</v>
      </c>
      <c r="T997" s="20">
        <v>6265.55</v>
      </c>
      <c r="U997" s="20">
        <v>5778.23</v>
      </c>
      <c r="V997" s="20">
        <v>-487.32</v>
      </c>
      <c r="W997" s="20">
        <v>-696.17</v>
      </c>
      <c r="X997" s="20">
        <v>-208.85</v>
      </c>
      <c r="Y997" s="20">
        <v>0</v>
      </c>
      <c r="Z997" s="20">
        <v>0</v>
      </c>
      <c r="AA997" s="20">
        <v>0</v>
      </c>
      <c r="AB997" s="20">
        <v>5569.38</v>
      </c>
      <c r="AC997" t="s">
        <v>183</v>
      </c>
      <c r="AD997" t="s">
        <v>290</v>
      </c>
      <c r="AE997" s="702">
        <f t="shared" si="75"/>
        <v>43617</v>
      </c>
      <c r="AF997" s="289">
        <v>9750.4061742389968</v>
      </c>
      <c r="AG997">
        <f t="shared" si="76"/>
        <v>360</v>
      </c>
      <c r="AH997" s="289">
        <f t="shared" si="77"/>
        <v>27.084461595108323</v>
      </c>
      <c r="AJ997" s="289">
        <f t="shared" si="78"/>
        <v>42</v>
      </c>
      <c r="AK997" s="289">
        <f t="shared" si="79"/>
        <v>1137.5473869945495</v>
      </c>
    </row>
    <row r="998" spans="1:37">
      <c r="A998" s="703" t="s">
        <v>2227</v>
      </c>
      <c r="B998" s="703" t="s">
        <v>1606</v>
      </c>
      <c r="C998" s="703" t="s">
        <v>332</v>
      </c>
      <c r="D998" s="703" t="s">
        <v>334</v>
      </c>
      <c r="E998" s="703" t="s">
        <v>334</v>
      </c>
      <c r="F998" s="703" t="s">
        <v>335</v>
      </c>
      <c r="G998" s="703" t="s">
        <v>2226</v>
      </c>
      <c r="H998" s="703" t="s">
        <v>334</v>
      </c>
      <c r="I998" s="703" t="s">
        <v>334</v>
      </c>
      <c r="J998" s="703" t="s">
        <v>337</v>
      </c>
      <c r="K998" s="704">
        <v>0</v>
      </c>
      <c r="L998" s="703" t="s">
        <v>334</v>
      </c>
      <c r="M998" s="702">
        <v>39478</v>
      </c>
      <c r="N998" s="702">
        <v>43703</v>
      </c>
      <c r="O998" s="703" t="s">
        <v>338</v>
      </c>
      <c r="P998" s="20">
        <v>22138.53</v>
      </c>
      <c r="Q998" s="20">
        <v>0</v>
      </c>
      <c r="R998" s="20">
        <v>0</v>
      </c>
      <c r="S998" s="20">
        <v>0</v>
      </c>
      <c r="T998" s="20">
        <v>22138.53</v>
      </c>
      <c r="U998" s="20">
        <v>20416.650000000001</v>
      </c>
      <c r="V998" s="20">
        <v>-1721.88</v>
      </c>
      <c r="W998" s="20">
        <v>-2459.83</v>
      </c>
      <c r="X998" s="20">
        <v>-737.95</v>
      </c>
      <c r="Y998" s="20">
        <v>0</v>
      </c>
      <c r="Z998" s="20">
        <v>0</v>
      </c>
      <c r="AA998" s="20">
        <v>0</v>
      </c>
      <c r="AB998" s="20">
        <v>19678.7</v>
      </c>
      <c r="AC998" t="s">
        <v>183</v>
      </c>
      <c r="AD998" t="s">
        <v>290</v>
      </c>
      <c r="AE998" s="702">
        <f t="shared" si="75"/>
        <v>43617</v>
      </c>
      <c r="AF998" s="289">
        <v>34451.829384583201</v>
      </c>
      <c r="AG998">
        <f t="shared" si="76"/>
        <v>360</v>
      </c>
      <c r="AH998" s="289">
        <f t="shared" si="77"/>
        <v>95.699526068286673</v>
      </c>
      <c r="AJ998" s="289">
        <f t="shared" si="78"/>
        <v>42</v>
      </c>
      <c r="AK998" s="289">
        <f t="shared" si="79"/>
        <v>4019.38009486804</v>
      </c>
    </row>
    <row r="999" spans="1:37">
      <c r="A999" s="703" t="s">
        <v>2228</v>
      </c>
      <c r="B999" s="703" t="s">
        <v>1606</v>
      </c>
      <c r="C999" s="703" t="s">
        <v>332</v>
      </c>
      <c r="D999" s="703" t="s">
        <v>334</v>
      </c>
      <c r="E999" s="703" t="s">
        <v>334</v>
      </c>
      <c r="F999" s="703" t="s">
        <v>335</v>
      </c>
      <c r="G999" s="703" t="s">
        <v>1436</v>
      </c>
      <c r="H999" s="703" t="s">
        <v>334</v>
      </c>
      <c r="I999" s="703" t="s">
        <v>334</v>
      </c>
      <c r="J999" s="703" t="s">
        <v>337</v>
      </c>
      <c r="K999" s="704">
        <v>0</v>
      </c>
      <c r="L999" s="703" t="s">
        <v>334</v>
      </c>
      <c r="M999" s="702">
        <v>39478</v>
      </c>
      <c r="N999" s="702">
        <v>43703</v>
      </c>
      <c r="O999" s="703" t="s">
        <v>338</v>
      </c>
      <c r="P999" s="20">
        <v>8799.5499999999993</v>
      </c>
      <c r="Q999" s="20">
        <v>0</v>
      </c>
      <c r="R999" s="20">
        <v>0</v>
      </c>
      <c r="S999" s="20">
        <v>0</v>
      </c>
      <c r="T999" s="20">
        <v>8799.5499999999993</v>
      </c>
      <c r="U999" s="20">
        <v>8115.14</v>
      </c>
      <c r="V999" s="20">
        <v>-684.41</v>
      </c>
      <c r="W999" s="20">
        <v>-977.73</v>
      </c>
      <c r="X999" s="20">
        <v>-293.32</v>
      </c>
      <c r="Y999" s="20">
        <v>0</v>
      </c>
      <c r="Z999" s="20">
        <v>0</v>
      </c>
      <c r="AA999" s="20">
        <v>0</v>
      </c>
      <c r="AB999" s="20">
        <v>7821.82</v>
      </c>
      <c r="AC999" t="s">
        <v>183</v>
      </c>
      <c r="AD999" t="s">
        <v>290</v>
      </c>
      <c r="AE999" s="702">
        <f t="shared" si="75"/>
        <v>43617</v>
      </c>
      <c r="AF999" s="289">
        <v>13693.799690454112</v>
      </c>
      <c r="AG999">
        <f t="shared" si="76"/>
        <v>360</v>
      </c>
      <c r="AH999" s="289">
        <f t="shared" si="77"/>
        <v>38.038332473483642</v>
      </c>
      <c r="AJ999" s="289">
        <f t="shared" si="78"/>
        <v>42</v>
      </c>
      <c r="AK999" s="289">
        <f t="shared" si="79"/>
        <v>1597.6099638863129</v>
      </c>
    </row>
    <row r="1000" spans="1:37">
      <c r="A1000" s="703" t="s">
        <v>2229</v>
      </c>
      <c r="B1000" s="703" t="s">
        <v>1606</v>
      </c>
      <c r="C1000" s="703" t="s">
        <v>332</v>
      </c>
      <c r="D1000" s="703" t="s">
        <v>334</v>
      </c>
      <c r="E1000" s="703" t="s">
        <v>334</v>
      </c>
      <c r="F1000" s="703" t="s">
        <v>335</v>
      </c>
      <c r="G1000" s="703" t="s">
        <v>664</v>
      </c>
      <c r="H1000" s="703" t="s">
        <v>334</v>
      </c>
      <c r="I1000" s="703" t="s">
        <v>334</v>
      </c>
      <c r="J1000" s="703" t="s">
        <v>337</v>
      </c>
      <c r="K1000" s="704">
        <v>0</v>
      </c>
      <c r="L1000" s="703" t="s">
        <v>334</v>
      </c>
      <c r="M1000" s="702">
        <v>39478</v>
      </c>
      <c r="N1000" s="702">
        <v>43703</v>
      </c>
      <c r="O1000" s="703" t="s">
        <v>338</v>
      </c>
      <c r="P1000" s="20">
        <v>404.09</v>
      </c>
      <c r="Q1000" s="20">
        <v>0</v>
      </c>
      <c r="R1000" s="20">
        <v>0</v>
      </c>
      <c r="S1000" s="20">
        <v>0</v>
      </c>
      <c r="T1000" s="20">
        <v>404.09</v>
      </c>
      <c r="U1000" s="20">
        <v>372.66</v>
      </c>
      <c r="V1000" s="20">
        <v>-31.43</v>
      </c>
      <c r="W1000" s="20">
        <v>-44.9</v>
      </c>
      <c r="X1000" s="20">
        <v>-13.47</v>
      </c>
      <c r="Y1000" s="20">
        <v>0</v>
      </c>
      <c r="Z1000" s="20">
        <v>0</v>
      </c>
      <c r="AA1000" s="20">
        <v>0</v>
      </c>
      <c r="AB1000" s="20">
        <v>359.19</v>
      </c>
      <c r="AC1000" t="s">
        <v>183</v>
      </c>
      <c r="AD1000" t="s">
        <v>290</v>
      </c>
      <c r="AE1000" s="702">
        <f t="shared" si="75"/>
        <v>43617</v>
      </c>
      <c r="AF1000" s="289">
        <v>628.84210180243338</v>
      </c>
      <c r="AG1000">
        <f t="shared" si="76"/>
        <v>360</v>
      </c>
      <c r="AH1000" s="289">
        <f t="shared" si="77"/>
        <v>1.7467836161178705</v>
      </c>
      <c r="AJ1000" s="289">
        <f t="shared" si="78"/>
        <v>42</v>
      </c>
      <c r="AK1000" s="289">
        <f t="shared" si="79"/>
        <v>73.364911876950558</v>
      </c>
    </row>
    <row r="1001" spans="1:37">
      <c r="A1001" s="703" t="s">
        <v>2230</v>
      </c>
      <c r="B1001" s="703" t="s">
        <v>1606</v>
      </c>
      <c r="C1001" s="703" t="s">
        <v>332</v>
      </c>
      <c r="D1001" s="703" t="s">
        <v>334</v>
      </c>
      <c r="E1001" s="703" t="s">
        <v>334</v>
      </c>
      <c r="F1001" s="703" t="s">
        <v>335</v>
      </c>
      <c r="G1001" s="703" t="s">
        <v>666</v>
      </c>
      <c r="H1001" s="703" t="s">
        <v>334</v>
      </c>
      <c r="I1001" s="703" t="s">
        <v>334</v>
      </c>
      <c r="J1001" s="703" t="s">
        <v>337</v>
      </c>
      <c r="K1001" s="704">
        <v>0</v>
      </c>
      <c r="L1001" s="703" t="s">
        <v>334</v>
      </c>
      <c r="M1001" s="702">
        <v>39478</v>
      </c>
      <c r="N1001" s="702">
        <v>43703</v>
      </c>
      <c r="O1001" s="703" t="s">
        <v>338</v>
      </c>
      <c r="P1001" s="20">
        <v>6551.96</v>
      </c>
      <c r="Q1001" s="20">
        <v>0</v>
      </c>
      <c r="R1001" s="20">
        <v>0</v>
      </c>
      <c r="S1001" s="20">
        <v>0</v>
      </c>
      <c r="T1001" s="20">
        <v>6551.96</v>
      </c>
      <c r="U1001" s="20">
        <v>6042.36</v>
      </c>
      <c r="V1001" s="20">
        <v>-509.6</v>
      </c>
      <c r="W1001" s="20">
        <v>-728</v>
      </c>
      <c r="X1001" s="20">
        <v>-218.4</v>
      </c>
      <c r="Y1001" s="20">
        <v>0</v>
      </c>
      <c r="Z1001" s="20">
        <v>0</v>
      </c>
      <c r="AA1001" s="20">
        <v>0</v>
      </c>
      <c r="AB1001" s="20">
        <v>5823.96</v>
      </c>
      <c r="AC1001" t="s">
        <v>183</v>
      </c>
      <c r="AD1001" t="s">
        <v>290</v>
      </c>
      <c r="AE1001" s="702">
        <f t="shared" si="75"/>
        <v>43617</v>
      </c>
      <c r="AF1001" s="289">
        <v>10196.115462707494</v>
      </c>
      <c r="AG1001">
        <f t="shared" si="76"/>
        <v>360</v>
      </c>
      <c r="AH1001" s="289">
        <f t="shared" si="77"/>
        <v>28.322542951965261</v>
      </c>
      <c r="AJ1001" s="289">
        <f t="shared" si="78"/>
        <v>42</v>
      </c>
      <c r="AK1001" s="289">
        <f t="shared" si="79"/>
        <v>1189.546803982541</v>
      </c>
    </row>
    <row r="1002" spans="1:37">
      <c r="A1002" s="703" t="s">
        <v>2231</v>
      </c>
      <c r="B1002" s="703" t="s">
        <v>1606</v>
      </c>
      <c r="C1002" s="703" t="s">
        <v>332</v>
      </c>
      <c r="D1002" s="703" t="s">
        <v>334</v>
      </c>
      <c r="E1002" s="703" t="s">
        <v>334</v>
      </c>
      <c r="F1002" s="703" t="s">
        <v>335</v>
      </c>
      <c r="G1002" s="703" t="s">
        <v>672</v>
      </c>
      <c r="H1002" s="703" t="s">
        <v>334</v>
      </c>
      <c r="I1002" s="703" t="s">
        <v>334</v>
      </c>
      <c r="J1002" s="703" t="s">
        <v>337</v>
      </c>
      <c r="K1002" s="704">
        <v>0</v>
      </c>
      <c r="L1002" s="703" t="s">
        <v>334</v>
      </c>
      <c r="M1002" s="702">
        <v>39478</v>
      </c>
      <c r="N1002" s="702">
        <v>43703</v>
      </c>
      <c r="O1002" s="703" t="s">
        <v>338</v>
      </c>
      <c r="P1002" s="20">
        <v>27112.9</v>
      </c>
      <c r="Q1002" s="20">
        <v>0</v>
      </c>
      <c r="R1002" s="20">
        <v>0</v>
      </c>
      <c r="S1002" s="20">
        <v>0</v>
      </c>
      <c r="T1002" s="20">
        <v>27112.9</v>
      </c>
      <c r="U1002" s="20">
        <v>25004.13</v>
      </c>
      <c r="V1002" s="20">
        <v>-2108.77</v>
      </c>
      <c r="W1002" s="20">
        <v>-3012.53</v>
      </c>
      <c r="X1002" s="20">
        <v>-903.76</v>
      </c>
      <c r="Y1002" s="20">
        <v>0</v>
      </c>
      <c r="Z1002" s="20">
        <v>0</v>
      </c>
      <c r="AA1002" s="20">
        <v>0</v>
      </c>
      <c r="AB1002" s="20">
        <v>24100.37</v>
      </c>
      <c r="AC1002" t="s">
        <v>183</v>
      </c>
      <c r="AD1002" t="s">
        <v>290</v>
      </c>
      <c r="AE1002" s="702">
        <f t="shared" si="75"/>
        <v>43617</v>
      </c>
      <c r="AF1002" s="289">
        <v>42192.910049640413</v>
      </c>
      <c r="AG1002">
        <f t="shared" si="76"/>
        <v>360</v>
      </c>
      <c r="AH1002" s="289">
        <f t="shared" si="77"/>
        <v>117.20252791566782</v>
      </c>
      <c r="AJ1002" s="289">
        <f t="shared" si="78"/>
        <v>42</v>
      </c>
      <c r="AK1002" s="289">
        <f t="shared" si="79"/>
        <v>4922.5061724580482</v>
      </c>
    </row>
    <row r="1003" spans="1:37">
      <c r="A1003" s="703" t="s">
        <v>2232</v>
      </c>
      <c r="B1003" s="703" t="s">
        <v>1606</v>
      </c>
      <c r="C1003" s="703" t="s">
        <v>332</v>
      </c>
      <c r="D1003" s="703" t="s">
        <v>334</v>
      </c>
      <c r="E1003" s="703" t="s">
        <v>334</v>
      </c>
      <c r="F1003" s="703" t="s">
        <v>335</v>
      </c>
      <c r="G1003" s="703" t="s">
        <v>2233</v>
      </c>
      <c r="H1003" s="703" t="s">
        <v>334</v>
      </c>
      <c r="I1003" s="703" t="s">
        <v>334</v>
      </c>
      <c r="J1003" s="703" t="s">
        <v>337</v>
      </c>
      <c r="K1003" s="704">
        <v>0</v>
      </c>
      <c r="L1003" s="703" t="s">
        <v>334</v>
      </c>
      <c r="M1003" s="702">
        <v>42063</v>
      </c>
      <c r="N1003" s="702">
        <v>43703</v>
      </c>
      <c r="O1003" s="703" t="s">
        <v>338</v>
      </c>
      <c r="P1003" s="20">
        <v>2594.25</v>
      </c>
      <c r="Q1003" s="20">
        <v>0</v>
      </c>
      <c r="R1003" s="20">
        <v>0</v>
      </c>
      <c r="S1003" s="20">
        <v>0</v>
      </c>
      <c r="T1003" s="20">
        <v>2594.25</v>
      </c>
      <c r="U1003" s="20">
        <v>2392.46</v>
      </c>
      <c r="V1003" s="20">
        <v>-201.79</v>
      </c>
      <c r="W1003" s="20">
        <v>-288.27</v>
      </c>
      <c r="X1003" s="20">
        <v>-86.48</v>
      </c>
      <c r="Y1003" s="20">
        <v>0</v>
      </c>
      <c r="Z1003" s="20">
        <v>0</v>
      </c>
      <c r="AA1003" s="20">
        <v>0</v>
      </c>
      <c r="AB1003" s="20">
        <v>2305.98</v>
      </c>
      <c r="AC1003" t="s">
        <v>183</v>
      </c>
      <c r="AD1003" t="s">
        <v>290</v>
      </c>
      <c r="AE1003" s="702">
        <f t="shared" si="75"/>
        <v>43617</v>
      </c>
      <c r="AF1003" s="289">
        <v>4037.1541552648237</v>
      </c>
      <c r="AG1003">
        <f t="shared" si="76"/>
        <v>360</v>
      </c>
      <c r="AH1003" s="289">
        <f t="shared" si="77"/>
        <v>11.214317097957844</v>
      </c>
      <c r="AJ1003" s="289">
        <f t="shared" si="78"/>
        <v>42</v>
      </c>
      <c r="AK1003" s="289">
        <f t="shared" si="79"/>
        <v>471.00131811422943</v>
      </c>
    </row>
    <row r="1004" spans="1:37">
      <c r="A1004" s="703" t="s">
        <v>2234</v>
      </c>
      <c r="B1004" s="703" t="s">
        <v>1606</v>
      </c>
      <c r="C1004" s="703" t="s">
        <v>332</v>
      </c>
      <c r="D1004" s="703" t="s">
        <v>334</v>
      </c>
      <c r="E1004" s="703" t="s">
        <v>334</v>
      </c>
      <c r="F1004" s="703" t="s">
        <v>335</v>
      </c>
      <c r="G1004" s="703" t="s">
        <v>676</v>
      </c>
      <c r="H1004" s="703" t="s">
        <v>334</v>
      </c>
      <c r="I1004" s="703" t="s">
        <v>334</v>
      </c>
      <c r="J1004" s="703" t="s">
        <v>337</v>
      </c>
      <c r="K1004" s="704">
        <v>0</v>
      </c>
      <c r="L1004" s="703" t="s">
        <v>334</v>
      </c>
      <c r="M1004" s="702">
        <v>42886</v>
      </c>
      <c r="N1004" s="702">
        <v>43703</v>
      </c>
      <c r="O1004" s="703" t="s">
        <v>338</v>
      </c>
      <c r="P1004" s="20">
        <v>49679.23</v>
      </c>
      <c r="Q1004" s="20">
        <v>0</v>
      </c>
      <c r="R1004" s="20">
        <v>0</v>
      </c>
      <c r="S1004" s="20">
        <v>0</v>
      </c>
      <c r="T1004" s="20">
        <v>49679.23</v>
      </c>
      <c r="U1004" s="20">
        <v>45815.3</v>
      </c>
      <c r="V1004" s="20">
        <v>-3863.93</v>
      </c>
      <c r="W1004" s="20">
        <v>-5519.9</v>
      </c>
      <c r="X1004" s="20">
        <v>-1655.97</v>
      </c>
      <c r="Y1004" s="20">
        <v>0</v>
      </c>
      <c r="Z1004" s="20">
        <v>0</v>
      </c>
      <c r="AA1004" s="20">
        <v>0</v>
      </c>
      <c r="AB1004" s="20">
        <v>44159.33</v>
      </c>
      <c r="AC1004" t="s">
        <v>183</v>
      </c>
      <c r="AD1004" t="s">
        <v>290</v>
      </c>
      <c r="AE1004" s="702">
        <f t="shared" si="75"/>
        <v>43617</v>
      </c>
      <c r="AF1004" s="289">
        <v>77310.478876306035</v>
      </c>
      <c r="AG1004">
        <f t="shared" si="76"/>
        <v>360</v>
      </c>
      <c r="AH1004" s="289">
        <f t="shared" si="77"/>
        <v>214.7513302119612</v>
      </c>
      <c r="AJ1004" s="289">
        <f t="shared" si="78"/>
        <v>42</v>
      </c>
      <c r="AK1004" s="289">
        <f t="shared" si="79"/>
        <v>9019.555868902371</v>
      </c>
    </row>
    <row r="1005" spans="1:37">
      <c r="A1005" s="703" t="s">
        <v>2235</v>
      </c>
      <c r="B1005" s="703" t="s">
        <v>1606</v>
      </c>
      <c r="C1005" s="703" t="s">
        <v>332</v>
      </c>
      <c r="D1005" s="703" t="s">
        <v>334</v>
      </c>
      <c r="E1005" s="703" t="s">
        <v>334</v>
      </c>
      <c r="F1005" s="703" t="s">
        <v>335</v>
      </c>
      <c r="G1005" s="703" t="s">
        <v>678</v>
      </c>
      <c r="H1005" s="703" t="s">
        <v>334</v>
      </c>
      <c r="I1005" s="703" t="s">
        <v>334</v>
      </c>
      <c r="J1005" s="703" t="s">
        <v>337</v>
      </c>
      <c r="K1005" s="704">
        <v>0</v>
      </c>
      <c r="L1005" s="703" t="s">
        <v>334</v>
      </c>
      <c r="M1005" s="702">
        <v>42886</v>
      </c>
      <c r="N1005" s="702">
        <v>43703</v>
      </c>
      <c r="O1005" s="703" t="s">
        <v>338</v>
      </c>
      <c r="P1005" s="20">
        <v>46694.559999999998</v>
      </c>
      <c r="Q1005" s="20">
        <v>0</v>
      </c>
      <c r="R1005" s="20">
        <v>0</v>
      </c>
      <c r="S1005" s="20">
        <v>0</v>
      </c>
      <c r="T1005" s="20">
        <v>46694.559999999998</v>
      </c>
      <c r="U1005" s="20">
        <v>43062.75</v>
      </c>
      <c r="V1005" s="20">
        <v>-3631.81</v>
      </c>
      <c r="W1005" s="20">
        <v>-5188.3</v>
      </c>
      <c r="X1005" s="20">
        <v>-1556.49</v>
      </c>
      <c r="Y1005" s="20">
        <v>0</v>
      </c>
      <c r="Z1005" s="20">
        <v>0</v>
      </c>
      <c r="AA1005" s="20">
        <v>0</v>
      </c>
      <c r="AB1005" s="20">
        <v>41506.26</v>
      </c>
      <c r="AC1005" t="s">
        <v>183</v>
      </c>
      <c r="AD1005" t="s">
        <v>290</v>
      </c>
      <c r="AE1005" s="702">
        <f t="shared" si="75"/>
        <v>43617</v>
      </c>
      <c r="AF1005" s="289">
        <v>72665.75577999909</v>
      </c>
      <c r="AG1005">
        <f t="shared" si="76"/>
        <v>360</v>
      </c>
      <c r="AH1005" s="289">
        <f t="shared" si="77"/>
        <v>201.84932161110859</v>
      </c>
      <c r="AJ1005" s="289">
        <f t="shared" si="78"/>
        <v>42</v>
      </c>
      <c r="AK1005" s="289">
        <f t="shared" si="79"/>
        <v>8477.6715076665605</v>
      </c>
    </row>
    <row r="1006" spans="1:37">
      <c r="A1006" s="703" t="s">
        <v>2236</v>
      </c>
      <c r="B1006" s="703" t="s">
        <v>1606</v>
      </c>
      <c r="C1006" s="703" t="s">
        <v>332</v>
      </c>
      <c r="D1006" s="703" t="s">
        <v>334</v>
      </c>
      <c r="E1006" s="703" t="s">
        <v>334</v>
      </c>
      <c r="F1006" s="703" t="s">
        <v>335</v>
      </c>
      <c r="G1006" s="703" t="s">
        <v>682</v>
      </c>
      <c r="H1006" s="703" t="s">
        <v>334</v>
      </c>
      <c r="I1006" s="703" t="s">
        <v>334</v>
      </c>
      <c r="J1006" s="703" t="s">
        <v>337</v>
      </c>
      <c r="K1006" s="704">
        <v>0</v>
      </c>
      <c r="L1006" s="703" t="s">
        <v>334</v>
      </c>
      <c r="M1006" s="702">
        <v>42886</v>
      </c>
      <c r="N1006" s="702">
        <v>43703</v>
      </c>
      <c r="O1006" s="703" t="s">
        <v>338</v>
      </c>
      <c r="P1006" s="20">
        <v>11890.56</v>
      </c>
      <c r="Q1006" s="20">
        <v>0</v>
      </c>
      <c r="R1006" s="20">
        <v>0</v>
      </c>
      <c r="S1006" s="20">
        <v>0</v>
      </c>
      <c r="T1006" s="20">
        <v>11890.56</v>
      </c>
      <c r="U1006" s="20">
        <v>10965.74</v>
      </c>
      <c r="V1006" s="20">
        <v>-924.82</v>
      </c>
      <c r="W1006" s="20">
        <v>-1321.17</v>
      </c>
      <c r="X1006" s="20">
        <v>-396.35</v>
      </c>
      <c r="Y1006" s="20">
        <v>0</v>
      </c>
      <c r="Z1006" s="20">
        <v>0</v>
      </c>
      <c r="AA1006" s="20">
        <v>0</v>
      </c>
      <c r="AB1006" s="20">
        <v>10569.39</v>
      </c>
      <c r="AC1006" t="s">
        <v>183</v>
      </c>
      <c r="AD1006" t="s">
        <v>290</v>
      </c>
      <c r="AE1006" s="702">
        <f t="shared" si="75"/>
        <v>43617</v>
      </c>
      <c r="AF1006" s="289">
        <v>18504.008369442308</v>
      </c>
      <c r="AG1006">
        <f t="shared" si="76"/>
        <v>360</v>
      </c>
      <c r="AH1006" s="289">
        <f t="shared" si="77"/>
        <v>51.400023248450857</v>
      </c>
      <c r="AJ1006" s="289">
        <f t="shared" si="78"/>
        <v>42</v>
      </c>
      <c r="AK1006" s="289">
        <f t="shared" si="79"/>
        <v>2158.8009764349358</v>
      </c>
    </row>
    <row r="1007" spans="1:37">
      <c r="A1007" s="703" t="s">
        <v>2237</v>
      </c>
      <c r="B1007" s="703" t="s">
        <v>1606</v>
      </c>
      <c r="C1007" s="703" t="s">
        <v>332</v>
      </c>
      <c r="D1007" s="703" t="s">
        <v>334</v>
      </c>
      <c r="E1007" s="703" t="s">
        <v>334</v>
      </c>
      <c r="F1007" s="703" t="s">
        <v>335</v>
      </c>
      <c r="G1007" s="703" t="s">
        <v>1470</v>
      </c>
      <c r="H1007" s="703" t="s">
        <v>334</v>
      </c>
      <c r="I1007" s="703" t="s">
        <v>334</v>
      </c>
      <c r="J1007" s="703" t="s">
        <v>337</v>
      </c>
      <c r="K1007" s="704">
        <v>0</v>
      </c>
      <c r="L1007" s="703" t="s">
        <v>334</v>
      </c>
      <c r="M1007" s="702">
        <v>42886</v>
      </c>
      <c r="N1007" s="702">
        <v>43703</v>
      </c>
      <c r="O1007" s="703" t="s">
        <v>338</v>
      </c>
      <c r="P1007" s="20">
        <v>7145.47</v>
      </c>
      <c r="Q1007" s="20">
        <v>0</v>
      </c>
      <c r="R1007" s="20">
        <v>0</v>
      </c>
      <c r="S1007" s="20">
        <v>0</v>
      </c>
      <c r="T1007" s="20">
        <v>7145.47</v>
      </c>
      <c r="U1007" s="20">
        <v>6589.72</v>
      </c>
      <c r="V1007" s="20">
        <v>-555.75</v>
      </c>
      <c r="W1007" s="20">
        <v>-793.93</v>
      </c>
      <c r="X1007" s="20">
        <v>-238.18</v>
      </c>
      <c r="Y1007" s="20">
        <v>0</v>
      </c>
      <c r="Z1007" s="20">
        <v>0</v>
      </c>
      <c r="AA1007" s="20">
        <v>0</v>
      </c>
      <c r="AB1007" s="20">
        <v>6351.54</v>
      </c>
      <c r="AC1007" t="s">
        <v>183</v>
      </c>
      <c r="AD1007" t="s">
        <v>290</v>
      </c>
      <c r="AE1007" s="702">
        <f t="shared" si="75"/>
        <v>43617</v>
      </c>
      <c r="AF1007" s="289">
        <v>11119.731676523135</v>
      </c>
      <c r="AG1007">
        <f t="shared" si="76"/>
        <v>360</v>
      </c>
      <c r="AH1007" s="289">
        <f t="shared" si="77"/>
        <v>30.888143545897599</v>
      </c>
      <c r="AJ1007" s="289">
        <f t="shared" si="78"/>
        <v>42</v>
      </c>
      <c r="AK1007" s="289">
        <f t="shared" si="79"/>
        <v>1297.3020289276992</v>
      </c>
    </row>
    <row r="1008" spans="1:37">
      <c r="A1008" s="703" t="s">
        <v>2238</v>
      </c>
      <c r="B1008" s="703" t="s">
        <v>1606</v>
      </c>
      <c r="C1008" s="703" t="s">
        <v>332</v>
      </c>
      <c r="D1008" s="703" t="s">
        <v>334</v>
      </c>
      <c r="E1008" s="703" t="s">
        <v>334</v>
      </c>
      <c r="F1008" s="703" t="s">
        <v>335</v>
      </c>
      <c r="G1008" s="703" t="s">
        <v>2239</v>
      </c>
      <c r="H1008" s="703" t="s">
        <v>334</v>
      </c>
      <c r="I1008" s="703" t="s">
        <v>334</v>
      </c>
      <c r="J1008" s="703" t="s">
        <v>337</v>
      </c>
      <c r="K1008" s="704">
        <v>0</v>
      </c>
      <c r="L1008" s="703" t="s">
        <v>334</v>
      </c>
      <c r="M1008" s="702">
        <v>43677</v>
      </c>
      <c r="N1008" s="702">
        <v>43703</v>
      </c>
      <c r="O1008" s="703" t="s">
        <v>338</v>
      </c>
      <c r="P1008" s="20">
        <v>27724.52</v>
      </c>
      <c r="Q1008" s="20">
        <v>0</v>
      </c>
      <c r="R1008" s="20">
        <v>0</v>
      </c>
      <c r="S1008" s="20">
        <v>0</v>
      </c>
      <c r="T1008" s="20">
        <v>27724.52</v>
      </c>
      <c r="U1008" s="20">
        <v>25568.17</v>
      </c>
      <c r="V1008" s="20">
        <v>-2156.35</v>
      </c>
      <c r="W1008" s="20">
        <v>-3080.5</v>
      </c>
      <c r="X1008" s="20">
        <v>-924.15</v>
      </c>
      <c r="Y1008" s="20">
        <v>0</v>
      </c>
      <c r="Z1008" s="20">
        <v>0</v>
      </c>
      <c r="AA1008" s="20">
        <v>0</v>
      </c>
      <c r="AB1008" s="20">
        <v>24644.02</v>
      </c>
      <c r="AC1008" t="s">
        <v>183</v>
      </c>
      <c r="AD1008" t="s">
        <v>290</v>
      </c>
      <c r="AE1008" s="702">
        <f t="shared" si="75"/>
        <v>43617</v>
      </c>
      <c r="AF1008" s="289">
        <v>43144.708921932244</v>
      </c>
      <c r="AG1008">
        <f t="shared" si="76"/>
        <v>360</v>
      </c>
      <c r="AH1008" s="289">
        <f t="shared" si="77"/>
        <v>119.84641367203402</v>
      </c>
      <c r="AJ1008" s="289">
        <f t="shared" si="78"/>
        <v>42</v>
      </c>
      <c r="AK1008" s="289">
        <f t="shared" si="79"/>
        <v>5033.5493742254284</v>
      </c>
    </row>
    <row r="1009" spans="1:37">
      <c r="A1009" s="703" t="s">
        <v>2240</v>
      </c>
      <c r="B1009" s="703" t="s">
        <v>1606</v>
      </c>
      <c r="C1009" s="703" t="s">
        <v>390</v>
      </c>
      <c r="D1009" s="703" t="s">
        <v>334</v>
      </c>
      <c r="E1009" s="703" t="s">
        <v>334</v>
      </c>
      <c r="F1009" s="703" t="s">
        <v>335</v>
      </c>
      <c r="G1009" s="703" t="s">
        <v>2241</v>
      </c>
      <c r="H1009" s="703" t="s">
        <v>334</v>
      </c>
      <c r="I1009" s="703" t="s">
        <v>334</v>
      </c>
      <c r="J1009" s="703" t="s">
        <v>337</v>
      </c>
      <c r="K1009" s="704">
        <v>0</v>
      </c>
      <c r="L1009" s="703" t="s">
        <v>334</v>
      </c>
      <c r="M1009" s="702">
        <v>42886</v>
      </c>
      <c r="N1009" s="702">
        <v>43703</v>
      </c>
      <c r="O1009" s="703" t="s">
        <v>338</v>
      </c>
      <c r="P1009" s="20">
        <v>5986.56</v>
      </c>
      <c r="Q1009" s="20">
        <v>0</v>
      </c>
      <c r="R1009" s="20">
        <v>0</v>
      </c>
      <c r="S1009" s="20">
        <v>0</v>
      </c>
      <c r="T1009" s="20">
        <v>5986.56</v>
      </c>
      <c r="U1009" s="20">
        <v>5520.94</v>
      </c>
      <c r="V1009" s="20">
        <v>-465.62</v>
      </c>
      <c r="W1009" s="20">
        <v>-665.17</v>
      </c>
      <c r="X1009" s="20">
        <v>-199.55</v>
      </c>
      <c r="Y1009" s="20">
        <v>0</v>
      </c>
      <c r="Z1009" s="20">
        <v>0</v>
      </c>
      <c r="AA1009" s="20">
        <v>0</v>
      </c>
      <c r="AB1009" s="20">
        <v>5321.39</v>
      </c>
      <c r="AC1009" t="s">
        <v>188</v>
      </c>
      <c r="AD1009" t="s">
        <v>290</v>
      </c>
      <c r="AE1009" s="702">
        <f t="shared" si="75"/>
        <v>43617</v>
      </c>
      <c r="AF1009" s="289">
        <v>9316.2438391605228</v>
      </c>
      <c r="AG1009">
        <f t="shared" si="76"/>
        <v>360</v>
      </c>
      <c r="AH1009" s="289">
        <f t="shared" si="77"/>
        <v>25.878455108779232</v>
      </c>
      <c r="AJ1009" s="289">
        <f t="shared" si="78"/>
        <v>42</v>
      </c>
      <c r="AK1009" s="289">
        <f t="shared" si="79"/>
        <v>1086.8951145687276</v>
      </c>
    </row>
    <row r="1010" spans="1:37">
      <c r="A1010" s="703" t="s">
        <v>2242</v>
      </c>
      <c r="B1010" s="703" t="s">
        <v>1606</v>
      </c>
      <c r="C1010" s="703" t="s">
        <v>390</v>
      </c>
      <c r="D1010" s="703" t="s">
        <v>334</v>
      </c>
      <c r="E1010" s="703" t="s">
        <v>334</v>
      </c>
      <c r="F1010" s="703" t="s">
        <v>335</v>
      </c>
      <c r="G1010" s="703" t="s">
        <v>2243</v>
      </c>
      <c r="H1010" s="703" t="s">
        <v>334</v>
      </c>
      <c r="I1010" s="703" t="s">
        <v>334</v>
      </c>
      <c r="J1010" s="703" t="s">
        <v>337</v>
      </c>
      <c r="K1010" s="704">
        <v>0</v>
      </c>
      <c r="L1010" s="703" t="s">
        <v>334</v>
      </c>
      <c r="M1010" s="702">
        <v>42886</v>
      </c>
      <c r="N1010" s="702">
        <v>43703</v>
      </c>
      <c r="O1010" s="703" t="s">
        <v>338</v>
      </c>
      <c r="P1010" s="20">
        <v>1152.8499999999999</v>
      </c>
      <c r="Q1010" s="20">
        <v>0</v>
      </c>
      <c r="R1010" s="20">
        <v>0</v>
      </c>
      <c r="S1010" s="20">
        <v>0</v>
      </c>
      <c r="T1010" s="20">
        <v>1152.8499999999999</v>
      </c>
      <c r="U1010" s="20">
        <v>1063.18</v>
      </c>
      <c r="V1010" s="20">
        <v>-89.67</v>
      </c>
      <c r="W1010" s="20">
        <v>-128.1</v>
      </c>
      <c r="X1010" s="20">
        <v>-38.43</v>
      </c>
      <c r="Y1010" s="20">
        <v>0</v>
      </c>
      <c r="Z1010" s="20">
        <v>0</v>
      </c>
      <c r="AA1010" s="20">
        <v>0</v>
      </c>
      <c r="AB1010" s="20">
        <v>1024.75</v>
      </c>
      <c r="AC1010" t="s">
        <v>188</v>
      </c>
      <c r="AD1010" t="s">
        <v>290</v>
      </c>
      <c r="AE1010" s="702">
        <f t="shared" si="75"/>
        <v>43617</v>
      </c>
      <c r="AF1010" s="289">
        <v>1794.0573066963677</v>
      </c>
      <c r="AG1010">
        <f t="shared" si="76"/>
        <v>360</v>
      </c>
      <c r="AH1010" s="289">
        <f t="shared" si="77"/>
        <v>4.9834925186010217</v>
      </c>
      <c r="AJ1010" s="289">
        <f t="shared" si="78"/>
        <v>42</v>
      </c>
      <c r="AK1010" s="289">
        <f t="shared" si="79"/>
        <v>209.30668578124292</v>
      </c>
    </row>
    <row r="1011" spans="1:37">
      <c r="A1011" s="703" t="s">
        <v>2244</v>
      </c>
      <c r="B1011" s="703" t="s">
        <v>1606</v>
      </c>
      <c r="C1011" s="703" t="s">
        <v>390</v>
      </c>
      <c r="D1011" s="703" t="s">
        <v>334</v>
      </c>
      <c r="E1011" s="703" t="s">
        <v>334</v>
      </c>
      <c r="F1011" s="703" t="s">
        <v>335</v>
      </c>
      <c r="G1011" s="703" t="s">
        <v>2245</v>
      </c>
      <c r="H1011" s="703" t="s">
        <v>334</v>
      </c>
      <c r="I1011" s="703" t="s">
        <v>334</v>
      </c>
      <c r="J1011" s="703" t="s">
        <v>337</v>
      </c>
      <c r="K1011" s="704">
        <v>0</v>
      </c>
      <c r="L1011" s="703" t="s">
        <v>334</v>
      </c>
      <c r="M1011" s="702">
        <v>42886</v>
      </c>
      <c r="N1011" s="702">
        <v>43703</v>
      </c>
      <c r="O1011" s="703" t="s">
        <v>338</v>
      </c>
      <c r="P1011" s="20">
        <v>1508.51</v>
      </c>
      <c r="Q1011" s="20">
        <v>0</v>
      </c>
      <c r="R1011" s="20">
        <v>0</v>
      </c>
      <c r="S1011" s="20">
        <v>0</v>
      </c>
      <c r="T1011" s="20">
        <v>1508.51</v>
      </c>
      <c r="U1011" s="20">
        <v>1391.19</v>
      </c>
      <c r="V1011" s="20">
        <v>-117.32</v>
      </c>
      <c r="W1011" s="20">
        <v>-167.6</v>
      </c>
      <c r="X1011" s="20">
        <v>-50.28</v>
      </c>
      <c r="Y1011" s="20">
        <v>0</v>
      </c>
      <c r="Z1011" s="20">
        <v>0</v>
      </c>
      <c r="AA1011" s="20">
        <v>0</v>
      </c>
      <c r="AB1011" s="20">
        <v>1340.91</v>
      </c>
      <c r="AC1011" t="s">
        <v>188</v>
      </c>
      <c r="AD1011" t="s">
        <v>290</v>
      </c>
      <c r="AE1011" s="702">
        <f t="shared" si="75"/>
        <v>43617</v>
      </c>
      <c r="AF1011" s="289">
        <v>2347.5329728278075</v>
      </c>
      <c r="AG1011">
        <f t="shared" si="76"/>
        <v>360</v>
      </c>
      <c r="AH1011" s="289">
        <f t="shared" si="77"/>
        <v>6.5209249245216876</v>
      </c>
      <c r="AJ1011" s="289">
        <f t="shared" si="78"/>
        <v>42</v>
      </c>
      <c r="AK1011" s="289">
        <f t="shared" si="79"/>
        <v>273.87884682991086</v>
      </c>
    </row>
    <row r="1012" spans="1:37">
      <c r="A1012" s="703" t="s">
        <v>2246</v>
      </c>
      <c r="B1012" s="703" t="s">
        <v>1606</v>
      </c>
      <c r="C1012" s="703" t="s">
        <v>390</v>
      </c>
      <c r="D1012" s="703" t="s">
        <v>334</v>
      </c>
      <c r="E1012" s="703" t="s">
        <v>334</v>
      </c>
      <c r="F1012" s="703" t="s">
        <v>335</v>
      </c>
      <c r="G1012" s="703" t="s">
        <v>2247</v>
      </c>
      <c r="H1012" s="703" t="s">
        <v>334</v>
      </c>
      <c r="I1012" s="703" t="s">
        <v>334</v>
      </c>
      <c r="J1012" s="703" t="s">
        <v>337</v>
      </c>
      <c r="K1012" s="704">
        <v>0</v>
      </c>
      <c r="L1012" s="703" t="s">
        <v>334</v>
      </c>
      <c r="M1012" s="702">
        <v>42886</v>
      </c>
      <c r="N1012" s="702">
        <v>43703</v>
      </c>
      <c r="O1012" s="703" t="s">
        <v>338</v>
      </c>
      <c r="P1012" s="20">
        <v>4412.53</v>
      </c>
      <c r="Q1012" s="20">
        <v>0</v>
      </c>
      <c r="R1012" s="20">
        <v>0</v>
      </c>
      <c r="S1012" s="20">
        <v>0</v>
      </c>
      <c r="T1012" s="20">
        <v>4412.53</v>
      </c>
      <c r="U1012" s="20">
        <v>4069.34</v>
      </c>
      <c r="V1012" s="20">
        <v>-343.19</v>
      </c>
      <c r="W1012" s="20">
        <v>-490.27</v>
      </c>
      <c r="X1012" s="20">
        <v>-147.08000000000001</v>
      </c>
      <c r="Y1012" s="20">
        <v>0</v>
      </c>
      <c r="Z1012" s="20">
        <v>0</v>
      </c>
      <c r="AA1012" s="20">
        <v>0</v>
      </c>
      <c r="AB1012" s="20">
        <v>3922.26</v>
      </c>
      <c r="AC1012" t="s">
        <v>188</v>
      </c>
      <c r="AD1012" t="s">
        <v>290</v>
      </c>
      <c r="AE1012" s="702">
        <f t="shared" si="75"/>
        <v>43617</v>
      </c>
      <c r="AF1012" s="289">
        <v>6866.7490892283686</v>
      </c>
      <c r="AG1012">
        <f t="shared" si="76"/>
        <v>360</v>
      </c>
      <c r="AH1012" s="289">
        <f t="shared" si="77"/>
        <v>19.074303025634357</v>
      </c>
      <c r="AJ1012" s="289">
        <f t="shared" si="78"/>
        <v>42</v>
      </c>
      <c r="AK1012" s="289">
        <f t="shared" si="79"/>
        <v>801.12072707664299</v>
      </c>
    </row>
    <row r="1013" spans="1:37">
      <c r="A1013" s="703" t="s">
        <v>2248</v>
      </c>
      <c r="B1013" s="703" t="s">
        <v>1606</v>
      </c>
      <c r="C1013" s="703" t="s">
        <v>390</v>
      </c>
      <c r="D1013" s="703" t="s">
        <v>334</v>
      </c>
      <c r="E1013" s="703" t="s">
        <v>334</v>
      </c>
      <c r="F1013" s="703" t="s">
        <v>335</v>
      </c>
      <c r="G1013" s="703" t="s">
        <v>2247</v>
      </c>
      <c r="H1013" s="703" t="s">
        <v>334</v>
      </c>
      <c r="I1013" s="703" t="s">
        <v>334</v>
      </c>
      <c r="J1013" s="703" t="s">
        <v>337</v>
      </c>
      <c r="K1013" s="704">
        <v>0</v>
      </c>
      <c r="L1013" s="703" t="s">
        <v>334</v>
      </c>
      <c r="M1013" s="702">
        <v>42886</v>
      </c>
      <c r="N1013" s="702">
        <v>43703</v>
      </c>
      <c r="O1013" s="703" t="s">
        <v>338</v>
      </c>
      <c r="P1013" s="20">
        <v>222690.32</v>
      </c>
      <c r="Q1013" s="20">
        <v>0</v>
      </c>
      <c r="R1013" s="20">
        <v>0</v>
      </c>
      <c r="S1013" s="20">
        <v>0</v>
      </c>
      <c r="T1013" s="20">
        <v>222690.32</v>
      </c>
      <c r="U1013" s="20">
        <v>205369.96</v>
      </c>
      <c r="V1013" s="20">
        <v>-17320.36</v>
      </c>
      <c r="W1013" s="20">
        <v>-24743.37</v>
      </c>
      <c r="X1013" s="20">
        <v>-7423.01</v>
      </c>
      <c r="Y1013" s="20">
        <v>0</v>
      </c>
      <c r="Z1013" s="20">
        <v>0</v>
      </c>
      <c r="AA1013" s="20">
        <v>0</v>
      </c>
      <c r="AB1013" s="20">
        <v>197946.95</v>
      </c>
      <c r="AC1013" t="s">
        <v>188</v>
      </c>
      <c r="AD1013" t="s">
        <v>290</v>
      </c>
      <c r="AE1013" s="702">
        <f t="shared" si="75"/>
        <v>43617</v>
      </c>
      <c r="AF1013" s="289">
        <v>346549.15706861462</v>
      </c>
      <c r="AG1013">
        <f t="shared" si="76"/>
        <v>360</v>
      </c>
      <c r="AH1013" s="289">
        <f t="shared" si="77"/>
        <v>962.63654741281835</v>
      </c>
      <c r="AJ1013" s="289">
        <f t="shared" si="78"/>
        <v>42</v>
      </c>
      <c r="AK1013" s="289">
        <f t="shared" si="79"/>
        <v>40430.734991338373</v>
      </c>
    </row>
    <row r="1014" spans="1:37">
      <c r="A1014" s="703" t="s">
        <v>2249</v>
      </c>
      <c r="B1014" s="703" t="s">
        <v>1606</v>
      </c>
      <c r="C1014" s="703" t="s">
        <v>390</v>
      </c>
      <c r="D1014" s="703" t="s">
        <v>334</v>
      </c>
      <c r="E1014" s="703" t="s">
        <v>334</v>
      </c>
      <c r="F1014" s="703" t="s">
        <v>335</v>
      </c>
      <c r="G1014" s="703" t="s">
        <v>2250</v>
      </c>
      <c r="H1014" s="703" t="s">
        <v>334</v>
      </c>
      <c r="I1014" s="703" t="s">
        <v>334</v>
      </c>
      <c r="J1014" s="703" t="s">
        <v>337</v>
      </c>
      <c r="K1014" s="704">
        <v>0</v>
      </c>
      <c r="L1014" s="703" t="s">
        <v>334</v>
      </c>
      <c r="M1014" s="702">
        <v>43251</v>
      </c>
      <c r="N1014" s="702">
        <v>43703</v>
      </c>
      <c r="O1014" s="703" t="s">
        <v>338</v>
      </c>
      <c r="P1014" s="20">
        <v>25788.87</v>
      </c>
      <c r="Q1014" s="20">
        <v>0</v>
      </c>
      <c r="R1014" s="20">
        <v>0</v>
      </c>
      <c r="S1014" s="20">
        <v>0</v>
      </c>
      <c r="T1014" s="20">
        <v>25788.87</v>
      </c>
      <c r="U1014" s="20">
        <v>23783.07</v>
      </c>
      <c r="V1014" s="20">
        <v>-2005.8</v>
      </c>
      <c r="W1014" s="20">
        <v>-2865.43</v>
      </c>
      <c r="X1014" s="20">
        <v>-859.63</v>
      </c>
      <c r="Y1014" s="20">
        <v>0</v>
      </c>
      <c r="Z1014" s="20">
        <v>0</v>
      </c>
      <c r="AA1014" s="20">
        <v>0</v>
      </c>
      <c r="AB1014" s="20">
        <v>22923.439999999999</v>
      </c>
      <c r="AC1014" t="s">
        <v>188</v>
      </c>
      <c r="AD1014" t="s">
        <v>290</v>
      </c>
      <c r="AE1014" s="702">
        <f t="shared" si="75"/>
        <v>43617</v>
      </c>
      <c r="AF1014" s="289">
        <v>40132.463594520326</v>
      </c>
      <c r="AG1014">
        <f t="shared" si="76"/>
        <v>360</v>
      </c>
      <c r="AH1014" s="289">
        <f t="shared" si="77"/>
        <v>111.47906554033423</v>
      </c>
      <c r="AJ1014" s="289">
        <f t="shared" si="78"/>
        <v>42</v>
      </c>
      <c r="AK1014" s="289">
        <f t="shared" si="79"/>
        <v>4682.1207526940379</v>
      </c>
    </row>
    <row r="1015" spans="1:37">
      <c r="A1015" s="703" t="s">
        <v>2251</v>
      </c>
      <c r="B1015" s="703" t="s">
        <v>1606</v>
      </c>
      <c r="C1015" s="703" t="s">
        <v>390</v>
      </c>
      <c r="D1015" s="703" t="s">
        <v>334</v>
      </c>
      <c r="E1015" s="703" t="s">
        <v>334</v>
      </c>
      <c r="F1015" s="703" t="s">
        <v>335</v>
      </c>
      <c r="G1015" s="703" t="s">
        <v>2252</v>
      </c>
      <c r="H1015" s="703" t="s">
        <v>334</v>
      </c>
      <c r="I1015" s="703" t="s">
        <v>334</v>
      </c>
      <c r="J1015" s="703" t="s">
        <v>337</v>
      </c>
      <c r="K1015" s="704">
        <v>0</v>
      </c>
      <c r="L1015" s="703" t="s">
        <v>334</v>
      </c>
      <c r="M1015" s="702">
        <v>43251</v>
      </c>
      <c r="N1015" s="702">
        <v>43703</v>
      </c>
      <c r="O1015" s="703" t="s">
        <v>338</v>
      </c>
      <c r="P1015" s="20">
        <v>14646.56</v>
      </c>
      <c r="Q1015" s="20">
        <v>0</v>
      </c>
      <c r="R1015" s="20">
        <v>0</v>
      </c>
      <c r="S1015" s="20">
        <v>0</v>
      </c>
      <c r="T1015" s="20">
        <v>14646.56</v>
      </c>
      <c r="U1015" s="20">
        <v>13507.38</v>
      </c>
      <c r="V1015" s="20">
        <v>-1139.18</v>
      </c>
      <c r="W1015" s="20">
        <v>-1627.4</v>
      </c>
      <c r="X1015" s="20">
        <v>-488.22</v>
      </c>
      <c r="Y1015" s="20">
        <v>0</v>
      </c>
      <c r="Z1015" s="20">
        <v>0</v>
      </c>
      <c r="AA1015" s="20">
        <v>0</v>
      </c>
      <c r="AB1015" s="20">
        <v>13019.16</v>
      </c>
      <c r="AC1015" t="s">
        <v>188</v>
      </c>
      <c r="AD1015" t="s">
        <v>290</v>
      </c>
      <c r="AE1015" s="702">
        <f t="shared" si="75"/>
        <v>43617</v>
      </c>
      <c r="AF1015" s="289">
        <v>22792.876771450541</v>
      </c>
      <c r="AG1015">
        <f t="shared" si="76"/>
        <v>360</v>
      </c>
      <c r="AH1015" s="289">
        <f t="shared" si="77"/>
        <v>63.313546587362616</v>
      </c>
      <c r="AJ1015" s="289">
        <f t="shared" si="78"/>
        <v>42</v>
      </c>
      <c r="AK1015" s="289">
        <f t="shared" si="79"/>
        <v>2659.1689566692298</v>
      </c>
    </row>
    <row r="1016" spans="1:37">
      <c r="A1016" s="703" t="s">
        <v>2253</v>
      </c>
      <c r="B1016" s="703" t="s">
        <v>1606</v>
      </c>
      <c r="C1016" s="703" t="s">
        <v>390</v>
      </c>
      <c r="D1016" s="703" t="s">
        <v>334</v>
      </c>
      <c r="E1016" s="703" t="s">
        <v>334</v>
      </c>
      <c r="F1016" s="703" t="s">
        <v>335</v>
      </c>
      <c r="G1016" s="703" t="s">
        <v>2252</v>
      </c>
      <c r="H1016" s="703" t="s">
        <v>334</v>
      </c>
      <c r="I1016" s="703" t="s">
        <v>334</v>
      </c>
      <c r="J1016" s="703" t="s">
        <v>337</v>
      </c>
      <c r="K1016" s="704">
        <v>0</v>
      </c>
      <c r="L1016" s="703" t="s">
        <v>334</v>
      </c>
      <c r="M1016" s="702">
        <v>43251</v>
      </c>
      <c r="N1016" s="702">
        <v>43703</v>
      </c>
      <c r="O1016" s="703" t="s">
        <v>338</v>
      </c>
      <c r="P1016" s="20">
        <v>13830.68</v>
      </c>
      <c r="Q1016" s="20">
        <v>0</v>
      </c>
      <c r="R1016" s="20">
        <v>0</v>
      </c>
      <c r="S1016" s="20">
        <v>0</v>
      </c>
      <c r="T1016" s="20">
        <v>13830.68</v>
      </c>
      <c r="U1016" s="20">
        <v>12754.97</v>
      </c>
      <c r="V1016" s="20">
        <v>-1075.71</v>
      </c>
      <c r="W1016" s="20">
        <v>-1536.73</v>
      </c>
      <c r="X1016" s="20">
        <v>-461.02</v>
      </c>
      <c r="Y1016" s="20">
        <v>0</v>
      </c>
      <c r="Z1016" s="20">
        <v>0</v>
      </c>
      <c r="AA1016" s="20">
        <v>0</v>
      </c>
      <c r="AB1016" s="20">
        <v>12293.95</v>
      </c>
      <c r="AC1016" t="s">
        <v>188</v>
      </c>
      <c r="AD1016" t="s">
        <v>290</v>
      </c>
      <c r="AE1016" s="702">
        <f t="shared" si="75"/>
        <v>43617</v>
      </c>
      <c r="AF1016" s="289">
        <v>21523.209880365463</v>
      </c>
      <c r="AG1016">
        <f t="shared" si="76"/>
        <v>360</v>
      </c>
      <c r="AH1016" s="289">
        <f t="shared" si="77"/>
        <v>59.786694112126284</v>
      </c>
      <c r="AJ1016" s="289">
        <f t="shared" si="78"/>
        <v>42</v>
      </c>
      <c r="AK1016" s="289">
        <f t="shared" si="79"/>
        <v>2511.0411527093038</v>
      </c>
    </row>
    <row r="1017" spans="1:37">
      <c r="A1017" s="703" t="s">
        <v>2254</v>
      </c>
      <c r="B1017" s="703" t="s">
        <v>1606</v>
      </c>
      <c r="C1017" s="703" t="s">
        <v>390</v>
      </c>
      <c r="D1017" s="703" t="s">
        <v>334</v>
      </c>
      <c r="E1017" s="703" t="s">
        <v>334</v>
      </c>
      <c r="F1017" s="703" t="s">
        <v>335</v>
      </c>
      <c r="G1017" s="703" t="s">
        <v>2255</v>
      </c>
      <c r="H1017" s="703" t="s">
        <v>334</v>
      </c>
      <c r="I1017" s="703" t="s">
        <v>334</v>
      </c>
      <c r="J1017" s="703" t="s">
        <v>337</v>
      </c>
      <c r="K1017" s="704">
        <v>0</v>
      </c>
      <c r="L1017" s="703" t="s">
        <v>334</v>
      </c>
      <c r="M1017" s="702">
        <v>43251</v>
      </c>
      <c r="N1017" s="702">
        <v>43703</v>
      </c>
      <c r="O1017" s="703" t="s">
        <v>338</v>
      </c>
      <c r="P1017" s="20">
        <v>5621.1</v>
      </c>
      <c r="Q1017" s="20">
        <v>0</v>
      </c>
      <c r="R1017" s="20">
        <v>0</v>
      </c>
      <c r="S1017" s="20">
        <v>0</v>
      </c>
      <c r="T1017" s="20">
        <v>5621.1</v>
      </c>
      <c r="U1017" s="20">
        <v>5183.8999999999996</v>
      </c>
      <c r="V1017" s="20">
        <v>-437.2</v>
      </c>
      <c r="W1017" s="20">
        <v>-624.57000000000005</v>
      </c>
      <c r="X1017" s="20">
        <v>-187.37</v>
      </c>
      <c r="Y1017" s="20">
        <v>0</v>
      </c>
      <c r="Z1017" s="20">
        <v>0</v>
      </c>
      <c r="AA1017" s="20">
        <v>0</v>
      </c>
      <c r="AB1017" s="20">
        <v>4996.53</v>
      </c>
      <c r="AC1017" t="s">
        <v>188</v>
      </c>
      <c r="AD1017" t="s">
        <v>290</v>
      </c>
      <c r="AE1017" s="702">
        <f t="shared" si="75"/>
        <v>43617</v>
      </c>
      <c r="AF1017" s="289">
        <v>8747.5174798724511</v>
      </c>
      <c r="AG1017">
        <f t="shared" si="76"/>
        <v>360</v>
      </c>
      <c r="AH1017" s="289">
        <f t="shared" si="77"/>
        <v>24.298659666312364</v>
      </c>
      <c r="AJ1017" s="289">
        <f t="shared" si="78"/>
        <v>42</v>
      </c>
      <c r="AK1017" s="289">
        <f t="shared" si="79"/>
        <v>1020.5437059851193</v>
      </c>
    </row>
    <row r="1018" spans="1:37">
      <c r="A1018" s="703" t="s">
        <v>2256</v>
      </c>
      <c r="B1018" s="703" t="s">
        <v>1606</v>
      </c>
      <c r="C1018" s="703" t="s">
        <v>390</v>
      </c>
      <c r="D1018" s="703" t="s">
        <v>334</v>
      </c>
      <c r="E1018" s="703" t="s">
        <v>334</v>
      </c>
      <c r="F1018" s="703" t="s">
        <v>335</v>
      </c>
      <c r="G1018" s="703" t="s">
        <v>2257</v>
      </c>
      <c r="H1018" s="703" t="s">
        <v>334</v>
      </c>
      <c r="I1018" s="703" t="s">
        <v>334</v>
      </c>
      <c r="J1018" s="703" t="s">
        <v>337</v>
      </c>
      <c r="K1018" s="704">
        <v>0</v>
      </c>
      <c r="L1018" s="703" t="s">
        <v>334</v>
      </c>
      <c r="M1018" s="702">
        <v>42886</v>
      </c>
      <c r="N1018" s="702">
        <v>43703</v>
      </c>
      <c r="O1018" s="703" t="s">
        <v>338</v>
      </c>
      <c r="P1018" s="20">
        <v>4697.1499999999996</v>
      </c>
      <c r="Q1018" s="20">
        <v>0</v>
      </c>
      <c r="R1018" s="20">
        <v>0</v>
      </c>
      <c r="S1018" s="20">
        <v>0</v>
      </c>
      <c r="T1018" s="20">
        <v>4697.1499999999996</v>
      </c>
      <c r="U1018" s="20">
        <v>4331.82</v>
      </c>
      <c r="V1018" s="20">
        <v>-365.33</v>
      </c>
      <c r="W1018" s="20">
        <v>-521.9</v>
      </c>
      <c r="X1018" s="20">
        <v>-156.57</v>
      </c>
      <c r="Y1018" s="20">
        <v>0</v>
      </c>
      <c r="Z1018" s="20">
        <v>0</v>
      </c>
      <c r="AA1018" s="20">
        <v>0</v>
      </c>
      <c r="AB1018" s="20">
        <v>4175.25</v>
      </c>
      <c r="AC1018" t="s">
        <v>188</v>
      </c>
      <c r="AD1018" t="s">
        <v>290</v>
      </c>
      <c r="AE1018" s="702">
        <f t="shared" si="75"/>
        <v>43617</v>
      </c>
      <c r="AF1018" s="289">
        <v>7309.6727919060104</v>
      </c>
      <c r="AG1018">
        <f t="shared" si="76"/>
        <v>360</v>
      </c>
      <c r="AH1018" s="289">
        <f t="shared" si="77"/>
        <v>20.304646644183361</v>
      </c>
      <c r="AJ1018" s="289">
        <f t="shared" si="78"/>
        <v>42</v>
      </c>
      <c r="AK1018" s="289">
        <f t="shared" si="79"/>
        <v>852.79515905570111</v>
      </c>
    </row>
    <row r="1019" spans="1:37">
      <c r="A1019" s="703" t="s">
        <v>2258</v>
      </c>
      <c r="B1019" s="703" t="s">
        <v>1606</v>
      </c>
      <c r="C1019" s="703" t="s">
        <v>390</v>
      </c>
      <c r="D1019" s="703" t="s">
        <v>334</v>
      </c>
      <c r="E1019" s="703" t="s">
        <v>334</v>
      </c>
      <c r="F1019" s="703" t="s">
        <v>335</v>
      </c>
      <c r="G1019" s="703" t="s">
        <v>2259</v>
      </c>
      <c r="H1019" s="703" t="s">
        <v>334</v>
      </c>
      <c r="I1019" s="703" t="s">
        <v>334</v>
      </c>
      <c r="J1019" s="703" t="s">
        <v>337</v>
      </c>
      <c r="K1019" s="704">
        <v>0</v>
      </c>
      <c r="L1019" s="703" t="s">
        <v>334</v>
      </c>
      <c r="M1019" s="702">
        <v>42886</v>
      </c>
      <c r="N1019" s="702">
        <v>43703</v>
      </c>
      <c r="O1019" s="703" t="s">
        <v>338</v>
      </c>
      <c r="P1019" s="20">
        <v>27746.87</v>
      </c>
      <c r="Q1019" s="20">
        <v>0</v>
      </c>
      <c r="R1019" s="20">
        <v>0</v>
      </c>
      <c r="S1019" s="20">
        <v>0</v>
      </c>
      <c r="T1019" s="20">
        <v>27746.87</v>
      </c>
      <c r="U1019" s="20">
        <v>25594.7</v>
      </c>
      <c r="V1019" s="20">
        <v>-2152.17</v>
      </c>
      <c r="W1019" s="20">
        <v>-3077.07</v>
      </c>
      <c r="X1019" s="20">
        <v>-924.9</v>
      </c>
      <c r="Y1019" s="20">
        <v>0</v>
      </c>
      <c r="Z1019" s="20">
        <v>0</v>
      </c>
      <c r="AA1019" s="20">
        <v>0</v>
      </c>
      <c r="AB1019" s="20">
        <v>24669.8</v>
      </c>
      <c r="AC1019" t="s">
        <v>188</v>
      </c>
      <c r="AD1019" t="s">
        <v>290</v>
      </c>
      <c r="AE1019" s="702">
        <f t="shared" si="75"/>
        <v>43617</v>
      </c>
      <c r="AF1019" s="289">
        <v>43179.489839488444</v>
      </c>
      <c r="AG1019">
        <f t="shared" si="76"/>
        <v>360</v>
      </c>
      <c r="AH1019" s="289">
        <f t="shared" si="77"/>
        <v>119.94302733191235</v>
      </c>
      <c r="AJ1019" s="289">
        <f t="shared" si="78"/>
        <v>42</v>
      </c>
      <c r="AK1019" s="289">
        <f t="shared" si="79"/>
        <v>5037.607147940319</v>
      </c>
    </row>
    <row r="1020" spans="1:37">
      <c r="A1020" s="703" t="s">
        <v>2260</v>
      </c>
      <c r="B1020" s="703" t="s">
        <v>1606</v>
      </c>
      <c r="C1020" s="703" t="s">
        <v>390</v>
      </c>
      <c r="D1020" s="703" t="s">
        <v>334</v>
      </c>
      <c r="E1020" s="703" t="s">
        <v>334</v>
      </c>
      <c r="F1020" s="703" t="s">
        <v>335</v>
      </c>
      <c r="G1020" s="703" t="s">
        <v>2261</v>
      </c>
      <c r="H1020" s="703" t="s">
        <v>334</v>
      </c>
      <c r="I1020" s="703" t="s">
        <v>334</v>
      </c>
      <c r="J1020" s="703" t="s">
        <v>337</v>
      </c>
      <c r="K1020" s="704">
        <v>0</v>
      </c>
      <c r="L1020" s="703" t="s">
        <v>334</v>
      </c>
      <c r="M1020" s="702">
        <v>42886</v>
      </c>
      <c r="N1020" s="702">
        <v>43703</v>
      </c>
      <c r="O1020" s="703" t="s">
        <v>338</v>
      </c>
      <c r="P1020" s="20">
        <v>61447.39</v>
      </c>
      <c r="Q1020" s="20">
        <v>0</v>
      </c>
      <c r="R1020" s="20">
        <v>0</v>
      </c>
      <c r="S1020" s="20">
        <v>0</v>
      </c>
      <c r="T1020" s="20">
        <v>61447.39</v>
      </c>
      <c r="U1020" s="20">
        <v>56668.14</v>
      </c>
      <c r="V1020" s="20">
        <v>-4779.25</v>
      </c>
      <c r="W1020" s="20">
        <v>-6827.5</v>
      </c>
      <c r="X1020" s="20">
        <v>-2048.25</v>
      </c>
      <c r="Y1020" s="20">
        <v>0</v>
      </c>
      <c r="Z1020" s="20">
        <v>0</v>
      </c>
      <c r="AA1020" s="20">
        <v>0</v>
      </c>
      <c r="AB1020" s="20">
        <v>54619.89</v>
      </c>
      <c r="AC1020" t="s">
        <v>188</v>
      </c>
      <c r="AD1020" t="s">
        <v>290</v>
      </c>
      <c r="AE1020" s="702">
        <f t="shared" si="75"/>
        <v>43617</v>
      </c>
      <c r="AF1020" s="289">
        <v>95624.009200608343</v>
      </c>
      <c r="AG1020">
        <f t="shared" si="76"/>
        <v>360</v>
      </c>
      <c r="AH1020" s="289">
        <f t="shared" si="77"/>
        <v>265.62224777946761</v>
      </c>
      <c r="AJ1020" s="289">
        <f t="shared" si="78"/>
        <v>42</v>
      </c>
      <c r="AK1020" s="289">
        <f t="shared" si="79"/>
        <v>11156.134406737639</v>
      </c>
    </row>
    <row r="1021" spans="1:37">
      <c r="A1021" s="703" t="s">
        <v>2262</v>
      </c>
      <c r="B1021" s="703" t="s">
        <v>1606</v>
      </c>
      <c r="C1021" s="703" t="s">
        <v>390</v>
      </c>
      <c r="D1021" s="703" t="s">
        <v>334</v>
      </c>
      <c r="E1021" s="703" t="s">
        <v>334</v>
      </c>
      <c r="F1021" s="703" t="s">
        <v>335</v>
      </c>
      <c r="G1021" s="703" t="s">
        <v>2263</v>
      </c>
      <c r="H1021" s="703" t="s">
        <v>334</v>
      </c>
      <c r="I1021" s="703" t="s">
        <v>334</v>
      </c>
      <c r="J1021" s="703" t="s">
        <v>337</v>
      </c>
      <c r="K1021" s="704">
        <v>0</v>
      </c>
      <c r="L1021" s="703" t="s">
        <v>334</v>
      </c>
      <c r="M1021" s="702">
        <v>42886</v>
      </c>
      <c r="N1021" s="702">
        <v>43703</v>
      </c>
      <c r="O1021" s="703" t="s">
        <v>338</v>
      </c>
      <c r="P1021" s="20">
        <v>2301.21</v>
      </c>
      <c r="Q1021" s="20">
        <v>0</v>
      </c>
      <c r="R1021" s="20">
        <v>0</v>
      </c>
      <c r="S1021" s="20">
        <v>0</v>
      </c>
      <c r="T1021" s="20">
        <v>2301.21</v>
      </c>
      <c r="U1021" s="20">
        <v>2122.2199999999998</v>
      </c>
      <c r="V1021" s="20">
        <v>-178.99</v>
      </c>
      <c r="W1021" s="20">
        <v>-255.7</v>
      </c>
      <c r="X1021" s="20">
        <v>-76.709999999999994</v>
      </c>
      <c r="Y1021" s="20">
        <v>0</v>
      </c>
      <c r="Z1021" s="20">
        <v>0</v>
      </c>
      <c r="AA1021" s="20">
        <v>0</v>
      </c>
      <c r="AB1021" s="20">
        <v>2045.51</v>
      </c>
      <c r="AC1021" t="s">
        <v>188</v>
      </c>
      <c r="AD1021" t="s">
        <v>290</v>
      </c>
      <c r="AE1021" s="702">
        <f t="shared" si="75"/>
        <v>43617</v>
      </c>
      <c r="AF1021" s="289">
        <v>3581.127306017911</v>
      </c>
      <c r="AG1021">
        <f t="shared" si="76"/>
        <v>360</v>
      </c>
      <c r="AH1021" s="289">
        <f t="shared" si="77"/>
        <v>9.947575850049752</v>
      </c>
      <c r="AJ1021" s="289">
        <f t="shared" si="78"/>
        <v>42</v>
      </c>
      <c r="AK1021" s="289">
        <f t="shared" si="79"/>
        <v>417.7981857020896</v>
      </c>
    </row>
    <row r="1022" spans="1:37">
      <c r="A1022" s="703" t="s">
        <v>2264</v>
      </c>
      <c r="B1022" s="703" t="s">
        <v>1606</v>
      </c>
      <c r="C1022" s="703" t="s">
        <v>390</v>
      </c>
      <c r="D1022" s="703" t="s">
        <v>334</v>
      </c>
      <c r="E1022" s="703" t="s">
        <v>334</v>
      </c>
      <c r="F1022" s="703" t="s">
        <v>335</v>
      </c>
      <c r="G1022" s="703" t="s">
        <v>2265</v>
      </c>
      <c r="H1022" s="703" t="s">
        <v>334</v>
      </c>
      <c r="I1022" s="703" t="s">
        <v>334</v>
      </c>
      <c r="J1022" s="703" t="s">
        <v>337</v>
      </c>
      <c r="K1022" s="704">
        <v>0</v>
      </c>
      <c r="L1022" s="703" t="s">
        <v>334</v>
      </c>
      <c r="M1022" s="702">
        <v>43434</v>
      </c>
      <c r="N1022" s="702">
        <v>43703</v>
      </c>
      <c r="O1022" s="703" t="s">
        <v>338</v>
      </c>
      <c r="P1022" s="20">
        <v>3342.11</v>
      </c>
      <c r="Q1022" s="20">
        <v>0</v>
      </c>
      <c r="R1022" s="20">
        <v>0</v>
      </c>
      <c r="S1022" s="20">
        <v>0</v>
      </c>
      <c r="T1022" s="20">
        <v>3342.11</v>
      </c>
      <c r="U1022" s="20">
        <v>3082.18</v>
      </c>
      <c r="V1022" s="20">
        <v>-259.93</v>
      </c>
      <c r="W1022" s="20">
        <v>-371.33</v>
      </c>
      <c r="X1022" s="20">
        <v>-111.4</v>
      </c>
      <c r="Y1022" s="20">
        <v>0</v>
      </c>
      <c r="Z1022" s="20">
        <v>0</v>
      </c>
      <c r="AA1022" s="20">
        <v>0</v>
      </c>
      <c r="AB1022" s="20">
        <v>2970.78</v>
      </c>
      <c r="AC1022" t="s">
        <v>188</v>
      </c>
      <c r="AD1022" t="s">
        <v>290</v>
      </c>
      <c r="AE1022" s="702">
        <f t="shared" si="75"/>
        <v>43617</v>
      </c>
      <c r="AF1022" s="289">
        <v>5200.9687862974351</v>
      </c>
      <c r="AG1022">
        <f t="shared" si="76"/>
        <v>360</v>
      </c>
      <c r="AH1022" s="289">
        <f t="shared" si="77"/>
        <v>14.447135517492875</v>
      </c>
      <c r="AJ1022" s="289">
        <f t="shared" si="78"/>
        <v>42</v>
      </c>
      <c r="AK1022" s="289">
        <f t="shared" si="79"/>
        <v>606.77969173470069</v>
      </c>
    </row>
    <row r="1023" spans="1:37">
      <c r="A1023" s="703" t="s">
        <v>2266</v>
      </c>
      <c r="B1023" s="703" t="s">
        <v>1606</v>
      </c>
      <c r="C1023" s="703" t="s">
        <v>472</v>
      </c>
      <c r="D1023" s="703" t="s">
        <v>334</v>
      </c>
      <c r="E1023" s="703" t="s">
        <v>334</v>
      </c>
      <c r="F1023" s="703" t="s">
        <v>474</v>
      </c>
      <c r="G1023" s="703" t="s">
        <v>810</v>
      </c>
      <c r="H1023" s="703" t="s">
        <v>2267</v>
      </c>
      <c r="I1023" s="703" t="s">
        <v>334</v>
      </c>
      <c r="J1023" s="703" t="s">
        <v>476</v>
      </c>
      <c r="K1023" s="704">
        <v>0</v>
      </c>
      <c r="L1023" s="703" t="s">
        <v>334</v>
      </c>
      <c r="M1023" s="702"/>
      <c r="N1023" s="702">
        <v>43708</v>
      </c>
      <c r="O1023" s="703" t="s">
        <v>338</v>
      </c>
      <c r="P1023" s="20">
        <v>40572.04</v>
      </c>
      <c r="Q1023" s="20">
        <v>0</v>
      </c>
      <c r="R1023" s="20">
        <v>0</v>
      </c>
      <c r="S1023" s="20">
        <v>0</v>
      </c>
      <c r="T1023" s="20">
        <v>40572.04</v>
      </c>
      <c r="U1023" s="20">
        <v>31627.74</v>
      </c>
      <c r="V1023" s="20">
        <v>-8944.2999999999993</v>
      </c>
      <c r="W1023" s="20">
        <v>-13001.5</v>
      </c>
      <c r="X1023" s="20">
        <v>-4057.2</v>
      </c>
      <c r="Y1023" s="20">
        <v>0</v>
      </c>
      <c r="Z1023" s="20">
        <v>0</v>
      </c>
      <c r="AA1023" s="20">
        <v>0</v>
      </c>
      <c r="AB1023" s="20">
        <v>27570.54</v>
      </c>
      <c r="AC1023" t="s">
        <v>477</v>
      </c>
      <c r="AD1023" t="s">
        <v>290</v>
      </c>
      <c r="AE1023" s="702">
        <f t="shared" si="75"/>
        <v>43617</v>
      </c>
      <c r="AF1023" s="289">
        <v>63137.931916187976</v>
      </c>
      <c r="AG1023">
        <f t="shared" si="76"/>
        <v>360</v>
      </c>
      <c r="AH1023" s="289">
        <f t="shared" si="77"/>
        <v>175.38314421163327</v>
      </c>
      <c r="AJ1023" s="289">
        <f t="shared" si="78"/>
        <v>42</v>
      </c>
      <c r="AK1023" s="289">
        <f t="shared" si="79"/>
        <v>7366.0920568885967</v>
      </c>
    </row>
    <row r="1024" spans="1:37">
      <c r="A1024" s="703" t="s">
        <v>2268</v>
      </c>
      <c r="B1024" s="703" t="s">
        <v>484</v>
      </c>
      <c r="C1024" s="703" t="s">
        <v>1776</v>
      </c>
      <c r="D1024" s="703" t="s">
        <v>1777</v>
      </c>
      <c r="E1024" s="703" t="s">
        <v>334</v>
      </c>
      <c r="F1024" s="703" t="s">
        <v>487</v>
      </c>
      <c r="G1024" s="703" t="s">
        <v>2269</v>
      </c>
      <c r="H1024" s="703" t="s">
        <v>334</v>
      </c>
      <c r="I1024" s="703" t="s">
        <v>334</v>
      </c>
      <c r="J1024" s="703" t="s">
        <v>490</v>
      </c>
      <c r="K1024" s="704">
        <v>0</v>
      </c>
      <c r="L1024" s="703" t="s">
        <v>334</v>
      </c>
      <c r="M1024" s="702"/>
      <c r="N1024" s="702">
        <v>43708</v>
      </c>
      <c r="O1024" s="703" t="s">
        <v>338</v>
      </c>
      <c r="P1024" s="20">
        <v>1232558.73</v>
      </c>
      <c r="Q1024" s="20">
        <v>90908.71</v>
      </c>
      <c r="R1024" s="20">
        <v>0</v>
      </c>
      <c r="S1024" s="20">
        <v>0</v>
      </c>
      <c r="T1024" s="20">
        <v>1323467.44</v>
      </c>
      <c r="U1024" s="20">
        <v>1232558.73</v>
      </c>
      <c r="V1024" s="20">
        <v>0</v>
      </c>
      <c r="W1024" s="20">
        <v>0</v>
      </c>
      <c r="X1024" s="20">
        <v>0</v>
      </c>
      <c r="Y1024" s="20">
        <v>0</v>
      </c>
      <c r="Z1024" s="20">
        <v>0</v>
      </c>
      <c r="AA1024" s="20">
        <v>0</v>
      </c>
      <c r="AB1024" s="20">
        <v>1323467.44</v>
      </c>
      <c r="AC1024" t="s">
        <v>1779</v>
      </c>
      <c r="AD1024" t="s">
        <v>492</v>
      </c>
      <c r="AE1024" s="702">
        <f t="shared" si="75"/>
        <v>43617</v>
      </c>
      <c r="AF1024" s="289">
        <v>2059571.0030851688</v>
      </c>
      <c r="AG1024">
        <f t="shared" si="76"/>
        <v>360</v>
      </c>
      <c r="AH1024" s="289">
        <f t="shared" si="77"/>
        <v>5721.030564125469</v>
      </c>
      <c r="AJ1024" s="289">
        <f t="shared" si="78"/>
        <v>42</v>
      </c>
      <c r="AK1024" s="289">
        <f t="shared" si="79"/>
        <v>0</v>
      </c>
    </row>
    <row r="1025" spans="1:37">
      <c r="A1025" s="703" t="s">
        <v>2270</v>
      </c>
      <c r="B1025" s="703" t="s">
        <v>484</v>
      </c>
      <c r="C1025" s="703" t="s">
        <v>1776</v>
      </c>
      <c r="D1025" s="703" t="s">
        <v>333</v>
      </c>
      <c r="E1025" s="703" t="s">
        <v>334</v>
      </c>
      <c r="F1025" s="703" t="s">
        <v>487</v>
      </c>
      <c r="G1025" s="703" t="s">
        <v>2271</v>
      </c>
      <c r="H1025" s="703" t="s">
        <v>334</v>
      </c>
      <c r="I1025" s="703" t="s">
        <v>334</v>
      </c>
      <c r="J1025" s="703" t="s">
        <v>490</v>
      </c>
      <c r="K1025" s="704">
        <v>0</v>
      </c>
      <c r="L1025" s="703" t="s">
        <v>334</v>
      </c>
      <c r="M1025" s="702"/>
      <c r="N1025" s="702">
        <v>43708</v>
      </c>
      <c r="O1025" s="703" t="s">
        <v>338</v>
      </c>
      <c r="P1025" s="20">
        <v>2384415.25</v>
      </c>
      <c r="Q1025" s="20">
        <v>2079625.22</v>
      </c>
      <c r="R1025" s="20">
        <v>-2329523.61</v>
      </c>
      <c r="S1025" s="20">
        <v>0</v>
      </c>
      <c r="T1025" s="20">
        <v>2134516.86</v>
      </c>
      <c r="U1025" s="20">
        <v>2384415.25</v>
      </c>
      <c r="V1025" s="20">
        <v>0</v>
      </c>
      <c r="W1025" s="20">
        <v>0</v>
      </c>
      <c r="X1025" s="20">
        <v>0</v>
      </c>
      <c r="Y1025" s="20">
        <v>0</v>
      </c>
      <c r="Z1025" s="20">
        <v>0</v>
      </c>
      <c r="AA1025" s="20">
        <v>0</v>
      </c>
      <c r="AB1025" s="20">
        <v>2134516.86</v>
      </c>
      <c r="AC1025" t="s">
        <v>1779</v>
      </c>
      <c r="AD1025" t="s">
        <v>492</v>
      </c>
      <c r="AE1025" s="702">
        <f t="shared" si="75"/>
        <v>43617</v>
      </c>
      <c r="AF1025" s="289">
        <v>3321720.578522434</v>
      </c>
      <c r="AG1025">
        <f t="shared" si="76"/>
        <v>360</v>
      </c>
      <c r="AH1025" s="289">
        <f t="shared" si="77"/>
        <v>9227.0016070067613</v>
      </c>
      <c r="AJ1025" s="289">
        <f t="shared" si="78"/>
        <v>42</v>
      </c>
      <c r="AK1025" s="289">
        <f t="shared" si="79"/>
        <v>0</v>
      </c>
    </row>
    <row r="1026" spans="1:37">
      <c r="A1026" s="703" t="s">
        <v>2272</v>
      </c>
      <c r="B1026" s="703" t="s">
        <v>1606</v>
      </c>
      <c r="C1026" s="703" t="s">
        <v>390</v>
      </c>
      <c r="D1026" s="703" t="s">
        <v>391</v>
      </c>
      <c r="E1026" s="703" t="s">
        <v>334</v>
      </c>
      <c r="F1026" s="703" t="s">
        <v>335</v>
      </c>
      <c r="G1026" s="703" t="s">
        <v>2273</v>
      </c>
      <c r="H1026" s="703" t="s">
        <v>334</v>
      </c>
      <c r="I1026" s="703" t="s">
        <v>334</v>
      </c>
      <c r="J1026" s="703" t="s">
        <v>337</v>
      </c>
      <c r="K1026" s="704">
        <v>0</v>
      </c>
      <c r="L1026" s="703" t="s">
        <v>334</v>
      </c>
      <c r="M1026" s="702">
        <v>43496</v>
      </c>
      <c r="N1026" s="702">
        <v>43719</v>
      </c>
      <c r="O1026" s="703" t="s">
        <v>338</v>
      </c>
      <c r="P1026" s="20">
        <v>11485.12</v>
      </c>
      <c r="Q1026" s="20">
        <v>0</v>
      </c>
      <c r="R1026" s="20">
        <v>0</v>
      </c>
      <c r="S1026" s="20">
        <v>0</v>
      </c>
      <c r="T1026" s="20">
        <v>11485.12</v>
      </c>
      <c r="U1026" s="20">
        <v>10623.73</v>
      </c>
      <c r="V1026" s="20">
        <v>-861.39</v>
      </c>
      <c r="W1026" s="20">
        <v>-1244.23</v>
      </c>
      <c r="X1026" s="20">
        <v>-382.84</v>
      </c>
      <c r="Y1026" s="20">
        <v>0</v>
      </c>
      <c r="Z1026" s="20">
        <v>0</v>
      </c>
      <c r="AA1026" s="20">
        <v>0</v>
      </c>
      <c r="AB1026" s="20">
        <v>10240.89</v>
      </c>
      <c r="AC1026" t="s">
        <v>188</v>
      </c>
      <c r="AD1026" t="s">
        <v>290</v>
      </c>
      <c r="AE1026" s="702">
        <f t="shared" si="75"/>
        <v>43617</v>
      </c>
      <c r="AF1026" s="289">
        <v>17873.065406847891</v>
      </c>
      <c r="AG1026">
        <f t="shared" si="76"/>
        <v>360</v>
      </c>
      <c r="AH1026" s="289">
        <f t="shared" si="77"/>
        <v>49.647403907910807</v>
      </c>
      <c r="AJ1026" s="289">
        <f t="shared" si="78"/>
        <v>42</v>
      </c>
      <c r="AK1026" s="289">
        <f t="shared" si="79"/>
        <v>2085.1909641322541</v>
      </c>
    </row>
    <row r="1027" spans="1:37">
      <c r="A1027" s="703" t="s">
        <v>2274</v>
      </c>
      <c r="B1027" s="703" t="s">
        <v>1606</v>
      </c>
      <c r="C1027" s="703" t="s">
        <v>1570</v>
      </c>
      <c r="D1027" s="703" t="s">
        <v>1571</v>
      </c>
      <c r="E1027" s="703" t="s">
        <v>334</v>
      </c>
      <c r="F1027" s="703" t="s">
        <v>502</v>
      </c>
      <c r="G1027" s="703" t="s">
        <v>2275</v>
      </c>
      <c r="H1027" s="703" t="s">
        <v>334</v>
      </c>
      <c r="I1027" s="703" t="s">
        <v>334</v>
      </c>
      <c r="J1027" s="703" t="s">
        <v>1574</v>
      </c>
      <c r="K1027" s="704">
        <v>0</v>
      </c>
      <c r="L1027" s="703" t="s">
        <v>334</v>
      </c>
      <c r="M1027" s="702"/>
      <c r="N1027" s="702">
        <v>43738</v>
      </c>
      <c r="O1027" s="703" t="s">
        <v>338</v>
      </c>
      <c r="P1027" s="20">
        <v>163969.18</v>
      </c>
      <c r="Q1027" s="20">
        <v>0</v>
      </c>
      <c r="R1027" s="20">
        <v>0</v>
      </c>
      <c r="S1027" s="20">
        <v>0</v>
      </c>
      <c r="T1027" s="20">
        <v>163969.18</v>
      </c>
      <c r="U1027" s="20">
        <v>90183.039999999994</v>
      </c>
      <c r="V1027" s="20">
        <v>-73786.14</v>
      </c>
      <c r="W1027" s="20">
        <v>-106579.98</v>
      </c>
      <c r="X1027" s="20">
        <v>-32793.839999999997</v>
      </c>
      <c r="Y1027" s="20">
        <v>0</v>
      </c>
      <c r="Z1027" s="20">
        <v>0</v>
      </c>
      <c r="AA1027" s="20">
        <v>0</v>
      </c>
      <c r="AB1027" s="20">
        <v>57389.2</v>
      </c>
      <c r="AC1027" t="s">
        <v>1575</v>
      </c>
      <c r="AD1027" t="s">
        <v>290</v>
      </c>
      <c r="AE1027" s="702">
        <f t="shared" si="75"/>
        <v>43617</v>
      </c>
      <c r="AF1027" s="289">
        <v>255167.71952293182</v>
      </c>
      <c r="AG1027">
        <f t="shared" si="76"/>
        <v>360</v>
      </c>
      <c r="AH1027" s="289">
        <f t="shared" si="77"/>
        <v>708.7992208970328</v>
      </c>
      <c r="AJ1027" s="289">
        <f t="shared" si="78"/>
        <v>42</v>
      </c>
      <c r="AK1027" s="289">
        <f t="shared" si="79"/>
        <v>29769.567277675378</v>
      </c>
    </row>
    <row r="1028" spans="1:37">
      <c r="A1028" s="703" t="s">
        <v>2276</v>
      </c>
      <c r="B1028" s="703" t="s">
        <v>1606</v>
      </c>
      <c r="C1028" s="703" t="s">
        <v>454</v>
      </c>
      <c r="D1028" s="703" t="s">
        <v>467</v>
      </c>
      <c r="E1028" s="703" t="s">
        <v>334</v>
      </c>
      <c r="F1028" s="703" t="s">
        <v>455</v>
      </c>
      <c r="G1028" s="703" t="s">
        <v>2277</v>
      </c>
      <c r="H1028" s="703" t="s">
        <v>334</v>
      </c>
      <c r="I1028" s="703" t="s">
        <v>334</v>
      </c>
      <c r="J1028" s="703" t="s">
        <v>458</v>
      </c>
      <c r="K1028" s="704">
        <v>2</v>
      </c>
      <c r="L1028" s="703" t="s">
        <v>463</v>
      </c>
      <c r="M1028" s="702"/>
      <c r="N1028" s="702">
        <v>43738</v>
      </c>
      <c r="O1028" s="703" t="s">
        <v>338</v>
      </c>
      <c r="P1028" s="20">
        <v>25038.04</v>
      </c>
      <c r="Q1028" s="20">
        <v>0</v>
      </c>
      <c r="R1028" s="20">
        <v>0</v>
      </c>
      <c r="S1028" s="20">
        <v>0</v>
      </c>
      <c r="T1028" s="20">
        <v>25038.04</v>
      </c>
      <c r="U1028" s="20">
        <v>22221.26</v>
      </c>
      <c r="V1028" s="20">
        <v>-2816.78</v>
      </c>
      <c r="W1028" s="20">
        <v>-4068.68</v>
      </c>
      <c r="X1028" s="20">
        <v>-1251.9000000000001</v>
      </c>
      <c r="Y1028" s="20">
        <v>0</v>
      </c>
      <c r="Z1028" s="20">
        <v>0</v>
      </c>
      <c r="AA1028" s="20">
        <v>0</v>
      </c>
      <c r="AB1028" s="20">
        <v>20969.36</v>
      </c>
      <c r="AC1028" t="s">
        <v>459</v>
      </c>
      <c r="AD1028" t="s">
        <v>290</v>
      </c>
      <c r="AE1028" s="702">
        <f t="shared" si="75"/>
        <v>43617</v>
      </c>
      <c r="AF1028" s="289">
        <v>38964.027069745352</v>
      </c>
      <c r="AG1028">
        <f t="shared" si="76"/>
        <v>360</v>
      </c>
      <c r="AH1028" s="289">
        <f t="shared" si="77"/>
        <v>108.23340852707042</v>
      </c>
      <c r="AJ1028" s="289">
        <f t="shared" si="78"/>
        <v>42</v>
      </c>
      <c r="AK1028" s="289">
        <f t="shared" si="79"/>
        <v>4545.8031581369578</v>
      </c>
    </row>
    <row r="1029" spans="1:37">
      <c r="A1029" s="703" t="s">
        <v>2278</v>
      </c>
      <c r="B1029" s="703" t="s">
        <v>1606</v>
      </c>
      <c r="C1029" s="703" t="s">
        <v>454</v>
      </c>
      <c r="D1029" s="703" t="s">
        <v>467</v>
      </c>
      <c r="E1029" s="703" t="s">
        <v>334</v>
      </c>
      <c r="F1029" s="703" t="s">
        <v>455</v>
      </c>
      <c r="G1029" s="703" t="s">
        <v>2279</v>
      </c>
      <c r="H1029" s="703" t="s">
        <v>334</v>
      </c>
      <c r="I1029" s="703" t="s">
        <v>334</v>
      </c>
      <c r="J1029" s="703" t="s">
        <v>458</v>
      </c>
      <c r="K1029" s="704">
        <v>1</v>
      </c>
      <c r="L1029" s="703" t="s">
        <v>463</v>
      </c>
      <c r="M1029" s="702"/>
      <c r="N1029" s="702">
        <v>43738</v>
      </c>
      <c r="O1029" s="703" t="s">
        <v>338</v>
      </c>
      <c r="P1029" s="20">
        <v>2625.91</v>
      </c>
      <c r="Q1029" s="20">
        <v>0</v>
      </c>
      <c r="R1029" s="20">
        <v>0</v>
      </c>
      <c r="S1029" s="20">
        <v>0</v>
      </c>
      <c r="T1029" s="20">
        <v>2625.91</v>
      </c>
      <c r="U1029" s="20">
        <v>2333.6799999999998</v>
      </c>
      <c r="V1029" s="20">
        <v>-292.23</v>
      </c>
      <c r="W1029" s="20">
        <v>-423.53</v>
      </c>
      <c r="X1029" s="20">
        <v>-131.30000000000001</v>
      </c>
      <c r="Y1029" s="20">
        <v>0</v>
      </c>
      <c r="Z1029" s="20">
        <v>0</v>
      </c>
      <c r="AA1029" s="20">
        <v>0</v>
      </c>
      <c r="AB1029" s="20">
        <v>2202.38</v>
      </c>
      <c r="AC1029" t="s">
        <v>459</v>
      </c>
      <c r="AD1029" t="s">
        <v>290</v>
      </c>
      <c r="AE1029" s="702">
        <f t="shared" si="75"/>
        <v>43617</v>
      </c>
      <c r="AF1029" s="289">
        <v>4086.423231319824</v>
      </c>
      <c r="AG1029">
        <f t="shared" si="76"/>
        <v>360</v>
      </c>
      <c r="AH1029" s="289">
        <f t="shared" si="77"/>
        <v>11.351175642555067</v>
      </c>
      <c r="AJ1029" s="289">
        <f t="shared" si="78"/>
        <v>42</v>
      </c>
      <c r="AK1029" s="289">
        <f t="shared" si="79"/>
        <v>476.74937698731281</v>
      </c>
    </row>
    <row r="1030" spans="1:37">
      <c r="A1030" s="703" t="s">
        <v>1292</v>
      </c>
      <c r="B1030" s="703" t="s">
        <v>1606</v>
      </c>
      <c r="C1030" s="703" t="s">
        <v>472</v>
      </c>
      <c r="D1030" s="703" t="s">
        <v>334</v>
      </c>
      <c r="E1030" s="703" t="s">
        <v>334</v>
      </c>
      <c r="F1030" s="703" t="s">
        <v>474</v>
      </c>
      <c r="G1030" s="703" t="s">
        <v>519</v>
      </c>
      <c r="H1030" s="703" t="s">
        <v>1293</v>
      </c>
      <c r="I1030" s="703" t="s">
        <v>334</v>
      </c>
      <c r="J1030" s="703" t="s">
        <v>476</v>
      </c>
      <c r="K1030" s="704">
        <v>0</v>
      </c>
      <c r="L1030" s="703" t="s">
        <v>334</v>
      </c>
      <c r="M1030" s="702"/>
      <c r="N1030" s="702">
        <v>43738</v>
      </c>
      <c r="O1030" s="703" t="s">
        <v>338</v>
      </c>
      <c r="P1030" s="20">
        <v>2064740.47</v>
      </c>
      <c r="Q1030" s="20">
        <v>0</v>
      </c>
      <c r="R1030" s="20">
        <v>0</v>
      </c>
      <c r="S1030" s="20">
        <v>0</v>
      </c>
      <c r="T1030" s="20">
        <v>2064740.47</v>
      </c>
      <c r="U1030" s="20">
        <v>1638037.77</v>
      </c>
      <c r="V1030" s="20">
        <v>-426702.7</v>
      </c>
      <c r="W1030" s="20">
        <v>-633176.75</v>
      </c>
      <c r="X1030" s="20">
        <v>-206474.05</v>
      </c>
      <c r="Y1030" s="20">
        <v>0</v>
      </c>
      <c r="Z1030" s="20">
        <v>0</v>
      </c>
      <c r="AA1030" s="20">
        <v>0</v>
      </c>
      <c r="AB1030" s="20">
        <v>1431563.72</v>
      </c>
      <c r="AC1030" t="s">
        <v>477</v>
      </c>
      <c r="AD1030" t="s">
        <v>290</v>
      </c>
      <c r="AE1030" s="702">
        <f t="shared" si="75"/>
        <v>43617</v>
      </c>
      <c r="AF1030" s="289">
        <v>3213135.0363318669</v>
      </c>
      <c r="AG1030">
        <f t="shared" si="76"/>
        <v>360</v>
      </c>
      <c r="AH1030" s="289">
        <f t="shared" si="77"/>
        <v>8925.3751009218522</v>
      </c>
      <c r="AJ1030" s="289">
        <f t="shared" si="78"/>
        <v>42</v>
      </c>
      <c r="AK1030" s="289">
        <f t="shared" si="79"/>
        <v>374865.75423871778</v>
      </c>
    </row>
    <row r="1031" spans="1:37">
      <c r="A1031" s="703" t="s">
        <v>2280</v>
      </c>
      <c r="B1031" s="703" t="s">
        <v>484</v>
      </c>
      <c r="C1031" s="703" t="s">
        <v>1776</v>
      </c>
      <c r="D1031" s="703" t="s">
        <v>333</v>
      </c>
      <c r="E1031" s="703" t="s">
        <v>334</v>
      </c>
      <c r="F1031" s="703" t="s">
        <v>487</v>
      </c>
      <c r="G1031" s="703" t="s">
        <v>1781</v>
      </c>
      <c r="H1031" s="703" t="s">
        <v>2281</v>
      </c>
      <c r="I1031" s="703" t="s">
        <v>334</v>
      </c>
      <c r="J1031" s="703" t="s">
        <v>490</v>
      </c>
      <c r="K1031" s="704">
        <v>0</v>
      </c>
      <c r="L1031" s="703" t="s">
        <v>334</v>
      </c>
      <c r="M1031" s="702"/>
      <c r="N1031" s="702">
        <v>43738</v>
      </c>
      <c r="O1031" s="703" t="s">
        <v>338</v>
      </c>
      <c r="P1031" s="20">
        <v>46038.32</v>
      </c>
      <c r="Q1031" s="20">
        <v>0</v>
      </c>
      <c r="R1031" s="20">
        <v>0</v>
      </c>
      <c r="S1031" s="20">
        <v>0</v>
      </c>
      <c r="T1031" s="20">
        <v>46038.32</v>
      </c>
      <c r="U1031" s="20">
        <v>46038.32</v>
      </c>
      <c r="V1031" s="20">
        <v>0</v>
      </c>
      <c r="W1031" s="20">
        <v>0</v>
      </c>
      <c r="X1031" s="20">
        <v>0</v>
      </c>
      <c r="Y1031" s="20">
        <v>0</v>
      </c>
      <c r="Z1031" s="20">
        <v>0</v>
      </c>
      <c r="AA1031" s="20">
        <v>0</v>
      </c>
      <c r="AB1031" s="20">
        <v>46038.32</v>
      </c>
      <c r="AC1031" t="s">
        <v>1779</v>
      </c>
      <c r="AD1031" t="s">
        <v>492</v>
      </c>
      <c r="AE1031" s="702">
        <f t="shared" ref="AE1031:AE1094" si="80">IF(N1031&gt;=$AG$5,DATE(YEAR(N1031),6,1),DATE(YEAR(N1031),6,1))</f>
        <v>43617</v>
      </c>
      <c r="AF1031" s="289">
        <v>71644.519568049203</v>
      </c>
      <c r="AG1031">
        <f t="shared" ref="AG1031:AG1094" si="81">+IF(AD1031="intangível",20*12,IF(AD1031="Diferido",120,IF(AD1031="Não vinculados",0,IF(AE1031&lt;=$AG$5,F1031*12,360))))</f>
        <v>360</v>
      </c>
      <c r="AH1031" s="289">
        <f t="shared" ref="AH1031:AH1094" si="82">IF(AG1031=0,0,AF1031/AG1031)</f>
        <v>199.01255435569223</v>
      </c>
      <c r="AJ1031" s="289">
        <f t="shared" ref="AJ1031:AJ1094" si="83">+IF(AND(YEAR(AE1031)&gt;=2018,YEAR(AE1031)&lt;=2022),IF(DATEDIF(AE1031,$AK$4,"m")&gt;=AG1031,AG1031,DATEDIF(AE1031,$AK$4,"m")),0)</f>
        <v>42</v>
      </c>
      <c r="AK1031" s="289">
        <f t="shared" ref="AK1031:AK1094" si="84">IF(AD1031="Imobilizado",AJ1031*AH1031,0)</f>
        <v>0</v>
      </c>
    </row>
    <row r="1032" spans="1:37">
      <c r="A1032" s="703" t="s">
        <v>2282</v>
      </c>
      <c r="B1032" s="703" t="s">
        <v>1606</v>
      </c>
      <c r="C1032" s="703" t="s">
        <v>332</v>
      </c>
      <c r="D1032" s="703" t="s">
        <v>334</v>
      </c>
      <c r="E1032" s="703" t="s">
        <v>334</v>
      </c>
      <c r="F1032" s="703" t="s">
        <v>335</v>
      </c>
      <c r="G1032" s="703" t="s">
        <v>2283</v>
      </c>
      <c r="H1032" s="703" t="s">
        <v>334</v>
      </c>
      <c r="I1032" s="703" t="s">
        <v>334</v>
      </c>
      <c r="J1032" s="703" t="s">
        <v>337</v>
      </c>
      <c r="K1032" s="704">
        <v>0</v>
      </c>
      <c r="L1032" s="703" t="s">
        <v>334</v>
      </c>
      <c r="M1032" s="702">
        <v>42613</v>
      </c>
      <c r="N1032" s="702">
        <v>43746</v>
      </c>
      <c r="O1032" s="703" t="s">
        <v>338</v>
      </c>
      <c r="P1032" s="20">
        <v>7359.27</v>
      </c>
      <c r="Q1032" s="20">
        <v>0</v>
      </c>
      <c r="R1032" s="20">
        <v>0</v>
      </c>
      <c r="S1032" s="20">
        <v>0</v>
      </c>
      <c r="T1032" s="20">
        <v>7359.27</v>
      </c>
      <c r="U1032" s="20">
        <v>6827.77</v>
      </c>
      <c r="V1032" s="20">
        <v>-531.5</v>
      </c>
      <c r="W1032" s="20">
        <v>-776.81</v>
      </c>
      <c r="X1032" s="20">
        <v>-245.31</v>
      </c>
      <c r="Y1032" s="20">
        <v>0</v>
      </c>
      <c r="Z1032" s="20">
        <v>0</v>
      </c>
      <c r="AA1032" s="20">
        <v>0</v>
      </c>
      <c r="AB1032" s="20">
        <v>6582.46</v>
      </c>
      <c r="AC1032" t="s">
        <v>183</v>
      </c>
      <c r="AD1032" t="s">
        <v>290</v>
      </c>
      <c r="AE1032" s="702">
        <f t="shared" si="80"/>
        <v>43617</v>
      </c>
      <c r="AF1032" s="289">
        <v>11452.445778246416</v>
      </c>
      <c r="AG1032">
        <f t="shared" si="81"/>
        <v>360</v>
      </c>
      <c r="AH1032" s="289">
        <f t="shared" si="82"/>
        <v>31.812349384017821</v>
      </c>
      <c r="AJ1032" s="289">
        <f t="shared" si="83"/>
        <v>42</v>
      </c>
      <c r="AK1032" s="289">
        <f t="shared" si="84"/>
        <v>1336.1186741287486</v>
      </c>
    </row>
    <row r="1033" spans="1:37">
      <c r="A1033" s="703" t="s">
        <v>2284</v>
      </c>
      <c r="B1033" s="703" t="s">
        <v>1606</v>
      </c>
      <c r="C1033" s="703" t="s">
        <v>332</v>
      </c>
      <c r="D1033" s="703" t="s">
        <v>334</v>
      </c>
      <c r="E1033" s="703" t="s">
        <v>334</v>
      </c>
      <c r="F1033" s="703" t="s">
        <v>335</v>
      </c>
      <c r="G1033" s="703" t="s">
        <v>2285</v>
      </c>
      <c r="H1033" s="703" t="s">
        <v>334</v>
      </c>
      <c r="I1033" s="703" t="s">
        <v>334</v>
      </c>
      <c r="J1033" s="703" t="s">
        <v>337</v>
      </c>
      <c r="K1033" s="704">
        <v>0</v>
      </c>
      <c r="L1033" s="703" t="s">
        <v>334</v>
      </c>
      <c r="M1033" s="702">
        <v>39478</v>
      </c>
      <c r="N1033" s="702">
        <v>43746</v>
      </c>
      <c r="O1033" s="703" t="s">
        <v>338</v>
      </c>
      <c r="P1033" s="20">
        <v>39680.03</v>
      </c>
      <c r="Q1033" s="20">
        <v>0</v>
      </c>
      <c r="R1033" s="20">
        <v>0</v>
      </c>
      <c r="S1033" s="20">
        <v>0</v>
      </c>
      <c r="T1033" s="20">
        <v>39680.03</v>
      </c>
      <c r="U1033" s="20">
        <v>36814.25</v>
      </c>
      <c r="V1033" s="20">
        <v>-2865.78</v>
      </c>
      <c r="W1033" s="20">
        <v>-4188.45</v>
      </c>
      <c r="X1033" s="20">
        <v>-1322.67</v>
      </c>
      <c r="Y1033" s="20">
        <v>0</v>
      </c>
      <c r="Z1033" s="20">
        <v>0</v>
      </c>
      <c r="AA1033" s="20">
        <v>0</v>
      </c>
      <c r="AB1033" s="20">
        <v>35491.58</v>
      </c>
      <c r="AC1033" t="s">
        <v>183</v>
      </c>
      <c r="AD1033" t="s">
        <v>290</v>
      </c>
      <c r="AE1033" s="702">
        <f t="shared" si="80"/>
        <v>43617</v>
      </c>
      <c r="AF1033" s="289">
        <v>61749.792038366722</v>
      </c>
      <c r="AG1033">
        <f t="shared" si="81"/>
        <v>360</v>
      </c>
      <c r="AH1033" s="289">
        <f t="shared" si="82"/>
        <v>171.52720010657424</v>
      </c>
      <c r="AJ1033" s="289">
        <f t="shared" si="83"/>
        <v>42</v>
      </c>
      <c r="AK1033" s="289">
        <f t="shared" si="84"/>
        <v>7204.1424044761179</v>
      </c>
    </row>
    <row r="1034" spans="1:37">
      <c r="A1034" s="703" t="s">
        <v>2286</v>
      </c>
      <c r="B1034" s="703" t="s">
        <v>1606</v>
      </c>
      <c r="C1034" s="703" t="s">
        <v>332</v>
      </c>
      <c r="D1034" s="703" t="s">
        <v>334</v>
      </c>
      <c r="E1034" s="703" t="s">
        <v>334</v>
      </c>
      <c r="F1034" s="703" t="s">
        <v>335</v>
      </c>
      <c r="G1034" s="703" t="s">
        <v>2287</v>
      </c>
      <c r="H1034" s="703" t="s">
        <v>334</v>
      </c>
      <c r="I1034" s="703" t="s">
        <v>334</v>
      </c>
      <c r="J1034" s="703" t="s">
        <v>337</v>
      </c>
      <c r="K1034" s="704">
        <v>0</v>
      </c>
      <c r="L1034" s="703" t="s">
        <v>334</v>
      </c>
      <c r="M1034" s="702">
        <v>39478</v>
      </c>
      <c r="N1034" s="702">
        <v>43746</v>
      </c>
      <c r="O1034" s="703" t="s">
        <v>338</v>
      </c>
      <c r="P1034" s="20">
        <v>6890.45</v>
      </c>
      <c r="Q1034" s="20">
        <v>0</v>
      </c>
      <c r="R1034" s="20">
        <v>0</v>
      </c>
      <c r="S1034" s="20">
        <v>0</v>
      </c>
      <c r="T1034" s="20">
        <v>6890.45</v>
      </c>
      <c r="U1034" s="20">
        <v>6392.81</v>
      </c>
      <c r="V1034" s="20">
        <v>-497.64</v>
      </c>
      <c r="W1034" s="20">
        <v>-727.32</v>
      </c>
      <c r="X1034" s="20">
        <v>-229.68</v>
      </c>
      <c r="Y1034" s="20">
        <v>0</v>
      </c>
      <c r="Z1034" s="20">
        <v>0</v>
      </c>
      <c r="AA1034" s="20">
        <v>0</v>
      </c>
      <c r="AB1034" s="20">
        <v>6163.13</v>
      </c>
      <c r="AC1034" t="s">
        <v>183</v>
      </c>
      <c r="AD1034" t="s">
        <v>290</v>
      </c>
      <c r="AE1034" s="702">
        <f t="shared" si="80"/>
        <v>43617</v>
      </c>
      <c r="AF1034" s="289">
        <v>10722.871291951242</v>
      </c>
      <c r="AG1034">
        <f t="shared" si="81"/>
        <v>360</v>
      </c>
      <c r="AH1034" s="289">
        <f t="shared" si="82"/>
        <v>29.785753588753451</v>
      </c>
      <c r="AJ1034" s="289">
        <f t="shared" si="83"/>
        <v>42</v>
      </c>
      <c r="AK1034" s="289">
        <f t="shared" si="84"/>
        <v>1251.001650727645</v>
      </c>
    </row>
    <row r="1035" spans="1:37">
      <c r="A1035" s="703" t="s">
        <v>2288</v>
      </c>
      <c r="B1035" s="703" t="s">
        <v>1606</v>
      </c>
      <c r="C1035" s="703" t="s">
        <v>332</v>
      </c>
      <c r="D1035" s="703" t="s">
        <v>334</v>
      </c>
      <c r="E1035" s="703" t="s">
        <v>334</v>
      </c>
      <c r="F1035" s="703" t="s">
        <v>335</v>
      </c>
      <c r="G1035" s="703" t="s">
        <v>2289</v>
      </c>
      <c r="H1035" s="703" t="s">
        <v>334</v>
      </c>
      <c r="I1035" s="703" t="s">
        <v>334</v>
      </c>
      <c r="J1035" s="703" t="s">
        <v>337</v>
      </c>
      <c r="K1035" s="704">
        <v>0</v>
      </c>
      <c r="L1035" s="703" t="s">
        <v>334</v>
      </c>
      <c r="M1035" s="702">
        <v>39478</v>
      </c>
      <c r="N1035" s="702">
        <v>43747</v>
      </c>
      <c r="O1035" s="703" t="s">
        <v>338</v>
      </c>
      <c r="P1035" s="20">
        <v>6317.16</v>
      </c>
      <c r="Q1035" s="20">
        <v>0</v>
      </c>
      <c r="R1035" s="20">
        <v>0</v>
      </c>
      <c r="S1035" s="20">
        <v>0</v>
      </c>
      <c r="T1035" s="20">
        <v>6317.16</v>
      </c>
      <c r="U1035" s="20">
        <v>5860.92</v>
      </c>
      <c r="V1035" s="20">
        <v>-456.24</v>
      </c>
      <c r="W1035" s="20">
        <v>-666.81</v>
      </c>
      <c r="X1035" s="20">
        <v>-210.57</v>
      </c>
      <c r="Y1035" s="20">
        <v>0</v>
      </c>
      <c r="Z1035" s="20">
        <v>0</v>
      </c>
      <c r="AA1035" s="20">
        <v>0</v>
      </c>
      <c r="AB1035" s="20">
        <v>5650.35</v>
      </c>
      <c r="AC1035" t="s">
        <v>183</v>
      </c>
      <c r="AD1035" t="s">
        <v>290</v>
      </c>
      <c r="AE1035" s="702">
        <f t="shared" si="80"/>
        <v>43617</v>
      </c>
      <c r="AF1035" s="289">
        <v>9830.7213042200001</v>
      </c>
      <c r="AG1035">
        <f t="shared" si="81"/>
        <v>360</v>
      </c>
      <c r="AH1035" s="289">
        <f t="shared" si="82"/>
        <v>27.307559178388889</v>
      </c>
      <c r="AJ1035" s="289">
        <f t="shared" si="83"/>
        <v>42</v>
      </c>
      <c r="AK1035" s="289">
        <f t="shared" si="84"/>
        <v>1146.9174854923333</v>
      </c>
    </row>
    <row r="1036" spans="1:37">
      <c r="A1036" s="703" t="s">
        <v>2290</v>
      </c>
      <c r="B1036" s="703" t="s">
        <v>1606</v>
      </c>
      <c r="C1036" s="703" t="s">
        <v>332</v>
      </c>
      <c r="D1036" s="703" t="s">
        <v>334</v>
      </c>
      <c r="E1036" s="703" t="s">
        <v>334</v>
      </c>
      <c r="F1036" s="703" t="s">
        <v>335</v>
      </c>
      <c r="G1036" s="703" t="s">
        <v>2291</v>
      </c>
      <c r="H1036" s="703" t="s">
        <v>334</v>
      </c>
      <c r="I1036" s="703" t="s">
        <v>334</v>
      </c>
      <c r="J1036" s="703" t="s">
        <v>337</v>
      </c>
      <c r="K1036" s="704">
        <v>0</v>
      </c>
      <c r="L1036" s="703" t="s">
        <v>334</v>
      </c>
      <c r="M1036" s="702">
        <v>42613</v>
      </c>
      <c r="N1036" s="702">
        <v>43747</v>
      </c>
      <c r="O1036" s="703" t="s">
        <v>338</v>
      </c>
      <c r="P1036" s="20">
        <v>3012.48</v>
      </c>
      <c r="Q1036" s="20">
        <v>0</v>
      </c>
      <c r="R1036" s="20">
        <v>0</v>
      </c>
      <c r="S1036" s="20">
        <v>0</v>
      </c>
      <c r="T1036" s="20">
        <v>3012.48</v>
      </c>
      <c r="U1036" s="20">
        <v>2794.9</v>
      </c>
      <c r="V1036" s="20">
        <v>-217.58</v>
      </c>
      <c r="W1036" s="20">
        <v>-318</v>
      </c>
      <c r="X1036" s="20">
        <v>-100.42</v>
      </c>
      <c r="Y1036" s="20">
        <v>0</v>
      </c>
      <c r="Z1036" s="20">
        <v>0</v>
      </c>
      <c r="AA1036" s="20">
        <v>0</v>
      </c>
      <c r="AB1036" s="20">
        <v>2694.48</v>
      </c>
      <c r="AC1036" t="s">
        <v>183</v>
      </c>
      <c r="AD1036" t="s">
        <v>290</v>
      </c>
      <c r="AE1036" s="702">
        <f t="shared" si="80"/>
        <v>43617</v>
      </c>
      <c r="AF1036" s="289">
        <v>4688.0008286218281</v>
      </c>
      <c r="AG1036">
        <f t="shared" si="81"/>
        <v>360</v>
      </c>
      <c r="AH1036" s="289">
        <f t="shared" si="82"/>
        <v>13.022224523949522</v>
      </c>
      <c r="AJ1036" s="289">
        <f t="shared" si="83"/>
        <v>42</v>
      </c>
      <c r="AK1036" s="289">
        <f t="shared" si="84"/>
        <v>546.93343000587993</v>
      </c>
    </row>
    <row r="1037" spans="1:37">
      <c r="A1037" s="703" t="s">
        <v>2292</v>
      </c>
      <c r="B1037" s="703" t="s">
        <v>1606</v>
      </c>
      <c r="C1037" s="703" t="s">
        <v>390</v>
      </c>
      <c r="D1037" s="703" t="s">
        <v>334</v>
      </c>
      <c r="E1037" s="703" t="s">
        <v>334</v>
      </c>
      <c r="F1037" s="703" t="s">
        <v>335</v>
      </c>
      <c r="G1037" s="703" t="s">
        <v>2293</v>
      </c>
      <c r="H1037" s="703" t="s">
        <v>334</v>
      </c>
      <c r="I1037" s="703" t="s">
        <v>334</v>
      </c>
      <c r="J1037" s="703" t="s">
        <v>337</v>
      </c>
      <c r="K1037" s="704">
        <v>0</v>
      </c>
      <c r="L1037" s="703" t="s">
        <v>334</v>
      </c>
      <c r="M1037" s="702">
        <v>42886</v>
      </c>
      <c r="N1037" s="702">
        <v>43747</v>
      </c>
      <c r="O1037" s="703" t="s">
        <v>338</v>
      </c>
      <c r="P1037" s="20">
        <v>7459.98</v>
      </c>
      <c r="Q1037" s="20">
        <v>0</v>
      </c>
      <c r="R1037" s="20">
        <v>0</v>
      </c>
      <c r="S1037" s="20">
        <v>0</v>
      </c>
      <c r="T1037" s="20">
        <v>7459.98</v>
      </c>
      <c r="U1037" s="20">
        <v>6921.2</v>
      </c>
      <c r="V1037" s="20">
        <v>-538.78</v>
      </c>
      <c r="W1037" s="20">
        <v>-787.45</v>
      </c>
      <c r="X1037" s="20">
        <v>-248.67</v>
      </c>
      <c r="Y1037" s="20">
        <v>0</v>
      </c>
      <c r="Z1037" s="20">
        <v>0</v>
      </c>
      <c r="AA1037" s="20">
        <v>0</v>
      </c>
      <c r="AB1037" s="20">
        <v>6672.53</v>
      </c>
      <c r="AC1037" t="s">
        <v>188</v>
      </c>
      <c r="AD1037" t="s">
        <v>290</v>
      </c>
      <c r="AE1037" s="702">
        <f t="shared" si="80"/>
        <v>43617</v>
      </c>
      <c r="AF1037" s="289">
        <v>11609.169993328507</v>
      </c>
      <c r="AG1037">
        <f t="shared" si="81"/>
        <v>360</v>
      </c>
      <c r="AH1037" s="289">
        <f t="shared" si="82"/>
        <v>32.24769442591252</v>
      </c>
      <c r="AJ1037" s="289">
        <f t="shared" si="83"/>
        <v>42</v>
      </c>
      <c r="AK1037" s="289">
        <f t="shared" si="84"/>
        <v>1354.4031658883259</v>
      </c>
    </row>
    <row r="1038" spans="1:37">
      <c r="A1038" s="703" t="s">
        <v>1207</v>
      </c>
      <c r="B1038" s="703" t="s">
        <v>1606</v>
      </c>
      <c r="C1038" s="703" t="s">
        <v>472</v>
      </c>
      <c r="D1038" s="703" t="s">
        <v>334</v>
      </c>
      <c r="E1038" s="703" t="s">
        <v>334</v>
      </c>
      <c r="F1038" s="703" t="s">
        <v>474</v>
      </c>
      <c r="G1038" s="703" t="s">
        <v>810</v>
      </c>
      <c r="H1038" s="703" t="s">
        <v>1208</v>
      </c>
      <c r="I1038" s="703" t="s">
        <v>334</v>
      </c>
      <c r="J1038" s="703" t="s">
        <v>476</v>
      </c>
      <c r="K1038" s="704">
        <v>0</v>
      </c>
      <c r="L1038" s="703" t="s">
        <v>334</v>
      </c>
      <c r="M1038" s="702"/>
      <c r="N1038" s="702">
        <v>43769</v>
      </c>
      <c r="O1038" s="703" t="s">
        <v>338</v>
      </c>
      <c r="P1038" s="20">
        <v>57637.599999999999</v>
      </c>
      <c r="Q1038" s="20">
        <v>0</v>
      </c>
      <c r="R1038" s="20">
        <v>0</v>
      </c>
      <c r="S1038" s="20">
        <v>0</v>
      </c>
      <c r="T1038" s="20">
        <v>57637.599999999999</v>
      </c>
      <c r="U1038" s="20">
        <v>45541.120000000003</v>
      </c>
      <c r="V1038" s="20">
        <v>-12096.48</v>
      </c>
      <c r="W1038" s="20">
        <v>-17860.240000000002</v>
      </c>
      <c r="X1038" s="20">
        <v>-5763.76</v>
      </c>
      <c r="Y1038" s="20">
        <v>0</v>
      </c>
      <c r="Z1038" s="20">
        <v>0</v>
      </c>
      <c r="AA1038" s="20">
        <v>0</v>
      </c>
      <c r="AB1038" s="20">
        <v>39777.360000000001</v>
      </c>
      <c r="AC1038" t="s">
        <v>477</v>
      </c>
      <c r="AD1038" t="s">
        <v>290</v>
      </c>
      <c r="AE1038" s="702">
        <f t="shared" si="80"/>
        <v>43617</v>
      </c>
      <c r="AF1038" s="289">
        <v>89695.239988240079</v>
      </c>
      <c r="AG1038">
        <f t="shared" si="81"/>
        <v>360</v>
      </c>
      <c r="AH1038" s="289">
        <f t="shared" si="82"/>
        <v>249.153444411778</v>
      </c>
      <c r="AJ1038" s="289">
        <f t="shared" si="83"/>
        <v>42</v>
      </c>
      <c r="AK1038" s="289">
        <f t="shared" si="84"/>
        <v>10464.444665294675</v>
      </c>
    </row>
    <row r="1039" spans="1:37">
      <c r="A1039" s="703" t="s">
        <v>2294</v>
      </c>
      <c r="B1039" s="703" t="s">
        <v>484</v>
      </c>
      <c r="C1039" s="703" t="s">
        <v>2295</v>
      </c>
      <c r="D1039" s="703" t="s">
        <v>1125</v>
      </c>
      <c r="E1039" s="703" t="s">
        <v>334</v>
      </c>
      <c r="F1039" s="703" t="s">
        <v>487</v>
      </c>
      <c r="G1039" s="703" t="s">
        <v>2191</v>
      </c>
      <c r="H1039" s="703" t="s">
        <v>334</v>
      </c>
      <c r="I1039" s="703" t="s">
        <v>334</v>
      </c>
      <c r="J1039" s="703" t="s">
        <v>490</v>
      </c>
      <c r="K1039" s="704">
        <v>0</v>
      </c>
      <c r="L1039" s="703" t="s">
        <v>334</v>
      </c>
      <c r="M1039" s="702"/>
      <c r="N1039" s="702">
        <v>43769</v>
      </c>
      <c r="O1039" s="703" t="s">
        <v>338</v>
      </c>
      <c r="P1039" s="20">
        <v>192265.47</v>
      </c>
      <c r="Q1039" s="20">
        <v>124335.87</v>
      </c>
      <c r="R1039" s="20">
        <v>-196119.98</v>
      </c>
      <c r="S1039" s="20">
        <v>0</v>
      </c>
      <c r="T1039" s="20">
        <v>120481.36</v>
      </c>
      <c r="U1039" s="20">
        <v>192265.47</v>
      </c>
      <c r="V1039" s="20">
        <v>0</v>
      </c>
      <c r="W1039" s="20">
        <v>0</v>
      </c>
      <c r="X1039" s="20">
        <v>0</v>
      </c>
      <c r="Y1039" s="20">
        <v>0</v>
      </c>
      <c r="Z1039" s="20">
        <v>0</v>
      </c>
      <c r="AA1039" s="20">
        <v>0</v>
      </c>
      <c r="AB1039" s="20">
        <v>120481.36</v>
      </c>
      <c r="AC1039" t="s">
        <v>2296</v>
      </c>
      <c r="AD1039" t="s">
        <v>492</v>
      </c>
      <c r="AE1039" s="702">
        <f t="shared" si="80"/>
        <v>43617</v>
      </c>
      <c r="AF1039" s="289">
        <v>187492.27065855532</v>
      </c>
      <c r="AG1039">
        <f t="shared" si="81"/>
        <v>360</v>
      </c>
      <c r="AH1039" s="289">
        <f t="shared" si="82"/>
        <v>520.81186294043141</v>
      </c>
      <c r="AJ1039" s="289">
        <f t="shared" si="83"/>
        <v>42</v>
      </c>
      <c r="AK1039" s="289">
        <f t="shared" si="84"/>
        <v>0</v>
      </c>
    </row>
    <row r="1040" spans="1:37">
      <c r="A1040" s="703" t="s">
        <v>2297</v>
      </c>
      <c r="B1040" s="703" t="s">
        <v>484</v>
      </c>
      <c r="C1040" s="703" t="s">
        <v>2295</v>
      </c>
      <c r="D1040" s="703" t="s">
        <v>1125</v>
      </c>
      <c r="E1040" s="703" t="s">
        <v>334</v>
      </c>
      <c r="F1040" s="703" t="s">
        <v>487</v>
      </c>
      <c r="G1040" s="703" t="s">
        <v>2191</v>
      </c>
      <c r="H1040" s="703" t="s">
        <v>334</v>
      </c>
      <c r="I1040" s="703" t="s">
        <v>334</v>
      </c>
      <c r="J1040" s="703" t="s">
        <v>490</v>
      </c>
      <c r="K1040" s="704">
        <v>0</v>
      </c>
      <c r="L1040" s="703" t="s">
        <v>334</v>
      </c>
      <c r="M1040" s="702"/>
      <c r="N1040" s="702">
        <v>43769</v>
      </c>
      <c r="O1040" s="703" t="s">
        <v>338</v>
      </c>
      <c r="P1040" s="20">
        <v>323967.77</v>
      </c>
      <c r="Q1040" s="20">
        <v>89012.77</v>
      </c>
      <c r="R1040" s="20">
        <v>-323953.15999999997</v>
      </c>
      <c r="S1040" s="20">
        <v>0</v>
      </c>
      <c r="T1040" s="20">
        <v>89027.38</v>
      </c>
      <c r="U1040" s="20">
        <v>323967.77</v>
      </c>
      <c r="V1040" s="20">
        <v>0</v>
      </c>
      <c r="W1040" s="20">
        <v>0</v>
      </c>
      <c r="X1040" s="20">
        <v>0</v>
      </c>
      <c r="Y1040" s="20">
        <v>0</v>
      </c>
      <c r="Z1040" s="20">
        <v>0</v>
      </c>
      <c r="AA1040" s="20">
        <v>0</v>
      </c>
      <c r="AB1040" s="20">
        <v>89027.38</v>
      </c>
      <c r="AC1040" t="s">
        <v>2296</v>
      </c>
      <c r="AD1040" t="s">
        <v>492</v>
      </c>
      <c r="AE1040" s="702">
        <f t="shared" si="80"/>
        <v>43617</v>
      </c>
      <c r="AF1040" s="289">
        <v>138543.80152234386</v>
      </c>
      <c r="AG1040">
        <f t="shared" si="81"/>
        <v>360</v>
      </c>
      <c r="AH1040" s="289">
        <f t="shared" si="82"/>
        <v>384.8438931176218</v>
      </c>
      <c r="AJ1040" s="289">
        <f t="shared" si="83"/>
        <v>42</v>
      </c>
      <c r="AK1040" s="289">
        <f t="shared" si="84"/>
        <v>0</v>
      </c>
    </row>
    <row r="1041" spans="1:37">
      <c r="A1041" s="703" t="s">
        <v>2298</v>
      </c>
      <c r="B1041" s="703" t="s">
        <v>1606</v>
      </c>
      <c r="C1041" s="703" t="s">
        <v>332</v>
      </c>
      <c r="D1041" s="703" t="s">
        <v>334</v>
      </c>
      <c r="E1041" s="703" t="s">
        <v>334</v>
      </c>
      <c r="F1041" s="703" t="s">
        <v>335</v>
      </c>
      <c r="G1041" s="703" t="s">
        <v>2299</v>
      </c>
      <c r="H1041" s="703" t="s">
        <v>334</v>
      </c>
      <c r="I1041" s="703" t="s">
        <v>334</v>
      </c>
      <c r="J1041" s="703" t="s">
        <v>337</v>
      </c>
      <c r="K1041" s="704">
        <v>0</v>
      </c>
      <c r="L1041" s="703" t="s">
        <v>334</v>
      </c>
      <c r="M1041" s="702">
        <v>43616</v>
      </c>
      <c r="N1041" s="702">
        <v>43782</v>
      </c>
      <c r="O1041" s="703" t="s">
        <v>338</v>
      </c>
      <c r="P1041" s="20">
        <v>14400.62</v>
      </c>
      <c r="Q1041" s="20">
        <v>0</v>
      </c>
      <c r="R1041" s="20">
        <v>0</v>
      </c>
      <c r="S1041" s="20">
        <v>0</v>
      </c>
      <c r="T1041" s="20">
        <v>14400.62</v>
      </c>
      <c r="U1041" s="20">
        <v>13400.58</v>
      </c>
      <c r="V1041" s="20">
        <v>-1000.04</v>
      </c>
      <c r="W1041" s="20">
        <v>-1480.06</v>
      </c>
      <c r="X1041" s="20">
        <v>-480.02</v>
      </c>
      <c r="Y1041" s="20">
        <v>0</v>
      </c>
      <c r="Z1041" s="20">
        <v>0</v>
      </c>
      <c r="AA1041" s="20">
        <v>0</v>
      </c>
      <c r="AB1041" s="20">
        <v>12920.56</v>
      </c>
      <c r="AC1041" t="s">
        <v>183</v>
      </c>
      <c r="AD1041" t="s">
        <v>290</v>
      </c>
      <c r="AE1041" s="702">
        <f t="shared" si="80"/>
        <v>43617</v>
      </c>
      <c r="AF1041" s="289">
        <v>22410.14662094622</v>
      </c>
      <c r="AG1041">
        <f t="shared" si="81"/>
        <v>360</v>
      </c>
      <c r="AH1041" s="289">
        <f t="shared" si="82"/>
        <v>62.250407280406165</v>
      </c>
      <c r="AJ1041" s="289">
        <f t="shared" si="83"/>
        <v>42</v>
      </c>
      <c r="AK1041" s="289">
        <f t="shared" si="84"/>
        <v>2614.517105777059</v>
      </c>
    </row>
    <row r="1042" spans="1:37">
      <c r="A1042" s="703" t="s">
        <v>1204</v>
      </c>
      <c r="B1042" s="703" t="s">
        <v>1606</v>
      </c>
      <c r="C1042" s="703" t="s">
        <v>454</v>
      </c>
      <c r="D1042" s="703" t="s">
        <v>334</v>
      </c>
      <c r="E1042" s="703" t="s">
        <v>334</v>
      </c>
      <c r="F1042" s="703" t="s">
        <v>455</v>
      </c>
      <c r="G1042" s="703" t="s">
        <v>1205</v>
      </c>
      <c r="H1042" s="703" t="s">
        <v>1206</v>
      </c>
      <c r="I1042" s="703" t="s">
        <v>334</v>
      </c>
      <c r="J1042" s="703" t="s">
        <v>458</v>
      </c>
      <c r="K1042" s="704">
        <v>0</v>
      </c>
      <c r="L1042" s="703" t="s">
        <v>334</v>
      </c>
      <c r="M1042" s="702"/>
      <c r="N1042" s="702">
        <v>43799</v>
      </c>
      <c r="O1042" s="703" t="s">
        <v>338</v>
      </c>
      <c r="P1042" s="20">
        <v>1482.99</v>
      </c>
      <c r="Q1042" s="20">
        <v>0</v>
      </c>
      <c r="R1042" s="20">
        <v>0</v>
      </c>
      <c r="S1042" s="20">
        <v>0</v>
      </c>
      <c r="T1042" s="20">
        <v>1482.99</v>
      </c>
      <c r="U1042" s="20">
        <v>1329.66</v>
      </c>
      <c r="V1042" s="20">
        <v>-153.33000000000001</v>
      </c>
      <c r="W1042" s="20">
        <v>-227.48</v>
      </c>
      <c r="X1042" s="20">
        <v>-74.150000000000006</v>
      </c>
      <c r="Y1042" s="20">
        <v>0</v>
      </c>
      <c r="Z1042" s="20">
        <v>0</v>
      </c>
      <c r="AA1042" s="20">
        <v>0</v>
      </c>
      <c r="AB1042" s="20">
        <v>1255.51</v>
      </c>
      <c r="AC1042" t="s">
        <v>459</v>
      </c>
      <c r="AD1042" t="s">
        <v>290</v>
      </c>
      <c r="AE1042" s="702">
        <f t="shared" si="80"/>
        <v>43617</v>
      </c>
      <c r="AF1042" s="289">
        <v>2307.818922893392</v>
      </c>
      <c r="AG1042">
        <f t="shared" si="81"/>
        <v>360</v>
      </c>
      <c r="AH1042" s="289">
        <f t="shared" si="82"/>
        <v>6.4106081191483115</v>
      </c>
      <c r="AJ1042" s="289">
        <f t="shared" si="83"/>
        <v>42</v>
      </c>
      <c r="AK1042" s="289">
        <f t="shared" si="84"/>
        <v>269.2455410042291</v>
      </c>
    </row>
    <row r="1043" spans="1:37">
      <c r="A1043" s="703" t="s">
        <v>2300</v>
      </c>
      <c r="B1043" s="703" t="s">
        <v>484</v>
      </c>
      <c r="C1043" s="703" t="s">
        <v>1210</v>
      </c>
      <c r="D1043" s="703" t="s">
        <v>391</v>
      </c>
      <c r="E1043" s="703" t="s">
        <v>334</v>
      </c>
      <c r="F1043" s="703" t="s">
        <v>487</v>
      </c>
      <c r="G1043" s="703" t="s">
        <v>2301</v>
      </c>
      <c r="H1043" s="703" t="s">
        <v>334</v>
      </c>
      <c r="I1043" s="703" t="s">
        <v>334</v>
      </c>
      <c r="J1043" s="703" t="s">
        <v>490</v>
      </c>
      <c r="K1043" s="704">
        <v>0</v>
      </c>
      <c r="L1043" s="703" t="s">
        <v>334</v>
      </c>
      <c r="M1043" s="702"/>
      <c r="N1043" s="702">
        <v>43799</v>
      </c>
      <c r="O1043" s="703" t="s">
        <v>338</v>
      </c>
      <c r="P1043" s="20">
        <v>6416.01</v>
      </c>
      <c r="Q1043" s="20">
        <v>0</v>
      </c>
      <c r="R1043" s="20">
        <v>0</v>
      </c>
      <c r="S1043" s="20">
        <v>0</v>
      </c>
      <c r="T1043" s="20">
        <v>6416.01</v>
      </c>
      <c r="U1043" s="20">
        <v>6416.01</v>
      </c>
      <c r="V1043" s="20">
        <v>0</v>
      </c>
      <c r="W1043" s="20">
        <v>0</v>
      </c>
      <c r="X1043" s="20">
        <v>0</v>
      </c>
      <c r="Y1043" s="20">
        <v>0</v>
      </c>
      <c r="Z1043" s="20">
        <v>0</v>
      </c>
      <c r="AA1043" s="20">
        <v>0</v>
      </c>
      <c r="AB1043" s="20">
        <v>6416.01</v>
      </c>
      <c r="AC1043" t="s">
        <v>1212</v>
      </c>
      <c r="AD1043" t="s">
        <v>492</v>
      </c>
      <c r="AE1043" s="702">
        <f t="shared" si="80"/>
        <v>43617</v>
      </c>
      <c r="AF1043" s="289">
        <v>9984.5509999886926</v>
      </c>
      <c r="AG1043">
        <f t="shared" si="81"/>
        <v>360</v>
      </c>
      <c r="AH1043" s="289">
        <f t="shared" si="82"/>
        <v>27.734863888857479</v>
      </c>
      <c r="AJ1043" s="289">
        <f t="shared" si="83"/>
        <v>42</v>
      </c>
      <c r="AK1043" s="289">
        <f t="shared" si="84"/>
        <v>0</v>
      </c>
    </row>
    <row r="1044" spans="1:37">
      <c r="A1044" s="703" t="s">
        <v>2302</v>
      </c>
      <c r="B1044" s="703" t="s">
        <v>1606</v>
      </c>
      <c r="C1044" s="703" t="s">
        <v>332</v>
      </c>
      <c r="D1044" s="703" t="s">
        <v>334</v>
      </c>
      <c r="E1044" s="703" t="s">
        <v>334</v>
      </c>
      <c r="F1044" s="703" t="s">
        <v>335</v>
      </c>
      <c r="G1044" s="703" t="s">
        <v>2303</v>
      </c>
      <c r="H1044" s="703" t="s">
        <v>334</v>
      </c>
      <c r="I1044" s="703" t="s">
        <v>334</v>
      </c>
      <c r="J1044" s="703" t="s">
        <v>337</v>
      </c>
      <c r="K1044" s="704">
        <v>0</v>
      </c>
      <c r="L1044" s="703" t="s">
        <v>334</v>
      </c>
      <c r="M1044" s="702">
        <v>42613</v>
      </c>
      <c r="N1044" s="702">
        <v>43809</v>
      </c>
      <c r="O1044" s="703" t="s">
        <v>338</v>
      </c>
      <c r="P1044" s="20">
        <v>8432.81</v>
      </c>
      <c r="Q1044" s="20">
        <v>0</v>
      </c>
      <c r="R1044" s="20">
        <v>0</v>
      </c>
      <c r="S1044" s="20">
        <v>0</v>
      </c>
      <c r="T1044" s="20">
        <v>8432.81</v>
      </c>
      <c r="U1044" s="20">
        <v>7870.63</v>
      </c>
      <c r="V1044" s="20">
        <v>-562.17999999999995</v>
      </c>
      <c r="W1044" s="20">
        <v>-843.27</v>
      </c>
      <c r="X1044" s="20">
        <v>-281.08999999999997</v>
      </c>
      <c r="Y1044" s="20">
        <v>0</v>
      </c>
      <c r="Z1044" s="20">
        <v>0</v>
      </c>
      <c r="AA1044" s="20">
        <v>0</v>
      </c>
      <c r="AB1044" s="20">
        <v>7589.54</v>
      </c>
      <c r="AC1044" t="s">
        <v>183</v>
      </c>
      <c r="AD1044" t="s">
        <v>290</v>
      </c>
      <c r="AE1044" s="702">
        <f t="shared" si="80"/>
        <v>43617</v>
      </c>
      <c r="AF1044" s="289">
        <v>13123.081403896604</v>
      </c>
      <c r="AG1044">
        <f t="shared" si="81"/>
        <v>360</v>
      </c>
      <c r="AH1044" s="289">
        <f t="shared" si="82"/>
        <v>36.45300389971279</v>
      </c>
      <c r="AJ1044" s="289">
        <f t="shared" si="83"/>
        <v>42</v>
      </c>
      <c r="AK1044" s="289">
        <f t="shared" si="84"/>
        <v>1531.0261637879371</v>
      </c>
    </row>
    <row r="1045" spans="1:37">
      <c r="A1045" s="703" t="s">
        <v>2304</v>
      </c>
      <c r="B1045" s="703" t="s">
        <v>1606</v>
      </c>
      <c r="C1045" s="703" t="s">
        <v>2305</v>
      </c>
      <c r="D1045" s="703" t="s">
        <v>2306</v>
      </c>
      <c r="E1045" s="703" t="s">
        <v>334</v>
      </c>
      <c r="F1045" s="703" t="s">
        <v>474</v>
      </c>
      <c r="G1045" s="703" t="s">
        <v>2307</v>
      </c>
      <c r="H1045" s="703" t="s">
        <v>334</v>
      </c>
      <c r="I1045" s="703" t="s">
        <v>334</v>
      </c>
      <c r="J1045" s="703" t="s">
        <v>2308</v>
      </c>
      <c r="K1045" s="704">
        <v>0</v>
      </c>
      <c r="L1045" s="703" t="s">
        <v>334</v>
      </c>
      <c r="M1045" s="702"/>
      <c r="N1045" s="702">
        <v>43830</v>
      </c>
      <c r="O1045" s="703" t="s">
        <v>338</v>
      </c>
      <c r="P1045" s="20">
        <v>95009.99</v>
      </c>
      <c r="Q1045" s="20">
        <v>0</v>
      </c>
      <c r="R1045" s="20">
        <v>0</v>
      </c>
      <c r="S1045" s="20">
        <v>0</v>
      </c>
      <c r="T1045" s="20">
        <v>95009.99</v>
      </c>
      <c r="U1045" s="20">
        <v>76007.990000000005</v>
      </c>
      <c r="V1045" s="20">
        <v>-19002</v>
      </c>
      <c r="W1045" s="20">
        <v>-28503</v>
      </c>
      <c r="X1045" s="20">
        <v>-9501</v>
      </c>
      <c r="Y1045" s="20">
        <v>0</v>
      </c>
      <c r="Z1045" s="20">
        <v>0</v>
      </c>
      <c r="AA1045" s="20">
        <v>0</v>
      </c>
      <c r="AB1045" s="20">
        <v>66506.990000000005</v>
      </c>
      <c r="AC1045" t="s">
        <v>2309</v>
      </c>
      <c r="AD1045" t="s">
        <v>290</v>
      </c>
      <c r="AE1045" s="702">
        <f t="shared" si="80"/>
        <v>43617</v>
      </c>
      <c r="AF1045" s="289">
        <v>147853.89839844633</v>
      </c>
      <c r="AG1045">
        <f t="shared" si="81"/>
        <v>360</v>
      </c>
      <c r="AH1045" s="289">
        <f t="shared" si="82"/>
        <v>410.70527332901759</v>
      </c>
      <c r="AJ1045" s="289">
        <f t="shared" si="83"/>
        <v>42</v>
      </c>
      <c r="AK1045" s="289">
        <f t="shared" si="84"/>
        <v>17249.621479818739</v>
      </c>
    </row>
    <row r="1046" spans="1:37">
      <c r="A1046" s="703" t="s">
        <v>2310</v>
      </c>
      <c r="B1046" s="703" t="s">
        <v>484</v>
      </c>
      <c r="C1046" s="703" t="s">
        <v>1214</v>
      </c>
      <c r="D1046" s="703" t="s">
        <v>575</v>
      </c>
      <c r="E1046" s="703" t="s">
        <v>334</v>
      </c>
      <c r="F1046" s="703" t="s">
        <v>487</v>
      </c>
      <c r="G1046" s="703" t="s">
        <v>1559</v>
      </c>
      <c r="H1046" s="703" t="s">
        <v>334</v>
      </c>
      <c r="I1046" s="703" t="s">
        <v>334</v>
      </c>
      <c r="J1046" s="703" t="s">
        <v>1217</v>
      </c>
      <c r="K1046" s="704">
        <v>0</v>
      </c>
      <c r="L1046" s="703" t="s">
        <v>334</v>
      </c>
      <c r="M1046" s="702"/>
      <c r="N1046" s="702">
        <v>43830</v>
      </c>
      <c r="O1046" s="703" t="s">
        <v>338</v>
      </c>
      <c r="P1046" s="20">
        <v>220838.1</v>
      </c>
      <c r="Q1046" s="20">
        <v>0</v>
      </c>
      <c r="R1046" s="20">
        <v>0</v>
      </c>
      <c r="S1046" s="20">
        <v>0</v>
      </c>
      <c r="T1046" s="20">
        <v>220838.1</v>
      </c>
      <c r="U1046" s="20">
        <v>220838.1</v>
      </c>
      <c r="V1046" s="20">
        <v>0</v>
      </c>
      <c r="W1046" s="20">
        <v>0</v>
      </c>
      <c r="X1046" s="20">
        <v>0</v>
      </c>
      <c r="Y1046" s="20">
        <v>0</v>
      </c>
      <c r="Z1046" s="20">
        <v>0</v>
      </c>
      <c r="AA1046" s="20">
        <v>0</v>
      </c>
      <c r="AB1046" s="20">
        <v>220838.1</v>
      </c>
      <c r="AC1046" t="s">
        <v>1218</v>
      </c>
      <c r="AD1046" t="s">
        <v>492</v>
      </c>
      <c r="AE1046" s="702">
        <f t="shared" si="80"/>
        <v>43617</v>
      </c>
      <c r="AF1046" s="289">
        <v>343666.74493814737</v>
      </c>
      <c r="AG1046">
        <f t="shared" si="81"/>
        <v>360</v>
      </c>
      <c r="AH1046" s="289">
        <f t="shared" si="82"/>
        <v>954.62984705040935</v>
      </c>
      <c r="AJ1046" s="289">
        <f t="shared" si="83"/>
        <v>42</v>
      </c>
      <c r="AK1046" s="289">
        <f t="shared" si="84"/>
        <v>0</v>
      </c>
    </row>
    <row r="1047" spans="1:37">
      <c r="A1047" s="703" t="s">
        <v>2178</v>
      </c>
      <c r="B1047" s="703" t="s">
        <v>2311</v>
      </c>
      <c r="C1047" s="703" t="s">
        <v>332</v>
      </c>
      <c r="D1047" s="703" t="s">
        <v>334</v>
      </c>
      <c r="E1047" s="703" t="s">
        <v>334</v>
      </c>
      <c r="F1047" s="703" t="s">
        <v>335</v>
      </c>
      <c r="G1047" s="703" t="s">
        <v>2179</v>
      </c>
      <c r="H1047" s="703" t="s">
        <v>334</v>
      </c>
      <c r="I1047" s="703" t="s">
        <v>334</v>
      </c>
      <c r="J1047" s="703" t="s">
        <v>337</v>
      </c>
      <c r="K1047" s="704">
        <v>0</v>
      </c>
      <c r="L1047" s="703" t="s">
        <v>334</v>
      </c>
      <c r="M1047" s="702">
        <v>39478</v>
      </c>
      <c r="N1047" s="702">
        <v>43843</v>
      </c>
      <c r="O1047" s="703" t="s">
        <v>338</v>
      </c>
      <c r="P1047" s="20">
        <v>6237.62</v>
      </c>
      <c r="Q1047" s="20">
        <v>0</v>
      </c>
      <c r="R1047" s="20">
        <v>0</v>
      </c>
      <c r="S1047" s="20">
        <v>0</v>
      </c>
      <c r="T1047" s="20">
        <v>6237.62</v>
      </c>
      <c r="U1047" s="20">
        <v>5839.11</v>
      </c>
      <c r="V1047" s="20">
        <v>-398.51</v>
      </c>
      <c r="W1047" s="20">
        <v>-606.42999999999995</v>
      </c>
      <c r="X1047" s="20">
        <v>-207.92</v>
      </c>
      <c r="Y1047" s="20">
        <v>0</v>
      </c>
      <c r="Z1047" s="20">
        <v>0</v>
      </c>
      <c r="AA1047" s="20">
        <v>0</v>
      </c>
      <c r="AB1047" s="20">
        <v>5631.19</v>
      </c>
      <c r="AC1047" t="s">
        <v>183</v>
      </c>
      <c r="AD1047" t="s">
        <v>290</v>
      </c>
      <c r="AE1047" s="702">
        <f t="shared" si="80"/>
        <v>43983</v>
      </c>
      <c r="AF1047" s="289">
        <v>9003.8647450156222</v>
      </c>
      <c r="AG1047">
        <f t="shared" si="81"/>
        <v>360</v>
      </c>
      <c r="AH1047" s="289">
        <f t="shared" si="82"/>
        <v>25.010735402821172</v>
      </c>
      <c r="AJ1047" s="289">
        <f t="shared" si="83"/>
        <v>30</v>
      </c>
      <c r="AK1047" s="289">
        <f t="shared" si="84"/>
        <v>750.32206208463515</v>
      </c>
    </row>
    <row r="1048" spans="1:37">
      <c r="A1048" s="703" t="s">
        <v>2182</v>
      </c>
      <c r="B1048" s="703" t="s">
        <v>2311</v>
      </c>
      <c r="C1048" s="703" t="s">
        <v>332</v>
      </c>
      <c r="D1048" s="703" t="s">
        <v>334</v>
      </c>
      <c r="E1048" s="703" t="s">
        <v>334</v>
      </c>
      <c r="F1048" s="703" t="s">
        <v>335</v>
      </c>
      <c r="G1048" s="703" t="s">
        <v>2183</v>
      </c>
      <c r="H1048" s="703" t="s">
        <v>334</v>
      </c>
      <c r="I1048" s="703" t="s">
        <v>334</v>
      </c>
      <c r="J1048" s="703" t="s">
        <v>337</v>
      </c>
      <c r="K1048" s="704">
        <v>0</v>
      </c>
      <c r="L1048" s="703" t="s">
        <v>334</v>
      </c>
      <c r="M1048" s="702">
        <v>42886</v>
      </c>
      <c r="N1048" s="702">
        <v>43843</v>
      </c>
      <c r="O1048" s="703" t="s">
        <v>338</v>
      </c>
      <c r="P1048" s="20">
        <v>1783.48</v>
      </c>
      <c r="Q1048" s="20">
        <v>0</v>
      </c>
      <c r="R1048" s="20">
        <v>0</v>
      </c>
      <c r="S1048" s="20">
        <v>0</v>
      </c>
      <c r="T1048" s="20">
        <v>1783.48</v>
      </c>
      <c r="U1048" s="20">
        <v>1669.53</v>
      </c>
      <c r="V1048" s="20">
        <v>-113.95</v>
      </c>
      <c r="W1048" s="20">
        <v>-173.4</v>
      </c>
      <c r="X1048" s="20">
        <v>-59.45</v>
      </c>
      <c r="Y1048" s="20">
        <v>0</v>
      </c>
      <c r="Z1048" s="20">
        <v>0</v>
      </c>
      <c r="AA1048" s="20">
        <v>0</v>
      </c>
      <c r="AB1048" s="20">
        <v>1610.08</v>
      </c>
      <c r="AC1048" t="s">
        <v>183</v>
      </c>
      <c r="AD1048" t="s">
        <v>290</v>
      </c>
      <c r="AE1048" s="702">
        <f t="shared" si="80"/>
        <v>43983</v>
      </c>
      <c r="AF1048" s="289">
        <v>2574.4134293914126</v>
      </c>
      <c r="AG1048">
        <f t="shared" si="81"/>
        <v>360</v>
      </c>
      <c r="AH1048" s="289">
        <f t="shared" si="82"/>
        <v>7.151148414976146</v>
      </c>
      <c r="AJ1048" s="289">
        <f t="shared" si="83"/>
        <v>30</v>
      </c>
      <c r="AK1048" s="289">
        <f t="shared" si="84"/>
        <v>214.53445244928437</v>
      </c>
    </row>
    <row r="1049" spans="1:37">
      <c r="A1049" s="703" t="s">
        <v>2184</v>
      </c>
      <c r="B1049" s="703" t="s">
        <v>2311</v>
      </c>
      <c r="C1049" s="703" t="s">
        <v>332</v>
      </c>
      <c r="D1049" s="703" t="s">
        <v>334</v>
      </c>
      <c r="E1049" s="703" t="s">
        <v>334</v>
      </c>
      <c r="F1049" s="703" t="s">
        <v>335</v>
      </c>
      <c r="G1049" s="703" t="s">
        <v>2185</v>
      </c>
      <c r="H1049" s="703" t="s">
        <v>334</v>
      </c>
      <c r="I1049" s="703" t="s">
        <v>334</v>
      </c>
      <c r="J1049" s="703" t="s">
        <v>337</v>
      </c>
      <c r="K1049" s="704">
        <v>0</v>
      </c>
      <c r="L1049" s="703" t="s">
        <v>334</v>
      </c>
      <c r="M1049" s="702">
        <v>43830</v>
      </c>
      <c r="N1049" s="702">
        <v>43843</v>
      </c>
      <c r="O1049" s="703" t="s">
        <v>338</v>
      </c>
      <c r="P1049" s="20">
        <v>210296.05</v>
      </c>
      <c r="Q1049" s="20">
        <v>0</v>
      </c>
      <c r="R1049" s="20">
        <v>0</v>
      </c>
      <c r="S1049" s="20">
        <v>0</v>
      </c>
      <c r="T1049" s="20">
        <v>210296.05</v>
      </c>
      <c r="U1049" s="20">
        <v>196860.47</v>
      </c>
      <c r="V1049" s="20">
        <v>-13435.58</v>
      </c>
      <c r="W1049" s="20">
        <v>-20445.45</v>
      </c>
      <c r="X1049" s="20">
        <v>-7009.87</v>
      </c>
      <c r="Y1049" s="20">
        <v>0</v>
      </c>
      <c r="Z1049" s="20">
        <v>0</v>
      </c>
      <c r="AA1049" s="20">
        <v>0</v>
      </c>
      <c r="AB1049" s="20">
        <v>189850.6</v>
      </c>
      <c r="AC1049" t="s">
        <v>183</v>
      </c>
      <c r="AD1049" t="s">
        <v>290</v>
      </c>
      <c r="AE1049" s="702">
        <f t="shared" si="80"/>
        <v>43983</v>
      </c>
      <c r="AF1049" s="289">
        <v>303557.63746605953</v>
      </c>
      <c r="AG1049">
        <f t="shared" si="81"/>
        <v>360</v>
      </c>
      <c r="AH1049" s="289">
        <f t="shared" si="82"/>
        <v>843.21565962794318</v>
      </c>
      <c r="AJ1049" s="289">
        <f t="shared" si="83"/>
        <v>30</v>
      </c>
      <c r="AK1049" s="289">
        <f t="shared" si="84"/>
        <v>25296.469788838294</v>
      </c>
    </row>
    <row r="1050" spans="1:37">
      <c r="A1050" s="703" t="s">
        <v>2312</v>
      </c>
      <c r="B1050" s="703" t="s">
        <v>2311</v>
      </c>
      <c r="C1050" s="703" t="s">
        <v>332</v>
      </c>
      <c r="D1050" s="703" t="s">
        <v>334</v>
      </c>
      <c r="E1050" s="703" t="s">
        <v>334</v>
      </c>
      <c r="F1050" s="703" t="s">
        <v>335</v>
      </c>
      <c r="G1050" s="703" t="s">
        <v>2303</v>
      </c>
      <c r="H1050" s="703" t="s">
        <v>334</v>
      </c>
      <c r="I1050" s="703" t="s">
        <v>334</v>
      </c>
      <c r="J1050" s="703" t="s">
        <v>337</v>
      </c>
      <c r="K1050" s="704">
        <v>0</v>
      </c>
      <c r="L1050" s="703" t="s">
        <v>334</v>
      </c>
      <c r="M1050" s="702">
        <v>42613</v>
      </c>
      <c r="N1050" s="702">
        <v>43843</v>
      </c>
      <c r="O1050" s="703" t="s">
        <v>338</v>
      </c>
      <c r="P1050" s="20">
        <v>182.98</v>
      </c>
      <c r="Q1050" s="20">
        <v>0</v>
      </c>
      <c r="R1050" s="20">
        <v>0</v>
      </c>
      <c r="S1050" s="20">
        <v>0</v>
      </c>
      <c r="T1050" s="20">
        <v>182.98</v>
      </c>
      <c r="U1050" s="20">
        <v>171.29</v>
      </c>
      <c r="V1050" s="20">
        <v>-11.69</v>
      </c>
      <c r="W1050" s="20">
        <v>-17.79</v>
      </c>
      <c r="X1050" s="20">
        <v>-6.1</v>
      </c>
      <c r="Y1050" s="20">
        <v>0</v>
      </c>
      <c r="Z1050" s="20">
        <v>0</v>
      </c>
      <c r="AA1050" s="20">
        <v>0</v>
      </c>
      <c r="AB1050" s="20">
        <v>165.19</v>
      </c>
      <c r="AC1050" t="s">
        <v>183</v>
      </c>
      <c r="AD1050" t="s">
        <v>290</v>
      </c>
      <c r="AE1050" s="702">
        <f t="shared" si="80"/>
        <v>43983</v>
      </c>
      <c r="AF1050" s="289">
        <v>264.12753118063597</v>
      </c>
      <c r="AG1050">
        <f t="shared" si="81"/>
        <v>360</v>
      </c>
      <c r="AH1050" s="289">
        <f t="shared" si="82"/>
        <v>0.7336875866128777</v>
      </c>
      <c r="AJ1050" s="289">
        <f t="shared" si="83"/>
        <v>30</v>
      </c>
      <c r="AK1050" s="289">
        <f t="shared" si="84"/>
        <v>22.010627598386332</v>
      </c>
    </row>
    <row r="1051" spans="1:37">
      <c r="A1051" s="703" t="s">
        <v>2186</v>
      </c>
      <c r="B1051" s="703" t="s">
        <v>2311</v>
      </c>
      <c r="C1051" s="703" t="s">
        <v>390</v>
      </c>
      <c r="D1051" s="703" t="s">
        <v>334</v>
      </c>
      <c r="E1051" s="703" t="s">
        <v>334</v>
      </c>
      <c r="F1051" s="703" t="s">
        <v>335</v>
      </c>
      <c r="G1051" s="703" t="s">
        <v>2187</v>
      </c>
      <c r="H1051" s="703" t="s">
        <v>334</v>
      </c>
      <c r="I1051" s="703" t="s">
        <v>334</v>
      </c>
      <c r="J1051" s="703" t="s">
        <v>337</v>
      </c>
      <c r="K1051" s="704">
        <v>0</v>
      </c>
      <c r="L1051" s="703" t="s">
        <v>334</v>
      </c>
      <c r="M1051" s="702">
        <v>42886</v>
      </c>
      <c r="N1051" s="702">
        <v>43843</v>
      </c>
      <c r="O1051" s="703" t="s">
        <v>338</v>
      </c>
      <c r="P1051" s="20">
        <v>4540.8</v>
      </c>
      <c r="Q1051" s="20">
        <v>0</v>
      </c>
      <c r="R1051" s="20">
        <v>0</v>
      </c>
      <c r="S1051" s="20">
        <v>0</v>
      </c>
      <c r="T1051" s="20">
        <v>4540.8</v>
      </c>
      <c r="U1051" s="20">
        <v>4250.6899999999996</v>
      </c>
      <c r="V1051" s="20">
        <v>-290.11</v>
      </c>
      <c r="W1051" s="20">
        <v>-441.47</v>
      </c>
      <c r="X1051" s="20">
        <v>-151.36000000000001</v>
      </c>
      <c r="Y1051" s="20">
        <v>0</v>
      </c>
      <c r="Z1051" s="20">
        <v>0</v>
      </c>
      <c r="AA1051" s="20">
        <v>0</v>
      </c>
      <c r="AB1051" s="20">
        <v>4099.33</v>
      </c>
      <c r="AC1051" t="s">
        <v>188</v>
      </c>
      <c r="AD1051" t="s">
        <v>290</v>
      </c>
      <c r="AE1051" s="702">
        <f t="shared" si="80"/>
        <v>43983</v>
      </c>
      <c r="AF1051" s="289">
        <v>6554.5430844083066</v>
      </c>
      <c r="AG1051">
        <f t="shared" si="81"/>
        <v>360</v>
      </c>
      <c r="AH1051" s="289">
        <f t="shared" si="82"/>
        <v>18.207064123356407</v>
      </c>
      <c r="AJ1051" s="289">
        <f t="shared" si="83"/>
        <v>30</v>
      </c>
      <c r="AK1051" s="289">
        <f t="shared" si="84"/>
        <v>546.21192370069218</v>
      </c>
    </row>
    <row r="1052" spans="1:37">
      <c r="A1052" s="703" t="s">
        <v>2188</v>
      </c>
      <c r="B1052" s="703" t="s">
        <v>2311</v>
      </c>
      <c r="C1052" s="703" t="s">
        <v>390</v>
      </c>
      <c r="D1052" s="703" t="s">
        <v>334</v>
      </c>
      <c r="E1052" s="703" t="s">
        <v>334</v>
      </c>
      <c r="F1052" s="703" t="s">
        <v>335</v>
      </c>
      <c r="G1052" s="703" t="s">
        <v>1211</v>
      </c>
      <c r="H1052" s="703" t="s">
        <v>334</v>
      </c>
      <c r="I1052" s="703" t="s">
        <v>334</v>
      </c>
      <c r="J1052" s="703" t="s">
        <v>337</v>
      </c>
      <c r="K1052" s="704">
        <v>0</v>
      </c>
      <c r="L1052" s="703" t="s">
        <v>334</v>
      </c>
      <c r="M1052" s="702">
        <v>43251</v>
      </c>
      <c r="N1052" s="702">
        <v>43843</v>
      </c>
      <c r="O1052" s="703" t="s">
        <v>338</v>
      </c>
      <c r="P1052" s="20">
        <v>13059.51</v>
      </c>
      <c r="Q1052" s="20">
        <v>0</v>
      </c>
      <c r="R1052" s="20">
        <v>0</v>
      </c>
      <c r="S1052" s="20">
        <v>0</v>
      </c>
      <c r="T1052" s="20">
        <v>13059.51</v>
      </c>
      <c r="U1052" s="20">
        <v>12225.15</v>
      </c>
      <c r="V1052" s="20">
        <v>-834.36</v>
      </c>
      <c r="W1052" s="20">
        <v>-1269.68</v>
      </c>
      <c r="X1052" s="20">
        <v>-435.32</v>
      </c>
      <c r="Y1052" s="20">
        <v>0</v>
      </c>
      <c r="Z1052" s="20">
        <v>0</v>
      </c>
      <c r="AA1052" s="20">
        <v>0</v>
      </c>
      <c r="AB1052" s="20">
        <v>11789.83</v>
      </c>
      <c r="AC1052" t="s">
        <v>188</v>
      </c>
      <c r="AD1052" t="s">
        <v>290</v>
      </c>
      <c r="AE1052" s="702">
        <f t="shared" si="80"/>
        <v>43983</v>
      </c>
      <c r="AF1052" s="289">
        <v>18851.110147168147</v>
      </c>
      <c r="AG1052">
        <f t="shared" si="81"/>
        <v>360</v>
      </c>
      <c r="AH1052" s="289">
        <f t="shared" si="82"/>
        <v>52.364194853244854</v>
      </c>
      <c r="AJ1052" s="289">
        <f t="shared" si="83"/>
        <v>30</v>
      </c>
      <c r="AK1052" s="289">
        <f t="shared" si="84"/>
        <v>1570.9258455973456</v>
      </c>
    </row>
    <row r="1053" spans="1:37">
      <c r="A1053" s="703" t="s">
        <v>2189</v>
      </c>
      <c r="B1053" s="703" t="s">
        <v>2311</v>
      </c>
      <c r="C1053" s="703" t="s">
        <v>574</v>
      </c>
      <c r="D1053" s="703" t="s">
        <v>334</v>
      </c>
      <c r="E1053" s="703" t="s">
        <v>334</v>
      </c>
      <c r="F1053" s="703" t="s">
        <v>335</v>
      </c>
      <c r="G1053" s="703" t="s">
        <v>1785</v>
      </c>
      <c r="H1053" s="703" t="s">
        <v>1786</v>
      </c>
      <c r="I1053" s="703" t="s">
        <v>334</v>
      </c>
      <c r="J1053" s="703" t="s">
        <v>577</v>
      </c>
      <c r="K1053" s="704">
        <v>0</v>
      </c>
      <c r="L1053" s="703" t="s">
        <v>334</v>
      </c>
      <c r="M1053" s="702">
        <v>43496</v>
      </c>
      <c r="N1053" s="702">
        <v>43843</v>
      </c>
      <c r="O1053" s="703" t="s">
        <v>338</v>
      </c>
      <c r="P1053" s="20">
        <v>9124.1</v>
      </c>
      <c r="Q1053" s="20">
        <v>0</v>
      </c>
      <c r="R1053" s="20">
        <v>0</v>
      </c>
      <c r="S1053" s="20">
        <v>0</v>
      </c>
      <c r="T1053" s="20">
        <v>9124.1</v>
      </c>
      <c r="U1053" s="20">
        <v>8541.17</v>
      </c>
      <c r="V1053" s="20">
        <v>-582.92999999999995</v>
      </c>
      <c r="W1053" s="20">
        <v>-887.07</v>
      </c>
      <c r="X1053" s="20">
        <v>-304.14</v>
      </c>
      <c r="Y1053" s="20">
        <v>0</v>
      </c>
      <c r="Z1053" s="20">
        <v>0</v>
      </c>
      <c r="AA1053" s="20">
        <v>0</v>
      </c>
      <c r="AB1053" s="20">
        <v>8237.0300000000007</v>
      </c>
      <c r="AC1053" t="s">
        <v>578</v>
      </c>
      <c r="AD1053" t="s">
        <v>290</v>
      </c>
      <c r="AE1053" s="702">
        <f t="shared" si="80"/>
        <v>43983</v>
      </c>
      <c r="AF1053" s="289">
        <v>13170.433966800967</v>
      </c>
      <c r="AG1053">
        <f t="shared" si="81"/>
        <v>360</v>
      </c>
      <c r="AH1053" s="289">
        <f t="shared" si="82"/>
        <v>36.584538796669349</v>
      </c>
      <c r="AJ1053" s="289">
        <f t="shared" si="83"/>
        <v>30</v>
      </c>
      <c r="AK1053" s="289">
        <f t="shared" si="84"/>
        <v>1097.5361639000805</v>
      </c>
    </row>
    <row r="1054" spans="1:37">
      <c r="A1054" s="703" t="s">
        <v>2180</v>
      </c>
      <c r="B1054" s="703" t="s">
        <v>2311</v>
      </c>
      <c r="C1054" s="703" t="s">
        <v>586</v>
      </c>
      <c r="D1054" s="703" t="s">
        <v>334</v>
      </c>
      <c r="E1054" s="703" t="s">
        <v>334</v>
      </c>
      <c r="F1054" s="703" t="s">
        <v>335</v>
      </c>
      <c r="G1054" s="703" t="s">
        <v>2181</v>
      </c>
      <c r="H1054" s="703" t="s">
        <v>334</v>
      </c>
      <c r="I1054" s="703" t="s">
        <v>334</v>
      </c>
      <c r="J1054" s="703" t="s">
        <v>337</v>
      </c>
      <c r="K1054" s="704">
        <v>0</v>
      </c>
      <c r="L1054" s="703" t="s">
        <v>334</v>
      </c>
      <c r="M1054" s="702">
        <v>43616</v>
      </c>
      <c r="N1054" s="702">
        <v>43843</v>
      </c>
      <c r="O1054" s="703" t="s">
        <v>338</v>
      </c>
      <c r="P1054" s="20">
        <v>36375.99</v>
      </c>
      <c r="Q1054" s="20">
        <v>0</v>
      </c>
      <c r="R1054" s="20">
        <v>0</v>
      </c>
      <c r="S1054" s="20">
        <v>0</v>
      </c>
      <c r="T1054" s="20">
        <v>36375.99</v>
      </c>
      <c r="U1054" s="20">
        <v>34051.97</v>
      </c>
      <c r="V1054" s="20">
        <v>-2324.02</v>
      </c>
      <c r="W1054" s="20">
        <v>-3536.55</v>
      </c>
      <c r="X1054" s="20">
        <v>-1212.53</v>
      </c>
      <c r="Y1054" s="20">
        <v>0</v>
      </c>
      <c r="Z1054" s="20">
        <v>0</v>
      </c>
      <c r="AA1054" s="20">
        <v>0</v>
      </c>
      <c r="AB1054" s="20">
        <v>32839.440000000002</v>
      </c>
      <c r="AC1054" t="s">
        <v>589</v>
      </c>
      <c r="AD1054" t="s">
        <v>290</v>
      </c>
      <c r="AE1054" s="702">
        <f t="shared" si="80"/>
        <v>43983</v>
      </c>
      <c r="AF1054" s="289">
        <v>52507.926729432191</v>
      </c>
      <c r="AG1054">
        <f t="shared" si="81"/>
        <v>360</v>
      </c>
      <c r="AH1054" s="289">
        <f t="shared" si="82"/>
        <v>145.85535202620053</v>
      </c>
      <c r="AJ1054" s="289">
        <f t="shared" si="83"/>
        <v>30</v>
      </c>
      <c r="AK1054" s="289">
        <f t="shared" si="84"/>
        <v>4375.6605607860165</v>
      </c>
    </row>
    <row r="1055" spans="1:37">
      <c r="A1055" s="703" t="s">
        <v>2313</v>
      </c>
      <c r="B1055" s="703" t="s">
        <v>2311</v>
      </c>
      <c r="C1055" s="703" t="s">
        <v>586</v>
      </c>
      <c r="D1055" s="703" t="s">
        <v>334</v>
      </c>
      <c r="E1055" s="703" t="s">
        <v>334</v>
      </c>
      <c r="F1055" s="703" t="s">
        <v>335</v>
      </c>
      <c r="G1055" s="703" t="s">
        <v>2314</v>
      </c>
      <c r="H1055" s="703" t="s">
        <v>334</v>
      </c>
      <c r="I1055" s="703" t="s">
        <v>334</v>
      </c>
      <c r="J1055" s="703" t="s">
        <v>337</v>
      </c>
      <c r="K1055" s="704">
        <v>0</v>
      </c>
      <c r="L1055" s="703" t="s">
        <v>334</v>
      </c>
      <c r="M1055" s="702">
        <v>43616</v>
      </c>
      <c r="N1055" s="702">
        <v>43843</v>
      </c>
      <c r="O1055" s="703" t="s">
        <v>338</v>
      </c>
      <c r="P1055" s="20">
        <v>47116.93</v>
      </c>
      <c r="Q1055" s="20">
        <v>0</v>
      </c>
      <c r="R1055" s="20">
        <v>0</v>
      </c>
      <c r="S1055" s="20">
        <v>0</v>
      </c>
      <c r="T1055" s="20">
        <v>47116.93</v>
      </c>
      <c r="U1055" s="20">
        <v>44106.69</v>
      </c>
      <c r="V1055" s="20">
        <v>-3010.24</v>
      </c>
      <c r="W1055" s="20">
        <v>-4580.8</v>
      </c>
      <c r="X1055" s="20">
        <v>-1570.56</v>
      </c>
      <c r="Y1055" s="20">
        <v>0</v>
      </c>
      <c r="Z1055" s="20">
        <v>0</v>
      </c>
      <c r="AA1055" s="20">
        <v>0</v>
      </c>
      <c r="AB1055" s="20">
        <v>42536.13</v>
      </c>
      <c r="AC1055" t="s">
        <v>589</v>
      </c>
      <c r="AD1055" t="s">
        <v>290</v>
      </c>
      <c r="AE1055" s="702">
        <f t="shared" si="80"/>
        <v>43983</v>
      </c>
      <c r="AF1055" s="289">
        <v>68012.233018421917</v>
      </c>
      <c r="AG1055">
        <f t="shared" si="81"/>
        <v>360</v>
      </c>
      <c r="AH1055" s="289">
        <f t="shared" si="82"/>
        <v>188.92286949561642</v>
      </c>
      <c r="AJ1055" s="289">
        <f t="shared" si="83"/>
        <v>30</v>
      </c>
      <c r="AK1055" s="289">
        <f t="shared" si="84"/>
        <v>5667.6860848684928</v>
      </c>
    </row>
    <row r="1056" spans="1:37">
      <c r="A1056" s="703" t="s">
        <v>2190</v>
      </c>
      <c r="B1056" s="703" t="s">
        <v>2311</v>
      </c>
      <c r="C1056" s="703" t="s">
        <v>1124</v>
      </c>
      <c r="D1056" s="703" t="s">
        <v>334</v>
      </c>
      <c r="E1056" s="703" t="s">
        <v>334</v>
      </c>
      <c r="F1056" s="703" t="s">
        <v>335</v>
      </c>
      <c r="G1056" s="703" t="s">
        <v>2191</v>
      </c>
      <c r="H1056" s="703" t="s">
        <v>334</v>
      </c>
      <c r="I1056" s="703" t="s">
        <v>334</v>
      </c>
      <c r="J1056" s="703" t="s">
        <v>337</v>
      </c>
      <c r="K1056" s="704">
        <v>0</v>
      </c>
      <c r="L1056" s="703" t="s">
        <v>334</v>
      </c>
      <c r="M1056" s="702">
        <v>43769</v>
      </c>
      <c r="N1056" s="702">
        <v>43843</v>
      </c>
      <c r="O1056" s="703" t="s">
        <v>338</v>
      </c>
      <c r="P1056" s="20">
        <v>57736.13</v>
      </c>
      <c r="Q1056" s="20">
        <v>0</v>
      </c>
      <c r="R1056" s="20">
        <v>0</v>
      </c>
      <c r="S1056" s="20">
        <v>0</v>
      </c>
      <c r="T1056" s="20">
        <v>57736.13</v>
      </c>
      <c r="U1056" s="20">
        <v>54047.43</v>
      </c>
      <c r="V1056" s="20">
        <v>-3688.7</v>
      </c>
      <c r="W1056" s="20">
        <v>-5613.24</v>
      </c>
      <c r="X1056" s="20">
        <v>-1924.54</v>
      </c>
      <c r="Y1056" s="20">
        <v>0</v>
      </c>
      <c r="Z1056" s="20">
        <v>0</v>
      </c>
      <c r="AA1056" s="20">
        <v>0</v>
      </c>
      <c r="AB1056" s="20">
        <v>52122.89</v>
      </c>
      <c r="AC1056" t="s">
        <v>1127</v>
      </c>
      <c r="AD1056" t="s">
        <v>290</v>
      </c>
      <c r="AE1056" s="702">
        <f t="shared" si="80"/>
        <v>43983</v>
      </c>
      <c r="AF1056" s="289">
        <v>83340.810344432452</v>
      </c>
      <c r="AG1056">
        <f t="shared" si="81"/>
        <v>360</v>
      </c>
      <c r="AH1056" s="289">
        <f t="shared" si="82"/>
        <v>231.5022509567568</v>
      </c>
      <c r="AJ1056" s="289">
        <f t="shared" si="83"/>
        <v>30</v>
      </c>
      <c r="AK1056" s="289">
        <f t="shared" si="84"/>
        <v>6945.0675287027043</v>
      </c>
    </row>
    <row r="1057" spans="1:37">
      <c r="A1057" s="703" t="s">
        <v>2286</v>
      </c>
      <c r="B1057" s="703" t="s">
        <v>2311</v>
      </c>
      <c r="C1057" s="703" t="s">
        <v>332</v>
      </c>
      <c r="D1057" s="703" t="s">
        <v>334</v>
      </c>
      <c r="E1057" s="703" t="s">
        <v>334</v>
      </c>
      <c r="F1057" s="703" t="s">
        <v>335</v>
      </c>
      <c r="G1057" s="703" t="s">
        <v>2287</v>
      </c>
      <c r="H1057" s="703" t="s">
        <v>334</v>
      </c>
      <c r="I1057" s="703" t="s">
        <v>334</v>
      </c>
      <c r="J1057" s="703" t="s">
        <v>337</v>
      </c>
      <c r="K1057" s="704">
        <v>0</v>
      </c>
      <c r="L1057" s="703" t="s">
        <v>334</v>
      </c>
      <c r="M1057" s="702">
        <v>39478</v>
      </c>
      <c r="N1057" s="702">
        <v>43857</v>
      </c>
      <c r="O1057" s="703" t="s">
        <v>338</v>
      </c>
      <c r="P1057" s="20">
        <v>85556.7</v>
      </c>
      <c r="Q1057" s="20">
        <v>0</v>
      </c>
      <c r="R1057" s="20">
        <v>0</v>
      </c>
      <c r="S1057" s="20">
        <v>0</v>
      </c>
      <c r="T1057" s="20">
        <v>85556.7</v>
      </c>
      <c r="U1057" s="20">
        <v>80559.3</v>
      </c>
      <c r="V1057" s="20">
        <v>-4997.3999999999996</v>
      </c>
      <c r="W1057" s="20">
        <v>-7849.29</v>
      </c>
      <c r="X1057" s="20">
        <v>-2851.89</v>
      </c>
      <c r="Y1057" s="20">
        <v>0</v>
      </c>
      <c r="Z1057" s="20">
        <v>0</v>
      </c>
      <c r="AA1057" s="20">
        <v>0</v>
      </c>
      <c r="AB1057" s="20">
        <v>77707.41</v>
      </c>
      <c r="AC1057" t="s">
        <v>183</v>
      </c>
      <c r="AD1057" t="s">
        <v>290</v>
      </c>
      <c r="AE1057" s="702">
        <f t="shared" si="80"/>
        <v>43983</v>
      </c>
      <c r="AF1057" s="289">
        <v>123499.17994842233</v>
      </c>
      <c r="AG1057">
        <f t="shared" si="81"/>
        <v>360</v>
      </c>
      <c r="AH1057" s="289">
        <f t="shared" si="82"/>
        <v>343.05327763450646</v>
      </c>
      <c r="AJ1057" s="289">
        <f t="shared" si="83"/>
        <v>30</v>
      </c>
      <c r="AK1057" s="289">
        <f t="shared" si="84"/>
        <v>10291.598329035194</v>
      </c>
    </row>
    <row r="1058" spans="1:37">
      <c r="A1058" s="703" t="s">
        <v>2315</v>
      </c>
      <c r="B1058" s="703" t="s">
        <v>2311</v>
      </c>
      <c r="C1058" s="703" t="s">
        <v>332</v>
      </c>
      <c r="D1058" s="703" t="s">
        <v>334</v>
      </c>
      <c r="E1058" s="703" t="s">
        <v>334</v>
      </c>
      <c r="F1058" s="703" t="s">
        <v>335</v>
      </c>
      <c r="G1058" s="703" t="s">
        <v>2316</v>
      </c>
      <c r="H1058" s="703" t="s">
        <v>334</v>
      </c>
      <c r="I1058" s="703" t="s">
        <v>334</v>
      </c>
      <c r="J1058" s="703" t="s">
        <v>337</v>
      </c>
      <c r="K1058" s="704">
        <v>0</v>
      </c>
      <c r="L1058" s="703" t="s">
        <v>334</v>
      </c>
      <c r="M1058" s="702">
        <v>42613</v>
      </c>
      <c r="N1058" s="702">
        <v>43857</v>
      </c>
      <c r="O1058" s="703" t="s">
        <v>338</v>
      </c>
      <c r="P1058" s="20">
        <v>639568.64000000001</v>
      </c>
      <c r="Q1058" s="20">
        <v>0</v>
      </c>
      <c r="R1058" s="20">
        <v>0</v>
      </c>
      <c r="S1058" s="20">
        <v>0</v>
      </c>
      <c r="T1058" s="20">
        <v>639568.64000000001</v>
      </c>
      <c r="U1058" s="20">
        <v>598707.31000000006</v>
      </c>
      <c r="V1058" s="20">
        <v>-40861.33</v>
      </c>
      <c r="W1058" s="20">
        <v>-62180.28</v>
      </c>
      <c r="X1058" s="20">
        <v>-21318.95</v>
      </c>
      <c r="Y1058" s="20">
        <v>0</v>
      </c>
      <c r="Z1058" s="20">
        <v>0</v>
      </c>
      <c r="AA1058" s="20">
        <v>0</v>
      </c>
      <c r="AB1058" s="20">
        <v>577388.36</v>
      </c>
      <c r="AC1058" t="s">
        <v>183</v>
      </c>
      <c r="AD1058" t="s">
        <v>290</v>
      </c>
      <c r="AE1058" s="702">
        <f t="shared" si="80"/>
        <v>43983</v>
      </c>
      <c r="AF1058" s="289">
        <v>923203.00526700704</v>
      </c>
      <c r="AG1058">
        <f t="shared" si="81"/>
        <v>360</v>
      </c>
      <c r="AH1058" s="289">
        <f t="shared" si="82"/>
        <v>2564.4527924083527</v>
      </c>
      <c r="AJ1058" s="289">
        <f t="shared" si="83"/>
        <v>30</v>
      </c>
      <c r="AK1058" s="289">
        <f t="shared" si="84"/>
        <v>76933.583772250582</v>
      </c>
    </row>
    <row r="1059" spans="1:37">
      <c r="A1059" s="703" t="s">
        <v>2317</v>
      </c>
      <c r="B1059" s="703" t="s">
        <v>2311</v>
      </c>
      <c r="C1059" s="703" t="s">
        <v>332</v>
      </c>
      <c r="D1059" s="703" t="s">
        <v>334</v>
      </c>
      <c r="E1059" s="703" t="s">
        <v>334</v>
      </c>
      <c r="F1059" s="703" t="s">
        <v>335</v>
      </c>
      <c r="G1059" s="703" t="s">
        <v>2318</v>
      </c>
      <c r="H1059" s="703" t="s">
        <v>334</v>
      </c>
      <c r="I1059" s="703" t="s">
        <v>334</v>
      </c>
      <c r="J1059" s="703" t="s">
        <v>337</v>
      </c>
      <c r="K1059" s="704">
        <v>0</v>
      </c>
      <c r="L1059" s="703" t="s">
        <v>334</v>
      </c>
      <c r="M1059" s="702">
        <v>39478</v>
      </c>
      <c r="N1059" s="702">
        <v>43857</v>
      </c>
      <c r="O1059" s="703" t="s">
        <v>338</v>
      </c>
      <c r="P1059" s="20">
        <v>11006.95</v>
      </c>
      <c r="Q1059" s="20">
        <v>0</v>
      </c>
      <c r="R1059" s="20">
        <v>0</v>
      </c>
      <c r="S1059" s="20">
        <v>0</v>
      </c>
      <c r="T1059" s="20">
        <v>11006.95</v>
      </c>
      <c r="U1059" s="20">
        <v>10614.33</v>
      </c>
      <c r="V1059" s="20">
        <v>-392.62</v>
      </c>
      <c r="W1059" s="20">
        <v>-759.52</v>
      </c>
      <c r="X1059" s="20">
        <v>-366.9</v>
      </c>
      <c r="Y1059" s="20">
        <v>0</v>
      </c>
      <c r="Z1059" s="20">
        <v>0</v>
      </c>
      <c r="AA1059" s="20">
        <v>0</v>
      </c>
      <c r="AB1059" s="20">
        <v>10247.43</v>
      </c>
      <c r="AC1059" t="s">
        <v>183</v>
      </c>
      <c r="AD1059" t="s">
        <v>290</v>
      </c>
      <c r="AE1059" s="702">
        <f t="shared" si="80"/>
        <v>43983</v>
      </c>
      <c r="AF1059" s="289">
        <v>15888.285765267796</v>
      </c>
      <c r="AG1059">
        <f t="shared" si="81"/>
        <v>360</v>
      </c>
      <c r="AH1059" s="289">
        <f t="shared" si="82"/>
        <v>44.134127125743881</v>
      </c>
      <c r="AJ1059" s="289">
        <f t="shared" si="83"/>
        <v>30</v>
      </c>
      <c r="AK1059" s="289">
        <f t="shared" si="84"/>
        <v>1324.0238137723163</v>
      </c>
    </row>
    <row r="1060" spans="1:37">
      <c r="A1060" s="703" t="s">
        <v>2319</v>
      </c>
      <c r="B1060" s="703" t="s">
        <v>2311</v>
      </c>
      <c r="C1060" s="703" t="s">
        <v>332</v>
      </c>
      <c r="D1060" s="703" t="s">
        <v>334</v>
      </c>
      <c r="E1060" s="703" t="s">
        <v>334</v>
      </c>
      <c r="F1060" s="703" t="s">
        <v>335</v>
      </c>
      <c r="G1060" s="703" t="s">
        <v>2320</v>
      </c>
      <c r="H1060" s="703" t="s">
        <v>334</v>
      </c>
      <c r="I1060" s="703" t="s">
        <v>334</v>
      </c>
      <c r="J1060" s="703" t="s">
        <v>337</v>
      </c>
      <c r="K1060" s="704">
        <v>0</v>
      </c>
      <c r="L1060" s="703" t="s">
        <v>334</v>
      </c>
      <c r="M1060" s="702">
        <v>39478</v>
      </c>
      <c r="N1060" s="702">
        <v>43857</v>
      </c>
      <c r="O1060" s="703" t="s">
        <v>338</v>
      </c>
      <c r="P1060" s="20">
        <v>17941.63</v>
      </c>
      <c r="Q1060" s="20">
        <v>0</v>
      </c>
      <c r="R1060" s="20">
        <v>0</v>
      </c>
      <c r="S1060" s="20">
        <v>0</v>
      </c>
      <c r="T1060" s="20">
        <v>17941.63</v>
      </c>
      <c r="U1060" s="20">
        <v>17038.23</v>
      </c>
      <c r="V1060" s="20">
        <v>-903.4</v>
      </c>
      <c r="W1060" s="20">
        <v>-1501.45</v>
      </c>
      <c r="X1060" s="20">
        <v>-598.04999999999995</v>
      </c>
      <c r="Y1060" s="20">
        <v>0</v>
      </c>
      <c r="Z1060" s="20">
        <v>0</v>
      </c>
      <c r="AA1060" s="20">
        <v>0</v>
      </c>
      <c r="AB1060" s="20">
        <v>16440.18</v>
      </c>
      <c r="AC1060" t="s">
        <v>183</v>
      </c>
      <c r="AD1060" t="s">
        <v>290</v>
      </c>
      <c r="AE1060" s="702">
        <f t="shared" si="80"/>
        <v>43983</v>
      </c>
      <c r="AF1060" s="289">
        <v>25898.341005882798</v>
      </c>
      <c r="AG1060">
        <f t="shared" si="81"/>
        <v>360</v>
      </c>
      <c r="AH1060" s="289">
        <f t="shared" si="82"/>
        <v>71.93983612745221</v>
      </c>
      <c r="AJ1060" s="289">
        <f t="shared" si="83"/>
        <v>30</v>
      </c>
      <c r="AK1060" s="289">
        <f t="shared" si="84"/>
        <v>2158.1950838235662</v>
      </c>
    </row>
    <row r="1061" spans="1:37">
      <c r="A1061" s="703" t="s">
        <v>2321</v>
      </c>
      <c r="B1061" s="703" t="s">
        <v>2311</v>
      </c>
      <c r="C1061" s="703" t="s">
        <v>332</v>
      </c>
      <c r="D1061" s="703" t="s">
        <v>334</v>
      </c>
      <c r="E1061" s="703" t="s">
        <v>334</v>
      </c>
      <c r="F1061" s="703" t="s">
        <v>335</v>
      </c>
      <c r="G1061" s="703" t="s">
        <v>2322</v>
      </c>
      <c r="H1061" s="703" t="s">
        <v>334</v>
      </c>
      <c r="I1061" s="703" t="s">
        <v>334</v>
      </c>
      <c r="J1061" s="703" t="s">
        <v>337</v>
      </c>
      <c r="K1061" s="704">
        <v>0</v>
      </c>
      <c r="L1061" s="703" t="s">
        <v>334</v>
      </c>
      <c r="M1061" s="702">
        <v>43708</v>
      </c>
      <c r="N1061" s="702">
        <v>43857</v>
      </c>
      <c r="O1061" s="703" t="s">
        <v>338</v>
      </c>
      <c r="P1061" s="20">
        <v>144188.14000000001</v>
      </c>
      <c r="Q1061" s="20">
        <v>0</v>
      </c>
      <c r="R1061" s="20">
        <v>0</v>
      </c>
      <c r="S1061" s="20">
        <v>0</v>
      </c>
      <c r="T1061" s="20">
        <v>144188.14000000001</v>
      </c>
      <c r="U1061" s="20">
        <v>134976.12</v>
      </c>
      <c r="V1061" s="20">
        <v>-9212.02</v>
      </c>
      <c r="W1061" s="20">
        <v>-14018.29</v>
      </c>
      <c r="X1061" s="20">
        <v>-4806.2700000000004</v>
      </c>
      <c r="Y1061" s="20">
        <v>0</v>
      </c>
      <c r="Z1061" s="20">
        <v>0</v>
      </c>
      <c r="AA1061" s="20">
        <v>0</v>
      </c>
      <c r="AB1061" s="20">
        <v>130169.85</v>
      </c>
      <c r="AC1061" t="s">
        <v>183</v>
      </c>
      <c r="AD1061" t="s">
        <v>290</v>
      </c>
      <c r="AE1061" s="702">
        <f t="shared" si="80"/>
        <v>43983</v>
      </c>
      <c r="AF1061" s="289">
        <v>208132.35022258121</v>
      </c>
      <c r="AG1061">
        <f t="shared" si="81"/>
        <v>360</v>
      </c>
      <c r="AH1061" s="289">
        <f t="shared" si="82"/>
        <v>578.14541728494783</v>
      </c>
      <c r="AJ1061" s="289">
        <f t="shared" si="83"/>
        <v>30</v>
      </c>
      <c r="AK1061" s="289">
        <f t="shared" si="84"/>
        <v>17344.362518548434</v>
      </c>
    </row>
    <row r="1062" spans="1:37">
      <c r="A1062" s="703" t="s">
        <v>2323</v>
      </c>
      <c r="B1062" s="703" t="s">
        <v>2311</v>
      </c>
      <c r="C1062" s="703" t="s">
        <v>332</v>
      </c>
      <c r="D1062" s="703" t="s">
        <v>334</v>
      </c>
      <c r="E1062" s="703" t="s">
        <v>334</v>
      </c>
      <c r="F1062" s="703" t="s">
        <v>335</v>
      </c>
      <c r="G1062" s="703" t="s">
        <v>2324</v>
      </c>
      <c r="H1062" s="703" t="s">
        <v>334</v>
      </c>
      <c r="I1062" s="703" t="s">
        <v>334</v>
      </c>
      <c r="J1062" s="703" t="s">
        <v>337</v>
      </c>
      <c r="K1062" s="704">
        <v>0</v>
      </c>
      <c r="L1062" s="703" t="s">
        <v>334</v>
      </c>
      <c r="M1062" s="702">
        <v>43616</v>
      </c>
      <c r="N1062" s="702">
        <v>43857</v>
      </c>
      <c r="O1062" s="703" t="s">
        <v>338</v>
      </c>
      <c r="P1062" s="20">
        <v>23910.15</v>
      </c>
      <c r="Q1062" s="20">
        <v>0</v>
      </c>
      <c r="R1062" s="20">
        <v>0</v>
      </c>
      <c r="S1062" s="20">
        <v>0</v>
      </c>
      <c r="T1062" s="20">
        <v>23910.15</v>
      </c>
      <c r="U1062" s="20">
        <v>22382.55</v>
      </c>
      <c r="V1062" s="20">
        <v>-1527.6</v>
      </c>
      <c r="W1062" s="20">
        <v>-2324.61</v>
      </c>
      <c r="X1062" s="20">
        <v>-797.01</v>
      </c>
      <c r="Y1062" s="20">
        <v>0</v>
      </c>
      <c r="Z1062" s="20">
        <v>0</v>
      </c>
      <c r="AA1062" s="20">
        <v>0</v>
      </c>
      <c r="AB1062" s="20">
        <v>21585.54</v>
      </c>
      <c r="AC1062" t="s">
        <v>183</v>
      </c>
      <c r="AD1062" t="s">
        <v>290</v>
      </c>
      <c r="AE1062" s="702">
        <f t="shared" si="80"/>
        <v>43983</v>
      </c>
      <c r="AF1062" s="289">
        <v>34513.765928837493</v>
      </c>
      <c r="AG1062">
        <f t="shared" si="81"/>
        <v>360</v>
      </c>
      <c r="AH1062" s="289">
        <f t="shared" si="82"/>
        <v>95.871572024548584</v>
      </c>
      <c r="AJ1062" s="289">
        <f t="shared" si="83"/>
        <v>30</v>
      </c>
      <c r="AK1062" s="289">
        <f t="shared" si="84"/>
        <v>2876.1471607364574</v>
      </c>
    </row>
    <row r="1063" spans="1:37">
      <c r="A1063" s="703" t="s">
        <v>2200</v>
      </c>
      <c r="B1063" s="703" t="s">
        <v>2311</v>
      </c>
      <c r="C1063" s="703" t="s">
        <v>332</v>
      </c>
      <c r="D1063" s="703" t="s">
        <v>333</v>
      </c>
      <c r="E1063" s="703" t="s">
        <v>334</v>
      </c>
      <c r="F1063" s="703" t="s">
        <v>335</v>
      </c>
      <c r="G1063" s="703" t="s">
        <v>2161</v>
      </c>
      <c r="H1063" s="703" t="s">
        <v>334</v>
      </c>
      <c r="I1063" s="703" t="s">
        <v>334</v>
      </c>
      <c r="J1063" s="703" t="s">
        <v>337</v>
      </c>
      <c r="K1063" s="704">
        <v>0</v>
      </c>
      <c r="L1063" s="703" t="s">
        <v>334</v>
      </c>
      <c r="M1063" s="702">
        <v>39478</v>
      </c>
      <c r="N1063" s="702">
        <v>43857</v>
      </c>
      <c r="O1063" s="703" t="s">
        <v>338</v>
      </c>
      <c r="P1063" s="20">
        <v>239863.97</v>
      </c>
      <c r="Q1063" s="20">
        <v>0</v>
      </c>
      <c r="R1063" s="20">
        <v>0</v>
      </c>
      <c r="S1063" s="20">
        <v>0</v>
      </c>
      <c r="T1063" s="20">
        <v>239863.97</v>
      </c>
      <c r="U1063" s="20">
        <v>224910.34</v>
      </c>
      <c r="V1063" s="20">
        <v>-14953.63</v>
      </c>
      <c r="W1063" s="20">
        <v>-22949.1</v>
      </c>
      <c r="X1063" s="20">
        <v>-7995.47</v>
      </c>
      <c r="Y1063" s="20">
        <v>0</v>
      </c>
      <c r="Z1063" s="20">
        <v>0</v>
      </c>
      <c r="AA1063" s="20">
        <v>0</v>
      </c>
      <c r="AB1063" s="20">
        <v>216914.87</v>
      </c>
      <c r="AC1063" t="s">
        <v>183</v>
      </c>
      <c r="AD1063" t="s">
        <v>290</v>
      </c>
      <c r="AE1063" s="702">
        <f t="shared" si="80"/>
        <v>43983</v>
      </c>
      <c r="AF1063" s="289">
        <v>346238.26765376615</v>
      </c>
      <c r="AG1063">
        <f t="shared" si="81"/>
        <v>360</v>
      </c>
      <c r="AH1063" s="289">
        <f t="shared" si="82"/>
        <v>961.77296570490591</v>
      </c>
      <c r="AJ1063" s="289">
        <f t="shared" si="83"/>
        <v>30</v>
      </c>
      <c r="AK1063" s="289">
        <f t="shared" si="84"/>
        <v>28853.188971147178</v>
      </c>
    </row>
    <row r="1064" spans="1:37">
      <c r="A1064" s="703" t="s">
        <v>2205</v>
      </c>
      <c r="B1064" s="703" t="s">
        <v>2311</v>
      </c>
      <c r="C1064" s="703" t="s">
        <v>332</v>
      </c>
      <c r="D1064" s="703" t="s">
        <v>333</v>
      </c>
      <c r="E1064" s="703" t="s">
        <v>334</v>
      </c>
      <c r="F1064" s="703" t="s">
        <v>335</v>
      </c>
      <c r="G1064" s="703" t="s">
        <v>2206</v>
      </c>
      <c r="H1064" s="703" t="s">
        <v>334</v>
      </c>
      <c r="I1064" s="703" t="s">
        <v>334</v>
      </c>
      <c r="J1064" s="703" t="s">
        <v>337</v>
      </c>
      <c r="K1064" s="704">
        <v>0</v>
      </c>
      <c r="L1064" s="703" t="s">
        <v>334</v>
      </c>
      <c r="M1064" s="702">
        <v>39478</v>
      </c>
      <c r="N1064" s="702">
        <v>43857</v>
      </c>
      <c r="O1064" s="703" t="s">
        <v>338</v>
      </c>
      <c r="P1064" s="20">
        <v>590699.89</v>
      </c>
      <c r="Q1064" s="20">
        <v>0</v>
      </c>
      <c r="R1064" s="20">
        <v>0</v>
      </c>
      <c r="S1064" s="20">
        <v>0</v>
      </c>
      <c r="T1064" s="20">
        <v>590699.89</v>
      </c>
      <c r="U1064" s="20">
        <v>565706.81999999995</v>
      </c>
      <c r="V1064" s="20">
        <v>-24993.07</v>
      </c>
      <c r="W1064" s="20">
        <v>-44683.07</v>
      </c>
      <c r="X1064" s="20">
        <v>-19690</v>
      </c>
      <c r="Y1064" s="20">
        <v>0</v>
      </c>
      <c r="Z1064" s="20">
        <v>0</v>
      </c>
      <c r="AA1064" s="20">
        <v>0</v>
      </c>
      <c r="AB1064" s="20">
        <v>546016.81999999995</v>
      </c>
      <c r="AC1064" t="s">
        <v>183</v>
      </c>
      <c r="AD1064" t="s">
        <v>290</v>
      </c>
      <c r="AE1064" s="702">
        <f t="shared" si="80"/>
        <v>43983</v>
      </c>
      <c r="AF1064" s="289">
        <v>852662.05931999802</v>
      </c>
      <c r="AG1064">
        <f t="shared" si="81"/>
        <v>360</v>
      </c>
      <c r="AH1064" s="289">
        <f t="shared" si="82"/>
        <v>2368.5057203333276</v>
      </c>
      <c r="AJ1064" s="289">
        <f t="shared" si="83"/>
        <v>30</v>
      </c>
      <c r="AK1064" s="289">
        <f t="shared" si="84"/>
        <v>71055.17160999983</v>
      </c>
    </row>
    <row r="1065" spans="1:37">
      <c r="A1065" s="703" t="s">
        <v>2207</v>
      </c>
      <c r="B1065" s="703" t="s">
        <v>2311</v>
      </c>
      <c r="C1065" s="703" t="s">
        <v>332</v>
      </c>
      <c r="D1065" s="703" t="s">
        <v>333</v>
      </c>
      <c r="E1065" s="703" t="s">
        <v>334</v>
      </c>
      <c r="F1065" s="703" t="s">
        <v>335</v>
      </c>
      <c r="G1065" s="703" t="s">
        <v>2159</v>
      </c>
      <c r="H1065" s="703" t="s">
        <v>334</v>
      </c>
      <c r="I1065" s="703" t="s">
        <v>334</v>
      </c>
      <c r="J1065" s="703" t="s">
        <v>337</v>
      </c>
      <c r="K1065" s="704">
        <v>0</v>
      </c>
      <c r="L1065" s="703" t="s">
        <v>334</v>
      </c>
      <c r="M1065" s="702">
        <v>42886</v>
      </c>
      <c r="N1065" s="702">
        <v>43857</v>
      </c>
      <c r="O1065" s="703" t="s">
        <v>338</v>
      </c>
      <c r="P1065" s="20">
        <v>1052134.21</v>
      </c>
      <c r="Q1065" s="20">
        <v>0</v>
      </c>
      <c r="R1065" s="20">
        <v>0</v>
      </c>
      <c r="S1065" s="20">
        <v>0</v>
      </c>
      <c r="T1065" s="20">
        <v>1052134.21</v>
      </c>
      <c r="U1065" s="20">
        <v>1000994.48</v>
      </c>
      <c r="V1065" s="20">
        <v>-51139.73</v>
      </c>
      <c r="W1065" s="20">
        <v>-86210.87</v>
      </c>
      <c r="X1065" s="20">
        <v>-35071.14</v>
      </c>
      <c r="Y1065" s="20">
        <v>0</v>
      </c>
      <c r="Z1065" s="20">
        <v>0</v>
      </c>
      <c r="AA1065" s="20">
        <v>0</v>
      </c>
      <c r="AB1065" s="20">
        <v>965923.34</v>
      </c>
      <c r="AC1065" t="s">
        <v>183</v>
      </c>
      <c r="AD1065" t="s">
        <v>290</v>
      </c>
      <c r="AE1065" s="702">
        <f t="shared" si="80"/>
        <v>43983</v>
      </c>
      <c r="AF1065" s="289">
        <v>1518732.1639413531</v>
      </c>
      <c r="AG1065">
        <f t="shared" si="81"/>
        <v>360</v>
      </c>
      <c r="AH1065" s="289">
        <f t="shared" si="82"/>
        <v>4218.7004553926472</v>
      </c>
      <c r="AJ1065" s="289">
        <f t="shared" si="83"/>
        <v>30</v>
      </c>
      <c r="AK1065" s="289">
        <f t="shared" si="84"/>
        <v>126561.01366177942</v>
      </c>
    </row>
    <row r="1066" spans="1:37">
      <c r="A1066" s="703" t="s">
        <v>2325</v>
      </c>
      <c r="B1066" s="703" t="s">
        <v>2311</v>
      </c>
      <c r="C1066" s="703" t="s">
        <v>390</v>
      </c>
      <c r="D1066" s="703" t="s">
        <v>334</v>
      </c>
      <c r="E1066" s="703" t="s">
        <v>334</v>
      </c>
      <c r="F1066" s="703" t="s">
        <v>335</v>
      </c>
      <c r="G1066" s="703" t="s">
        <v>2326</v>
      </c>
      <c r="H1066" s="703" t="s">
        <v>334</v>
      </c>
      <c r="I1066" s="703" t="s">
        <v>334</v>
      </c>
      <c r="J1066" s="703" t="s">
        <v>337</v>
      </c>
      <c r="K1066" s="704">
        <v>0</v>
      </c>
      <c r="L1066" s="703" t="s">
        <v>334</v>
      </c>
      <c r="M1066" s="702">
        <v>43799</v>
      </c>
      <c r="N1066" s="702">
        <v>43857</v>
      </c>
      <c r="O1066" s="703" t="s">
        <v>338</v>
      </c>
      <c r="P1066" s="20">
        <v>13432.6</v>
      </c>
      <c r="Q1066" s="20">
        <v>0</v>
      </c>
      <c r="R1066" s="20">
        <v>0</v>
      </c>
      <c r="S1066" s="20">
        <v>0</v>
      </c>
      <c r="T1066" s="20">
        <v>13432.6</v>
      </c>
      <c r="U1066" s="20">
        <v>12574.41</v>
      </c>
      <c r="V1066" s="20">
        <v>-858.19</v>
      </c>
      <c r="W1066" s="20">
        <v>-1305.94</v>
      </c>
      <c r="X1066" s="20">
        <v>-447.75</v>
      </c>
      <c r="Y1066" s="20">
        <v>0</v>
      </c>
      <c r="Z1066" s="20">
        <v>0</v>
      </c>
      <c r="AA1066" s="20">
        <v>0</v>
      </c>
      <c r="AB1066" s="20">
        <v>12126.66</v>
      </c>
      <c r="AC1066" t="s">
        <v>188</v>
      </c>
      <c r="AD1066" t="s">
        <v>290</v>
      </c>
      <c r="AE1066" s="702">
        <f t="shared" si="80"/>
        <v>43983</v>
      </c>
      <c r="AF1066" s="289">
        <v>19389.657204814794</v>
      </c>
      <c r="AG1066">
        <f t="shared" si="81"/>
        <v>360</v>
      </c>
      <c r="AH1066" s="289">
        <f t="shared" si="82"/>
        <v>53.860158902263315</v>
      </c>
      <c r="AJ1066" s="289">
        <f t="shared" si="83"/>
        <v>30</v>
      </c>
      <c r="AK1066" s="289">
        <f t="shared" si="84"/>
        <v>1615.8047670678995</v>
      </c>
    </row>
    <row r="1067" spans="1:37">
      <c r="A1067" s="703" t="s">
        <v>2327</v>
      </c>
      <c r="B1067" s="703" t="s">
        <v>2311</v>
      </c>
      <c r="C1067" s="703" t="s">
        <v>390</v>
      </c>
      <c r="D1067" s="703" t="s">
        <v>334</v>
      </c>
      <c r="E1067" s="703" t="s">
        <v>334</v>
      </c>
      <c r="F1067" s="703" t="s">
        <v>335</v>
      </c>
      <c r="G1067" s="703" t="s">
        <v>2328</v>
      </c>
      <c r="H1067" s="703" t="s">
        <v>334</v>
      </c>
      <c r="I1067" s="703" t="s">
        <v>334</v>
      </c>
      <c r="J1067" s="703" t="s">
        <v>337</v>
      </c>
      <c r="K1067" s="704">
        <v>0</v>
      </c>
      <c r="L1067" s="703" t="s">
        <v>334</v>
      </c>
      <c r="M1067" s="702">
        <v>43830</v>
      </c>
      <c r="N1067" s="702">
        <v>43857</v>
      </c>
      <c r="O1067" s="703" t="s">
        <v>338</v>
      </c>
      <c r="P1067" s="20">
        <v>2175.44</v>
      </c>
      <c r="Q1067" s="20">
        <v>0</v>
      </c>
      <c r="R1067" s="20">
        <v>0</v>
      </c>
      <c r="S1067" s="20">
        <v>0</v>
      </c>
      <c r="T1067" s="20">
        <v>2175.44</v>
      </c>
      <c r="U1067" s="20">
        <v>2036.46</v>
      </c>
      <c r="V1067" s="20">
        <v>-138.97999999999999</v>
      </c>
      <c r="W1067" s="20">
        <v>-211.49</v>
      </c>
      <c r="X1067" s="20">
        <v>-72.510000000000005</v>
      </c>
      <c r="Y1067" s="20">
        <v>0</v>
      </c>
      <c r="Z1067" s="20">
        <v>0</v>
      </c>
      <c r="AA1067" s="20">
        <v>0</v>
      </c>
      <c r="AB1067" s="20">
        <v>1963.95</v>
      </c>
      <c r="AC1067" t="s">
        <v>188</v>
      </c>
      <c r="AD1067" t="s">
        <v>290</v>
      </c>
      <c r="AE1067" s="702">
        <f t="shared" si="80"/>
        <v>43983</v>
      </c>
      <c r="AF1067" s="289">
        <v>3140.1989093431125</v>
      </c>
      <c r="AG1067">
        <f t="shared" si="81"/>
        <v>360</v>
      </c>
      <c r="AH1067" s="289">
        <f t="shared" si="82"/>
        <v>8.7227747481753131</v>
      </c>
      <c r="AJ1067" s="289">
        <f t="shared" si="83"/>
        <v>30</v>
      </c>
      <c r="AK1067" s="289">
        <f t="shared" si="84"/>
        <v>261.6832424452594</v>
      </c>
    </row>
    <row r="1068" spans="1:37">
      <c r="A1068" s="703" t="s">
        <v>2210</v>
      </c>
      <c r="B1068" s="703" t="s">
        <v>2311</v>
      </c>
      <c r="C1068" s="703" t="s">
        <v>390</v>
      </c>
      <c r="D1068" s="703" t="s">
        <v>391</v>
      </c>
      <c r="E1068" s="703" t="s">
        <v>334</v>
      </c>
      <c r="F1068" s="703" t="s">
        <v>335</v>
      </c>
      <c r="G1068" s="703" t="s">
        <v>2211</v>
      </c>
      <c r="H1068" s="703" t="s">
        <v>334</v>
      </c>
      <c r="I1068" s="703" t="s">
        <v>334</v>
      </c>
      <c r="J1068" s="703" t="s">
        <v>337</v>
      </c>
      <c r="K1068" s="704">
        <v>0</v>
      </c>
      <c r="L1068" s="703" t="s">
        <v>334</v>
      </c>
      <c r="M1068" s="702">
        <v>42886</v>
      </c>
      <c r="N1068" s="702">
        <v>43857</v>
      </c>
      <c r="O1068" s="703" t="s">
        <v>338</v>
      </c>
      <c r="P1068" s="20">
        <v>6088.23</v>
      </c>
      <c r="Q1068" s="20">
        <v>0</v>
      </c>
      <c r="R1068" s="20">
        <v>0</v>
      </c>
      <c r="S1068" s="20">
        <v>0</v>
      </c>
      <c r="T1068" s="20">
        <v>6088.23</v>
      </c>
      <c r="U1068" s="20">
        <v>5725.77</v>
      </c>
      <c r="V1068" s="20">
        <v>-362.46</v>
      </c>
      <c r="W1068" s="20">
        <v>-565.4</v>
      </c>
      <c r="X1068" s="20">
        <v>-202.94</v>
      </c>
      <c r="Y1068" s="20">
        <v>0</v>
      </c>
      <c r="Z1068" s="20">
        <v>0</v>
      </c>
      <c r="AA1068" s="20">
        <v>0</v>
      </c>
      <c r="AB1068" s="20">
        <v>5522.83</v>
      </c>
      <c r="AC1068" t="s">
        <v>188</v>
      </c>
      <c r="AD1068" t="s">
        <v>290</v>
      </c>
      <c r="AE1068" s="702">
        <f t="shared" si="80"/>
        <v>43983</v>
      </c>
      <c r="AF1068" s="289">
        <v>8788.2236264066196</v>
      </c>
      <c r="AG1068">
        <f t="shared" si="81"/>
        <v>360</v>
      </c>
      <c r="AH1068" s="289">
        <f t="shared" si="82"/>
        <v>24.411732295573945</v>
      </c>
      <c r="AJ1068" s="289">
        <f t="shared" si="83"/>
        <v>30</v>
      </c>
      <c r="AK1068" s="289">
        <f t="shared" si="84"/>
        <v>732.35196886721837</v>
      </c>
    </row>
    <row r="1069" spans="1:37">
      <c r="A1069" s="703" t="s">
        <v>2212</v>
      </c>
      <c r="B1069" s="703" t="s">
        <v>2311</v>
      </c>
      <c r="C1069" s="703" t="s">
        <v>390</v>
      </c>
      <c r="D1069" s="703" t="s">
        <v>391</v>
      </c>
      <c r="E1069" s="703" t="s">
        <v>334</v>
      </c>
      <c r="F1069" s="703" t="s">
        <v>335</v>
      </c>
      <c r="G1069" s="703" t="s">
        <v>2165</v>
      </c>
      <c r="H1069" s="703" t="s">
        <v>334</v>
      </c>
      <c r="I1069" s="703" t="s">
        <v>334</v>
      </c>
      <c r="J1069" s="703" t="s">
        <v>337</v>
      </c>
      <c r="K1069" s="704">
        <v>0</v>
      </c>
      <c r="L1069" s="703" t="s">
        <v>334</v>
      </c>
      <c r="M1069" s="702">
        <v>42886</v>
      </c>
      <c r="N1069" s="702">
        <v>43857</v>
      </c>
      <c r="O1069" s="703" t="s">
        <v>338</v>
      </c>
      <c r="P1069" s="20">
        <v>49663.43</v>
      </c>
      <c r="Q1069" s="20">
        <v>0</v>
      </c>
      <c r="R1069" s="20">
        <v>0</v>
      </c>
      <c r="S1069" s="20">
        <v>0</v>
      </c>
      <c r="T1069" s="20">
        <v>49663.43</v>
      </c>
      <c r="U1069" s="20">
        <v>46874.61</v>
      </c>
      <c r="V1069" s="20">
        <v>-2788.82</v>
      </c>
      <c r="W1069" s="20">
        <v>-4444.2700000000004</v>
      </c>
      <c r="X1069" s="20">
        <v>-1655.45</v>
      </c>
      <c r="Y1069" s="20">
        <v>0</v>
      </c>
      <c r="Z1069" s="20">
        <v>0</v>
      </c>
      <c r="AA1069" s="20">
        <v>0</v>
      </c>
      <c r="AB1069" s="20">
        <v>45219.16</v>
      </c>
      <c r="AC1069" t="s">
        <v>188</v>
      </c>
      <c r="AD1069" t="s">
        <v>290</v>
      </c>
      <c r="AE1069" s="702">
        <f t="shared" si="80"/>
        <v>43983</v>
      </c>
      <c r="AF1069" s="289">
        <v>71688.048725884422</v>
      </c>
      <c r="AG1069">
        <f t="shared" si="81"/>
        <v>360</v>
      </c>
      <c r="AH1069" s="289">
        <f t="shared" si="82"/>
        <v>199.1334686830123</v>
      </c>
      <c r="AJ1069" s="289">
        <f t="shared" si="83"/>
        <v>30</v>
      </c>
      <c r="AK1069" s="289">
        <f t="shared" si="84"/>
        <v>5974.0040604903688</v>
      </c>
    </row>
    <row r="1070" spans="1:37">
      <c r="A1070" s="703" t="s">
        <v>2213</v>
      </c>
      <c r="B1070" s="703" t="s">
        <v>2311</v>
      </c>
      <c r="C1070" s="703" t="s">
        <v>390</v>
      </c>
      <c r="D1070" s="703" t="s">
        <v>391</v>
      </c>
      <c r="E1070" s="703" t="s">
        <v>334</v>
      </c>
      <c r="F1070" s="703" t="s">
        <v>335</v>
      </c>
      <c r="G1070" s="703" t="s">
        <v>2214</v>
      </c>
      <c r="H1070" s="703" t="s">
        <v>334</v>
      </c>
      <c r="I1070" s="703" t="s">
        <v>334</v>
      </c>
      <c r="J1070" s="703" t="s">
        <v>337</v>
      </c>
      <c r="K1070" s="704">
        <v>0</v>
      </c>
      <c r="L1070" s="703" t="s">
        <v>334</v>
      </c>
      <c r="M1070" s="702">
        <v>42886</v>
      </c>
      <c r="N1070" s="702">
        <v>43857</v>
      </c>
      <c r="O1070" s="703" t="s">
        <v>338</v>
      </c>
      <c r="P1070" s="20">
        <v>11362.68</v>
      </c>
      <c r="Q1070" s="20">
        <v>0</v>
      </c>
      <c r="R1070" s="20">
        <v>0</v>
      </c>
      <c r="S1070" s="20">
        <v>0</v>
      </c>
      <c r="T1070" s="20">
        <v>11362.68</v>
      </c>
      <c r="U1070" s="20">
        <v>10962.36</v>
      </c>
      <c r="V1070" s="20">
        <v>-400.32</v>
      </c>
      <c r="W1070" s="20">
        <v>-779.08</v>
      </c>
      <c r="X1070" s="20">
        <v>-378.76</v>
      </c>
      <c r="Y1070" s="20">
        <v>0</v>
      </c>
      <c r="Z1070" s="20">
        <v>0</v>
      </c>
      <c r="AA1070" s="20">
        <v>0</v>
      </c>
      <c r="AB1070" s="20">
        <v>10583.6</v>
      </c>
      <c r="AC1070" t="s">
        <v>188</v>
      </c>
      <c r="AD1070" t="s">
        <v>290</v>
      </c>
      <c r="AE1070" s="702">
        <f t="shared" si="80"/>
        <v>43983</v>
      </c>
      <c r="AF1070" s="289">
        <v>16401.774051784832</v>
      </c>
      <c r="AG1070">
        <f t="shared" si="81"/>
        <v>360</v>
      </c>
      <c r="AH1070" s="289">
        <f t="shared" si="82"/>
        <v>45.560483477180092</v>
      </c>
      <c r="AJ1070" s="289">
        <f t="shared" si="83"/>
        <v>30</v>
      </c>
      <c r="AK1070" s="289">
        <f t="shared" si="84"/>
        <v>1366.8145043154027</v>
      </c>
    </row>
    <row r="1071" spans="1:37">
      <c r="A1071" s="703" t="s">
        <v>2215</v>
      </c>
      <c r="B1071" s="703" t="s">
        <v>2311</v>
      </c>
      <c r="C1071" s="703" t="s">
        <v>390</v>
      </c>
      <c r="D1071" s="703" t="s">
        <v>391</v>
      </c>
      <c r="E1071" s="703" t="s">
        <v>334</v>
      </c>
      <c r="F1071" s="703" t="s">
        <v>335</v>
      </c>
      <c r="G1071" s="703" t="s">
        <v>2216</v>
      </c>
      <c r="H1071" s="703" t="s">
        <v>334</v>
      </c>
      <c r="I1071" s="703" t="s">
        <v>334</v>
      </c>
      <c r="J1071" s="703" t="s">
        <v>337</v>
      </c>
      <c r="K1071" s="704">
        <v>0</v>
      </c>
      <c r="L1071" s="703" t="s">
        <v>334</v>
      </c>
      <c r="M1071" s="702">
        <v>42886</v>
      </c>
      <c r="N1071" s="702">
        <v>43857</v>
      </c>
      <c r="O1071" s="703" t="s">
        <v>338</v>
      </c>
      <c r="P1071" s="20">
        <v>22877.95</v>
      </c>
      <c r="Q1071" s="20">
        <v>0</v>
      </c>
      <c r="R1071" s="20">
        <v>0</v>
      </c>
      <c r="S1071" s="20">
        <v>0</v>
      </c>
      <c r="T1071" s="20">
        <v>22877.95</v>
      </c>
      <c r="U1071" s="20">
        <v>21684.65</v>
      </c>
      <c r="V1071" s="20">
        <v>-1193.3</v>
      </c>
      <c r="W1071" s="20">
        <v>-1955.9</v>
      </c>
      <c r="X1071" s="20">
        <v>-762.6</v>
      </c>
      <c r="Y1071" s="20">
        <v>0</v>
      </c>
      <c r="Z1071" s="20">
        <v>0</v>
      </c>
      <c r="AA1071" s="20">
        <v>0</v>
      </c>
      <c r="AB1071" s="20">
        <v>20922.05</v>
      </c>
      <c r="AC1071" t="s">
        <v>188</v>
      </c>
      <c r="AD1071" t="s">
        <v>290</v>
      </c>
      <c r="AE1071" s="702">
        <f t="shared" si="80"/>
        <v>43983</v>
      </c>
      <c r="AF1071" s="289">
        <v>33023.808350497493</v>
      </c>
      <c r="AG1071">
        <f t="shared" si="81"/>
        <v>360</v>
      </c>
      <c r="AH1071" s="289">
        <f t="shared" si="82"/>
        <v>91.732800973604142</v>
      </c>
      <c r="AJ1071" s="289">
        <f t="shared" si="83"/>
        <v>30</v>
      </c>
      <c r="AK1071" s="289">
        <f t="shared" si="84"/>
        <v>2751.9840292081244</v>
      </c>
    </row>
    <row r="1072" spans="1:37">
      <c r="A1072" s="703" t="s">
        <v>2208</v>
      </c>
      <c r="B1072" s="703" t="s">
        <v>2311</v>
      </c>
      <c r="C1072" s="703" t="s">
        <v>390</v>
      </c>
      <c r="D1072" s="703" t="s">
        <v>391</v>
      </c>
      <c r="E1072" s="703" t="s">
        <v>334</v>
      </c>
      <c r="F1072" s="703" t="s">
        <v>335</v>
      </c>
      <c r="G1072" s="703" t="s">
        <v>2209</v>
      </c>
      <c r="H1072" s="703" t="s">
        <v>334</v>
      </c>
      <c r="I1072" s="703" t="s">
        <v>334</v>
      </c>
      <c r="J1072" s="703" t="s">
        <v>337</v>
      </c>
      <c r="K1072" s="704">
        <v>0</v>
      </c>
      <c r="L1072" s="703" t="s">
        <v>334</v>
      </c>
      <c r="M1072" s="702">
        <v>42886</v>
      </c>
      <c r="N1072" s="702">
        <v>43857</v>
      </c>
      <c r="O1072" s="703" t="s">
        <v>338</v>
      </c>
      <c r="P1072" s="20">
        <v>220137.60000000001</v>
      </c>
      <c r="Q1072" s="20">
        <v>0</v>
      </c>
      <c r="R1072" s="20">
        <v>0</v>
      </c>
      <c r="S1072" s="20">
        <v>0</v>
      </c>
      <c r="T1072" s="20">
        <v>220137.60000000001</v>
      </c>
      <c r="U1072" s="20">
        <v>211773.08</v>
      </c>
      <c r="V1072" s="20">
        <v>-8364.52</v>
      </c>
      <c r="W1072" s="20">
        <v>-15702.44</v>
      </c>
      <c r="X1072" s="20">
        <v>-7337.92</v>
      </c>
      <c r="Y1072" s="20">
        <v>0</v>
      </c>
      <c r="Z1072" s="20">
        <v>0</v>
      </c>
      <c r="AA1072" s="20">
        <v>0</v>
      </c>
      <c r="AB1072" s="20">
        <v>204435.16</v>
      </c>
      <c r="AC1072" t="s">
        <v>188</v>
      </c>
      <c r="AD1072" t="s">
        <v>290</v>
      </c>
      <c r="AE1072" s="702">
        <f t="shared" si="80"/>
        <v>43983</v>
      </c>
      <c r="AF1072" s="289">
        <v>317763.69443671644</v>
      </c>
      <c r="AG1072">
        <f t="shared" si="81"/>
        <v>360</v>
      </c>
      <c r="AH1072" s="289">
        <f t="shared" si="82"/>
        <v>882.67692899087899</v>
      </c>
      <c r="AJ1072" s="289">
        <f t="shared" si="83"/>
        <v>30</v>
      </c>
      <c r="AK1072" s="289">
        <f t="shared" si="84"/>
        <v>26480.30786972637</v>
      </c>
    </row>
    <row r="1073" spans="1:37">
      <c r="A1073" s="703" t="s">
        <v>2217</v>
      </c>
      <c r="B1073" s="703" t="s">
        <v>2311</v>
      </c>
      <c r="C1073" s="703" t="s">
        <v>390</v>
      </c>
      <c r="D1073" s="703" t="s">
        <v>391</v>
      </c>
      <c r="E1073" s="703" t="s">
        <v>334</v>
      </c>
      <c r="F1073" s="703" t="s">
        <v>335</v>
      </c>
      <c r="G1073" s="703" t="s">
        <v>2167</v>
      </c>
      <c r="H1073" s="703" t="s">
        <v>334</v>
      </c>
      <c r="I1073" s="703" t="s">
        <v>334</v>
      </c>
      <c r="J1073" s="703" t="s">
        <v>337</v>
      </c>
      <c r="K1073" s="704">
        <v>0</v>
      </c>
      <c r="L1073" s="703" t="s">
        <v>334</v>
      </c>
      <c r="M1073" s="702">
        <v>43251</v>
      </c>
      <c r="N1073" s="702">
        <v>43857</v>
      </c>
      <c r="O1073" s="703" t="s">
        <v>338</v>
      </c>
      <c r="P1073" s="20">
        <v>371806.4</v>
      </c>
      <c r="Q1073" s="20">
        <v>0</v>
      </c>
      <c r="R1073" s="20">
        <v>0</v>
      </c>
      <c r="S1073" s="20">
        <v>0</v>
      </c>
      <c r="T1073" s="20">
        <v>371806.4</v>
      </c>
      <c r="U1073" s="20">
        <v>352165.83</v>
      </c>
      <c r="V1073" s="20">
        <v>-19640.57</v>
      </c>
      <c r="W1073" s="20">
        <v>-32034.12</v>
      </c>
      <c r="X1073" s="20">
        <v>-12393.55</v>
      </c>
      <c r="Y1073" s="20">
        <v>0</v>
      </c>
      <c r="Z1073" s="20">
        <v>0</v>
      </c>
      <c r="AA1073" s="20">
        <v>0</v>
      </c>
      <c r="AB1073" s="20">
        <v>339772.28</v>
      </c>
      <c r="AC1073" t="s">
        <v>188</v>
      </c>
      <c r="AD1073" t="s">
        <v>290</v>
      </c>
      <c r="AE1073" s="702">
        <f t="shared" si="80"/>
        <v>43983</v>
      </c>
      <c r="AF1073" s="289">
        <v>536694.20979975967</v>
      </c>
      <c r="AG1073">
        <f t="shared" si="81"/>
        <v>360</v>
      </c>
      <c r="AH1073" s="289">
        <f t="shared" si="82"/>
        <v>1490.817249443777</v>
      </c>
      <c r="AJ1073" s="289">
        <f t="shared" si="83"/>
        <v>30</v>
      </c>
      <c r="AK1073" s="289">
        <f t="shared" si="84"/>
        <v>44724.517483313306</v>
      </c>
    </row>
    <row r="1074" spans="1:37">
      <c r="A1074" s="703" t="s">
        <v>1768</v>
      </c>
      <c r="B1074" s="703" t="s">
        <v>2311</v>
      </c>
      <c r="C1074" s="703" t="s">
        <v>454</v>
      </c>
      <c r="D1074" s="703" t="s">
        <v>334</v>
      </c>
      <c r="E1074" s="703" t="s">
        <v>334</v>
      </c>
      <c r="F1074" s="703" t="s">
        <v>455</v>
      </c>
      <c r="G1074" s="703" t="s">
        <v>1769</v>
      </c>
      <c r="H1074" s="703" t="s">
        <v>334</v>
      </c>
      <c r="I1074" s="703" t="s">
        <v>334</v>
      </c>
      <c r="J1074" s="703" t="s">
        <v>458</v>
      </c>
      <c r="K1074" s="704">
        <v>0</v>
      </c>
      <c r="L1074" s="703" t="s">
        <v>334</v>
      </c>
      <c r="M1074" s="702"/>
      <c r="N1074" s="702">
        <v>43861</v>
      </c>
      <c r="O1074" s="703" t="s">
        <v>338</v>
      </c>
      <c r="P1074" s="20">
        <v>2289179.1800000002</v>
      </c>
      <c r="Q1074" s="20">
        <v>0</v>
      </c>
      <c r="R1074" s="20">
        <v>0</v>
      </c>
      <c r="S1074" s="20">
        <v>0</v>
      </c>
      <c r="T1074" s="20">
        <v>2289179.1800000002</v>
      </c>
      <c r="U1074" s="20">
        <v>2124748.2400000002</v>
      </c>
      <c r="V1074" s="20">
        <v>-164430.94</v>
      </c>
      <c r="W1074" s="20">
        <v>-278889.90000000002</v>
      </c>
      <c r="X1074" s="20">
        <v>-114458.96</v>
      </c>
      <c r="Y1074" s="20">
        <v>0</v>
      </c>
      <c r="Z1074" s="20">
        <v>0</v>
      </c>
      <c r="AA1074" s="20">
        <v>0</v>
      </c>
      <c r="AB1074" s="20">
        <v>2010289.28</v>
      </c>
      <c r="AC1074" t="s">
        <v>459</v>
      </c>
      <c r="AD1074" t="s">
        <v>290</v>
      </c>
      <c r="AE1074" s="702">
        <f t="shared" si="80"/>
        <v>43983</v>
      </c>
      <c r="AF1074" s="289">
        <v>3304378.8678736081</v>
      </c>
      <c r="AG1074">
        <f t="shared" si="81"/>
        <v>360</v>
      </c>
      <c r="AH1074" s="289">
        <f t="shared" si="82"/>
        <v>9178.8301885378005</v>
      </c>
      <c r="AJ1074" s="289">
        <f t="shared" si="83"/>
        <v>30</v>
      </c>
      <c r="AK1074" s="289">
        <f t="shared" si="84"/>
        <v>275364.90565613401</v>
      </c>
    </row>
    <row r="1075" spans="1:37">
      <c r="A1075" s="703" t="s">
        <v>620</v>
      </c>
      <c r="B1075" s="703" t="s">
        <v>2311</v>
      </c>
      <c r="C1075" s="703" t="s">
        <v>454</v>
      </c>
      <c r="D1075" s="703" t="s">
        <v>334</v>
      </c>
      <c r="E1075" s="703" t="s">
        <v>334</v>
      </c>
      <c r="F1075" s="703" t="s">
        <v>455</v>
      </c>
      <c r="G1075" s="703" t="s">
        <v>621</v>
      </c>
      <c r="H1075" s="703" t="s">
        <v>622</v>
      </c>
      <c r="I1075" s="703" t="s">
        <v>334</v>
      </c>
      <c r="J1075" s="703" t="s">
        <v>458</v>
      </c>
      <c r="K1075" s="704">
        <v>0</v>
      </c>
      <c r="L1075" s="703" t="s">
        <v>334</v>
      </c>
      <c r="M1075" s="702"/>
      <c r="N1075" s="702">
        <v>43861</v>
      </c>
      <c r="O1075" s="703" t="s">
        <v>338</v>
      </c>
      <c r="P1075" s="20">
        <v>1080500</v>
      </c>
      <c r="Q1075" s="20">
        <v>0</v>
      </c>
      <c r="R1075" s="20">
        <v>0</v>
      </c>
      <c r="S1075" s="20">
        <v>0</v>
      </c>
      <c r="T1075" s="20">
        <v>1080500</v>
      </c>
      <c r="U1075" s="20">
        <v>1002896.51</v>
      </c>
      <c r="V1075" s="20">
        <v>-77603.490000000005</v>
      </c>
      <c r="W1075" s="20">
        <v>-131628.49</v>
      </c>
      <c r="X1075" s="20">
        <v>-54025</v>
      </c>
      <c r="Y1075" s="20">
        <v>0</v>
      </c>
      <c r="Z1075" s="20">
        <v>0</v>
      </c>
      <c r="AA1075" s="20">
        <v>0</v>
      </c>
      <c r="AB1075" s="20">
        <v>948871.51</v>
      </c>
      <c r="AC1075" t="s">
        <v>459</v>
      </c>
      <c r="AD1075" t="s">
        <v>290</v>
      </c>
      <c r="AE1075" s="702">
        <f t="shared" si="80"/>
        <v>43983</v>
      </c>
      <c r="AF1075" s="289">
        <v>1559677.5464022143</v>
      </c>
      <c r="AG1075">
        <f t="shared" si="81"/>
        <v>360</v>
      </c>
      <c r="AH1075" s="289">
        <f t="shared" si="82"/>
        <v>4332.4376288950398</v>
      </c>
      <c r="AJ1075" s="289">
        <f t="shared" si="83"/>
        <v>30</v>
      </c>
      <c r="AK1075" s="289">
        <f t="shared" si="84"/>
        <v>129973.1288668512</v>
      </c>
    </row>
    <row r="1076" spans="1:37">
      <c r="A1076" s="703" t="s">
        <v>1204</v>
      </c>
      <c r="B1076" s="703" t="s">
        <v>2311</v>
      </c>
      <c r="C1076" s="703" t="s">
        <v>454</v>
      </c>
      <c r="D1076" s="703" t="s">
        <v>334</v>
      </c>
      <c r="E1076" s="703" t="s">
        <v>334</v>
      </c>
      <c r="F1076" s="703" t="s">
        <v>455</v>
      </c>
      <c r="G1076" s="703" t="s">
        <v>1205</v>
      </c>
      <c r="H1076" s="703" t="s">
        <v>1206</v>
      </c>
      <c r="I1076" s="703" t="s">
        <v>334</v>
      </c>
      <c r="J1076" s="703" t="s">
        <v>458</v>
      </c>
      <c r="K1076" s="704">
        <v>0</v>
      </c>
      <c r="L1076" s="703" t="s">
        <v>334</v>
      </c>
      <c r="M1076" s="702"/>
      <c r="N1076" s="702">
        <v>43861</v>
      </c>
      <c r="O1076" s="703" t="s">
        <v>338</v>
      </c>
      <c r="P1076" s="20">
        <v>150354.26</v>
      </c>
      <c r="Q1076" s="20">
        <v>0</v>
      </c>
      <c r="R1076" s="20">
        <v>0</v>
      </c>
      <c r="S1076" s="20">
        <v>0</v>
      </c>
      <c r="T1076" s="20">
        <v>150354.26</v>
      </c>
      <c r="U1076" s="20">
        <v>137644.94</v>
      </c>
      <c r="V1076" s="20">
        <v>-12709.32</v>
      </c>
      <c r="W1076" s="20">
        <v>-20227.03</v>
      </c>
      <c r="X1076" s="20">
        <v>-7517.71</v>
      </c>
      <c r="Y1076" s="20">
        <v>0</v>
      </c>
      <c r="Z1076" s="20">
        <v>0</v>
      </c>
      <c r="AA1076" s="20">
        <v>0</v>
      </c>
      <c r="AB1076" s="20">
        <v>130127.23</v>
      </c>
      <c r="AC1076" t="s">
        <v>459</v>
      </c>
      <c r="AD1076" t="s">
        <v>290</v>
      </c>
      <c r="AE1076" s="702">
        <f t="shared" si="80"/>
        <v>43983</v>
      </c>
      <c r="AF1076" s="289">
        <v>217033.00631922315</v>
      </c>
      <c r="AG1076">
        <f t="shared" si="81"/>
        <v>360</v>
      </c>
      <c r="AH1076" s="289">
        <f t="shared" si="82"/>
        <v>602.86946199784211</v>
      </c>
      <c r="AJ1076" s="289">
        <f t="shared" si="83"/>
        <v>30</v>
      </c>
      <c r="AK1076" s="289">
        <f t="shared" si="84"/>
        <v>18086.083859935265</v>
      </c>
    </row>
    <row r="1077" spans="1:37">
      <c r="A1077" s="703" t="s">
        <v>460</v>
      </c>
      <c r="B1077" s="703" t="s">
        <v>2311</v>
      </c>
      <c r="C1077" s="703" t="s">
        <v>454</v>
      </c>
      <c r="D1077" s="703" t="s">
        <v>334</v>
      </c>
      <c r="E1077" s="703" t="s">
        <v>334</v>
      </c>
      <c r="F1077" s="703" t="s">
        <v>455</v>
      </c>
      <c r="G1077" s="703" t="s">
        <v>461</v>
      </c>
      <c r="H1077" s="703" t="s">
        <v>462</v>
      </c>
      <c r="I1077" s="703" t="s">
        <v>334</v>
      </c>
      <c r="J1077" s="703" t="s">
        <v>458</v>
      </c>
      <c r="K1077" s="704">
        <v>0</v>
      </c>
      <c r="L1077" s="703" t="s">
        <v>334</v>
      </c>
      <c r="M1077" s="702"/>
      <c r="N1077" s="702">
        <v>43861</v>
      </c>
      <c r="O1077" s="703" t="s">
        <v>338</v>
      </c>
      <c r="P1077" s="20">
        <v>323595.02</v>
      </c>
      <c r="Q1077" s="20">
        <v>0</v>
      </c>
      <c r="R1077" s="20">
        <v>0</v>
      </c>
      <c r="S1077" s="20">
        <v>0</v>
      </c>
      <c r="T1077" s="20">
        <v>323595.02</v>
      </c>
      <c r="U1077" s="20">
        <v>296406.38</v>
      </c>
      <c r="V1077" s="20">
        <v>-27188.639999999999</v>
      </c>
      <c r="W1077" s="20">
        <v>-43368.39</v>
      </c>
      <c r="X1077" s="20">
        <v>-16179.75</v>
      </c>
      <c r="Y1077" s="20">
        <v>0</v>
      </c>
      <c r="Z1077" s="20">
        <v>0</v>
      </c>
      <c r="AA1077" s="20">
        <v>0</v>
      </c>
      <c r="AB1077" s="20">
        <v>280226.63</v>
      </c>
      <c r="AC1077" t="s">
        <v>459</v>
      </c>
      <c r="AD1077" t="s">
        <v>290</v>
      </c>
      <c r="AE1077" s="702">
        <f t="shared" si="80"/>
        <v>43983</v>
      </c>
      <c r="AF1077" s="289">
        <v>467102.16272242065</v>
      </c>
      <c r="AG1077">
        <f t="shared" si="81"/>
        <v>360</v>
      </c>
      <c r="AH1077" s="289">
        <f t="shared" si="82"/>
        <v>1297.5060075622796</v>
      </c>
      <c r="AJ1077" s="289">
        <f t="shared" si="83"/>
        <v>30</v>
      </c>
      <c r="AK1077" s="289">
        <f t="shared" si="84"/>
        <v>38925.18022686839</v>
      </c>
    </row>
    <row r="1078" spans="1:37">
      <c r="A1078" s="703" t="s">
        <v>478</v>
      </c>
      <c r="B1078" s="703" t="s">
        <v>2311</v>
      </c>
      <c r="C1078" s="703" t="s">
        <v>472</v>
      </c>
      <c r="D1078" s="703" t="s">
        <v>473</v>
      </c>
      <c r="E1078" s="703" t="s">
        <v>334</v>
      </c>
      <c r="F1078" s="703" t="s">
        <v>474</v>
      </c>
      <c r="G1078" s="703" t="s">
        <v>479</v>
      </c>
      <c r="H1078" s="703" t="s">
        <v>480</v>
      </c>
      <c r="I1078" s="703" t="s">
        <v>334</v>
      </c>
      <c r="J1078" s="703" t="s">
        <v>476</v>
      </c>
      <c r="K1078" s="704">
        <v>0</v>
      </c>
      <c r="L1078" s="703" t="s">
        <v>334</v>
      </c>
      <c r="M1078" s="702"/>
      <c r="N1078" s="702">
        <v>43861</v>
      </c>
      <c r="O1078" s="703" t="s">
        <v>338</v>
      </c>
      <c r="P1078" s="20">
        <v>274587.83</v>
      </c>
      <c r="Q1078" s="20">
        <v>0</v>
      </c>
      <c r="R1078" s="20">
        <v>0</v>
      </c>
      <c r="S1078" s="20">
        <v>0</v>
      </c>
      <c r="T1078" s="20">
        <v>274587.83</v>
      </c>
      <c r="U1078" s="20">
        <v>231623.84</v>
      </c>
      <c r="V1078" s="20">
        <v>-42963.99</v>
      </c>
      <c r="W1078" s="20">
        <v>-70422.77</v>
      </c>
      <c r="X1078" s="20">
        <v>-27458.78</v>
      </c>
      <c r="Y1078" s="20">
        <v>0</v>
      </c>
      <c r="Z1078" s="20">
        <v>0</v>
      </c>
      <c r="AA1078" s="20">
        <v>0</v>
      </c>
      <c r="AB1078" s="20">
        <v>204165.06</v>
      </c>
      <c r="AC1078" t="s">
        <v>477</v>
      </c>
      <c r="AD1078" t="s">
        <v>290</v>
      </c>
      <c r="AE1078" s="702">
        <f t="shared" si="80"/>
        <v>43983</v>
      </c>
      <c r="AF1078" s="289">
        <v>396361.38173651858</v>
      </c>
      <c r="AG1078">
        <f t="shared" si="81"/>
        <v>360</v>
      </c>
      <c r="AH1078" s="289">
        <f t="shared" si="82"/>
        <v>1101.0038381569962</v>
      </c>
      <c r="AJ1078" s="289">
        <f t="shared" si="83"/>
        <v>30</v>
      </c>
      <c r="AK1078" s="289">
        <f t="shared" si="84"/>
        <v>33030.115144709882</v>
      </c>
    </row>
    <row r="1079" spans="1:37">
      <c r="A1079" s="703" t="s">
        <v>2329</v>
      </c>
      <c r="B1079" s="703" t="s">
        <v>484</v>
      </c>
      <c r="C1079" s="703" t="s">
        <v>485</v>
      </c>
      <c r="D1079" s="703" t="s">
        <v>486</v>
      </c>
      <c r="E1079" s="703" t="s">
        <v>334</v>
      </c>
      <c r="F1079" s="703" t="s">
        <v>487</v>
      </c>
      <c r="G1079" s="703" t="s">
        <v>2330</v>
      </c>
      <c r="H1079" s="703" t="s">
        <v>2331</v>
      </c>
      <c r="I1079" s="703" t="s">
        <v>334</v>
      </c>
      <c r="J1079" s="703" t="s">
        <v>490</v>
      </c>
      <c r="K1079" s="704">
        <v>0</v>
      </c>
      <c r="L1079" s="703" t="s">
        <v>334</v>
      </c>
      <c r="M1079" s="702"/>
      <c r="N1079" s="702">
        <v>43861</v>
      </c>
      <c r="O1079" s="703" t="s">
        <v>338</v>
      </c>
      <c r="P1079" s="20">
        <v>1424904.05</v>
      </c>
      <c r="Q1079" s="20">
        <v>0</v>
      </c>
      <c r="R1079" s="20">
        <v>0</v>
      </c>
      <c r="S1079" s="20">
        <v>0</v>
      </c>
      <c r="T1079" s="20">
        <v>1424904.05</v>
      </c>
      <c r="U1079" s="20">
        <v>1424904.05</v>
      </c>
      <c r="V1079" s="20">
        <v>0</v>
      </c>
      <c r="W1079" s="20">
        <v>0</v>
      </c>
      <c r="X1079" s="20">
        <v>0</v>
      </c>
      <c r="Y1079" s="20">
        <v>0</v>
      </c>
      <c r="Z1079" s="20">
        <v>0</v>
      </c>
      <c r="AA1079" s="20">
        <v>0</v>
      </c>
      <c r="AB1079" s="20">
        <v>1424904.05</v>
      </c>
      <c r="AC1079" t="s">
        <v>491</v>
      </c>
      <c r="AD1079" t="s">
        <v>492</v>
      </c>
      <c r="AE1079" s="702">
        <f t="shared" si="80"/>
        <v>43983</v>
      </c>
      <c r="AF1079" s="289">
        <v>2056817.0777997021</v>
      </c>
      <c r="AG1079">
        <f t="shared" si="81"/>
        <v>360</v>
      </c>
      <c r="AH1079" s="289">
        <f t="shared" si="82"/>
        <v>5713.3807716658393</v>
      </c>
      <c r="AJ1079" s="289">
        <f t="shared" si="83"/>
        <v>30</v>
      </c>
      <c r="AK1079" s="289">
        <f t="shared" si="84"/>
        <v>0</v>
      </c>
    </row>
    <row r="1080" spans="1:37">
      <c r="A1080" s="703" t="s">
        <v>2332</v>
      </c>
      <c r="B1080" s="703" t="s">
        <v>484</v>
      </c>
      <c r="C1080" s="703" t="s">
        <v>485</v>
      </c>
      <c r="D1080" s="703" t="s">
        <v>486</v>
      </c>
      <c r="E1080" s="703" t="s">
        <v>334</v>
      </c>
      <c r="F1080" s="703" t="s">
        <v>487</v>
      </c>
      <c r="G1080" s="703" t="s">
        <v>2330</v>
      </c>
      <c r="H1080" s="703" t="s">
        <v>2333</v>
      </c>
      <c r="I1080" s="703" t="s">
        <v>334</v>
      </c>
      <c r="J1080" s="703" t="s">
        <v>490</v>
      </c>
      <c r="K1080" s="704">
        <v>0</v>
      </c>
      <c r="L1080" s="703" t="s">
        <v>334</v>
      </c>
      <c r="M1080" s="702"/>
      <c r="N1080" s="702">
        <v>43861</v>
      </c>
      <c r="O1080" s="703" t="s">
        <v>338</v>
      </c>
      <c r="P1080" s="20">
        <v>450845.22</v>
      </c>
      <c r="Q1080" s="20">
        <v>37841.72</v>
      </c>
      <c r="R1080" s="20">
        <v>0</v>
      </c>
      <c r="S1080" s="20">
        <v>0</v>
      </c>
      <c r="T1080" s="20">
        <v>488686.94</v>
      </c>
      <c r="U1080" s="20">
        <v>450845.22</v>
      </c>
      <c r="V1080" s="20">
        <v>0</v>
      </c>
      <c r="W1080" s="20">
        <v>0</v>
      </c>
      <c r="X1080" s="20">
        <v>0</v>
      </c>
      <c r="Y1080" s="20">
        <v>0</v>
      </c>
      <c r="Z1080" s="20">
        <v>0</v>
      </c>
      <c r="AA1080" s="20">
        <v>0</v>
      </c>
      <c r="AB1080" s="20">
        <v>488686.94</v>
      </c>
      <c r="AC1080" t="s">
        <v>491</v>
      </c>
      <c r="AD1080" t="s">
        <v>492</v>
      </c>
      <c r="AE1080" s="702">
        <f t="shared" si="80"/>
        <v>43983</v>
      </c>
      <c r="AF1080" s="289">
        <v>705408.65112263407</v>
      </c>
      <c r="AG1080">
        <f t="shared" si="81"/>
        <v>360</v>
      </c>
      <c r="AH1080" s="289">
        <f t="shared" si="82"/>
        <v>1959.4684753406502</v>
      </c>
      <c r="AJ1080" s="289">
        <f t="shared" si="83"/>
        <v>30</v>
      </c>
      <c r="AK1080" s="289">
        <f t="shared" si="84"/>
        <v>0</v>
      </c>
    </row>
    <row r="1081" spans="1:37">
      <c r="A1081" s="703" t="s">
        <v>1770</v>
      </c>
      <c r="B1081" s="703" t="s">
        <v>2311</v>
      </c>
      <c r="C1081" s="703" t="s">
        <v>454</v>
      </c>
      <c r="D1081" s="703" t="s">
        <v>1771</v>
      </c>
      <c r="E1081" s="703" t="s">
        <v>334</v>
      </c>
      <c r="F1081" s="703" t="s">
        <v>455</v>
      </c>
      <c r="G1081" s="703" t="s">
        <v>1772</v>
      </c>
      <c r="H1081" s="703" t="s">
        <v>334</v>
      </c>
      <c r="I1081" s="703" t="s">
        <v>334</v>
      </c>
      <c r="J1081" s="703" t="s">
        <v>458</v>
      </c>
      <c r="K1081" s="704">
        <v>0</v>
      </c>
      <c r="L1081" s="703" t="s">
        <v>334</v>
      </c>
      <c r="M1081" s="702"/>
      <c r="N1081" s="702">
        <v>43890</v>
      </c>
      <c r="O1081" s="703" t="s">
        <v>338</v>
      </c>
      <c r="P1081" s="20">
        <v>28036.66</v>
      </c>
      <c r="Q1081" s="20">
        <v>0</v>
      </c>
      <c r="R1081" s="20">
        <v>0</v>
      </c>
      <c r="S1081" s="20">
        <v>0</v>
      </c>
      <c r="T1081" s="20">
        <v>28036.66</v>
      </c>
      <c r="U1081" s="20">
        <v>25985.96</v>
      </c>
      <c r="V1081" s="20">
        <v>-2050.6999999999998</v>
      </c>
      <c r="W1081" s="20">
        <v>-3452.53</v>
      </c>
      <c r="X1081" s="20">
        <v>-1401.83</v>
      </c>
      <c r="Y1081" s="20">
        <v>0</v>
      </c>
      <c r="Z1081" s="20">
        <v>0</v>
      </c>
      <c r="AA1081" s="20">
        <v>0</v>
      </c>
      <c r="AB1081" s="20">
        <v>24584.13</v>
      </c>
      <c r="AC1081" t="s">
        <v>459</v>
      </c>
      <c r="AD1081" t="s">
        <v>290</v>
      </c>
      <c r="AE1081" s="702">
        <f t="shared" si="80"/>
        <v>43983</v>
      </c>
      <c r="AF1081" s="289">
        <v>40470.290678494319</v>
      </c>
      <c r="AG1081">
        <f t="shared" si="81"/>
        <v>360</v>
      </c>
      <c r="AH1081" s="289">
        <f t="shared" si="82"/>
        <v>112.41747410692867</v>
      </c>
      <c r="AJ1081" s="289">
        <f t="shared" si="83"/>
        <v>30</v>
      </c>
      <c r="AK1081" s="289">
        <f t="shared" si="84"/>
        <v>3372.5242232078599</v>
      </c>
    </row>
    <row r="1082" spans="1:37">
      <c r="A1082" s="703" t="s">
        <v>1773</v>
      </c>
      <c r="B1082" s="703" t="s">
        <v>2311</v>
      </c>
      <c r="C1082" s="703" t="s">
        <v>454</v>
      </c>
      <c r="D1082" s="703" t="s">
        <v>467</v>
      </c>
      <c r="E1082" s="703" t="s">
        <v>334</v>
      </c>
      <c r="F1082" s="703" t="s">
        <v>455</v>
      </c>
      <c r="G1082" s="703" t="s">
        <v>1774</v>
      </c>
      <c r="H1082" s="703" t="s">
        <v>334</v>
      </c>
      <c r="I1082" s="703" t="s">
        <v>334</v>
      </c>
      <c r="J1082" s="703" t="s">
        <v>458</v>
      </c>
      <c r="K1082" s="704">
        <v>0</v>
      </c>
      <c r="L1082" s="703" t="s">
        <v>334</v>
      </c>
      <c r="M1082" s="702"/>
      <c r="N1082" s="702">
        <v>43890</v>
      </c>
      <c r="O1082" s="703" t="s">
        <v>338</v>
      </c>
      <c r="P1082" s="20">
        <v>1110664.04</v>
      </c>
      <c r="Q1082" s="20">
        <v>0</v>
      </c>
      <c r="R1082" s="20">
        <v>0</v>
      </c>
      <c r="S1082" s="20">
        <v>0</v>
      </c>
      <c r="T1082" s="20">
        <v>1110664.04</v>
      </c>
      <c r="U1082" s="20">
        <v>1030404.65</v>
      </c>
      <c r="V1082" s="20">
        <v>-80259.39</v>
      </c>
      <c r="W1082" s="20">
        <v>-135792.59</v>
      </c>
      <c r="X1082" s="20">
        <v>-55533.2</v>
      </c>
      <c r="Y1082" s="20">
        <v>0</v>
      </c>
      <c r="Z1082" s="20">
        <v>0</v>
      </c>
      <c r="AA1082" s="20">
        <v>0</v>
      </c>
      <c r="AB1082" s="20">
        <v>974871.45</v>
      </c>
      <c r="AC1082" t="s">
        <v>459</v>
      </c>
      <c r="AD1082" t="s">
        <v>290</v>
      </c>
      <c r="AE1082" s="702">
        <f t="shared" si="80"/>
        <v>43983</v>
      </c>
      <c r="AF1082" s="289">
        <v>1603218.6624566135</v>
      </c>
      <c r="AG1082">
        <f t="shared" si="81"/>
        <v>360</v>
      </c>
      <c r="AH1082" s="289">
        <f t="shared" si="82"/>
        <v>4453.3851734905929</v>
      </c>
      <c r="AJ1082" s="289">
        <f t="shared" si="83"/>
        <v>30</v>
      </c>
      <c r="AK1082" s="289">
        <f t="shared" si="84"/>
        <v>133601.55520471779</v>
      </c>
    </row>
    <row r="1083" spans="1:37">
      <c r="A1083" s="703" t="s">
        <v>2334</v>
      </c>
      <c r="B1083" s="703" t="s">
        <v>484</v>
      </c>
      <c r="C1083" s="703" t="s">
        <v>1776</v>
      </c>
      <c r="D1083" s="703" t="s">
        <v>333</v>
      </c>
      <c r="E1083" s="703" t="s">
        <v>334</v>
      </c>
      <c r="F1083" s="703" t="s">
        <v>487</v>
      </c>
      <c r="G1083" s="703" t="s">
        <v>2335</v>
      </c>
      <c r="H1083" s="703" t="s">
        <v>2336</v>
      </c>
      <c r="I1083" s="703" t="s">
        <v>334</v>
      </c>
      <c r="J1083" s="703" t="s">
        <v>490</v>
      </c>
      <c r="K1083" s="704">
        <v>0</v>
      </c>
      <c r="L1083" s="703" t="s">
        <v>334</v>
      </c>
      <c r="M1083" s="702"/>
      <c r="N1083" s="702">
        <v>43890</v>
      </c>
      <c r="O1083" s="703" t="s">
        <v>338</v>
      </c>
      <c r="P1083" s="20">
        <v>176985.86</v>
      </c>
      <c r="Q1083" s="20">
        <v>0</v>
      </c>
      <c r="R1083" s="20">
        <v>0</v>
      </c>
      <c r="S1083" s="20">
        <v>0</v>
      </c>
      <c r="T1083" s="20">
        <v>176985.86</v>
      </c>
      <c r="U1083" s="20">
        <v>176985.86</v>
      </c>
      <c r="V1083" s="20">
        <v>0</v>
      </c>
      <c r="W1083" s="20">
        <v>0</v>
      </c>
      <c r="X1083" s="20">
        <v>0</v>
      </c>
      <c r="Y1083" s="20">
        <v>0</v>
      </c>
      <c r="Z1083" s="20">
        <v>0</v>
      </c>
      <c r="AA1083" s="20">
        <v>0</v>
      </c>
      <c r="AB1083" s="20">
        <v>176985.86</v>
      </c>
      <c r="AC1083" t="s">
        <v>1779</v>
      </c>
      <c r="AD1083" t="s">
        <v>492</v>
      </c>
      <c r="AE1083" s="702">
        <f t="shared" si="80"/>
        <v>43983</v>
      </c>
      <c r="AF1083" s="289">
        <v>255475.1243615787</v>
      </c>
      <c r="AG1083">
        <f t="shared" si="81"/>
        <v>360</v>
      </c>
      <c r="AH1083" s="289">
        <f t="shared" si="82"/>
        <v>709.65312322660748</v>
      </c>
      <c r="AJ1083" s="289">
        <f t="shared" si="83"/>
        <v>30</v>
      </c>
      <c r="AK1083" s="289">
        <f t="shared" si="84"/>
        <v>0</v>
      </c>
    </row>
    <row r="1084" spans="1:37">
      <c r="A1084" s="703" t="s">
        <v>2337</v>
      </c>
      <c r="B1084" s="703" t="s">
        <v>484</v>
      </c>
      <c r="C1084" s="703" t="s">
        <v>1776</v>
      </c>
      <c r="D1084" s="703" t="s">
        <v>333</v>
      </c>
      <c r="E1084" s="703" t="s">
        <v>334</v>
      </c>
      <c r="F1084" s="703" t="s">
        <v>487</v>
      </c>
      <c r="G1084" s="703" t="s">
        <v>2338</v>
      </c>
      <c r="H1084" s="703" t="s">
        <v>2339</v>
      </c>
      <c r="I1084" s="703" t="s">
        <v>334</v>
      </c>
      <c r="J1084" s="703" t="s">
        <v>490</v>
      </c>
      <c r="K1084" s="704">
        <v>0</v>
      </c>
      <c r="L1084" s="703" t="s">
        <v>334</v>
      </c>
      <c r="M1084" s="702"/>
      <c r="N1084" s="702">
        <v>43890</v>
      </c>
      <c r="O1084" s="703" t="s">
        <v>338</v>
      </c>
      <c r="P1084" s="20">
        <v>168602.15</v>
      </c>
      <c r="Q1084" s="20">
        <v>0</v>
      </c>
      <c r="R1084" s="20">
        <v>0</v>
      </c>
      <c r="S1084" s="20">
        <v>0</v>
      </c>
      <c r="T1084" s="20">
        <v>168602.15</v>
      </c>
      <c r="U1084" s="20">
        <v>168602.15</v>
      </c>
      <c r="V1084" s="20">
        <v>0</v>
      </c>
      <c r="W1084" s="20">
        <v>0</v>
      </c>
      <c r="X1084" s="20">
        <v>0</v>
      </c>
      <c r="Y1084" s="20">
        <v>0</v>
      </c>
      <c r="Z1084" s="20">
        <v>0</v>
      </c>
      <c r="AA1084" s="20">
        <v>0</v>
      </c>
      <c r="AB1084" s="20">
        <v>168602.15</v>
      </c>
      <c r="AC1084" t="s">
        <v>1779</v>
      </c>
      <c r="AD1084" t="s">
        <v>492</v>
      </c>
      <c r="AE1084" s="702">
        <f t="shared" si="80"/>
        <v>43983</v>
      </c>
      <c r="AF1084" s="289">
        <v>243373.42677476918</v>
      </c>
      <c r="AG1084">
        <f t="shared" si="81"/>
        <v>360</v>
      </c>
      <c r="AH1084" s="289">
        <f t="shared" si="82"/>
        <v>676.03729659658109</v>
      </c>
      <c r="AJ1084" s="289">
        <f t="shared" si="83"/>
        <v>30</v>
      </c>
      <c r="AK1084" s="289">
        <f t="shared" si="84"/>
        <v>0</v>
      </c>
    </row>
    <row r="1085" spans="1:37">
      <c r="A1085" s="703" t="s">
        <v>2174</v>
      </c>
      <c r="B1085" s="703" t="s">
        <v>2311</v>
      </c>
      <c r="C1085" s="703" t="s">
        <v>454</v>
      </c>
      <c r="D1085" s="703" t="s">
        <v>467</v>
      </c>
      <c r="E1085" s="703" t="s">
        <v>334</v>
      </c>
      <c r="F1085" s="703" t="s">
        <v>455</v>
      </c>
      <c r="G1085" s="703" t="s">
        <v>2175</v>
      </c>
      <c r="H1085" s="703" t="s">
        <v>334</v>
      </c>
      <c r="I1085" s="703" t="s">
        <v>334</v>
      </c>
      <c r="J1085" s="703" t="s">
        <v>458</v>
      </c>
      <c r="K1085" s="704">
        <v>0</v>
      </c>
      <c r="L1085" s="703" t="s">
        <v>334</v>
      </c>
      <c r="M1085" s="702"/>
      <c r="N1085" s="702">
        <v>43921</v>
      </c>
      <c r="O1085" s="703" t="s">
        <v>338</v>
      </c>
      <c r="P1085" s="20">
        <v>20468.3</v>
      </c>
      <c r="Q1085" s="20">
        <v>0</v>
      </c>
      <c r="R1085" s="20">
        <v>0</v>
      </c>
      <c r="S1085" s="20">
        <v>0</v>
      </c>
      <c r="T1085" s="20">
        <v>20468.3</v>
      </c>
      <c r="U1085" s="20">
        <v>18899.189999999999</v>
      </c>
      <c r="V1085" s="20">
        <v>-1569.11</v>
      </c>
      <c r="W1085" s="20">
        <v>-2592.5300000000002</v>
      </c>
      <c r="X1085" s="20">
        <v>-1023.42</v>
      </c>
      <c r="Y1085" s="20">
        <v>0</v>
      </c>
      <c r="Z1085" s="20">
        <v>0</v>
      </c>
      <c r="AA1085" s="20">
        <v>0</v>
      </c>
      <c r="AB1085" s="20">
        <v>17875.77</v>
      </c>
      <c r="AC1085" t="s">
        <v>459</v>
      </c>
      <c r="AD1085" t="s">
        <v>290</v>
      </c>
      <c r="AE1085" s="702">
        <f t="shared" si="80"/>
        <v>43983</v>
      </c>
      <c r="AF1085" s="289">
        <v>29545.532552544599</v>
      </c>
      <c r="AG1085">
        <f t="shared" si="81"/>
        <v>360</v>
      </c>
      <c r="AH1085" s="289">
        <f t="shared" si="82"/>
        <v>82.070923757068329</v>
      </c>
      <c r="AJ1085" s="289">
        <f t="shared" si="83"/>
        <v>30</v>
      </c>
      <c r="AK1085" s="289">
        <f t="shared" si="84"/>
        <v>2462.1277127120497</v>
      </c>
    </row>
    <row r="1086" spans="1:37">
      <c r="A1086" s="703" t="s">
        <v>453</v>
      </c>
      <c r="B1086" s="703" t="s">
        <v>2311</v>
      </c>
      <c r="C1086" s="703" t="s">
        <v>454</v>
      </c>
      <c r="D1086" s="703" t="s">
        <v>334</v>
      </c>
      <c r="E1086" s="703" t="s">
        <v>334</v>
      </c>
      <c r="F1086" s="703" t="s">
        <v>455</v>
      </c>
      <c r="G1086" s="703" t="s">
        <v>456</v>
      </c>
      <c r="H1086" s="703" t="s">
        <v>457</v>
      </c>
      <c r="I1086" s="703" t="s">
        <v>334</v>
      </c>
      <c r="J1086" s="703" t="s">
        <v>458</v>
      </c>
      <c r="K1086" s="704">
        <v>0</v>
      </c>
      <c r="L1086" s="703" t="s">
        <v>334</v>
      </c>
      <c r="M1086" s="702"/>
      <c r="N1086" s="702">
        <v>43921</v>
      </c>
      <c r="O1086" s="703" t="s">
        <v>338</v>
      </c>
      <c r="P1086" s="20">
        <v>252898</v>
      </c>
      <c r="Q1086" s="20">
        <v>0</v>
      </c>
      <c r="R1086" s="20">
        <v>0</v>
      </c>
      <c r="S1086" s="20">
        <v>0</v>
      </c>
      <c r="T1086" s="20">
        <v>252898</v>
      </c>
      <c r="U1086" s="20">
        <v>236727.18</v>
      </c>
      <c r="V1086" s="20">
        <v>-16170.82</v>
      </c>
      <c r="W1086" s="20">
        <v>-28815.72</v>
      </c>
      <c r="X1086" s="20">
        <v>-12644.9</v>
      </c>
      <c r="Y1086" s="20">
        <v>0</v>
      </c>
      <c r="Z1086" s="20">
        <v>0</v>
      </c>
      <c r="AA1086" s="20">
        <v>0</v>
      </c>
      <c r="AB1086" s="20">
        <v>224082.28</v>
      </c>
      <c r="AC1086" t="s">
        <v>459</v>
      </c>
      <c r="AD1086" t="s">
        <v>290</v>
      </c>
      <c r="AE1086" s="702">
        <f t="shared" si="80"/>
        <v>43983</v>
      </c>
      <c r="AF1086" s="289">
        <v>365052.59799169574</v>
      </c>
      <c r="AG1086">
        <f t="shared" si="81"/>
        <v>360</v>
      </c>
      <c r="AH1086" s="289">
        <f t="shared" si="82"/>
        <v>1014.0349944213771</v>
      </c>
      <c r="AJ1086" s="289">
        <f t="shared" si="83"/>
        <v>30</v>
      </c>
      <c r="AK1086" s="289">
        <f t="shared" si="84"/>
        <v>30421.049832641311</v>
      </c>
    </row>
    <row r="1087" spans="1:37">
      <c r="A1087" s="703" t="s">
        <v>1207</v>
      </c>
      <c r="B1087" s="703" t="s">
        <v>2311</v>
      </c>
      <c r="C1087" s="703" t="s">
        <v>472</v>
      </c>
      <c r="D1087" s="703" t="s">
        <v>334</v>
      </c>
      <c r="E1087" s="703" t="s">
        <v>334</v>
      </c>
      <c r="F1087" s="703" t="s">
        <v>474</v>
      </c>
      <c r="G1087" s="703" t="s">
        <v>810</v>
      </c>
      <c r="H1087" s="703" t="s">
        <v>1208</v>
      </c>
      <c r="I1087" s="703" t="s">
        <v>334</v>
      </c>
      <c r="J1087" s="703" t="s">
        <v>476</v>
      </c>
      <c r="K1087" s="704">
        <v>0</v>
      </c>
      <c r="L1087" s="703" t="s">
        <v>334</v>
      </c>
      <c r="M1087" s="702"/>
      <c r="N1087" s="702">
        <v>43921</v>
      </c>
      <c r="O1087" s="703" t="s">
        <v>338</v>
      </c>
      <c r="P1087" s="20">
        <v>42520.800000000003</v>
      </c>
      <c r="Q1087" s="20">
        <v>0</v>
      </c>
      <c r="R1087" s="20">
        <v>0</v>
      </c>
      <c r="S1087" s="20">
        <v>0</v>
      </c>
      <c r="T1087" s="20">
        <v>42520.800000000003</v>
      </c>
      <c r="U1087" s="20">
        <v>36130.379999999997</v>
      </c>
      <c r="V1087" s="20">
        <v>-6390.42</v>
      </c>
      <c r="W1087" s="20">
        <v>-10642.5</v>
      </c>
      <c r="X1087" s="20">
        <v>-4252.08</v>
      </c>
      <c r="Y1087" s="20">
        <v>0</v>
      </c>
      <c r="Z1087" s="20">
        <v>0</v>
      </c>
      <c r="AA1087" s="20">
        <v>0</v>
      </c>
      <c r="AB1087" s="20">
        <v>31878.3</v>
      </c>
      <c r="AC1087" t="s">
        <v>477</v>
      </c>
      <c r="AD1087" t="s">
        <v>290</v>
      </c>
      <c r="AE1087" s="702">
        <f t="shared" si="80"/>
        <v>43983</v>
      </c>
      <c r="AF1087" s="289">
        <v>61377.822318425984</v>
      </c>
      <c r="AG1087">
        <f t="shared" si="81"/>
        <v>360</v>
      </c>
      <c r="AH1087" s="289">
        <f t="shared" si="82"/>
        <v>170.49395088451664</v>
      </c>
      <c r="AJ1087" s="289">
        <f t="shared" si="83"/>
        <v>30</v>
      </c>
      <c r="AK1087" s="289">
        <f t="shared" si="84"/>
        <v>5114.8185265354987</v>
      </c>
    </row>
    <row r="1088" spans="1:37">
      <c r="A1088" s="703" t="s">
        <v>2340</v>
      </c>
      <c r="B1088" s="703" t="s">
        <v>484</v>
      </c>
      <c r="C1088" s="703" t="s">
        <v>1776</v>
      </c>
      <c r="D1088" s="703" t="s">
        <v>333</v>
      </c>
      <c r="E1088" s="703" t="s">
        <v>334</v>
      </c>
      <c r="F1088" s="703" t="s">
        <v>487</v>
      </c>
      <c r="G1088" s="703" t="s">
        <v>2341</v>
      </c>
      <c r="H1088" s="703" t="s">
        <v>334</v>
      </c>
      <c r="I1088" s="703" t="s">
        <v>334</v>
      </c>
      <c r="J1088" s="703" t="s">
        <v>490</v>
      </c>
      <c r="K1088" s="704">
        <v>0</v>
      </c>
      <c r="L1088" s="703" t="s">
        <v>334</v>
      </c>
      <c r="M1088" s="702"/>
      <c r="N1088" s="702">
        <v>43921</v>
      </c>
      <c r="O1088" s="703" t="s">
        <v>338</v>
      </c>
      <c r="P1088" s="20">
        <v>17504.8</v>
      </c>
      <c r="Q1088" s="20">
        <v>0</v>
      </c>
      <c r="R1088" s="20">
        <v>0</v>
      </c>
      <c r="S1088" s="20">
        <v>0</v>
      </c>
      <c r="T1088" s="20">
        <v>17504.8</v>
      </c>
      <c r="U1088" s="20">
        <v>17504.8</v>
      </c>
      <c r="V1088" s="20">
        <v>0</v>
      </c>
      <c r="W1088" s="20">
        <v>0</v>
      </c>
      <c r="X1088" s="20">
        <v>0</v>
      </c>
      <c r="Y1088" s="20">
        <v>0</v>
      </c>
      <c r="Z1088" s="20">
        <v>0</v>
      </c>
      <c r="AA1088" s="20">
        <v>0</v>
      </c>
      <c r="AB1088" s="20">
        <v>17504.8</v>
      </c>
      <c r="AC1088" t="s">
        <v>1779</v>
      </c>
      <c r="AD1088" t="s">
        <v>492</v>
      </c>
      <c r="AE1088" s="702">
        <f t="shared" si="80"/>
        <v>43983</v>
      </c>
      <c r="AF1088" s="289">
        <v>25267.786686035615</v>
      </c>
      <c r="AG1088">
        <f t="shared" si="81"/>
        <v>360</v>
      </c>
      <c r="AH1088" s="289">
        <f t="shared" si="82"/>
        <v>70.188296350098938</v>
      </c>
      <c r="AJ1088" s="289">
        <f t="shared" si="83"/>
        <v>30</v>
      </c>
      <c r="AK1088" s="289">
        <f t="shared" si="84"/>
        <v>0</v>
      </c>
    </row>
    <row r="1089" spans="1:37">
      <c r="A1089" s="703" t="s">
        <v>2342</v>
      </c>
      <c r="B1089" s="703" t="s">
        <v>484</v>
      </c>
      <c r="C1089" s="703" t="s">
        <v>1210</v>
      </c>
      <c r="D1089" s="703" t="s">
        <v>391</v>
      </c>
      <c r="E1089" s="703" t="s">
        <v>334</v>
      </c>
      <c r="F1089" s="703" t="s">
        <v>487</v>
      </c>
      <c r="G1089" s="703" t="s">
        <v>2301</v>
      </c>
      <c r="H1089" s="703" t="s">
        <v>334</v>
      </c>
      <c r="I1089" s="703" t="s">
        <v>334</v>
      </c>
      <c r="J1089" s="703" t="s">
        <v>490</v>
      </c>
      <c r="K1089" s="704">
        <v>0</v>
      </c>
      <c r="L1089" s="703" t="s">
        <v>334</v>
      </c>
      <c r="M1089" s="702"/>
      <c r="N1089" s="702">
        <v>43921</v>
      </c>
      <c r="O1089" s="703" t="s">
        <v>338</v>
      </c>
      <c r="P1089" s="20">
        <v>46293.06</v>
      </c>
      <c r="Q1089" s="20">
        <v>23226.94</v>
      </c>
      <c r="R1089" s="20">
        <v>-23600.240000000002</v>
      </c>
      <c r="S1089" s="20">
        <v>0</v>
      </c>
      <c r="T1089" s="20">
        <v>45919.76</v>
      </c>
      <c r="U1089" s="20">
        <v>46293.06</v>
      </c>
      <c r="V1089" s="20">
        <v>0</v>
      </c>
      <c r="W1089" s="20">
        <v>0</v>
      </c>
      <c r="X1089" s="20">
        <v>0</v>
      </c>
      <c r="Y1089" s="20">
        <v>0</v>
      </c>
      <c r="Z1089" s="20">
        <v>0</v>
      </c>
      <c r="AA1089" s="20">
        <v>0</v>
      </c>
      <c r="AB1089" s="20">
        <v>45919.76</v>
      </c>
      <c r="AC1089" t="s">
        <v>1212</v>
      </c>
      <c r="AD1089" t="s">
        <v>492</v>
      </c>
      <c r="AE1089" s="702">
        <f t="shared" si="80"/>
        <v>43983</v>
      </c>
      <c r="AF1089" s="289">
        <v>66284.144940470665</v>
      </c>
      <c r="AG1089">
        <f t="shared" si="81"/>
        <v>360</v>
      </c>
      <c r="AH1089" s="289">
        <f t="shared" si="82"/>
        <v>184.12262483464073</v>
      </c>
      <c r="AJ1089" s="289">
        <f t="shared" si="83"/>
        <v>30</v>
      </c>
      <c r="AK1089" s="289">
        <f t="shared" si="84"/>
        <v>0</v>
      </c>
    </row>
    <row r="1090" spans="1:37">
      <c r="A1090" s="703" t="s">
        <v>2343</v>
      </c>
      <c r="B1090" s="703" t="s">
        <v>484</v>
      </c>
      <c r="C1090" s="703" t="s">
        <v>485</v>
      </c>
      <c r="D1090" s="703" t="s">
        <v>486</v>
      </c>
      <c r="E1090" s="703" t="s">
        <v>334</v>
      </c>
      <c r="F1090" s="703" t="s">
        <v>487</v>
      </c>
      <c r="G1090" s="703" t="s">
        <v>2330</v>
      </c>
      <c r="H1090" s="703" t="s">
        <v>2344</v>
      </c>
      <c r="I1090" s="703" t="s">
        <v>334</v>
      </c>
      <c r="J1090" s="703" t="s">
        <v>490</v>
      </c>
      <c r="K1090" s="704">
        <v>0</v>
      </c>
      <c r="L1090" s="703" t="s">
        <v>334</v>
      </c>
      <c r="M1090" s="702"/>
      <c r="N1090" s="702">
        <v>43921</v>
      </c>
      <c r="O1090" s="703" t="s">
        <v>338</v>
      </c>
      <c r="P1090" s="20">
        <v>12416</v>
      </c>
      <c r="Q1090" s="20">
        <v>0</v>
      </c>
      <c r="R1090" s="20">
        <v>0</v>
      </c>
      <c r="S1090" s="20">
        <v>0</v>
      </c>
      <c r="T1090" s="20">
        <v>12416</v>
      </c>
      <c r="U1090" s="20">
        <v>12416</v>
      </c>
      <c r="V1090" s="20">
        <v>0</v>
      </c>
      <c r="W1090" s="20">
        <v>0</v>
      </c>
      <c r="X1090" s="20">
        <v>0</v>
      </c>
      <c r="Y1090" s="20">
        <v>0</v>
      </c>
      <c r="Z1090" s="20">
        <v>0</v>
      </c>
      <c r="AA1090" s="20">
        <v>0</v>
      </c>
      <c r="AB1090" s="20">
        <v>12416</v>
      </c>
      <c r="AC1090" t="s">
        <v>491</v>
      </c>
      <c r="AD1090" t="s">
        <v>492</v>
      </c>
      <c r="AE1090" s="702">
        <f t="shared" si="80"/>
        <v>43983</v>
      </c>
      <c r="AF1090" s="289">
        <v>17922.217877029056</v>
      </c>
      <c r="AG1090">
        <f t="shared" si="81"/>
        <v>360</v>
      </c>
      <c r="AH1090" s="289">
        <f t="shared" si="82"/>
        <v>49.783938547302931</v>
      </c>
      <c r="AJ1090" s="289">
        <f t="shared" si="83"/>
        <v>30</v>
      </c>
      <c r="AK1090" s="289">
        <f t="shared" si="84"/>
        <v>0</v>
      </c>
    </row>
    <row r="1091" spans="1:37">
      <c r="A1091" s="703" t="s">
        <v>809</v>
      </c>
      <c r="B1091" s="703" t="s">
        <v>2311</v>
      </c>
      <c r="C1091" s="703" t="s">
        <v>472</v>
      </c>
      <c r="D1091" s="703" t="s">
        <v>334</v>
      </c>
      <c r="E1091" s="703" t="s">
        <v>334</v>
      </c>
      <c r="F1091" s="703" t="s">
        <v>474</v>
      </c>
      <c r="G1091" s="703" t="s">
        <v>810</v>
      </c>
      <c r="H1091" s="703" t="s">
        <v>811</v>
      </c>
      <c r="I1091" s="703" t="s">
        <v>334</v>
      </c>
      <c r="J1091" s="703" t="s">
        <v>476</v>
      </c>
      <c r="K1091" s="704">
        <v>0</v>
      </c>
      <c r="L1091" s="703" t="s">
        <v>334</v>
      </c>
      <c r="M1091" s="702"/>
      <c r="N1091" s="702">
        <v>43951</v>
      </c>
      <c r="O1091" s="703" t="s">
        <v>338</v>
      </c>
      <c r="P1091" s="20">
        <v>73483.91</v>
      </c>
      <c r="Q1091" s="20">
        <v>0</v>
      </c>
      <c r="R1091" s="20">
        <v>0</v>
      </c>
      <c r="S1091" s="20">
        <v>0</v>
      </c>
      <c r="T1091" s="20">
        <v>73483.91</v>
      </c>
      <c r="U1091" s="20">
        <v>63651.66</v>
      </c>
      <c r="V1091" s="20">
        <v>-9832.25</v>
      </c>
      <c r="W1091" s="20">
        <v>-17180.64</v>
      </c>
      <c r="X1091" s="20">
        <v>-7348.39</v>
      </c>
      <c r="Y1091" s="20">
        <v>0</v>
      </c>
      <c r="Z1091" s="20">
        <v>0</v>
      </c>
      <c r="AA1091" s="20">
        <v>0</v>
      </c>
      <c r="AB1091" s="20">
        <v>56303.27</v>
      </c>
      <c r="AC1091" t="s">
        <v>477</v>
      </c>
      <c r="AD1091" t="s">
        <v>290</v>
      </c>
      <c r="AE1091" s="702">
        <f t="shared" si="80"/>
        <v>43983</v>
      </c>
      <c r="AF1091" s="289">
        <v>106072.37801836293</v>
      </c>
      <c r="AG1091">
        <f t="shared" si="81"/>
        <v>360</v>
      </c>
      <c r="AH1091" s="289">
        <f t="shared" si="82"/>
        <v>294.64549449545257</v>
      </c>
      <c r="AJ1091" s="289">
        <f t="shared" si="83"/>
        <v>30</v>
      </c>
      <c r="AK1091" s="289">
        <f t="shared" si="84"/>
        <v>8839.3648348635761</v>
      </c>
    </row>
    <row r="1092" spans="1:37">
      <c r="A1092" s="703" t="s">
        <v>518</v>
      </c>
      <c r="B1092" s="703" t="s">
        <v>2311</v>
      </c>
      <c r="C1092" s="703" t="s">
        <v>472</v>
      </c>
      <c r="D1092" s="703" t="s">
        <v>334</v>
      </c>
      <c r="E1092" s="703" t="s">
        <v>334</v>
      </c>
      <c r="F1092" s="703" t="s">
        <v>474</v>
      </c>
      <c r="G1092" s="703" t="s">
        <v>519</v>
      </c>
      <c r="H1092" s="703" t="s">
        <v>520</v>
      </c>
      <c r="I1092" s="703" t="s">
        <v>334</v>
      </c>
      <c r="J1092" s="703" t="s">
        <v>476</v>
      </c>
      <c r="K1092" s="704">
        <v>0</v>
      </c>
      <c r="L1092" s="703" t="s">
        <v>334</v>
      </c>
      <c r="M1092" s="702"/>
      <c r="N1092" s="702">
        <v>43951</v>
      </c>
      <c r="O1092" s="703" t="s">
        <v>338</v>
      </c>
      <c r="P1092" s="20">
        <v>610155.71</v>
      </c>
      <c r="Q1092" s="20">
        <v>0</v>
      </c>
      <c r="R1092" s="20">
        <v>0</v>
      </c>
      <c r="S1092" s="20">
        <v>0</v>
      </c>
      <c r="T1092" s="20">
        <v>610155.71</v>
      </c>
      <c r="U1092" s="20">
        <v>534415.93000000005</v>
      </c>
      <c r="V1092" s="20">
        <v>-75739.78</v>
      </c>
      <c r="W1092" s="20">
        <v>-136755.35</v>
      </c>
      <c r="X1092" s="20">
        <v>-61015.57</v>
      </c>
      <c r="Y1092" s="20">
        <v>0</v>
      </c>
      <c r="Z1092" s="20">
        <v>0</v>
      </c>
      <c r="AA1092" s="20">
        <v>0</v>
      </c>
      <c r="AB1092" s="20">
        <v>473400.36</v>
      </c>
      <c r="AC1092" t="s">
        <v>477</v>
      </c>
      <c r="AD1092" t="s">
        <v>290</v>
      </c>
      <c r="AE1092" s="702">
        <f t="shared" si="80"/>
        <v>43983</v>
      </c>
      <c r="AF1092" s="289">
        <v>880746.09967246733</v>
      </c>
      <c r="AG1092">
        <f t="shared" si="81"/>
        <v>360</v>
      </c>
      <c r="AH1092" s="289">
        <f t="shared" si="82"/>
        <v>2446.5169435346315</v>
      </c>
      <c r="AJ1092" s="289">
        <f t="shared" si="83"/>
        <v>30</v>
      </c>
      <c r="AK1092" s="289">
        <f t="shared" si="84"/>
        <v>73395.508306038944</v>
      </c>
    </row>
    <row r="1093" spans="1:37">
      <c r="A1093" s="703" t="s">
        <v>2345</v>
      </c>
      <c r="B1093" s="703" t="s">
        <v>2311</v>
      </c>
      <c r="C1093" s="703" t="s">
        <v>472</v>
      </c>
      <c r="D1093" s="703" t="s">
        <v>473</v>
      </c>
      <c r="E1093" s="703" t="s">
        <v>2346</v>
      </c>
      <c r="F1093" s="703" t="s">
        <v>474</v>
      </c>
      <c r="G1093" s="703" t="s">
        <v>2347</v>
      </c>
      <c r="H1093" s="703" t="s">
        <v>2348</v>
      </c>
      <c r="I1093" s="703" t="s">
        <v>334</v>
      </c>
      <c r="J1093" s="703" t="s">
        <v>476</v>
      </c>
      <c r="K1093" s="704">
        <v>0</v>
      </c>
      <c r="L1093" s="703" t="s">
        <v>334</v>
      </c>
      <c r="M1093" s="702"/>
      <c r="N1093" s="702">
        <v>43951</v>
      </c>
      <c r="O1093" s="703" t="s">
        <v>338</v>
      </c>
      <c r="P1093" s="20">
        <v>409093</v>
      </c>
      <c r="Q1093" s="20">
        <v>0</v>
      </c>
      <c r="R1093" s="20">
        <v>0</v>
      </c>
      <c r="S1093" s="20">
        <v>0</v>
      </c>
      <c r="T1093" s="20">
        <v>409093</v>
      </c>
      <c r="U1093" s="20">
        <v>340910.83</v>
      </c>
      <c r="V1093" s="20">
        <v>-68182.17</v>
      </c>
      <c r="W1093" s="20">
        <v>-109091.47</v>
      </c>
      <c r="X1093" s="20">
        <v>-40909.300000000003</v>
      </c>
      <c r="Y1093" s="20">
        <v>0</v>
      </c>
      <c r="Z1093" s="20">
        <v>0</v>
      </c>
      <c r="AA1093" s="20">
        <v>0</v>
      </c>
      <c r="AB1093" s="20">
        <v>300001.53000000003</v>
      </c>
      <c r="AC1093" t="s">
        <v>477</v>
      </c>
      <c r="AD1093" t="s">
        <v>290</v>
      </c>
      <c r="AE1093" s="702">
        <f t="shared" si="80"/>
        <v>43983</v>
      </c>
      <c r="AF1093" s="289">
        <v>590516.58166619251</v>
      </c>
      <c r="AG1093">
        <f t="shared" si="81"/>
        <v>360</v>
      </c>
      <c r="AH1093" s="289">
        <f t="shared" si="82"/>
        <v>1640.3238379616459</v>
      </c>
      <c r="AJ1093" s="289">
        <f t="shared" si="83"/>
        <v>30</v>
      </c>
      <c r="AK1093" s="289">
        <f t="shared" si="84"/>
        <v>49209.71513884938</v>
      </c>
    </row>
    <row r="1094" spans="1:37">
      <c r="A1094" s="703" t="s">
        <v>466</v>
      </c>
      <c r="B1094" s="703" t="s">
        <v>2311</v>
      </c>
      <c r="C1094" s="703" t="s">
        <v>454</v>
      </c>
      <c r="D1094" s="703" t="s">
        <v>467</v>
      </c>
      <c r="E1094" s="703" t="s">
        <v>334</v>
      </c>
      <c r="F1094" s="703" t="s">
        <v>455</v>
      </c>
      <c r="G1094" s="703" t="s">
        <v>468</v>
      </c>
      <c r="H1094" s="703" t="s">
        <v>334</v>
      </c>
      <c r="I1094" s="703" t="s">
        <v>334</v>
      </c>
      <c r="J1094" s="703" t="s">
        <v>458</v>
      </c>
      <c r="K1094" s="704">
        <v>0</v>
      </c>
      <c r="L1094" s="703" t="s">
        <v>334</v>
      </c>
      <c r="M1094" s="702"/>
      <c r="N1094" s="702">
        <v>44012</v>
      </c>
      <c r="O1094" s="703" t="s">
        <v>338</v>
      </c>
      <c r="P1094" s="20">
        <v>8395.7199999999993</v>
      </c>
      <c r="Q1094" s="20">
        <v>0</v>
      </c>
      <c r="R1094" s="20">
        <v>0</v>
      </c>
      <c r="S1094" s="20">
        <v>0</v>
      </c>
      <c r="T1094" s="20">
        <v>8395.7199999999993</v>
      </c>
      <c r="U1094" s="20">
        <v>7766.04</v>
      </c>
      <c r="V1094" s="20">
        <v>-629.67999999999995</v>
      </c>
      <c r="W1094" s="20">
        <v>-1049.47</v>
      </c>
      <c r="X1094" s="20">
        <v>-419.79</v>
      </c>
      <c r="Y1094" s="20">
        <v>0</v>
      </c>
      <c r="Z1094" s="20">
        <v>0</v>
      </c>
      <c r="AA1094" s="20">
        <v>0</v>
      </c>
      <c r="AB1094" s="20">
        <v>7346.25</v>
      </c>
      <c r="AC1094" t="s">
        <v>459</v>
      </c>
      <c r="AD1094" t="s">
        <v>290</v>
      </c>
      <c r="AE1094" s="702">
        <f t="shared" si="80"/>
        <v>43983</v>
      </c>
      <c r="AF1094" s="289">
        <v>12119.033752781119</v>
      </c>
      <c r="AG1094">
        <f t="shared" si="81"/>
        <v>360</v>
      </c>
      <c r="AH1094" s="289">
        <f t="shared" si="82"/>
        <v>33.663982646614222</v>
      </c>
      <c r="AJ1094" s="289">
        <f t="shared" si="83"/>
        <v>30</v>
      </c>
      <c r="AK1094" s="289">
        <f t="shared" si="84"/>
        <v>1009.9194793984267</v>
      </c>
    </row>
    <row r="1095" spans="1:37">
      <c r="A1095" s="703" t="s">
        <v>1465</v>
      </c>
      <c r="B1095" s="703" t="s">
        <v>2311</v>
      </c>
      <c r="C1095" s="703" t="s">
        <v>472</v>
      </c>
      <c r="D1095" s="703" t="s">
        <v>473</v>
      </c>
      <c r="E1095" s="703" t="s">
        <v>334</v>
      </c>
      <c r="F1095" s="703" t="s">
        <v>474</v>
      </c>
      <c r="G1095" s="703" t="s">
        <v>479</v>
      </c>
      <c r="H1095" s="703" t="s">
        <v>1466</v>
      </c>
      <c r="I1095" s="703" t="s">
        <v>334</v>
      </c>
      <c r="J1095" s="703" t="s">
        <v>476</v>
      </c>
      <c r="K1095" s="704">
        <v>0</v>
      </c>
      <c r="L1095" s="703" t="s">
        <v>334</v>
      </c>
      <c r="M1095" s="702"/>
      <c r="N1095" s="702">
        <v>44012</v>
      </c>
      <c r="O1095" s="703" t="s">
        <v>338</v>
      </c>
      <c r="P1095" s="20">
        <v>200702.02</v>
      </c>
      <c r="Q1095" s="20">
        <v>0</v>
      </c>
      <c r="R1095" s="20">
        <v>0</v>
      </c>
      <c r="S1095" s="20">
        <v>0</v>
      </c>
      <c r="T1095" s="20">
        <v>200702.02</v>
      </c>
      <c r="U1095" s="20">
        <v>170596.72</v>
      </c>
      <c r="V1095" s="20">
        <v>-30105.3</v>
      </c>
      <c r="W1095" s="20">
        <v>-50175.5</v>
      </c>
      <c r="X1095" s="20">
        <v>-20070.2</v>
      </c>
      <c r="Y1095" s="20">
        <v>0</v>
      </c>
      <c r="Z1095" s="20">
        <v>0</v>
      </c>
      <c r="AA1095" s="20">
        <v>0</v>
      </c>
      <c r="AB1095" s="20">
        <v>150526.51999999999</v>
      </c>
      <c r="AC1095" t="s">
        <v>477</v>
      </c>
      <c r="AD1095" t="s">
        <v>290</v>
      </c>
      <c r="AE1095" s="702">
        <f t="shared" ref="AE1095:AE1158" si="85">IF(N1095&gt;=$AG$5,DATE(YEAR(N1095),6,1),DATE(YEAR(N1095),6,1))</f>
        <v>43983</v>
      </c>
      <c r="AF1095" s="289">
        <v>289708.87007086357</v>
      </c>
      <c r="AG1095">
        <f t="shared" ref="AG1095:AG1158" si="86">+IF(AD1095="intangível",20*12,IF(AD1095="Diferido",120,IF(AD1095="Não vinculados",0,IF(AE1095&lt;=$AG$5,F1095*12,360))))</f>
        <v>360</v>
      </c>
      <c r="AH1095" s="289">
        <f t="shared" ref="AH1095:AH1158" si="87">IF(AG1095=0,0,AF1095/AG1095)</f>
        <v>804.74686130795442</v>
      </c>
      <c r="AJ1095" s="289">
        <f t="shared" ref="AJ1095:AJ1158" si="88">+IF(AND(YEAR(AE1095)&gt;=2018,YEAR(AE1095)&lt;=2022),IF(DATEDIF(AE1095,$AK$4,"m")&gt;=AG1095,AG1095,DATEDIF(AE1095,$AK$4,"m")),0)</f>
        <v>30</v>
      </c>
      <c r="AK1095" s="289">
        <f t="shared" ref="AK1095:AK1158" si="89">IF(AD1095="Imobilizado",AJ1095*AH1095,0)</f>
        <v>24142.405839238632</v>
      </c>
    </row>
    <row r="1096" spans="1:37">
      <c r="A1096" s="703" t="s">
        <v>481</v>
      </c>
      <c r="B1096" s="703" t="s">
        <v>2311</v>
      </c>
      <c r="C1096" s="703" t="s">
        <v>472</v>
      </c>
      <c r="D1096" s="703" t="s">
        <v>473</v>
      </c>
      <c r="E1096" s="703" t="s">
        <v>334</v>
      </c>
      <c r="F1096" s="703" t="s">
        <v>474</v>
      </c>
      <c r="G1096" s="703" t="s">
        <v>479</v>
      </c>
      <c r="H1096" s="703" t="s">
        <v>482</v>
      </c>
      <c r="I1096" s="703" t="s">
        <v>334</v>
      </c>
      <c r="J1096" s="703" t="s">
        <v>476</v>
      </c>
      <c r="K1096" s="704">
        <v>0</v>
      </c>
      <c r="L1096" s="703" t="s">
        <v>334</v>
      </c>
      <c r="M1096" s="702"/>
      <c r="N1096" s="702">
        <v>44012</v>
      </c>
      <c r="O1096" s="703" t="s">
        <v>338</v>
      </c>
      <c r="P1096" s="20">
        <v>120759.24</v>
      </c>
      <c r="Q1096" s="20">
        <v>0</v>
      </c>
      <c r="R1096" s="20">
        <v>0</v>
      </c>
      <c r="S1096" s="20">
        <v>0</v>
      </c>
      <c r="T1096" s="20">
        <v>120759.24</v>
      </c>
      <c r="U1096" s="20">
        <v>106524.4</v>
      </c>
      <c r="V1096" s="20">
        <v>-14234.84</v>
      </c>
      <c r="W1096" s="20">
        <v>-26310.76</v>
      </c>
      <c r="X1096" s="20">
        <v>-12075.92</v>
      </c>
      <c r="Y1096" s="20">
        <v>0</v>
      </c>
      <c r="Z1096" s="20">
        <v>0</v>
      </c>
      <c r="AA1096" s="20">
        <v>0</v>
      </c>
      <c r="AB1096" s="20">
        <v>94448.48</v>
      </c>
      <c r="AC1096" t="s">
        <v>477</v>
      </c>
      <c r="AD1096" t="s">
        <v>290</v>
      </c>
      <c r="AE1096" s="702">
        <f t="shared" si="85"/>
        <v>43983</v>
      </c>
      <c r="AF1096" s="289">
        <v>174313.25788856653</v>
      </c>
      <c r="AG1096">
        <f t="shared" si="86"/>
        <v>360</v>
      </c>
      <c r="AH1096" s="289">
        <f t="shared" si="87"/>
        <v>484.20349413490703</v>
      </c>
      <c r="AJ1096" s="289">
        <f t="shared" si="88"/>
        <v>30</v>
      </c>
      <c r="AK1096" s="289">
        <f t="shared" si="89"/>
        <v>14526.104824047212</v>
      </c>
    </row>
    <row r="1097" spans="1:37">
      <c r="A1097" s="703" t="s">
        <v>2192</v>
      </c>
      <c r="B1097" s="703" t="s">
        <v>2311</v>
      </c>
      <c r="C1097" s="703" t="s">
        <v>1577</v>
      </c>
      <c r="D1097" s="703" t="s">
        <v>334</v>
      </c>
      <c r="E1097" s="703" t="s">
        <v>334</v>
      </c>
      <c r="F1097" s="703" t="s">
        <v>502</v>
      </c>
      <c r="G1097" s="703" t="s">
        <v>2193</v>
      </c>
      <c r="H1097" s="703" t="s">
        <v>334</v>
      </c>
      <c r="I1097" s="703" t="s">
        <v>334</v>
      </c>
      <c r="J1097" s="703" t="s">
        <v>1579</v>
      </c>
      <c r="K1097" s="704">
        <v>0</v>
      </c>
      <c r="L1097" s="703" t="s">
        <v>334</v>
      </c>
      <c r="M1097" s="702"/>
      <c r="N1097" s="702">
        <v>44012</v>
      </c>
      <c r="O1097" s="703" t="s">
        <v>338</v>
      </c>
      <c r="P1097" s="20">
        <v>177896.55</v>
      </c>
      <c r="Q1097" s="20">
        <v>0</v>
      </c>
      <c r="R1097" s="20">
        <v>0</v>
      </c>
      <c r="S1097" s="20">
        <v>0</v>
      </c>
      <c r="T1097" s="20">
        <v>177896.55</v>
      </c>
      <c r="U1097" s="20">
        <v>127670.3</v>
      </c>
      <c r="V1097" s="20">
        <v>-50226.25</v>
      </c>
      <c r="W1097" s="20">
        <v>-85805.56</v>
      </c>
      <c r="X1097" s="20">
        <v>-35579.31</v>
      </c>
      <c r="Y1097" s="20">
        <v>0</v>
      </c>
      <c r="Z1097" s="20">
        <v>0</v>
      </c>
      <c r="AA1097" s="20">
        <v>0</v>
      </c>
      <c r="AB1097" s="20">
        <v>92090.99</v>
      </c>
      <c r="AC1097" t="s">
        <v>1580</v>
      </c>
      <c r="AD1097" t="s">
        <v>290</v>
      </c>
      <c r="AE1097" s="702">
        <f t="shared" si="85"/>
        <v>43983</v>
      </c>
      <c r="AF1097" s="289">
        <v>256789.68497678742</v>
      </c>
      <c r="AG1097">
        <f t="shared" si="86"/>
        <v>360</v>
      </c>
      <c r="AH1097" s="289">
        <f t="shared" si="87"/>
        <v>713.30468049107617</v>
      </c>
      <c r="AJ1097" s="289">
        <f t="shared" si="88"/>
        <v>30</v>
      </c>
      <c r="AK1097" s="289">
        <f t="shared" si="89"/>
        <v>21399.140414732286</v>
      </c>
    </row>
    <row r="1098" spans="1:37">
      <c r="A1098" s="703" t="s">
        <v>2349</v>
      </c>
      <c r="B1098" s="703" t="s">
        <v>484</v>
      </c>
      <c r="C1098" s="703" t="s">
        <v>485</v>
      </c>
      <c r="D1098" s="703" t="s">
        <v>486</v>
      </c>
      <c r="E1098" s="703" t="s">
        <v>334</v>
      </c>
      <c r="F1098" s="703" t="s">
        <v>487</v>
      </c>
      <c r="G1098" s="703" t="s">
        <v>2350</v>
      </c>
      <c r="H1098" s="703" t="s">
        <v>2351</v>
      </c>
      <c r="I1098" s="703" t="s">
        <v>334</v>
      </c>
      <c r="J1098" s="703" t="s">
        <v>490</v>
      </c>
      <c r="K1098" s="704">
        <v>0</v>
      </c>
      <c r="L1098" s="703" t="s">
        <v>334</v>
      </c>
      <c r="M1098" s="702"/>
      <c r="N1098" s="702">
        <v>44043</v>
      </c>
      <c r="O1098" s="703" t="s">
        <v>338</v>
      </c>
      <c r="P1098" s="20">
        <v>7916.3</v>
      </c>
      <c r="Q1098" s="20">
        <v>0</v>
      </c>
      <c r="R1098" s="20">
        <v>-7916.3</v>
      </c>
      <c r="S1098" s="20">
        <v>0</v>
      </c>
      <c r="T1098" s="20">
        <v>0</v>
      </c>
      <c r="U1098" s="20">
        <v>7916.3</v>
      </c>
      <c r="V1098" s="20">
        <v>0</v>
      </c>
      <c r="W1098" s="20">
        <v>0</v>
      </c>
      <c r="X1098" s="20">
        <v>0</v>
      </c>
      <c r="Y1098" s="20">
        <v>0</v>
      </c>
      <c r="Z1098" s="20">
        <v>0</v>
      </c>
      <c r="AA1098" s="20">
        <v>0</v>
      </c>
      <c r="AB1098" s="20">
        <v>0</v>
      </c>
      <c r="AC1098" t="s">
        <v>491</v>
      </c>
      <c r="AD1098" t="s">
        <v>492</v>
      </c>
      <c r="AE1098" s="702">
        <f t="shared" si="85"/>
        <v>43983</v>
      </c>
      <c r="AF1098" s="289">
        <v>0</v>
      </c>
      <c r="AG1098">
        <f t="shared" si="86"/>
        <v>360</v>
      </c>
      <c r="AH1098" s="289">
        <f t="shared" si="87"/>
        <v>0</v>
      </c>
      <c r="AJ1098" s="289">
        <f t="shared" si="88"/>
        <v>30</v>
      </c>
      <c r="AK1098" s="289">
        <f t="shared" si="89"/>
        <v>0</v>
      </c>
    </row>
    <row r="1099" spans="1:37">
      <c r="A1099" s="703" t="s">
        <v>2352</v>
      </c>
      <c r="B1099" s="703" t="s">
        <v>484</v>
      </c>
      <c r="C1099" s="703" t="s">
        <v>1776</v>
      </c>
      <c r="D1099" s="703" t="s">
        <v>391</v>
      </c>
      <c r="E1099" s="703" t="s">
        <v>334</v>
      </c>
      <c r="F1099" s="703" t="s">
        <v>487</v>
      </c>
      <c r="G1099" s="703" t="s">
        <v>2353</v>
      </c>
      <c r="H1099" s="703" t="s">
        <v>334</v>
      </c>
      <c r="I1099" s="703" t="s">
        <v>334</v>
      </c>
      <c r="J1099" s="703" t="s">
        <v>490</v>
      </c>
      <c r="K1099" s="704">
        <v>0</v>
      </c>
      <c r="L1099" s="703" t="s">
        <v>334</v>
      </c>
      <c r="M1099" s="702"/>
      <c r="N1099" s="702">
        <v>44074</v>
      </c>
      <c r="O1099" s="703" t="s">
        <v>338</v>
      </c>
      <c r="P1099" s="20">
        <v>89658.09</v>
      </c>
      <c r="Q1099" s="20">
        <v>0</v>
      </c>
      <c r="R1099" s="20">
        <v>0</v>
      </c>
      <c r="S1099" s="20">
        <v>0</v>
      </c>
      <c r="T1099" s="20">
        <v>89658.09</v>
      </c>
      <c r="U1099" s="20">
        <v>89658.09</v>
      </c>
      <c r="V1099" s="20">
        <v>0</v>
      </c>
      <c r="W1099" s="20">
        <v>0</v>
      </c>
      <c r="X1099" s="20">
        <v>0</v>
      </c>
      <c r="Y1099" s="20">
        <v>0</v>
      </c>
      <c r="Z1099" s="20">
        <v>0</v>
      </c>
      <c r="AA1099" s="20">
        <v>0</v>
      </c>
      <c r="AB1099" s="20">
        <v>89658.09</v>
      </c>
      <c r="AC1099" t="s">
        <v>1779</v>
      </c>
      <c r="AD1099" t="s">
        <v>492</v>
      </c>
      <c r="AE1099" s="702">
        <f t="shared" si="85"/>
        <v>43983</v>
      </c>
      <c r="AF1099" s="289">
        <v>129419.4445407764</v>
      </c>
      <c r="AG1099">
        <f t="shared" si="86"/>
        <v>360</v>
      </c>
      <c r="AH1099" s="289">
        <f t="shared" si="87"/>
        <v>359.49845705771224</v>
      </c>
      <c r="AJ1099" s="289">
        <f t="shared" si="88"/>
        <v>30</v>
      </c>
      <c r="AK1099" s="289">
        <f t="shared" si="89"/>
        <v>0</v>
      </c>
    </row>
    <row r="1100" spans="1:37">
      <c r="A1100" s="703" t="s">
        <v>2354</v>
      </c>
      <c r="B1100" s="703" t="s">
        <v>484</v>
      </c>
      <c r="C1100" s="703" t="s">
        <v>1214</v>
      </c>
      <c r="D1100" s="703" t="s">
        <v>334</v>
      </c>
      <c r="E1100" s="703" t="s">
        <v>334</v>
      </c>
      <c r="F1100" s="703" t="s">
        <v>487</v>
      </c>
      <c r="G1100" s="703" t="s">
        <v>2355</v>
      </c>
      <c r="H1100" s="703" t="s">
        <v>334</v>
      </c>
      <c r="I1100" s="703" t="s">
        <v>334</v>
      </c>
      <c r="J1100" s="703" t="s">
        <v>1217</v>
      </c>
      <c r="K1100" s="704">
        <v>0</v>
      </c>
      <c r="L1100" s="703" t="s">
        <v>334</v>
      </c>
      <c r="M1100" s="702"/>
      <c r="N1100" s="702">
        <v>44074</v>
      </c>
      <c r="O1100" s="703" t="s">
        <v>338</v>
      </c>
      <c r="P1100" s="20">
        <v>14399.88</v>
      </c>
      <c r="Q1100" s="20">
        <v>4939.6099999999997</v>
      </c>
      <c r="R1100" s="20">
        <v>0</v>
      </c>
      <c r="S1100" s="20">
        <v>0</v>
      </c>
      <c r="T1100" s="20">
        <v>19339.490000000002</v>
      </c>
      <c r="U1100" s="20">
        <v>14399.88</v>
      </c>
      <c r="V1100" s="20">
        <v>0</v>
      </c>
      <c r="W1100" s="20">
        <v>0</v>
      </c>
      <c r="X1100" s="20">
        <v>0</v>
      </c>
      <c r="Y1100" s="20">
        <v>0</v>
      </c>
      <c r="Z1100" s="20">
        <v>0</v>
      </c>
      <c r="AA1100" s="20">
        <v>0</v>
      </c>
      <c r="AB1100" s="20">
        <v>19339.490000000002</v>
      </c>
      <c r="AC1100" t="s">
        <v>1218</v>
      </c>
      <c r="AD1100" t="s">
        <v>492</v>
      </c>
      <c r="AE1100" s="702">
        <f t="shared" si="85"/>
        <v>43983</v>
      </c>
      <c r="AF1100" s="289">
        <v>27916.120603304178</v>
      </c>
      <c r="AG1100">
        <f t="shared" si="86"/>
        <v>360</v>
      </c>
      <c r="AH1100" s="289">
        <f t="shared" si="87"/>
        <v>77.544779453622724</v>
      </c>
      <c r="AJ1100" s="289">
        <f t="shared" si="88"/>
        <v>30</v>
      </c>
      <c r="AK1100" s="289">
        <f t="shared" si="89"/>
        <v>0</v>
      </c>
    </row>
    <row r="1101" spans="1:37">
      <c r="A1101" s="703" t="s">
        <v>2356</v>
      </c>
      <c r="B1101" s="703" t="s">
        <v>484</v>
      </c>
      <c r="C1101" s="703" t="s">
        <v>485</v>
      </c>
      <c r="D1101" s="703" t="s">
        <v>334</v>
      </c>
      <c r="E1101" s="703" t="s">
        <v>334</v>
      </c>
      <c r="F1101" s="703" t="s">
        <v>487</v>
      </c>
      <c r="G1101" s="703" t="s">
        <v>2357</v>
      </c>
      <c r="H1101" s="703" t="s">
        <v>334</v>
      </c>
      <c r="I1101" s="703" t="s">
        <v>334</v>
      </c>
      <c r="J1101" s="703" t="s">
        <v>490</v>
      </c>
      <c r="K1101" s="704">
        <v>0</v>
      </c>
      <c r="L1101" s="703" t="s">
        <v>334</v>
      </c>
      <c r="M1101" s="702"/>
      <c r="N1101" s="702">
        <v>44104</v>
      </c>
      <c r="O1101" s="703" t="s">
        <v>338</v>
      </c>
      <c r="P1101" s="20">
        <v>18054.939999999999</v>
      </c>
      <c r="Q1101" s="20">
        <v>0</v>
      </c>
      <c r="R1101" s="20">
        <v>-18054.939999999999</v>
      </c>
      <c r="S1101" s="20">
        <v>0</v>
      </c>
      <c r="T1101" s="20">
        <v>0</v>
      </c>
      <c r="U1101" s="20">
        <v>18054.939999999999</v>
      </c>
      <c r="V1101" s="20">
        <v>0</v>
      </c>
      <c r="W1101" s="20">
        <v>0</v>
      </c>
      <c r="X1101" s="20">
        <v>0</v>
      </c>
      <c r="Y1101" s="20">
        <v>0</v>
      </c>
      <c r="Z1101" s="20">
        <v>0</v>
      </c>
      <c r="AA1101" s="20">
        <v>0</v>
      </c>
      <c r="AB1101" s="20">
        <v>0</v>
      </c>
      <c r="AC1101" t="s">
        <v>491</v>
      </c>
      <c r="AD1101" t="s">
        <v>492</v>
      </c>
      <c r="AE1101" s="702">
        <f t="shared" si="85"/>
        <v>43983</v>
      </c>
      <c r="AF1101" s="289">
        <v>0</v>
      </c>
      <c r="AG1101">
        <f t="shared" si="86"/>
        <v>360</v>
      </c>
      <c r="AH1101" s="289">
        <f t="shared" si="87"/>
        <v>0</v>
      </c>
      <c r="AJ1101" s="289">
        <f t="shared" si="88"/>
        <v>30</v>
      </c>
      <c r="AK1101" s="289">
        <f t="shared" si="89"/>
        <v>0</v>
      </c>
    </row>
    <row r="1102" spans="1:37">
      <c r="A1102" s="703" t="s">
        <v>2358</v>
      </c>
      <c r="B1102" s="703" t="s">
        <v>2311</v>
      </c>
      <c r="C1102" s="703" t="s">
        <v>472</v>
      </c>
      <c r="D1102" s="703" t="s">
        <v>473</v>
      </c>
      <c r="E1102" s="703" t="s">
        <v>334</v>
      </c>
      <c r="F1102" s="703" t="s">
        <v>474</v>
      </c>
      <c r="G1102" s="703" t="s">
        <v>2359</v>
      </c>
      <c r="H1102" s="703" t="s">
        <v>334</v>
      </c>
      <c r="I1102" s="703" t="s">
        <v>334</v>
      </c>
      <c r="J1102" s="703" t="s">
        <v>476</v>
      </c>
      <c r="K1102" s="704">
        <v>0</v>
      </c>
      <c r="L1102" s="703" t="s">
        <v>334</v>
      </c>
      <c r="M1102" s="702"/>
      <c r="N1102" s="702">
        <v>44135</v>
      </c>
      <c r="O1102" s="703" t="s">
        <v>338</v>
      </c>
      <c r="P1102" s="20">
        <v>40753.79</v>
      </c>
      <c r="Q1102" s="20">
        <v>0</v>
      </c>
      <c r="R1102" s="20">
        <v>0</v>
      </c>
      <c r="S1102" s="20">
        <v>0</v>
      </c>
      <c r="T1102" s="20">
        <v>40753.79</v>
      </c>
      <c r="U1102" s="20">
        <v>35999.18</v>
      </c>
      <c r="V1102" s="20">
        <v>-4754.6099999999997</v>
      </c>
      <c r="W1102" s="20">
        <v>-8829.99</v>
      </c>
      <c r="X1102" s="20">
        <v>-4075.38</v>
      </c>
      <c r="Y1102" s="20">
        <v>0</v>
      </c>
      <c r="Z1102" s="20">
        <v>0</v>
      </c>
      <c r="AA1102" s="20">
        <v>0</v>
      </c>
      <c r="AB1102" s="20">
        <v>31923.8</v>
      </c>
      <c r="AC1102" t="s">
        <v>477</v>
      </c>
      <c r="AD1102" t="s">
        <v>290</v>
      </c>
      <c r="AE1102" s="702">
        <f t="shared" si="85"/>
        <v>43983</v>
      </c>
      <c r="AF1102" s="289">
        <v>58827.182965100503</v>
      </c>
      <c r="AG1102">
        <f t="shared" si="86"/>
        <v>360</v>
      </c>
      <c r="AH1102" s="289">
        <f t="shared" si="87"/>
        <v>163.40884156972362</v>
      </c>
      <c r="AJ1102" s="289">
        <f t="shared" si="88"/>
        <v>30</v>
      </c>
      <c r="AK1102" s="289">
        <f t="shared" si="89"/>
        <v>4902.2652470917083</v>
      </c>
    </row>
    <row r="1103" spans="1:37">
      <c r="A1103" s="703" t="s">
        <v>2360</v>
      </c>
      <c r="B1103" s="703" t="s">
        <v>484</v>
      </c>
      <c r="C1103" s="703" t="s">
        <v>1776</v>
      </c>
      <c r="D1103" s="703" t="s">
        <v>1777</v>
      </c>
      <c r="E1103" s="703" t="s">
        <v>334</v>
      </c>
      <c r="F1103" s="703" t="s">
        <v>487</v>
      </c>
      <c r="G1103" s="703" t="s">
        <v>2361</v>
      </c>
      <c r="H1103" s="703" t="s">
        <v>2362</v>
      </c>
      <c r="I1103" s="703" t="s">
        <v>334</v>
      </c>
      <c r="J1103" s="703" t="s">
        <v>490</v>
      </c>
      <c r="K1103" s="704">
        <v>0</v>
      </c>
      <c r="L1103" s="703" t="s">
        <v>334</v>
      </c>
      <c r="M1103" s="702"/>
      <c r="N1103" s="702">
        <v>44135</v>
      </c>
      <c r="O1103" s="703" t="s">
        <v>338</v>
      </c>
      <c r="P1103" s="20">
        <v>5216.24</v>
      </c>
      <c r="Q1103" s="20">
        <v>0</v>
      </c>
      <c r="R1103" s="20">
        <v>0</v>
      </c>
      <c r="S1103" s="20">
        <v>0</v>
      </c>
      <c r="T1103" s="20">
        <v>5216.24</v>
      </c>
      <c r="U1103" s="20">
        <v>5216.24</v>
      </c>
      <c r="V1103" s="20">
        <v>0</v>
      </c>
      <c r="W1103" s="20">
        <v>0</v>
      </c>
      <c r="X1103" s="20">
        <v>0</v>
      </c>
      <c r="Y1103" s="20">
        <v>0</v>
      </c>
      <c r="Z1103" s="20">
        <v>0</v>
      </c>
      <c r="AA1103" s="20">
        <v>0</v>
      </c>
      <c r="AB1103" s="20">
        <v>5216.24</v>
      </c>
      <c r="AC1103" t="s">
        <v>1779</v>
      </c>
      <c r="AD1103" t="s">
        <v>492</v>
      </c>
      <c r="AE1103" s="702">
        <f t="shared" si="85"/>
        <v>43983</v>
      </c>
      <c r="AF1103" s="289">
        <v>7529.5255943036436</v>
      </c>
      <c r="AG1103">
        <f t="shared" si="86"/>
        <v>360</v>
      </c>
      <c r="AH1103" s="289">
        <f t="shared" si="87"/>
        <v>20.915348873065678</v>
      </c>
      <c r="AJ1103" s="289">
        <f t="shared" si="88"/>
        <v>30</v>
      </c>
      <c r="AK1103" s="289">
        <f t="shared" si="89"/>
        <v>0</v>
      </c>
    </row>
    <row r="1104" spans="1:37">
      <c r="A1104" s="703" t="s">
        <v>2363</v>
      </c>
      <c r="B1104" s="703" t="s">
        <v>484</v>
      </c>
      <c r="C1104" s="703" t="s">
        <v>1214</v>
      </c>
      <c r="D1104" s="703" t="s">
        <v>334</v>
      </c>
      <c r="E1104" s="703" t="s">
        <v>334</v>
      </c>
      <c r="F1104" s="703" t="s">
        <v>487</v>
      </c>
      <c r="G1104" s="703" t="s">
        <v>2355</v>
      </c>
      <c r="H1104" s="703" t="s">
        <v>334</v>
      </c>
      <c r="I1104" s="703" t="s">
        <v>334</v>
      </c>
      <c r="J1104" s="703" t="s">
        <v>1217</v>
      </c>
      <c r="K1104" s="704">
        <v>0</v>
      </c>
      <c r="L1104" s="703" t="s">
        <v>334</v>
      </c>
      <c r="M1104" s="702"/>
      <c r="N1104" s="702">
        <v>44165</v>
      </c>
      <c r="O1104" s="703" t="s">
        <v>338</v>
      </c>
      <c r="P1104" s="20">
        <v>368636.1</v>
      </c>
      <c r="Q1104" s="20">
        <v>520432</v>
      </c>
      <c r="R1104" s="20">
        <v>0</v>
      </c>
      <c r="S1104" s="20">
        <v>0</v>
      </c>
      <c r="T1104" s="20">
        <v>889068.1</v>
      </c>
      <c r="U1104" s="20">
        <v>368636.1</v>
      </c>
      <c r="V1104" s="20">
        <v>0</v>
      </c>
      <c r="W1104" s="20">
        <v>0</v>
      </c>
      <c r="X1104" s="20">
        <v>0</v>
      </c>
      <c r="Y1104" s="20">
        <v>0</v>
      </c>
      <c r="Z1104" s="20">
        <v>0</v>
      </c>
      <c r="AA1104" s="20">
        <v>0</v>
      </c>
      <c r="AB1104" s="20">
        <v>889068.1</v>
      </c>
      <c r="AC1104" t="s">
        <v>1218</v>
      </c>
      <c r="AD1104" t="s">
        <v>492</v>
      </c>
      <c r="AE1104" s="702">
        <f t="shared" si="85"/>
        <v>43983</v>
      </c>
      <c r="AF1104" s="289">
        <v>1283349.8868972498</v>
      </c>
      <c r="AG1104">
        <f t="shared" si="86"/>
        <v>360</v>
      </c>
      <c r="AH1104" s="289">
        <f t="shared" si="87"/>
        <v>3564.8607969368049</v>
      </c>
      <c r="AJ1104" s="289">
        <f t="shared" si="88"/>
        <v>30</v>
      </c>
      <c r="AK1104" s="289">
        <f t="shared" si="89"/>
        <v>0</v>
      </c>
    </row>
    <row r="1105" spans="1:37">
      <c r="A1105" s="703" t="s">
        <v>2364</v>
      </c>
      <c r="B1105" s="703" t="s">
        <v>2311</v>
      </c>
      <c r="C1105" s="703" t="s">
        <v>332</v>
      </c>
      <c r="D1105" s="703" t="s">
        <v>334</v>
      </c>
      <c r="E1105" s="703" t="s">
        <v>334</v>
      </c>
      <c r="F1105" s="703" t="s">
        <v>335</v>
      </c>
      <c r="G1105" s="703" t="s">
        <v>2365</v>
      </c>
      <c r="H1105" s="703" t="s">
        <v>334</v>
      </c>
      <c r="I1105" s="703" t="s">
        <v>334</v>
      </c>
      <c r="J1105" s="703" t="s">
        <v>337</v>
      </c>
      <c r="K1105" s="704">
        <v>0</v>
      </c>
      <c r="L1105" s="703" t="s">
        <v>334</v>
      </c>
      <c r="M1105" s="702">
        <v>39478</v>
      </c>
      <c r="N1105" s="702">
        <v>44186</v>
      </c>
      <c r="O1105" s="703" t="s">
        <v>338</v>
      </c>
      <c r="P1105" s="20">
        <v>14028.78</v>
      </c>
      <c r="Q1105" s="20">
        <v>0</v>
      </c>
      <c r="R1105" s="20">
        <v>0</v>
      </c>
      <c r="S1105" s="20">
        <v>0</v>
      </c>
      <c r="T1105" s="20">
        <v>14028.78</v>
      </c>
      <c r="U1105" s="20">
        <v>13561.15</v>
      </c>
      <c r="V1105" s="20">
        <v>-467.63</v>
      </c>
      <c r="W1105" s="20">
        <v>-935.26</v>
      </c>
      <c r="X1105" s="20">
        <v>-467.63</v>
      </c>
      <c r="Y1105" s="20">
        <v>0</v>
      </c>
      <c r="Z1105" s="20">
        <v>0</v>
      </c>
      <c r="AA1105" s="20">
        <v>0</v>
      </c>
      <c r="AB1105" s="20">
        <v>13093.52</v>
      </c>
      <c r="AC1105" t="s">
        <v>183</v>
      </c>
      <c r="AD1105" t="s">
        <v>290</v>
      </c>
      <c r="AE1105" s="702">
        <f t="shared" si="85"/>
        <v>43983</v>
      </c>
      <c r="AF1105" s="289">
        <v>20250.229680163309</v>
      </c>
      <c r="AG1105">
        <f t="shared" si="86"/>
        <v>360</v>
      </c>
      <c r="AH1105" s="289">
        <f t="shared" si="87"/>
        <v>56.250638000453634</v>
      </c>
      <c r="AJ1105" s="289">
        <f t="shared" si="88"/>
        <v>30</v>
      </c>
      <c r="AK1105" s="289">
        <f t="shared" si="89"/>
        <v>1687.5191400136091</v>
      </c>
    </row>
    <row r="1106" spans="1:37">
      <c r="A1106" s="703" t="s">
        <v>2366</v>
      </c>
      <c r="B1106" s="703" t="s">
        <v>2311</v>
      </c>
      <c r="C1106" s="703" t="s">
        <v>332</v>
      </c>
      <c r="D1106" s="703" t="s">
        <v>334</v>
      </c>
      <c r="E1106" s="703" t="s">
        <v>334</v>
      </c>
      <c r="F1106" s="703" t="s">
        <v>335</v>
      </c>
      <c r="G1106" s="703" t="s">
        <v>2367</v>
      </c>
      <c r="H1106" s="703" t="s">
        <v>334</v>
      </c>
      <c r="I1106" s="703" t="s">
        <v>334</v>
      </c>
      <c r="J1106" s="703" t="s">
        <v>337</v>
      </c>
      <c r="K1106" s="704">
        <v>0</v>
      </c>
      <c r="L1106" s="703" t="s">
        <v>334</v>
      </c>
      <c r="M1106" s="702">
        <v>39478</v>
      </c>
      <c r="N1106" s="702">
        <v>44186</v>
      </c>
      <c r="O1106" s="703" t="s">
        <v>338</v>
      </c>
      <c r="P1106" s="20">
        <v>129091.11</v>
      </c>
      <c r="Q1106" s="20">
        <v>0</v>
      </c>
      <c r="R1106" s="20">
        <v>0</v>
      </c>
      <c r="S1106" s="20">
        <v>0</v>
      </c>
      <c r="T1106" s="20">
        <v>129091.11</v>
      </c>
      <c r="U1106" s="20">
        <v>124788.07</v>
      </c>
      <c r="V1106" s="20">
        <v>-4303.04</v>
      </c>
      <c r="W1106" s="20">
        <v>-8606.08</v>
      </c>
      <c r="X1106" s="20">
        <v>-4303.04</v>
      </c>
      <c r="Y1106" s="20">
        <v>0</v>
      </c>
      <c r="Z1106" s="20">
        <v>0</v>
      </c>
      <c r="AA1106" s="20">
        <v>0</v>
      </c>
      <c r="AB1106" s="20">
        <v>120485.03</v>
      </c>
      <c r="AC1106" t="s">
        <v>183</v>
      </c>
      <c r="AD1106" t="s">
        <v>290</v>
      </c>
      <c r="AE1106" s="702">
        <f t="shared" si="85"/>
        <v>43983</v>
      </c>
      <c r="AF1106" s="289">
        <v>186340.12559661115</v>
      </c>
      <c r="AG1106">
        <f t="shared" si="86"/>
        <v>360</v>
      </c>
      <c r="AH1106" s="289">
        <f t="shared" si="87"/>
        <v>517.61145999058658</v>
      </c>
      <c r="AJ1106" s="289">
        <f t="shared" si="88"/>
        <v>30</v>
      </c>
      <c r="AK1106" s="289">
        <f t="shared" si="89"/>
        <v>15528.343799717597</v>
      </c>
    </row>
    <row r="1107" spans="1:37">
      <c r="A1107" s="703" t="s">
        <v>2368</v>
      </c>
      <c r="B1107" s="703" t="s">
        <v>2311</v>
      </c>
      <c r="C1107" s="703" t="s">
        <v>332</v>
      </c>
      <c r="D1107" s="703" t="s">
        <v>334</v>
      </c>
      <c r="E1107" s="703" t="s">
        <v>334</v>
      </c>
      <c r="F1107" s="703" t="s">
        <v>335</v>
      </c>
      <c r="G1107" s="703" t="s">
        <v>2369</v>
      </c>
      <c r="H1107" s="703" t="s">
        <v>334</v>
      </c>
      <c r="I1107" s="703" t="s">
        <v>334</v>
      </c>
      <c r="J1107" s="703" t="s">
        <v>337</v>
      </c>
      <c r="K1107" s="704">
        <v>0</v>
      </c>
      <c r="L1107" s="703" t="s">
        <v>334</v>
      </c>
      <c r="M1107" s="702">
        <v>39478</v>
      </c>
      <c r="N1107" s="702">
        <v>44186</v>
      </c>
      <c r="O1107" s="703" t="s">
        <v>338</v>
      </c>
      <c r="P1107" s="20">
        <v>10429.9</v>
      </c>
      <c r="Q1107" s="20">
        <v>0</v>
      </c>
      <c r="R1107" s="20">
        <v>0</v>
      </c>
      <c r="S1107" s="20">
        <v>0</v>
      </c>
      <c r="T1107" s="20">
        <v>10429.9</v>
      </c>
      <c r="U1107" s="20">
        <v>10082.24</v>
      </c>
      <c r="V1107" s="20">
        <v>-347.66</v>
      </c>
      <c r="W1107" s="20">
        <v>-695.32</v>
      </c>
      <c r="X1107" s="20">
        <v>-347.66</v>
      </c>
      <c r="Y1107" s="20">
        <v>0</v>
      </c>
      <c r="Z1107" s="20">
        <v>0</v>
      </c>
      <c r="AA1107" s="20">
        <v>0</v>
      </c>
      <c r="AB1107" s="20">
        <v>9734.58</v>
      </c>
      <c r="AC1107" t="s">
        <v>183</v>
      </c>
      <c r="AD1107" t="s">
        <v>290</v>
      </c>
      <c r="AE1107" s="702">
        <f t="shared" si="85"/>
        <v>43983</v>
      </c>
      <c r="AF1107" s="289">
        <v>15055.327016400235</v>
      </c>
      <c r="AG1107">
        <f t="shared" si="86"/>
        <v>360</v>
      </c>
      <c r="AH1107" s="289">
        <f t="shared" si="87"/>
        <v>41.820352823333984</v>
      </c>
      <c r="AJ1107" s="289">
        <f t="shared" si="88"/>
        <v>30</v>
      </c>
      <c r="AK1107" s="289">
        <f t="shared" si="89"/>
        <v>1254.6105847000194</v>
      </c>
    </row>
    <row r="1108" spans="1:37">
      <c r="A1108" s="703" t="s">
        <v>2370</v>
      </c>
      <c r="B1108" s="703" t="s">
        <v>2311</v>
      </c>
      <c r="C1108" s="703" t="s">
        <v>332</v>
      </c>
      <c r="D1108" s="703" t="s">
        <v>334</v>
      </c>
      <c r="E1108" s="703" t="s">
        <v>334</v>
      </c>
      <c r="F1108" s="703" t="s">
        <v>335</v>
      </c>
      <c r="G1108" s="703" t="s">
        <v>2371</v>
      </c>
      <c r="H1108" s="703" t="s">
        <v>334</v>
      </c>
      <c r="I1108" s="703" t="s">
        <v>334</v>
      </c>
      <c r="J1108" s="703" t="s">
        <v>337</v>
      </c>
      <c r="K1108" s="704">
        <v>0</v>
      </c>
      <c r="L1108" s="703" t="s">
        <v>334</v>
      </c>
      <c r="M1108" s="702">
        <v>39478</v>
      </c>
      <c r="N1108" s="702">
        <v>44186</v>
      </c>
      <c r="O1108" s="703" t="s">
        <v>338</v>
      </c>
      <c r="P1108" s="20">
        <v>3892.12</v>
      </c>
      <c r="Q1108" s="20">
        <v>0</v>
      </c>
      <c r="R1108" s="20">
        <v>0</v>
      </c>
      <c r="S1108" s="20">
        <v>0</v>
      </c>
      <c r="T1108" s="20">
        <v>3892.12</v>
      </c>
      <c r="U1108" s="20">
        <v>3762.38</v>
      </c>
      <c r="V1108" s="20">
        <v>-129.74</v>
      </c>
      <c r="W1108" s="20">
        <v>-259.48</v>
      </c>
      <c r="X1108" s="20">
        <v>-129.74</v>
      </c>
      <c r="Y1108" s="20">
        <v>0</v>
      </c>
      <c r="Z1108" s="20">
        <v>0</v>
      </c>
      <c r="AA1108" s="20">
        <v>0</v>
      </c>
      <c r="AB1108" s="20">
        <v>3632.64</v>
      </c>
      <c r="AC1108" t="s">
        <v>183</v>
      </c>
      <c r="AD1108" t="s">
        <v>290</v>
      </c>
      <c r="AE1108" s="702">
        <f t="shared" si="85"/>
        <v>43983</v>
      </c>
      <c r="AF1108" s="289">
        <v>5618.188035079118</v>
      </c>
      <c r="AG1108">
        <f t="shared" si="86"/>
        <v>360</v>
      </c>
      <c r="AH1108" s="289">
        <f t="shared" si="87"/>
        <v>15.606077875219771</v>
      </c>
      <c r="AJ1108" s="289">
        <f t="shared" si="88"/>
        <v>30</v>
      </c>
      <c r="AK1108" s="289">
        <f t="shared" si="89"/>
        <v>468.18233625659315</v>
      </c>
    </row>
    <row r="1109" spans="1:37">
      <c r="A1109" s="703" t="s">
        <v>2372</v>
      </c>
      <c r="B1109" s="703" t="s">
        <v>2311</v>
      </c>
      <c r="C1109" s="703" t="s">
        <v>332</v>
      </c>
      <c r="D1109" s="703" t="s">
        <v>334</v>
      </c>
      <c r="E1109" s="703" t="s">
        <v>334</v>
      </c>
      <c r="F1109" s="703" t="s">
        <v>335</v>
      </c>
      <c r="G1109" s="703" t="s">
        <v>2367</v>
      </c>
      <c r="H1109" s="703" t="s">
        <v>334</v>
      </c>
      <c r="I1109" s="703" t="s">
        <v>334</v>
      </c>
      <c r="J1109" s="703" t="s">
        <v>337</v>
      </c>
      <c r="K1109" s="704">
        <v>0</v>
      </c>
      <c r="L1109" s="703" t="s">
        <v>334</v>
      </c>
      <c r="M1109" s="702">
        <v>39478</v>
      </c>
      <c r="N1109" s="702">
        <v>44186</v>
      </c>
      <c r="O1109" s="703" t="s">
        <v>338</v>
      </c>
      <c r="P1109" s="20">
        <v>89711.77</v>
      </c>
      <c r="Q1109" s="20">
        <v>0</v>
      </c>
      <c r="R1109" s="20">
        <v>0</v>
      </c>
      <c r="S1109" s="20">
        <v>0</v>
      </c>
      <c r="T1109" s="20">
        <v>89711.77</v>
      </c>
      <c r="U1109" s="20">
        <v>86721.38</v>
      </c>
      <c r="V1109" s="20">
        <v>-2990.39</v>
      </c>
      <c r="W1109" s="20">
        <v>-5980.78</v>
      </c>
      <c r="X1109" s="20">
        <v>-2990.39</v>
      </c>
      <c r="Y1109" s="20">
        <v>0</v>
      </c>
      <c r="Z1109" s="20">
        <v>0</v>
      </c>
      <c r="AA1109" s="20">
        <v>0</v>
      </c>
      <c r="AB1109" s="20">
        <v>83730.990000000005</v>
      </c>
      <c r="AC1109" t="s">
        <v>183</v>
      </c>
      <c r="AD1109" t="s">
        <v>290</v>
      </c>
      <c r="AE1109" s="702">
        <f t="shared" si="85"/>
        <v>43983</v>
      </c>
      <c r="AF1109" s="289">
        <v>129496.93041832464</v>
      </c>
      <c r="AG1109">
        <f t="shared" si="86"/>
        <v>360</v>
      </c>
      <c r="AH1109" s="289">
        <f t="shared" si="87"/>
        <v>359.71369560645735</v>
      </c>
      <c r="AJ1109" s="289">
        <f t="shared" si="88"/>
        <v>30</v>
      </c>
      <c r="AK1109" s="289">
        <f t="shared" si="89"/>
        <v>10791.410868193721</v>
      </c>
    </row>
    <row r="1110" spans="1:37">
      <c r="A1110" s="703" t="s">
        <v>2373</v>
      </c>
      <c r="B1110" s="703" t="s">
        <v>2311</v>
      </c>
      <c r="C1110" s="703" t="s">
        <v>332</v>
      </c>
      <c r="D1110" s="703" t="s">
        <v>334</v>
      </c>
      <c r="E1110" s="703" t="s">
        <v>334</v>
      </c>
      <c r="F1110" s="703" t="s">
        <v>335</v>
      </c>
      <c r="G1110" s="703" t="s">
        <v>2374</v>
      </c>
      <c r="H1110" s="703" t="s">
        <v>334</v>
      </c>
      <c r="I1110" s="703" t="s">
        <v>334</v>
      </c>
      <c r="J1110" s="703" t="s">
        <v>337</v>
      </c>
      <c r="K1110" s="704">
        <v>0</v>
      </c>
      <c r="L1110" s="703" t="s">
        <v>334</v>
      </c>
      <c r="M1110" s="702">
        <v>39478</v>
      </c>
      <c r="N1110" s="702">
        <v>44186</v>
      </c>
      <c r="O1110" s="703" t="s">
        <v>338</v>
      </c>
      <c r="P1110" s="20">
        <v>5700.81</v>
      </c>
      <c r="Q1110" s="20">
        <v>0</v>
      </c>
      <c r="R1110" s="20">
        <v>0</v>
      </c>
      <c r="S1110" s="20">
        <v>0</v>
      </c>
      <c r="T1110" s="20">
        <v>5700.81</v>
      </c>
      <c r="U1110" s="20">
        <v>5510.78</v>
      </c>
      <c r="V1110" s="20">
        <v>-190.03</v>
      </c>
      <c r="W1110" s="20">
        <v>-380.06</v>
      </c>
      <c r="X1110" s="20">
        <v>-190.03</v>
      </c>
      <c r="Y1110" s="20">
        <v>0</v>
      </c>
      <c r="Z1110" s="20">
        <v>0</v>
      </c>
      <c r="AA1110" s="20">
        <v>0</v>
      </c>
      <c r="AB1110" s="20">
        <v>5320.75</v>
      </c>
      <c r="AC1110" t="s">
        <v>183</v>
      </c>
      <c r="AD1110" t="s">
        <v>290</v>
      </c>
      <c r="AE1110" s="702">
        <f t="shared" si="85"/>
        <v>43983</v>
      </c>
      <c r="AF1110" s="289">
        <v>8228.9915347572496</v>
      </c>
      <c r="AG1110">
        <f t="shared" si="86"/>
        <v>360</v>
      </c>
      <c r="AH1110" s="289">
        <f t="shared" si="87"/>
        <v>22.858309818770138</v>
      </c>
      <c r="AJ1110" s="289">
        <f t="shared" si="88"/>
        <v>30</v>
      </c>
      <c r="AK1110" s="289">
        <f t="shared" si="89"/>
        <v>685.74929456310417</v>
      </c>
    </row>
    <row r="1111" spans="1:37">
      <c r="A1111" s="703" t="s">
        <v>2375</v>
      </c>
      <c r="B1111" s="703" t="s">
        <v>2311</v>
      </c>
      <c r="C1111" s="703" t="s">
        <v>332</v>
      </c>
      <c r="D1111" s="703" t="s">
        <v>334</v>
      </c>
      <c r="E1111" s="703" t="s">
        <v>334</v>
      </c>
      <c r="F1111" s="703" t="s">
        <v>335</v>
      </c>
      <c r="G1111" s="703" t="s">
        <v>2376</v>
      </c>
      <c r="H1111" s="703" t="s">
        <v>334</v>
      </c>
      <c r="I1111" s="703" t="s">
        <v>334</v>
      </c>
      <c r="J1111" s="703" t="s">
        <v>337</v>
      </c>
      <c r="K1111" s="704">
        <v>0</v>
      </c>
      <c r="L1111" s="703" t="s">
        <v>334</v>
      </c>
      <c r="M1111" s="702">
        <v>39478</v>
      </c>
      <c r="N1111" s="702">
        <v>44186</v>
      </c>
      <c r="O1111" s="703" t="s">
        <v>338</v>
      </c>
      <c r="P1111" s="20">
        <v>413953.85</v>
      </c>
      <c r="Q1111" s="20">
        <v>0</v>
      </c>
      <c r="R1111" s="20">
        <v>0</v>
      </c>
      <c r="S1111" s="20">
        <v>0</v>
      </c>
      <c r="T1111" s="20">
        <v>413953.85</v>
      </c>
      <c r="U1111" s="20">
        <v>400155.39</v>
      </c>
      <c r="V1111" s="20">
        <v>-13798.46</v>
      </c>
      <c r="W1111" s="20">
        <v>-27596.92</v>
      </c>
      <c r="X1111" s="20">
        <v>-13798.46</v>
      </c>
      <c r="Y1111" s="20">
        <v>0</v>
      </c>
      <c r="Z1111" s="20">
        <v>0</v>
      </c>
      <c r="AA1111" s="20">
        <v>0</v>
      </c>
      <c r="AB1111" s="20">
        <v>386356.93</v>
      </c>
      <c r="AC1111" t="s">
        <v>183</v>
      </c>
      <c r="AD1111" t="s">
        <v>290</v>
      </c>
      <c r="AE1111" s="702">
        <f t="shared" si="85"/>
        <v>43983</v>
      </c>
      <c r="AF1111" s="289">
        <v>597533.10975636297</v>
      </c>
      <c r="AG1111">
        <f t="shared" si="86"/>
        <v>360</v>
      </c>
      <c r="AH1111" s="289">
        <f t="shared" si="87"/>
        <v>1659.8141937676749</v>
      </c>
      <c r="AJ1111" s="289">
        <f t="shared" si="88"/>
        <v>30</v>
      </c>
      <c r="AK1111" s="289">
        <f t="shared" si="89"/>
        <v>49794.425813030248</v>
      </c>
    </row>
    <row r="1112" spans="1:37">
      <c r="A1112" s="703" t="s">
        <v>2377</v>
      </c>
      <c r="B1112" s="703" t="s">
        <v>2311</v>
      </c>
      <c r="C1112" s="703" t="s">
        <v>332</v>
      </c>
      <c r="D1112" s="703" t="s">
        <v>334</v>
      </c>
      <c r="E1112" s="703" t="s">
        <v>334</v>
      </c>
      <c r="F1112" s="703" t="s">
        <v>335</v>
      </c>
      <c r="G1112" s="703" t="s">
        <v>2378</v>
      </c>
      <c r="H1112" s="703" t="s">
        <v>334</v>
      </c>
      <c r="I1112" s="703" t="s">
        <v>334</v>
      </c>
      <c r="J1112" s="703" t="s">
        <v>337</v>
      </c>
      <c r="K1112" s="704">
        <v>0</v>
      </c>
      <c r="L1112" s="703" t="s">
        <v>334</v>
      </c>
      <c r="M1112" s="702">
        <v>39478</v>
      </c>
      <c r="N1112" s="702">
        <v>44186</v>
      </c>
      <c r="O1112" s="703" t="s">
        <v>338</v>
      </c>
      <c r="P1112" s="20">
        <v>398516.53</v>
      </c>
      <c r="Q1112" s="20">
        <v>0</v>
      </c>
      <c r="R1112" s="20">
        <v>0</v>
      </c>
      <c r="S1112" s="20">
        <v>0</v>
      </c>
      <c r="T1112" s="20">
        <v>398516.53</v>
      </c>
      <c r="U1112" s="20">
        <v>385232.65</v>
      </c>
      <c r="V1112" s="20">
        <v>-13283.88</v>
      </c>
      <c r="W1112" s="20">
        <v>-26567.759999999998</v>
      </c>
      <c r="X1112" s="20">
        <v>-13283.88</v>
      </c>
      <c r="Y1112" s="20">
        <v>0</v>
      </c>
      <c r="Z1112" s="20">
        <v>0</v>
      </c>
      <c r="AA1112" s="20">
        <v>0</v>
      </c>
      <c r="AB1112" s="20">
        <v>371948.77</v>
      </c>
      <c r="AC1112" t="s">
        <v>183</v>
      </c>
      <c r="AD1112" t="s">
        <v>290</v>
      </c>
      <c r="AE1112" s="702">
        <f t="shared" si="85"/>
        <v>43983</v>
      </c>
      <c r="AF1112" s="289">
        <v>575249.68413801433</v>
      </c>
      <c r="AG1112">
        <f t="shared" si="86"/>
        <v>360</v>
      </c>
      <c r="AH1112" s="289">
        <f t="shared" si="87"/>
        <v>1597.9157892722619</v>
      </c>
      <c r="AJ1112" s="289">
        <f t="shared" si="88"/>
        <v>30</v>
      </c>
      <c r="AK1112" s="289">
        <f t="shared" si="89"/>
        <v>47937.473678167858</v>
      </c>
    </row>
    <row r="1113" spans="1:37">
      <c r="A1113" s="703" t="s">
        <v>2379</v>
      </c>
      <c r="B1113" s="703" t="s">
        <v>2311</v>
      </c>
      <c r="C1113" s="703" t="s">
        <v>332</v>
      </c>
      <c r="D1113" s="703" t="s">
        <v>334</v>
      </c>
      <c r="E1113" s="703" t="s">
        <v>334</v>
      </c>
      <c r="F1113" s="703" t="s">
        <v>335</v>
      </c>
      <c r="G1113" s="703" t="s">
        <v>2380</v>
      </c>
      <c r="H1113" s="703" t="s">
        <v>334</v>
      </c>
      <c r="I1113" s="703" t="s">
        <v>334</v>
      </c>
      <c r="J1113" s="703" t="s">
        <v>337</v>
      </c>
      <c r="K1113" s="704">
        <v>0</v>
      </c>
      <c r="L1113" s="703" t="s">
        <v>334</v>
      </c>
      <c r="M1113" s="702">
        <v>42613</v>
      </c>
      <c r="N1113" s="702">
        <v>44186</v>
      </c>
      <c r="O1113" s="703" t="s">
        <v>338</v>
      </c>
      <c r="P1113" s="20">
        <v>232007.6</v>
      </c>
      <c r="Q1113" s="20">
        <v>0</v>
      </c>
      <c r="R1113" s="20">
        <v>0</v>
      </c>
      <c r="S1113" s="20">
        <v>0</v>
      </c>
      <c r="T1113" s="20">
        <v>232007.6</v>
      </c>
      <c r="U1113" s="20">
        <v>224274.01</v>
      </c>
      <c r="V1113" s="20">
        <v>-7733.59</v>
      </c>
      <c r="W1113" s="20">
        <v>-15467.18</v>
      </c>
      <c r="X1113" s="20">
        <v>-7733.59</v>
      </c>
      <c r="Y1113" s="20">
        <v>0</v>
      </c>
      <c r="Z1113" s="20">
        <v>0</v>
      </c>
      <c r="AA1113" s="20">
        <v>0</v>
      </c>
      <c r="AB1113" s="20">
        <v>216540.42</v>
      </c>
      <c r="AC1113" t="s">
        <v>183</v>
      </c>
      <c r="AD1113" t="s">
        <v>290</v>
      </c>
      <c r="AE1113" s="702">
        <f t="shared" si="85"/>
        <v>43983</v>
      </c>
      <c r="AF1113" s="289">
        <v>334897.77354434651</v>
      </c>
      <c r="AG1113">
        <f t="shared" si="86"/>
        <v>360</v>
      </c>
      <c r="AH1113" s="289">
        <f t="shared" si="87"/>
        <v>930.27159317874032</v>
      </c>
      <c r="AJ1113" s="289">
        <f t="shared" si="88"/>
        <v>30</v>
      </c>
      <c r="AK1113" s="289">
        <f t="shared" si="89"/>
        <v>27908.147795362209</v>
      </c>
    </row>
    <row r="1114" spans="1:37">
      <c r="A1114" s="703" t="s">
        <v>2381</v>
      </c>
      <c r="B1114" s="703" t="s">
        <v>2311</v>
      </c>
      <c r="C1114" s="703" t="s">
        <v>332</v>
      </c>
      <c r="D1114" s="703" t="s">
        <v>334</v>
      </c>
      <c r="E1114" s="703" t="s">
        <v>334</v>
      </c>
      <c r="F1114" s="703" t="s">
        <v>335</v>
      </c>
      <c r="G1114" s="703" t="s">
        <v>2382</v>
      </c>
      <c r="H1114" s="703" t="s">
        <v>334</v>
      </c>
      <c r="I1114" s="703" t="s">
        <v>334</v>
      </c>
      <c r="J1114" s="703" t="s">
        <v>337</v>
      </c>
      <c r="K1114" s="704">
        <v>0</v>
      </c>
      <c r="L1114" s="703" t="s">
        <v>334</v>
      </c>
      <c r="M1114" s="702">
        <v>42613</v>
      </c>
      <c r="N1114" s="702">
        <v>44186</v>
      </c>
      <c r="O1114" s="703" t="s">
        <v>338</v>
      </c>
      <c r="P1114" s="20">
        <v>301245.56</v>
      </c>
      <c r="Q1114" s="20">
        <v>0</v>
      </c>
      <c r="R1114" s="20">
        <v>0</v>
      </c>
      <c r="S1114" s="20">
        <v>0</v>
      </c>
      <c r="T1114" s="20">
        <v>301245.56</v>
      </c>
      <c r="U1114" s="20">
        <v>291204.03999999998</v>
      </c>
      <c r="V1114" s="20">
        <v>-10041.52</v>
      </c>
      <c r="W1114" s="20">
        <v>-20083.04</v>
      </c>
      <c r="X1114" s="20">
        <v>-10041.52</v>
      </c>
      <c r="Y1114" s="20">
        <v>0</v>
      </c>
      <c r="Z1114" s="20">
        <v>0</v>
      </c>
      <c r="AA1114" s="20">
        <v>0</v>
      </c>
      <c r="AB1114" s="20">
        <v>281162.52</v>
      </c>
      <c r="AC1114" t="s">
        <v>183</v>
      </c>
      <c r="AD1114" t="s">
        <v>290</v>
      </c>
      <c r="AE1114" s="702">
        <f t="shared" si="85"/>
        <v>43983</v>
      </c>
      <c r="AF1114" s="289">
        <v>434841.21784855251</v>
      </c>
      <c r="AG1114">
        <f t="shared" si="86"/>
        <v>360</v>
      </c>
      <c r="AH1114" s="289">
        <f t="shared" si="87"/>
        <v>1207.8922718015347</v>
      </c>
      <c r="AJ1114" s="289">
        <f t="shared" si="88"/>
        <v>30</v>
      </c>
      <c r="AK1114" s="289">
        <f t="shared" si="89"/>
        <v>36236.76815404604</v>
      </c>
    </row>
    <row r="1115" spans="1:37">
      <c r="A1115" s="703" t="s">
        <v>2383</v>
      </c>
      <c r="B1115" s="703" t="s">
        <v>2311</v>
      </c>
      <c r="C1115" s="703" t="s">
        <v>332</v>
      </c>
      <c r="D1115" s="703" t="s">
        <v>334</v>
      </c>
      <c r="E1115" s="703" t="s">
        <v>334</v>
      </c>
      <c r="F1115" s="703" t="s">
        <v>335</v>
      </c>
      <c r="G1115" s="703" t="s">
        <v>2384</v>
      </c>
      <c r="H1115" s="703" t="s">
        <v>334</v>
      </c>
      <c r="I1115" s="703" t="s">
        <v>334</v>
      </c>
      <c r="J1115" s="703" t="s">
        <v>337</v>
      </c>
      <c r="K1115" s="704">
        <v>0</v>
      </c>
      <c r="L1115" s="703" t="s">
        <v>334</v>
      </c>
      <c r="M1115" s="702">
        <v>42613</v>
      </c>
      <c r="N1115" s="702">
        <v>44186</v>
      </c>
      <c r="O1115" s="703" t="s">
        <v>338</v>
      </c>
      <c r="P1115" s="20">
        <v>654460.85</v>
      </c>
      <c r="Q1115" s="20">
        <v>0</v>
      </c>
      <c r="R1115" s="20">
        <v>0</v>
      </c>
      <c r="S1115" s="20">
        <v>0</v>
      </c>
      <c r="T1115" s="20">
        <v>654460.85</v>
      </c>
      <c r="U1115" s="20">
        <v>632645.49</v>
      </c>
      <c r="V1115" s="20">
        <v>-21815.360000000001</v>
      </c>
      <c r="W1115" s="20">
        <v>-43630.720000000001</v>
      </c>
      <c r="X1115" s="20">
        <v>-21815.360000000001</v>
      </c>
      <c r="Y1115" s="20">
        <v>0</v>
      </c>
      <c r="Z1115" s="20">
        <v>0</v>
      </c>
      <c r="AA1115" s="20">
        <v>0</v>
      </c>
      <c r="AB1115" s="20">
        <v>610830.13</v>
      </c>
      <c r="AC1115" t="s">
        <v>183</v>
      </c>
      <c r="AD1115" t="s">
        <v>290</v>
      </c>
      <c r="AE1115" s="702">
        <f t="shared" si="85"/>
        <v>43983</v>
      </c>
      <c r="AF1115" s="289">
        <v>944699.5768110205</v>
      </c>
      <c r="AG1115">
        <f t="shared" si="86"/>
        <v>360</v>
      </c>
      <c r="AH1115" s="289">
        <f t="shared" si="87"/>
        <v>2624.1654911417236</v>
      </c>
      <c r="AJ1115" s="289">
        <f t="shared" si="88"/>
        <v>30</v>
      </c>
      <c r="AK1115" s="289">
        <f t="shared" si="89"/>
        <v>78724.964734251713</v>
      </c>
    </row>
    <row r="1116" spans="1:37">
      <c r="A1116" s="703" t="s">
        <v>2385</v>
      </c>
      <c r="B1116" s="703" t="s">
        <v>2311</v>
      </c>
      <c r="C1116" s="703" t="s">
        <v>332</v>
      </c>
      <c r="D1116" s="703" t="s">
        <v>334</v>
      </c>
      <c r="E1116" s="703" t="s">
        <v>334</v>
      </c>
      <c r="F1116" s="703" t="s">
        <v>335</v>
      </c>
      <c r="G1116" s="703" t="s">
        <v>2386</v>
      </c>
      <c r="H1116" s="703" t="s">
        <v>334</v>
      </c>
      <c r="I1116" s="703" t="s">
        <v>334</v>
      </c>
      <c r="J1116" s="703" t="s">
        <v>337</v>
      </c>
      <c r="K1116" s="704">
        <v>0</v>
      </c>
      <c r="L1116" s="703" t="s">
        <v>334</v>
      </c>
      <c r="M1116" s="702">
        <v>42886</v>
      </c>
      <c r="N1116" s="702">
        <v>44186</v>
      </c>
      <c r="O1116" s="703" t="s">
        <v>338</v>
      </c>
      <c r="P1116" s="20">
        <v>629733.92000000004</v>
      </c>
      <c r="Q1116" s="20">
        <v>0</v>
      </c>
      <c r="R1116" s="20">
        <v>0</v>
      </c>
      <c r="S1116" s="20">
        <v>0</v>
      </c>
      <c r="T1116" s="20">
        <v>629733.92000000004</v>
      </c>
      <c r="U1116" s="20">
        <v>608742.79</v>
      </c>
      <c r="V1116" s="20">
        <v>-20991.13</v>
      </c>
      <c r="W1116" s="20">
        <v>-41982.26</v>
      </c>
      <c r="X1116" s="20">
        <v>-20991.13</v>
      </c>
      <c r="Y1116" s="20">
        <v>0</v>
      </c>
      <c r="Z1116" s="20">
        <v>0</v>
      </c>
      <c r="AA1116" s="20">
        <v>0</v>
      </c>
      <c r="AB1116" s="20">
        <v>587751.66</v>
      </c>
      <c r="AC1116" t="s">
        <v>183</v>
      </c>
      <c r="AD1116" t="s">
        <v>290</v>
      </c>
      <c r="AE1116" s="702">
        <f t="shared" si="85"/>
        <v>43983</v>
      </c>
      <c r="AF1116" s="289">
        <v>909006.80724835582</v>
      </c>
      <c r="AG1116">
        <f t="shared" si="86"/>
        <v>360</v>
      </c>
      <c r="AH1116" s="289">
        <f t="shared" si="87"/>
        <v>2525.0189090232107</v>
      </c>
      <c r="AJ1116" s="289">
        <f t="shared" si="88"/>
        <v>30</v>
      </c>
      <c r="AK1116" s="289">
        <f t="shared" si="89"/>
        <v>75750.567270696323</v>
      </c>
    </row>
    <row r="1117" spans="1:37">
      <c r="A1117" s="703" t="s">
        <v>2387</v>
      </c>
      <c r="B1117" s="703" t="s">
        <v>2311</v>
      </c>
      <c r="C1117" s="703" t="s">
        <v>332</v>
      </c>
      <c r="D1117" s="703" t="s">
        <v>334</v>
      </c>
      <c r="E1117" s="703" t="s">
        <v>334</v>
      </c>
      <c r="F1117" s="703" t="s">
        <v>335</v>
      </c>
      <c r="G1117" s="703" t="s">
        <v>2388</v>
      </c>
      <c r="H1117" s="703" t="s">
        <v>334</v>
      </c>
      <c r="I1117" s="703" t="s">
        <v>334</v>
      </c>
      <c r="J1117" s="703" t="s">
        <v>337</v>
      </c>
      <c r="K1117" s="704">
        <v>0</v>
      </c>
      <c r="L1117" s="703" t="s">
        <v>334</v>
      </c>
      <c r="M1117" s="702">
        <v>43616</v>
      </c>
      <c r="N1117" s="702">
        <v>44186</v>
      </c>
      <c r="O1117" s="703" t="s">
        <v>338</v>
      </c>
      <c r="P1117" s="20">
        <v>7158.71</v>
      </c>
      <c r="Q1117" s="20">
        <v>0</v>
      </c>
      <c r="R1117" s="20">
        <v>0</v>
      </c>
      <c r="S1117" s="20">
        <v>0</v>
      </c>
      <c r="T1117" s="20">
        <v>7158.71</v>
      </c>
      <c r="U1117" s="20">
        <v>6920.09</v>
      </c>
      <c r="V1117" s="20">
        <v>-238.62</v>
      </c>
      <c r="W1117" s="20">
        <v>-477.24</v>
      </c>
      <c r="X1117" s="20">
        <v>-238.62</v>
      </c>
      <c r="Y1117" s="20">
        <v>0</v>
      </c>
      <c r="Z1117" s="20">
        <v>0</v>
      </c>
      <c r="AA1117" s="20">
        <v>0</v>
      </c>
      <c r="AB1117" s="20">
        <v>6681.47</v>
      </c>
      <c r="AC1117" t="s">
        <v>183</v>
      </c>
      <c r="AD1117" t="s">
        <v>290</v>
      </c>
      <c r="AE1117" s="702">
        <f t="shared" si="85"/>
        <v>43983</v>
      </c>
      <c r="AF1117" s="289">
        <v>10333.437527260523</v>
      </c>
      <c r="AG1117">
        <f t="shared" si="86"/>
        <v>360</v>
      </c>
      <c r="AH1117" s="289">
        <f t="shared" si="87"/>
        <v>28.70399313127923</v>
      </c>
      <c r="AJ1117" s="289">
        <f t="shared" si="88"/>
        <v>30</v>
      </c>
      <c r="AK1117" s="289">
        <f t="shared" si="89"/>
        <v>861.11979393837692</v>
      </c>
    </row>
    <row r="1118" spans="1:37">
      <c r="A1118" s="703" t="s">
        <v>2389</v>
      </c>
      <c r="B1118" s="703" t="s">
        <v>2311</v>
      </c>
      <c r="C1118" s="703" t="s">
        <v>332</v>
      </c>
      <c r="D1118" s="703" t="s">
        <v>334</v>
      </c>
      <c r="E1118" s="703" t="s">
        <v>334</v>
      </c>
      <c r="F1118" s="703" t="s">
        <v>335</v>
      </c>
      <c r="G1118" s="703" t="s">
        <v>2390</v>
      </c>
      <c r="H1118" s="703" t="s">
        <v>334</v>
      </c>
      <c r="I1118" s="703" t="s">
        <v>334</v>
      </c>
      <c r="J1118" s="703" t="s">
        <v>337</v>
      </c>
      <c r="K1118" s="704">
        <v>0</v>
      </c>
      <c r="L1118" s="703" t="s">
        <v>334</v>
      </c>
      <c r="M1118" s="702">
        <v>43646</v>
      </c>
      <c r="N1118" s="702">
        <v>44186</v>
      </c>
      <c r="O1118" s="703" t="s">
        <v>338</v>
      </c>
      <c r="P1118" s="20">
        <v>166475.04</v>
      </c>
      <c r="Q1118" s="20">
        <v>0</v>
      </c>
      <c r="R1118" s="20">
        <v>0</v>
      </c>
      <c r="S1118" s="20">
        <v>0</v>
      </c>
      <c r="T1118" s="20">
        <v>166475.04</v>
      </c>
      <c r="U1118" s="20">
        <v>160925.87</v>
      </c>
      <c r="V1118" s="20">
        <v>-5549.17</v>
      </c>
      <c r="W1118" s="20">
        <v>-11098.34</v>
      </c>
      <c r="X1118" s="20">
        <v>-5549.17</v>
      </c>
      <c r="Y1118" s="20">
        <v>0</v>
      </c>
      <c r="Z1118" s="20">
        <v>0</v>
      </c>
      <c r="AA1118" s="20">
        <v>0</v>
      </c>
      <c r="AB1118" s="20">
        <v>155376.70000000001</v>
      </c>
      <c r="AC1118" t="s">
        <v>183</v>
      </c>
      <c r="AD1118" t="s">
        <v>290</v>
      </c>
      <c r="AE1118" s="702">
        <f t="shared" si="85"/>
        <v>43983</v>
      </c>
      <c r="AF1118" s="289">
        <v>240302.99113781628</v>
      </c>
      <c r="AG1118">
        <f t="shared" si="86"/>
        <v>360</v>
      </c>
      <c r="AH1118" s="289">
        <f t="shared" si="87"/>
        <v>667.50830871615631</v>
      </c>
      <c r="AJ1118" s="289">
        <f t="shared" si="88"/>
        <v>30</v>
      </c>
      <c r="AK1118" s="289">
        <f t="shared" si="89"/>
        <v>20025.249261484689</v>
      </c>
    </row>
    <row r="1119" spans="1:37">
      <c r="A1119" s="703" t="s">
        <v>2391</v>
      </c>
      <c r="B1119" s="703" t="s">
        <v>2311</v>
      </c>
      <c r="C1119" s="703" t="s">
        <v>332</v>
      </c>
      <c r="D1119" s="703" t="s">
        <v>334</v>
      </c>
      <c r="E1119" s="703" t="s">
        <v>334</v>
      </c>
      <c r="F1119" s="703" t="s">
        <v>335</v>
      </c>
      <c r="G1119" s="703" t="s">
        <v>2392</v>
      </c>
      <c r="H1119" s="703" t="s">
        <v>334</v>
      </c>
      <c r="I1119" s="703" t="s">
        <v>334</v>
      </c>
      <c r="J1119" s="703" t="s">
        <v>337</v>
      </c>
      <c r="K1119" s="704">
        <v>0</v>
      </c>
      <c r="L1119" s="703" t="s">
        <v>334</v>
      </c>
      <c r="M1119" s="702">
        <v>43646</v>
      </c>
      <c r="N1119" s="702">
        <v>44186</v>
      </c>
      <c r="O1119" s="703" t="s">
        <v>338</v>
      </c>
      <c r="P1119" s="20">
        <v>11659.13</v>
      </c>
      <c r="Q1119" s="20">
        <v>0</v>
      </c>
      <c r="R1119" s="20">
        <v>0</v>
      </c>
      <c r="S1119" s="20">
        <v>0</v>
      </c>
      <c r="T1119" s="20">
        <v>11659.13</v>
      </c>
      <c r="U1119" s="20">
        <v>11270.49</v>
      </c>
      <c r="V1119" s="20">
        <v>-388.64</v>
      </c>
      <c r="W1119" s="20">
        <v>-777.28</v>
      </c>
      <c r="X1119" s="20">
        <v>-388.64</v>
      </c>
      <c r="Y1119" s="20">
        <v>0</v>
      </c>
      <c r="Z1119" s="20">
        <v>0</v>
      </c>
      <c r="AA1119" s="20">
        <v>0</v>
      </c>
      <c r="AB1119" s="20">
        <v>10881.85</v>
      </c>
      <c r="AC1119" t="s">
        <v>183</v>
      </c>
      <c r="AD1119" t="s">
        <v>290</v>
      </c>
      <c r="AE1119" s="702">
        <f t="shared" si="85"/>
        <v>43983</v>
      </c>
      <c r="AF1119" s="289">
        <v>16829.692986195696</v>
      </c>
      <c r="AG1119">
        <f t="shared" si="86"/>
        <v>360</v>
      </c>
      <c r="AH1119" s="289">
        <f t="shared" si="87"/>
        <v>46.749147183876936</v>
      </c>
      <c r="AJ1119" s="289">
        <f t="shared" si="88"/>
        <v>30</v>
      </c>
      <c r="AK1119" s="289">
        <f t="shared" si="89"/>
        <v>1402.474415516308</v>
      </c>
    </row>
    <row r="1120" spans="1:37">
      <c r="A1120" s="703" t="s">
        <v>2393</v>
      </c>
      <c r="B1120" s="703" t="s">
        <v>2311</v>
      </c>
      <c r="C1120" s="703" t="s">
        <v>332</v>
      </c>
      <c r="D1120" s="703" t="s">
        <v>334</v>
      </c>
      <c r="E1120" s="703" t="s">
        <v>334</v>
      </c>
      <c r="F1120" s="703" t="s">
        <v>335</v>
      </c>
      <c r="G1120" s="703" t="s">
        <v>2394</v>
      </c>
      <c r="H1120" s="703" t="s">
        <v>334</v>
      </c>
      <c r="I1120" s="703" t="s">
        <v>334</v>
      </c>
      <c r="J1120" s="703" t="s">
        <v>337</v>
      </c>
      <c r="K1120" s="704">
        <v>0</v>
      </c>
      <c r="L1120" s="703" t="s">
        <v>334</v>
      </c>
      <c r="M1120" s="702">
        <v>43708</v>
      </c>
      <c r="N1120" s="702">
        <v>44186</v>
      </c>
      <c r="O1120" s="703" t="s">
        <v>338</v>
      </c>
      <c r="P1120" s="20">
        <v>265441.26</v>
      </c>
      <c r="Q1120" s="20">
        <v>0</v>
      </c>
      <c r="R1120" s="20">
        <v>0</v>
      </c>
      <c r="S1120" s="20">
        <v>0</v>
      </c>
      <c r="T1120" s="20">
        <v>265441.26</v>
      </c>
      <c r="U1120" s="20">
        <v>256593.22</v>
      </c>
      <c r="V1120" s="20">
        <v>-8848.0400000000009</v>
      </c>
      <c r="W1120" s="20">
        <v>-17696.080000000002</v>
      </c>
      <c r="X1120" s="20">
        <v>-8848.0400000000009</v>
      </c>
      <c r="Y1120" s="20">
        <v>0</v>
      </c>
      <c r="Z1120" s="20">
        <v>0</v>
      </c>
      <c r="AA1120" s="20">
        <v>0</v>
      </c>
      <c r="AB1120" s="20">
        <v>247745.18</v>
      </c>
      <c r="AC1120" t="s">
        <v>183</v>
      </c>
      <c r="AD1120" t="s">
        <v>290</v>
      </c>
      <c r="AE1120" s="702">
        <f t="shared" si="85"/>
        <v>43983</v>
      </c>
      <c r="AF1120" s="289">
        <v>383158.51282805396</v>
      </c>
      <c r="AG1120">
        <f t="shared" si="86"/>
        <v>360</v>
      </c>
      <c r="AH1120" s="289">
        <f t="shared" si="87"/>
        <v>1064.32920230015</v>
      </c>
      <c r="AJ1120" s="289">
        <f t="shared" si="88"/>
        <v>30</v>
      </c>
      <c r="AK1120" s="289">
        <f t="shared" si="89"/>
        <v>31929.876069004498</v>
      </c>
    </row>
    <row r="1121" spans="1:37">
      <c r="A1121" s="703" t="s">
        <v>2395</v>
      </c>
      <c r="B1121" s="703" t="s">
        <v>2311</v>
      </c>
      <c r="C1121" s="703" t="s">
        <v>332</v>
      </c>
      <c r="D1121" s="703" t="s">
        <v>334</v>
      </c>
      <c r="E1121" s="703" t="s">
        <v>334</v>
      </c>
      <c r="F1121" s="703" t="s">
        <v>335</v>
      </c>
      <c r="G1121" s="703" t="s">
        <v>2396</v>
      </c>
      <c r="H1121" s="703" t="s">
        <v>334</v>
      </c>
      <c r="I1121" s="703" t="s">
        <v>334</v>
      </c>
      <c r="J1121" s="703" t="s">
        <v>337</v>
      </c>
      <c r="K1121" s="704">
        <v>0</v>
      </c>
      <c r="L1121" s="703" t="s">
        <v>334</v>
      </c>
      <c r="M1121" s="702">
        <v>43708</v>
      </c>
      <c r="N1121" s="702">
        <v>44186</v>
      </c>
      <c r="O1121" s="703" t="s">
        <v>338</v>
      </c>
      <c r="P1121" s="20">
        <v>7095.55</v>
      </c>
      <c r="Q1121" s="20">
        <v>0</v>
      </c>
      <c r="R1121" s="20">
        <v>0</v>
      </c>
      <c r="S1121" s="20">
        <v>0</v>
      </c>
      <c r="T1121" s="20">
        <v>7095.55</v>
      </c>
      <c r="U1121" s="20">
        <v>6859.03</v>
      </c>
      <c r="V1121" s="20">
        <v>-236.52</v>
      </c>
      <c r="W1121" s="20">
        <v>-473.04</v>
      </c>
      <c r="X1121" s="20">
        <v>-236.52</v>
      </c>
      <c r="Y1121" s="20">
        <v>0</v>
      </c>
      <c r="Z1121" s="20">
        <v>0</v>
      </c>
      <c r="AA1121" s="20">
        <v>0</v>
      </c>
      <c r="AB1121" s="20">
        <v>6622.51</v>
      </c>
      <c r="AC1121" t="s">
        <v>183</v>
      </c>
      <c r="AD1121" t="s">
        <v>290</v>
      </c>
      <c r="AE1121" s="702">
        <f t="shared" si="85"/>
        <v>43983</v>
      </c>
      <c r="AF1121" s="289">
        <v>10242.267482067775</v>
      </c>
      <c r="AG1121">
        <f t="shared" si="86"/>
        <v>360</v>
      </c>
      <c r="AH1121" s="289">
        <f t="shared" si="87"/>
        <v>28.450743005743821</v>
      </c>
      <c r="AJ1121" s="289">
        <f t="shared" si="88"/>
        <v>30</v>
      </c>
      <c r="AK1121" s="289">
        <f t="shared" si="89"/>
        <v>853.52229017231457</v>
      </c>
    </row>
    <row r="1122" spans="1:37">
      <c r="A1122" s="703" t="s">
        <v>2397</v>
      </c>
      <c r="B1122" s="703" t="s">
        <v>2311</v>
      </c>
      <c r="C1122" s="703" t="s">
        <v>332</v>
      </c>
      <c r="D1122" s="703" t="s">
        <v>334</v>
      </c>
      <c r="E1122" s="703" t="s">
        <v>334</v>
      </c>
      <c r="F1122" s="703" t="s">
        <v>335</v>
      </c>
      <c r="G1122" s="703" t="s">
        <v>2398</v>
      </c>
      <c r="H1122" s="703" t="s">
        <v>334</v>
      </c>
      <c r="I1122" s="703" t="s">
        <v>334</v>
      </c>
      <c r="J1122" s="703" t="s">
        <v>337</v>
      </c>
      <c r="K1122" s="704">
        <v>0</v>
      </c>
      <c r="L1122" s="703" t="s">
        <v>334</v>
      </c>
      <c r="M1122" s="702">
        <v>43921</v>
      </c>
      <c r="N1122" s="702">
        <v>44186</v>
      </c>
      <c r="O1122" s="703" t="s">
        <v>338</v>
      </c>
      <c r="P1122" s="20">
        <v>59451.37</v>
      </c>
      <c r="Q1122" s="20">
        <v>0</v>
      </c>
      <c r="R1122" s="20">
        <v>0</v>
      </c>
      <c r="S1122" s="20">
        <v>0</v>
      </c>
      <c r="T1122" s="20">
        <v>59451.37</v>
      </c>
      <c r="U1122" s="20">
        <v>57469.66</v>
      </c>
      <c r="V1122" s="20">
        <v>-1981.71</v>
      </c>
      <c r="W1122" s="20">
        <v>-3963.42</v>
      </c>
      <c r="X1122" s="20">
        <v>-1981.71</v>
      </c>
      <c r="Y1122" s="20">
        <v>0</v>
      </c>
      <c r="Z1122" s="20">
        <v>0</v>
      </c>
      <c r="AA1122" s="20">
        <v>0</v>
      </c>
      <c r="AB1122" s="20">
        <v>55487.95</v>
      </c>
      <c r="AC1122" t="s">
        <v>183</v>
      </c>
      <c r="AD1122" t="s">
        <v>290</v>
      </c>
      <c r="AE1122" s="702">
        <f t="shared" si="85"/>
        <v>43983</v>
      </c>
      <c r="AF1122" s="289">
        <v>85816.720862425005</v>
      </c>
      <c r="AG1122">
        <f t="shared" si="86"/>
        <v>360</v>
      </c>
      <c r="AH1122" s="289">
        <f t="shared" si="87"/>
        <v>238.37978017340279</v>
      </c>
      <c r="AJ1122" s="289">
        <f t="shared" si="88"/>
        <v>30</v>
      </c>
      <c r="AK1122" s="289">
        <f t="shared" si="89"/>
        <v>7151.3934052020841</v>
      </c>
    </row>
    <row r="1123" spans="1:37">
      <c r="A1123" s="703" t="s">
        <v>2399</v>
      </c>
      <c r="B1123" s="703" t="s">
        <v>2311</v>
      </c>
      <c r="C1123" s="703" t="s">
        <v>332</v>
      </c>
      <c r="D1123" s="703" t="s">
        <v>334</v>
      </c>
      <c r="E1123" s="703" t="s">
        <v>334</v>
      </c>
      <c r="F1123" s="703" t="s">
        <v>335</v>
      </c>
      <c r="G1123" s="703" t="s">
        <v>2400</v>
      </c>
      <c r="H1123" s="703" t="s">
        <v>334</v>
      </c>
      <c r="I1123" s="703" t="s">
        <v>334</v>
      </c>
      <c r="J1123" s="703" t="s">
        <v>337</v>
      </c>
      <c r="K1123" s="704">
        <v>0</v>
      </c>
      <c r="L1123" s="703" t="s">
        <v>334</v>
      </c>
      <c r="M1123" s="702">
        <v>43921</v>
      </c>
      <c r="N1123" s="702">
        <v>44186</v>
      </c>
      <c r="O1123" s="703" t="s">
        <v>338</v>
      </c>
      <c r="P1123" s="20">
        <v>133587.74</v>
      </c>
      <c r="Q1123" s="20">
        <v>0</v>
      </c>
      <c r="R1123" s="20">
        <v>0</v>
      </c>
      <c r="S1123" s="20">
        <v>0</v>
      </c>
      <c r="T1123" s="20">
        <v>133587.74</v>
      </c>
      <c r="U1123" s="20">
        <v>129134.82</v>
      </c>
      <c r="V1123" s="20">
        <v>-4452.92</v>
      </c>
      <c r="W1123" s="20">
        <v>-8905.84</v>
      </c>
      <c r="X1123" s="20">
        <v>-4452.92</v>
      </c>
      <c r="Y1123" s="20">
        <v>0</v>
      </c>
      <c r="Z1123" s="20">
        <v>0</v>
      </c>
      <c r="AA1123" s="20">
        <v>0</v>
      </c>
      <c r="AB1123" s="20">
        <v>124681.9</v>
      </c>
      <c r="AC1123" t="s">
        <v>183</v>
      </c>
      <c r="AD1123" t="s">
        <v>290</v>
      </c>
      <c r="AE1123" s="702">
        <f t="shared" si="85"/>
        <v>43983</v>
      </c>
      <c r="AF1123" s="289">
        <v>192830.91027544369</v>
      </c>
      <c r="AG1123">
        <f t="shared" si="86"/>
        <v>360</v>
      </c>
      <c r="AH1123" s="289">
        <f t="shared" si="87"/>
        <v>535.641417431788</v>
      </c>
      <c r="AJ1123" s="289">
        <f t="shared" si="88"/>
        <v>30</v>
      </c>
      <c r="AK1123" s="289">
        <f t="shared" si="89"/>
        <v>16069.24252295364</v>
      </c>
    </row>
    <row r="1124" spans="1:37">
      <c r="A1124" s="703" t="s">
        <v>2401</v>
      </c>
      <c r="B1124" s="703" t="s">
        <v>2311</v>
      </c>
      <c r="C1124" s="703" t="s">
        <v>332</v>
      </c>
      <c r="D1124" s="703" t="s">
        <v>334</v>
      </c>
      <c r="E1124" s="703" t="s">
        <v>334</v>
      </c>
      <c r="F1124" s="703" t="s">
        <v>335</v>
      </c>
      <c r="G1124" s="703" t="s">
        <v>2402</v>
      </c>
      <c r="H1124" s="703" t="s">
        <v>334</v>
      </c>
      <c r="I1124" s="703" t="s">
        <v>334</v>
      </c>
      <c r="J1124" s="703" t="s">
        <v>337</v>
      </c>
      <c r="K1124" s="704">
        <v>0</v>
      </c>
      <c r="L1124" s="703" t="s">
        <v>334</v>
      </c>
      <c r="M1124" s="702">
        <v>43921</v>
      </c>
      <c r="N1124" s="702">
        <v>44186</v>
      </c>
      <c r="O1124" s="703" t="s">
        <v>338</v>
      </c>
      <c r="P1124" s="20">
        <v>7624.4</v>
      </c>
      <c r="Q1124" s="20">
        <v>0</v>
      </c>
      <c r="R1124" s="20">
        <v>0</v>
      </c>
      <c r="S1124" s="20">
        <v>0</v>
      </c>
      <c r="T1124" s="20">
        <v>7624.4</v>
      </c>
      <c r="U1124" s="20">
        <v>7370.25</v>
      </c>
      <c r="V1124" s="20">
        <v>-254.15</v>
      </c>
      <c r="W1124" s="20">
        <v>-508.3</v>
      </c>
      <c r="X1124" s="20">
        <v>-254.15</v>
      </c>
      <c r="Y1124" s="20">
        <v>0</v>
      </c>
      <c r="Z1124" s="20">
        <v>0</v>
      </c>
      <c r="AA1124" s="20">
        <v>0</v>
      </c>
      <c r="AB1124" s="20">
        <v>7116.1</v>
      </c>
      <c r="AC1124" t="s">
        <v>183</v>
      </c>
      <c r="AD1124" t="s">
        <v>290</v>
      </c>
      <c r="AE1124" s="702">
        <f t="shared" si="85"/>
        <v>43983</v>
      </c>
      <c r="AF1124" s="289">
        <v>11005.650610633078</v>
      </c>
      <c r="AG1124">
        <f t="shared" si="86"/>
        <v>360</v>
      </c>
      <c r="AH1124" s="289">
        <f t="shared" si="87"/>
        <v>30.571251696202996</v>
      </c>
      <c r="AJ1124" s="289">
        <f t="shared" si="88"/>
        <v>30</v>
      </c>
      <c r="AK1124" s="289">
        <f t="shared" si="89"/>
        <v>917.13755088608991</v>
      </c>
    </row>
    <row r="1125" spans="1:37">
      <c r="A1125" s="703" t="s">
        <v>2403</v>
      </c>
      <c r="B1125" s="703" t="s">
        <v>2311</v>
      </c>
      <c r="C1125" s="703" t="s">
        <v>332</v>
      </c>
      <c r="D1125" s="703" t="s">
        <v>334</v>
      </c>
      <c r="E1125" s="703" t="s">
        <v>334</v>
      </c>
      <c r="F1125" s="703" t="s">
        <v>335</v>
      </c>
      <c r="G1125" s="703" t="s">
        <v>2404</v>
      </c>
      <c r="H1125" s="703" t="s">
        <v>334</v>
      </c>
      <c r="I1125" s="703" t="s">
        <v>334</v>
      </c>
      <c r="J1125" s="703" t="s">
        <v>337</v>
      </c>
      <c r="K1125" s="704">
        <v>0</v>
      </c>
      <c r="L1125" s="703" t="s">
        <v>334</v>
      </c>
      <c r="M1125" s="702">
        <v>43921</v>
      </c>
      <c r="N1125" s="702">
        <v>44186</v>
      </c>
      <c r="O1125" s="703" t="s">
        <v>338</v>
      </c>
      <c r="P1125" s="20">
        <v>287185.44</v>
      </c>
      <c r="Q1125" s="20">
        <v>0</v>
      </c>
      <c r="R1125" s="20">
        <v>0</v>
      </c>
      <c r="S1125" s="20">
        <v>0</v>
      </c>
      <c r="T1125" s="20">
        <v>287185.44</v>
      </c>
      <c r="U1125" s="20">
        <v>277612.59000000003</v>
      </c>
      <c r="V1125" s="20">
        <v>-9572.85</v>
      </c>
      <c r="W1125" s="20">
        <v>-19145.7</v>
      </c>
      <c r="X1125" s="20">
        <v>-9572.85</v>
      </c>
      <c r="Y1125" s="20">
        <v>0</v>
      </c>
      <c r="Z1125" s="20">
        <v>0</v>
      </c>
      <c r="AA1125" s="20">
        <v>0</v>
      </c>
      <c r="AB1125" s="20">
        <v>268039.74</v>
      </c>
      <c r="AC1125" t="s">
        <v>183</v>
      </c>
      <c r="AD1125" t="s">
        <v>290</v>
      </c>
      <c r="AE1125" s="702">
        <f t="shared" si="85"/>
        <v>43983</v>
      </c>
      <c r="AF1125" s="289">
        <v>414545.74958041677</v>
      </c>
      <c r="AG1125">
        <f t="shared" si="86"/>
        <v>360</v>
      </c>
      <c r="AH1125" s="289">
        <f t="shared" si="87"/>
        <v>1151.5159710567132</v>
      </c>
      <c r="AJ1125" s="289">
        <f t="shared" si="88"/>
        <v>30</v>
      </c>
      <c r="AK1125" s="289">
        <f t="shared" si="89"/>
        <v>34545.479131701395</v>
      </c>
    </row>
    <row r="1126" spans="1:37">
      <c r="A1126" s="703" t="s">
        <v>2405</v>
      </c>
      <c r="B1126" s="703" t="s">
        <v>2311</v>
      </c>
      <c r="C1126" s="703" t="s">
        <v>332</v>
      </c>
      <c r="D1126" s="703" t="s">
        <v>334</v>
      </c>
      <c r="E1126" s="703" t="s">
        <v>334</v>
      </c>
      <c r="F1126" s="703" t="s">
        <v>335</v>
      </c>
      <c r="G1126" s="703" t="s">
        <v>2406</v>
      </c>
      <c r="H1126" s="703" t="s">
        <v>334</v>
      </c>
      <c r="I1126" s="703" t="s">
        <v>334</v>
      </c>
      <c r="J1126" s="703" t="s">
        <v>337</v>
      </c>
      <c r="K1126" s="704">
        <v>0</v>
      </c>
      <c r="L1126" s="703" t="s">
        <v>334</v>
      </c>
      <c r="M1126" s="702">
        <v>43921</v>
      </c>
      <c r="N1126" s="702">
        <v>44186</v>
      </c>
      <c r="O1126" s="703" t="s">
        <v>338</v>
      </c>
      <c r="P1126" s="20">
        <v>87291.96</v>
      </c>
      <c r="Q1126" s="20">
        <v>0</v>
      </c>
      <c r="R1126" s="20">
        <v>0</v>
      </c>
      <c r="S1126" s="20">
        <v>0</v>
      </c>
      <c r="T1126" s="20">
        <v>87291.96</v>
      </c>
      <c r="U1126" s="20">
        <v>84382.23</v>
      </c>
      <c r="V1126" s="20">
        <v>-2909.73</v>
      </c>
      <c r="W1126" s="20">
        <v>-5819.46</v>
      </c>
      <c r="X1126" s="20">
        <v>-2909.73</v>
      </c>
      <c r="Y1126" s="20">
        <v>0</v>
      </c>
      <c r="Z1126" s="20">
        <v>0</v>
      </c>
      <c r="AA1126" s="20">
        <v>0</v>
      </c>
      <c r="AB1126" s="20">
        <v>81472.5</v>
      </c>
      <c r="AC1126" t="s">
        <v>183</v>
      </c>
      <c r="AD1126" t="s">
        <v>290</v>
      </c>
      <c r="AE1126" s="702">
        <f t="shared" si="85"/>
        <v>43983</v>
      </c>
      <c r="AF1126" s="289">
        <v>126003.98888795951</v>
      </c>
      <c r="AG1126">
        <f t="shared" si="86"/>
        <v>360</v>
      </c>
      <c r="AH1126" s="289">
        <f t="shared" si="87"/>
        <v>350.01108024433199</v>
      </c>
      <c r="AJ1126" s="289">
        <f t="shared" si="88"/>
        <v>30</v>
      </c>
      <c r="AK1126" s="289">
        <f t="shared" si="89"/>
        <v>10500.332407329959</v>
      </c>
    </row>
    <row r="1127" spans="1:37">
      <c r="A1127" s="703" t="s">
        <v>2407</v>
      </c>
      <c r="B1127" s="703" t="s">
        <v>2311</v>
      </c>
      <c r="C1127" s="703" t="s">
        <v>390</v>
      </c>
      <c r="D1127" s="703" t="s">
        <v>334</v>
      </c>
      <c r="E1127" s="703" t="s">
        <v>334</v>
      </c>
      <c r="F1127" s="703" t="s">
        <v>335</v>
      </c>
      <c r="G1127" s="703" t="s">
        <v>2408</v>
      </c>
      <c r="H1127" s="703" t="s">
        <v>334</v>
      </c>
      <c r="I1127" s="703" t="s">
        <v>334</v>
      </c>
      <c r="J1127" s="703" t="s">
        <v>337</v>
      </c>
      <c r="K1127" s="704">
        <v>0</v>
      </c>
      <c r="L1127" s="703" t="s">
        <v>334</v>
      </c>
      <c r="M1127" s="702">
        <v>42886</v>
      </c>
      <c r="N1127" s="702">
        <v>44186</v>
      </c>
      <c r="O1127" s="703" t="s">
        <v>338</v>
      </c>
      <c r="P1127" s="20">
        <v>1770.76</v>
      </c>
      <c r="Q1127" s="20">
        <v>0</v>
      </c>
      <c r="R1127" s="20">
        <v>0</v>
      </c>
      <c r="S1127" s="20">
        <v>0</v>
      </c>
      <c r="T1127" s="20">
        <v>1770.76</v>
      </c>
      <c r="U1127" s="20">
        <v>1711.73</v>
      </c>
      <c r="V1127" s="20">
        <v>-59.03</v>
      </c>
      <c r="W1127" s="20">
        <v>-118.06</v>
      </c>
      <c r="X1127" s="20">
        <v>-59.03</v>
      </c>
      <c r="Y1127" s="20">
        <v>0</v>
      </c>
      <c r="Z1127" s="20">
        <v>0</v>
      </c>
      <c r="AA1127" s="20">
        <v>0</v>
      </c>
      <c r="AB1127" s="20">
        <v>1652.7</v>
      </c>
      <c r="AC1127" t="s">
        <v>188</v>
      </c>
      <c r="AD1127" t="s">
        <v>290</v>
      </c>
      <c r="AE1127" s="702">
        <f t="shared" si="85"/>
        <v>43983</v>
      </c>
      <c r="AF1127" s="289">
        <v>2556.0523943240955</v>
      </c>
      <c r="AG1127">
        <f t="shared" si="86"/>
        <v>360</v>
      </c>
      <c r="AH1127" s="289">
        <f t="shared" si="87"/>
        <v>7.1001455397891542</v>
      </c>
      <c r="AJ1127" s="289">
        <f t="shared" si="88"/>
        <v>30</v>
      </c>
      <c r="AK1127" s="289">
        <f t="shared" si="89"/>
        <v>213.00436619367463</v>
      </c>
    </row>
    <row r="1128" spans="1:37">
      <c r="A1128" s="703" t="s">
        <v>2409</v>
      </c>
      <c r="B1128" s="703" t="s">
        <v>2311</v>
      </c>
      <c r="C1128" s="703" t="s">
        <v>390</v>
      </c>
      <c r="D1128" s="703" t="s">
        <v>334</v>
      </c>
      <c r="E1128" s="703" t="s">
        <v>334</v>
      </c>
      <c r="F1128" s="703" t="s">
        <v>335</v>
      </c>
      <c r="G1128" s="703" t="s">
        <v>2410</v>
      </c>
      <c r="H1128" s="703" t="s">
        <v>334</v>
      </c>
      <c r="I1128" s="703" t="s">
        <v>334</v>
      </c>
      <c r="J1128" s="703" t="s">
        <v>337</v>
      </c>
      <c r="K1128" s="704">
        <v>0</v>
      </c>
      <c r="L1128" s="703" t="s">
        <v>334</v>
      </c>
      <c r="M1128" s="702">
        <v>42886</v>
      </c>
      <c r="N1128" s="702">
        <v>44186</v>
      </c>
      <c r="O1128" s="703" t="s">
        <v>338</v>
      </c>
      <c r="P1128" s="20">
        <v>120886.01</v>
      </c>
      <c r="Q1128" s="20">
        <v>0</v>
      </c>
      <c r="R1128" s="20">
        <v>0</v>
      </c>
      <c r="S1128" s="20">
        <v>0</v>
      </c>
      <c r="T1128" s="20">
        <v>120886.01</v>
      </c>
      <c r="U1128" s="20">
        <v>116856.48</v>
      </c>
      <c r="V1128" s="20">
        <v>-4029.53</v>
      </c>
      <c r="W1128" s="20">
        <v>-8059.06</v>
      </c>
      <c r="X1128" s="20">
        <v>-4029.53</v>
      </c>
      <c r="Y1128" s="20">
        <v>0</v>
      </c>
      <c r="Z1128" s="20">
        <v>0</v>
      </c>
      <c r="AA1128" s="20">
        <v>0</v>
      </c>
      <c r="AB1128" s="20">
        <v>112826.95</v>
      </c>
      <c r="AC1128" t="s">
        <v>188</v>
      </c>
      <c r="AD1128" t="s">
        <v>290</v>
      </c>
      <c r="AE1128" s="702">
        <f t="shared" si="85"/>
        <v>43983</v>
      </c>
      <c r="AF1128" s="289">
        <v>174496.24754387187</v>
      </c>
      <c r="AG1128">
        <f t="shared" si="86"/>
        <v>360</v>
      </c>
      <c r="AH1128" s="289">
        <f t="shared" si="87"/>
        <v>484.7117987329774</v>
      </c>
      <c r="AJ1128" s="289">
        <f t="shared" si="88"/>
        <v>30</v>
      </c>
      <c r="AK1128" s="289">
        <f t="shared" si="89"/>
        <v>14541.353961989322</v>
      </c>
    </row>
    <row r="1129" spans="1:37">
      <c r="A1129" s="703" t="s">
        <v>2411</v>
      </c>
      <c r="B1129" s="703" t="s">
        <v>2311</v>
      </c>
      <c r="C1129" s="703" t="s">
        <v>390</v>
      </c>
      <c r="D1129" s="703" t="s">
        <v>334</v>
      </c>
      <c r="E1129" s="703" t="s">
        <v>334</v>
      </c>
      <c r="F1129" s="703" t="s">
        <v>335</v>
      </c>
      <c r="G1129" s="703" t="s">
        <v>2412</v>
      </c>
      <c r="H1129" s="703" t="s">
        <v>334</v>
      </c>
      <c r="I1129" s="703" t="s">
        <v>334</v>
      </c>
      <c r="J1129" s="703" t="s">
        <v>337</v>
      </c>
      <c r="K1129" s="704">
        <v>0</v>
      </c>
      <c r="L1129" s="703" t="s">
        <v>334</v>
      </c>
      <c r="M1129" s="702">
        <v>43799</v>
      </c>
      <c r="N1129" s="702">
        <v>44186</v>
      </c>
      <c r="O1129" s="703" t="s">
        <v>338</v>
      </c>
      <c r="P1129" s="20">
        <v>32511.200000000001</v>
      </c>
      <c r="Q1129" s="20">
        <v>0</v>
      </c>
      <c r="R1129" s="20">
        <v>0</v>
      </c>
      <c r="S1129" s="20">
        <v>0</v>
      </c>
      <c r="T1129" s="20">
        <v>32511.200000000001</v>
      </c>
      <c r="U1129" s="20">
        <v>31427.49</v>
      </c>
      <c r="V1129" s="20">
        <v>-1083.71</v>
      </c>
      <c r="W1129" s="20">
        <v>-2167.42</v>
      </c>
      <c r="X1129" s="20">
        <v>-1083.71</v>
      </c>
      <c r="Y1129" s="20">
        <v>0</v>
      </c>
      <c r="Z1129" s="20">
        <v>0</v>
      </c>
      <c r="AA1129" s="20">
        <v>0</v>
      </c>
      <c r="AB1129" s="20">
        <v>30343.78</v>
      </c>
      <c r="AC1129" t="s">
        <v>188</v>
      </c>
      <c r="AD1129" t="s">
        <v>290</v>
      </c>
      <c r="AE1129" s="702">
        <f t="shared" si="85"/>
        <v>43983</v>
      </c>
      <c r="AF1129" s="289">
        <v>46929.188937151011</v>
      </c>
      <c r="AG1129">
        <f t="shared" si="86"/>
        <v>360</v>
      </c>
      <c r="AH1129" s="289">
        <f t="shared" si="87"/>
        <v>130.35885815875281</v>
      </c>
      <c r="AJ1129" s="289">
        <f t="shared" si="88"/>
        <v>30</v>
      </c>
      <c r="AK1129" s="289">
        <f t="shared" si="89"/>
        <v>3910.7657447625843</v>
      </c>
    </row>
    <row r="1130" spans="1:37">
      <c r="A1130" s="703" t="s">
        <v>2413</v>
      </c>
      <c r="B1130" s="703" t="s">
        <v>2311</v>
      </c>
      <c r="C1130" s="703" t="s">
        <v>390</v>
      </c>
      <c r="D1130" s="703" t="s">
        <v>334</v>
      </c>
      <c r="E1130" s="703" t="s">
        <v>334</v>
      </c>
      <c r="F1130" s="703" t="s">
        <v>335</v>
      </c>
      <c r="G1130" s="703" t="s">
        <v>2414</v>
      </c>
      <c r="H1130" s="703" t="s">
        <v>334</v>
      </c>
      <c r="I1130" s="703" t="s">
        <v>334</v>
      </c>
      <c r="J1130" s="703" t="s">
        <v>337</v>
      </c>
      <c r="K1130" s="704">
        <v>0</v>
      </c>
      <c r="L1130" s="703" t="s">
        <v>334</v>
      </c>
      <c r="M1130" s="702">
        <v>43830</v>
      </c>
      <c r="N1130" s="702">
        <v>44186</v>
      </c>
      <c r="O1130" s="703" t="s">
        <v>338</v>
      </c>
      <c r="P1130" s="20">
        <v>7664.52</v>
      </c>
      <c r="Q1130" s="20">
        <v>0</v>
      </c>
      <c r="R1130" s="20">
        <v>0</v>
      </c>
      <c r="S1130" s="20">
        <v>0</v>
      </c>
      <c r="T1130" s="20">
        <v>7664.52</v>
      </c>
      <c r="U1130" s="20">
        <v>7409.04</v>
      </c>
      <c r="V1130" s="20">
        <v>-255.48</v>
      </c>
      <c r="W1130" s="20">
        <v>-510.96</v>
      </c>
      <c r="X1130" s="20">
        <v>-255.48</v>
      </c>
      <c r="Y1130" s="20">
        <v>0</v>
      </c>
      <c r="Z1130" s="20">
        <v>0</v>
      </c>
      <c r="AA1130" s="20">
        <v>0</v>
      </c>
      <c r="AB1130" s="20">
        <v>7153.56</v>
      </c>
      <c r="AC1130" t="s">
        <v>188</v>
      </c>
      <c r="AD1130" t="s">
        <v>290</v>
      </c>
      <c r="AE1130" s="702">
        <f t="shared" si="85"/>
        <v>43983</v>
      </c>
      <c r="AF1130" s="289">
        <v>11063.56293193031</v>
      </c>
      <c r="AG1130">
        <f t="shared" si="86"/>
        <v>360</v>
      </c>
      <c r="AH1130" s="289">
        <f t="shared" si="87"/>
        <v>30.732119255361972</v>
      </c>
      <c r="AJ1130" s="289">
        <f t="shared" si="88"/>
        <v>30</v>
      </c>
      <c r="AK1130" s="289">
        <f t="shared" si="89"/>
        <v>921.96357766085919</v>
      </c>
    </row>
    <row r="1131" spans="1:37">
      <c r="A1131" s="703" t="s">
        <v>2415</v>
      </c>
      <c r="B1131" s="703" t="s">
        <v>2311</v>
      </c>
      <c r="C1131" s="703" t="s">
        <v>390</v>
      </c>
      <c r="D1131" s="703" t="s">
        <v>334</v>
      </c>
      <c r="E1131" s="703" t="s">
        <v>334</v>
      </c>
      <c r="F1131" s="703" t="s">
        <v>335</v>
      </c>
      <c r="G1131" s="703" t="s">
        <v>2416</v>
      </c>
      <c r="H1131" s="703" t="s">
        <v>334</v>
      </c>
      <c r="I1131" s="703" t="s">
        <v>334</v>
      </c>
      <c r="J1131" s="703" t="s">
        <v>337</v>
      </c>
      <c r="K1131" s="704">
        <v>0</v>
      </c>
      <c r="L1131" s="703" t="s">
        <v>334</v>
      </c>
      <c r="M1131" s="702">
        <v>42886</v>
      </c>
      <c r="N1131" s="702">
        <v>44186</v>
      </c>
      <c r="O1131" s="703" t="s">
        <v>338</v>
      </c>
      <c r="P1131" s="20">
        <v>5514.9</v>
      </c>
      <c r="Q1131" s="20">
        <v>0</v>
      </c>
      <c r="R1131" s="20">
        <v>0</v>
      </c>
      <c r="S1131" s="20">
        <v>0</v>
      </c>
      <c r="T1131" s="20">
        <v>5514.9</v>
      </c>
      <c r="U1131" s="20">
        <v>5331.07</v>
      </c>
      <c r="V1131" s="20">
        <v>-183.83</v>
      </c>
      <c r="W1131" s="20">
        <v>-367.66</v>
      </c>
      <c r="X1131" s="20">
        <v>-183.83</v>
      </c>
      <c r="Y1131" s="20">
        <v>0</v>
      </c>
      <c r="Z1131" s="20">
        <v>0</v>
      </c>
      <c r="AA1131" s="20">
        <v>0</v>
      </c>
      <c r="AB1131" s="20">
        <v>5147.24</v>
      </c>
      <c r="AC1131" t="s">
        <v>188</v>
      </c>
      <c r="AD1131" t="s">
        <v>290</v>
      </c>
      <c r="AE1131" s="702">
        <f t="shared" si="85"/>
        <v>43983</v>
      </c>
      <c r="AF1131" s="289">
        <v>7960.6346142096909</v>
      </c>
      <c r="AG1131">
        <f t="shared" si="86"/>
        <v>360</v>
      </c>
      <c r="AH1131" s="289">
        <f t="shared" si="87"/>
        <v>22.112873928360251</v>
      </c>
      <c r="AJ1131" s="289">
        <f t="shared" si="88"/>
        <v>30</v>
      </c>
      <c r="AK1131" s="289">
        <f t="shared" si="89"/>
        <v>663.3862178508075</v>
      </c>
    </row>
    <row r="1132" spans="1:37">
      <c r="A1132" s="703" t="s">
        <v>2417</v>
      </c>
      <c r="B1132" s="703" t="s">
        <v>2311</v>
      </c>
      <c r="C1132" s="703" t="s">
        <v>390</v>
      </c>
      <c r="D1132" s="703" t="s">
        <v>334</v>
      </c>
      <c r="E1132" s="703" t="s">
        <v>334</v>
      </c>
      <c r="F1132" s="703" t="s">
        <v>335</v>
      </c>
      <c r="G1132" s="703" t="s">
        <v>2418</v>
      </c>
      <c r="H1132" s="703" t="s">
        <v>334</v>
      </c>
      <c r="I1132" s="703" t="s">
        <v>334</v>
      </c>
      <c r="J1132" s="703" t="s">
        <v>337</v>
      </c>
      <c r="K1132" s="704">
        <v>0</v>
      </c>
      <c r="L1132" s="703" t="s">
        <v>334</v>
      </c>
      <c r="M1132" s="702">
        <v>42886</v>
      </c>
      <c r="N1132" s="702">
        <v>44186</v>
      </c>
      <c r="O1132" s="703" t="s">
        <v>338</v>
      </c>
      <c r="P1132" s="20">
        <v>861.32</v>
      </c>
      <c r="Q1132" s="20">
        <v>0</v>
      </c>
      <c r="R1132" s="20">
        <v>0</v>
      </c>
      <c r="S1132" s="20">
        <v>0</v>
      </c>
      <c r="T1132" s="20">
        <v>861.32</v>
      </c>
      <c r="U1132" s="20">
        <v>832.61</v>
      </c>
      <c r="V1132" s="20">
        <v>-28.71</v>
      </c>
      <c r="W1132" s="20">
        <v>-57.42</v>
      </c>
      <c r="X1132" s="20">
        <v>-28.71</v>
      </c>
      <c r="Y1132" s="20">
        <v>0</v>
      </c>
      <c r="Z1132" s="20">
        <v>0</v>
      </c>
      <c r="AA1132" s="20">
        <v>0</v>
      </c>
      <c r="AB1132" s="20">
        <v>803.9</v>
      </c>
      <c r="AC1132" t="s">
        <v>188</v>
      </c>
      <c r="AD1132" t="s">
        <v>290</v>
      </c>
      <c r="AE1132" s="702">
        <f t="shared" si="85"/>
        <v>43983</v>
      </c>
      <c r="AF1132" s="289">
        <v>1243.2961261149055</v>
      </c>
      <c r="AG1132">
        <f t="shared" si="86"/>
        <v>360</v>
      </c>
      <c r="AH1132" s="289">
        <f t="shared" si="87"/>
        <v>3.4536003503191819</v>
      </c>
      <c r="AJ1132" s="289">
        <f t="shared" si="88"/>
        <v>30</v>
      </c>
      <c r="AK1132" s="289">
        <f t="shared" si="89"/>
        <v>103.60801050957545</v>
      </c>
    </row>
    <row r="1133" spans="1:37">
      <c r="A1133" s="703" t="s">
        <v>2419</v>
      </c>
      <c r="B1133" s="703" t="s">
        <v>2311</v>
      </c>
      <c r="C1133" s="703" t="s">
        <v>390</v>
      </c>
      <c r="D1133" s="703" t="s">
        <v>334</v>
      </c>
      <c r="E1133" s="703" t="s">
        <v>334</v>
      </c>
      <c r="F1133" s="703" t="s">
        <v>335</v>
      </c>
      <c r="G1133" s="703" t="s">
        <v>2420</v>
      </c>
      <c r="H1133" s="703" t="s">
        <v>334</v>
      </c>
      <c r="I1133" s="703" t="s">
        <v>334</v>
      </c>
      <c r="J1133" s="703" t="s">
        <v>337</v>
      </c>
      <c r="K1133" s="704">
        <v>0</v>
      </c>
      <c r="L1133" s="703" t="s">
        <v>334</v>
      </c>
      <c r="M1133" s="702">
        <v>42886</v>
      </c>
      <c r="N1133" s="702">
        <v>44186</v>
      </c>
      <c r="O1133" s="703" t="s">
        <v>338</v>
      </c>
      <c r="P1133" s="20">
        <v>10741.69</v>
      </c>
      <c r="Q1133" s="20">
        <v>0</v>
      </c>
      <c r="R1133" s="20">
        <v>0</v>
      </c>
      <c r="S1133" s="20">
        <v>0</v>
      </c>
      <c r="T1133" s="20">
        <v>10741.69</v>
      </c>
      <c r="U1133" s="20">
        <v>10383.629999999999</v>
      </c>
      <c r="V1133" s="20">
        <v>-358.06</v>
      </c>
      <c r="W1133" s="20">
        <v>-716.12</v>
      </c>
      <c r="X1133" s="20">
        <v>-358.06</v>
      </c>
      <c r="Y1133" s="20">
        <v>0</v>
      </c>
      <c r="Z1133" s="20">
        <v>0</v>
      </c>
      <c r="AA1133" s="20">
        <v>0</v>
      </c>
      <c r="AB1133" s="20">
        <v>10025.57</v>
      </c>
      <c r="AC1133" t="s">
        <v>188</v>
      </c>
      <c r="AD1133" t="s">
        <v>290</v>
      </c>
      <c r="AE1133" s="702">
        <f t="shared" si="85"/>
        <v>43983</v>
      </c>
      <c r="AF1133" s="289">
        <v>15505.38889718945</v>
      </c>
      <c r="AG1133">
        <f t="shared" si="86"/>
        <v>360</v>
      </c>
      <c r="AH1133" s="289">
        <f t="shared" si="87"/>
        <v>43.070524714415143</v>
      </c>
      <c r="AJ1133" s="289">
        <f t="shared" si="88"/>
        <v>30</v>
      </c>
      <c r="AK1133" s="289">
        <f t="shared" si="89"/>
        <v>1292.1157414324543</v>
      </c>
    </row>
    <row r="1134" spans="1:37">
      <c r="A1134" s="703" t="s">
        <v>2421</v>
      </c>
      <c r="B1134" s="703" t="s">
        <v>2311</v>
      </c>
      <c r="C1134" s="703" t="s">
        <v>390</v>
      </c>
      <c r="D1134" s="703" t="s">
        <v>334</v>
      </c>
      <c r="E1134" s="703" t="s">
        <v>334</v>
      </c>
      <c r="F1134" s="703" t="s">
        <v>335</v>
      </c>
      <c r="G1134" s="703" t="s">
        <v>2422</v>
      </c>
      <c r="H1134" s="703" t="s">
        <v>334</v>
      </c>
      <c r="I1134" s="703" t="s">
        <v>334</v>
      </c>
      <c r="J1134" s="703" t="s">
        <v>337</v>
      </c>
      <c r="K1134" s="704">
        <v>0</v>
      </c>
      <c r="L1134" s="703" t="s">
        <v>334</v>
      </c>
      <c r="M1134" s="702">
        <v>42886</v>
      </c>
      <c r="N1134" s="702">
        <v>44186</v>
      </c>
      <c r="O1134" s="703" t="s">
        <v>338</v>
      </c>
      <c r="P1134" s="20">
        <v>438.07</v>
      </c>
      <c r="Q1134" s="20">
        <v>0</v>
      </c>
      <c r="R1134" s="20">
        <v>0</v>
      </c>
      <c r="S1134" s="20">
        <v>0</v>
      </c>
      <c r="T1134" s="20">
        <v>438.07</v>
      </c>
      <c r="U1134" s="20">
        <v>423.47</v>
      </c>
      <c r="V1134" s="20">
        <v>-14.6</v>
      </c>
      <c r="W1134" s="20">
        <v>-29.2</v>
      </c>
      <c r="X1134" s="20">
        <v>-14.6</v>
      </c>
      <c r="Y1134" s="20">
        <v>0</v>
      </c>
      <c r="Z1134" s="20">
        <v>0</v>
      </c>
      <c r="AA1134" s="20">
        <v>0</v>
      </c>
      <c r="AB1134" s="20">
        <v>408.87</v>
      </c>
      <c r="AC1134" t="s">
        <v>188</v>
      </c>
      <c r="AD1134" t="s">
        <v>290</v>
      </c>
      <c r="AE1134" s="702">
        <f t="shared" si="85"/>
        <v>43983</v>
      </c>
      <c r="AF1134" s="289">
        <v>632.34423207072473</v>
      </c>
      <c r="AG1134">
        <f t="shared" si="86"/>
        <v>360</v>
      </c>
      <c r="AH1134" s="289">
        <f t="shared" si="87"/>
        <v>1.7565117557520131</v>
      </c>
      <c r="AJ1134" s="289">
        <f t="shared" si="88"/>
        <v>30</v>
      </c>
      <c r="AK1134" s="289">
        <f t="shared" si="89"/>
        <v>52.695352672560396</v>
      </c>
    </row>
    <row r="1135" spans="1:37">
      <c r="A1135" s="703" t="s">
        <v>2423</v>
      </c>
      <c r="B1135" s="703" t="s">
        <v>2311</v>
      </c>
      <c r="C1135" s="703" t="s">
        <v>390</v>
      </c>
      <c r="D1135" s="703" t="s">
        <v>334</v>
      </c>
      <c r="E1135" s="703" t="s">
        <v>334</v>
      </c>
      <c r="F1135" s="703" t="s">
        <v>335</v>
      </c>
      <c r="G1135" s="703" t="s">
        <v>2424</v>
      </c>
      <c r="H1135" s="703" t="s">
        <v>334</v>
      </c>
      <c r="I1135" s="703" t="s">
        <v>334</v>
      </c>
      <c r="J1135" s="703" t="s">
        <v>337</v>
      </c>
      <c r="K1135" s="704">
        <v>0</v>
      </c>
      <c r="L1135" s="703" t="s">
        <v>334</v>
      </c>
      <c r="M1135" s="702">
        <v>42886</v>
      </c>
      <c r="N1135" s="702">
        <v>44186</v>
      </c>
      <c r="O1135" s="703" t="s">
        <v>338</v>
      </c>
      <c r="P1135" s="20">
        <v>1658.12</v>
      </c>
      <c r="Q1135" s="20">
        <v>0</v>
      </c>
      <c r="R1135" s="20">
        <v>0</v>
      </c>
      <c r="S1135" s="20">
        <v>0</v>
      </c>
      <c r="T1135" s="20">
        <v>1658.12</v>
      </c>
      <c r="U1135" s="20">
        <v>1602.85</v>
      </c>
      <c r="V1135" s="20">
        <v>-55.27</v>
      </c>
      <c r="W1135" s="20">
        <v>-110.54</v>
      </c>
      <c r="X1135" s="20">
        <v>-55.27</v>
      </c>
      <c r="Y1135" s="20">
        <v>0</v>
      </c>
      <c r="Z1135" s="20">
        <v>0</v>
      </c>
      <c r="AA1135" s="20">
        <v>0</v>
      </c>
      <c r="AB1135" s="20">
        <v>1547.58</v>
      </c>
      <c r="AC1135" t="s">
        <v>188</v>
      </c>
      <c r="AD1135" t="s">
        <v>290</v>
      </c>
      <c r="AE1135" s="702">
        <f t="shared" si="85"/>
        <v>43983</v>
      </c>
      <c r="AF1135" s="289">
        <v>2393.4590775015636</v>
      </c>
      <c r="AG1135">
        <f t="shared" si="86"/>
        <v>360</v>
      </c>
      <c r="AH1135" s="289">
        <f t="shared" si="87"/>
        <v>6.6484974375043429</v>
      </c>
      <c r="AJ1135" s="289">
        <f t="shared" si="88"/>
        <v>30</v>
      </c>
      <c r="AK1135" s="289">
        <f t="shared" si="89"/>
        <v>199.45492312513028</v>
      </c>
    </row>
    <row r="1136" spans="1:37">
      <c r="A1136" s="703" t="s">
        <v>2425</v>
      </c>
      <c r="B1136" s="703" t="s">
        <v>2311</v>
      </c>
      <c r="C1136" s="703" t="s">
        <v>390</v>
      </c>
      <c r="D1136" s="703" t="s">
        <v>334</v>
      </c>
      <c r="E1136" s="703" t="s">
        <v>334</v>
      </c>
      <c r="F1136" s="703" t="s">
        <v>335</v>
      </c>
      <c r="G1136" s="703" t="s">
        <v>2426</v>
      </c>
      <c r="H1136" s="703" t="s">
        <v>334</v>
      </c>
      <c r="I1136" s="703" t="s">
        <v>334</v>
      </c>
      <c r="J1136" s="703" t="s">
        <v>337</v>
      </c>
      <c r="K1136" s="704">
        <v>0</v>
      </c>
      <c r="L1136" s="703" t="s">
        <v>334</v>
      </c>
      <c r="M1136" s="702">
        <v>42886</v>
      </c>
      <c r="N1136" s="702">
        <v>44186</v>
      </c>
      <c r="O1136" s="703" t="s">
        <v>338</v>
      </c>
      <c r="P1136" s="20">
        <v>39879.360000000001</v>
      </c>
      <c r="Q1136" s="20">
        <v>0</v>
      </c>
      <c r="R1136" s="20">
        <v>0</v>
      </c>
      <c r="S1136" s="20">
        <v>0</v>
      </c>
      <c r="T1136" s="20">
        <v>39879.360000000001</v>
      </c>
      <c r="U1136" s="20">
        <v>38550.050000000003</v>
      </c>
      <c r="V1136" s="20">
        <v>-1329.31</v>
      </c>
      <c r="W1136" s="20">
        <v>-2658.62</v>
      </c>
      <c r="X1136" s="20">
        <v>-1329.31</v>
      </c>
      <c r="Y1136" s="20">
        <v>0</v>
      </c>
      <c r="Z1136" s="20">
        <v>0</v>
      </c>
      <c r="AA1136" s="20">
        <v>0</v>
      </c>
      <c r="AB1136" s="20">
        <v>37220.74</v>
      </c>
      <c r="AC1136" t="s">
        <v>188</v>
      </c>
      <c r="AD1136" t="s">
        <v>290</v>
      </c>
      <c r="AE1136" s="702">
        <f t="shared" si="85"/>
        <v>43983</v>
      </c>
      <c r="AF1136" s="289">
        <v>57564.962847654431</v>
      </c>
      <c r="AG1136">
        <f t="shared" si="86"/>
        <v>360</v>
      </c>
      <c r="AH1136" s="289">
        <f t="shared" si="87"/>
        <v>159.90267457681787</v>
      </c>
      <c r="AJ1136" s="289">
        <f t="shared" si="88"/>
        <v>30</v>
      </c>
      <c r="AK1136" s="289">
        <f t="shared" si="89"/>
        <v>4797.0802373045362</v>
      </c>
    </row>
    <row r="1137" spans="1:37">
      <c r="A1137" s="703" t="s">
        <v>2427</v>
      </c>
      <c r="B1137" s="703" t="s">
        <v>2311</v>
      </c>
      <c r="C1137" s="703" t="s">
        <v>390</v>
      </c>
      <c r="D1137" s="703" t="s">
        <v>334</v>
      </c>
      <c r="E1137" s="703" t="s">
        <v>334</v>
      </c>
      <c r="F1137" s="703" t="s">
        <v>335</v>
      </c>
      <c r="G1137" s="703" t="s">
        <v>2428</v>
      </c>
      <c r="H1137" s="703" t="s">
        <v>334</v>
      </c>
      <c r="I1137" s="703" t="s">
        <v>334</v>
      </c>
      <c r="J1137" s="703" t="s">
        <v>337</v>
      </c>
      <c r="K1137" s="704">
        <v>0</v>
      </c>
      <c r="L1137" s="703" t="s">
        <v>334</v>
      </c>
      <c r="M1137" s="702">
        <v>43251</v>
      </c>
      <c r="N1137" s="702">
        <v>44186</v>
      </c>
      <c r="O1137" s="703" t="s">
        <v>338</v>
      </c>
      <c r="P1137" s="20">
        <v>200730.55</v>
      </c>
      <c r="Q1137" s="20">
        <v>0</v>
      </c>
      <c r="R1137" s="20">
        <v>0</v>
      </c>
      <c r="S1137" s="20">
        <v>0</v>
      </c>
      <c r="T1137" s="20">
        <v>200730.55</v>
      </c>
      <c r="U1137" s="20">
        <v>194039.53</v>
      </c>
      <c r="V1137" s="20">
        <v>-6691.02</v>
      </c>
      <c r="W1137" s="20">
        <v>-13382.04</v>
      </c>
      <c r="X1137" s="20">
        <v>-6691.02</v>
      </c>
      <c r="Y1137" s="20">
        <v>0</v>
      </c>
      <c r="Z1137" s="20">
        <v>0</v>
      </c>
      <c r="AA1137" s="20">
        <v>0</v>
      </c>
      <c r="AB1137" s="20">
        <v>187348.51</v>
      </c>
      <c r="AC1137" t="s">
        <v>188</v>
      </c>
      <c r="AD1137" t="s">
        <v>290</v>
      </c>
      <c r="AE1137" s="702">
        <f t="shared" si="85"/>
        <v>43983</v>
      </c>
      <c r="AF1137" s="289">
        <v>289750.05248678109</v>
      </c>
      <c r="AG1137">
        <f t="shared" si="86"/>
        <v>360</v>
      </c>
      <c r="AH1137" s="289">
        <f t="shared" si="87"/>
        <v>804.86125690772519</v>
      </c>
      <c r="AJ1137" s="289">
        <f t="shared" si="88"/>
        <v>30</v>
      </c>
      <c r="AK1137" s="289">
        <f t="shared" si="89"/>
        <v>24145.837707231756</v>
      </c>
    </row>
    <row r="1138" spans="1:37">
      <c r="A1138" s="703" t="s">
        <v>2429</v>
      </c>
      <c r="B1138" s="703" t="s">
        <v>2311</v>
      </c>
      <c r="C1138" s="703" t="s">
        <v>390</v>
      </c>
      <c r="D1138" s="703" t="s">
        <v>334</v>
      </c>
      <c r="E1138" s="703" t="s">
        <v>334</v>
      </c>
      <c r="F1138" s="703" t="s">
        <v>335</v>
      </c>
      <c r="G1138" s="703" t="s">
        <v>2430</v>
      </c>
      <c r="H1138" s="703" t="s">
        <v>334</v>
      </c>
      <c r="I1138" s="703" t="s">
        <v>334</v>
      </c>
      <c r="J1138" s="703" t="s">
        <v>337</v>
      </c>
      <c r="K1138" s="704">
        <v>0</v>
      </c>
      <c r="L1138" s="703" t="s">
        <v>334</v>
      </c>
      <c r="M1138" s="702">
        <v>43890</v>
      </c>
      <c r="N1138" s="702">
        <v>44186</v>
      </c>
      <c r="O1138" s="703" t="s">
        <v>338</v>
      </c>
      <c r="P1138" s="20">
        <v>7.58</v>
      </c>
      <c r="Q1138" s="20">
        <v>0</v>
      </c>
      <c r="R1138" s="20">
        <v>0</v>
      </c>
      <c r="S1138" s="20">
        <v>0</v>
      </c>
      <c r="T1138" s="20">
        <v>7.58</v>
      </c>
      <c r="U1138" s="20">
        <v>7.33</v>
      </c>
      <c r="V1138" s="20">
        <v>-0.25</v>
      </c>
      <c r="W1138" s="20">
        <v>-0.5</v>
      </c>
      <c r="X1138" s="20">
        <v>-0.25</v>
      </c>
      <c r="Y1138" s="20">
        <v>0</v>
      </c>
      <c r="Z1138" s="20">
        <v>0</v>
      </c>
      <c r="AA1138" s="20">
        <v>0</v>
      </c>
      <c r="AB1138" s="20">
        <v>7.08</v>
      </c>
      <c r="AC1138" t="s">
        <v>188</v>
      </c>
      <c r="AD1138" t="s">
        <v>290</v>
      </c>
      <c r="AE1138" s="702">
        <f t="shared" si="85"/>
        <v>43983</v>
      </c>
      <c r="AF1138" s="289">
        <v>10.941560205209425</v>
      </c>
      <c r="AG1138">
        <f t="shared" si="86"/>
        <v>360</v>
      </c>
      <c r="AH1138" s="289">
        <f t="shared" si="87"/>
        <v>3.0393222792248403E-2</v>
      </c>
      <c r="AJ1138" s="289">
        <f t="shared" si="88"/>
        <v>30</v>
      </c>
      <c r="AK1138" s="289">
        <f t="shared" si="89"/>
        <v>0.91179668376745204</v>
      </c>
    </row>
    <row r="1139" spans="1:37">
      <c r="A1139" s="703" t="s">
        <v>2431</v>
      </c>
      <c r="B1139" s="703" t="s">
        <v>2311</v>
      </c>
      <c r="C1139" s="703" t="s">
        <v>390</v>
      </c>
      <c r="D1139" s="703" t="s">
        <v>334</v>
      </c>
      <c r="E1139" s="703" t="s">
        <v>334</v>
      </c>
      <c r="F1139" s="703" t="s">
        <v>335</v>
      </c>
      <c r="G1139" s="703" t="s">
        <v>2432</v>
      </c>
      <c r="H1139" s="703" t="s">
        <v>334</v>
      </c>
      <c r="I1139" s="703" t="s">
        <v>334</v>
      </c>
      <c r="J1139" s="703" t="s">
        <v>337</v>
      </c>
      <c r="K1139" s="704">
        <v>0</v>
      </c>
      <c r="L1139" s="703" t="s">
        <v>334</v>
      </c>
      <c r="M1139" s="702">
        <v>43921</v>
      </c>
      <c r="N1139" s="702">
        <v>44186</v>
      </c>
      <c r="O1139" s="703" t="s">
        <v>338</v>
      </c>
      <c r="P1139" s="20">
        <v>7217.22</v>
      </c>
      <c r="Q1139" s="20">
        <v>0</v>
      </c>
      <c r="R1139" s="20">
        <v>0</v>
      </c>
      <c r="S1139" s="20">
        <v>0</v>
      </c>
      <c r="T1139" s="20">
        <v>7217.22</v>
      </c>
      <c r="U1139" s="20">
        <v>6976.65</v>
      </c>
      <c r="V1139" s="20">
        <v>-240.57</v>
      </c>
      <c r="W1139" s="20">
        <v>-481.14</v>
      </c>
      <c r="X1139" s="20">
        <v>-240.57</v>
      </c>
      <c r="Y1139" s="20">
        <v>0</v>
      </c>
      <c r="Z1139" s="20">
        <v>0</v>
      </c>
      <c r="AA1139" s="20">
        <v>0</v>
      </c>
      <c r="AB1139" s="20">
        <v>6736.08</v>
      </c>
      <c r="AC1139" t="s">
        <v>188</v>
      </c>
      <c r="AD1139" t="s">
        <v>290</v>
      </c>
      <c r="AE1139" s="702">
        <f t="shared" si="85"/>
        <v>43983</v>
      </c>
      <c r="AF1139" s="289">
        <v>10417.895401614984</v>
      </c>
      <c r="AG1139">
        <f t="shared" si="86"/>
        <v>360</v>
      </c>
      <c r="AH1139" s="289">
        <f t="shared" si="87"/>
        <v>28.9385983378194</v>
      </c>
      <c r="AJ1139" s="289">
        <f t="shared" si="88"/>
        <v>30</v>
      </c>
      <c r="AK1139" s="289">
        <f t="shared" si="89"/>
        <v>868.15795013458205</v>
      </c>
    </row>
    <row r="1140" spans="1:37">
      <c r="A1140" s="703" t="s">
        <v>2433</v>
      </c>
      <c r="B1140" s="703" t="s">
        <v>2311</v>
      </c>
      <c r="C1140" s="703" t="s">
        <v>390</v>
      </c>
      <c r="D1140" s="703" t="s">
        <v>334</v>
      </c>
      <c r="E1140" s="703" t="s">
        <v>334</v>
      </c>
      <c r="F1140" s="703" t="s">
        <v>335</v>
      </c>
      <c r="G1140" s="703" t="s">
        <v>2434</v>
      </c>
      <c r="H1140" s="703" t="s">
        <v>334</v>
      </c>
      <c r="I1140" s="703" t="s">
        <v>334</v>
      </c>
      <c r="J1140" s="703" t="s">
        <v>337</v>
      </c>
      <c r="K1140" s="704">
        <v>0</v>
      </c>
      <c r="L1140" s="703" t="s">
        <v>334</v>
      </c>
      <c r="M1140" s="702">
        <v>43921</v>
      </c>
      <c r="N1140" s="702">
        <v>44186</v>
      </c>
      <c r="O1140" s="703" t="s">
        <v>338</v>
      </c>
      <c r="P1140" s="20">
        <v>22876.6</v>
      </c>
      <c r="Q1140" s="20">
        <v>0</v>
      </c>
      <c r="R1140" s="20">
        <v>0</v>
      </c>
      <c r="S1140" s="20">
        <v>0</v>
      </c>
      <c r="T1140" s="20">
        <v>22876.6</v>
      </c>
      <c r="U1140" s="20">
        <v>22114.05</v>
      </c>
      <c r="V1140" s="20">
        <v>-762.55</v>
      </c>
      <c r="W1140" s="20">
        <v>-1525.1</v>
      </c>
      <c r="X1140" s="20">
        <v>-762.55</v>
      </c>
      <c r="Y1140" s="20">
        <v>0</v>
      </c>
      <c r="Z1140" s="20">
        <v>0</v>
      </c>
      <c r="AA1140" s="20">
        <v>0</v>
      </c>
      <c r="AB1140" s="20">
        <v>21351.5</v>
      </c>
      <c r="AC1140" t="s">
        <v>188</v>
      </c>
      <c r="AD1140" t="s">
        <v>290</v>
      </c>
      <c r="AE1140" s="702">
        <f t="shared" si="85"/>
        <v>43983</v>
      </c>
      <c r="AF1140" s="289">
        <v>33021.859655737986</v>
      </c>
      <c r="AG1140">
        <f t="shared" si="86"/>
        <v>360</v>
      </c>
      <c r="AH1140" s="289">
        <f t="shared" si="87"/>
        <v>91.727387932605524</v>
      </c>
      <c r="AJ1140" s="289">
        <f t="shared" si="88"/>
        <v>30</v>
      </c>
      <c r="AK1140" s="289">
        <f t="shared" si="89"/>
        <v>2751.8216379781657</v>
      </c>
    </row>
    <row r="1141" spans="1:37">
      <c r="A1141" s="703" t="s">
        <v>2435</v>
      </c>
      <c r="B1141" s="703" t="s">
        <v>2311</v>
      </c>
      <c r="C1141" s="703" t="s">
        <v>390</v>
      </c>
      <c r="D1141" s="703" t="s">
        <v>334</v>
      </c>
      <c r="E1141" s="703" t="s">
        <v>334</v>
      </c>
      <c r="F1141" s="703" t="s">
        <v>335</v>
      </c>
      <c r="G1141" s="703" t="s">
        <v>2436</v>
      </c>
      <c r="H1141" s="703" t="s">
        <v>334</v>
      </c>
      <c r="I1141" s="703" t="s">
        <v>334</v>
      </c>
      <c r="J1141" s="703" t="s">
        <v>337</v>
      </c>
      <c r="K1141" s="704">
        <v>0</v>
      </c>
      <c r="L1141" s="703" t="s">
        <v>334</v>
      </c>
      <c r="M1141" s="702">
        <v>43921</v>
      </c>
      <c r="N1141" s="702">
        <v>44186</v>
      </c>
      <c r="O1141" s="703" t="s">
        <v>338</v>
      </c>
      <c r="P1141" s="20">
        <v>18512.169999999998</v>
      </c>
      <c r="Q1141" s="20">
        <v>0</v>
      </c>
      <c r="R1141" s="20">
        <v>0</v>
      </c>
      <c r="S1141" s="20">
        <v>0</v>
      </c>
      <c r="T1141" s="20">
        <v>18512.169999999998</v>
      </c>
      <c r="U1141" s="20">
        <v>17895.099999999999</v>
      </c>
      <c r="V1141" s="20">
        <v>-617.07000000000005</v>
      </c>
      <c r="W1141" s="20">
        <v>-1234.1400000000001</v>
      </c>
      <c r="X1141" s="20">
        <v>-617.07000000000005</v>
      </c>
      <c r="Y1141" s="20">
        <v>0</v>
      </c>
      <c r="Z1141" s="20">
        <v>0</v>
      </c>
      <c r="AA1141" s="20">
        <v>0</v>
      </c>
      <c r="AB1141" s="20">
        <v>17278.03</v>
      </c>
      <c r="AC1141" t="s">
        <v>188</v>
      </c>
      <c r="AD1141" t="s">
        <v>290</v>
      </c>
      <c r="AE1141" s="702">
        <f t="shared" si="85"/>
        <v>43983</v>
      </c>
      <c r="AF1141" s="289">
        <v>26721.902715576747</v>
      </c>
      <c r="AG1141">
        <f t="shared" si="86"/>
        <v>360</v>
      </c>
      <c r="AH1141" s="289">
        <f t="shared" si="87"/>
        <v>74.227507543268743</v>
      </c>
      <c r="AJ1141" s="289">
        <f t="shared" si="88"/>
        <v>30</v>
      </c>
      <c r="AK1141" s="289">
        <f t="shared" si="89"/>
        <v>2226.8252262980623</v>
      </c>
    </row>
    <row r="1142" spans="1:37">
      <c r="A1142" s="703" t="s">
        <v>2437</v>
      </c>
      <c r="B1142" s="703" t="s">
        <v>2311</v>
      </c>
      <c r="C1142" s="703" t="s">
        <v>390</v>
      </c>
      <c r="D1142" s="703" t="s">
        <v>334</v>
      </c>
      <c r="E1142" s="703" t="s">
        <v>334</v>
      </c>
      <c r="F1142" s="703" t="s">
        <v>335</v>
      </c>
      <c r="G1142" s="703" t="s">
        <v>2438</v>
      </c>
      <c r="H1142" s="703" t="s">
        <v>334</v>
      </c>
      <c r="I1142" s="703" t="s">
        <v>334</v>
      </c>
      <c r="J1142" s="703" t="s">
        <v>337</v>
      </c>
      <c r="K1142" s="704">
        <v>0</v>
      </c>
      <c r="L1142" s="703" t="s">
        <v>334</v>
      </c>
      <c r="M1142" s="702">
        <v>43921</v>
      </c>
      <c r="N1142" s="702">
        <v>44186</v>
      </c>
      <c r="O1142" s="703" t="s">
        <v>338</v>
      </c>
      <c r="P1142" s="20">
        <v>2701.7</v>
      </c>
      <c r="Q1142" s="20">
        <v>0</v>
      </c>
      <c r="R1142" s="20">
        <v>0</v>
      </c>
      <c r="S1142" s="20">
        <v>0</v>
      </c>
      <c r="T1142" s="20">
        <v>2701.7</v>
      </c>
      <c r="U1142" s="20">
        <v>2611.64</v>
      </c>
      <c r="V1142" s="20">
        <v>-90.06</v>
      </c>
      <c r="W1142" s="20">
        <v>-180.12</v>
      </c>
      <c r="X1142" s="20">
        <v>-90.06</v>
      </c>
      <c r="Y1142" s="20">
        <v>0</v>
      </c>
      <c r="Z1142" s="20">
        <v>0</v>
      </c>
      <c r="AA1142" s="20">
        <v>0</v>
      </c>
      <c r="AB1142" s="20">
        <v>2521.58</v>
      </c>
      <c r="AC1142" t="s">
        <v>188</v>
      </c>
      <c r="AD1142" t="s">
        <v>290</v>
      </c>
      <c r="AE1142" s="702">
        <f t="shared" si="85"/>
        <v>43983</v>
      </c>
      <c r="AF1142" s="289">
        <v>3899.8434309253698</v>
      </c>
      <c r="AG1142">
        <f t="shared" si="86"/>
        <v>360</v>
      </c>
      <c r="AH1142" s="289">
        <f t="shared" si="87"/>
        <v>10.832898419237138</v>
      </c>
      <c r="AJ1142" s="289">
        <f t="shared" si="88"/>
        <v>30</v>
      </c>
      <c r="AK1142" s="289">
        <f t="shared" si="89"/>
        <v>324.98695257711415</v>
      </c>
    </row>
    <row r="1143" spans="1:37">
      <c r="A1143" s="703" t="s">
        <v>2439</v>
      </c>
      <c r="B1143" s="703" t="s">
        <v>2311</v>
      </c>
      <c r="C1143" s="703" t="s">
        <v>390</v>
      </c>
      <c r="D1143" s="703" t="s">
        <v>334</v>
      </c>
      <c r="E1143" s="703" t="s">
        <v>334</v>
      </c>
      <c r="F1143" s="703" t="s">
        <v>335</v>
      </c>
      <c r="G1143" s="703" t="s">
        <v>2440</v>
      </c>
      <c r="H1143" s="703" t="s">
        <v>334</v>
      </c>
      <c r="I1143" s="703" t="s">
        <v>334</v>
      </c>
      <c r="J1143" s="703" t="s">
        <v>337</v>
      </c>
      <c r="K1143" s="704">
        <v>0</v>
      </c>
      <c r="L1143" s="703" t="s">
        <v>334</v>
      </c>
      <c r="M1143" s="702">
        <v>43799</v>
      </c>
      <c r="N1143" s="702">
        <v>44186</v>
      </c>
      <c r="O1143" s="703" t="s">
        <v>338</v>
      </c>
      <c r="P1143" s="20">
        <v>5074.82</v>
      </c>
      <c r="Q1143" s="20">
        <v>0</v>
      </c>
      <c r="R1143" s="20">
        <v>0</v>
      </c>
      <c r="S1143" s="20">
        <v>0</v>
      </c>
      <c r="T1143" s="20">
        <v>5074.82</v>
      </c>
      <c r="U1143" s="20">
        <v>4905.66</v>
      </c>
      <c r="V1143" s="20">
        <v>-169.16</v>
      </c>
      <c r="W1143" s="20">
        <v>-338.32</v>
      </c>
      <c r="X1143" s="20">
        <v>-169.16</v>
      </c>
      <c r="Y1143" s="20">
        <v>0</v>
      </c>
      <c r="Z1143" s="20">
        <v>0</v>
      </c>
      <c r="AA1143" s="20">
        <v>0</v>
      </c>
      <c r="AB1143" s="20">
        <v>4736.5</v>
      </c>
      <c r="AC1143" t="s">
        <v>188</v>
      </c>
      <c r="AD1143" t="s">
        <v>290</v>
      </c>
      <c r="AE1143" s="702">
        <f t="shared" si="85"/>
        <v>43983</v>
      </c>
      <c r="AF1143" s="289">
        <v>7325.3889921637065</v>
      </c>
      <c r="AG1143">
        <f t="shared" si="86"/>
        <v>360</v>
      </c>
      <c r="AH1143" s="289">
        <f t="shared" si="87"/>
        <v>20.348302756010295</v>
      </c>
      <c r="AJ1143" s="289">
        <f t="shared" si="88"/>
        <v>30</v>
      </c>
      <c r="AK1143" s="289">
        <f t="shared" si="89"/>
        <v>610.44908268030883</v>
      </c>
    </row>
    <row r="1144" spans="1:37">
      <c r="A1144" s="703" t="s">
        <v>2441</v>
      </c>
      <c r="B1144" s="703" t="s">
        <v>2311</v>
      </c>
      <c r="C1144" s="703" t="s">
        <v>390</v>
      </c>
      <c r="D1144" s="703" t="s">
        <v>334</v>
      </c>
      <c r="E1144" s="703" t="s">
        <v>334</v>
      </c>
      <c r="F1144" s="703" t="s">
        <v>335</v>
      </c>
      <c r="G1144" s="703" t="s">
        <v>2442</v>
      </c>
      <c r="H1144" s="703" t="s">
        <v>334</v>
      </c>
      <c r="I1144" s="703" t="s">
        <v>334</v>
      </c>
      <c r="J1144" s="703" t="s">
        <v>337</v>
      </c>
      <c r="K1144" s="704">
        <v>0</v>
      </c>
      <c r="L1144" s="703" t="s">
        <v>334</v>
      </c>
      <c r="M1144" s="702">
        <v>43921</v>
      </c>
      <c r="N1144" s="702">
        <v>44186</v>
      </c>
      <c r="O1144" s="703" t="s">
        <v>338</v>
      </c>
      <c r="P1144" s="20">
        <v>982.94</v>
      </c>
      <c r="Q1144" s="20">
        <v>0</v>
      </c>
      <c r="R1144" s="20">
        <v>0</v>
      </c>
      <c r="S1144" s="20">
        <v>0</v>
      </c>
      <c r="T1144" s="20">
        <v>982.94</v>
      </c>
      <c r="U1144" s="20">
        <v>950.18</v>
      </c>
      <c r="V1144" s="20">
        <v>-32.76</v>
      </c>
      <c r="W1144" s="20">
        <v>-65.52</v>
      </c>
      <c r="X1144" s="20">
        <v>-32.76</v>
      </c>
      <c r="Y1144" s="20">
        <v>0</v>
      </c>
      <c r="Z1144" s="20">
        <v>0</v>
      </c>
      <c r="AA1144" s="20">
        <v>0</v>
      </c>
      <c r="AB1144" s="20">
        <v>917.42</v>
      </c>
      <c r="AC1144" t="s">
        <v>188</v>
      </c>
      <c r="AD1144" t="s">
        <v>290</v>
      </c>
      <c r="AE1144" s="702">
        <f t="shared" si="85"/>
        <v>43983</v>
      </c>
      <c r="AF1144" s="289">
        <v>1418.8518717821312</v>
      </c>
      <c r="AG1144">
        <f t="shared" si="86"/>
        <v>360</v>
      </c>
      <c r="AH1144" s="289">
        <f t="shared" si="87"/>
        <v>3.9412551993948091</v>
      </c>
      <c r="AJ1144" s="289">
        <f t="shared" si="88"/>
        <v>30</v>
      </c>
      <c r="AK1144" s="289">
        <f t="shared" si="89"/>
        <v>118.23765598184427</v>
      </c>
    </row>
    <row r="1145" spans="1:37">
      <c r="A1145" s="703" t="s">
        <v>2443</v>
      </c>
      <c r="B1145" s="703" t="s">
        <v>2311</v>
      </c>
      <c r="C1145" s="703" t="s">
        <v>390</v>
      </c>
      <c r="D1145" s="703" t="s">
        <v>334</v>
      </c>
      <c r="E1145" s="703" t="s">
        <v>334</v>
      </c>
      <c r="F1145" s="703" t="s">
        <v>335</v>
      </c>
      <c r="G1145" s="703" t="s">
        <v>2444</v>
      </c>
      <c r="H1145" s="703" t="s">
        <v>334</v>
      </c>
      <c r="I1145" s="703" t="s">
        <v>334</v>
      </c>
      <c r="J1145" s="703" t="s">
        <v>337</v>
      </c>
      <c r="K1145" s="704">
        <v>0</v>
      </c>
      <c r="L1145" s="703" t="s">
        <v>334</v>
      </c>
      <c r="M1145" s="702">
        <v>42886</v>
      </c>
      <c r="N1145" s="702">
        <v>44186</v>
      </c>
      <c r="O1145" s="703" t="s">
        <v>338</v>
      </c>
      <c r="P1145" s="20">
        <v>89709.13</v>
      </c>
      <c r="Q1145" s="20">
        <v>0</v>
      </c>
      <c r="R1145" s="20">
        <v>0</v>
      </c>
      <c r="S1145" s="20">
        <v>0</v>
      </c>
      <c r="T1145" s="20">
        <v>89709.13</v>
      </c>
      <c r="U1145" s="20">
        <v>86718.83</v>
      </c>
      <c r="V1145" s="20">
        <v>-2990.3</v>
      </c>
      <c r="W1145" s="20">
        <v>-5980.6</v>
      </c>
      <c r="X1145" s="20">
        <v>-2990.3</v>
      </c>
      <c r="Y1145" s="20">
        <v>0</v>
      </c>
      <c r="Z1145" s="20">
        <v>0</v>
      </c>
      <c r="AA1145" s="20">
        <v>0</v>
      </c>
      <c r="AB1145" s="20">
        <v>83728.53</v>
      </c>
      <c r="AC1145" t="s">
        <v>188</v>
      </c>
      <c r="AD1145" t="s">
        <v>290</v>
      </c>
      <c r="AE1145" s="702">
        <f t="shared" si="85"/>
        <v>43983</v>
      </c>
      <c r="AF1145" s="289">
        <v>129493.11963746161</v>
      </c>
      <c r="AG1145">
        <f t="shared" si="86"/>
        <v>360</v>
      </c>
      <c r="AH1145" s="289">
        <f t="shared" si="87"/>
        <v>359.70311010406004</v>
      </c>
      <c r="AJ1145" s="289">
        <f t="shared" si="88"/>
        <v>30</v>
      </c>
      <c r="AK1145" s="289">
        <f t="shared" si="89"/>
        <v>10791.093303121801</v>
      </c>
    </row>
    <row r="1146" spans="1:37">
      <c r="A1146" s="703" t="s">
        <v>2445</v>
      </c>
      <c r="B1146" s="703" t="s">
        <v>2311</v>
      </c>
      <c r="C1146" s="703" t="s">
        <v>332</v>
      </c>
      <c r="D1146" s="703" t="s">
        <v>334</v>
      </c>
      <c r="E1146" s="703" t="s">
        <v>334</v>
      </c>
      <c r="F1146" s="703" t="s">
        <v>335</v>
      </c>
      <c r="G1146" s="703" t="s">
        <v>2446</v>
      </c>
      <c r="H1146" s="703" t="s">
        <v>334</v>
      </c>
      <c r="I1146" s="703" t="s">
        <v>334</v>
      </c>
      <c r="J1146" s="703" t="s">
        <v>337</v>
      </c>
      <c r="K1146" s="704">
        <v>0</v>
      </c>
      <c r="L1146" s="703" t="s">
        <v>334</v>
      </c>
      <c r="M1146" s="702">
        <v>39478</v>
      </c>
      <c r="N1146" s="702">
        <v>44187</v>
      </c>
      <c r="O1146" s="703" t="s">
        <v>338</v>
      </c>
      <c r="P1146" s="20">
        <v>46736.480000000003</v>
      </c>
      <c r="Q1146" s="20">
        <v>0</v>
      </c>
      <c r="R1146" s="20">
        <v>0</v>
      </c>
      <c r="S1146" s="20">
        <v>0</v>
      </c>
      <c r="T1146" s="20">
        <v>46736.480000000003</v>
      </c>
      <c r="U1146" s="20">
        <v>45178.6</v>
      </c>
      <c r="V1146" s="20">
        <v>-1557.88</v>
      </c>
      <c r="W1146" s="20">
        <v>-3115.76</v>
      </c>
      <c r="X1146" s="20">
        <v>-1557.88</v>
      </c>
      <c r="Y1146" s="20">
        <v>0</v>
      </c>
      <c r="Z1146" s="20">
        <v>0</v>
      </c>
      <c r="AA1146" s="20">
        <v>0</v>
      </c>
      <c r="AB1146" s="20">
        <v>43620.72</v>
      </c>
      <c r="AC1146" t="s">
        <v>183</v>
      </c>
      <c r="AD1146" t="s">
        <v>290</v>
      </c>
      <c r="AE1146" s="702">
        <f t="shared" si="85"/>
        <v>43983</v>
      </c>
      <c r="AF1146" s="289">
        <v>67463.061965641988</v>
      </c>
      <c r="AG1146">
        <f t="shared" si="86"/>
        <v>360</v>
      </c>
      <c r="AH1146" s="289">
        <f t="shared" si="87"/>
        <v>187.39739434900551</v>
      </c>
      <c r="AJ1146" s="289">
        <f t="shared" si="88"/>
        <v>30</v>
      </c>
      <c r="AK1146" s="289">
        <f t="shared" si="89"/>
        <v>5621.9218304701653</v>
      </c>
    </row>
    <row r="1147" spans="1:37">
      <c r="A1147" s="703" t="s">
        <v>2447</v>
      </c>
      <c r="B1147" s="703" t="s">
        <v>2311</v>
      </c>
      <c r="C1147" s="703" t="s">
        <v>332</v>
      </c>
      <c r="D1147" s="703" t="s">
        <v>334</v>
      </c>
      <c r="E1147" s="703" t="s">
        <v>334</v>
      </c>
      <c r="F1147" s="703" t="s">
        <v>335</v>
      </c>
      <c r="G1147" s="703" t="s">
        <v>2448</v>
      </c>
      <c r="H1147" s="703" t="s">
        <v>334</v>
      </c>
      <c r="I1147" s="703" t="s">
        <v>334</v>
      </c>
      <c r="J1147" s="703" t="s">
        <v>337</v>
      </c>
      <c r="K1147" s="704">
        <v>0</v>
      </c>
      <c r="L1147" s="703" t="s">
        <v>334</v>
      </c>
      <c r="M1147" s="702">
        <v>39478</v>
      </c>
      <c r="N1147" s="702">
        <v>44187</v>
      </c>
      <c r="O1147" s="703" t="s">
        <v>338</v>
      </c>
      <c r="P1147" s="20">
        <v>3801.67</v>
      </c>
      <c r="Q1147" s="20">
        <v>0</v>
      </c>
      <c r="R1147" s="20">
        <v>0</v>
      </c>
      <c r="S1147" s="20">
        <v>0</v>
      </c>
      <c r="T1147" s="20">
        <v>3801.67</v>
      </c>
      <c r="U1147" s="20">
        <v>3674.95</v>
      </c>
      <c r="V1147" s="20">
        <v>-126.72</v>
      </c>
      <c r="W1147" s="20">
        <v>-253.44</v>
      </c>
      <c r="X1147" s="20">
        <v>-126.72</v>
      </c>
      <c r="Y1147" s="20">
        <v>0</v>
      </c>
      <c r="Z1147" s="20">
        <v>0</v>
      </c>
      <c r="AA1147" s="20">
        <v>0</v>
      </c>
      <c r="AB1147" s="20">
        <v>3548.23</v>
      </c>
      <c r="AC1147" t="s">
        <v>183</v>
      </c>
      <c r="AD1147" t="s">
        <v>290</v>
      </c>
      <c r="AE1147" s="702">
        <f t="shared" si="85"/>
        <v>43983</v>
      </c>
      <c r="AF1147" s="289">
        <v>5487.6254861924172</v>
      </c>
      <c r="AG1147">
        <f t="shared" si="86"/>
        <v>360</v>
      </c>
      <c r="AH1147" s="289">
        <f t="shared" si="87"/>
        <v>15.243404128312269</v>
      </c>
      <c r="AJ1147" s="289">
        <f t="shared" si="88"/>
        <v>30</v>
      </c>
      <c r="AK1147" s="289">
        <f t="shared" si="89"/>
        <v>457.30212384936806</v>
      </c>
    </row>
    <row r="1148" spans="1:37">
      <c r="A1148" s="703" t="s">
        <v>2449</v>
      </c>
      <c r="B1148" s="703" t="s">
        <v>2311</v>
      </c>
      <c r="C1148" s="703" t="s">
        <v>332</v>
      </c>
      <c r="D1148" s="703" t="s">
        <v>334</v>
      </c>
      <c r="E1148" s="703" t="s">
        <v>334</v>
      </c>
      <c r="F1148" s="703" t="s">
        <v>335</v>
      </c>
      <c r="G1148" s="703" t="s">
        <v>2450</v>
      </c>
      <c r="H1148" s="703" t="s">
        <v>334</v>
      </c>
      <c r="I1148" s="703" t="s">
        <v>334</v>
      </c>
      <c r="J1148" s="703" t="s">
        <v>337</v>
      </c>
      <c r="K1148" s="704">
        <v>0</v>
      </c>
      <c r="L1148" s="703" t="s">
        <v>334</v>
      </c>
      <c r="M1148" s="702">
        <v>39478</v>
      </c>
      <c r="N1148" s="702">
        <v>44187</v>
      </c>
      <c r="O1148" s="703" t="s">
        <v>338</v>
      </c>
      <c r="P1148" s="20">
        <v>1953.29</v>
      </c>
      <c r="Q1148" s="20">
        <v>0</v>
      </c>
      <c r="R1148" s="20">
        <v>0</v>
      </c>
      <c r="S1148" s="20">
        <v>0</v>
      </c>
      <c r="T1148" s="20">
        <v>1953.29</v>
      </c>
      <c r="U1148" s="20">
        <v>1888.18</v>
      </c>
      <c r="V1148" s="20">
        <v>-65.11</v>
      </c>
      <c r="W1148" s="20">
        <v>-130.22</v>
      </c>
      <c r="X1148" s="20">
        <v>-65.11</v>
      </c>
      <c r="Y1148" s="20">
        <v>0</v>
      </c>
      <c r="Z1148" s="20">
        <v>0</v>
      </c>
      <c r="AA1148" s="20">
        <v>0</v>
      </c>
      <c r="AB1148" s="20">
        <v>1823.07</v>
      </c>
      <c r="AC1148" t="s">
        <v>183</v>
      </c>
      <c r="AD1148" t="s">
        <v>290</v>
      </c>
      <c r="AE1148" s="702">
        <f t="shared" si="85"/>
        <v>43983</v>
      </c>
      <c r="AF1148" s="289">
        <v>2819.5303605848967</v>
      </c>
      <c r="AG1148">
        <f t="shared" si="86"/>
        <v>360</v>
      </c>
      <c r="AH1148" s="289">
        <f t="shared" si="87"/>
        <v>7.8320287794024912</v>
      </c>
      <c r="AJ1148" s="289">
        <f t="shared" si="88"/>
        <v>30</v>
      </c>
      <c r="AK1148" s="289">
        <f t="shared" si="89"/>
        <v>234.96086338207473</v>
      </c>
    </row>
    <row r="1149" spans="1:37">
      <c r="A1149" s="703" t="s">
        <v>2451</v>
      </c>
      <c r="B1149" s="703" t="s">
        <v>2311</v>
      </c>
      <c r="C1149" s="703" t="s">
        <v>332</v>
      </c>
      <c r="D1149" s="703" t="s">
        <v>334</v>
      </c>
      <c r="E1149" s="703" t="s">
        <v>334</v>
      </c>
      <c r="F1149" s="703" t="s">
        <v>335</v>
      </c>
      <c r="G1149" s="703" t="s">
        <v>2452</v>
      </c>
      <c r="H1149" s="703" t="s">
        <v>334</v>
      </c>
      <c r="I1149" s="703" t="s">
        <v>334</v>
      </c>
      <c r="J1149" s="703" t="s">
        <v>337</v>
      </c>
      <c r="K1149" s="704">
        <v>0</v>
      </c>
      <c r="L1149" s="703" t="s">
        <v>334</v>
      </c>
      <c r="M1149" s="702">
        <v>39478</v>
      </c>
      <c r="N1149" s="702">
        <v>44187</v>
      </c>
      <c r="O1149" s="703" t="s">
        <v>338</v>
      </c>
      <c r="P1149" s="20">
        <v>4786.5600000000004</v>
      </c>
      <c r="Q1149" s="20">
        <v>0</v>
      </c>
      <c r="R1149" s="20">
        <v>0</v>
      </c>
      <c r="S1149" s="20">
        <v>0</v>
      </c>
      <c r="T1149" s="20">
        <v>4786.5600000000004</v>
      </c>
      <c r="U1149" s="20">
        <v>4627.01</v>
      </c>
      <c r="V1149" s="20">
        <v>-159.55000000000001</v>
      </c>
      <c r="W1149" s="20">
        <v>-319.10000000000002</v>
      </c>
      <c r="X1149" s="20">
        <v>-159.55000000000001</v>
      </c>
      <c r="Y1149" s="20">
        <v>0</v>
      </c>
      <c r="Z1149" s="20">
        <v>0</v>
      </c>
      <c r="AA1149" s="20">
        <v>0</v>
      </c>
      <c r="AB1149" s="20">
        <v>4467.46</v>
      </c>
      <c r="AC1149" t="s">
        <v>183</v>
      </c>
      <c r="AD1149" t="s">
        <v>290</v>
      </c>
      <c r="AE1149" s="702">
        <f t="shared" si="85"/>
        <v>43983</v>
      </c>
      <c r="AF1149" s="289">
        <v>6909.2921392938297</v>
      </c>
      <c r="AG1149">
        <f t="shared" si="86"/>
        <v>360</v>
      </c>
      <c r="AH1149" s="289">
        <f t="shared" si="87"/>
        <v>19.192478164705083</v>
      </c>
      <c r="AJ1149" s="289">
        <f t="shared" si="88"/>
        <v>30</v>
      </c>
      <c r="AK1149" s="289">
        <f t="shared" si="89"/>
        <v>575.77434494115244</v>
      </c>
    </row>
    <row r="1150" spans="1:37">
      <c r="A1150" s="703" t="s">
        <v>2453</v>
      </c>
      <c r="B1150" s="703" t="s">
        <v>2311</v>
      </c>
      <c r="C1150" s="703" t="s">
        <v>332</v>
      </c>
      <c r="D1150" s="703" t="s">
        <v>334</v>
      </c>
      <c r="E1150" s="703" t="s">
        <v>334</v>
      </c>
      <c r="F1150" s="703" t="s">
        <v>335</v>
      </c>
      <c r="G1150" s="703" t="s">
        <v>2454</v>
      </c>
      <c r="H1150" s="703" t="s">
        <v>334</v>
      </c>
      <c r="I1150" s="703" t="s">
        <v>334</v>
      </c>
      <c r="J1150" s="703" t="s">
        <v>337</v>
      </c>
      <c r="K1150" s="704">
        <v>0</v>
      </c>
      <c r="L1150" s="703" t="s">
        <v>334</v>
      </c>
      <c r="M1150" s="702">
        <v>39478</v>
      </c>
      <c r="N1150" s="702">
        <v>44187</v>
      </c>
      <c r="O1150" s="703" t="s">
        <v>338</v>
      </c>
      <c r="P1150" s="20">
        <v>16458.009999999998</v>
      </c>
      <c r="Q1150" s="20">
        <v>0</v>
      </c>
      <c r="R1150" s="20">
        <v>0</v>
      </c>
      <c r="S1150" s="20">
        <v>0</v>
      </c>
      <c r="T1150" s="20">
        <v>16458.009999999998</v>
      </c>
      <c r="U1150" s="20">
        <v>15909.41</v>
      </c>
      <c r="V1150" s="20">
        <v>-548.6</v>
      </c>
      <c r="W1150" s="20">
        <v>-1097.2</v>
      </c>
      <c r="X1150" s="20">
        <v>-548.6</v>
      </c>
      <c r="Y1150" s="20">
        <v>0</v>
      </c>
      <c r="Z1150" s="20">
        <v>0</v>
      </c>
      <c r="AA1150" s="20">
        <v>0</v>
      </c>
      <c r="AB1150" s="20">
        <v>15360.81</v>
      </c>
      <c r="AC1150" t="s">
        <v>183</v>
      </c>
      <c r="AD1150" t="s">
        <v>290</v>
      </c>
      <c r="AE1150" s="702">
        <f t="shared" si="85"/>
        <v>43983</v>
      </c>
      <c r="AF1150" s="289">
        <v>23756.768769516988</v>
      </c>
      <c r="AG1150">
        <f t="shared" si="86"/>
        <v>360</v>
      </c>
      <c r="AH1150" s="289">
        <f t="shared" si="87"/>
        <v>65.991024359769412</v>
      </c>
      <c r="AJ1150" s="289">
        <f t="shared" si="88"/>
        <v>30</v>
      </c>
      <c r="AK1150" s="289">
        <f t="shared" si="89"/>
        <v>1979.7307307930823</v>
      </c>
    </row>
    <row r="1151" spans="1:37">
      <c r="A1151" s="703" t="s">
        <v>2455</v>
      </c>
      <c r="B1151" s="703" t="s">
        <v>2311</v>
      </c>
      <c r="C1151" s="703" t="s">
        <v>332</v>
      </c>
      <c r="D1151" s="703" t="s">
        <v>334</v>
      </c>
      <c r="E1151" s="703" t="s">
        <v>334</v>
      </c>
      <c r="F1151" s="703" t="s">
        <v>335</v>
      </c>
      <c r="G1151" s="703" t="s">
        <v>2456</v>
      </c>
      <c r="H1151" s="703" t="s">
        <v>334</v>
      </c>
      <c r="I1151" s="703" t="s">
        <v>334</v>
      </c>
      <c r="J1151" s="703" t="s">
        <v>337</v>
      </c>
      <c r="K1151" s="704">
        <v>0</v>
      </c>
      <c r="L1151" s="703" t="s">
        <v>334</v>
      </c>
      <c r="M1151" s="702">
        <v>39478</v>
      </c>
      <c r="N1151" s="702">
        <v>44187</v>
      </c>
      <c r="O1151" s="703" t="s">
        <v>338</v>
      </c>
      <c r="P1151" s="20">
        <v>2117.31</v>
      </c>
      <c r="Q1151" s="20">
        <v>0</v>
      </c>
      <c r="R1151" s="20">
        <v>0</v>
      </c>
      <c r="S1151" s="20">
        <v>0</v>
      </c>
      <c r="T1151" s="20">
        <v>2117.31</v>
      </c>
      <c r="U1151" s="20">
        <v>2046.73</v>
      </c>
      <c r="V1151" s="20">
        <v>-70.58</v>
      </c>
      <c r="W1151" s="20">
        <v>-141.16</v>
      </c>
      <c r="X1151" s="20">
        <v>-70.58</v>
      </c>
      <c r="Y1151" s="20">
        <v>0</v>
      </c>
      <c r="Z1151" s="20">
        <v>0</v>
      </c>
      <c r="AA1151" s="20">
        <v>0</v>
      </c>
      <c r="AB1151" s="20">
        <v>1976.15</v>
      </c>
      <c r="AC1151" t="s">
        <v>183</v>
      </c>
      <c r="AD1151" t="s">
        <v>290</v>
      </c>
      <c r="AE1151" s="702">
        <f t="shared" si="85"/>
        <v>43983</v>
      </c>
      <c r="AF1151" s="289">
        <v>3056.2895564765131</v>
      </c>
      <c r="AG1151">
        <f t="shared" si="86"/>
        <v>360</v>
      </c>
      <c r="AH1151" s="289">
        <f t="shared" si="87"/>
        <v>8.4896932124347586</v>
      </c>
      <c r="AJ1151" s="289">
        <f t="shared" si="88"/>
        <v>30</v>
      </c>
      <c r="AK1151" s="289">
        <f t="shared" si="89"/>
        <v>254.69079637304276</v>
      </c>
    </row>
    <row r="1152" spans="1:37">
      <c r="A1152" s="703" t="s">
        <v>2457</v>
      </c>
      <c r="B1152" s="703" t="s">
        <v>2311</v>
      </c>
      <c r="C1152" s="703" t="s">
        <v>332</v>
      </c>
      <c r="D1152" s="703" t="s">
        <v>334</v>
      </c>
      <c r="E1152" s="703" t="s">
        <v>334</v>
      </c>
      <c r="F1152" s="703" t="s">
        <v>335</v>
      </c>
      <c r="G1152" s="703" t="s">
        <v>2458</v>
      </c>
      <c r="H1152" s="703" t="s">
        <v>334</v>
      </c>
      <c r="I1152" s="703" t="s">
        <v>334</v>
      </c>
      <c r="J1152" s="703" t="s">
        <v>337</v>
      </c>
      <c r="K1152" s="704">
        <v>0</v>
      </c>
      <c r="L1152" s="703" t="s">
        <v>334</v>
      </c>
      <c r="M1152" s="702">
        <v>39478</v>
      </c>
      <c r="N1152" s="702">
        <v>44187</v>
      </c>
      <c r="O1152" s="703" t="s">
        <v>338</v>
      </c>
      <c r="P1152" s="20">
        <v>221.01</v>
      </c>
      <c r="Q1152" s="20">
        <v>0</v>
      </c>
      <c r="R1152" s="20">
        <v>0</v>
      </c>
      <c r="S1152" s="20">
        <v>0</v>
      </c>
      <c r="T1152" s="20">
        <v>221.01</v>
      </c>
      <c r="U1152" s="20">
        <v>213.64</v>
      </c>
      <c r="V1152" s="20">
        <v>-7.37</v>
      </c>
      <c r="W1152" s="20">
        <v>-14.74</v>
      </c>
      <c r="X1152" s="20">
        <v>-7.37</v>
      </c>
      <c r="Y1152" s="20">
        <v>0</v>
      </c>
      <c r="Z1152" s="20">
        <v>0</v>
      </c>
      <c r="AA1152" s="20">
        <v>0</v>
      </c>
      <c r="AB1152" s="20">
        <v>206.27</v>
      </c>
      <c r="AC1152" t="s">
        <v>183</v>
      </c>
      <c r="AD1152" t="s">
        <v>290</v>
      </c>
      <c r="AE1152" s="702">
        <f t="shared" si="85"/>
        <v>43983</v>
      </c>
      <c r="AF1152" s="289">
        <v>319.02298429463525</v>
      </c>
      <c r="AG1152">
        <f t="shared" si="86"/>
        <v>360</v>
      </c>
      <c r="AH1152" s="289">
        <f t="shared" si="87"/>
        <v>0.8861749563739868</v>
      </c>
      <c r="AJ1152" s="289">
        <f t="shared" si="88"/>
        <v>30</v>
      </c>
      <c r="AK1152" s="289">
        <f t="shared" si="89"/>
        <v>26.585248691219604</v>
      </c>
    </row>
    <row r="1153" spans="1:37">
      <c r="A1153" s="703" t="s">
        <v>2459</v>
      </c>
      <c r="B1153" s="703" t="s">
        <v>2311</v>
      </c>
      <c r="C1153" s="703" t="s">
        <v>332</v>
      </c>
      <c r="D1153" s="703" t="s">
        <v>334</v>
      </c>
      <c r="E1153" s="703" t="s">
        <v>334</v>
      </c>
      <c r="F1153" s="703" t="s">
        <v>335</v>
      </c>
      <c r="G1153" s="703" t="s">
        <v>2460</v>
      </c>
      <c r="H1153" s="703" t="s">
        <v>334</v>
      </c>
      <c r="I1153" s="703" t="s">
        <v>334</v>
      </c>
      <c r="J1153" s="703" t="s">
        <v>337</v>
      </c>
      <c r="K1153" s="704">
        <v>0</v>
      </c>
      <c r="L1153" s="703" t="s">
        <v>334</v>
      </c>
      <c r="M1153" s="702">
        <v>39478</v>
      </c>
      <c r="N1153" s="702">
        <v>44187</v>
      </c>
      <c r="O1153" s="703" t="s">
        <v>338</v>
      </c>
      <c r="P1153" s="20">
        <v>195651.69</v>
      </c>
      <c r="Q1153" s="20">
        <v>0</v>
      </c>
      <c r="R1153" s="20">
        <v>0</v>
      </c>
      <c r="S1153" s="20">
        <v>0</v>
      </c>
      <c r="T1153" s="20">
        <v>195651.69</v>
      </c>
      <c r="U1153" s="20">
        <v>189129.97</v>
      </c>
      <c r="V1153" s="20">
        <v>-6521.72</v>
      </c>
      <c r="W1153" s="20">
        <v>-13043.44</v>
      </c>
      <c r="X1153" s="20">
        <v>-6521.72</v>
      </c>
      <c r="Y1153" s="20">
        <v>0</v>
      </c>
      <c r="Z1153" s="20">
        <v>0</v>
      </c>
      <c r="AA1153" s="20">
        <v>0</v>
      </c>
      <c r="AB1153" s="20">
        <v>182608.25</v>
      </c>
      <c r="AC1153" t="s">
        <v>183</v>
      </c>
      <c r="AD1153" t="s">
        <v>290</v>
      </c>
      <c r="AE1153" s="702">
        <f t="shared" si="85"/>
        <v>43983</v>
      </c>
      <c r="AF1153" s="289">
        <v>282418.83184511488</v>
      </c>
      <c r="AG1153">
        <f t="shared" si="86"/>
        <v>360</v>
      </c>
      <c r="AH1153" s="289">
        <f t="shared" si="87"/>
        <v>784.49675512531917</v>
      </c>
      <c r="AJ1153" s="289">
        <f t="shared" si="88"/>
        <v>30</v>
      </c>
      <c r="AK1153" s="289">
        <f t="shared" si="89"/>
        <v>23534.902653759575</v>
      </c>
    </row>
    <row r="1154" spans="1:37">
      <c r="A1154" s="703" t="s">
        <v>2461</v>
      </c>
      <c r="B1154" s="703" t="s">
        <v>2311</v>
      </c>
      <c r="C1154" s="703" t="s">
        <v>332</v>
      </c>
      <c r="D1154" s="703" t="s">
        <v>334</v>
      </c>
      <c r="E1154" s="703" t="s">
        <v>334</v>
      </c>
      <c r="F1154" s="703" t="s">
        <v>335</v>
      </c>
      <c r="G1154" s="703" t="s">
        <v>2462</v>
      </c>
      <c r="H1154" s="703" t="s">
        <v>334</v>
      </c>
      <c r="I1154" s="703" t="s">
        <v>334</v>
      </c>
      <c r="J1154" s="703" t="s">
        <v>337</v>
      </c>
      <c r="K1154" s="704">
        <v>0</v>
      </c>
      <c r="L1154" s="703" t="s">
        <v>334</v>
      </c>
      <c r="M1154" s="702">
        <v>39478</v>
      </c>
      <c r="N1154" s="702">
        <v>44187</v>
      </c>
      <c r="O1154" s="703" t="s">
        <v>338</v>
      </c>
      <c r="P1154" s="20">
        <v>18787.02</v>
      </c>
      <c r="Q1154" s="20">
        <v>0</v>
      </c>
      <c r="R1154" s="20">
        <v>0</v>
      </c>
      <c r="S1154" s="20">
        <v>0</v>
      </c>
      <c r="T1154" s="20">
        <v>18787.02</v>
      </c>
      <c r="U1154" s="20">
        <v>18160.79</v>
      </c>
      <c r="V1154" s="20">
        <v>-626.23</v>
      </c>
      <c r="W1154" s="20">
        <v>-1252.46</v>
      </c>
      <c r="X1154" s="20">
        <v>-626.23</v>
      </c>
      <c r="Y1154" s="20">
        <v>0</v>
      </c>
      <c r="Z1154" s="20">
        <v>0</v>
      </c>
      <c r="AA1154" s="20">
        <v>0</v>
      </c>
      <c r="AB1154" s="20">
        <v>17534.560000000001</v>
      </c>
      <c r="AC1154" t="s">
        <v>183</v>
      </c>
      <c r="AD1154" t="s">
        <v>290</v>
      </c>
      <c r="AE1154" s="702">
        <f t="shared" si="85"/>
        <v>43983</v>
      </c>
      <c r="AF1154" s="289">
        <v>27118.642533835569</v>
      </c>
      <c r="AG1154">
        <f t="shared" si="86"/>
        <v>360</v>
      </c>
      <c r="AH1154" s="289">
        <f t="shared" si="87"/>
        <v>75.329562593987689</v>
      </c>
      <c r="AJ1154" s="289">
        <f t="shared" si="88"/>
        <v>30</v>
      </c>
      <c r="AK1154" s="289">
        <f t="shared" si="89"/>
        <v>2259.8868778196306</v>
      </c>
    </row>
    <row r="1155" spans="1:37">
      <c r="A1155" s="703" t="s">
        <v>2463</v>
      </c>
      <c r="B1155" s="703" t="s">
        <v>2311</v>
      </c>
      <c r="C1155" s="703" t="s">
        <v>332</v>
      </c>
      <c r="D1155" s="703" t="s">
        <v>334</v>
      </c>
      <c r="E1155" s="703" t="s">
        <v>334</v>
      </c>
      <c r="F1155" s="703" t="s">
        <v>335</v>
      </c>
      <c r="G1155" s="703" t="s">
        <v>2464</v>
      </c>
      <c r="H1155" s="703" t="s">
        <v>334</v>
      </c>
      <c r="I1155" s="703" t="s">
        <v>334</v>
      </c>
      <c r="J1155" s="703" t="s">
        <v>337</v>
      </c>
      <c r="K1155" s="704">
        <v>0</v>
      </c>
      <c r="L1155" s="703" t="s">
        <v>334</v>
      </c>
      <c r="M1155" s="702">
        <v>39478</v>
      </c>
      <c r="N1155" s="702">
        <v>44187</v>
      </c>
      <c r="O1155" s="703" t="s">
        <v>338</v>
      </c>
      <c r="P1155" s="20">
        <v>3263.7</v>
      </c>
      <c r="Q1155" s="20">
        <v>0</v>
      </c>
      <c r="R1155" s="20">
        <v>0</v>
      </c>
      <c r="S1155" s="20">
        <v>0</v>
      </c>
      <c r="T1155" s="20">
        <v>3263.7</v>
      </c>
      <c r="U1155" s="20">
        <v>3154.91</v>
      </c>
      <c r="V1155" s="20">
        <v>-108.79</v>
      </c>
      <c r="W1155" s="20">
        <v>-217.58</v>
      </c>
      <c r="X1155" s="20">
        <v>-108.79</v>
      </c>
      <c r="Y1155" s="20">
        <v>0</v>
      </c>
      <c r="Z1155" s="20">
        <v>0</v>
      </c>
      <c r="AA1155" s="20">
        <v>0</v>
      </c>
      <c r="AB1155" s="20">
        <v>3046.12</v>
      </c>
      <c r="AC1155" t="s">
        <v>183</v>
      </c>
      <c r="AD1155" t="s">
        <v>290</v>
      </c>
      <c r="AE1155" s="702">
        <f t="shared" si="85"/>
        <v>43983</v>
      </c>
      <c r="AF1155" s="289">
        <v>4711.0778419184699</v>
      </c>
      <c r="AG1155">
        <f t="shared" si="86"/>
        <v>360</v>
      </c>
      <c r="AH1155" s="289">
        <f t="shared" si="87"/>
        <v>13.086327338662416</v>
      </c>
      <c r="AJ1155" s="289">
        <f t="shared" si="88"/>
        <v>30</v>
      </c>
      <c r="AK1155" s="289">
        <f t="shared" si="89"/>
        <v>392.58982015987249</v>
      </c>
    </row>
    <row r="1156" spans="1:37">
      <c r="A1156" s="703" t="s">
        <v>2465</v>
      </c>
      <c r="B1156" s="703" t="s">
        <v>2311</v>
      </c>
      <c r="C1156" s="703" t="s">
        <v>332</v>
      </c>
      <c r="D1156" s="703" t="s">
        <v>334</v>
      </c>
      <c r="E1156" s="703" t="s">
        <v>334</v>
      </c>
      <c r="F1156" s="703" t="s">
        <v>335</v>
      </c>
      <c r="G1156" s="703" t="s">
        <v>2466</v>
      </c>
      <c r="H1156" s="703" t="s">
        <v>334</v>
      </c>
      <c r="I1156" s="703" t="s">
        <v>334</v>
      </c>
      <c r="J1156" s="703" t="s">
        <v>337</v>
      </c>
      <c r="K1156" s="704">
        <v>0</v>
      </c>
      <c r="L1156" s="703" t="s">
        <v>334</v>
      </c>
      <c r="M1156" s="702">
        <v>39478</v>
      </c>
      <c r="N1156" s="702">
        <v>44187</v>
      </c>
      <c r="O1156" s="703" t="s">
        <v>338</v>
      </c>
      <c r="P1156" s="20">
        <v>35409.72</v>
      </c>
      <c r="Q1156" s="20">
        <v>0</v>
      </c>
      <c r="R1156" s="20">
        <v>0</v>
      </c>
      <c r="S1156" s="20">
        <v>0</v>
      </c>
      <c r="T1156" s="20">
        <v>35409.72</v>
      </c>
      <c r="U1156" s="20">
        <v>34229.4</v>
      </c>
      <c r="V1156" s="20">
        <v>-1180.32</v>
      </c>
      <c r="W1156" s="20">
        <v>-2360.64</v>
      </c>
      <c r="X1156" s="20">
        <v>-1180.32</v>
      </c>
      <c r="Y1156" s="20">
        <v>0</v>
      </c>
      <c r="Z1156" s="20">
        <v>0</v>
      </c>
      <c r="AA1156" s="20">
        <v>0</v>
      </c>
      <c r="AB1156" s="20">
        <v>33049.08</v>
      </c>
      <c r="AC1156" t="s">
        <v>183</v>
      </c>
      <c r="AD1156" t="s">
        <v>290</v>
      </c>
      <c r="AE1156" s="702">
        <f t="shared" si="85"/>
        <v>43983</v>
      </c>
      <c r="AF1156" s="289">
        <v>51113.13762923592</v>
      </c>
      <c r="AG1156">
        <f t="shared" si="86"/>
        <v>360</v>
      </c>
      <c r="AH1156" s="289">
        <f t="shared" si="87"/>
        <v>141.98093785898865</v>
      </c>
      <c r="AJ1156" s="289">
        <f t="shared" si="88"/>
        <v>30</v>
      </c>
      <c r="AK1156" s="289">
        <f t="shared" si="89"/>
        <v>4259.42813576966</v>
      </c>
    </row>
    <row r="1157" spans="1:37">
      <c r="A1157" s="703" t="s">
        <v>2467</v>
      </c>
      <c r="B1157" s="703" t="s">
        <v>2311</v>
      </c>
      <c r="C1157" s="703" t="s">
        <v>332</v>
      </c>
      <c r="D1157" s="703" t="s">
        <v>334</v>
      </c>
      <c r="E1157" s="703" t="s">
        <v>334</v>
      </c>
      <c r="F1157" s="703" t="s">
        <v>335</v>
      </c>
      <c r="G1157" s="703" t="s">
        <v>2468</v>
      </c>
      <c r="H1157" s="703" t="s">
        <v>334</v>
      </c>
      <c r="I1157" s="703" t="s">
        <v>334</v>
      </c>
      <c r="J1157" s="703" t="s">
        <v>337</v>
      </c>
      <c r="K1157" s="704">
        <v>0</v>
      </c>
      <c r="L1157" s="703" t="s">
        <v>334</v>
      </c>
      <c r="M1157" s="702">
        <v>39478</v>
      </c>
      <c r="N1157" s="702">
        <v>44187</v>
      </c>
      <c r="O1157" s="703" t="s">
        <v>338</v>
      </c>
      <c r="P1157" s="20">
        <v>1452.21</v>
      </c>
      <c r="Q1157" s="20">
        <v>0</v>
      </c>
      <c r="R1157" s="20">
        <v>0</v>
      </c>
      <c r="S1157" s="20">
        <v>0</v>
      </c>
      <c r="T1157" s="20">
        <v>1452.21</v>
      </c>
      <c r="U1157" s="20">
        <v>1403.8</v>
      </c>
      <c r="V1157" s="20">
        <v>-48.41</v>
      </c>
      <c r="W1157" s="20">
        <v>-96.82</v>
      </c>
      <c r="X1157" s="20">
        <v>-48.41</v>
      </c>
      <c r="Y1157" s="20">
        <v>0</v>
      </c>
      <c r="Z1157" s="20">
        <v>0</v>
      </c>
      <c r="AA1157" s="20">
        <v>0</v>
      </c>
      <c r="AB1157" s="20">
        <v>1355.39</v>
      </c>
      <c r="AC1157" t="s">
        <v>183</v>
      </c>
      <c r="AD1157" t="s">
        <v>290</v>
      </c>
      <c r="AE1157" s="702">
        <f t="shared" si="85"/>
        <v>43983</v>
      </c>
      <c r="AF1157" s="289">
        <v>2096.2326049613698</v>
      </c>
      <c r="AG1157">
        <f t="shared" si="86"/>
        <v>360</v>
      </c>
      <c r="AH1157" s="289">
        <f t="shared" si="87"/>
        <v>5.8228683471149161</v>
      </c>
      <c r="AJ1157" s="289">
        <f t="shared" si="88"/>
        <v>30</v>
      </c>
      <c r="AK1157" s="289">
        <f t="shared" si="89"/>
        <v>174.68605041344748</v>
      </c>
    </row>
    <row r="1158" spans="1:37">
      <c r="A1158" s="703" t="s">
        <v>2469</v>
      </c>
      <c r="B1158" s="703" t="s">
        <v>2311</v>
      </c>
      <c r="C1158" s="703" t="s">
        <v>332</v>
      </c>
      <c r="D1158" s="703" t="s">
        <v>334</v>
      </c>
      <c r="E1158" s="703" t="s">
        <v>334</v>
      </c>
      <c r="F1158" s="703" t="s">
        <v>335</v>
      </c>
      <c r="G1158" s="703" t="s">
        <v>2470</v>
      </c>
      <c r="H1158" s="703" t="s">
        <v>334</v>
      </c>
      <c r="I1158" s="703" t="s">
        <v>334</v>
      </c>
      <c r="J1158" s="703" t="s">
        <v>337</v>
      </c>
      <c r="K1158" s="704">
        <v>0</v>
      </c>
      <c r="L1158" s="703" t="s">
        <v>334</v>
      </c>
      <c r="M1158" s="702">
        <v>39478</v>
      </c>
      <c r="N1158" s="702">
        <v>44187</v>
      </c>
      <c r="O1158" s="703" t="s">
        <v>338</v>
      </c>
      <c r="P1158" s="20">
        <v>175970.74</v>
      </c>
      <c r="Q1158" s="20">
        <v>0</v>
      </c>
      <c r="R1158" s="20">
        <v>0</v>
      </c>
      <c r="S1158" s="20">
        <v>0</v>
      </c>
      <c r="T1158" s="20">
        <v>175970.74</v>
      </c>
      <c r="U1158" s="20">
        <v>170105.05</v>
      </c>
      <c r="V1158" s="20">
        <v>-5865.69</v>
      </c>
      <c r="W1158" s="20">
        <v>-11731.38</v>
      </c>
      <c r="X1158" s="20">
        <v>-5865.69</v>
      </c>
      <c r="Y1158" s="20">
        <v>0</v>
      </c>
      <c r="Z1158" s="20">
        <v>0</v>
      </c>
      <c r="AA1158" s="20">
        <v>0</v>
      </c>
      <c r="AB1158" s="20">
        <v>164239.35999999999</v>
      </c>
      <c r="AC1158" t="s">
        <v>183</v>
      </c>
      <c r="AD1158" t="s">
        <v>290</v>
      </c>
      <c r="AE1158" s="702">
        <f t="shared" si="85"/>
        <v>43983</v>
      </c>
      <c r="AF1158" s="289">
        <v>254009.82138064044</v>
      </c>
      <c r="AG1158">
        <f t="shared" si="86"/>
        <v>360</v>
      </c>
      <c r="AH1158" s="289">
        <f t="shared" si="87"/>
        <v>705.58283716844562</v>
      </c>
      <c r="AJ1158" s="289">
        <f t="shared" si="88"/>
        <v>30</v>
      </c>
      <c r="AK1158" s="289">
        <f t="shared" si="89"/>
        <v>21167.485115053369</v>
      </c>
    </row>
    <row r="1159" spans="1:37">
      <c r="A1159" s="703" t="s">
        <v>2471</v>
      </c>
      <c r="B1159" s="703" t="s">
        <v>2311</v>
      </c>
      <c r="C1159" s="703" t="s">
        <v>332</v>
      </c>
      <c r="D1159" s="703" t="s">
        <v>334</v>
      </c>
      <c r="E1159" s="703" t="s">
        <v>334</v>
      </c>
      <c r="F1159" s="703" t="s">
        <v>335</v>
      </c>
      <c r="G1159" s="703" t="s">
        <v>2472</v>
      </c>
      <c r="H1159" s="703" t="s">
        <v>334</v>
      </c>
      <c r="I1159" s="703" t="s">
        <v>334</v>
      </c>
      <c r="J1159" s="703" t="s">
        <v>337</v>
      </c>
      <c r="K1159" s="704">
        <v>0</v>
      </c>
      <c r="L1159" s="703" t="s">
        <v>334</v>
      </c>
      <c r="M1159" s="702">
        <v>39478</v>
      </c>
      <c r="N1159" s="702">
        <v>44187</v>
      </c>
      <c r="O1159" s="703" t="s">
        <v>338</v>
      </c>
      <c r="P1159" s="20">
        <v>4781.1899999999996</v>
      </c>
      <c r="Q1159" s="20">
        <v>0</v>
      </c>
      <c r="R1159" s="20">
        <v>0</v>
      </c>
      <c r="S1159" s="20">
        <v>0</v>
      </c>
      <c r="T1159" s="20">
        <v>4781.1899999999996</v>
      </c>
      <c r="U1159" s="20">
        <v>4621.82</v>
      </c>
      <c r="V1159" s="20">
        <v>-159.37</v>
      </c>
      <c r="W1159" s="20">
        <v>-318.74</v>
      </c>
      <c r="X1159" s="20">
        <v>-159.37</v>
      </c>
      <c r="Y1159" s="20">
        <v>0</v>
      </c>
      <c r="Z1159" s="20">
        <v>0</v>
      </c>
      <c r="AA1159" s="20">
        <v>0</v>
      </c>
      <c r="AB1159" s="20">
        <v>4462.45</v>
      </c>
      <c r="AC1159" t="s">
        <v>183</v>
      </c>
      <c r="AD1159" t="s">
        <v>290</v>
      </c>
      <c r="AE1159" s="702">
        <f t="shared" ref="AE1159:AE1222" si="90">IF(N1159&gt;=$AG$5,DATE(YEAR(N1159),6,1),DATE(YEAR(N1159),6,1))</f>
        <v>43983</v>
      </c>
      <c r="AF1159" s="289">
        <v>6901.5406645838057</v>
      </c>
      <c r="AG1159">
        <f t="shared" ref="AG1159:AG1222" si="91">+IF(AD1159="intangível",20*12,IF(AD1159="Diferido",120,IF(AD1159="Não vinculados",0,IF(AE1159&lt;=$AG$5,F1159*12,360))))</f>
        <v>360</v>
      </c>
      <c r="AH1159" s="289">
        <f t="shared" ref="AH1159:AH1222" si="92">IF(AG1159=0,0,AF1159/AG1159)</f>
        <v>19.170946290510571</v>
      </c>
      <c r="AJ1159" s="289">
        <f t="shared" ref="AJ1159:AJ1222" si="93">+IF(AND(YEAR(AE1159)&gt;=2018,YEAR(AE1159)&lt;=2022),IF(DATEDIF(AE1159,$AK$4,"m")&gt;=AG1159,AG1159,DATEDIF(AE1159,$AK$4,"m")),0)</f>
        <v>30</v>
      </c>
      <c r="AK1159" s="289">
        <f t="shared" ref="AK1159:AK1222" si="94">IF(AD1159="Imobilizado",AJ1159*AH1159,0)</f>
        <v>575.1283887153171</v>
      </c>
    </row>
    <row r="1160" spans="1:37">
      <c r="A1160" s="703" t="s">
        <v>2473</v>
      </c>
      <c r="B1160" s="703" t="s">
        <v>2311</v>
      </c>
      <c r="C1160" s="703" t="s">
        <v>332</v>
      </c>
      <c r="D1160" s="703" t="s">
        <v>334</v>
      </c>
      <c r="E1160" s="703" t="s">
        <v>334</v>
      </c>
      <c r="F1160" s="703" t="s">
        <v>335</v>
      </c>
      <c r="G1160" s="703" t="s">
        <v>2474</v>
      </c>
      <c r="H1160" s="703" t="s">
        <v>334</v>
      </c>
      <c r="I1160" s="703" t="s">
        <v>334</v>
      </c>
      <c r="J1160" s="703" t="s">
        <v>337</v>
      </c>
      <c r="K1160" s="704">
        <v>0</v>
      </c>
      <c r="L1160" s="703" t="s">
        <v>334</v>
      </c>
      <c r="M1160" s="702">
        <v>39478</v>
      </c>
      <c r="N1160" s="702">
        <v>44187</v>
      </c>
      <c r="O1160" s="703" t="s">
        <v>338</v>
      </c>
      <c r="P1160" s="20">
        <v>8072.6</v>
      </c>
      <c r="Q1160" s="20">
        <v>0</v>
      </c>
      <c r="R1160" s="20">
        <v>0</v>
      </c>
      <c r="S1160" s="20">
        <v>0</v>
      </c>
      <c r="T1160" s="20">
        <v>8072.6</v>
      </c>
      <c r="U1160" s="20">
        <v>7803.51</v>
      </c>
      <c r="V1160" s="20">
        <v>-269.08999999999997</v>
      </c>
      <c r="W1160" s="20">
        <v>-538.17999999999995</v>
      </c>
      <c r="X1160" s="20">
        <v>-269.08999999999997</v>
      </c>
      <c r="Y1160" s="20">
        <v>0</v>
      </c>
      <c r="Z1160" s="20">
        <v>0</v>
      </c>
      <c r="AA1160" s="20">
        <v>0</v>
      </c>
      <c r="AB1160" s="20">
        <v>7534.42</v>
      </c>
      <c r="AC1160" t="s">
        <v>183</v>
      </c>
      <c r="AD1160" t="s">
        <v>290</v>
      </c>
      <c r="AE1160" s="702">
        <f t="shared" si="90"/>
        <v>43983</v>
      </c>
      <c r="AF1160" s="289">
        <v>11652.617270788076</v>
      </c>
      <c r="AG1160">
        <f t="shared" si="91"/>
        <v>360</v>
      </c>
      <c r="AH1160" s="289">
        <f t="shared" si="92"/>
        <v>32.368381307744656</v>
      </c>
      <c r="AJ1160" s="289">
        <f t="shared" si="93"/>
        <v>30</v>
      </c>
      <c r="AK1160" s="289">
        <f t="shared" si="94"/>
        <v>971.0514392323397</v>
      </c>
    </row>
    <row r="1161" spans="1:37">
      <c r="A1161" s="703" t="s">
        <v>2475</v>
      </c>
      <c r="B1161" s="703" t="s">
        <v>2311</v>
      </c>
      <c r="C1161" s="703" t="s">
        <v>332</v>
      </c>
      <c r="D1161" s="703" t="s">
        <v>334</v>
      </c>
      <c r="E1161" s="703" t="s">
        <v>334</v>
      </c>
      <c r="F1161" s="703" t="s">
        <v>335</v>
      </c>
      <c r="G1161" s="703" t="s">
        <v>2476</v>
      </c>
      <c r="H1161" s="703" t="s">
        <v>334</v>
      </c>
      <c r="I1161" s="703" t="s">
        <v>334</v>
      </c>
      <c r="J1161" s="703" t="s">
        <v>337</v>
      </c>
      <c r="K1161" s="704">
        <v>0</v>
      </c>
      <c r="L1161" s="703" t="s">
        <v>334</v>
      </c>
      <c r="M1161" s="702">
        <v>39478</v>
      </c>
      <c r="N1161" s="702">
        <v>44187</v>
      </c>
      <c r="O1161" s="703" t="s">
        <v>338</v>
      </c>
      <c r="P1161" s="20">
        <v>2207.7600000000002</v>
      </c>
      <c r="Q1161" s="20">
        <v>0</v>
      </c>
      <c r="R1161" s="20">
        <v>0</v>
      </c>
      <c r="S1161" s="20">
        <v>0</v>
      </c>
      <c r="T1161" s="20">
        <v>2207.7600000000002</v>
      </c>
      <c r="U1161" s="20">
        <v>2134.17</v>
      </c>
      <c r="V1161" s="20">
        <v>-73.59</v>
      </c>
      <c r="W1161" s="20">
        <v>-147.18</v>
      </c>
      <c r="X1161" s="20">
        <v>-73.59</v>
      </c>
      <c r="Y1161" s="20">
        <v>0</v>
      </c>
      <c r="Z1161" s="20">
        <v>0</v>
      </c>
      <c r="AA1161" s="20">
        <v>0</v>
      </c>
      <c r="AB1161" s="20">
        <v>2060.58</v>
      </c>
      <c r="AC1161" t="s">
        <v>183</v>
      </c>
      <c r="AD1161" t="s">
        <v>290</v>
      </c>
      <c r="AE1161" s="702">
        <f t="shared" si="90"/>
        <v>43983</v>
      </c>
      <c r="AF1161" s="289">
        <v>3186.8521053632144</v>
      </c>
      <c r="AG1161">
        <f t="shared" si="91"/>
        <v>360</v>
      </c>
      <c r="AH1161" s="289">
        <f t="shared" si="92"/>
        <v>8.8523669593422625</v>
      </c>
      <c r="AJ1161" s="289">
        <f t="shared" si="93"/>
        <v>30</v>
      </c>
      <c r="AK1161" s="289">
        <f t="shared" si="94"/>
        <v>265.5710087802679</v>
      </c>
    </row>
    <row r="1162" spans="1:37">
      <c r="A1162" s="703" t="s">
        <v>2477</v>
      </c>
      <c r="B1162" s="703" t="s">
        <v>2311</v>
      </c>
      <c r="C1162" s="703" t="s">
        <v>332</v>
      </c>
      <c r="D1162" s="703" t="s">
        <v>334</v>
      </c>
      <c r="E1162" s="703" t="s">
        <v>334</v>
      </c>
      <c r="F1162" s="703" t="s">
        <v>335</v>
      </c>
      <c r="G1162" s="703" t="s">
        <v>2478</v>
      </c>
      <c r="H1162" s="703" t="s">
        <v>334</v>
      </c>
      <c r="I1162" s="703" t="s">
        <v>334</v>
      </c>
      <c r="J1162" s="703" t="s">
        <v>337</v>
      </c>
      <c r="K1162" s="704">
        <v>0</v>
      </c>
      <c r="L1162" s="703" t="s">
        <v>334</v>
      </c>
      <c r="M1162" s="702">
        <v>39478</v>
      </c>
      <c r="N1162" s="702">
        <v>44187</v>
      </c>
      <c r="O1162" s="703" t="s">
        <v>338</v>
      </c>
      <c r="P1162" s="20">
        <v>25546.53</v>
      </c>
      <c r="Q1162" s="20">
        <v>0</v>
      </c>
      <c r="R1162" s="20">
        <v>0</v>
      </c>
      <c r="S1162" s="20">
        <v>0</v>
      </c>
      <c r="T1162" s="20">
        <v>25546.53</v>
      </c>
      <c r="U1162" s="20">
        <v>24694.98</v>
      </c>
      <c r="V1162" s="20">
        <v>-851.55</v>
      </c>
      <c r="W1162" s="20">
        <v>-1703.1</v>
      </c>
      <c r="X1162" s="20">
        <v>-851.55</v>
      </c>
      <c r="Y1162" s="20">
        <v>0</v>
      </c>
      <c r="Z1162" s="20">
        <v>0</v>
      </c>
      <c r="AA1162" s="20">
        <v>0</v>
      </c>
      <c r="AB1162" s="20">
        <v>23843.43</v>
      </c>
      <c r="AC1162" t="s">
        <v>183</v>
      </c>
      <c r="AD1162" t="s">
        <v>290</v>
      </c>
      <c r="AE1162" s="702">
        <f t="shared" si="90"/>
        <v>43983</v>
      </c>
      <c r="AF1162" s="289">
        <v>36875.843803323056</v>
      </c>
      <c r="AG1162">
        <f t="shared" si="91"/>
        <v>360</v>
      </c>
      <c r="AH1162" s="289">
        <f t="shared" si="92"/>
        <v>102.43289945367516</v>
      </c>
      <c r="AJ1162" s="289">
        <f t="shared" si="93"/>
        <v>30</v>
      </c>
      <c r="AK1162" s="289">
        <f t="shared" si="94"/>
        <v>3072.9869836102548</v>
      </c>
    </row>
    <row r="1163" spans="1:37">
      <c r="A1163" s="703" t="s">
        <v>2479</v>
      </c>
      <c r="B1163" s="703" t="s">
        <v>2311</v>
      </c>
      <c r="C1163" s="703" t="s">
        <v>332</v>
      </c>
      <c r="D1163" s="703" t="s">
        <v>334</v>
      </c>
      <c r="E1163" s="703" t="s">
        <v>334</v>
      </c>
      <c r="F1163" s="703" t="s">
        <v>335</v>
      </c>
      <c r="G1163" s="703" t="s">
        <v>2480</v>
      </c>
      <c r="H1163" s="703" t="s">
        <v>334</v>
      </c>
      <c r="I1163" s="703" t="s">
        <v>334</v>
      </c>
      <c r="J1163" s="703" t="s">
        <v>337</v>
      </c>
      <c r="K1163" s="704">
        <v>0</v>
      </c>
      <c r="L1163" s="703" t="s">
        <v>334</v>
      </c>
      <c r="M1163" s="702">
        <v>42886</v>
      </c>
      <c r="N1163" s="702">
        <v>44187</v>
      </c>
      <c r="O1163" s="703" t="s">
        <v>338</v>
      </c>
      <c r="P1163" s="20">
        <v>28514.97</v>
      </c>
      <c r="Q1163" s="20">
        <v>0</v>
      </c>
      <c r="R1163" s="20">
        <v>0</v>
      </c>
      <c r="S1163" s="20">
        <v>0</v>
      </c>
      <c r="T1163" s="20">
        <v>28514.97</v>
      </c>
      <c r="U1163" s="20">
        <v>27564.47</v>
      </c>
      <c r="V1163" s="20">
        <v>-950.5</v>
      </c>
      <c r="W1163" s="20">
        <v>-1901</v>
      </c>
      <c r="X1163" s="20">
        <v>-950.5</v>
      </c>
      <c r="Y1163" s="20">
        <v>0</v>
      </c>
      <c r="Z1163" s="20">
        <v>0</v>
      </c>
      <c r="AA1163" s="20">
        <v>0</v>
      </c>
      <c r="AB1163" s="20">
        <v>26613.97</v>
      </c>
      <c r="AC1163" t="s">
        <v>183</v>
      </c>
      <c r="AD1163" t="s">
        <v>290</v>
      </c>
      <c r="AE1163" s="702">
        <f t="shared" si="90"/>
        <v>43983</v>
      </c>
      <c r="AF1163" s="289">
        <v>41160.72044917423</v>
      </c>
      <c r="AG1163">
        <f t="shared" si="91"/>
        <v>360</v>
      </c>
      <c r="AH1163" s="289">
        <f t="shared" si="92"/>
        <v>114.33533458103953</v>
      </c>
      <c r="AJ1163" s="289">
        <f t="shared" si="93"/>
        <v>30</v>
      </c>
      <c r="AK1163" s="289">
        <f t="shared" si="94"/>
        <v>3430.0600374311862</v>
      </c>
    </row>
    <row r="1164" spans="1:37">
      <c r="A1164" s="703" t="s">
        <v>2481</v>
      </c>
      <c r="B1164" s="703" t="s">
        <v>2311</v>
      </c>
      <c r="C1164" s="703" t="s">
        <v>332</v>
      </c>
      <c r="D1164" s="703" t="s">
        <v>334</v>
      </c>
      <c r="E1164" s="703" t="s">
        <v>334</v>
      </c>
      <c r="F1164" s="703" t="s">
        <v>335</v>
      </c>
      <c r="G1164" s="703" t="s">
        <v>2482</v>
      </c>
      <c r="H1164" s="703" t="s">
        <v>334</v>
      </c>
      <c r="I1164" s="703" t="s">
        <v>334</v>
      </c>
      <c r="J1164" s="703" t="s">
        <v>337</v>
      </c>
      <c r="K1164" s="704">
        <v>0</v>
      </c>
      <c r="L1164" s="703" t="s">
        <v>334</v>
      </c>
      <c r="M1164" s="702">
        <v>42886</v>
      </c>
      <c r="N1164" s="702">
        <v>44187</v>
      </c>
      <c r="O1164" s="703" t="s">
        <v>338</v>
      </c>
      <c r="P1164" s="20">
        <v>16408.439999999999</v>
      </c>
      <c r="Q1164" s="20">
        <v>0</v>
      </c>
      <c r="R1164" s="20">
        <v>0</v>
      </c>
      <c r="S1164" s="20">
        <v>0</v>
      </c>
      <c r="T1164" s="20">
        <v>16408.439999999999</v>
      </c>
      <c r="U1164" s="20">
        <v>15861.49</v>
      </c>
      <c r="V1164" s="20">
        <v>-546.95000000000005</v>
      </c>
      <c r="W1164" s="20">
        <v>-1093.9000000000001</v>
      </c>
      <c r="X1164" s="20">
        <v>-546.95000000000005</v>
      </c>
      <c r="Y1164" s="20">
        <v>0</v>
      </c>
      <c r="Z1164" s="20">
        <v>0</v>
      </c>
      <c r="AA1164" s="20">
        <v>0</v>
      </c>
      <c r="AB1164" s="20">
        <v>15314.54</v>
      </c>
      <c r="AC1164" t="s">
        <v>183</v>
      </c>
      <c r="AD1164" t="s">
        <v>290</v>
      </c>
      <c r="AE1164" s="702">
        <f t="shared" si="90"/>
        <v>43983</v>
      </c>
      <c r="AF1164" s="289">
        <v>23685.215584903239</v>
      </c>
      <c r="AG1164">
        <f t="shared" si="91"/>
        <v>360</v>
      </c>
      <c r="AH1164" s="289">
        <f t="shared" si="92"/>
        <v>65.792265513620109</v>
      </c>
      <c r="AJ1164" s="289">
        <f t="shared" si="93"/>
        <v>30</v>
      </c>
      <c r="AK1164" s="289">
        <f t="shared" si="94"/>
        <v>1973.7679654086032</v>
      </c>
    </row>
    <row r="1165" spans="1:37">
      <c r="A1165" s="703" t="s">
        <v>2483</v>
      </c>
      <c r="B1165" s="703" t="s">
        <v>2311</v>
      </c>
      <c r="C1165" s="703" t="s">
        <v>332</v>
      </c>
      <c r="D1165" s="703" t="s">
        <v>334</v>
      </c>
      <c r="E1165" s="703" t="s">
        <v>334</v>
      </c>
      <c r="F1165" s="703" t="s">
        <v>335</v>
      </c>
      <c r="G1165" s="703" t="s">
        <v>2484</v>
      </c>
      <c r="H1165" s="703" t="s">
        <v>334</v>
      </c>
      <c r="I1165" s="703" t="s">
        <v>334</v>
      </c>
      <c r="J1165" s="703" t="s">
        <v>337</v>
      </c>
      <c r="K1165" s="704">
        <v>0</v>
      </c>
      <c r="L1165" s="703" t="s">
        <v>334</v>
      </c>
      <c r="M1165" s="702">
        <v>42886</v>
      </c>
      <c r="N1165" s="702">
        <v>44187</v>
      </c>
      <c r="O1165" s="703" t="s">
        <v>338</v>
      </c>
      <c r="P1165" s="20">
        <v>9043.2999999999993</v>
      </c>
      <c r="Q1165" s="20">
        <v>0</v>
      </c>
      <c r="R1165" s="20">
        <v>0</v>
      </c>
      <c r="S1165" s="20">
        <v>0</v>
      </c>
      <c r="T1165" s="20">
        <v>9043.2999999999993</v>
      </c>
      <c r="U1165" s="20">
        <v>8741.86</v>
      </c>
      <c r="V1165" s="20">
        <v>-301.44</v>
      </c>
      <c r="W1165" s="20">
        <v>-602.88</v>
      </c>
      <c r="X1165" s="20">
        <v>-301.44</v>
      </c>
      <c r="Y1165" s="20">
        <v>0</v>
      </c>
      <c r="Z1165" s="20">
        <v>0</v>
      </c>
      <c r="AA1165" s="20">
        <v>0</v>
      </c>
      <c r="AB1165" s="20">
        <v>8440.42</v>
      </c>
      <c r="AC1165" t="s">
        <v>183</v>
      </c>
      <c r="AD1165" t="s">
        <v>290</v>
      </c>
      <c r="AE1165" s="702">
        <f t="shared" si="90"/>
        <v>43983</v>
      </c>
      <c r="AF1165" s="289">
        <v>13053.800976750712</v>
      </c>
      <c r="AG1165">
        <f t="shared" si="91"/>
        <v>360</v>
      </c>
      <c r="AH1165" s="289">
        <f t="shared" si="92"/>
        <v>36.260558268751979</v>
      </c>
      <c r="AJ1165" s="289">
        <f t="shared" si="93"/>
        <v>30</v>
      </c>
      <c r="AK1165" s="289">
        <f t="shared" si="94"/>
        <v>1087.8167480625593</v>
      </c>
    </row>
    <row r="1166" spans="1:37">
      <c r="A1166" s="703" t="s">
        <v>2485</v>
      </c>
      <c r="B1166" s="703" t="s">
        <v>2311</v>
      </c>
      <c r="C1166" s="703" t="s">
        <v>332</v>
      </c>
      <c r="D1166" s="703" t="s">
        <v>334</v>
      </c>
      <c r="E1166" s="703" t="s">
        <v>334</v>
      </c>
      <c r="F1166" s="703" t="s">
        <v>335</v>
      </c>
      <c r="G1166" s="703" t="s">
        <v>2486</v>
      </c>
      <c r="H1166" s="703" t="s">
        <v>334</v>
      </c>
      <c r="I1166" s="703" t="s">
        <v>334</v>
      </c>
      <c r="J1166" s="703" t="s">
        <v>337</v>
      </c>
      <c r="K1166" s="704">
        <v>0</v>
      </c>
      <c r="L1166" s="703" t="s">
        <v>334</v>
      </c>
      <c r="M1166" s="702">
        <v>42886</v>
      </c>
      <c r="N1166" s="702">
        <v>44187</v>
      </c>
      <c r="O1166" s="703" t="s">
        <v>338</v>
      </c>
      <c r="P1166" s="20">
        <v>34859.85</v>
      </c>
      <c r="Q1166" s="20">
        <v>0</v>
      </c>
      <c r="R1166" s="20">
        <v>0</v>
      </c>
      <c r="S1166" s="20">
        <v>0</v>
      </c>
      <c r="T1166" s="20">
        <v>34859.85</v>
      </c>
      <c r="U1166" s="20">
        <v>33697.85</v>
      </c>
      <c r="V1166" s="20">
        <v>-1162</v>
      </c>
      <c r="W1166" s="20">
        <v>-2324</v>
      </c>
      <c r="X1166" s="20">
        <v>-1162</v>
      </c>
      <c r="Y1166" s="20">
        <v>0</v>
      </c>
      <c r="Z1166" s="20">
        <v>0</v>
      </c>
      <c r="AA1166" s="20">
        <v>0</v>
      </c>
      <c r="AB1166" s="20">
        <v>32535.85</v>
      </c>
      <c r="AC1166" t="s">
        <v>183</v>
      </c>
      <c r="AD1166" t="s">
        <v>290</v>
      </c>
      <c r="AE1166" s="702">
        <f t="shared" si="90"/>
        <v>43983</v>
      </c>
      <c r="AF1166" s="289">
        <v>50319.412601526361</v>
      </c>
      <c r="AG1166">
        <f t="shared" si="91"/>
        <v>360</v>
      </c>
      <c r="AH1166" s="289">
        <f t="shared" si="92"/>
        <v>139.776146115351</v>
      </c>
      <c r="AJ1166" s="289">
        <f t="shared" si="93"/>
        <v>30</v>
      </c>
      <c r="AK1166" s="289">
        <f t="shared" si="94"/>
        <v>4193.2843834605301</v>
      </c>
    </row>
    <row r="1167" spans="1:37">
      <c r="A1167" s="703" t="s">
        <v>2487</v>
      </c>
      <c r="B1167" s="703" t="s">
        <v>2311</v>
      </c>
      <c r="C1167" s="703" t="s">
        <v>332</v>
      </c>
      <c r="D1167" s="703" t="s">
        <v>334</v>
      </c>
      <c r="E1167" s="703" t="s">
        <v>334</v>
      </c>
      <c r="F1167" s="703" t="s">
        <v>335</v>
      </c>
      <c r="G1167" s="703" t="s">
        <v>2488</v>
      </c>
      <c r="H1167" s="703" t="s">
        <v>334</v>
      </c>
      <c r="I1167" s="703" t="s">
        <v>334</v>
      </c>
      <c r="J1167" s="703" t="s">
        <v>337</v>
      </c>
      <c r="K1167" s="704">
        <v>0</v>
      </c>
      <c r="L1167" s="703" t="s">
        <v>334</v>
      </c>
      <c r="M1167" s="702">
        <v>42886</v>
      </c>
      <c r="N1167" s="702">
        <v>44187</v>
      </c>
      <c r="O1167" s="703" t="s">
        <v>338</v>
      </c>
      <c r="P1167" s="20">
        <v>21940</v>
      </c>
      <c r="Q1167" s="20">
        <v>0</v>
      </c>
      <c r="R1167" s="20">
        <v>0</v>
      </c>
      <c r="S1167" s="20">
        <v>0</v>
      </c>
      <c r="T1167" s="20">
        <v>21940</v>
      </c>
      <c r="U1167" s="20">
        <v>21208.67</v>
      </c>
      <c r="V1167" s="20">
        <v>-731.33</v>
      </c>
      <c r="W1167" s="20">
        <v>-1462.66</v>
      </c>
      <c r="X1167" s="20">
        <v>-731.33</v>
      </c>
      <c r="Y1167" s="20">
        <v>0</v>
      </c>
      <c r="Z1167" s="20">
        <v>0</v>
      </c>
      <c r="AA1167" s="20">
        <v>0</v>
      </c>
      <c r="AB1167" s="20">
        <v>20477.34</v>
      </c>
      <c r="AC1167" t="s">
        <v>183</v>
      </c>
      <c r="AD1167" t="s">
        <v>290</v>
      </c>
      <c r="AE1167" s="702">
        <f t="shared" si="90"/>
        <v>43983</v>
      </c>
      <c r="AF1167" s="289">
        <v>31669.898535922799</v>
      </c>
      <c r="AG1167">
        <f t="shared" si="91"/>
        <v>360</v>
      </c>
      <c r="AH1167" s="289">
        <f t="shared" si="92"/>
        <v>87.971940377563328</v>
      </c>
      <c r="AJ1167" s="289">
        <f t="shared" si="93"/>
        <v>30</v>
      </c>
      <c r="AK1167" s="289">
        <f t="shared" si="94"/>
        <v>2639.1582113268996</v>
      </c>
    </row>
    <row r="1168" spans="1:37">
      <c r="A1168" s="703" t="s">
        <v>2489</v>
      </c>
      <c r="B1168" s="703" t="s">
        <v>2311</v>
      </c>
      <c r="C1168" s="703" t="s">
        <v>332</v>
      </c>
      <c r="D1168" s="703" t="s">
        <v>334</v>
      </c>
      <c r="E1168" s="703" t="s">
        <v>334</v>
      </c>
      <c r="F1168" s="703" t="s">
        <v>335</v>
      </c>
      <c r="G1168" s="703" t="s">
        <v>2490</v>
      </c>
      <c r="H1168" s="703" t="s">
        <v>334</v>
      </c>
      <c r="I1168" s="703" t="s">
        <v>334</v>
      </c>
      <c r="J1168" s="703" t="s">
        <v>337</v>
      </c>
      <c r="K1168" s="704">
        <v>0</v>
      </c>
      <c r="L1168" s="703" t="s">
        <v>334</v>
      </c>
      <c r="M1168" s="702">
        <v>42886</v>
      </c>
      <c r="N1168" s="702">
        <v>44187</v>
      </c>
      <c r="O1168" s="703" t="s">
        <v>338</v>
      </c>
      <c r="P1168" s="20">
        <v>43387.02</v>
      </c>
      <c r="Q1168" s="20">
        <v>0</v>
      </c>
      <c r="R1168" s="20">
        <v>0</v>
      </c>
      <c r="S1168" s="20">
        <v>0</v>
      </c>
      <c r="T1168" s="20">
        <v>43387.02</v>
      </c>
      <c r="U1168" s="20">
        <v>41940.79</v>
      </c>
      <c r="V1168" s="20">
        <v>-1446.23</v>
      </c>
      <c r="W1168" s="20">
        <v>-2892.46</v>
      </c>
      <c r="X1168" s="20">
        <v>-1446.23</v>
      </c>
      <c r="Y1168" s="20">
        <v>0</v>
      </c>
      <c r="Z1168" s="20">
        <v>0</v>
      </c>
      <c r="AA1168" s="20">
        <v>0</v>
      </c>
      <c r="AB1168" s="20">
        <v>40494.559999999998</v>
      </c>
      <c r="AC1168" t="s">
        <v>183</v>
      </c>
      <c r="AD1168" t="s">
        <v>290</v>
      </c>
      <c r="AE1168" s="702">
        <f t="shared" si="90"/>
        <v>43983</v>
      </c>
      <c r="AF1168" s="289">
        <v>62628.191484779076</v>
      </c>
      <c r="AG1168">
        <f t="shared" si="91"/>
        <v>360</v>
      </c>
      <c r="AH1168" s="289">
        <f t="shared" si="92"/>
        <v>173.96719856883075</v>
      </c>
      <c r="AJ1168" s="289">
        <f t="shared" si="93"/>
        <v>30</v>
      </c>
      <c r="AK1168" s="289">
        <f t="shared" si="94"/>
        <v>5219.015957064923</v>
      </c>
    </row>
    <row r="1169" spans="1:37">
      <c r="A1169" s="703" t="s">
        <v>2491</v>
      </c>
      <c r="B1169" s="703" t="s">
        <v>2311</v>
      </c>
      <c r="C1169" s="703" t="s">
        <v>332</v>
      </c>
      <c r="D1169" s="703" t="s">
        <v>334</v>
      </c>
      <c r="E1169" s="703" t="s">
        <v>334</v>
      </c>
      <c r="F1169" s="703" t="s">
        <v>335</v>
      </c>
      <c r="G1169" s="703" t="s">
        <v>2492</v>
      </c>
      <c r="H1169" s="703" t="s">
        <v>334</v>
      </c>
      <c r="I1169" s="703" t="s">
        <v>334</v>
      </c>
      <c r="J1169" s="703" t="s">
        <v>337</v>
      </c>
      <c r="K1169" s="704">
        <v>0</v>
      </c>
      <c r="L1169" s="703" t="s">
        <v>334</v>
      </c>
      <c r="M1169" s="702">
        <v>42886</v>
      </c>
      <c r="N1169" s="702">
        <v>44187</v>
      </c>
      <c r="O1169" s="703" t="s">
        <v>338</v>
      </c>
      <c r="P1169" s="20">
        <v>33219.449999999997</v>
      </c>
      <c r="Q1169" s="20">
        <v>0</v>
      </c>
      <c r="R1169" s="20">
        <v>0</v>
      </c>
      <c r="S1169" s="20">
        <v>0</v>
      </c>
      <c r="T1169" s="20">
        <v>33219.449999999997</v>
      </c>
      <c r="U1169" s="20">
        <v>32112.13</v>
      </c>
      <c r="V1169" s="20">
        <v>-1107.32</v>
      </c>
      <c r="W1169" s="20">
        <v>-2214.64</v>
      </c>
      <c r="X1169" s="20">
        <v>-1107.32</v>
      </c>
      <c r="Y1169" s="20">
        <v>0</v>
      </c>
      <c r="Z1169" s="20">
        <v>0</v>
      </c>
      <c r="AA1169" s="20">
        <v>0</v>
      </c>
      <c r="AB1169" s="20">
        <v>31004.81</v>
      </c>
      <c r="AC1169" t="s">
        <v>183</v>
      </c>
      <c r="AD1169" t="s">
        <v>290</v>
      </c>
      <c r="AE1169" s="702">
        <f t="shared" si="90"/>
        <v>43983</v>
      </c>
      <c r="AF1169" s="289">
        <v>47951.531947090276</v>
      </c>
      <c r="AG1169">
        <f t="shared" si="91"/>
        <v>360</v>
      </c>
      <c r="AH1169" s="289">
        <f t="shared" si="92"/>
        <v>133.19869985302856</v>
      </c>
      <c r="AJ1169" s="289">
        <f t="shared" si="93"/>
        <v>30</v>
      </c>
      <c r="AK1169" s="289">
        <f t="shared" si="94"/>
        <v>3995.9609955908568</v>
      </c>
    </row>
    <row r="1170" spans="1:37">
      <c r="A1170" s="703" t="s">
        <v>2493</v>
      </c>
      <c r="B1170" s="703" t="s">
        <v>2311</v>
      </c>
      <c r="C1170" s="703" t="s">
        <v>332</v>
      </c>
      <c r="D1170" s="703" t="s">
        <v>334</v>
      </c>
      <c r="E1170" s="703" t="s">
        <v>334</v>
      </c>
      <c r="F1170" s="703" t="s">
        <v>335</v>
      </c>
      <c r="G1170" s="703" t="s">
        <v>2494</v>
      </c>
      <c r="H1170" s="703" t="s">
        <v>334</v>
      </c>
      <c r="I1170" s="703" t="s">
        <v>334</v>
      </c>
      <c r="J1170" s="703" t="s">
        <v>337</v>
      </c>
      <c r="K1170" s="704">
        <v>0</v>
      </c>
      <c r="L1170" s="703" t="s">
        <v>334</v>
      </c>
      <c r="M1170" s="702">
        <v>42886</v>
      </c>
      <c r="N1170" s="702">
        <v>44187</v>
      </c>
      <c r="O1170" s="703" t="s">
        <v>338</v>
      </c>
      <c r="P1170" s="20">
        <v>63684.3</v>
      </c>
      <c r="Q1170" s="20">
        <v>0</v>
      </c>
      <c r="R1170" s="20">
        <v>0</v>
      </c>
      <c r="S1170" s="20">
        <v>0</v>
      </c>
      <c r="T1170" s="20">
        <v>63684.3</v>
      </c>
      <c r="U1170" s="20">
        <v>61561.49</v>
      </c>
      <c r="V1170" s="20">
        <v>-2122.81</v>
      </c>
      <c r="W1170" s="20">
        <v>-4245.62</v>
      </c>
      <c r="X1170" s="20">
        <v>-2122.81</v>
      </c>
      <c r="Y1170" s="20">
        <v>0</v>
      </c>
      <c r="Z1170" s="20">
        <v>0</v>
      </c>
      <c r="AA1170" s="20">
        <v>0</v>
      </c>
      <c r="AB1170" s="20">
        <v>59438.68</v>
      </c>
      <c r="AC1170" t="s">
        <v>183</v>
      </c>
      <c r="AD1170" t="s">
        <v>290</v>
      </c>
      <c r="AE1170" s="702">
        <f t="shared" si="90"/>
        <v>43983</v>
      </c>
      <c r="AF1170" s="289">
        <v>91926.860498234659</v>
      </c>
      <c r="AG1170">
        <f t="shared" si="91"/>
        <v>360</v>
      </c>
      <c r="AH1170" s="289">
        <f t="shared" si="92"/>
        <v>255.35239027287406</v>
      </c>
      <c r="AJ1170" s="289">
        <f t="shared" si="93"/>
        <v>30</v>
      </c>
      <c r="AK1170" s="289">
        <f t="shared" si="94"/>
        <v>7660.5717081862222</v>
      </c>
    </row>
    <row r="1171" spans="1:37">
      <c r="A1171" s="703" t="s">
        <v>2495</v>
      </c>
      <c r="B1171" s="703" t="s">
        <v>2311</v>
      </c>
      <c r="C1171" s="703" t="s">
        <v>332</v>
      </c>
      <c r="D1171" s="703" t="s">
        <v>334</v>
      </c>
      <c r="E1171" s="703" t="s">
        <v>334</v>
      </c>
      <c r="F1171" s="703" t="s">
        <v>335</v>
      </c>
      <c r="G1171" s="703" t="s">
        <v>2496</v>
      </c>
      <c r="H1171" s="703" t="s">
        <v>334</v>
      </c>
      <c r="I1171" s="703" t="s">
        <v>334</v>
      </c>
      <c r="J1171" s="703" t="s">
        <v>337</v>
      </c>
      <c r="K1171" s="704">
        <v>0</v>
      </c>
      <c r="L1171" s="703" t="s">
        <v>334</v>
      </c>
      <c r="M1171" s="702">
        <v>42886</v>
      </c>
      <c r="N1171" s="702">
        <v>44187</v>
      </c>
      <c r="O1171" s="703" t="s">
        <v>338</v>
      </c>
      <c r="P1171" s="20">
        <v>57237.48</v>
      </c>
      <c r="Q1171" s="20">
        <v>0</v>
      </c>
      <c r="R1171" s="20">
        <v>0</v>
      </c>
      <c r="S1171" s="20">
        <v>0</v>
      </c>
      <c r="T1171" s="20">
        <v>57237.48</v>
      </c>
      <c r="U1171" s="20">
        <v>55329.56</v>
      </c>
      <c r="V1171" s="20">
        <v>-1907.92</v>
      </c>
      <c r="W1171" s="20">
        <v>-3815.84</v>
      </c>
      <c r="X1171" s="20">
        <v>-1907.92</v>
      </c>
      <c r="Y1171" s="20">
        <v>0</v>
      </c>
      <c r="Z1171" s="20">
        <v>0</v>
      </c>
      <c r="AA1171" s="20">
        <v>0</v>
      </c>
      <c r="AB1171" s="20">
        <v>53421.64</v>
      </c>
      <c r="AC1171" t="s">
        <v>183</v>
      </c>
      <c r="AD1171" t="s">
        <v>290</v>
      </c>
      <c r="AE1171" s="702">
        <f t="shared" si="90"/>
        <v>43983</v>
      </c>
      <c r="AF1171" s="289">
        <v>82621.020239376056</v>
      </c>
      <c r="AG1171">
        <f t="shared" si="91"/>
        <v>360</v>
      </c>
      <c r="AH1171" s="289">
        <f t="shared" si="92"/>
        <v>229.50283399826682</v>
      </c>
      <c r="AJ1171" s="289">
        <f t="shared" si="93"/>
        <v>30</v>
      </c>
      <c r="AK1171" s="289">
        <f t="shared" si="94"/>
        <v>6885.0850199480046</v>
      </c>
    </row>
    <row r="1172" spans="1:37">
      <c r="A1172" s="703" t="s">
        <v>2497</v>
      </c>
      <c r="B1172" s="703" t="s">
        <v>2311</v>
      </c>
      <c r="C1172" s="703" t="s">
        <v>332</v>
      </c>
      <c r="D1172" s="703" t="s">
        <v>334</v>
      </c>
      <c r="E1172" s="703" t="s">
        <v>334</v>
      </c>
      <c r="F1172" s="703" t="s">
        <v>335</v>
      </c>
      <c r="G1172" s="703" t="s">
        <v>2498</v>
      </c>
      <c r="H1172" s="703" t="s">
        <v>334</v>
      </c>
      <c r="I1172" s="703" t="s">
        <v>334</v>
      </c>
      <c r="J1172" s="703" t="s">
        <v>337</v>
      </c>
      <c r="K1172" s="704">
        <v>0</v>
      </c>
      <c r="L1172" s="703" t="s">
        <v>334</v>
      </c>
      <c r="M1172" s="702">
        <v>42886</v>
      </c>
      <c r="N1172" s="702">
        <v>44187</v>
      </c>
      <c r="O1172" s="703" t="s">
        <v>338</v>
      </c>
      <c r="P1172" s="20">
        <v>15871.72</v>
      </c>
      <c r="Q1172" s="20">
        <v>0</v>
      </c>
      <c r="R1172" s="20">
        <v>0</v>
      </c>
      <c r="S1172" s="20">
        <v>0</v>
      </c>
      <c r="T1172" s="20">
        <v>15871.72</v>
      </c>
      <c r="U1172" s="20">
        <v>15342.66</v>
      </c>
      <c r="V1172" s="20">
        <v>-529.05999999999995</v>
      </c>
      <c r="W1172" s="20">
        <v>-1058.1199999999999</v>
      </c>
      <c r="X1172" s="20">
        <v>-529.05999999999995</v>
      </c>
      <c r="Y1172" s="20">
        <v>0</v>
      </c>
      <c r="Z1172" s="20">
        <v>0</v>
      </c>
      <c r="AA1172" s="20">
        <v>0</v>
      </c>
      <c r="AB1172" s="20">
        <v>14813.6</v>
      </c>
      <c r="AC1172" t="s">
        <v>183</v>
      </c>
      <c r="AD1172" t="s">
        <v>290</v>
      </c>
      <c r="AE1172" s="702">
        <f t="shared" si="90"/>
        <v>43983</v>
      </c>
      <c r="AF1172" s="289">
        <v>22910.472287628832</v>
      </c>
      <c r="AG1172">
        <f t="shared" si="91"/>
        <v>360</v>
      </c>
      <c r="AH1172" s="289">
        <f t="shared" si="92"/>
        <v>63.640200798968976</v>
      </c>
      <c r="AJ1172" s="289">
        <f t="shared" si="93"/>
        <v>30</v>
      </c>
      <c r="AK1172" s="289">
        <f t="shared" si="94"/>
        <v>1909.2060239690693</v>
      </c>
    </row>
    <row r="1173" spans="1:37">
      <c r="A1173" s="703" t="s">
        <v>2499</v>
      </c>
      <c r="B1173" s="703" t="s">
        <v>2311</v>
      </c>
      <c r="C1173" s="703" t="s">
        <v>332</v>
      </c>
      <c r="D1173" s="703" t="s">
        <v>334</v>
      </c>
      <c r="E1173" s="703" t="s">
        <v>334</v>
      </c>
      <c r="F1173" s="703" t="s">
        <v>335</v>
      </c>
      <c r="G1173" s="703" t="s">
        <v>2500</v>
      </c>
      <c r="H1173" s="703" t="s">
        <v>334</v>
      </c>
      <c r="I1173" s="703" t="s">
        <v>334</v>
      </c>
      <c r="J1173" s="703" t="s">
        <v>337</v>
      </c>
      <c r="K1173" s="704">
        <v>0</v>
      </c>
      <c r="L1173" s="703" t="s">
        <v>334</v>
      </c>
      <c r="M1173" s="702">
        <v>42886</v>
      </c>
      <c r="N1173" s="702">
        <v>44187</v>
      </c>
      <c r="O1173" s="703" t="s">
        <v>338</v>
      </c>
      <c r="P1173" s="20">
        <v>30160.32</v>
      </c>
      <c r="Q1173" s="20">
        <v>0</v>
      </c>
      <c r="R1173" s="20">
        <v>0</v>
      </c>
      <c r="S1173" s="20">
        <v>0</v>
      </c>
      <c r="T1173" s="20">
        <v>30160.32</v>
      </c>
      <c r="U1173" s="20">
        <v>29154.98</v>
      </c>
      <c r="V1173" s="20">
        <v>-1005.34</v>
      </c>
      <c r="W1173" s="20">
        <v>-2010.68</v>
      </c>
      <c r="X1173" s="20">
        <v>-1005.34</v>
      </c>
      <c r="Y1173" s="20">
        <v>0</v>
      </c>
      <c r="Z1173" s="20">
        <v>0</v>
      </c>
      <c r="AA1173" s="20">
        <v>0</v>
      </c>
      <c r="AB1173" s="20">
        <v>28149.64</v>
      </c>
      <c r="AC1173" t="s">
        <v>183</v>
      </c>
      <c r="AD1173" t="s">
        <v>290</v>
      </c>
      <c r="AE1173" s="702">
        <f t="shared" si="90"/>
        <v>43983</v>
      </c>
      <c r="AF1173" s="289">
        <v>43535.746317728488</v>
      </c>
      <c r="AG1173">
        <f t="shared" si="91"/>
        <v>360</v>
      </c>
      <c r="AH1173" s="289">
        <f t="shared" si="92"/>
        <v>120.93262866035691</v>
      </c>
      <c r="AJ1173" s="289">
        <f t="shared" si="93"/>
        <v>30</v>
      </c>
      <c r="AK1173" s="289">
        <f t="shared" si="94"/>
        <v>3627.9788598107075</v>
      </c>
    </row>
    <row r="1174" spans="1:37">
      <c r="A1174" s="703" t="s">
        <v>2501</v>
      </c>
      <c r="B1174" s="703" t="s">
        <v>2311</v>
      </c>
      <c r="C1174" s="703" t="s">
        <v>332</v>
      </c>
      <c r="D1174" s="703" t="s">
        <v>334</v>
      </c>
      <c r="E1174" s="703" t="s">
        <v>334</v>
      </c>
      <c r="F1174" s="703" t="s">
        <v>335</v>
      </c>
      <c r="G1174" s="703" t="s">
        <v>2502</v>
      </c>
      <c r="H1174" s="703" t="s">
        <v>334</v>
      </c>
      <c r="I1174" s="703" t="s">
        <v>334</v>
      </c>
      <c r="J1174" s="703" t="s">
        <v>337</v>
      </c>
      <c r="K1174" s="704">
        <v>0</v>
      </c>
      <c r="L1174" s="703" t="s">
        <v>334</v>
      </c>
      <c r="M1174" s="702">
        <v>43496</v>
      </c>
      <c r="N1174" s="702">
        <v>44187</v>
      </c>
      <c r="O1174" s="703" t="s">
        <v>338</v>
      </c>
      <c r="P1174" s="20">
        <v>216404.87</v>
      </c>
      <c r="Q1174" s="20">
        <v>0</v>
      </c>
      <c r="R1174" s="20">
        <v>0</v>
      </c>
      <c r="S1174" s="20">
        <v>0</v>
      </c>
      <c r="T1174" s="20">
        <v>216404.87</v>
      </c>
      <c r="U1174" s="20">
        <v>209191.37</v>
      </c>
      <c r="V1174" s="20">
        <v>-7213.5</v>
      </c>
      <c r="W1174" s="20">
        <v>-14427</v>
      </c>
      <c r="X1174" s="20">
        <v>-7213.5</v>
      </c>
      <c r="Y1174" s="20">
        <v>0</v>
      </c>
      <c r="Z1174" s="20">
        <v>0</v>
      </c>
      <c r="AA1174" s="20">
        <v>0</v>
      </c>
      <c r="AB1174" s="20">
        <v>201977.87</v>
      </c>
      <c r="AC1174" t="s">
        <v>183</v>
      </c>
      <c r="AD1174" t="s">
        <v>290</v>
      </c>
      <c r="AE1174" s="702">
        <f t="shared" si="90"/>
        <v>43983</v>
      </c>
      <c r="AF1174" s="289">
        <v>312375.58229624259</v>
      </c>
      <c r="AG1174">
        <f t="shared" si="91"/>
        <v>360</v>
      </c>
      <c r="AH1174" s="289">
        <f t="shared" si="92"/>
        <v>867.70995082289608</v>
      </c>
      <c r="AJ1174" s="289">
        <f t="shared" si="93"/>
        <v>30</v>
      </c>
      <c r="AK1174" s="289">
        <f t="shared" si="94"/>
        <v>26031.298524686881</v>
      </c>
    </row>
    <row r="1175" spans="1:37">
      <c r="A1175" s="703" t="s">
        <v>2503</v>
      </c>
      <c r="B1175" s="703" t="s">
        <v>2311</v>
      </c>
      <c r="C1175" s="703" t="s">
        <v>332</v>
      </c>
      <c r="D1175" s="703" t="s">
        <v>334</v>
      </c>
      <c r="E1175" s="703" t="s">
        <v>334</v>
      </c>
      <c r="F1175" s="703" t="s">
        <v>335</v>
      </c>
      <c r="G1175" s="703" t="s">
        <v>2504</v>
      </c>
      <c r="H1175" s="703" t="s">
        <v>334</v>
      </c>
      <c r="I1175" s="703" t="s">
        <v>334</v>
      </c>
      <c r="J1175" s="703" t="s">
        <v>337</v>
      </c>
      <c r="K1175" s="704">
        <v>0</v>
      </c>
      <c r="L1175" s="703" t="s">
        <v>334</v>
      </c>
      <c r="M1175" s="702">
        <v>43708</v>
      </c>
      <c r="N1175" s="702">
        <v>44187</v>
      </c>
      <c r="O1175" s="703" t="s">
        <v>338</v>
      </c>
      <c r="P1175" s="20">
        <v>105966.36</v>
      </c>
      <c r="Q1175" s="20">
        <v>0</v>
      </c>
      <c r="R1175" s="20">
        <v>0</v>
      </c>
      <c r="S1175" s="20">
        <v>0</v>
      </c>
      <c r="T1175" s="20">
        <v>105966.36</v>
      </c>
      <c r="U1175" s="20">
        <v>102434.15</v>
      </c>
      <c r="V1175" s="20">
        <v>-3532.21</v>
      </c>
      <c r="W1175" s="20">
        <v>-7064.42</v>
      </c>
      <c r="X1175" s="20">
        <v>-3532.21</v>
      </c>
      <c r="Y1175" s="20">
        <v>0</v>
      </c>
      <c r="Z1175" s="20">
        <v>0</v>
      </c>
      <c r="AA1175" s="20">
        <v>0</v>
      </c>
      <c r="AB1175" s="20">
        <v>98901.94</v>
      </c>
      <c r="AC1175" t="s">
        <v>183</v>
      </c>
      <c r="AD1175" t="s">
        <v>290</v>
      </c>
      <c r="AE1175" s="702">
        <f t="shared" si="90"/>
        <v>43983</v>
      </c>
      <c r="AF1175" s="289">
        <v>152960.06697452452</v>
      </c>
      <c r="AG1175">
        <f t="shared" si="91"/>
        <v>360</v>
      </c>
      <c r="AH1175" s="289">
        <f t="shared" si="92"/>
        <v>424.88907492923477</v>
      </c>
      <c r="AJ1175" s="289">
        <f t="shared" si="93"/>
        <v>30</v>
      </c>
      <c r="AK1175" s="289">
        <f t="shared" si="94"/>
        <v>12746.672247877043</v>
      </c>
    </row>
    <row r="1176" spans="1:37">
      <c r="A1176" s="703" t="s">
        <v>2505</v>
      </c>
      <c r="B1176" s="703" t="s">
        <v>2311</v>
      </c>
      <c r="C1176" s="703" t="s">
        <v>332</v>
      </c>
      <c r="D1176" s="703" t="s">
        <v>334</v>
      </c>
      <c r="E1176" s="703" t="s">
        <v>334</v>
      </c>
      <c r="F1176" s="703" t="s">
        <v>335</v>
      </c>
      <c r="G1176" s="703" t="s">
        <v>2506</v>
      </c>
      <c r="H1176" s="703" t="s">
        <v>334</v>
      </c>
      <c r="I1176" s="703" t="s">
        <v>334</v>
      </c>
      <c r="J1176" s="703" t="s">
        <v>337</v>
      </c>
      <c r="K1176" s="704">
        <v>0</v>
      </c>
      <c r="L1176" s="703" t="s">
        <v>334</v>
      </c>
      <c r="M1176" s="702">
        <v>43708</v>
      </c>
      <c r="N1176" s="702">
        <v>44187</v>
      </c>
      <c r="O1176" s="703" t="s">
        <v>338</v>
      </c>
      <c r="P1176" s="20">
        <v>1175.4000000000001</v>
      </c>
      <c r="Q1176" s="20">
        <v>0</v>
      </c>
      <c r="R1176" s="20">
        <v>0</v>
      </c>
      <c r="S1176" s="20">
        <v>0</v>
      </c>
      <c r="T1176" s="20">
        <v>1175.4000000000001</v>
      </c>
      <c r="U1176" s="20">
        <v>1136.22</v>
      </c>
      <c r="V1176" s="20">
        <v>-39.18</v>
      </c>
      <c r="W1176" s="20">
        <v>-78.36</v>
      </c>
      <c r="X1176" s="20">
        <v>-39.18</v>
      </c>
      <c r="Y1176" s="20">
        <v>0</v>
      </c>
      <c r="Z1176" s="20">
        <v>0</v>
      </c>
      <c r="AA1176" s="20">
        <v>0</v>
      </c>
      <c r="AB1176" s="20">
        <v>1097.04</v>
      </c>
      <c r="AC1176" t="s">
        <v>183</v>
      </c>
      <c r="AD1176" t="s">
        <v>290</v>
      </c>
      <c r="AE1176" s="702">
        <f t="shared" si="90"/>
        <v>43983</v>
      </c>
      <c r="AF1176" s="289">
        <v>1696.6635706072768</v>
      </c>
      <c r="AG1176">
        <f t="shared" si="91"/>
        <v>360</v>
      </c>
      <c r="AH1176" s="289">
        <f t="shared" si="92"/>
        <v>4.7129543627979915</v>
      </c>
      <c r="AJ1176" s="289">
        <f t="shared" si="93"/>
        <v>30</v>
      </c>
      <c r="AK1176" s="289">
        <f t="shared" si="94"/>
        <v>141.38863088393975</v>
      </c>
    </row>
    <row r="1177" spans="1:37">
      <c r="A1177" s="703" t="s">
        <v>2507</v>
      </c>
      <c r="B1177" s="703" t="s">
        <v>2311</v>
      </c>
      <c r="C1177" s="703" t="s">
        <v>332</v>
      </c>
      <c r="D1177" s="703" t="s">
        <v>334</v>
      </c>
      <c r="E1177" s="703" t="s">
        <v>334</v>
      </c>
      <c r="F1177" s="703" t="s">
        <v>335</v>
      </c>
      <c r="G1177" s="703" t="s">
        <v>2508</v>
      </c>
      <c r="H1177" s="703" t="s">
        <v>334</v>
      </c>
      <c r="I1177" s="703" t="s">
        <v>334</v>
      </c>
      <c r="J1177" s="703" t="s">
        <v>337</v>
      </c>
      <c r="K1177" s="704">
        <v>0</v>
      </c>
      <c r="L1177" s="703" t="s">
        <v>334</v>
      </c>
      <c r="M1177" s="702">
        <v>43708</v>
      </c>
      <c r="N1177" s="702">
        <v>44187</v>
      </c>
      <c r="O1177" s="703" t="s">
        <v>338</v>
      </c>
      <c r="P1177" s="20">
        <v>92532.62</v>
      </c>
      <c r="Q1177" s="20">
        <v>0</v>
      </c>
      <c r="R1177" s="20">
        <v>0</v>
      </c>
      <c r="S1177" s="20">
        <v>0</v>
      </c>
      <c r="T1177" s="20">
        <v>92532.62</v>
      </c>
      <c r="U1177" s="20">
        <v>89448.2</v>
      </c>
      <c r="V1177" s="20">
        <v>-3084.42</v>
      </c>
      <c r="W1177" s="20">
        <v>-6168.84</v>
      </c>
      <c r="X1177" s="20">
        <v>-3084.42</v>
      </c>
      <c r="Y1177" s="20">
        <v>0</v>
      </c>
      <c r="Z1177" s="20">
        <v>0</v>
      </c>
      <c r="AA1177" s="20">
        <v>0</v>
      </c>
      <c r="AB1177" s="20">
        <v>86363.78</v>
      </c>
      <c r="AC1177" t="s">
        <v>183</v>
      </c>
      <c r="AD1177" t="s">
        <v>290</v>
      </c>
      <c r="AE1177" s="702">
        <f t="shared" si="90"/>
        <v>43983</v>
      </c>
      <c r="AF1177" s="289">
        <v>133568.76420524615</v>
      </c>
      <c r="AG1177">
        <f t="shared" si="91"/>
        <v>360</v>
      </c>
      <c r="AH1177" s="289">
        <f t="shared" si="92"/>
        <v>371.02434501457265</v>
      </c>
      <c r="AJ1177" s="289">
        <f t="shared" si="93"/>
        <v>30</v>
      </c>
      <c r="AK1177" s="289">
        <f t="shared" si="94"/>
        <v>11130.730350437179</v>
      </c>
    </row>
    <row r="1178" spans="1:37">
      <c r="A1178" s="703" t="s">
        <v>2509</v>
      </c>
      <c r="B1178" s="703" t="s">
        <v>2311</v>
      </c>
      <c r="C1178" s="703" t="s">
        <v>332</v>
      </c>
      <c r="D1178" s="703" t="s">
        <v>334</v>
      </c>
      <c r="E1178" s="703" t="s">
        <v>334</v>
      </c>
      <c r="F1178" s="703" t="s">
        <v>335</v>
      </c>
      <c r="G1178" s="703" t="s">
        <v>2510</v>
      </c>
      <c r="H1178" s="703" t="s">
        <v>334</v>
      </c>
      <c r="I1178" s="703" t="s">
        <v>334</v>
      </c>
      <c r="J1178" s="703" t="s">
        <v>337</v>
      </c>
      <c r="K1178" s="704">
        <v>0</v>
      </c>
      <c r="L1178" s="703" t="s">
        <v>334</v>
      </c>
      <c r="M1178" s="702">
        <v>43708</v>
      </c>
      <c r="N1178" s="702">
        <v>44187</v>
      </c>
      <c r="O1178" s="703" t="s">
        <v>338</v>
      </c>
      <c r="P1178" s="20">
        <v>101643.03</v>
      </c>
      <c r="Q1178" s="20">
        <v>0</v>
      </c>
      <c r="R1178" s="20">
        <v>0</v>
      </c>
      <c r="S1178" s="20">
        <v>0</v>
      </c>
      <c r="T1178" s="20">
        <v>101643.03</v>
      </c>
      <c r="U1178" s="20">
        <v>98254.93</v>
      </c>
      <c r="V1178" s="20">
        <v>-3388.1</v>
      </c>
      <c r="W1178" s="20">
        <v>-6776.2</v>
      </c>
      <c r="X1178" s="20">
        <v>-3388.1</v>
      </c>
      <c r="Y1178" s="20">
        <v>0</v>
      </c>
      <c r="Z1178" s="20">
        <v>0</v>
      </c>
      <c r="AA1178" s="20">
        <v>0</v>
      </c>
      <c r="AB1178" s="20">
        <v>94866.83</v>
      </c>
      <c r="AC1178" t="s">
        <v>183</v>
      </c>
      <c r="AD1178" t="s">
        <v>290</v>
      </c>
      <c r="AE1178" s="702">
        <f t="shared" si="90"/>
        <v>43983</v>
      </c>
      <c r="AF1178" s="289">
        <v>146719.43696370814</v>
      </c>
      <c r="AG1178">
        <f t="shared" si="91"/>
        <v>360</v>
      </c>
      <c r="AH1178" s="289">
        <f t="shared" si="92"/>
        <v>407.55399156585594</v>
      </c>
      <c r="AJ1178" s="289">
        <f t="shared" si="93"/>
        <v>30</v>
      </c>
      <c r="AK1178" s="289">
        <f t="shared" si="94"/>
        <v>12226.619746975679</v>
      </c>
    </row>
    <row r="1179" spans="1:37">
      <c r="A1179" s="703" t="s">
        <v>2511</v>
      </c>
      <c r="B1179" s="703" t="s">
        <v>2311</v>
      </c>
      <c r="C1179" s="703" t="s">
        <v>332</v>
      </c>
      <c r="D1179" s="703" t="s">
        <v>334</v>
      </c>
      <c r="E1179" s="703" t="s">
        <v>334</v>
      </c>
      <c r="F1179" s="703" t="s">
        <v>335</v>
      </c>
      <c r="G1179" s="703" t="s">
        <v>2512</v>
      </c>
      <c r="H1179" s="703" t="s">
        <v>334</v>
      </c>
      <c r="I1179" s="703" t="s">
        <v>334</v>
      </c>
      <c r="J1179" s="703" t="s">
        <v>337</v>
      </c>
      <c r="K1179" s="704">
        <v>0</v>
      </c>
      <c r="L1179" s="703" t="s">
        <v>334</v>
      </c>
      <c r="M1179" s="702">
        <v>43708</v>
      </c>
      <c r="N1179" s="702">
        <v>44187</v>
      </c>
      <c r="O1179" s="703" t="s">
        <v>338</v>
      </c>
      <c r="P1179" s="20">
        <v>131194.48000000001</v>
      </c>
      <c r="Q1179" s="20">
        <v>0</v>
      </c>
      <c r="R1179" s="20">
        <v>0</v>
      </c>
      <c r="S1179" s="20">
        <v>0</v>
      </c>
      <c r="T1179" s="20">
        <v>131194.48000000001</v>
      </c>
      <c r="U1179" s="20">
        <v>126821.33</v>
      </c>
      <c r="V1179" s="20">
        <v>-4373.1499999999996</v>
      </c>
      <c r="W1179" s="20">
        <v>-8746.2999999999993</v>
      </c>
      <c r="X1179" s="20">
        <v>-4373.1499999999996</v>
      </c>
      <c r="Y1179" s="20">
        <v>0</v>
      </c>
      <c r="Z1179" s="20">
        <v>0</v>
      </c>
      <c r="AA1179" s="20">
        <v>0</v>
      </c>
      <c r="AB1179" s="20">
        <v>122448.18</v>
      </c>
      <c r="AC1179" t="s">
        <v>183</v>
      </c>
      <c r="AD1179" t="s">
        <v>290</v>
      </c>
      <c r="AE1179" s="702">
        <f t="shared" si="90"/>
        <v>43983</v>
      </c>
      <c r="AF1179" s="289">
        <v>189376.29307534883</v>
      </c>
      <c r="AG1179">
        <f t="shared" si="91"/>
        <v>360</v>
      </c>
      <c r="AH1179" s="289">
        <f t="shared" si="92"/>
        <v>526.04525854263568</v>
      </c>
      <c r="AJ1179" s="289">
        <f t="shared" si="93"/>
        <v>30</v>
      </c>
      <c r="AK1179" s="289">
        <f t="shared" si="94"/>
        <v>15781.357756279071</v>
      </c>
    </row>
    <row r="1180" spans="1:37">
      <c r="A1180" s="703" t="s">
        <v>2513</v>
      </c>
      <c r="B1180" s="703" t="s">
        <v>2311</v>
      </c>
      <c r="C1180" s="703" t="s">
        <v>332</v>
      </c>
      <c r="D1180" s="703" t="s">
        <v>334</v>
      </c>
      <c r="E1180" s="703" t="s">
        <v>334</v>
      </c>
      <c r="F1180" s="703" t="s">
        <v>335</v>
      </c>
      <c r="G1180" s="703" t="s">
        <v>2514</v>
      </c>
      <c r="H1180" s="703" t="s">
        <v>334</v>
      </c>
      <c r="I1180" s="703" t="s">
        <v>334</v>
      </c>
      <c r="J1180" s="703" t="s">
        <v>337</v>
      </c>
      <c r="K1180" s="704">
        <v>0</v>
      </c>
      <c r="L1180" s="703" t="s">
        <v>334</v>
      </c>
      <c r="M1180" s="702">
        <v>43708</v>
      </c>
      <c r="N1180" s="702">
        <v>44187</v>
      </c>
      <c r="O1180" s="703" t="s">
        <v>338</v>
      </c>
      <c r="P1180" s="20">
        <v>137817.62</v>
      </c>
      <c r="Q1180" s="20">
        <v>0</v>
      </c>
      <c r="R1180" s="20">
        <v>0</v>
      </c>
      <c r="S1180" s="20">
        <v>0</v>
      </c>
      <c r="T1180" s="20">
        <v>137817.62</v>
      </c>
      <c r="U1180" s="20">
        <v>133223.70000000001</v>
      </c>
      <c r="V1180" s="20">
        <v>-4593.92</v>
      </c>
      <c r="W1180" s="20">
        <v>-9187.84</v>
      </c>
      <c r="X1180" s="20">
        <v>-4593.92</v>
      </c>
      <c r="Y1180" s="20">
        <v>0</v>
      </c>
      <c r="Z1180" s="20">
        <v>0</v>
      </c>
      <c r="AA1180" s="20">
        <v>0</v>
      </c>
      <c r="AB1180" s="20">
        <v>128629.78</v>
      </c>
      <c r="AC1180" t="s">
        <v>183</v>
      </c>
      <c r="AD1180" t="s">
        <v>290</v>
      </c>
      <c r="AE1180" s="702">
        <f t="shared" si="90"/>
        <v>43983</v>
      </c>
      <c r="AF1180" s="289">
        <v>198936.64730457449</v>
      </c>
      <c r="AG1180">
        <f t="shared" si="91"/>
        <v>360</v>
      </c>
      <c r="AH1180" s="289">
        <f t="shared" si="92"/>
        <v>552.6017980682625</v>
      </c>
      <c r="AJ1180" s="289">
        <f t="shared" si="93"/>
        <v>30</v>
      </c>
      <c r="AK1180" s="289">
        <f t="shared" si="94"/>
        <v>16578.053942047874</v>
      </c>
    </row>
    <row r="1181" spans="1:37">
      <c r="A1181" s="703" t="s">
        <v>2515</v>
      </c>
      <c r="B1181" s="703" t="s">
        <v>2311</v>
      </c>
      <c r="C1181" s="703" t="s">
        <v>332</v>
      </c>
      <c r="D1181" s="703" t="s">
        <v>334</v>
      </c>
      <c r="E1181" s="703" t="s">
        <v>334</v>
      </c>
      <c r="F1181" s="703" t="s">
        <v>335</v>
      </c>
      <c r="G1181" s="703" t="s">
        <v>2516</v>
      </c>
      <c r="H1181" s="703" t="s">
        <v>334</v>
      </c>
      <c r="I1181" s="703" t="s">
        <v>334</v>
      </c>
      <c r="J1181" s="703" t="s">
        <v>337</v>
      </c>
      <c r="K1181" s="704">
        <v>0</v>
      </c>
      <c r="L1181" s="703" t="s">
        <v>334</v>
      </c>
      <c r="M1181" s="702">
        <v>43708</v>
      </c>
      <c r="N1181" s="702">
        <v>44187</v>
      </c>
      <c r="O1181" s="703" t="s">
        <v>338</v>
      </c>
      <c r="P1181" s="20">
        <v>115295.35</v>
      </c>
      <c r="Q1181" s="20">
        <v>0</v>
      </c>
      <c r="R1181" s="20">
        <v>0</v>
      </c>
      <c r="S1181" s="20">
        <v>0</v>
      </c>
      <c r="T1181" s="20">
        <v>115295.35</v>
      </c>
      <c r="U1181" s="20">
        <v>111452.17</v>
      </c>
      <c r="V1181" s="20">
        <v>-3843.18</v>
      </c>
      <c r="W1181" s="20">
        <v>-7686.36</v>
      </c>
      <c r="X1181" s="20">
        <v>-3843.18</v>
      </c>
      <c r="Y1181" s="20">
        <v>0</v>
      </c>
      <c r="Z1181" s="20">
        <v>0</v>
      </c>
      <c r="AA1181" s="20">
        <v>0</v>
      </c>
      <c r="AB1181" s="20">
        <v>107608.99</v>
      </c>
      <c r="AC1181" t="s">
        <v>183</v>
      </c>
      <c r="AD1181" t="s">
        <v>290</v>
      </c>
      <c r="AE1181" s="702">
        <f t="shared" si="90"/>
        <v>43983</v>
      </c>
      <c r="AF1181" s="289">
        <v>166426.25506671405</v>
      </c>
      <c r="AG1181">
        <f t="shared" si="91"/>
        <v>360</v>
      </c>
      <c r="AH1181" s="289">
        <f t="shared" si="92"/>
        <v>462.29515296309455</v>
      </c>
      <c r="AJ1181" s="289">
        <f t="shared" si="93"/>
        <v>30</v>
      </c>
      <c r="AK1181" s="289">
        <f t="shared" si="94"/>
        <v>13868.854588892837</v>
      </c>
    </row>
    <row r="1182" spans="1:37">
      <c r="A1182" s="703" t="s">
        <v>2517</v>
      </c>
      <c r="B1182" s="703" t="s">
        <v>2311</v>
      </c>
      <c r="C1182" s="703" t="s">
        <v>332</v>
      </c>
      <c r="D1182" s="703" t="s">
        <v>334</v>
      </c>
      <c r="E1182" s="703" t="s">
        <v>334</v>
      </c>
      <c r="F1182" s="703" t="s">
        <v>335</v>
      </c>
      <c r="G1182" s="703" t="s">
        <v>2518</v>
      </c>
      <c r="H1182" s="703" t="s">
        <v>334</v>
      </c>
      <c r="I1182" s="703" t="s">
        <v>334</v>
      </c>
      <c r="J1182" s="703" t="s">
        <v>337</v>
      </c>
      <c r="K1182" s="704">
        <v>0</v>
      </c>
      <c r="L1182" s="703" t="s">
        <v>334</v>
      </c>
      <c r="M1182" s="702">
        <v>43890</v>
      </c>
      <c r="N1182" s="702">
        <v>44187</v>
      </c>
      <c r="O1182" s="703" t="s">
        <v>338</v>
      </c>
      <c r="P1182" s="20">
        <v>29527.39</v>
      </c>
      <c r="Q1182" s="20">
        <v>0</v>
      </c>
      <c r="R1182" s="20">
        <v>0</v>
      </c>
      <c r="S1182" s="20">
        <v>0</v>
      </c>
      <c r="T1182" s="20">
        <v>29527.39</v>
      </c>
      <c r="U1182" s="20">
        <v>28543.14</v>
      </c>
      <c r="V1182" s="20">
        <v>-984.25</v>
      </c>
      <c r="W1182" s="20">
        <v>-1968.5</v>
      </c>
      <c r="X1182" s="20">
        <v>-984.25</v>
      </c>
      <c r="Y1182" s="20">
        <v>0</v>
      </c>
      <c r="Z1182" s="20">
        <v>0</v>
      </c>
      <c r="AA1182" s="20">
        <v>0</v>
      </c>
      <c r="AB1182" s="20">
        <v>27558.89</v>
      </c>
      <c r="AC1182" t="s">
        <v>183</v>
      </c>
      <c r="AD1182" t="s">
        <v>290</v>
      </c>
      <c r="AE1182" s="702">
        <f t="shared" si="90"/>
        <v>43983</v>
      </c>
      <c r="AF1182" s="289">
        <v>42622.126040593503</v>
      </c>
      <c r="AG1182">
        <f t="shared" si="91"/>
        <v>360</v>
      </c>
      <c r="AH1182" s="289">
        <f t="shared" si="92"/>
        <v>118.39479455720418</v>
      </c>
      <c r="AJ1182" s="289">
        <f t="shared" si="93"/>
        <v>30</v>
      </c>
      <c r="AK1182" s="289">
        <f t="shared" si="94"/>
        <v>3551.8438367161252</v>
      </c>
    </row>
    <row r="1183" spans="1:37">
      <c r="A1183" s="703" t="s">
        <v>2519</v>
      </c>
      <c r="B1183" s="703" t="s">
        <v>2311</v>
      </c>
      <c r="C1183" s="703" t="s">
        <v>332</v>
      </c>
      <c r="D1183" s="703" t="s">
        <v>334</v>
      </c>
      <c r="E1183" s="703" t="s">
        <v>334</v>
      </c>
      <c r="F1183" s="703" t="s">
        <v>335</v>
      </c>
      <c r="G1183" s="703" t="s">
        <v>2520</v>
      </c>
      <c r="H1183" s="703" t="s">
        <v>334</v>
      </c>
      <c r="I1183" s="703" t="s">
        <v>334</v>
      </c>
      <c r="J1183" s="703" t="s">
        <v>337</v>
      </c>
      <c r="K1183" s="704">
        <v>0</v>
      </c>
      <c r="L1183" s="703" t="s">
        <v>334</v>
      </c>
      <c r="M1183" s="702">
        <v>43890</v>
      </c>
      <c r="N1183" s="702">
        <v>44187</v>
      </c>
      <c r="O1183" s="703" t="s">
        <v>338</v>
      </c>
      <c r="P1183" s="20">
        <v>48392.74</v>
      </c>
      <c r="Q1183" s="20">
        <v>0</v>
      </c>
      <c r="R1183" s="20">
        <v>0</v>
      </c>
      <c r="S1183" s="20">
        <v>0</v>
      </c>
      <c r="T1183" s="20">
        <v>48392.74</v>
      </c>
      <c r="U1183" s="20">
        <v>46779.65</v>
      </c>
      <c r="V1183" s="20">
        <v>-1613.09</v>
      </c>
      <c r="W1183" s="20">
        <v>-3226.18</v>
      </c>
      <c r="X1183" s="20">
        <v>-1613.09</v>
      </c>
      <c r="Y1183" s="20">
        <v>0</v>
      </c>
      <c r="Z1183" s="20">
        <v>0</v>
      </c>
      <c r="AA1183" s="20">
        <v>0</v>
      </c>
      <c r="AB1183" s="20">
        <v>45166.559999999998</v>
      </c>
      <c r="AC1183" t="s">
        <v>183</v>
      </c>
      <c r="AD1183" t="s">
        <v>290</v>
      </c>
      <c r="AE1183" s="702">
        <f t="shared" si="90"/>
        <v>43983</v>
      </c>
      <c r="AF1183" s="289">
        <v>69853.836174808224</v>
      </c>
      <c r="AG1183">
        <f t="shared" si="91"/>
        <v>360</v>
      </c>
      <c r="AH1183" s="289">
        <f t="shared" si="92"/>
        <v>194.03843381891173</v>
      </c>
      <c r="AJ1183" s="289">
        <f t="shared" si="93"/>
        <v>30</v>
      </c>
      <c r="AK1183" s="289">
        <f t="shared" si="94"/>
        <v>5821.1530145673514</v>
      </c>
    </row>
    <row r="1184" spans="1:37">
      <c r="A1184" s="703" t="s">
        <v>2521</v>
      </c>
      <c r="B1184" s="703" t="s">
        <v>2311</v>
      </c>
      <c r="C1184" s="703" t="s">
        <v>332</v>
      </c>
      <c r="D1184" s="703" t="s">
        <v>334</v>
      </c>
      <c r="E1184" s="703" t="s">
        <v>334</v>
      </c>
      <c r="F1184" s="703" t="s">
        <v>335</v>
      </c>
      <c r="G1184" s="703" t="s">
        <v>2522</v>
      </c>
      <c r="H1184" s="703" t="s">
        <v>334</v>
      </c>
      <c r="I1184" s="703" t="s">
        <v>334</v>
      </c>
      <c r="J1184" s="703" t="s">
        <v>337</v>
      </c>
      <c r="K1184" s="704">
        <v>0</v>
      </c>
      <c r="L1184" s="703" t="s">
        <v>334</v>
      </c>
      <c r="M1184" s="702">
        <v>43890</v>
      </c>
      <c r="N1184" s="702">
        <v>44187</v>
      </c>
      <c r="O1184" s="703" t="s">
        <v>338</v>
      </c>
      <c r="P1184" s="20">
        <v>1267.02</v>
      </c>
      <c r="Q1184" s="20">
        <v>0</v>
      </c>
      <c r="R1184" s="20">
        <v>0</v>
      </c>
      <c r="S1184" s="20">
        <v>0</v>
      </c>
      <c r="T1184" s="20">
        <v>1267.02</v>
      </c>
      <c r="U1184" s="20">
        <v>1224.79</v>
      </c>
      <c r="V1184" s="20">
        <v>-42.23</v>
      </c>
      <c r="W1184" s="20">
        <v>-84.46</v>
      </c>
      <c r="X1184" s="20">
        <v>-42.23</v>
      </c>
      <c r="Y1184" s="20">
        <v>0</v>
      </c>
      <c r="Z1184" s="20">
        <v>0</v>
      </c>
      <c r="AA1184" s="20">
        <v>0</v>
      </c>
      <c r="AB1184" s="20">
        <v>1182.56</v>
      </c>
      <c r="AC1184" t="s">
        <v>183</v>
      </c>
      <c r="AD1184" t="s">
        <v>290</v>
      </c>
      <c r="AE1184" s="702">
        <f t="shared" si="90"/>
        <v>43983</v>
      </c>
      <c r="AF1184" s="289">
        <v>1828.9149882855472</v>
      </c>
      <c r="AG1184">
        <f t="shared" si="91"/>
        <v>360</v>
      </c>
      <c r="AH1184" s="289">
        <f t="shared" si="92"/>
        <v>5.0803194119042976</v>
      </c>
      <c r="AJ1184" s="289">
        <f t="shared" si="93"/>
        <v>30</v>
      </c>
      <c r="AK1184" s="289">
        <f t="shared" si="94"/>
        <v>152.40958235712893</v>
      </c>
    </row>
    <row r="1185" spans="1:37">
      <c r="A1185" s="703" t="s">
        <v>2523</v>
      </c>
      <c r="B1185" s="703" t="s">
        <v>2311</v>
      </c>
      <c r="C1185" s="703" t="s">
        <v>332</v>
      </c>
      <c r="D1185" s="703" t="s">
        <v>334</v>
      </c>
      <c r="E1185" s="703" t="s">
        <v>334</v>
      </c>
      <c r="F1185" s="703" t="s">
        <v>335</v>
      </c>
      <c r="G1185" s="703" t="s">
        <v>2524</v>
      </c>
      <c r="H1185" s="703" t="s">
        <v>334</v>
      </c>
      <c r="I1185" s="703" t="s">
        <v>334</v>
      </c>
      <c r="J1185" s="703" t="s">
        <v>337</v>
      </c>
      <c r="K1185" s="704">
        <v>0</v>
      </c>
      <c r="L1185" s="703" t="s">
        <v>334</v>
      </c>
      <c r="M1185" s="702">
        <v>43890</v>
      </c>
      <c r="N1185" s="702">
        <v>44187</v>
      </c>
      <c r="O1185" s="703" t="s">
        <v>338</v>
      </c>
      <c r="P1185" s="20">
        <v>54836.58</v>
      </c>
      <c r="Q1185" s="20">
        <v>0</v>
      </c>
      <c r="R1185" s="20">
        <v>0</v>
      </c>
      <c r="S1185" s="20">
        <v>0</v>
      </c>
      <c r="T1185" s="20">
        <v>54836.58</v>
      </c>
      <c r="U1185" s="20">
        <v>53008.69</v>
      </c>
      <c r="V1185" s="20">
        <v>-1827.89</v>
      </c>
      <c r="W1185" s="20">
        <v>-3655.78</v>
      </c>
      <c r="X1185" s="20">
        <v>-1827.89</v>
      </c>
      <c r="Y1185" s="20">
        <v>0</v>
      </c>
      <c r="Z1185" s="20">
        <v>0</v>
      </c>
      <c r="AA1185" s="20">
        <v>0</v>
      </c>
      <c r="AB1185" s="20">
        <v>51180.800000000003</v>
      </c>
      <c r="AC1185" t="s">
        <v>183</v>
      </c>
      <c r="AD1185" t="s">
        <v>290</v>
      </c>
      <c r="AE1185" s="702">
        <f t="shared" si="90"/>
        <v>43983</v>
      </c>
      <c r="AF1185" s="289">
        <v>79155.374870419939</v>
      </c>
      <c r="AG1185">
        <f t="shared" si="91"/>
        <v>360</v>
      </c>
      <c r="AH1185" s="289">
        <f t="shared" si="92"/>
        <v>219.87604130672204</v>
      </c>
      <c r="AJ1185" s="289">
        <f t="shared" si="93"/>
        <v>30</v>
      </c>
      <c r="AK1185" s="289">
        <f t="shared" si="94"/>
        <v>6596.2812392016613</v>
      </c>
    </row>
    <row r="1186" spans="1:37">
      <c r="A1186" s="703" t="s">
        <v>2525</v>
      </c>
      <c r="B1186" s="703" t="s">
        <v>2311</v>
      </c>
      <c r="C1186" s="703" t="s">
        <v>332</v>
      </c>
      <c r="D1186" s="703" t="s">
        <v>334</v>
      </c>
      <c r="E1186" s="703" t="s">
        <v>334</v>
      </c>
      <c r="F1186" s="703" t="s">
        <v>335</v>
      </c>
      <c r="G1186" s="703" t="s">
        <v>2526</v>
      </c>
      <c r="H1186" s="703" t="s">
        <v>334</v>
      </c>
      <c r="I1186" s="703" t="s">
        <v>334</v>
      </c>
      <c r="J1186" s="703" t="s">
        <v>337</v>
      </c>
      <c r="K1186" s="704">
        <v>0</v>
      </c>
      <c r="L1186" s="703" t="s">
        <v>334</v>
      </c>
      <c r="M1186" s="702">
        <v>43890</v>
      </c>
      <c r="N1186" s="702">
        <v>44187</v>
      </c>
      <c r="O1186" s="703" t="s">
        <v>338</v>
      </c>
      <c r="P1186" s="20">
        <v>51759.34</v>
      </c>
      <c r="Q1186" s="20">
        <v>0</v>
      </c>
      <c r="R1186" s="20">
        <v>0</v>
      </c>
      <c r="S1186" s="20">
        <v>0</v>
      </c>
      <c r="T1186" s="20">
        <v>51759.34</v>
      </c>
      <c r="U1186" s="20">
        <v>50034.03</v>
      </c>
      <c r="V1186" s="20">
        <v>-1725.31</v>
      </c>
      <c r="W1186" s="20">
        <v>-3450.62</v>
      </c>
      <c r="X1186" s="20">
        <v>-1725.31</v>
      </c>
      <c r="Y1186" s="20">
        <v>0</v>
      </c>
      <c r="Z1186" s="20">
        <v>0</v>
      </c>
      <c r="AA1186" s="20">
        <v>0</v>
      </c>
      <c r="AB1186" s="20">
        <v>48308.72</v>
      </c>
      <c r="AC1186" t="s">
        <v>183</v>
      </c>
      <c r="AD1186" t="s">
        <v>290</v>
      </c>
      <c r="AE1186" s="702">
        <f t="shared" si="90"/>
        <v>43983</v>
      </c>
      <c r="AF1186" s="289">
        <v>74713.447861728811</v>
      </c>
      <c r="AG1186">
        <f t="shared" si="91"/>
        <v>360</v>
      </c>
      <c r="AH1186" s="289">
        <f t="shared" si="92"/>
        <v>207.53735517146893</v>
      </c>
      <c r="AJ1186" s="289">
        <f t="shared" si="93"/>
        <v>30</v>
      </c>
      <c r="AK1186" s="289">
        <f t="shared" si="94"/>
        <v>6226.1206551440682</v>
      </c>
    </row>
    <row r="1187" spans="1:37">
      <c r="A1187" s="703" t="s">
        <v>2527</v>
      </c>
      <c r="B1187" s="703" t="s">
        <v>2311</v>
      </c>
      <c r="C1187" s="703" t="s">
        <v>332</v>
      </c>
      <c r="D1187" s="703" t="s">
        <v>334</v>
      </c>
      <c r="E1187" s="703" t="s">
        <v>334</v>
      </c>
      <c r="F1187" s="703" t="s">
        <v>335</v>
      </c>
      <c r="G1187" s="703" t="s">
        <v>2528</v>
      </c>
      <c r="H1187" s="703" t="s">
        <v>334</v>
      </c>
      <c r="I1187" s="703" t="s">
        <v>334</v>
      </c>
      <c r="J1187" s="703" t="s">
        <v>337</v>
      </c>
      <c r="K1187" s="704">
        <v>0</v>
      </c>
      <c r="L1187" s="703" t="s">
        <v>334</v>
      </c>
      <c r="M1187" s="702">
        <v>43890</v>
      </c>
      <c r="N1187" s="702">
        <v>44187</v>
      </c>
      <c r="O1187" s="703" t="s">
        <v>338</v>
      </c>
      <c r="P1187" s="20">
        <v>70161.81</v>
      </c>
      <c r="Q1187" s="20">
        <v>0</v>
      </c>
      <c r="R1187" s="20">
        <v>0</v>
      </c>
      <c r="S1187" s="20">
        <v>0</v>
      </c>
      <c r="T1187" s="20">
        <v>70161.81</v>
      </c>
      <c r="U1187" s="20">
        <v>67823.08</v>
      </c>
      <c r="V1187" s="20">
        <v>-2338.73</v>
      </c>
      <c r="W1187" s="20">
        <v>-4677.46</v>
      </c>
      <c r="X1187" s="20">
        <v>-2338.73</v>
      </c>
      <c r="Y1187" s="20">
        <v>0</v>
      </c>
      <c r="Z1187" s="20">
        <v>0</v>
      </c>
      <c r="AA1187" s="20">
        <v>0</v>
      </c>
      <c r="AB1187" s="20">
        <v>65484.35</v>
      </c>
      <c r="AC1187" t="s">
        <v>183</v>
      </c>
      <c r="AD1187" t="s">
        <v>290</v>
      </c>
      <c r="AE1187" s="702">
        <f t="shared" si="90"/>
        <v>43983</v>
      </c>
      <c r="AF1187" s="289">
        <v>101277.00108462597</v>
      </c>
      <c r="AG1187">
        <f t="shared" si="91"/>
        <v>360</v>
      </c>
      <c r="AH1187" s="289">
        <f t="shared" si="92"/>
        <v>281.32500301284989</v>
      </c>
      <c r="AJ1187" s="289">
        <f t="shared" si="93"/>
        <v>30</v>
      </c>
      <c r="AK1187" s="289">
        <f t="shared" si="94"/>
        <v>8439.7500903854962</v>
      </c>
    </row>
    <row r="1188" spans="1:37">
      <c r="A1188" s="703" t="s">
        <v>2529</v>
      </c>
      <c r="B1188" s="703" t="s">
        <v>2311</v>
      </c>
      <c r="C1188" s="703" t="s">
        <v>332</v>
      </c>
      <c r="D1188" s="703" t="s">
        <v>334</v>
      </c>
      <c r="E1188" s="703" t="s">
        <v>334</v>
      </c>
      <c r="F1188" s="703" t="s">
        <v>335</v>
      </c>
      <c r="G1188" s="703" t="s">
        <v>2530</v>
      </c>
      <c r="H1188" s="703" t="s">
        <v>334</v>
      </c>
      <c r="I1188" s="703" t="s">
        <v>334</v>
      </c>
      <c r="J1188" s="703" t="s">
        <v>337</v>
      </c>
      <c r="K1188" s="704">
        <v>0</v>
      </c>
      <c r="L1188" s="703" t="s">
        <v>334</v>
      </c>
      <c r="M1188" s="702">
        <v>43890</v>
      </c>
      <c r="N1188" s="702">
        <v>44187</v>
      </c>
      <c r="O1188" s="703" t="s">
        <v>338</v>
      </c>
      <c r="P1188" s="20">
        <v>35514.76</v>
      </c>
      <c r="Q1188" s="20">
        <v>0</v>
      </c>
      <c r="R1188" s="20">
        <v>0</v>
      </c>
      <c r="S1188" s="20">
        <v>0</v>
      </c>
      <c r="T1188" s="20">
        <v>35514.76</v>
      </c>
      <c r="U1188" s="20">
        <v>34330.93</v>
      </c>
      <c r="V1188" s="20">
        <v>-1183.83</v>
      </c>
      <c r="W1188" s="20">
        <v>-2367.66</v>
      </c>
      <c r="X1188" s="20">
        <v>-1183.83</v>
      </c>
      <c r="Y1188" s="20">
        <v>0</v>
      </c>
      <c r="Z1188" s="20">
        <v>0</v>
      </c>
      <c r="AA1188" s="20">
        <v>0</v>
      </c>
      <c r="AB1188" s="20">
        <v>33147.1</v>
      </c>
      <c r="AC1188" t="s">
        <v>183</v>
      </c>
      <c r="AD1188" t="s">
        <v>290</v>
      </c>
      <c r="AE1188" s="702">
        <f t="shared" si="90"/>
        <v>43983</v>
      </c>
      <c r="AF1188" s="289">
        <v>51264.760516301256</v>
      </c>
      <c r="AG1188">
        <f t="shared" si="91"/>
        <v>360</v>
      </c>
      <c r="AH1188" s="289">
        <f t="shared" si="92"/>
        <v>142.40211254528126</v>
      </c>
      <c r="AJ1188" s="289">
        <f t="shared" si="93"/>
        <v>30</v>
      </c>
      <c r="AK1188" s="289">
        <f t="shared" si="94"/>
        <v>4272.0633763584374</v>
      </c>
    </row>
    <row r="1189" spans="1:37">
      <c r="A1189" s="703" t="s">
        <v>2531</v>
      </c>
      <c r="B1189" s="703" t="s">
        <v>2311</v>
      </c>
      <c r="C1189" s="703" t="s">
        <v>332</v>
      </c>
      <c r="D1189" s="703" t="s">
        <v>334</v>
      </c>
      <c r="E1189" s="703" t="s">
        <v>334</v>
      </c>
      <c r="F1189" s="703" t="s">
        <v>335</v>
      </c>
      <c r="G1189" s="703" t="s">
        <v>2532</v>
      </c>
      <c r="H1189" s="703" t="s">
        <v>334</v>
      </c>
      <c r="I1189" s="703" t="s">
        <v>334</v>
      </c>
      <c r="J1189" s="703" t="s">
        <v>337</v>
      </c>
      <c r="K1189" s="704">
        <v>0</v>
      </c>
      <c r="L1189" s="703" t="s">
        <v>334</v>
      </c>
      <c r="M1189" s="702">
        <v>43890</v>
      </c>
      <c r="N1189" s="702">
        <v>44187</v>
      </c>
      <c r="O1189" s="703" t="s">
        <v>338</v>
      </c>
      <c r="P1189" s="20">
        <v>129780.75</v>
      </c>
      <c r="Q1189" s="20">
        <v>0</v>
      </c>
      <c r="R1189" s="20">
        <v>0</v>
      </c>
      <c r="S1189" s="20">
        <v>0</v>
      </c>
      <c r="T1189" s="20">
        <v>129780.75</v>
      </c>
      <c r="U1189" s="20">
        <v>125454.72</v>
      </c>
      <c r="V1189" s="20">
        <v>-4326.03</v>
      </c>
      <c r="W1189" s="20">
        <v>-8652.06</v>
      </c>
      <c r="X1189" s="20">
        <v>-4326.03</v>
      </c>
      <c r="Y1189" s="20">
        <v>0</v>
      </c>
      <c r="Z1189" s="20">
        <v>0</v>
      </c>
      <c r="AA1189" s="20">
        <v>0</v>
      </c>
      <c r="AB1189" s="20">
        <v>121128.69</v>
      </c>
      <c r="AC1189" t="s">
        <v>183</v>
      </c>
      <c r="AD1189" t="s">
        <v>290</v>
      </c>
      <c r="AE1189" s="702">
        <f t="shared" si="90"/>
        <v>43983</v>
      </c>
      <c r="AF1189" s="289">
        <v>187335.60548842128</v>
      </c>
      <c r="AG1189">
        <f t="shared" si="91"/>
        <v>360</v>
      </c>
      <c r="AH1189" s="289">
        <f t="shared" si="92"/>
        <v>520.37668191228136</v>
      </c>
      <c r="AJ1189" s="289">
        <f t="shared" si="93"/>
        <v>30</v>
      </c>
      <c r="AK1189" s="289">
        <f t="shared" si="94"/>
        <v>15611.300457368441</v>
      </c>
    </row>
    <row r="1190" spans="1:37">
      <c r="A1190" s="703" t="s">
        <v>2533</v>
      </c>
      <c r="B1190" s="703" t="s">
        <v>2311</v>
      </c>
      <c r="C1190" s="703" t="s">
        <v>332</v>
      </c>
      <c r="D1190" s="703" t="s">
        <v>334</v>
      </c>
      <c r="E1190" s="703" t="s">
        <v>334</v>
      </c>
      <c r="F1190" s="703" t="s">
        <v>335</v>
      </c>
      <c r="G1190" s="703" t="s">
        <v>2534</v>
      </c>
      <c r="H1190" s="703" t="s">
        <v>334</v>
      </c>
      <c r="I1190" s="703" t="s">
        <v>334</v>
      </c>
      <c r="J1190" s="703" t="s">
        <v>337</v>
      </c>
      <c r="K1190" s="704">
        <v>0</v>
      </c>
      <c r="L1190" s="703" t="s">
        <v>334</v>
      </c>
      <c r="M1190" s="702">
        <v>43616</v>
      </c>
      <c r="N1190" s="702">
        <v>44187</v>
      </c>
      <c r="O1190" s="703" t="s">
        <v>338</v>
      </c>
      <c r="P1190" s="20">
        <v>61882.69</v>
      </c>
      <c r="Q1190" s="20">
        <v>0</v>
      </c>
      <c r="R1190" s="20">
        <v>0</v>
      </c>
      <c r="S1190" s="20">
        <v>0</v>
      </c>
      <c r="T1190" s="20">
        <v>61882.69</v>
      </c>
      <c r="U1190" s="20">
        <v>59819.93</v>
      </c>
      <c r="V1190" s="20">
        <v>-2062.7600000000002</v>
      </c>
      <c r="W1190" s="20">
        <v>-4125.5200000000004</v>
      </c>
      <c r="X1190" s="20">
        <v>-2062.7600000000002</v>
      </c>
      <c r="Y1190" s="20">
        <v>0</v>
      </c>
      <c r="Z1190" s="20">
        <v>0</v>
      </c>
      <c r="AA1190" s="20">
        <v>0</v>
      </c>
      <c r="AB1190" s="20">
        <v>57757.17</v>
      </c>
      <c r="AC1190" t="s">
        <v>183</v>
      </c>
      <c r="AD1190" t="s">
        <v>290</v>
      </c>
      <c r="AE1190" s="702">
        <f t="shared" si="90"/>
        <v>43983</v>
      </c>
      <c r="AF1190" s="289">
        <v>89326.276819961917</v>
      </c>
      <c r="AG1190">
        <f t="shared" si="91"/>
        <v>360</v>
      </c>
      <c r="AH1190" s="289">
        <f t="shared" si="92"/>
        <v>248.12854672211643</v>
      </c>
      <c r="AJ1190" s="289">
        <f t="shared" si="93"/>
        <v>30</v>
      </c>
      <c r="AK1190" s="289">
        <f t="shared" si="94"/>
        <v>7443.8564016634928</v>
      </c>
    </row>
    <row r="1191" spans="1:37">
      <c r="A1191" s="703" t="s">
        <v>2535</v>
      </c>
      <c r="B1191" s="703" t="s">
        <v>2311</v>
      </c>
      <c r="C1191" s="703" t="s">
        <v>332</v>
      </c>
      <c r="D1191" s="703" t="s">
        <v>334</v>
      </c>
      <c r="E1191" s="703" t="s">
        <v>334</v>
      </c>
      <c r="F1191" s="703" t="s">
        <v>335</v>
      </c>
      <c r="G1191" s="703" t="s">
        <v>2536</v>
      </c>
      <c r="H1191" s="703" t="s">
        <v>334</v>
      </c>
      <c r="I1191" s="703" t="s">
        <v>334</v>
      </c>
      <c r="J1191" s="703" t="s">
        <v>337</v>
      </c>
      <c r="K1191" s="704">
        <v>0</v>
      </c>
      <c r="L1191" s="703" t="s">
        <v>334</v>
      </c>
      <c r="M1191" s="702">
        <v>43616</v>
      </c>
      <c r="N1191" s="702">
        <v>44187</v>
      </c>
      <c r="O1191" s="703" t="s">
        <v>338</v>
      </c>
      <c r="P1191" s="20">
        <v>21944.9</v>
      </c>
      <c r="Q1191" s="20">
        <v>0</v>
      </c>
      <c r="R1191" s="20">
        <v>0</v>
      </c>
      <c r="S1191" s="20">
        <v>0</v>
      </c>
      <c r="T1191" s="20">
        <v>21944.9</v>
      </c>
      <c r="U1191" s="20">
        <v>21213.4</v>
      </c>
      <c r="V1191" s="20">
        <v>-731.5</v>
      </c>
      <c r="W1191" s="20">
        <v>-1463</v>
      </c>
      <c r="X1191" s="20">
        <v>-731.5</v>
      </c>
      <c r="Y1191" s="20">
        <v>0</v>
      </c>
      <c r="Z1191" s="20">
        <v>0</v>
      </c>
      <c r="AA1191" s="20">
        <v>0</v>
      </c>
      <c r="AB1191" s="20">
        <v>20481.900000000001</v>
      </c>
      <c r="AC1191" t="s">
        <v>183</v>
      </c>
      <c r="AD1191" t="s">
        <v>290</v>
      </c>
      <c r="AE1191" s="702">
        <f t="shared" si="90"/>
        <v>43983</v>
      </c>
      <c r="AF1191" s="289">
        <v>31676.971576160999</v>
      </c>
      <c r="AG1191">
        <f t="shared" si="91"/>
        <v>360</v>
      </c>
      <c r="AH1191" s="289">
        <f t="shared" si="92"/>
        <v>87.991587711558324</v>
      </c>
      <c r="AJ1191" s="289">
        <f t="shared" si="93"/>
        <v>30</v>
      </c>
      <c r="AK1191" s="289">
        <f t="shared" si="94"/>
        <v>2639.7476313467496</v>
      </c>
    </row>
    <row r="1192" spans="1:37">
      <c r="A1192" s="703" t="s">
        <v>2537</v>
      </c>
      <c r="B1192" s="703" t="s">
        <v>2311</v>
      </c>
      <c r="C1192" s="703" t="s">
        <v>332</v>
      </c>
      <c r="D1192" s="703" t="s">
        <v>334</v>
      </c>
      <c r="E1192" s="703" t="s">
        <v>334</v>
      </c>
      <c r="F1192" s="703" t="s">
        <v>335</v>
      </c>
      <c r="G1192" s="703" t="s">
        <v>2538</v>
      </c>
      <c r="H1192" s="703" t="s">
        <v>334</v>
      </c>
      <c r="I1192" s="703" t="s">
        <v>334</v>
      </c>
      <c r="J1192" s="703" t="s">
        <v>337</v>
      </c>
      <c r="K1192" s="704">
        <v>0</v>
      </c>
      <c r="L1192" s="703" t="s">
        <v>334</v>
      </c>
      <c r="M1192" s="702">
        <v>42613</v>
      </c>
      <c r="N1192" s="702">
        <v>44187</v>
      </c>
      <c r="O1192" s="703" t="s">
        <v>338</v>
      </c>
      <c r="P1192" s="20">
        <v>9614.36</v>
      </c>
      <c r="Q1192" s="20">
        <v>0</v>
      </c>
      <c r="R1192" s="20">
        <v>0</v>
      </c>
      <c r="S1192" s="20">
        <v>0</v>
      </c>
      <c r="T1192" s="20">
        <v>9614.36</v>
      </c>
      <c r="U1192" s="20">
        <v>9293.8799999999992</v>
      </c>
      <c r="V1192" s="20">
        <v>-320.48</v>
      </c>
      <c r="W1192" s="20">
        <v>-640.96</v>
      </c>
      <c r="X1192" s="20">
        <v>-320.48</v>
      </c>
      <c r="Y1192" s="20">
        <v>0</v>
      </c>
      <c r="Z1192" s="20">
        <v>0</v>
      </c>
      <c r="AA1192" s="20">
        <v>0</v>
      </c>
      <c r="AB1192" s="20">
        <v>8973.4</v>
      </c>
      <c r="AC1192" t="s">
        <v>183</v>
      </c>
      <c r="AD1192" t="s">
        <v>290</v>
      </c>
      <c r="AE1192" s="702">
        <f t="shared" si="90"/>
        <v>43983</v>
      </c>
      <c r="AF1192" s="289">
        <v>13878.113294796478</v>
      </c>
      <c r="AG1192">
        <f t="shared" si="91"/>
        <v>360</v>
      </c>
      <c r="AH1192" s="289">
        <f t="shared" si="92"/>
        <v>38.550314707767996</v>
      </c>
      <c r="AJ1192" s="289">
        <f t="shared" si="93"/>
        <v>30</v>
      </c>
      <c r="AK1192" s="289">
        <f t="shared" si="94"/>
        <v>1156.50944123304</v>
      </c>
    </row>
    <row r="1193" spans="1:37">
      <c r="A1193" s="703" t="s">
        <v>2539</v>
      </c>
      <c r="B1193" s="703" t="s">
        <v>2311</v>
      </c>
      <c r="C1193" s="703" t="s">
        <v>332</v>
      </c>
      <c r="D1193" s="703" t="s">
        <v>334</v>
      </c>
      <c r="E1193" s="703" t="s">
        <v>334</v>
      </c>
      <c r="F1193" s="703" t="s">
        <v>335</v>
      </c>
      <c r="G1193" s="703" t="s">
        <v>2540</v>
      </c>
      <c r="H1193" s="703" t="s">
        <v>334</v>
      </c>
      <c r="I1193" s="703" t="s">
        <v>334</v>
      </c>
      <c r="J1193" s="703" t="s">
        <v>337</v>
      </c>
      <c r="K1193" s="704">
        <v>0</v>
      </c>
      <c r="L1193" s="703" t="s">
        <v>334</v>
      </c>
      <c r="M1193" s="702">
        <v>43890</v>
      </c>
      <c r="N1193" s="702">
        <v>44187</v>
      </c>
      <c r="O1193" s="703" t="s">
        <v>338</v>
      </c>
      <c r="P1193" s="20">
        <v>22219.279999999999</v>
      </c>
      <c r="Q1193" s="20">
        <v>0</v>
      </c>
      <c r="R1193" s="20">
        <v>0</v>
      </c>
      <c r="S1193" s="20">
        <v>0</v>
      </c>
      <c r="T1193" s="20">
        <v>22219.279999999999</v>
      </c>
      <c r="U1193" s="20">
        <v>21478.639999999999</v>
      </c>
      <c r="V1193" s="20">
        <v>-740.64</v>
      </c>
      <c r="W1193" s="20">
        <v>-1481.28</v>
      </c>
      <c r="X1193" s="20">
        <v>-740.64</v>
      </c>
      <c r="Y1193" s="20">
        <v>0</v>
      </c>
      <c r="Z1193" s="20">
        <v>0</v>
      </c>
      <c r="AA1193" s="20">
        <v>0</v>
      </c>
      <c r="AB1193" s="20">
        <v>20738</v>
      </c>
      <c r="AC1193" t="s">
        <v>183</v>
      </c>
      <c r="AD1193" t="s">
        <v>290</v>
      </c>
      <c r="AE1193" s="702">
        <f t="shared" si="90"/>
        <v>43983</v>
      </c>
      <c r="AF1193" s="289">
        <v>32073.032959947977</v>
      </c>
      <c r="AG1193">
        <f t="shared" si="91"/>
        <v>360</v>
      </c>
      <c r="AH1193" s="289">
        <f t="shared" si="92"/>
        <v>89.091758222077715</v>
      </c>
      <c r="AJ1193" s="289">
        <f t="shared" si="93"/>
        <v>30</v>
      </c>
      <c r="AK1193" s="289">
        <f t="shared" si="94"/>
        <v>2672.7527466623314</v>
      </c>
    </row>
    <row r="1194" spans="1:37">
      <c r="A1194" s="703" t="s">
        <v>2541</v>
      </c>
      <c r="B1194" s="703" t="s">
        <v>2311</v>
      </c>
      <c r="C1194" s="703" t="s">
        <v>332</v>
      </c>
      <c r="D1194" s="703" t="s">
        <v>334</v>
      </c>
      <c r="E1194" s="703" t="s">
        <v>334</v>
      </c>
      <c r="F1194" s="703" t="s">
        <v>335</v>
      </c>
      <c r="G1194" s="703" t="s">
        <v>2542</v>
      </c>
      <c r="H1194" s="703" t="s">
        <v>334</v>
      </c>
      <c r="I1194" s="703" t="s">
        <v>334</v>
      </c>
      <c r="J1194" s="703" t="s">
        <v>337</v>
      </c>
      <c r="K1194" s="704">
        <v>0</v>
      </c>
      <c r="L1194" s="703" t="s">
        <v>334</v>
      </c>
      <c r="M1194" s="702">
        <v>39478</v>
      </c>
      <c r="N1194" s="702">
        <v>44187</v>
      </c>
      <c r="O1194" s="703" t="s">
        <v>338</v>
      </c>
      <c r="P1194" s="20">
        <v>689250.44</v>
      </c>
      <c r="Q1194" s="20">
        <v>0</v>
      </c>
      <c r="R1194" s="20">
        <v>0</v>
      </c>
      <c r="S1194" s="20">
        <v>0</v>
      </c>
      <c r="T1194" s="20">
        <v>689250.44</v>
      </c>
      <c r="U1194" s="20">
        <v>666275.43000000005</v>
      </c>
      <c r="V1194" s="20">
        <v>-22975.01</v>
      </c>
      <c r="W1194" s="20">
        <v>-45950.02</v>
      </c>
      <c r="X1194" s="20">
        <v>-22975.01</v>
      </c>
      <c r="Y1194" s="20">
        <v>0</v>
      </c>
      <c r="Z1194" s="20">
        <v>0</v>
      </c>
      <c r="AA1194" s="20">
        <v>0</v>
      </c>
      <c r="AB1194" s="20">
        <v>643300.42000000004</v>
      </c>
      <c r="AC1194" t="s">
        <v>183</v>
      </c>
      <c r="AD1194" t="s">
        <v>290</v>
      </c>
      <c r="AE1194" s="702">
        <f t="shared" si="90"/>
        <v>43983</v>
      </c>
      <c r="AF1194" s="289">
        <v>994917.5706763966</v>
      </c>
      <c r="AG1194">
        <f t="shared" si="91"/>
        <v>360</v>
      </c>
      <c r="AH1194" s="289">
        <f t="shared" si="92"/>
        <v>2763.6599185455461</v>
      </c>
      <c r="AJ1194" s="289">
        <f t="shared" si="93"/>
        <v>30</v>
      </c>
      <c r="AK1194" s="289">
        <f t="shared" si="94"/>
        <v>82909.797556366379</v>
      </c>
    </row>
    <row r="1195" spans="1:37">
      <c r="A1195" s="703" t="s">
        <v>2543</v>
      </c>
      <c r="B1195" s="703" t="s">
        <v>2311</v>
      </c>
      <c r="C1195" s="703" t="s">
        <v>332</v>
      </c>
      <c r="D1195" s="703" t="s">
        <v>334</v>
      </c>
      <c r="E1195" s="703" t="s">
        <v>334</v>
      </c>
      <c r="F1195" s="703" t="s">
        <v>335</v>
      </c>
      <c r="G1195" s="703" t="s">
        <v>2544</v>
      </c>
      <c r="H1195" s="703" t="s">
        <v>334</v>
      </c>
      <c r="I1195" s="703" t="s">
        <v>334</v>
      </c>
      <c r="J1195" s="703" t="s">
        <v>337</v>
      </c>
      <c r="K1195" s="704">
        <v>0</v>
      </c>
      <c r="L1195" s="703" t="s">
        <v>334</v>
      </c>
      <c r="M1195" s="702">
        <v>39478</v>
      </c>
      <c r="N1195" s="702">
        <v>44187</v>
      </c>
      <c r="O1195" s="703" t="s">
        <v>338</v>
      </c>
      <c r="P1195" s="20">
        <v>10077.73</v>
      </c>
      <c r="Q1195" s="20">
        <v>0</v>
      </c>
      <c r="R1195" s="20">
        <v>0</v>
      </c>
      <c r="S1195" s="20">
        <v>0</v>
      </c>
      <c r="T1195" s="20">
        <v>10077.73</v>
      </c>
      <c r="U1195" s="20">
        <v>9741.81</v>
      </c>
      <c r="V1195" s="20">
        <v>-335.92</v>
      </c>
      <c r="W1195" s="20">
        <v>-671.84</v>
      </c>
      <c r="X1195" s="20">
        <v>-335.92</v>
      </c>
      <c r="Y1195" s="20">
        <v>0</v>
      </c>
      <c r="Z1195" s="20">
        <v>0</v>
      </c>
      <c r="AA1195" s="20">
        <v>0</v>
      </c>
      <c r="AB1195" s="20">
        <v>9405.89</v>
      </c>
      <c r="AC1195" t="s">
        <v>183</v>
      </c>
      <c r="AD1195" t="s">
        <v>290</v>
      </c>
      <c r="AE1195" s="702">
        <f t="shared" si="90"/>
        <v>43983</v>
      </c>
      <c r="AF1195" s="289">
        <v>14546.977510137887</v>
      </c>
      <c r="AG1195">
        <f t="shared" si="91"/>
        <v>360</v>
      </c>
      <c r="AH1195" s="289">
        <f t="shared" si="92"/>
        <v>40.408270861494131</v>
      </c>
      <c r="AJ1195" s="289">
        <f t="shared" si="93"/>
        <v>30</v>
      </c>
      <c r="AK1195" s="289">
        <f t="shared" si="94"/>
        <v>1212.248125844824</v>
      </c>
    </row>
    <row r="1196" spans="1:37">
      <c r="A1196" s="703" t="s">
        <v>2545</v>
      </c>
      <c r="B1196" s="703" t="s">
        <v>2311</v>
      </c>
      <c r="C1196" s="703" t="s">
        <v>332</v>
      </c>
      <c r="D1196" s="703" t="s">
        <v>334</v>
      </c>
      <c r="E1196" s="703" t="s">
        <v>334</v>
      </c>
      <c r="F1196" s="703" t="s">
        <v>335</v>
      </c>
      <c r="G1196" s="703" t="s">
        <v>2546</v>
      </c>
      <c r="H1196" s="703" t="s">
        <v>334</v>
      </c>
      <c r="I1196" s="703" t="s">
        <v>334</v>
      </c>
      <c r="J1196" s="703" t="s">
        <v>337</v>
      </c>
      <c r="K1196" s="704">
        <v>0</v>
      </c>
      <c r="L1196" s="703" t="s">
        <v>334</v>
      </c>
      <c r="M1196" s="702">
        <v>39478</v>
      </c>
      <c r="N1196" s="702">
        <v>44187</v>
      </c>
      <c r="O1196" s="703" t="s">
        <v>338</v>
      </c>
      <c r="P1196" s="20">
        <v>6511.55</v>
      </c>
      <c r="Q1196" s="20">
        <v>0</v>
      </c>
      <c r="R1196" s="20">
        <v>0</v>
      </c>
      <c r="S1196" s="20">
        <v>0</v>
      </c>
      <c r="T1196" s="20">
        <v>6511.55</v>
      </c>
      <c r="U1196" s="20">
        <v>6294.5</v>
      </c>
      <c r="V1196" s="20">
        <v>-217.05</v>
      </c>
      <c r="W1196" s="20">
        <v>-434.1</v>
      </c>
      <c r="X1196" s="20">
        <v>-217.05</v>
      </c>
      <c r="Y1196" s="20">
        <v>0</v>
      </c>
      <c r="Z1196" s="20">
        <v>0</v>
      </c>
      <c r="AA1196" s="20">
        <v>0</v>
      </c>
      <c r="AB1196" s="20">
        <v>6077.45</v>
      </c>
      <c r="AC1196" t="s">
        <v>183</v>
      </c>
      <c r="AD1196" t="s">
        <v>290</v>
      </c>
      <c r="AE1196" s="702">
        <f t="shared" si="90"/>
        <v>43983</v>
      </c>
      <c r="AF1196" s="289">
        <v>9399.276563882775</v>
      </c>
      <c r="AG1196">
        <f t="shared" si="91"/>
        <v>360</v>
      </c>
      <c r="AH1196" s="289">
        <f t="shared" si="92"/>
        <v>26.109101566341042</v>
      </c>
      <c r="AJ1196" s="289">
        <f t="shared" si="93"/>
        <v>30</v>
      </c>
      <c r="AK1196" s="289">
        <f t="shared" si="94"/>
        <v>783.27304699023125</v>
      </c>
    </row>
    <row r="1197" spans="1:37">
      <c r="A1197" s="703" t="s">
        <v>2547</v>
      </c>
      <c r="B1197" s="703" t="s">
        <v>2311</v>
      </c>
      <c r="C1197" s="703" t="s">
        <v>332</v>
      </c>
      <c r="D1197" s="703" t="s">
        <v>334</v>
      </c>
      <c r="E1197" s="703" t="s">
        <v>334</v>
      </c>
      <c r="F1197" s="703" t="s">
        <v>335</v>
      </c>
      <c r="G1197" s="703" t="s">
        <v>2548</v>
      </c>
      <c r="H1197" s="703" t="s">
        <v>334</v>
      </c>
      <c r="I1197" s="703" t="s">
        <v>334</v>
      </c>
      <c r="J1197" s="703" t="s">
        <v>337</v>
      </c>
      <c r="K1197" s="704">
        <v>0</v>
      </c>
      <c r="L1197" s="703" t="s">
        <v>334</v>
      </c>
      <c r="M1197" s="702">
        <v>42613</v>
      </c>
      <c r="N1197" s="702">
        <v>44187</v>
      </c>
      <c r="O1197" s="703" t="s">
        <v>338</v>
      </c>
      <c r="P1197" s="20">
        <v>689441.32</v>
      </c>
      <c r="Q1197" s="20">
        <v>0</v>
      </c>
      <c r="R1197" s="20">
        <v>0</v>
      </c>
      <c r="S1197" s="20">
        <v>0</v>
      </c>
      <c r="T1197" s="20">
        <v>689441.32</v>
      </c>
      <c r="U1197" s="20">
        <v>666459.93999999994</v>
      </c>
      <c r="V1197" s="20">
        <v>-22981.38</v>
      </c>
      <c r="W1197" s="20">
        <v>-45962.76</v>
      </c>
      <c r="X1197" s="20">
        <v>-22981.38</v>
      </c>
      <c r="Y1197" s="20">
        <v>0</v>
      </c>
      <c r="Z1197" s="20">
        <v>0</v>
      </c>
      <c r="AA1197" s="20">
        <v>0</v>
      </c>
      <c r="AB1197" s="20">
        <v>643478.56000000006</v>
      </c>
      <c r="AC1197" t="s">
        <v>183</v>
      </c>
      <c r="AD1197" t="s">
        <v>290</v>
      </c>
      <c r="AE1197" s="702">
        <f t="shared" si="90"/>
        <v>43983</v>
      </c>
      <c r="AF1197" s="289">
        <v>995193.1016806144</v>
      </c>
      <c r="AG1197">
        <f t="shared" si="91"/>
        <v>360</v>
      </c>
      <c r="AH1197" s="289">
        <f t="shared" si="92"/>
        <v>2764.425282446151</v>
      </c>
      <c r="AJ1197" s="289">
        <f t="shared" si="93"/>
        <v>30</v>
      </c>
      <c r="AK1197" s="289">
        <f t="shared" si="94"/>
        <v>82932.758473384529</v>
      </c>
    </row>
    <row r="1198" spans="1:37">
      <c r="A1198" s="703" t="s">
        <v>2549</v>
      </c>
      <c r="B1198" s="703" t="s">
        <v>2311</v>
      </c>
      <c r="C1198" s="703" t="s">
        <v>390</v>
      </c>
      <c r="D1198" s="703" t="s">
        <v>334</v>
      </c>
      <c r="E1198" s="703" t="s">
        <v>334</v>
      </c>
      <c r="F1198" s="703" t="s">
        <v>335</v>
      </c>
      <c r="G1198" s="703" t="s">
        <v>2550</v>
      </c>
      <c r="H1198" s="703" t="s">
        <v>334</v>
      </c>
      <c r="I1198" s="703" t="s">
        <v>334</v>
      </c>
      <c r="J1198" s="703" t="s">
        <v>337</v>
      </c>
      <c r="K1198" s="704">
        <v>0</v>
      </c>
      <c r="L1198" s="703" t="s">
        <v>334</v>
      </c>
      <c r="M1198" s="702">
        <v>42886</v>
      </c>
      <c r="N1198" s="702">
        <v>44187</v>
      </c>
      <c r="O1198" s="703" t="s">
        <v>338</v>
      </c>
      <c r="P1198" s="20">
        <v>1354.57</v>
      </c>
      <c r="Q1198" s="20">
        <v>0</v>
      </c>
      <c r="R1198" s="20">
        <v>0</v>
      </c>
      <c r="S1198" s="20">
        <v>0</v>
      </c>
      <c r="T1198" s="20">
        <v>1354.57</v>
      </c>
      <c r="U1198" s="20">
        <v>1309.42</v>
      </c>
      <c r="V1198" s="20">
        <v>-45.15</v>
      </c>
      <c r="W1198" s="20">
        <v>-90.3</v>
      </c>
      <c r="X1198" s="20">
        <v>-45.15</v>
      </c>
      <c r="Y1198" s="20">
        <v>0</v>
      </c>
      <c r="Z1198" s="20">
        <v>0</v>
      </c>
      <c r="AA1198" s="20">
        <v>0</v>
      </c>
      <c r="AB1198" s="20">
        <v>1264.27</v>
      </c>
      <c r="AC1198" t="s">
        <v>188</v>
      </c>
      <c r="AD1198" t="s">
        <v>290</v>
      </c>
      <c r="AE1198" s="702">
        <f t="shared" si="90"/>
        <v>43983</v>
      </c>
      <c r="AF1198" s="289">
        <v>1955.2914521333155</v>
      </c>
      <c r="AG1198">
        <f t="shared" si="91"/>
        <v>360</v>
      </c>
      <c r="AH1198" s="289">
        <f t="shared" si="92"/>
        <v>5.4313651448147651</v>
      </c>
      <c r="AJ1198" s="289">
        <f t="shared" si="93"/>
        <v>30</v>
      </c>
      <c r="AK1198" s="289">
        <f t="shared" si="94"/>
        <v>162.94095434444296</v>
      </c>
    </row>
    <row r="1199" spans="1:37">
      <c r="A1199" s="703" t="s">
        <v>2551</v>
      </c>
      <c r="B1199" s="703" t="s">
        <v>2311</v>
      </c>
      <c r="C1199" s="703" t="s">
        <v>390</v>
      </c>
      <c r="D1199" s="703" t="s">
        <v>334</v>
      </c>
      <c r="E1199" s="703" t="s">
        <v>334</v>
      </c>
      <c r="F1199" s="703" t="s">
        <v>335</v>
      </c>
      <c r="G1199" s="703" t="s">
        <v>2552</v>
      </c>
      <c r="H1199" s="703" t="s">
        <v>334</v>
      </c>
      <c r="I1199" s="703" t="s">
        <v>334</v>
      </c>
      <c r="J1199" s="703" t="s">
        <v>337</v>
      </c>
      <c r="K1199" s="704">
        <v>0</v>
      </c>
      <c r="L1199" s="703" t="s">
        <v>334</v>
      </c>
      <c r="M1199" s="702">
        <v>42886</v>
      </c>
      <c r="N1199" s="702">
        <v>44187</v>
      </c>
      <c r="O1199" s="703" t="s">
        <v>338</v>
      </c>
      <c r="P1199" s="20">
        <v>45.94</v>
      </c>
      <c r="Q1199" s="20">
        <v>0</v>
      </c>
      <c r="R1199" s="20">
        <v>0</v>
      </c>
      <c r="S1199" s="20">
        <v>0</v>
      </c>
      <c r="T1199" s="20">
        <v>45.94</v>
      </c>
      <c r="U1199" s="20">
        <v>44.41</v>
      </c>
      <c r="V1199" s="20">
        <v>-1.53</v>
      </c>
      <c r="W1199" s="20">
        <v>-3.06</v>
      </c>
      <c r="X1199" s="20">
        <v>-1.53</v>
      </c>
      <c r="Y1199" s="20">
        <v>0</v>
      </c>
      <c r="Z1199" s="20">
        <v>0</v>
      </c>
      <c r="AA1199" s="20">
        <v>0</v>
      </c>
      <c r="AB1199" s="20">
        <v>42.88</v>
      </c>
      <c r="AC1199" t="s">
        <v>188</v>
      </c>
      <c r="AD1199" t="s">
        <v>290</v>
      </c>
      <c r="AE1199" s="702">
        <f t="shared" si="90"/>
        <v>43983</v>
      </c>
      <c r="AF1199" s="289">
        <v>66.313360927087203</v>
      </c>
      <c r="AG1199">
        <f t="shared" si="91"/>
        <v>360</v>
      </c>
      <c r="AH1199" s="289">
        <f t="shared" si="92"/>
        <v>0.18420378035302001</v>
      </c>
      <c r="AJ1199" s="289">
        <f t="shared" si="93"/>
        <v>30</v>
      </c>
      <c r="AK1199" s="289">
        <f t="shared" si="94"/>
        <v>5.5261134105906002</v>
      </c>
    </row>
    <row r="1200" spans="1:37">
      <c r="A1200" s="703" t="s">
        <v>2553</v>
      </c>
      <c r="B1200" s="703" t="s">
        <v>2311</v>
      </c>
      <c r="C1200" s="703" t="s">
        <v>390</v>
      </c>
      <c r="D1200" s="703" t="s">
        <v>334</v>
      </c>
      <c r="E1200" s="703" t="s">
        <v>334</v>
      </c>
      <c r="F1200" s="703" t="s">
        <v>335</v>
      </c>
      <c r="G1200" s="703" t="s">
        <v>2554</v>
      </c>
      <c r="H1200" s="703" t="s">
        <v>334</v>
      </c>
      <c r="I1200" s="703" t="s">
        <v>334</v>
      </c>
      <c r="J1200" s="703" t="s">
        <v>337</v>
      </c>
      <c r="K1200" s="704">
        <v>0</v>
      </c>
      <c r="L1200" s="703" t="s">
        <v>334</v>
      </c>
      <c r="M1200" s="702">
        <v>42886</v>
      </c>
      <c r="N1200" s="702">
        <v>44187</v>
      </c>
      <c r="O1200" s="703" t="s">
        <v>338</v>
      </c>
      <c r="P1200" s="20">
        <v>4974.6400000000003</v>
      </c>
      <c r="Q1200" s="20">
        <v>0</v>
      </c>
      <c r="R1200" s="20">
        <v>0</v>
      </c>
      <c r="S1200" s="20">
        <v>0</v>
      </c>
      <c r="T1200" s="20">
        <v>4974.6400000000003</v>
      </c>
      <c r="U1200" s="20">
        <v>4808.82</v>
      </c>
      <c r="V1200" s="20">
        <v>-165.82</v>
      </c>
      <c r="W1200" s="20">
        <v>-331.64</v>
      </c>
      <c r="X1200" s="20">
        <v>-165.82</v>
      </c>
      <c r="Y1200" s="20">
        <v>0</v>
      </c>
      <c r="Z1200" s="20">
        <v>0</v>
      </c>
      <c r="AA1200" s="20">
        <v>0</v>
      </c>
      <c r="AB1200" s="20">
        <v>4643</v>
      </c>
      <c r="AC1200" t="s">
        <v>188</v>
      </c>
      <c r="AD1200" t="s">
        <v>290</v>
      </c>
      <c r="AE1200" s="702">
        <f t="shared" si="90"/>
        <v>43983</v>
      </c>
      <c r="AF1200" s="289">
        <v>7180.7814062325888</v>
      </c>
      <c r="AG1200">
        <f t="shared" si="91"/>
        <v>360</v>
      </c>
      <c r="AH1200" s="289">
        <f t="shared" si="92"/>
        <v>19.946615017312748</v>
      </c>
      <c r="AJ1200" s="289">
        <f t="shared" si="93"/>
        <v>30</v>
      </c>
      <c r="AK1200" s="289">
        <f t="shared" si="94"/>
        <v>598.39845051938244</v>
      </c>
    </row>
    <row r="1201" spans="1:37">
      <c r="A1201" s="703" t="s">
        <v>2555</v>
      </c>
      <c r="B1201" s="703" t="s">
        <v>2311</v>
      </c>
      <c r="C1201" s="703" t="s">
        <v>390</v>
      </c>
      <c r="D1201" s="703" t="s">
        <v>334</v>
      </c>
      <c r="E1201" s="703" t="s">
        <v>334</v>
      </c>
      <c r="F1201" s="703" t="s">
        <v>335</v>
      </c>
      <c r="G1201" s="703" t="s">
        <v>2556</v>
      </c>
      <c r="H1201" s="703" t="s">
        <v>334</v>
      </c>
      <c r="I1201" s="703" t="s">
        <v>334</v>
      </c>
      <c r="J1201" s="703" t="s">
        <v>337</v>
      </c>
      <c r="K1201" s="704">
        <v>0</v>
      </c>
      <c r="L1201" s="703" t="s">
        <v>334</v>
      </c>
      <c r="M1201" s="702">
        <v>42886</v>
      </c>
      <c r="N1201" s="702">
        <v>44187</v>
      </c>
      <c r="O1201" s="703" t="s">
        <v>338</v>
      </c>
      <c r="P1201" s="20">
        <v>6325.87</v>
      </c>
      <c r="Q1201" s="20">
        <v>0</v>
      </c>
      <c r="R1201" s="20">
        <v>0</v>
      </c>
      <c r="S1201" s="20">
        <v>0</v>
      </c>
      <c r="T1201" s="20">
        <v>6325.87</v>
      </c>
      <c r="U1201" s="20">
        <v>6115.01</v>
      </c>
      <c r="V1201" s="20">
        <v>-210.86</v>
      </c>
      <c r="W1201" s="20">
        <v>-421.72</v>
      </c>
      <c r="X1201" s="20">
        <v>-210.86</v>
      </c>
      <c r="Y1201" s="20">
        <v>0</v>
      </c>
      <c r="Z1201" s="20">
        <v>0</v>
      </c>
      <c r="AA1201" s="20">
        <v>0</v>
      </c>
      <c r="AB1201" s="20">
        <v>5904.15</v>
      </c>
      <c r="AC1201" t="s">
        <v>188</v>
      </c>
      <c r="AD1201" t="s">
        <v>290</v>
      </c>
      <c r="AE1201" s="702">
        <f t="shared" si="90"/>
        <v>43983</v>
      </c>
      <c r="AF1201" s="289">
        <v>9131.2516431831336</v>
      </c>
      <c r="AG1201">
        <f t="shared" si="91"/>
        <v>360</v>
      </c>
      <c r="AH1201" s="289">
        <f t="shared" si="92"/>
        <v>25.364587897730928</v>
      </c>
      <c r="AJ1201" s="289">
        <f t="shared" si="93"/>
        <v>30</v>
      </c>
      <c r="AK1201" s="289">
        <f t="shared" si="94"/>
        <v>760.93763693192784</v>
      </c>
    </row>
    <row r="1202" spans="1:37">
      <c r="A1202" s="703" t="s">
        <v>2557</v>
      </c>
      <c r="B1202" s="703" t="s">
        <v>2311</v>
      </c>
      <c r="C1202" s="703" t="s">
        <v>390</v>
      </c>
      <c r="D1202" s="703" t="s">
        <v>334</v>
      </c>
      <c r="E1202" s="703" t="s">
        <v>334</v>
      </c>
      <c r="F1202" s="703" t="s">
        <v>335</v>
      </c>
      <c r="G1202" s="703" t="s">
        <v>2558</v>
      </c>
      <c r="H1202" s="703" t="s">
        <v>334</v>
      </c>
      <c r="I1202" s="703" t="s">
        <v>334</v>
      </c>
      <c r="J1202" s="703" t="s">
        <v>337</v>
      </c>
      <c r="K1202" s="704">
        <v>0</v>
      </c>
      <c r="L1202" s="703" t="s">
        <v>334</v>
      </c>
      <c r="M1202" s="702">
        <v>42886</v>
      </c>
      <c r="N1202" s="702">
        <v>44187</v>
      </c>
      <c r="O1202" s="703" t="s">
        <v>338</v>
      </c>
      <c r="P1202" s="20">
        <v>795.27</v>
      </c>
      <c r="Q1202" s="20">
        <v>0</v>
      </c>
      <c r="R1202" s="20">
        <v>0</v>
      </c>
      <c r="S1202" s="20">
        <v>0</v>
      </c>
      <c r="T1202" s="20">
        <v>795.27</v>
      </c>
      <c r="U1202" s="20">
        <v>768.76</v>
      </c>
      <c r="V1202" s="20">
        <v>-26.51</v>
      </c>
      <c r="W1202" s="20">
        <v>-53.02</v>
      </c>
      <c r="X1202" s="20">
        <v>-26.51</v>
      </c>
      <c r="Y1202" s="20">
        <v>0</v>
      </c>
      <c r="Z1202" s="20">
        <v>0</v>
      </c>
      <c r="AA1202" s="20">
        <v>0</v>
      </c>
      <c r="AB1202" s="20">
        <v>742.25</v>
      </c>
      <c r="AC1202" t="s">
        <v>188</v>
      </c>
      <c r="AD1202" t="s">
        <v>290</v>
      </c>
      <c r="AE1202" s="702">
        <f t="shared" si="90"/>
        <v>43983</v>
      </c>
      <c r="AF1202" s="289">
        <v>1147.9544306592215</v>
      </c>
      <c r="AG1202">
        <f t="shared" si="91"/>
        <v>360</v>
      </c>
      <c r="AH1202" s="289">
        <f t="shared" si="92"/>
        <v>3.1887623073867264</v>
      </c>
      <c r="AJ1202" s="289">
        <f t="shared" si="93"/>
        <v>30</v>
      </c>
      <c r="AK1202" s="289">
        <f t="shared" si="94"/>
        <v>95.662869221601795</v>
      </c>
    </row>
    <row r="1203" spans="1:37">
      <c r="A1203" s="703" t="s">
        <v>2559</v>
      </c>
      <c r="B1203" s="703" t="s">
        <v>2311</v>
      </c>
      <c r="C1203" s="703" t="s">
        <v>390</v>
      </c>
      <c r="D1203" s="703" t="s">
        <v>334</v>
      </c>
      <c r="E1203" s="703" t="s">
        <v>334</v>
      </c>
      <c r="F1203" s="703" t="s">
        <v>335</v>
      </c>
      <c r="G1203" s="703" t="s">
        <v>2560</v>
      </c>
      <c r="H1203" s="703" t="s">
        <v>334</v>
      </c>
      <c r="I1203" s="703" t="s">
        <v>334</v>
      </c>
      <c r="J1203" s="703" t="s">
        <v>337</v>
      </c>
      <c r="K1203" s="704">
        <v>0</v>
      </c>
      <c r="L1203" s="703" t="s">
        <v>334</v>
      </c>
      <c r="M1203" s="702">
        <v>42886</v>
      </c>
      <c r="N1203" s="702">
        <v>44187</v>
      </c>
      <c r="O1203" s="703" t="s">
        <v>338</v>
      </c>
      <c r="P1203" s="20">
        <v>39545.94</v>
      </c>
      <c r="Q1203" s="20">
        <v>0</v>
      </c>
      <c r="R1203" s="20">
        <v>0</v>
      </c>
      <c r="S1203" s="20">
        <v>0</v>
      </c>
      <c r="T1203" s="20">
        <v>39545.94</v>
      </c>
      <c r="U1203" s="20">
        <v>38227.74</v>
      </c>
      <c r="V1203" s="20">
        <v>-1318.2</v>
      </c>
      <c r="W1203" s="20">
        <v>-2636.4</v>
      </c>
      <c r="X1203" s="20">
        <v>-1318.2</v>
      </c>
      <c r="Y1203" s="20">
        <v>0</v>
      </c>
      <c r="Z1203" s="20">
        <v>0</v>
      </c>
      <c r="AA1203" s="20">
        <v>0</v>
      </c>
      <c r="AB1203" s="20">
        <v>36909.54</v>
      </c>
      <c r="AC1203" t="s">
        <v>188</v>
      </c>
      <c r="AD1203" t="s">
        <v>290</v>
      </c>
      <c r="AE1203" s="702">
        <f t="shared" si="90"/>
        <v>43983</v>
      </c>
      <c r="AF1203" s="289">
        <v>57083.678546385185</v>
      </c>
      <c r="AG1203">
        <f t="shared" si="91"/>
        <v>360</v>
      </c>
      <c r="AH1203" s="289">
        <f t="shared" si="92"/>
        <v>158.56577373995884</v>
      </c>
      <c r="AJ1203" s="289">
        <f t="shared" si="93"/>
        <v>30</v>
      </c>
      <c r="AK1203" s="289">
        <f t="shared" si="94"/>
        <v>4756.9732121987654</v>
      </c>
    </row>
    <row r="1204" spans="1:37">
      <c r="A1204" s="703" t="s">
        <v>2561</v>
      </c>
      <c r="B1204" s="703" t="s">
        <v>2311</v>
      </c>
      <c r="C1204" s="703" t="s">
        <v>390</v>
      </c>
      <c r="D1204" s="703" t="s">
        <v>334</v>
      </c>
      <c r="E1204" s="703" t="s">
        <v>334</v>
      </c>
      <c r="F1204" s="703" t="s">
        <v>335</v>
      </c>
      <c r="G1204" s="703" t="s">
        <v>2562</v>
      </c>
      <c r="H1204" s="703" t="s">
        <v>334</v>
      </c>
      <c r="I1204" s="703" t="s">
        <v>334</v>
      </c>
      <c r="J1204" s="703" t="s">
        <v>337</v>
      </c>
      <c r="K1204" s="704">
        <v>0</v>
      </c>
      <c r="L1204" s="703" t="s">
        <v>334</v>
      </c>
      <c r="M1204" s="702">
        <v>42886</v>
      </c>
      <c r="N1204" s="702">
        <v>44187</v>
      </c>
      <c r="O1204" s="703" t="s">
        <v>338</v>
      </c>
      <c r="P1204" s="20">
        <v>1983.94</v>
      </c>
      <c r="Q1204" s="20">
        <v>0</v>
      </c>
      <c r="R1204" s="20">
        <v>0</v>
      </c>
      <c r="S1204" s="20">
        <v>0</v>
      </c>
      <c r="T1204" s="20">
        <v>1983.94</v>
      </c>
      <c r="U1204" s="20">
        <v>1917.81</v>
      </c>
      <c r="V1204" s="20">
        <v>-66.13</v>
      </c>
      <c r="W1204" s="20">
        <v>-132.26</v>
      </c>
      <c r="X1204" s="20">
        <v>-66.13</v>
      </c>
      <c r="Y1204" s="20">
        <v>0</v>
      </c>
      <c r="Z1204" s="20">
        <v>0</v>
      </c>
      <c r="AA1204" s="20">
        <v>0</v>
      </c>
      <c r="AB1204" s="20">
        <v>1851.68</v>
      </c>
      <c r="AC1204" t="s">
        <v>188</v>
      </c>
      <c r="AD1204" t="s">
        <v>290</v>
      </c>
      <c r="AE1204" s="702">
        <f t="shared" si="90"/>
        <v>43983</v>
      </c>
      <c r="AF1204" s="289">
        <v>2863.772949013613</v>
      </c>
      <c r="AG1204">
        <f t="shared" si="91"/>
        <v>360</v>
      </c>
      <c r="AH1204" s="289">
        <f t="shared" si="92"/>
        <v>7.9549248583711476</v>
      </c>
      <c r="AJ1204" s="289">
        <f t="shared" si="93"/>
        <v>30</v>
      </c>
      <c r="AK1204" s="289">
        <f t="shared" si="94"/>
        <v>238.64774575113444</v>
      </c>
    </row>
    <row r="1205" spans="1:37">
      <c r="A1205" s="703" t="s">
        <v>2563</v>
      </c>
      <c r="B1205" s="703" t="s">
        <v>2311</v>
      </c>
      <c r="C1205" s="703" t="s">
        <v>390</v>
      </c>
      <c r="D1205" s="703" t="s">
        <v>334</v>
      </c>
      <c r="E1205" s="703" t="s">
        <v>334</v>
      </c>
      <c r="F1205" s="703" t="s">
        <v>335</v>
      </c>
      <c r="G1205" s="703" t="s">
        <v>2564</v>
      </c>
      <c r="H1205" s="703" t="s">
        <v>334</v>
      </c>
      <c r="I1205" s="703" t="s">
        <v>334</v>
      </c>
      <c r="J1205" s="703" t="s">
        <v>337</v>
      </c>
      <c r="K1205" s="704">
        <v>0</v>
      </c>
      <c r="L1205" s="703" t="s">
        <v>334</v>
      </c>
      <c r="M1205" s="702">
        <v>42886</v>
      </c>
      <c r="N1205" s="702">
        <v>44187</v>
      </c>
      <c r="O1205" s="703" t="s">
        <v>338</v>
      </c>
      <c r="P1205" s="20">
        <v>3790</v>
      </c>
      <c r="Q1205" s="20">
        <v>0</v>
      </c>
      <c r="R1205" s="20">
        <v>0</v>
      </c>
      <c r="S1205" s="20">
        <v>0</v>
      </c>
      <c r="T1205" s="20">
        <v>3790</v>
      </c>
      <c r="U1205" s="20">
        <v>3663.67</v>
      </c>
      <c r="V1205" s="20">
        <v>-126.33</v>
      </c>
      <c r="W1205" s="20">
        <v>-252.66</v>
      </c>
      <c r="X1205" s="20">
        <v>-126.33</v>
      </c>
      <c r="Y1205" s="20">
        <v>0</v>
      </c>
      <c r="Z1205" s="20">
        <v>0</v>
      </c>
      <c r="AA1205" s="20">
        <v>0</v>
      </c>
      <c r="AB1205" s="20">
        <v>3537.34</v>
      </c>
      <c r="AC1205" t="s">
        <v>188</v>
      </c>
      <c r="AD1205" t="s">
        <v>290</v>
      </c>
      <c r="AE1205" s="702">
        <f t="shared" si="90"/>
        <v>43983</v>
      </c>
      <c r="AF1205" s="289">
        <v>5470.7801026047127</v>
      </c>
      <c r="AG1205">
        <f t="shared" si="91"/>
        <v>360</v>
      </c>
      <c r="AH1205" s="289">
        <f t="shared" si="92"/>
        <v>15.196611396124203</v>
      </c>
      <c r="AJ1205" s="289">
        <f t="shared" si="93"/>
        <v>30</v>
      </c>
      <c r="AK1205" s="289">
        <f t="shared" si="94"/>
        <v>455.89834188372606</v>
      </c>
    </row>
    <row r="1206" spans="1:37">
      <c r="A1206" s="703" t="s">
        <v>2565</v>
      </c>
      <c r="B1206" s="703" t="s">
        <v>2311</v>
      </c>
      <c r="C1206" s="703" t="s">
        <v>390</v>
      </c>
      <c r="D1206" s="703" t="s">
        <v>334</v>
      </c>
      <c r="E1206" s="703" t="s">
        <v>334</v>
      </c>
      <c r="F1206" s="703" t="s">
        <v>335</v>
      </c>
      <c r="G1206" s="703" t="s">
        <v>2566</v>
      </c>
      <c r="H1206" s="703" t="s">
        <v>334</v>
      </c>
      <c r="I1206" s="703" t="s">
        <v>334</v>
      </c>
      <c r="J1206" s="703" t="s">
        <v>337</v>
      </c>
      <c r="K1206" s="704">
        <v>0</v>
      </c>
      <c r="L1206" s="703" t="s">
        <v>334</v>
      </c>
      <c r="M1206" s="702">
        <v>42886</v>
      </c>
      <c r="N1206" s="702">
        <v>44187</v>
      </c>
      <c r="O1206" s="703" t="s">
        <v>338</v>
      </c>
      <c r="P1206" s="20">
        <v>309.97000000000003</v>
      </c>
      <c r="Q1206" s="20">
        <v>0</v>
      </c>
      <c r="R1206" s="20">
        <v>0</v>
      </c>
      <c r="S1206" s="20">
        <v>0</v>
      </c>
      <c r="T1206" s="20">
        <v>309.97000000000003</v>
      </c>
      <c r="U1206" s="20">
        <v>299.64</v>
      </c>
      <c r="V1206" s="20">
        <v>-10.33</v>
      </c>
      <c r="W1206" s="20">
        <v>-20.66</v>
      </c>
      <c r="X1206" s="20">
        <v>-10.33</v>
      </c>
      <c r="Y1206" s="20">
        <v>0</v>
      </c>
      <c r="Z1206" s="20">
        <v>0</v>
      </c>
      <c r="AA1206" s="20">
        <v>0</v>
      </c>
      <c r="AB1206" s="20">
        <v>289.31</v>
      </c>
      <c r="AC1206" t="s">
        <v>188</v>
      </c>
      <c r="AD1206" t="s">
        <v>290</v>
      </c>
      <c r="AE1206" s="702">
        <f t="shared" si="90"/>
        <v>43983</v>
      </c>
      <c r="AF1206" s="289">
        <v>447.43475155788474</v>
      </c>
      <c r="AG1206">
        <f t="shared" si="91"/>
        <v>360</v>
      </c>
      <c r="AH1206" s="289">
        <f t="shared" si="92"/>
        <v>1.2428743098830131</v>
      </c>
      <c r="AJ1206" s="289">
        <f t="shared" si="93"/>
        <v>30</v>
      </c>
      <c r="AK1206" s="289">
        <f t="shared" si="94"/>
        <v>37.28622929649039</v>
      </c>
    </row>
    <row r="1207" spans="1:37">
      <c r="A1207" s="703" t="s">
        <v>2567</v>
      </c>
      <c r="B1207" s="703" t="s">
        <v>2311</v>
      </c>
      <c r="C1207" s="703" t="s">
        <v>390</v>
      </c>
      <c r="D1207" s="703" t="s">
        <v>334</v>
      </c>
      <c r="E1207" s="703" t="s">
        <v>334</v>
      </c>
      <c r="F1207" s="703" t="s">
        <v>335</v>
      </c>
      <c r="G1207" s="703" t="s">
        <v>2568</v>
      </c>
      <c r="H1207" s="703" t="s">
        <v>334</v>
      </c>
      <c r="I1207" s="703" t="s">
        <v>334</v>
      </c>
      <c r="J1207" s="703" t="s">
        <v>337</v>
      </c>
      <c r="K1207" s="704">
        <v>0</v>
      </c>
      <c r="L1207" s="703" t="s">
        <v>334</v>
      </c>
      <c r="M1207" s="702">
        <v>42886</v>
      </c>
      <c r="N1207" s="702">
        <v>44187</v>
      </c>
      <c r="O1207" s="703" t="s">
        <v>338</v>
      </c>
      <c r="P1207" s="20">
        <v>50.51</v>
      </c>
      <c r="Q1207" s="20">
        <v>0</v>
      </c>
      <c r="R1207" s="20">
        <v>0</v>
      </c>
      <c r="S1207" s="20">
        <v>0</v>
      </c>
      <c r="T1207" s="20">
        <v>50.51</v>
      </c>
      <c r="U1207" s="20">
        <v>48.83</v>
      </c>
      <c r="V1207" s="20">
        <v>-1.68</v>
      </c>
      <c r="W1207" s="20">
        <v>-3.36</v>
      </c>
      <c r="X1207" s="20">
        <v>-1.68</v>
      </c>
      <c r="Y1207" s="20">
        <v>0</v>
      </c>
      <c r="Z1207" s="20">
        <v>0</v>
      </c>
      <c r="AA1207" s="20">
        <v>0</v>
      </c>
      <c r="AB1207" s="20">
        <v>47.15</v>
      </c>
      <c r="AC1207" t="s">
        <v>188</v>
      </c>
      <c r="AD1207" t="s">
        <v>290</v>
      </c>
      <c r="AE1207" s="702">
        <f t="shared" si="90"/>
        <v>43983</v>
      </c>
      <c r="AF1207" s="289">
        <v>72.910053557404751</v>
      </c>
      <c r="AG1207">
        <f t="shared" si="91"/>
        <v>360</v>
      </c>
      <c r="AH1207" s="289">
        <f t="shared" si="92"/>
        <v>0.20252792654834653</v>
      </c>
      <c r="AJ1207" s="289">
        <f t="shared" si="93"/>
        <v>30</v>
      </c>
      <c r="AK1207" s="289">
        <f t="shared" si="94"/>
        <v>6.0758377964503962</v>
      </c>
    </row>
    <row r="1208" spans="1:37">
      <c r="A1208" s="703" t="s">
        <v>2569</v>
      </c>
      <c r="B1208" s="703" t="s">
        <v>2311</v>
      </c>
      <c r="C1208" s="703" t="s">
        <v>390</v>
      </c>
      <c r="D1208" s="703" t="s">
        <v>334</v>
      </c>
      <c r="E1208" s="703" t="s">
        <v>334</v>
      </c>
      <c r="F1208" s="703" t="s">
        <v>335</v>
      </c>
      <c r="G1208" s="703" t="s">
        <v>2570</v>
      </c>
      <c r="H1208" s="703" t="s">
        <v>334</v>
      </c>
      <c r="I1208" s="703" t="s">
        <v>334</v>
      </c>
      <c r="J1208" s="703" t="s">
        <v>337</v>
      </c>
      <c r="K1208" s="704">
        <v>0</v>
      </c>
      <c r="L1208" s="703" t="s">
        <v>334</v>
      </c>
      <c r="M1208" s="702">
        <v>42886</v>
      </c>
      <c r="N1208" s="702">
        <v>44187</v>
      </c>
      <c r="O1208" s="703" t="s">
        <v>338</v>
      </c>
      <c r="P1208" s="20">
        <v>562.05999999999995</v>
      </c>
      <c r="Q1208" s="20">
        <v>0</v>
      </c>
      <c r="R1208" s="20">
        <v>0</v>
      </c>
      <c r="S1208" s="20">
        <v>0</v>
      </c>
      <c r="T1208" s="20">
        <v>562.05999999999995</v>
      </c>
      <c r="U1208" s="20">
        <v>543.32000000000005</v>
      </c>
      <c r="V1208" s="20">
        <v>-18.739999999999998</v>
      </c>
      <c r="W1208" s="20">
        <v>-37.479999999999997</v>
      </c>
      <c r="X1208" s="20">
        <v>-18.739999999999998</v>
      </c>
      <c r="Y1208" s="20">
        <v>0</v>
      </c>
      <c r="Z1208" s="20">
        <v>0</v>
      </c>
      <c r="AA1208" s="20">
        <v>0</v>
      </c>
      <c r="AB1208" s="20">
        <v>524.58000000000004</v>
      </c>
      <c r="AC1208" t="s">
        <v>188</v>
      </c>
      <c r="AD1208" t="s">
        <v>290</v>
      </c>
      <c r="AE1208" s="702">
        <f t="shared" si="90"/>
        <v>43983</v>
      </c>
      <c r="AF1208" s="289">
        <v>811.32101964907781</v>
      </c>
      <c r="AG1208">
        <f t="shared" si="91"/>
        <v>360</v>
      </c>
      <c r="AH1208" s="289">
        <f t="shared" si="92"/>
        <v>2.2536694990252162</v>
      </c>
      <c r="AJ1208" s="289">
        <f t="shared" si="93"/>
        <v>30</v>
      </c>
      <c r="AK1208" s="289">
        <f t="shared" si="94"/>
        <v>67.610084970756489</v>
      </c>
    </row>
    <row r="1209" spans="1:37">
      <c r="A1209" s="703" t="s">
        <v>2571</v>
      </c>
      <c r="B1209" s="703" t="s">
        <v>2311</v>
      </c>
      <c r="C1209" s="703" t="s">
        <v>390</v>
      </c>
      <c r="D1209" s="703" t="s">
        <v>334</v>
      </c>
      <c r="E1209" s="703" t="s">
        <v>334</v>
      </c>
      <c r="F1209" s="703" t="s">
        <v>335</v>
      </c>
      <c r="G1209" s="703" t="s">
        <v>2572</v>
      </c>
      <c r="H1209" s="703" t="s">
        <v>334</v>
      </c>
      <c r="I1209" s="703" t="s">
        <v>334</v>
      </c>
      <c r="J1209" s="703" t="s">
        <v>337</v>
      </c>
      <c r="K1209" s="704">
        <v>0</v>
      </c>
      <c r="L1209" s="703" t="s">
        <v>334</v>
      </c>
      <c r="M1209" s="702">
        <v>42886</v>
      </c>
      <c r="N1209" s="702">
        <v>44187</v>
      </c>
      <c r="O1209" s="703" t="s">
        <v>338</v>
      </c>
      <c r="P1209" s="20">
        <v>388.48</v>
      </c>
      <c r="Q1209" s="20">
        <v>0</v>
      </c>
      <c r="R1209" s="20">
        <v>0</v>
      </c>
      <c r="S1209" s="20">
        <v>0</v>
      </c>
      <c r="T1209" s="20">
        <v>388.48</v>
      </c>
      <c r="U1209" s="20">
        <v>375.53</v>
      </c>
      <c r="V1209" s="20">
        <v>-12.95</v>
      </c>
      <c r="W1209" s="20">
        <v>-25.9</v>
      </c>
      <c r="X1209" s="20">
        <v>-12.95</v>
      </c>
      <c r="Y1209" s="20">
        <v>0</v>
      </c>
      <c r="Z1209" s="20">
        <v>0</v>
      </c>
      <c r="AA1209" s="20">
        <v>0</v>
      </c>
      <c r="AB1209" s="20">
        <v>362.58</v>
      </c>
      <c r="AC1209" t="s">
        <v>188</v>
      </c>
      <c r="AD1209" t="s">
        <v>290</v>
      </c>
      <c r="AE1209" s="702">
        <f t="shared" si="90"/>
        <v>43983</v>
      </c>
      <c r="AF1209" s="289">
        <v>560.76217790498129</v>
      </c>
      <c r="AG1209">
        <f t="shared" si="91"/>
        <v>360</v>
      </c>
      <c r="AH1209" s="289">
        <f t="shared" si="92"/>
        <v>1.5576727164027258</v>
      </c>
      <c r="AJ1209" s="289">
        <f t="shared" si="93"/>
        <v>30</v>
      </c>
      <c r="AK1209" s="289">
        <f t="shared" si="94"/>
        <v>46.730181492081769</v>
      </c>
    </row>
    <row r="1210" spans="1:37">
      <c r="A1210" s="703" t="s">
        <v>2573</v>
      </c>
      <c r="B1210" s="703" t="s">
        <v>2311</v>
      </c>
      <c r="C1210" s="703" t="s">
        <v>390</v>
      </c>
      <c r="D1210" s="703" t="s">
        <v>334</v>
      </c>
      <c r="E1210" s="703" t="s">
        <v>334</v>
      </c>
      <c r="F1210" s="703" t="s">
        <v>335</v>
      </c>
      <c r="G1210" s="703" t="s">
        <v>2574</v>
      </c>
      <c r="H1210" s="703" t="s">
        <v>334</v>
      </c>
      <c r="I1210" s="703" t="s">
        <v>334</v>
      </c>
      <c r="J1210" s="703" t="s">
        <v>337</v>
      </c>
      <c r="K1210" s="704">
        <v>0</v>
      </c>
      <c r="L1210" s="703" t="s">
        <v>334</v>
      </c>
      <c r="M1210" s="702">
        <v>42886</v>
      </c>
      <c r="N1210" s="702">
        <v>44187</v>
      </c>
      <c r="O1210" s="703" t="s">
        <v>338</v>
      </c>
      <c r="P1210" s="20">
        <v>10932.6</v>
      </c>
      <c r="Q1210" s="20">
        <v>0</v>
      </c>
      <c r="R1210" s="20">
        <v>0</v>
      </c>
      <c r="S1210" s="20">
        <v>0</v>
      </c>
      <c r="T1210" s="20">
        <v>10932.6</v>
      </c>
      <c r="U1210" s="20">
        <v>10568.18</v>
      </c>
      <c r="V1210" s="20">
        <v>-364.42</v>
      </c>
      <c r="W1210" s="20">
        <v>-728.84</v>
      </c>
      <c r="X1210" s="20">
        <v>-364.42</v>
      </c>
      <c r="Y1210" s="20">
        <v>0</v>
      </c>
      <c r="Z1210" s="20">
        <v>0</v>
      </c>
      <c r="AA1210" s="20">
        <v>0</v>
      </c>
      <c r="AB1210" s="20">
        <v>10203.76</v>
      </c>
      <c r="AC1210" t="s">
        <v>188</v>
      </c>
      <c r="AD1210" t="s">
        <v>290</v>
      </c>
      <c r="AE1210" s="702">
        <f t="shared" si="90"/>
        <v>43983</v>
      </c>
      <c r="AF1210" s="289">
        <v>15780.963205735166</v>
      </c>
      <c r="AG1210">
        <f t="shared" si="91"/>
        <v>360</v>
      </c>
      <c r="AH1210" s="289">
        <f t="shared" si="92"/>
        <v>43.836008904819906</v>
      </c>
      <c r="AJ1210" s="289">
        <f t="shared" si="93"/>
        <v>30</v>
      </c>
      <c r="AK1210" s="289">
        <f t="shared" si="94"/>
        <v>1315.0802671445972</v>
      </c>
    </row>
    <row r="1211" spans="1:37">
      <c r="A1211" s="703" t="s">
        <v>2575</v>
      </c>
      <c r="B1211" s="703" t="s">
        <v>2311</v>
      </c>
      <c r="C1211" s="703" t="s">
        <v>390</v>
      </c>
      <c r="D1211" s="703" t="s">
        <v>334</v>
      </c>
      <c r="E1211" s="703" t="s">
        <v>334</v>
      </c>
      <c r="F1211" s="703" t="s">
        <v>335</v>
      </c>
      <c r="G1211" s="703" t="s">
        <v>2576</v>
      </c>
      <c r="H1211" s="703" t="s">
        <v>334</v>
      </c>
      <c r="I1211" s="703" t="s">
        <v>334</v>
      </c>
      <c r="J1211" s="703" t="s">
        <v>337</v>
      </c>
      <c r="K1211" s="704">
        <v>0</v>
      </c>
      <c r="L1211" s="703" t="s">
        <v>334</v>
      </c>
      <c r="M1211" s="702">
        <v>42886</v>
      </c>
      <c r="N1211" s="702">
        <v>44187</v>
      </c>
      <c r="O1211" s="703" t="s">
        <v>338</v>
      </c>
      <c r="P1211" s="20">
        <v>4005.76</v>
      </c>
      <c r="Q1211" s="20">
        <v>0</v>
      </c>
      <c r="R1211" s="20">
        <v>0</v>
      </c>
      <c r="S1211" s="20">
        <v>0</v>
      </c>
      <c r="T1211" s="20">
        <v>4005.76</v>
      </c>
      <c r="U1211" s="20">
        <v>3872.23</v>
      </c>
      <c r="V1211" s="20">
        <v>-133.53</v>
      </c>
      <c r="W1211" s="20">
        <v>-267.06</v>
      </c>
      <c r="X1211" s="20">
        <v>-133.53</v>
      </c>
      <c r="Y1211" s="20">
        <v>0</v>
      </c>
      <c r="Z1211" s="20">
        <v>0</v>
      </c>
      <c r="AA1211" s="20">
        <v>0</v>
      </c>
      <c r="AB1211" s="20">
        <v>3738.7</v>
      </c>
      <c r="AC1211" t="s">
        <v>188</v>
      </c>
      <c r="AD1211" t="s">
        <v>290</v>
      </c>
      <c r="AE1211" s="702">
        <f t="shared" si="90"/>
        <v>43983</v>
      </c>
      <c r="AF1211" s="289">
        <v>5782.2248295012814</v>
      </c>
      <c r="AG1211">
        <f t="shared" si="91"/>
        <v>360</v>
      </c>
      <c r="AH1211" s="289">
        <f t="shared" si="92"/>
        <v>16.06173563750356</v>
      </c>
      <c r="AJ1211" s="289">
        <f t="shared" si="93"/>
        <v>30</v>
      </c>
      <c r="AK1211" s="289">
        <f t="shared" si="94"/>
        <v>481.85206912510682</v>
      </c>
    </row>
    <row r="1212" spans="1:37">
      <c r="A1212" s="703" t="s">
        <v>2577</v>
      </c>
      <c r="B1212" s="703" t="s">
        <v>2311</v>
      </c>
      <c r="C1212" s="703" t="s">
        <v>390</v>
      </c>
      <c r="D1212" s="703" t="s">
        <v>334</v>
      </c>
      <c r="E1212" s="703" t="s">
        <v>334</v>
      </c>
      <c r="F1212" s="703" t="s">
        <v>335</v>
      </c>
      <c r="G1212" s="703" t="s">
        <v>2578</v>
      </c>
      <c r="H1212" s="703" t="s">
        <v>334</v>
      </c>
      <c r="I1212" s="703" t="s">
        <v>334</v>
      </c>
      <c r="J1212" s="703" t="s">
        <v>337</v>
      </c>
      <c r="K1212" s="704">
        <v>0</v>
      </c>
      <c r="L1212" s="703" t="s">
        <v>334</v>
      </c>
      <c r="M1212" s="702">
        <v>42886</v>
      </c>
      <c r="N1212" s="702">
        <v>44187</v>
      </c>
      <c r="O1212" s="703" t="s">
        <v>338</v>
      </c>
      <c r="P1212" s="20">
        <v>1239.08</v>
      </c>
      <c r="Q1212" s="20">
        <v>0</v>
      </c>
      <c r="R1212" s="20">
        <v>0</v>
      </c>
      <c r="S1212" s="20">
        <v>0</v>
      </c>
      <c r="T1212" s="20">
        <v>1239.08</v>
      </c>
      <c r="U1212" s="20">
        <v>1197.78</v>
      </c>
      <c r="V1212" s="20">
        <v>-41.3</v>
      </c>
      <c r="W1212" s="20">
        <v>-82.6</v>
      </c>
      <c r="X1212" s="20">
        <v>-41.3</v>
      </c>
      <c r="Y1212" s="20">
        <v>0</v>
      </c>
      <c r="Z1212" s="20">
        <v>0</v>
      </c>
      <c r="AA1212" s="20">
        <v>0</v>
      </c>
      <c r="AB1212" s="20">
        <v>1156.48</v>
      </c>
      <c r="AC1212" t="s">
        <v>188</v>
      </c>
      <c r="AD1212" t="s">
        <v>290</v>
      </c>
      <c r="AE1212" s="702">
        <f t="shared" si="90"/>
        <v>43983</v>
      </c>
      <c r="AF1212" s="289">
        <v>1788.584224151833</v>
      </c>
      <c r="AG1212">
        <f t="shared" si="91"/>
        <v>360</v>
      </c>
      <c r="AH1212" s="289">
        <f t="shared" si="92"/>
        <v>4.9682895115328698</v>
      </c>
      <c r="AJ1212" s="289">
        <f t="shared" si="93"/>
        <v>30</v>
      </c>
      <c r="AK1212" s="289">
        <f t="shared" si="94"/>
        <v>149.04868534598609</v>
      </c>
    </row>
    <row r="1213" spans="1:37">
      <c r="A1213" s="703" t="s">
        <v>2579</v>
      </c>
      <c r="B1213" s="703" t="s">
        <v>2311</v>
      </c>
      <c r="C1213" s="703" t="s">
        <v>390</v>
      </c>
      <c r="D1213" s="703" t="s">
        <v>334</v>
      </c>
      <c r="E1213" s="703" t="s">
        <v>334</v>
      </c>
      <c r="F1213" s="703" t="s">
        <v>335</v>
      </c>
      <c r="G1213" s="703" t="s">
        <v>2580</v>
      </c>
      <c r="H1213" s="703" t="s">
        <v>334</v>
      </c>
      <c r="I1213" s="703" t="s">
        <v>334</v>
      </c>
      <c r="J1213" s="703" t="s">
        <v>337</v>
      </c>
      <c r="K1213" s="704">
        <v>0</v>
      </c>
      <c r="L1213" s="703" t="s">
        <v>334</v>
      </c>
      <c r="M1213" s="702">
        <v>42886</v>
      </c>
      <c r="N1213" s="702">
        <v>44187</v>
      </c>
      <c r="O1213" s="703" t="s">
        <v>338</v>
      </c>
      <c r="P1213" s="20">
        <v>1724.24</v>
      </c>
      <c r="Q1213" s="20">
        <v>0</v>
      </c>
      <c r="R1213" s="20">
        <v>0</v>
      </c>
      <c r="S1213" s="20">
        <v>0</v>
      </c>
      <c r="T1213" s="20">
        <v>1724.24</v>
      </c>
      <c r="U1213" s="20">
        <v>1666.77</v>
      </c>
      <c r="V1213" s="20">
        <v>-57.47</v>
      </c>
      <c r="W1213" s="20">
        <v>-114.94</v>
      </c>
      <c r="X1213" s="20">
        <v>-57.47</v>
      </c>
      <c r="Y1213" s="20">
        <v>0</v>
      </c>
      <c r="Z1213" s="20">
        <v>0</v>
      </c>
      <c r="AA1213" s="20">
        <v>0</v>
      </c>
      <c r="AB1213" s="20">
        <v>1609.3</v>
      </c>
      <c r="AC1213" t="s">
        <v>188</v>
      </c>
      <c r="AD1213" t="s">
        <v>290</v>
      </c>
      <c r="AE1213" s="702">
        <f t="shared" si="90"/>
        <v>43983</v>
      </c>
      <c r="AF1213" s="289">
        <v>2488.9018163892215</v>
      </c>
      <c r="AG1213">
        <f t="shared" si="91"/>
        <v>360</v>
      </c>
      <c r="AH1213" s="289">
        <f t="shared" si="92"/>
        <v>6.913616156636726</v>
      </c>
      <c r="AJ1213" s="289">
        <f t="shared" si="93"/>
        <v>30</v>
      </c>
      <c r="AK1213" s="289">
        <f t="shared" si="94"/>
        <v>207.40848469910179</v>
      </c>
    </row>
    <row r="1214" spans="1:37">
      <c r="A1214" s="703" t="s">
        <v>2581</v>
      </c>
      <c r="B1214" s="703" t="s">
        <v>2311</v>
      </c>
      <c r="C1214" s="703" t="s">
        <v>390</v>
      </c>
      <c r="D1214" s="703" t="s">
        <v>334</v>
      </c>
      <c r="E1214" s="703" t="s">
        <v>334</v>
      </c>
      <c r="F1214" s="703" t="s">
        <v>335</v>
      </c>
      <c r="G1214" s="703" t="s">
        <v>2582</v>
      </c>
      <c r="H1214" s="703" t="s">
        <v>334</v>
      </c>
      <c r="I1214" s="703" t="s">
        <v>334</v>
      </c>
      <c r="J1214" s="703" t="s">
        <v>337</v>
      </c>
      <c r="K1214" s="704">
        <v>0</v>
      </c>
      <c r="L1214" s="703" t="s">
        <v>334</v>
      </c>
      <c r="M1214" s="702">
        <v>42886</v>
      </c>
      <c r="N1214" s="702">
        <v>44187</v>
      </c>
      <c r="O1214" s="703" t="s">
        <v>338</v>
      </c>
      <c r="P1214" s="20">
        <v>5067.9799999999996</v>
      </c>
      <c r="Q1214" s="20">
        <v>0</v>
      </c>
      <c r="R1214" s="20">
        <v>0</v>
      </c>
      <c r="S1214" s="20">
        <v>0</v>
      </c>
      <c r="T1214" s="20">
        <v>5067.9799999999996</v>
      </c>
      <c r="U1214" s="20">
        <v>4899.05</v>
      </c>
      <c r="V1214" s="20">
        <v>-168.93</v>
      </c>
      <c r="W1214" s="20">
        <v>-337.86</v>
      </c>
      <c r="X1214" s="20">
        <v>-168.93</v>
      </c>
      <c r="Y1214" s="20">
        <v>0</v>
      </c>
      <c r="Z1214" s="20">
        <v>0</v>
      </c>
      <c r="AA1214" s="20">
        <v>0</v>
      </c>
      <c r="AB1214" s="20">
        <v>4730.12</v>
      </c>
      <c r="AC1214" t="s">
        <v>188</v>
      </c>
      <c r="AD1214" t="s">
        <v>290</v>
      </c>
      <c r="AE1214" s="702">
        <f t="shared" si="90"/>
        <v>43983</v>
      </c>
      <c r="AF1214" s="289">
        <v>7315.5156053822247</v>
      </c>
      <c r="AG1214">
        <f t="shared" si="91"/>
        <v>360</v>
      </c>
      <c r="AH1214" s="289">
        <f t="shared" si="92"/>
        <v>20.320876681617293</v>
      </c>
      <c r="AJ1214" s="289">
        <f t="shared" si="93"/>
        <v>30</v>
      </c>
      <c r="AK1214" s="289">
        <f t="shared" si="94"/>
        <v>609.6263004485188</v>
      </c>
    </row>
    <row r="1215" spans="1:37">
      <c r="A1215" s="703" t="s">
        <v>2583</v>
      </c>
      <c r="B1215" s="703" t="s">
        <v>2311</v>
      </c>
      <c r="C1215" s="703" t="s">
        <v>390</v>
      </c>
      <c r="D1215" s="703" t="s">
        <v>334</v>
      </c>
      <c r="E1215" s="703" t="s">
        <v>334</v>
      </c>
      <c r="F1215" s="703" t="s">
        <v>335</v>
      </c>
      <c r="G1215" s="703" t="s">
        <v>2584</v>
      </c>
      <c r="H1215" s="703" t="s">
        <v>334</v>
      </c>
      <c r="I1215" s="703" t="s">
        <v>334</v>
      </c>
      <c r="J1215" s="703" t="s">
        <v>337</v>
      </c>
      <c r="K1215" s="704">
        <v>0</v>
      </c>
      <c r="L1215" s="703" t="s">
        <v>334</v>
      </c>
      <c r="M1215" s="702">
        <v>43251</v>
      </c>
      <c r="N1215" s="702">
        <v>44187</v>
      </c>
      <c r="O1215" s="703" t="s">
        <v>338</v>
      </c>
      <c r="P1215" s="20">
        <v>20717.23</v>
      </c>
      <c r="Q1215" s="20">
        <v>0</v>
      </c>
      <c r="R1215" s="20">
        <v>0</v>
      </c>
      <c r="S1215" s="20">
        <v>0</v>
      </c>
      <c r="T1215" s="20">
        <v>20717.23</v>
      </c>
      <c r="U1215" s="20">
        <v>20026.66</v>
      </c>
      <c r="V1215" s="20">
        <v>-690.57</v>
      </c>
      <c r="W1215" s="20">
        <v>-1381.14</v>
      </c>
      <c r="X1215" s="20">
        <v>-690.57</v>
      </c>
      <c r="Y1215" s="20">
        <v>0</v>
      </c>
      <c r="Z1215" s="20">
        <v>0</v>
      </c>
      <c r="AA1215" s="20">
        <v>0</v>
      </c>
      <c r="AB1215" s="20">
        <v>19336.09</v>
      </c>
      <c r="AC1215" t="s">
        <v>188</v>
      </c>
      <c r="AD1215" t="s">
        <v>290</v>
      </c>
      <c r="AE1215" s="702">
        <f t="shared" si="90"/>
        <v>43983</v>
      </c>
      <c r="AF1215" s="289">
        <v>29904.857431420962</v>
      </c>
      <c r="AG1215">
        <f t="shared" si="91"/>
        <v>360</v>
      </c>
      <c r="AH1215" s="289">
        <f t="shared" si="92"/>
        <v>83.069048420613782</v>
      </c>
      <c r="AJ1215" s="289">
        <f t="shared" si="93"/>
        <v>30</v>
      </c>
      <c r="AK1215" s="289">
        <f t="shared" si="94"/>
        <v>2492.0714526184133</v>
      </c>
    </row>
    <row r="1216" spans="1:37">
      <c r="A1216" s="703" t="s">
        <v>2585</v>
      </c>
      <c r="B1216" s="703" t="s">
        <v>2311</v>
      </c>
      <c r="C1216" s="703" t="s">
        <v>390</v>
      </c>
      <c r="D1216" s="703" t="s">
        <v>334</v>
      </c>
      <c r="E1216" s="703" t="s">
        <v>334</v>
      </c>
      <c r="F1216" s="703" t="s">
        <v>335</v>
      </c>
      <c r="G1216" s="703" t="s">
        <v>2586</v>
      </c>
      <c r="H1216" s="703" t="s">
        <v>334</v>
      </c>
      <c r="I1216" s="703" t="s">
        <v>334</v>
      </c>
      <c r="J1216" s="703" t="s">
        <v>337</v>
      </c>
      <c r="K1216" s="704">
        <v>0</v>
      </c>
      <c r="L1216" s="703" t="s">
        <v>334</v>
      </c>
      <c r="M1216" s="702">
        <v>43251</v>
      </c>
      <c r="N1216" s="702">
        <v>44187</v>
      </c>
      <c r="O1216" s="703" t="s">
        <v>338</v>
      </c>
      <c r="P1216" s="20">
        <v>1015.26</v>
      </c>
      <c r="Q1216" s="20">
        <v>0</v>
      </c>
      <c r="R1216" s="20">
        <v>0</v>
      </c>
      <c r="S1216" s="20">
        <v>0</v>
      </c>
      <c r="T1216" s="20">
        <v>1015.26</v>
      </c>
      <c r="U1216" s="20">
        <v>981.42</v>
      </c>
      <c r="V1216" s="20">
        <v>-33.840000000000003</v>
      </c>
      <c r="W1216" s="20">
        <v>-67.680000000000007</v>
      </c>
      <c r="X1216" s="20">
        <v>-33.840000000000003</v>
      </c>
      <c r="Y1216" s="20">
        <v>0</v>
      </c>
      <c r="Z1216" s="20">
        <v>0</v>
      </c>
      <c r="AA1216" s="20">
        <v>0</v>
      </c>
      <c r="AB1216" s="20">
        <v>947.58</v>
      </c>
      <c r="AC1216" t="s">
        <v>188</v>
      </c>
      <c r="AD1216" t="s">
        <v>290</v>
      </c>
      <c r="AE1216" s="702">
        <f t="shared" si="90"/>
        <v>43983</v>
      </c>
      <c r="AF1216" s="289">
        <v>1465.5050678022324</v>
      </c>
      <c r="AG1216">
        <f t="shared" si="91"/>
        <v>360</v>
      </c>
      <c r="AH1216" s="289">
        <f t="shared" si="92"/>
        <v>4.0708474105617567</v>
      </c>
      <c r="AJ1216" s="289">
        <f t="shared" si="93"/>
        <v>30</v>
      </c>
      <c r="AK1216" s="289">
        <f t="shared" si="94"/>
        <v>122.12542231685271</v>
      </c>
    </row>
    <row r="1217" spans="1:37">
      <c r="A1217" s="703" t="s">
        <v>2587</v>
      </c>
      <c r="B1217" s="703" t="s">
        <v>2311</v>
      </c>
      <c r="C1217" s="703" t="s">
        <v>390</v>
      </c>
      <c r="D1217" s="703" t="s">
        <v>334</v>
      </c>
      <c r="E1217" s="703" t="s">
        <v>334</v>
      </c>
      <c r="F1217" s="703" t="s">
        <v>335</v>
      </c>
      <c r="G1217" s="703" t="s">
        <v>2588</v>
      </c>
      <c r="H1217" s="703" t="s">
        <v>334</v>
      </c>
      <c r="I1217" s="703" t="s">
        <v>334</v>
      </c>
      <c r="J1217" s="703" t="s">
        <v>337</v>
      </c>
      <c r="K1217" s="704">
        <v>0</v>
      </c>
      <c r="L1217" s="703" t="s">
        <v>334</v>
      </c>
      <c r="M1217" s="702">
        <v>43251</v>
      </c>
      <c r="N1217" s="702">
        <v>44187</v>
      </c>
      <c r="O1217" s="703" t="s">
        <v>338</v>
      </c>
      <c r="P1217" s="20">
        <v>11690.82</v>
      </c>
      <c r="Q1217" s="20">
        <v>0</v>
      </c>
      <c r="R1217" s="20">
        <v>0</v>
      </c>
      <c r="S1217" s="20">
        <v>0</v>
      </c>
      <c r="T1217" s="20">
        <v>11690.82</v>
      </c>
      <c r="U1217" s="20">
        <v>11301.13</v>
      </c>
      <c r="V1217" s="20">
        <v>-389.69</v>
      </c>
      <c r="W1217" s="20">
        <v>-779.38</v>
      </c>
      <c r="X1217" s="20">
        <v>-389.69</v>
      </c>
      <c r="Y1217" s="20">
        <v>0</v>
      </c>
      <c r="Z1217" s="20">
        <v>0</v>
      </c>
      <c r="AA1217" s="20">
        <v>0</v>
      </c>
      <c r="AB1217" s="20">
        <v>10911.44</v>
      </c>
      <c r="AC1217" t="s">
        <v>188</v>
      </c>
      <c r="AD1217" t="s">
        <v>290</v>
      </c>
      <c r="AE1217" s="702">
        <f t="shared" si="90"/>
        <v>43983</v>
      </c>
      <c r="AF1217" s="289">
        <v>16875.436791328029</v>
      </c>
      <c r="AG1217">
        <f t="shared" si="91"/>
        <v>360</v>
      </c>
      <c r="AH1217" s="289">
        <f t="shared" si="92"/>
        <v>46.876213309244527</v>
      </c>
      <c r="AJ1217" s="289">
        <f t="shared" si="93"/>
        <v>30</v>
      </c>
      <c r="AK1217" s="289">
        <f t="shared" si="94"/>
        <v>1406.2863992773357</v>
      </c>
    </row>
    <row r="1218" spans="1:37">
      <c r="A1218" s="703" t="s">
        <v>2589</v>
      </c>
      <c r="B1218" s="703" t="s">
        <v>2311</v>
      </c>
      <c r="C1218" s="703" t="s">
        <v>390</v>
      </c>
      <c r="D1218" s="703" t="s">
        <v>334</v>
      </c>
      <c r="E1218" s="703" t="s">
        <v>334</v>
      </c>
      <c r="F1218" s="703" t="s">
        <v>335</v>
      </c>
      <c r="G1218" s="703" t="s">
        <v>2590</v>
      </c>
      <c r="H1218" s="703" t="s">
        <v>334</v>
      </c>
      <c r="I1218" s="703" t="s">
        <v>334</v>
      </c>
      <c r="J1218" s="703" t="s">
        <v>337</v>
      </c>
      <c r="K1218" s="704">
        <v>0</v>
      </c>
      <c r="L1218" s="703" t="s">
        <v>334</v>
      </c>
      <c r="M1218" s="702">
        <v>43251</v>
      </c>
      <c r="N1218" s="702">
        <v>44187</v>
      </c>
      <c r="O1218" s="703" t="s">
        <v>338</v>
      </c>
      <c r="P1218" s="20">
        <v>1348.41</v>
      </c>
      <c r="Q1218" s="20">
        <v>0</v>
      </c>
      <c r="R1218" s="20">
        <v>0</v>
      </c>
      <c r="S1218" s="20">
        <v>0</v>
      </c>
      <c r="T1218" s="20">
        <v>1348.41</v>
      </c>
      <c r="U1218" s="20">
        <v>1303.46</v>
      </c>
      <c r="V1218" s="20">
        <v>-44.95</v>
      </c>
      <c r="W1218" s="20">
        <v>-89.9</v>
      </c>
      <c r="X1218" s="20">
        <v>-44.95</v>
      </c>
      <c r="Y1218" s="20">
        <v>0</v>
      </c>
      <c r="Z1218" s="20">
        <v>0</v>
      </c>
      <c r="AA1218" s="20">
        <v>0</v>
      </c>
      <c r="AB1218" s="20">
        <v>1258.51</v>
      </c>
      <c r="AC1218" t="s">
        <v>188</v>
      </c>
      <c r="AD1218" t="s">
        <v>290</v>
      </c>
      <c r="AE1218" s="702">
        <f t="shared" si="90"/>
        <v>43983</v>
      </c>
      <c r="AF1218" s="289">
        <v>1946.3996301195834</v>
      </c>
      <c r="AG1218">
        <f t="shared" si="91"/>
        <v>360</v>
      </c>
      <c r="AH1218" s="289">
        <f t="shared" si="92"/>
        <v>5.4066656392210648</v>
      </c>
      <c r="AJ1218" s="289">
        <f t="shared" si="93"/>
        <v>30</v>
      </c>
      <c r="AK1218" s="289">
        <f t="shared" si="94"/>
        <v>162.19996917663195</v>
      </c>
    </row>
    <row r="1219" spans="1:37">
      <c r="A1219" s="703" t="s">
        <v>2591</v>
      </c>
      <c r="B1219" s="703" t="s">
        <v>2311</v>
      </c>
      <c r="C1219" s="703" t="s">
        <v>390</v>
      </c>
      <c r="D1219" s="703" t="s">
        <v>334</v>
      </c>
      <c r="E1219" s="703" t="s">
        <v>334</v>
      </c>
      <c r="F1219" s="703" t="s">
        <v>335</v>
      </c>
      <c r="G1219" s="703" t="s">
        <v>2592</v>
      </c>
      <c r="H1219" s="703" t="s">
        <v>334</v>
      </c>
      <c r="I1219" s="703" t="s">
        <v>334</v>
      </c>
      <c r="J1219" s="703" t="s">
        <v>337</v>
      </c>
      <c r="K1219" s="704">
        <v>0</v>
      </c>
      <c r="L1219" s="703" t="s">
        <v>334</v>
      </c>
      <c r="M1219" s="702">
        <v>43251</v>
      </c>
      <c r="N1219" s="702">
        <v>44187</v>
      </c>
      <c r="O1219" s="703" t="s">
        <v>338</v>
      </c>
      <c r="P1219" s="20">
        <v>1962.12</v>
      </c>
      <c r="Q1219" s="20">
        <v>0</v>
      </c>
      <c r="R1219" s="20">
        <v>0</v>
      </c>
      <c r="S1219" s="20">
        <v>0</v>
      </c>
      <c r="T1219" s="20">
        <v>1962.12</v>
      </c>
      <c r="U1219" s="20">
        <v>1896.72</v>
      </c>
      <c r="V1219" s="20">
        <v>-65.400000000000006</v>
      </c>
      <c r="W1219" s="20">
        <v>-130.80000000000001</v>
      </c>
      <c r="X1219" s="20">
        <v>-65.400000000000006</v>
      </c>
      <c r="Y1219" s="20">
        <v>0</v>
      </c>
      <c r="Z1219" s="20">
        <v>0</v>
      </c>
      <c r="AA1219" s="20">
        <v>0</v>
      </c>
      <c r="AB1219" s="20">
        <v>1831.32</v>
      </c>
      <c r="AC1219" t="s">
        <v>188</v>
      </c>
      <c r="AD1219" t="s">
        <v>290</v>
      </c>
      <c r="AE1219" s="702">
        <f t="shared" si="90"/>
        <v>43983</v>
      </c>
      <c r="AF1219" s="289">
        <v>2832.2762677896462</v>
      </c>
      <c r="AG1219">
        <f t="shared" si="91"/>
        <v>360</v>
      </c>
      <c r="AH1219" s="289">
        <f t="shared" si="92"/>
        <v>7.8674340771934617</v>
      </c>
      <c r="AJ1219" s="289">
        <f t="shared" si="93"/>
        <v>30</v>
      </c>
      <c r="AK1219" s="289">
        <f t="shared" si="94"/>
        <v>236.02302231580384</v>
      </c>
    </row>
    <row r="1220" spans="1:37">
      <c r="A1220" s="703" t="s">
        <v>2593</v>
      </c>
      <c r="B1220" s="703" t="s">
        <v>2311</v>
      </c>
      <c r="C1220" s="703" t="s">
        <v>390</v>
      </c>
      <c r="D1220" s="703" t="s">
        <v>334</v>
      </c>
      <c r="E1220" s="703" t="s">
        <v>334</v>
      </c>
      <c r="F1220" s="703" t="s">
        <v>335</v>
      </c>
      <c r="G1220" s="703" t="s">
        <v>2594</v>
      </c>
      <c r="H1220" s="703" t="s">
        <v>334</v>
      </c>
      <c r="I1220" s="703" t="s">
        <v>334</v>
      </c>
      <c r="J1220" s="703" t="s">
        <v>337</v>
      </c>
      <c r="K1220" s="704">
        <v>0</v>
      </c>
      <c r="L1220" s="703" t="s">
        <v>334</v>
      </c>
      <c r="M1220" s="702">
        <v>43251</v>
      </c>
      <c r="N1220" s="702">
        <v>44187</v>
      </c>
      <c r="O1220" s="703" t="s">
        <v>338</v>
      </c>
      <c r="P1220" s="20">
        <v>6103.88</v>
      </c>
      <c r="Q1220" s="20">
        <v>0</v>
      </c>
      <c r="R1220" s="20">
        <v>0</v>
      </c>
      <c r="S1220" s="20">
        <v>0</v>
      </c>
      <c r="T1220" s="20">
        <v>6103.88</v>
      </c>
      <c r="U1220" s="20">
        <v>5900.42</v>
      </c>
      <c r="V1220" s="20">
        <v>-203.46</v>
      </c>
      <c r="W1220" s="20">
        <v>-406.92</v>
      </c>
      <c r="X1220" s="20">
        <v>-203.46</v>
      </c>
      <c r="Y1220" s="20">
        <v>0</v>
      </c>
      <c r="Z1220" s="20">
        <v>0</v>
      </c>
      <c r="AA1220" s="20">
        <v>0</v>
      </c>
      <c r="AB1220" s="20">
        <v>5696.96</v>
      </c>
      <c r="AC1220" t="s">
        <v>188</v>
      </c>
      <c r="AD1220" t="s">
        <v>290</v>
      </c>
      <c r="AE1220" s="702">
        <f t="shared" si="90"/>
        <v>43983</v>
      </c>
      <c r="AF1220" s="289">
        <v>8810.8140508408578</v>
      </c>
      <c r="AG1220">
        <f t="shared" si="91"/>
        <v>360</v>
      </c>
      <c r="AH1220" s="289">
        <f t="shared" si="92"/>
        <v>24.474483474557939</v>
      </c>
      <c r="AJ1220" s="289">
        <f t="shared" si="93"/>
        <v>30</v>
      </c>
      <c r="AK1220" s="289">
        <f t="shared" si="94"/>
        <v>734.23450423673819</v>
      </c>
    </row>
    <row r="1221" spans="1:37">
      <c r="A1221" s="703" t="s">
        <v>2595</v>
      </c>
      <c r="B1221" s="703" t="s">
        <v>2311</v>
      </c>
      <c r="C1221" s="703" t="s">
        <v>390</v>
      </c>
      <c r="D1221" s="703" t="s">
        <v>334</v>
      </c>
      <c r="E1221" s="703" t="s">
        <v>334</v>
      </c>
      <c r="F1221" s="703" t="s">
        <v>335</v>
      </c>
      <c r="G1221" s="703" t="s">
        <v>2596</v>
      </c>
      <c r="H1221" s="703" t="s">
        <v>334</v>
      </c>
      <c r="I1221" s="703" t="s">
        <v>334</v>
      </c>
      <c r="J1221" s="703" t="s">
        <v>337</v>
      </c>
      <c r="K1221" s="704">
        <v>0</v>
      </c>
      <c r="L1221" s="703" t="s">
        <v>334</v>
      </c>
      <c r="M1221" s="702">
        <v>43251</v>
      </c>
      <c r="N1221" s="702">
        <v>44187</v>
      </c>
      <c r="O1221" s="703" t="s">
        <v>338</v>
      </c>
      <c r="P1221" s="20">
        <v>4865.51</v>
      </c>
      <c r="Q1221" s="20">
        <v>0</v>
      </c>
      <c r="R1221" s="20">
        <v>0</v>
      </c>
      <c r="S1221" s="20">
        <v>0</v>
      </c>
      <c r="T1221" s="20">
        <v>4865.51</v>
      </c>
      <c r="U1221" s="20">
        <v>4703.33</v>
      </c>
      <c r="V1221" s="20">
        <v>-162.18</v>
      </c>
      <c r="W1221" s="20">
        <v>-324.36</v>
      </c>
      <c r="X1221" s="20">
        <v>-162.18</v>
      </c>
      <c r="Y1221" s="20">
        <v>0</v>
      </c>
      <c r="Z1221" s="20">
        <v>0</v>
      </c>
      <c r="AA1221" s="20">
        <v>0</v>
      </c>
      <c r="AB1221" s="20">
        <v>4541.1499999999996</v>
      </c>
      <c r="AC1221" t="s">
        <v>188</v>
      </c>
      <c r="AD1221" t="s">
        <v>290</v>
      </c>
      <c r="AE1221" s="702">
        <f t="shared" si="90"/>
        <v>43983</v>
      </c>
      <c r="AF1221" s="289">
        <v>7023.2546957847653</v>
      </c>
      <c r="AG1221">
        <f t="shared" si="91"/>
        <v>360</v>
      </c>
      <c r="AH1221" s="289">
        <f t="shared" si="92"/>
        <v>19.50904082162435</v>
      </c>
      <c r="AJ1221" s="289">
        <f t="shared" si="93"/>
        <v>30</v>
      </c>
      <c r="AK1221" s="289">
        <f t="shared" si="94"/>
        <v>585.27122464873048</v>
      </c>
    </row>
    <row r="1222" spans="1:37">
      <c r="A1222" s="703" t="s">
        <v>2597</v>
      </c>
      <c r="B1222" s="703" t="s">
        <v>2311</v>
      </c>
      <c r="C1222" s="703" t="s">
        <v>390</v>
      </c>
      <c r="D1222" s="703" t="s">
        <v>334</v>
      </c>
      <c r="E1222" s="703" t="s">
        <v>334</v>
      </c>
      <c r="F1222" s="703" t="s">
        <v>335</v>
      </c>
      <c r="G1222" s="703" t="s">
        <v>2598</v>
      </c>
      <c r="H1222" s="703" t="s">
        <v>334</v>
      </c>
      <c r="I1222" s="703" t="s">
        <v>334</v>
      </c>
      <c r="J1222" s="703" t="s">
        <v>337</v>
      </c>
      <c r="K1222" s="704">
        <v>0</v>
      </c>
      <c r="L1222" s="703" t="s">
        <v>334</v>
      </c>
      <c r="M1222" s="702">
        <v>43251</v>
      </c>
      <c r="N1222" s="702">
        <v>44187</v>
      </c>
      <c r="O1222" s="703" t="s">
        <v>338</v>
      </c>
      <c r="P1222" s="20">
        <v>37098.67</v>
      </c>
      <c r="Q1222" s="20">
        <v>0</v>
      </c>
      <c r="R1222" s="20">
        <v>0</v>
      </c>
      <c r="S1222" s="20">
        <v>0</v>
      </c>
      <c r="T1222" s="20">
        <v>37098.67</v>
      </c>
      <c r="U1222" s="20">
        <v>35862.050000000003</v>
      </c>
      <c r="V1222" s="20">
        <v>-1236.6199999999999</v>
      </c>
      <c r="W1222" s="20">
        <v>-2473.2399999999998</v>
      </c>
      <c r="X1222" s="20">
        <v>-1236.6199999999999</v>
      </c>
      <c r="Y1222" s="20">
        <v>0</v>
      </c>
      <c r="Z1222" s="20">
        <v>0</v>
      </c>
      <c r="AA1222" s="20">
        <v>0</v>
      </c>
      <c r="AB1222" s="20">
        <v>34625.43</v>
      </c>
      <c r="AC1222" t="s">
        <v>188</v>
      </c>
      <c r="AD1222" t="s">
        <v>290</v>
      </c>
      <c r="AE1222" s="702">
        <f t="shared" si="90"/>
        <v>43983</v>
      </c>
      <c r="AF1222" s="289">
        <v>53551.099121134132</v>
      </c>
      <c r="AG1222">
        <f t="shared" si="91"/>
        <v>360</v>
      </c>
      <c r="AH1222" s="289">
        <f t="shared" si="92"/>
        <v>148.75305311426149</v>
      </c>
      <c r="AJ1222" s="289">
        <f t="shared" si="93"/>
        <v>30</v>
      </c>
      <c r="AK1222" s="289">
        <f t="shared" si="94"/>
        <v>4462.5915934278446</v>
      </c>
    </row>
    <row r="1223" spans="1:37">
      <c r="A1223" s="703" t="s">
        <v>2599</v>
      </c>
      <c r="B1223" s="703" t="s">
        <v>2311</v>
      </c>
      <c r="C1223" s="703" t="s">
        <v>390</v>
      </c>
      <c r="D1223" s="703" t="s">
        <v>334</v>
      </c>
      <c r="E1223" s="703" t="s">
        <v>334</v>
      </c>
      <c r="F1223" s="703" t="s">
        <v>335</v>
      </c>
      <c r="G1223" s="703" t="s">
        <v>2600</v>
      </c>
      <c r="H1223" s="703" t="s">
        <v>334</v>
      </c>
      <c r="I1223" s="703" t="s">
        <v>334</v>
      </c>
      <c r="J1223" s="703" t="s">
        <v>337</v>
      </c>
      <c r="K1223" s="704">
        <v>0</v>
      </c>
      <c r="L1223" s="703" t="s">
        <v>334</v>
      </c>
      <c r="M1223" s="702">
        <v>43251</v>
      </c>
      <c r="N1223" s="702">
        <v>44187</v>
      </c>
      <c r="O1223" s="703" t="s">
        <v>338</v>
      </c>
      <c r="P1223" s="20">
        <v>17218.68</v>
      </c>
      <c r="Q1223" s="20">
        <v>0</v>
      </c>
      <c r="R1223" s="20">
        <v>0</v>
      </c>
      <c r="S1223" s="20">
        <v>0</v>
      </c>
      <c r="T1223" s="20">
        <v>17218.68</v>
      </c>
      <c r="U1223" s="20">
        <v>16644.72</v>
      </c>
      <c r="V1223" s="20">
        <v>-573.96</v>
      </c>
      <c r="W1223" s="20">
        <v>-1147.92</v>
      </c>
      <c r="X1223" s="20">
        <v>-573.96</v>
      </c>
      <c r="Y1223" s="20">
        <v>0</v>
      </c>
      <c r="Z1223" s="20">
        <v>0</v>
      </c>
      <c r="AA1223" s="20">
        <v>0</v>
      </c>
      <c r="AB1223" s="20">
        <v>16070.76</v>
      </c>
      <c r="AC1223" t="s">
        <v>188</v>
      </c>
      <c r="AD1223" t="s">
        <v>290</v>
      </c>
      <c r="AE1223" s="702">
        <f t="shared" ref="AE1223:AE1286" si="95">IF(N1223&gt;=$AG$5,DATE(YEAR(N1223),6,1),DATE(YEAR(N1223),6,1))</f>
        <v>43983</v>
      </c>
      <c r="AF1223" s="289">
        <v>24854.778875228949</v>
      </c>
      <c r="AG1223">
        <f t="shared" ref="AG1223:AG1286" si="96">+IF(AD1223="intangível",20*12,IF(AD1223="Diferido",120,IF(AD1223="Não vinculados",0,IF(AE1223&lt;=$AG$5,F1223*12,360))))</f>
        <v>360</v>
      </c>
      <c r="AH1223" s="289">
        <f t="shared" ref="AH1223:AH1286" si="97">IF(AG1223=0,0,AF1223/AG1223)</f>
        <v>69.041052431191531</v>
      </c>
      <c r="AJ1223" s="289">
        <f t="shared" ref="AJ1223:AJ1286" si="98">+IF(AND(YEAR(AE1223)&gt;=2018,YEAR(AE1223)&lt;=2022),IF(DATEDIF(AE1223,$AK$4,"m")&gt;=AG1223,AG1223,DATEDIF(AE1223,$AK$4,"m")),0)</f>
        <v>30</v>
      </c>
      <c r="AK1223" s="289">
        <f t="shared" ref="AK1223:AK1286" si="99">IF(AD1223="Imobilizado",AJ1223*AH1223,0)</f>
        <v>2071.231572935746</v>
      </c>
    </row>
    <row r="1224" spans="1:37">
      <c r="A1224" s="703" t="s">
        <v>2601</v>
      </c>
      <c r="B1224" s="703" t="s">
        <v>2311</v>
      </c>
      <c r="C1224" s="703" t="s">
        <v>390</v>
      </c>
      <c r="D1224" s="703" t="s">
        <v>334</v>
      </c>
      <c r="E1224" s="703" t="s">
        <v>334</v>
      </c>
      <c r="F1224" s="703" t="s">
        <v>335</v>
      </c>
      <c r="G1224" s="703" t="s">
        <v>2602</v>
      </c>
      <c r="H1224" s="703" t="s">
        <v>334</v>
      </c>
      <c r="I1224" s="703" t="s">
        <v>334</v>
      </c>
      <c r="J1224" s="703" t="s">
        <v>337</v>
      </c>
      <c r="K1224" s="704">
        <v>0</v>
      </c>
      <c r="L1224" s="703" t="s">
        <v>334</v>
      </c>
      <c r="M1224" s="702">
        <v>43251</v>
      </c>
      <c r="N1224" s="702">
        <v>44187</v>
      </c>
      <c r="O1224" s="703" t="s">
        <v>338</v>
      </c>
      <c r="P1224" s="20">
        <v>10382.879999999999</v>
      </c>
      <c r="Q1224" s="20">
        <v>0</v>
      </c>
      <c r="R1224" s="20">
        <v>0</v>
      </c>
      <c r="S1224" s="20">
        <v>0</v>
      </c>
      <c r="T1224" s="20">
        <v>10382.879999999999</v>
      </c>
      <c r="U1224" s="20">
        <v>10036.780000000001</v>
      </c>
      <c r="V1224" s="20">
        <v>-346.1</v>
      </c>
      <c r="W1224" s="20">
        <v>-692.2</v>
      </c>
      <c r="X1224" s="20">
        <v>-346.1</v>
      </c>
      <c r="Y1224" s="20">
        <v>0</v>
      </c>
      <c r="Z1224" s="20">
        <v>0</v>
      </c>
      <c r="AA1224" s="20">
        <v>0</v>
      </c>
      <c r="AB1224" s="20">
        <v>9690.68</v>
      </c>
      <c r="AC1224" t="s">
        <v>188</v>
      </c>
      <c r="AD1224" t="s">
        <v>290</v>
      </c>
      <c r="AE1224" s="702">
        <f t="shared" si="95"/>
        <v>43983</v>
      </c>
      <c r="AF1224" s="289">
        <v>14987.454699665546</v>
      </c>
      <c r="AG1224">
        <f t="shared" si="96"/>
        <v>360</v>
      </c>
      <c r="AH1224" s="289">
        <f t="shared" si="97"/>
        <v>41.631818610182073</v>
      </c>
      <c r="AJ1224" s="289">
        <f t="shared" si="98"/>
        <v>30</v>
      </c>
      <c r="AK1224" s="289">
        <f t="shared" si="99"/>
        <v>1248.9545583054621</v>
      </c>
    </row>
    <row r="1225" spans="1:37">
      <c r="A1225" s="703" t="s">
        <v>2603</v>
      </c>
      <c r="B1225" s="703" t="s">
        <v>2311</v>
      </c>
      <c r="C1225" s="703" t="s">
        <v>390</v>
      </c>
      <c r="D1225" s="703" t="s">
        <v>334</v>
      </c>
      <c r="E1225" s="703" t="s">
        <v>334</v>
      </c>
      <c r="F1225" s="703" t="s">
        <v>335</v>
      </c>
      <c r="G1225" s="703" t="s">
        <v>2604</v>
      </c>
      <c r="H1225" s="703" t="s">
        <v>334</v>
      </c>
      <c r="I1225" s="703" t="s">
        <v>334</v>
      </c>
      <c r="J1225" s="703" t="s">
        <v>337</v>
      </c>
      <c r="K1225" s="704">
        <v>0</v>
      </c>
      <c r="L1225" s="703" t="s">
        <v>334</v>
      </c>
      <c r="M1225" s="702">
        <v>43251</v>
      </c>
      <c r="N1225" s="702">
        <v>44187</v>
      </c>
      <c r="O1225" s="703" t="s">
        <v>338</v>
      </c>
      <c r="P1225" s="20">
        <v>12726.81</v>
      </c>
      <c r="Q1225" s="20">
        <v>0</v>
      </c>
      <c r="R1225" s="20">
        <v>0</v>
      </c>
      <c r="S1225" s="20">
        <v>0</v>
      </c>
      <c r="T1225" s="20">
        <v>12726.81</v>
      </c>
      <c r="U1225" s="20">
        <v>12302.58</v>
      </c>
      <c r="V1225" s="20">
        <v>-424.23</v>
      </c>
      <c r="W1225" s="20">
        <v>-848.46</v>
      </c>
      <c r="X1225" s="20">
        <v>-424.23</v>
      </c>
      <c r="Y1225" s="20">
        <v>0</v>
      </c>
      <c r="Z1225" s="20">
        <v>0</v>
      </c>
      <c r="AA1225" s="20">
        <v>0</v>
      </c>
      <c r="AB1225" s="20">
        <v>11878.35</v>
      </c>
      <c r="AC1225" t="s">
        <v>188</v>
      </c>
      <c r="AD1225" t="s">
        <v>290</v>
      </c>
      <c r="AE1225" s="702">
        <f t="shared" si="95"/>
        <v>43983</v>
      </c>
      <c r="AF1225" s="289">
        <v>18370.865149770627</v>
      </c>
      <c r="AG1225">
        <f t="shared" si="96"/>
        <v>360</v>
      </c>
      <c r="AH1225" s="289">
        <f t="shared" si="97"/>
        <v>51.030180971585075</v>
      </c>
      <c r="AJ1225" s="289">
        <f t="shared" si="98"/>
        <v>30</v>
      </c>
      <c r="AK1225" s="289">
        <f t="shared" si="99"/>
        <v>1530.9054291475522</v>
      </c>
    </row>
    <row r="1226" spans="1:37">
      <c r="A1226" s="703" t="s">
        <v>2605</v>
      </c>
      <c r="B1226" s="703" t="s">
        <v>2311</v>
      </c>
      <c r="C1226" s="703" t="s">
        <v>390</v>
      </c>
      <c r="D1226" s="703" t="s">
        <v>334</v>
      </c>
      <c r="E1226" s="703" t="s">
        <v>334</v>
      </c>
      <c r="F1226" s="703" t="s">
        <v>335</v>
      </c>
      <c r="G1226" s="703" t="s">
        <v>2606</v>
      </c>
      <c r="H1226" s="703" t="s">
        <v>334</v>
      </c>
      <c r="I1226" s="703" t="s">
        <v>334</v>
      </c>
      <c r="J1226" s="703" t="s">
        <v>337</v>
      </c>
      <c r="K1226" s="704">
        <v>0</v>
      </c>
      <c r="L1226" s="703" t="s">
        <v>334</v>
      </c>
      <c r="M1226" s="702">
        <v>42886</v>
      </c>
      <c r="N1226" s="702">
        <v>44187</v>
      </c>
      <c r="O1226" s="703" t="s">
        <v>338</v>
      </c>
      <c r="P1226" s="20">
        <v>193026.03</v>
      </c>
      <c r="Q1226" s="20">
        <v>0</v>
      </c>
      <c r="R1226" s="20">
        <v>0</v>
      </c>
      <c r="S1226" s="20">
        <v>0</v>
      </c>
      <c r="T1226" s="20">
        <v>193026.03</v>
      </c>
      <c r="U1226" s="20">
        <v>186591.83</v>
      </c>
      <c r="V1226" s="20">
        <v>-6434.2</v>
      </c>
      <c r="W1226" s="20">
        <v>-12868.4</v>
      </c>
      <c r="X1226" s="20">
        <v>-6434.2</v>
      </c>
      <c r="Y1226" s="20">
        <v>0</v>
      </c>
      <c r="Z1226" s="20">
        <v>0</v>
      </c>
      <c r="AA1226" s="20">
        <v>0</v>
      </c>
      <c r="AB1226" s="20">
        <v>180157.63</v>
      </c>
      <c r="AC1226" t="s">
        <v>188</v>
      </c>
      <c r="AD1226" t="s">
        <v>290</v>
      </c>
      <c r="AE1226" s="702">
        <f t="shared" si="95"/>
        <v>43983</v>
      </c>
      <c r="AF1226" s="289">
        <v>278628.75045086554</v>
      </c>
      <c r="AG1226">
        <f t="shared" si="96"/>
        <v>360</v>
      </c>
      <c r="AH1226" s="289">
        <f t="shared" si="97"/>
        <v>773.96875125240433</v>
      </c>
      <c r="AJ1226" s="289">
        <f t="shared" si="98"/>
        <v>30</v>
      </c>
      <c r="AK1226" s="289">
        <f t="shared" si="99"/>
        <v>23219.062537572128</v>
      </c>
    </row>
    <row r="1227" spans="1:37">
      <c r="A1227" s="703" t="s">
        <v>2607</v>
      </c>
      <c r="B1227" s="703" t="s">
        <v>2311</v>
      </c>
      <c r="C1227" s="703" t="s">
        <v>390</v>
      </c>
      <c r="D1227" s="703" t="s">
        <v>334</v>
      </c>
      <c r="E1227" s="703" t="s">
        <v>334</v>
      </c>
      <c r="F1227" s="703" t="s">
        <v>335</v>
      </c>
      <c r="G1227" s="703" t="s">
        <v>2608</v>
      </c>
      <c r="H1227" s="703" t="s">
        <v>334</v>
      </c>
      <c r="I1227" s="703" t="s">
        <v>334</v>
      </c>
      <c r="J1227" s="703" t="s">
        <v>337</v>
      </c>
      <c r="K1227" s="704">
        <v>0</v>
      </c>
      <c r="L1227" s="703" t="s">
        <v>334</v>
      </c>
      <c r="M1227" s="702">
        <v>43251</v>
      </c>
      <c r="N1227" s="702">
        <v>44187</v>
      </c>
      <c r="O1227" s="703" t="s">
        <v>338</v>
      </c>
      <c r="P1227" s="20">
        <v>22582.45</v>
      </c>
      <c r="Q1227" s="20">
        <v>0</v>
      </c>
      <c r="R1227" s="20">
        <v>0</v>
      </c>
      <c r="S1227" s="20">
        <v>0</v>
      </c>
      <c r="T1227" s="20">
        <v>22582.45</v>
      </c>
      <c r="U1227" s="20">
        <v>21829.7</v>
      </c>
      <c r="V1227" s="20">
        <v>-752.75</v>
      </c>
      <c r="W1227" s="20">
        <v>-1505.5</v>
      </c>
      <c r="X1227" s="20">
        <v>-752.75</v>
      </c>
      <c r="Y1227" s="20">
        <v>0</v>
      </c>
      <c r="Z1227" s="20">
        <v>0</v>
      </c>
      <c r="AA1227" s="20">
        <v>0</v>
      </c>
      <c r="AB1227" s="20">
        <v>21076.95</v>
      </c>
      <c r="AC1227" t="s">
        <v>188</v>
      </c>
      <c r="AD1227" t="s">
        <v>290</v>
      </c>
      <c r="AE1227" s="702">
        <f t="shared" si="95"/>
        <v>43983</v>
      </c>
      <c r="AF1227" s="289">
        <v>32597.260719806283</v>
      </c>
      <c r="AG1227">
        <f t="shared" si="96"/>
        <v>360</v>
      </c>
      <c r="AH1227" s="289">
        <f t="shared" si="97"/>
        <v>90.547946443906341</v>
      </c>
      <c r="AJ1227" s="289">
        <f t="shared" si="98"/>
        <v>30</v>
      </c>
      <c r="AK1227" s="289">
        <f t="shared" si="99"/>
        <v>2716.4383933171903</v>
      </c>
    </row>
    <row r="1228" spans="1:37">
      <c r="A1228" s="703" t="s">
        <v>2609</v>
      </c>
      <c r="B1228" s="703" t="s">
        <v>2311</v>
      </c>
      <c r="C1228" s="703" t="s">
        <v>390</v>
      </c>
      <c r="D1228" s="703" t="s">
        <v>334</v>
      </c>
      <c r="E1228" s="703" t="s">
        <v>334</v>
      </c>
      <c r="F1228" s="703" t="s">
        <v>335</v>
      </c>
      <c r="G1228" s="703" t="s">
        <v>2610</v>
      </c>
      <c r="H1228" s="703" t="s">
        <v>334</v>
      </c>
      <c r="I1228" s="703" t="s">
        <v>334</v>
      </c>
      <c r="J1228" s="703" t="s">
        <v>337</v>
      </c>
      <c r="K1228" s="704">
        <v>0</v>
      </c>
      <c r="L1228" s="703" t="s">
        <v>334</v>
      </c>
      <c r="M1228" s="702">
        <v>43251</v>
      </c>
      <c r="N1228" s="702">
        <v>44187</v>
      </c>
      <c r="O1228" s="703" t="s">
        <v>338</v>
      </c>
      <c r="P1228" s="20">
        <v>16924.22</v>
      </c>
      <c r="Q1228" s="20">
        <v>0</v>
      </c>
      <c r="R1228" s="20">
        <v>0</v>
      </c>
      <c r="S1228" s="20">
        <v>0</v>
      </c>
      <c r="T1228" s="20">
        <v>16924.22</v>
      </c>
      <c r="U1228" s="20">
        <v>16360.08</v>
      </c>
      <c r="V1228" s="20">
        <v>-564.14</v>
      </c>
      <c r="W1228" s="20">
        <v>-1128.28</v>
      </c>
      <c r="X1228" s="20">
        <v>-564.14</v>
      </c>
      <c r="Y1228" s="20">
        <v>0</v>
      </c>
      <c r="Z1228" s="20">
        <v>0</v>
      </c>
      <c r="AA1228" s="20">
        <v>0</v>
      </c>
      <c r="AB1228" s="20">
        <v>15795.94</v>
      </c>
      <c r="AC1228" t="s">
        <v>188</v>
      </c>
      <c r="AD1228" t="s">
        <v>290</v>
      </c>
      <c r="AE1228" s="702">
        <f t="shared" si="95"/>
        <v>43983</v>
      </c>
      <c r="AF1228" s="289">
        <v>24429.732461241354</v>
      </c>
      <c r="AG1228">
        <f t="shared" si="96"/>
        <v>360</v>
      </c>
      <c r="AH1228" s="289">
        <f t="shared" si="97"/>
        <v>67.860367947892655</v>
      </c>
      <c r="AJ1228" s="289">
        <f t="shared" si="98"/>
        <v>30</v>
      </c>
      <c r="AK1228" s="289">
        <f t="shared" si="99"/>
        <v>2035.8110384367797</v>
      </c>
    </row>
    <row r="1229" spans="1:37">
      <c r="A1229" s="703" t="s">
        <v>2611</v>
      </c>
      <c r="B1229" s="703" t="s">
        <v>2311</v>
      </c>
      <c r="C1229" s="703" t="s">
        <v>390</v>
      </c>
      <c r="D1229" s="703" t="s">
        <v>334</v>
      </c>
      <c r="E1229" s="703" t="s">
        <v>334</v>
      </c>
      <c r="F1229" s="703" t="s">
        <v>335</v>
      </c>
      <c r="G1229" s="703" t="s">
        <v>2612</v>
      </c>
      <c r="H1229" s="703" t="s">
        <v>334</v>
      </c>
      <c r="I1229" s="703" t="s">
        <v>334</v>
      </c>
      <c r="J1229" s="703" t="s">
        <v>337</v>
      </c>
      <c r="K1229" s="704">
        <v>0</v>
      </c>
      <c r="L1229" s="703" t="s">
        <v>334</v>
      </c>
      <c r="M1229" s="702">
        <v>43251</v>
      </c>
      <c r="N1229" s="702">
        <v>44187</v>
      </c>
      <c r="O1229" s="703" t="s">
        <v>338</v>
      </c>
      <c r="P1229" s="20">
        <v>310.58</v>
      </c>
      <c r="Q1229" s="20">
        <v>0</v>
      </c>
      <c r="R1229" s="20">
        <v>0</v>
      </c>
      <c r="S1229" s="20">
        <v>0</v>
      </c>
      <c r="T1229" s="20">
        <v>310.58</v>
      </c>
      <c r="U1229" s="20">
        <v>300.23</v>
      </c>
      <c r="V1229" s="20">
        <v>-10.35</v>
      </c>
      <c r="W1229" s="20">
        <v>-20.7</v>
      </c>
      <c r="X1229" s="20">
        <v>-10.35</v>
      </c>
      <c r="Y1229" s="20">
        <v>0</v>
      </c>
      <c r="Z1229" s="20">
        <v>0</v>
      </c>
      <c r="AA1229" s="20">
        <v>0</v>
      </c>
      <c r="AB1229" s="20">
        <v>289.88</v>
      </c>
      <c r="AC1229" t="s">
        <v>188</v>
      </c>
      <c r="AD1229" t="s">
        <v>290</v>
      </c>
      <c r="AE1229" s="702">
        <f t="shared" si="95"/>
        <v>43983</v>
      </c>
      <c r="AF1229" s="289">
        <v>448.31527289366011</v>
      </c>
      <c r="AG1229">
        <f t="shared" si="96"/>
        <v>360</v>
      </c>
      <c r="AH1229" s="289">
        <f t="shared" si="97"/>
        <v>1.2453202024823893</v>
      </c>
      <c r="AJ1229" s="289">
        <f t="shared" si="98"/>
        <v>30</v>
      </c>
      <c r="AK1229" s="289">
        <f t="shared" si="99"/>
        <v>37.359606074471678</v>
      </c>
    </row>
    <row r="1230" spans="1:37">
      <c r="A1230" s="703" t="s">
        <v>2613</v>
      </c>
      <c r="B1230" s="703" t="s">
        <v>2311</v>
      </c>
      <c r="C1230" s="703" t="s">
        <v>390</v>
      </c>
      <c r="D1230" s="703" t="s">
        <v>334</v>
      </c>
      <c r="E1230" s="703" t="s">
        <v>334</v>
      </c>
      <c r="F1230" s="703" t="s">
        <v>335</v>
      </c>
      <c r="G1230" s="703" t="s">
        <v>2614</v>
      </c>
      <c r="H1230" s="703" t="s">
        <v>334</v>
      </c>
      <c r="I1230" s="703" t="s">
        <v>334</v>
      </c>
      <c r="J1230" s="703" t="s">
        <v>337</v>
      </c>
      <c r="K1230" s="704">
        <v>0</v>
      </c>
      <c r="L1230" s="703" t="s">
        <v>334</v>
      </c>
      <c r="M1230" s="702">
        <v>43251</v>
      </c>
      <c r="N1230" s="702">
        <v>44187</v>
      </c>
      <c r="O1230" s="703" t="s">
        <v>338</v>
      </c>
      <c r="P1230" s="20">
        <v>10063.65</v>
      </c>
      <c r="Q1230" s="20">
        <v>0</v>
      </c>
      <c r="R1230" s="20">
        <v>0</v>
      </c>
      <c r="S1230" s="20">
        <v>0</v>
      </c>
      <c r="T1230" s="20">
        <v>10063.65</v>
      </c>
      <c r="U1230" s="20">
        <v>9728.19</v>
      </c>
      <c r="V1230" s="20">
        <v>-335.46</v>
      </c>
      <c r="W1230" s="20">
        <v>-670.92</v>
      </c>
      <c r="X1230" s="20">
        <v>-335.46</v>
      </c>
      <c r="Y1230" s="20">
        <v>0</v>
      </c>
      <c r="Z1230" s="20">
        <v>0</v>
      </c>
      <c r="AA1230" s="20">
        <v>0</v>
      </c>
      <c r="AB1230" s="20">
        <v>9392.73</v>
      </c>
      <c r="AC1230" t="s">
        <v>188</v>
      </c>
      <c r="AD1230" t="s">
        <v>290</v>
      </c>
      <c r="AE1230" s="702">
        <f t="shared" si="95"/>
        <v>43983</v>
      </c>
      <c r="AF1230" s="289">
        <v>14526.653345535069</v>
      </c>
      <c r="AG1230">
        <f t="shared" si="96"/>
        <v>360</v>
      </c>
      <c r="AH1230" s="289">
        <f t="shared" si="97"/>
        <v>40.351814848708528</v>
      </c>
      <c r="AJ1230" s="289">
        <f t="shared" si="98"/>
        <v>30</v>
      </c>
      <c r="AK1230" s="289">
        <f t="shared" si="99"/>
        <v>1210.5544454612559</v>
      </c>
    </row>
    <row r="1231" spans="1:37">
      <c r="A1231" s="703" t="s">
        <v>2615</v>
      </c>
      <c r="B1231" s="703" t="s">
        <v>2311</v>
      </c>
      <c r="C1231" s="703" t="s">
        <v>390</v>
      </c>
      <c r="D1231" s="703" t="s">
        <v>334</v>
      </c>
      <c r="E1231" s="703" t="s">
        <v>334</v>
      </c>
      <c r="F1231" s="703" t="s">
        <v>335</v>
      </c>
      <c r="G1231" s="703" t="s">
        <v>2616</v>
      </c>
      <c r="H1231" s="703" t="s">
        <v>334</v>
      </c>
      <c r="I1231" s="703" t="s">
        <v>334</v>
      </c>
      <c r="J1231" s="703" t="s">
        <v>337</v>
      </c>
      <c r="K1231" s="704">
        <v>0</v>
      </c>
      <c r="L1231" s="703" t="s">
        <v>334</v>
      </c>
      <c r="M1231" s="702">
        <v>43251</v>
      </c>
      <c r="N1231" s="702">
        <v>44187</v>
      </c>
      <c r="O1231" s="703" t="s">
        <v>338</v>
      </c>
      <c r="P1231" s="20">
        <v>10244.25</v>
      </c>
      <c r="Q1231" s="20">
        <v>0</v>
      </c>
      <c r="R1231" s="20">
        <v>0</v>
      </c>
      <c r="S1231" s="20">
        <v>0</v>
      </c>
      <c r="T1231" s="20">
        <v>10244.25</v>
      </c>
      <c r="U1231" s="20">
        <v>9902.77</v>
      </c>
      <c r="V1231" s="20">
        <v>-341.48</v>
      </c>
      <c r="W1231" s="20">
        <v>-682.96</v>
      </c>
      <c r="X1231" s="20">
        <v>-341.48</v>
      </c>
      <c r="Y1231" s="20">
        <v>0</v>
      </c>
      <c r="Z1231" s="20">
        <v>0</v>
      </c>
      <c r="AA1231" s="20">
        <v>0</v>
      </c>
      <c r="AB1231" s="20">
        <v>9561.2900000000009</v>
      </c>
      <c r="AC1231" t="s">
        <v>188</v>
      </c>
      <c r="AD1231" t="s">
        <v>290</v>
      </c>
      <c r="AE1231" s="702">
        <f t="shared" si="95"/>
        <v>43983</v>
      </c>
      <c r="AF1231" s="289">
        <v>14787.345400028582</v>
      </c>
      <c r="AG1231">
        <f t="shared" si="96"/>
        <v>360</v>
      </c>
      <c r="AH1231" s="289">
        <f t="shared" si="97"/>
        <v>41.075959444523839</v>
      </c>
      <c r="AJ1231" s="289">
        <f t="shared" si="98"/>
        <v>30</v>
      </c>
      <c r="AK1231" s="289">
        <f t="shared" si="99"/>
        <v>1232.2787833357152</v>
      </c>
    </row>
    <row r="1232" spans="1:37">
      <c r="A1232" s="703" t="s">
        <v>2617</v>
      </c>
      <c r="B1232" s="703" t="s">
        <v>2311</v>
      </c>
      <c r="C1232" s="703" t="s">
        <v>390</v>
      </c>
      <c r="D1232" s="703" t="s">
        <v>334</v>
      </c>
      <c r="E1232" s="703" t="s">
        <v>334</v>
      </c>
      <c r="F1232" s="703" t="s">
        <v>335</v>
      </c>
      <c r="G1232" s="703" t="s">
        <v>2618</v>
      </c>
      <c r="H1232" s="703" t="s">
        <v>334</v>
      </c>
      <c r="I1232" s="703" t="s">
        <v>334</v>
      </c>
      <c r="J1232" s="703" t="s">
        <v>337</v>
      </c>
      <c r="K1232" s="704">
        <v>0</v>
      </c>
      <c r="L1232" s="703" t="s">
        <v>334</v>
      </c>
      <c r="M1232" s="702">
        <v>43251</v>
      </c>
      <c r="N1232" s="702">
        <v>44187</v>
      </c>
      <c r="O1232" s="703" t="s">
        <v>338</v>
      </c>
      <c r="P1232" s="20">
        <v>155.33000000000001</v>
      </c>
      <c r="Q1232" s="20">
        <v>0</v>
      </c>
      <c r="R1232" s="20">
        <v>0</v>
      </c>
      <c r="S1232" s="20">
        <v>0</v>
      </c>
      <c r="T1232" s="20">
        <v>155.33000000000001</v>
      </c>
      <c r="U1232" s="20">
        <v>150.15</v>
      </c>
      <c r="V1232" s="20">
        <v>-5.18</v>
      </c>
      <c r="W1232" s="20">
        <v>-10.36</v>
      </c>
      <c r="X1232" s="20">
        <v>-5.18</v>
      </c>
      <c r="Y1232" s="20">
        <v>0</v>
      </c>
      <c r="Z1232" s="20">
        <v>0</v>
      </c>
      <c r="AA1232" s="20">
        <v>0</v>
      </c>
      <c r="AB1232" s="20">
        <v>144.97</v>
      </c>
      <c r="AC1232" t="s">
        <v>188</v>
      </c>
      <c r="AD1232" t="s">
        <v>290</v>
      </c>
      <c r="AE1232" s="702">
        <f t="shared" si="95"/>
        <v>43983</v>
      </c>
      <c r="AF1232" s="289">
        <v>224.21537555081534</v>
      </c>
      <c r="AG1232">
        <f t="shared" si="96"/>
        <v>360</v>
      </c>
      <c r="AH1232" s="289">
        <f t="shared" si="97"/>
        <v>0.62282048764115372</v>
      </c>
      <c r="AJ1232" s="289">
        <f t="shared" si="98"/>
        <v>30</v>
      </c>
      <c r="AK1232" s="289">
        <f t="shared" si="99"/>
        <v>18.684614629234613</v>
      </c>
    </row>
    <row r="1233" spans="1:37">
      <c r="A1233" s="703" t="s">
        <v>2619</v>
      </c>
      <c r="B1233" s="703" t="s">
        <v>2311</v>
      </c>
      <c r="C1233" s="703" t="s">
        <v>390</v>
      </c>
      <c r="D1233" s="703" t="s">
        <v>334</v>
      </c>
      <c r="E1233" s="703" t="s">
        <v>334</v>
      </c>
      <c r="F1233" s="703" t="s">
        <v>335</v>
      </c>
      <c r="G1233" s="703" t="s">
        <v>2620</v>
      </c>
      <c r="H1233" s="703" t="s">
        <v>334</v>
      </c>
      <c r="I1233" s="703" t="s">
        <v>334</v>
      </c>
      <c r="J1233" s="703" t="s">
        <v>337</v>
      </c>
      <c r="K1233" s="704">
        <v>0</v>
      </c>
      <c r="L1233" s="703" t="s">
        <v>334</v>
      </c>
      <c r="M1233" s="702">
        <v>43251</v>
      </c>
      <c r="N1233" s="702">
        <v>44187</v>
      </c>
      <c r="O1233" s="703" t="s">
        <v>338</v>
      </c>
      <c r="P1233" s="20">
        <v>18580.189999999999</v>
      </c>
      <c r="Q1233" s="20">
        <v>0</v>
      </c>
      <c r="R1233" s="20">
        <v>0</v>
      </c>
      <c r="S1233" s="20">
        <v>0</v>
      </c>
      <c r="T1233" s="20">
        <v>18580.189999999999</v>
      </c>
      <c r="U1233" s="20">
        <v>17960.849999999999</v>
      </c>
      <c r="V1233" s="20">
        <v>-619.34</v>
      </c>
      <c r="W1233" s="20">
        <v>-1238.68</v>
      </c>
      <c r="X1233" s="20">
        <v>-619.34</v>
      </c>
      <c r="Y1233" s="20">
        <v>0</v>
      </c>
      <c r="Z1233" s="20">
        <v>0</v>
      </c>
      <c r="AA1233" s="20">
        <v>0</v>
      </c>
      <c r="AB1233" s="20">
        <v>17341.509999999998</v>
      </c>
      <c r="AC1233" t="s">
        <v>188</v>
      </c>
      <c r="AD1233" t="s">
        <v>290</v>
      </c>
      <c r="AE1233" s="702">
        <f t="shared" si="95"/>
        <v>43983</v>
      </c>
      <c r="AF1233" s="289">
        <v>26820.088061903709</v>
      </c>
      <c r="AG1233">
        <f t="shared" si="96"/>
        <v>360</v>
      </c>
      <c r="AH1233" s="289">
        <f t="shared" si="97"/>
        <v>74.500244616399186</v>
      </c>
      <c r="AJ1233" s="289">
        <f t="shared" si="98"/>
        <v>30</v>
      </c>
      <c r="AK1233" s="289">
        <f t="shared" si="99"/>
        <v>2235.0073384919756</v>
      </c>
    </row>
    <row r="1234" spans="1:37">
      <c r="A1234" s="703" t="s">
        <v>2621</v>
      </c>
      <c r="B1234" s="703" t="s">
        <v>2311</v>
      </c>
      <c r="C1234" s="703" t="s">
        <v>390</v>
      </c>
      <c r="D1234" s="703" t="s">
        <v>334</v>
      </c>
      <c r="E1234" s="703" t="s">
        <v>334</v>
      </c>
      <c r="F1234" s="703" t="s">
        <v>335</v>
      </c>
      <c r="G1234" s="703" t="s">
        <v>2622</v>
      </c>
      <c r="H1234" s="703" t="s">
        <v>334</v>
      </c>
      <c r="I1234" s="703" t="s">
        <v>334</v>
      </c>
      <c r="J1234" s="703" t="s">
        <v>337</v>
      </c>
      <c r="K1234" s="704">
        <v>0</v>
      </c>
      <c r="L1234" s="703" t="s">
        <v>334</v>
      </c>
      <c r="M1234" s="702">
        <v>43251</v>
      </c>
      <c r="N1234" s="702">
        <v>44187</v>
      </c>
      <c r="O1234" s="703" t="s">
        <v>338</v>
      </c>
      <c r="P1234" s="20">
        <v>222.22</v>
      </c>
      <c r="Q1234" s="20">
        <v>0</v>
      </c>
      <c r="R1234" s="20">
        <v>0</v>
      </c>
      <c r="S1234" s="20">
        <v>0</v>
      </c>
      <c r="T1234" s="20">
        <v>222.22</v>
      </c>
      <c r="U1234" s="20">
        <v>214.81</v>
      </c>
      <c r="V1234" s="20">
        <v>-7.41</v>
      </c>
      <c r="W1234" s="20">
        <v>-14.82</v>
      </c>
      <c r="X1234" s="20">
        <v>-7.41</v>
      </c>
      <c r="Y1234" s="20">
        <v>0</v>
      </c>
      <c r="Z1234" s="20">
        <v>0</v>
      </c>
      <c r="AA1234" s="20">
        <v>0</v>
      </c>
      <c r="AB1234" s="20">
        <v>207.4</v>
      </c>
      <c r="AC1234" t="s">
        <v>188</v>
      </c>
      <c r="AD1234" t="s">
        <v>290</v>
      </c>
      <c r="AE1234" s="702">
        <f t="shared" si="95"/>
        <v>43983</v>
      </c>
      <c r="AF1234" s="289">
        <v>320.76959219018983</v>
      </c>
      <c r="AG1234">
        <f t="shared" si="96"/>
        <v>360</v>
      </c>
      <c r="AH1234" s="289">
        <f t="shared" si="97"/>
        <v>0.89102664497274953</v>
      </c>
      <c r="AJ1234" s="289">
        <f t="shared" si="98"/>
        <v>30</v>
      </c>
      <c r="AK1234" s="289">
        <f t="shared" si="99"/>
        <v>26.730799349182487</v>
      </c>
    </row>
    <row r="1235" spans="1:37">
      <c r="A1235" s="703" t="s">
        <v>2623</v>
      </c>
      <c r="B1235" s="703" t="s">
        <v>2311</v>
      </c>
      <c r="C1235" s="703" t="s">
        <v>390</v>
      </c>
      <c r="D1235" s="703" t="s">
        <v>334</v>
      </c>
      <c r="E1235" s="703" t="s">
        <v>334</v>
      </c>
      <c r="F1235" s="703" t="s">
        <v>335</v>
      </c>
      <c r="G1235" s="703" t="s">
        <v>2624</v>
      </c>
      <c r="H1235" s="703" t="s">
        <v>334</v>
      </c>
      <c r="I1235" s="703" t="s">
        <v>334</v>
      </c>
      <c r="J1235" s="703" t="s">
        <v>337</v>
      </c>
      <c r="K1235" s="704">
        <v>0</v>
      </c>
      <c r="L1235" s="703" t="s">
        <v>334</v>
      </c>
      <c r="M1235" s="702">
        <v>43251</v>
      </c>
      <c r="N1235" s="702">
        <v>44187</v>
      </c>
      <c r="O1235" s="703" t="s">
        <v>338</v>
      </c>
      <c r="P1235" s="20">
        <v>2525.9499999999998</v>
      </c>
      <c r="Q1235" s="20">
        <v>0</v>
      </c>
      <c r="R1235" s="20">
        <v>0</v>
      </c>
      <c r="S1235" s="20">
        <v>0</v>
      </c>
      <c r="T1235" s="20">
        <v>2525.9499999999998</v>
      </c>
      <c r="U1235" s="20">
        <v>2441.75</v>
      </c>
      <c r="V1235" s="20">
        <v>-84.2</v>
      </c>
      <c r="W1235" s="20">
        <v>-168.4</v>
      </c>
      <c r="X1235" s="20">
        <v>-84.2</v>
      </c>
      <c r="Y1235" s="20">
        <v>0</v>
      </c>
      <c r="Z1235" s="20">
        <v>0</v>
      </c>
      <c r="AA1235" s="20">
        <v>0</v>
      </c>
      <c r="AB1235" s="20">
        <v>2357.5500000000002</v>
      </c>
      <c r="AC1235" t="s">
        <v>188</v>
      </c>
      <c r="AD1235" t="s">
        <v>290</v>
      </c>
      <c r="AE1235" s="702">
        <f t="shared" si="95"/>
        <v>43983</v>
      </c>
      <c r="AF1235" s="289">
        <v>3646.1522427900718</v>
      </c>
      <c r="AG1235">
        <f t="shared" si="96"/>
        <v>360</v>
      </c>
      <c r="AH1235" s="289">
        <f t="shared" si="97"/>
        <v>10.128200674416867</v>
      </c>
      <c r="AJ1235" s="289">
        <f t="shared" si="98"/>
        <v>30</v>
      </c>
      <c r="AK1235" s="289">
        <f t="shared" si="99"/>
        <v>303.84602023250602</v>
      </c>
    </row>
    <row r="1236" spans="1:37">
      <c r="A1236" s="703" t="s">
        <v>2625</v>
      </c>
      <c r="B1236" s="703" t="s">
        <v>2311</v>
      </c>
      <c r="C1236" s="703" t="s">
        <v>390</v>
      </c>
      <c r="D1236" s="703" t="s">
        <v>334</v>
      </c>
      <c r="E1236" s="703" t="s">
        <v>334</v>
      </c>
      <c r="F1236" s="703" t="s">
        <v>335</v>
      </c>
      <c r="G1236" s="703" t="s">
        <v>2626</v>
      </c>
      <c r="H1236" s="703" t="s">
        <v>334</v>
      </c>
      <c r="I1236" s="703" t="s">
        <v>334</v>
      </c>
      <c r="J1236" s="703" t="s">
        <v>337</v>
      </c>
      <c r="K1236" s="704">
        <v>0</v>
      </c>
      <c r="L1236" s="703" t="s">
        <v>334</v>
      </c>
      <c r="M1236" s="702">
        <v>43251</v>
      </c>
      <c r="N1236" s="702">
        <v>44187</v>
      </c>
      <c r="O1236" s="703" t="s">
        <v>338</v>
      </c>
      <c r="P1236" s="20">
        <v>106.84</v>
      </c>
      <c r="Q1236" s="20">
        <v>0</v>
      </c>
      <c r="R1236" s="20">
        <v>0</v>
      </c>
      <c r="S1236" s="20">
        <v>0</v>
      </c>
      <c r="T1236" s="20">
        <v>106.84</v>
      </c>
      <c r="U1236" s="20">
        <v>103.28</v>
      </c>
      <c r="V1236" s="20">
        <v>-3.56</v>
      </c>
      <c r="W1236" s="20">
        <v>-7.12</v>
      </c>
      <c r="X1236" s="20">
        <v>-3.56</v>
      </c>
      <c r="Y1236" s="20">
        <v>0</v>
      </c>
      <c r="Z1236" s="20">
        <v>0</v>
      </c>
      <c r="AA1236" s="20">
        <v>0</v>
      </c>
      <c r="AB1236" s="20">
        <v>99.72</v>
      </c>
      <c r="AC1236" t="s">
        <v>188</v>
      </c>
      <c r="AD1236" t="s">
        <v>290</v>
      </c>
      <c r="AE1236" s="702">
        <f t="shared" si="95"/>
        <v>43983</v>
      </c>
      <c r="AF1236" s="289">
        <v>154.2211467446669</v>
      </c>
      <c r="AG1236">
        <f t="shared" si="96"/>
        <v>360</v>
      </c>
      <c r="AH1236" s="289">
        <f t="shared" si="97"/>
        <v>0.42839207429074139</v>
      </c>
      <c r="AJ1236" s="289">
        <f t="shared" si="98"/>
        <v>30</v>
      </c>
      <c r="AK1236" s="289">
        <f t="shared" si="99"/>
        <v>12.851762228722242</v>
      </c>
    </row>
    <row r="1237" spans="1:37">
      <c r="A1237" s="703" t="s">
        <v>2627</v>
      </c>
      <c r="B1237" s="703" t="s">
        <v>2311</v>
      </c>
      <c r="C1237" s="703" t="s">
        <v>390</v>
      </c>
      <c r="D1237" s="703" t="s">
        <v>334</v>
      </c>
      <c r="E1237" s="703" t="s">
        <v>334</v>
      </c>
      <c r="F1237" s="703" t="s">
        <v>335</v>
      </c>
      <c r="G1237" s="703" t="s">
        <v>2628</v>
      </c>
      <c r="H1237" s="703" t="s">
        <v>334</v>
      </c>
      <c r="I1237" s="703" t="s">
        <v>334</v>
      </c>
      <c r="J1237" s="703" t="s">
        <v>337</v>
      </c>
      <c r="K1237" s="704">
        <v>0</v>
      </c>
      <c r="L1237" s="703" t="s">
        <v>334</v>
      </c>
      <c r="M1237" s="702">
        <v>43251</v>
      </c>
      <c r="N1237" s="702">
        <v>44187</v>
      </c>
      <c r="O1237" s="703" t="s">
        <v>338</v>
      </c>
      <c r="P1237" s="20">
        <v>12236.44</v>
      </c>
      <c r="Q1237" s="20">
        <v>0</v>
      </c>
      <c r="R1237" s="20">
        <v>0</v>
      </c>
      <c r="S1237" s="20">
        <v>0</v>
      </c>
      <c r="T1237" s="20">
        <v>12236.44</v>
      </c>
      <c r="U1237" s="20">
        <v>11828.56</v>
      </c>
      <c r="V1237" s="20">
        <v>-407.88</v>
      </c>
      <c r="W1237" s="20">
        <v>-815.76</v>
      </c>
      <c r="X1237" s="20">
        <v>-407.88</v>
      </c>
      <c r="Y1237" s="20">
        <v>0</v>
      </c>
      <c r="Z1237" s="20">
        <v>0</v>
      </c>
      <c r="AA1237" s="20">
        <v>0</v>
      </c>
      <c r="AB1237" s="20">
        <v>11420.68</v>
      </c>
      <c r="AC1237" t="s">
        <v>188</v>
      </c>
      <c r="AD1237" t="s">
        <v>290</v>
      </c>
      <c r="AE1237" s="702">
        <f t="shared" si="95"/>
        <v>43983</v>
      </c>
      <c r="AF1237" s="289">
        <v>17663.027039239161</v>
      </c>
      <c r="AG1237">
        <f t="shared" si="96"/>
        <v>360</v>
      </c>
      <c r="AH1237" s="289">
        <f t="shared" si="97"/>
        <v>49.06396399788656</v>
      </c>
      <c r="AJ1237" s="289">
        <f t="shared" si="98"/>
        <v>30</v>
      </c>
      <c r="AK1237" s="289">
        <f t="shared" si="99"/>
        <v>1471.9189199365969</v>
      </c>
    </row>
    <row r="1238" spans="1:37">
      <c r="A1238" s="703" t="s">
        <v>2629</v>
      </c>
      <c r="B1238" s="703" t="s">
        <v>2311</v>
      </c>
      <c r="C1238" s="703" t="s">
        <v>390</v>
      </c>
      <c r="D1238" s="703" t="s">
        <v>334</v>
      </c>
      <c r="E1238" s="703" t="s">
        <v>334</v>
      </c>
      <c r="F1238" s="703" t="s">
        <v>335</v>
      </c>
      <c r="G1238" s="703" t="s">
        <v>2630</v>
      </c>
      <c r="H1238" s="703" t="s">
        <v>334</v>
      </c>
      <c r="I1238" s="703" t="s">
        <v>334</v>
      </c>
      <c r="J1238" s="703" t="s">
        <v>337</v>
      </c>
      <c r="K1238" s="704">
        <v>0</v>
      </c>
      <c r="L1238" s="703" t="s">
        <v>334</v>
      </c>
      <c r="M1238" s="702">
        <v>43251</v>
      </c>
      <c r="N1238" s="702">
        <v>44187</v>
      </c>
      <c r="O1238" s="703" t="s">
        <v>338</v>
      </c>
      <c r="P1238" s="20">
        <v>1934.91</v>
      </c>
      <c r="Q1238" s="20">
        <v>0</v>
      </c>
      <c r="R1238" s="20">
        <v>0</v>
      </c>
      <c r="S1238" s="20">
        <v>0</v>
      </c>
      <c r="T1238" s="20">
        <v>1934.91</v>
      </c>
      <c r="U1238" s="20">
        <v>1870.41</v>
      </c>
      <c r="V1238" s="20">
        <v>-64.5</v>
      </c>
      <c r="W1238" s="20">
        <v>-129</v>
      </c>
      <c r="X1238" s="20">
        <v>-64.5</v>
      </c>
      <c r="Y1238" s="20">
        <v>0</v>
      </c>
      <c r="Z1238" s="20">
        <v>0</v>
      </c>
      <c r="AA1238" s="20">
        <v>0</v>
      </c>
      <c r="AB1238" s="20">
        <v>1805.91</v>
      </c>
      <c r="AC1238" t="s">
        <v>188</v>
      </c>
      <c r="AD1238" t="s">
        <v>290</v>
      </c>
      <c r="AE1238" s="702">
        <f t="shared" si="95"/>
        <v>43983</v>
      </c>
      <c r="AF1238" s="289">
        <v>2792.9992423036638</v>
      </c>
      <c r="AG1238">
        <f t="shared" si="96"/>
        <v>360</v>
      </c>
      <c r="AH1238" s="289">
        <f t="shared" si="97"/>
        <v>7.7583312286212882</v>
      </c>
      <c r="AJ1238" s="289">
        <f t="shared" si="98"/>
        <v>30</v>
      </c>
      <c r="AK1238" s="289">
        <f t="shared" si="99"/>
        <v>232.74993685863865</v>
      </c>
    </row>
    <row r="1239" spans="1:37">
      <c r="A1239" s="703" t="s">
        <v>2631</v>
      </c>
      <c r="B1239" s="703" t="s">
        <v>2311</v>
      </c>
      <c r="C1239" s="703" t="s">
        <v>390</v>
      </c>
      <c r="D1239" s="703" t="s">
        <v>334</v>
      </c>
      <c r="E1239" s="703" t="s">
        <v>334</v>
      </c>
      <c r="F1239" s="703" t="s">
        <v>335</v>
      </c>
      <c r="G1239" s="703" t="s">
        <v>2632</v>
      </c>
      <c r="H1239" s="703" t="s">
        <v>334</v>
      </c>
      <c r="I1239" s="703" t="s">
        <v>334</v>
      </c>
      <c r="J1239" s="703" t="s">
        <v>337</v>
      </c>
      <c r="K1239" s="704">
        <v>0</v>
      </c>
      <c r="L1239" s="703" t="s">
        <v>334</v>
      </c>
      <c r="M1239" s="702">
        <v>43251</v>
      </c>
      <c r="N1239" s="702">
        <v>44187</v>
      </c>
      <c r="O1239" s="703" t="s">
        <v>338</v>
      </c>
      <c r="P1239" s="20">
        <v>2405.12</v>
      </c>
      <c r="Q1239" s="20">
        <v>0</v>
      </c>
      <c r="R1239" s="20">
        <v>0</v>
      </c>
      <c r="S1239" s="20">
        <v>0</v>
      </c>
      <c r="T1239" s="20">
        <v>2405.12</v>
      </c>
      <c r="U1239" s="20">
        <v>2324.9499999999998</v>
      </c>
      <c r="V1239" s="20">
        <v>-80.17</v>
      </c>
      <c r="W1239" s="20">
        <v>-160.34</v>
      </c>
      <c r="X1239" s="20">
        <v>-80.17</v>
      </c>
      <c r="Y1239" s="20">
        <v>0</v>
      </c>
      <c r="Z1239" s="20">
        <v>0</v>
      </c>
      <c r="AA1239" s="20">
        <v>0</v>
      </c>
      <c r="AB1239" s="20">
        <v>2244.7800000000002</v>
      </c>
      <c r="AC1239" t="s">
        <v>188</v>
      </c>
      <c r="AD1239" t="s">
        <v>290</v>
      </c>
      <c r="AE1239" s="702">
        <f t="shared" si="95"/>
        <v>43983</v>
      </c>
      <c r="AF1239" s="289">
        <v>3471.7368444265558</v>
      </c>
      <c r="AG1239">
        <f t="shared" si="96"/>
        <v>360</v>
      </c>
      <c r="AH1239" s="289">
        <f t="shared" si="97"/>
        <v>9.6437134567404321</v>
      </c>
      <c r="AJ1239" s="289">
        <f t="shared" si="98"/>
        <v>30</v>
      </c>
      <c r="AK1239" s="289">
        <f t="shared" si="99"/>
        <v>289.31140370221294</v>
      </c>
    </row>
    <row r="1240" spans="1:37">
      <c r="A1240" s="703" t="s">
        <v>2633</v>
      </c>
      <c r="B1240" s="703" t="s">
        <v>2311</v>
      </c>
      <c r="C1240" s="703" t="s">
        <v>390</v>
      </c>
      <c r="D1240" s="703" t="s">
        <v>334</v>
      </c>
      <c r="E1240" s="703" t="s">
        <v>334</v>
      </c>
      <c r="F1240" s="703" t="s">
        <v>335</v>
      </c>
      <c r="G1240" s="703" t="s">
        <v>2634</v>
      </c>
      <c r="H1240" s="703" t="s">
        <v>334</v>
      </c>
      <c r="I1240" s="703" t="s">
        <v>334</v>
      </c>
      <c r="J1240" s="703" t="s">
        <v>337</v>
      </c>
      <c r="K1240" s="704">
        <v>0</v>
      </c>
      <c r="L1240" s="703" t="s">
        <v>334</v>
      </c>
      <c r="M1240" s="702">
        <v>43890</v>
      </c>
      <c r="N1240" s="702">
        <v>44187</v>
      </c>
      <c r="O1240" s="703" t="s">
        <v>338</v>
      </c>
      <c r="P1240" s="20">
        <v>3019.07</v>
      </c>
      <c r="Q1240" s="20">
        <v>0</v>
      </c>
      <c r="R1240" s="20">
        <v>0</v>
      </c>
      <c r="S1240" s="20">
        <v>0</v>
      </c>
      <c r="T1240" s="20">
        <v>3019.07</v>
      </c>
      <c r="U1240" s="20">
        <v>2918.43</v>
      </c>
      <c r="V1240" s="20">
        <v>-100.64</v>
      </c>
      <c r="W1240" s="20">
        <v>-201.28</v>
      </c>
      <c r="X1240" s="20">
        <v>-100.64</v>
      </c>
      <c r="Y1240" s="20">
        <v>0</v>
      </c>
      <c r="Z1240" s="20">
        <v>0</v>
      </c>
      <c r="AA1240" s="20">
        <v>0</v>
      </c>
      <c r="AB1240" s="20">
        <v>2817.79</v>
      </c>
      <c r="AC1240" t="s">
        <v>188</v>
      </c>
      <c r="AD1240" t="s">
        <v>290</v>
      </c>
      <c r="AE1240" s="702">
        <f t="shared" si="95"/>
        <v>43983</v>
      </c>
      <c r="AF1240" s="289">
        <v>4357.9599167205306</v>
      </c>
      <c r="AG1240">
        <f t="shared" si="96"/>
        <v>360</v>
      </c>
      <c r="AH1240" s="289">
        <f t="shared" si="97"/>
        <v>12.105444213112586</v>
      </c>
      <c r="AJ1240" s="289">
        <f t="shared" si="98"/>
        <v>30</v>
      </c>
      <c r="AK1240" s="289">
        <f t="shared" si="99"/>
        <v>363.16332639337759</v>
      </c>
    </row>
    <row r="1241" spans="1:37">
      <c r="A1241" s="703" t="s">
        <v>2635</v>
      </c>
      <c r="B1241" s="703" t="s">
        <v>2311</v>
      </c>
      <c r="C1241" s="703" t="s">
        <v>390</v>
      </c>
      <c r="D1241" s="703" t="s">
        <v>334</v>
      </c>
      <c r="E1241" s="703" t="s">
        <v>334</v>
      </c>
      <c r="F1241" s="703" t="s">
        <v>335</v>
      </c>
      <c r="G1241" s="703" t="s">
        <v>2636</v>
      </c>
      <c r="H1241" s="703" t="s">
        <v>334</v>
      </c>
      <c r="I1241" s="703" t="s">
        <v>334</v>
      </c>
      <c r="J1241" s="703" t="s">
        <v>337</v>
      </c>
      <c r="K1241" s="704">
        <v>0</v>
      </c>
      <c r="L1241" s="703" t="s">
        <v>334</v>
      </c>
      <c r="M1241" s="702">
        <v>43890</v>
      </c>
      <c r="N1241" s="702">
        <v>44187</v>
      </c>
      <c r="O1241" s="703" t="s">
        <v>338</v>
      </c>
      <c r="P1241" s="20">
        <v>678.13</v>
      </c>
      <c r="Q1241" s="20">
        <v>0</v>
      </c>
      <c r="R1241" s="20">
        <v>0</v>
      </c>
      <c r="S1241" s="20">
        <v>0</v>
      </c>
      <c r="T1241" s="20">
        <v>678.13</v>
      </c>
      <c r="U1241" s="20">
        <v>655.53</v>
      </c>
      <c r="V1241" s="20">
        <v>-22.6</v>
      </c>
      <c r="W1241" s="20">
        <v>-45.2</v>
      </c>
      <c r="X1241" s="20">
        <v>-22.6</v>
      </c>
      <c r="Y1241" s="20">
        <v>0</v>
      </c>
      <c r="Z1241" s="20">
        <v>0</v>
      </c>
      <c r="AA1241" s="20">
        <v>0</v>
      </c>
      <c r="AB1241" s="20">
        <v>632.92999999999995</v>
      </c>
      <c r="AC1241" t="s">
        <v>188</v>
      </c>
      <c r="AD1241" t="s">
        <v>290</v>
      </c>
      <c r="AE1241" s="702">
        <f t="shared" si="95"/>
        <v>43983</v>
      </c>
      <c r="AF1241" s="289">
        <v>978.86546463834668</v>
      </c>
      <c r="AG1241">
        <f t="shared" si="96"/>
        <v>360</v>
      </c>
      <c r="AH1241" s="289">
        <f t="shared" si="97"/>
        <v>2.7190707351065186</v>
      </c>
      <c r="AJ1241" s="289">
        <f t="shared" si="98"/>
        <v>30</v>
      </c>
      <c r="AK1241" s="289">
        <f t="shared" si="99"/>
        <v>81.572122053195557</v>
      </c>
    </row>
    <row r="1242" spans="1:37">
      <c r="A1242" s="703" t="s">
        <v>2637</v>
      </c>
      <c r="B1242" s="703" t="s">
        <v>2311</v>
      </c>
      <c r="C1242" s="703" t="s">
        <v>390</v>
      </c>
      <c r="D1242" s="703" t="s">
        <v>334</v>
      </c>
      <c r="E1242" s="703" t="s">
        <v>334</v>
      </c>
      <c r="F1242" s="703" t="s">
        <v>335</v>
      </c>
      <c r="G1242" s="703" t="s">
        <v>2638</v>
      </c>
      <c r="H1242" s="703" t="s">
        <v>334</v>
      </c>
      <c r="I1242" s="703" t="s">
        <v>334</v>
      </c>
      <c r="J1242" s="703" t="s">
        <v>337</v>
      </c>
      <c r="K1242" s="704">
        <v>0</v>
      </c>
      <c r="L1242" s="703" t="s">
        <v>334</v>
      </c>
      <c r="M1242" s="702">
        <v>43890</v>
      </c>
      <c r="N1242" s="702">
        <v>44187</v>
      </c>
      <c r="O1242" s="703" t="s">
        <v>338</v>
      </c>
      <c r="P1242" s="20">
        <v>4570.08</v>
      </c>
      <c r="Q1242" s="20">
        <v>0</v>
      </c>
      <c r="R1242" s="20">
        <v>0</v>
      </c>
      <c r="S1242" s="20">
        <v>0</v>
      </c>
      <c r="T1242" s="20">
        <v>4570.08</v>
      </c>
      <c r="U1242" s="20">
        <v>4417.74</v>
      </c>
      <c r="V1242" s="20">
        <v>-152.34</v>
      </c>
      <c r="W1242" s="20">
        <v>-304.68</v>
      </c>
      <c r="X1242" s="20">
        <v>-152.34</v>
      </c>
      <c r="Y1242" s="20">
        <v>0</v>
      </c>
      <c r="Z1242" s="20">
        <v>0</v>
      </c>
      <c r="AA1242" s="20">
        <v>0</v>
      </c>
      <c r="AB1242" s="20">
        <v>4265.3999999999996</v>
      </c>
      <c r="AC1242" t="s">
        <v>188</v>
      </c>
      <c r="AD1242" t="s">
        <v>290</v>
      </c>
      <c r="AE1242" s="702">
        <f t="shared" si="95"/>
        <v>43983</v>
      </c>
      <c r="AF1242" s="289">
        <v>6596.8081085255271</v>
      </c>
      <c r="AG1242">
        <f t="shared" si="96"/>
        <v>360</v>
      </c>
      <c r="AH1242" s="289">
        <f t="shared" si="97"/>
        <v>18.324466968126465</v>
      </c>
      <c r="AJ1242" s="289">
        <f t="shared" si="98"/>
        <v>30</v>
      </c>
      <c r="AK1242" s="289">
        <f t="shared" si="99"/>
        <v>549.734009043794</v>
      </c>
    </row>
    <row r="1243" spans="1:37">
      <c r="A1243" s="703" t="s">
        <v>2639</v>
      </c>
      <c r="B1243" s="703" t="s">
        <v>2311</v>
      </c>
      <c r="C1243" s="703" t="s">
        <v>574</v>
      </c>
      <c r="D1243" s="703" t="s">
        <v>334</v>
      </c>
      <c r="E1243" s="703" t="s">
        <v>334</v>
      </c>
      <c r="F1243" s="703" t="s">
        <v>335</v>
      </c>
      <c r="G1243" s="703" t="s">
        <v>2640</v>
      </c>
      <c r="H1243" s="703" t="s">
        <v>334</v>
      </c>
      <c r="I1243" s="703" t="s">
        <v>334</v>
      </c>
      <c r="J1243" s="703" t="s">
        <v>577</v>
      </c>
      <c r="K1243" s="704">
        <v>0</v>
      </c>
      <c r="L1243" s="703" t="s">
        <v>334</v>
      </c>
      <c r="M1243" s="702">
        <v>43496</v>
      </c>
      <c r="N1243" s="702">
        <v>44187</v>
      </c>
      <c r="O1243" s="703" t="s">
        <v>338</v>
      </c>
      <c r="P1243" s="20">
        <v>4573.49</v>
      </c>
      <c r="Q1243" s="20">
        <v>0</v>
      </c>
      <c r="R1243" s="20">
        <v>0</v>
      </c>
      <c r="S1243" s="20">
        <v>0</v>
      </c>
      <c r="T1243" s="20">
        <v>4573.49</v>
      </c>
      <c r="U1243" s="20">
        <v>4421.04</v>
      </c>
      <c r="V1243" s="20">
        <v>-152.44999999999999</v>
      </c>
      <c r="W1243" s="20">
        <v>-304.89999999999998</v>
      </c>
      <c r="X1243" s="20">
        <v>-152.44999999999999</v>
      </c>
      <c r="Y1243" s="20">
        <v>0</v>
      </c>
      <c r="Z1243" s="20">
        <v>0</v>
      </c>
      <c r="AA1243" s="20">
        <v>0</v>
      </c>
      <c r="AB1243" s="20">
        <v>4268.59</v>
      </c>
      <c r="AC1243" t="s">
        <v>578</v>
      </c>
      <c r="AD1243" t="s">
        <v>290</v>
      </c>
      <c r="AE1243" s="702">
        <f t="shared" si="95"/>
        <v>43983</v>
      </c>
      <c r="AF1243" s="289">
        <v>6601.7303671402706</v>
      </c>
      <c r="AG1243">
        <f t="shared" si="96"/>
        <v>360</v>
      </c>
      <c r="AH1243" s="289">
        <f t="shared" si="97"/>
        <v>18.338139908722972</v>
      </c>
      <c r="AJ1243" s="289">
        <f t="shared" si="98"/>
        <v>30</v>
      </c>
      <c r="AK1243" s="289">
        <f t="shared" si="99"/>
        <v>550.14419726168921</v>
      </c>
    </row>
    <row r="1244" spans="1:37">
      <c r="A1244" s="703" t="s">
        <v>2641</v>
      </c>
      <c r="B1244" s="703" t="s">
        <v>2311</v>
      </c>
      <c r="C1244" s="703" t="s">
        <v>574</v>
      </c>
      <c r="D1244" s="703" t="s">
        <v>334</v>
      </c>
      <c r="E1244" s="703" t="s">
        <v>334</v>
      </c>
      <c r="F1244" s="703" t="s">
        <v>335</v>
      </c>
      <c r="G1244" s="703" t="s">
        <v>2642</v>
      </c>
      <c r="H1244" s="703" t="s">
        <v>334</v>
      </c>
      <c r="I1244" s="703" t="s">
        <v>334</v>
      </c>
      <c r="J1244" s="703" t="s">
        <v>577</v>
      </c>
      <c r="K1244" s="704">
        <v>0</v>
      </c>
      <c r="L1244" s="703" t="s">
        <v>334</v>
      </c>
      <c r="M1244" s="702">
        <v>43496</v>
      </c>
      <c r="N1244" s="702">
        <v>44187</v>
      </c>
      <c r="O1244" s="703" t="s">
        <v>338</v>
      </c>
      <c r="P1244" s="20">
        <v>37498.92</v>
      </c>
      <c r="Q1244" s="20">
        <v>0</v>
      </c>
      <c r="R1244" s="20">
        <v>0</v>
      </c>
      <c r="S1244" s="20">
        <v>0</v>
      </c>
      <c r="T1244" s="20">
        <v>37498.92</v>
      </c>
      <c r="U1244" s="20">
        <v>36248.959999999999</v>
      </c>
      <c r="V1244" s="20">
        <v>-1249.96</v>
      </c>
      <c r="W1244" s="20">
        <v>-2499.92</v>
      </c>
      <c r="X1244" s="20">
        <v>-1249.96</v>
      </c>
      <c r="Y1244" s="20">
        <v>0</v>
      </c>
      <c r="Z1244" s="20">
        <v>0</v>
      </c>
      <c r="AA1244" s="20">
        <v>0</v>
      </c>
      <c r="AB1244" s="20">
        <v>34999</v>
      </c>
      <c r="AC1244" t="s">
        <v>578</v>
      </c>
      <c r="AD1244" t="s">
        <v>290</v>
      </c>
      <c r="AE1244" s="702">
        <f t="shared" si="95"/>
        <v>43983</v>
      </c>
      <c r="AF1244" s="289">
        <v>54128.851030386788</v>
      </c>
      <c r="AG1244">
        <f t="shared" si="96"/>
        <v>360</v>
      </c>
      <c r="AH1244" s="289">
        <f t="shared" si="97"/>
        <v>150.35791952885219</v>
      </c>
      <c r="AJ1244" s="289">
        <f t="shared" si="98"/>
        <v>30</v>
      </c>
      <c r="AK1244" s="289">
        <f t="shared" si="99"/>
        <v>4510.737585865566</v>
      </c>
    </row>
    <row r="1245" spans="1:37">
      <c r="A1245" s="703" t="s">
        <v>2643</v>
      </c>
      <c r="B1245" s="703" t="s">
        <v>2311</v>
      </c>
      <c r="C1245" s="703" t="s">
        <v>574</v>
      </c>
      <c r="D1245" s="703" t="s">
        <v>334</v>
      </c>
      <c r="E1245" s="703" t="s">
        <v>334</v>
      </c>
      <c r="F1245" s="703" t="s">
        <v>335</v>
      </c>
      <c r="G1245" s="703" t="s">
        <v>2644</v>
      </c>
      <c r="H1245" s="703" t="s">
        <v>334</v>
      </c>
      <c r="I1245" s="703" t="s">
        <v>334</v>
      </c>
      <c r="J1245" s="703" t="s">
        <v>577</v>
      </c>
      <c r="K1245" s="704">
        <v>0</v>
      </c>
      <c r="L1245" s="703" t="s">
        <v>334</v>
      </c>
      <c r="M1245" s="702">
        <v>43496</v>
      </c>
      <c r="N1245" s="702">
        <v>44187</v>
      </c>
      <c r="O1245" s="703" t="s">
        <v>338</v>
      </c>
      <c r="P1245" s="20">
        <v>4276.3999999999996</v>
      </c>
      <c r="Q1245" s="20">
        <v>0</v>
      </c>
      <c r="R1245" s="20">
        <v>0</v>
      </c>
      <c r="S1245" s="20">
        <v>0</v>
      </c>
      <c r="T1245" s="20">
        <v>4276.3999999999996</v>
      </c>
      <c r="U1245" s="20">
        <v>4133.8500000000004</v>
      </c>
      <c r="V1245" s="20">
        <v>-142.55000000000001</v>
      </c>
      <c r="W1245" s="20">
        <v>-285.10000000000002</v>
      </c>
      <c r="X1245" s="20">
        <v>-142.55000000000001</v>
      </c>
      <c r="Y1245" s="20">
        <v>0</v>
      </c>
      <c r="Z1245" s="20">
        <v>0</v>
      </c>
      <c r="AA1245" s="20">
        <v>0</v>
      </c>
      <c r="AB1245" s="20">
        <v>3991.3</v>
      </c>
      <c r="AC1245" t="s">
        <v>578</v>
      </c>
      <c r="AD1245" t="s">
        <v>290</v>
      </c>
      <c r="AE1245" s="702">
        <f t="shared" si="95"/>
        <v>43983</v>
      </c>
      <c r="AF1245" s="289">
        <v>6172.8876070656452</v>
      </c>
      <c r="AG1245">
        <f t="shared" si="96"/>
        <v>360</v>
      </c>
      <c r="AH1245" s="289">
        <f t="shared" si="97"/>
        <v>17.146910019626791</v>
      </c>
      <c r="AJ1245" s="289">
        <f t="shared" si="98"/>
        <v>30</v>
      </c>
      <c r="AK1245" s="289">
        <f t="shared" si="99"/>
        <v>514.40730058880376</v>
      </c>
    </row>
    <row r="1246" spans="1:37">
      <c r="A1246" s="703" t="s">
        <v>2645</v>
      </c>
      <c r="B1246" s="703" t="s">
        <v>2311</v>
      </c>
      <c r="C1246" s="703" t="s">
        <v>586</v>
      </c>
      <c r="D1246" s="703" t="s">
        <v>334</v>
      </c>
      <c r="E1246" s="703" t="s">
        <v>334</v>
      </c>
      <c r="F1246" s="703" t="s">
        <v>335</v>
      </c>
      <c r="G1246" s="703" t="s">
        <v>2646</v>
      </c>
      <c r="H1246" s="703" t="s">
        <v>334</v>
      </c>
      <c r="I1246" s="703" t="s">
        <v>334</v>
      </c>
      <c r="J1246" s="703" t="s">
        <v>337</v>
      </c>
      <c r="K1246" s="704">
        <v>0</v>
      </c>
      <c r="L1246" s="703" t="s">
        <v>334</v>
      </c>
      <c r="M1246" s="702">
        <v>43496</v>
      </c>
      <c r="N1246" s="702">
        <v>44187</v>
      </c>
      <c r="O1246" s="703" t="s">
        <v>338</v>
      </c>
      <c r="P1246" s="20">
        <v>873053.03</v>
      </c>
      <c r="Q1246" s="20">
        <v>0</v>
      </c>
      <c r="R1246" s="20">
        <v>0</v>
      </c>
      <c r="S1246" s="20">
        <v>0</v>
      </c>
      <c r="T1246" s="20">
        <v>873053.03</v>
      </c>
      <c r="U1246" s="20">
        <v>843951.26</v>
      </c>
      <c r="V1246" s="20">
        <v>-29101.77</v>
      </c>
      <c r="W1246" s="20">
        <v>-58203.54</v>
      </c>
      <c r="X1246" s="20">
        <v>-29101.77</v>
      </c>
      <c r="Y1246" s="20">
        <v>0</v>
      </c>
      <c r="Z1246" s="20">
        <v>0</v>
      </c>
      <c r="AA1246" s="20">
        <v>0</v>
      </c>
      <c r="AB1246" s="20">
        <v>814849.49</v>
      </c>
      <c r="AC1246" t="s">
        <v>589</v>
      </c>
      <c r="AD1246" t="s">
        <v>290</v>
      </c>
      <c r="AE1246" s="702">
        <f t="shared" si="95"/>
        <v>43983</v>
      </c>
      <c r="AF1246" s="289">
        <v>1260232.4920957137</v>
      </c>
      <c r="AG1246">
        <f t="shared" si="96"/>
        <v>360</v>
      </c>
      <c r="AH1246" s="289">
        <f t="shared" si="97"/>
        <v>3500.6458113769827</v>
      </c>
      <c r="AJ1246" s="289">
        <f t="shared" si="98"/>
        <v>30</v>
      </c>
      <c r="AK1246" s="289">
        <f t="shared" si="99"/>
        <v>105019.37434130948</v>
      </c>
    </row>
    <row r="1247" spans="1:37">
      <c r="A1247" s="703" t="s">
        <v>2647</v>
      </c>
      <c r="B1247" s="703" t="s">
        <v>2311</v>
      </c>
      <c r="C1247" s="703" t="s">
        <v>586</v>
      </c>
      <c r="D1247" s="703" t="s">
        <v>334</v>
      </c>
      <c r="E1247" s="703" t="s">
        <v>334</v>
      </c>
      <c r="F1247" s="703" t="s">
        <v>335</v>
      </c>
      <c r="G1247" s="703" t="s">
        <v>2648</v>
      </c>
      <c r="H1247" s="703" t="s">
        <v>334</v>
      </c>
      <c r="I1247" s="703" t="s">
        <v>334</v>
      </c>
      <c r="J1247" s="703" t="s">
        <v>337</v>
      </c>
      <c r="K1247" s="704">
        <v>0</v>
      </c>
      <c r="L1247" s="703" t="s">
        <v>334</v>
      </c>
      <c r="M1247" s="702">
        <v>43616</v>
      </c>
      <c r="N1247" s="702">
        <v>44187</v>
      </c>
      <c r="O1247" s="703" t="s">
        <v>338</v>
      </c>
      <c r="P1247" s="20">
        <v>30098.12</v>
      </c>
      <c r="Q1247" s="20">
        <v>0</v>
      </c>
      <c r="R1247" s="20">
        <v>0</v>
      </c>
      <c r="S1247" s="20">
        <v>0</v>
      </c>
      <c r="T1247" s="20">
        <v>30098.12</v>
      </c>
      <c r="U1247" s="20">
        <v>29094.85</v>
      </c>
      <c r="V1247" s="20">
        <v>-1003.27</v>
      </c>
      <c r="W1247" s="20">
        <v>-2006.54</v>
      </c>
      <c r="X1247" s="20">
        <v>-1003.27</v>
      </c>
      <c r="Y1247" s="20">
        <v>0</v>
      </c>
      <c r="Z1247" s="20">
        <v>0</v>
      </c>
      <c r="AA1247" s="20">
        <v>0</v>
      </c>
      <c r="AB1247" s="20">
        <v>28091.58</v>
      </c>
      <c r="AC1247" t="s">
        <v>589</v>
      </c>
      <c r="AD1247" t="s">
        <v>290</v>
      </c>
      <c r="AE1247" s="702">
        <f t="shared" si="95"/>
        <v>43983</v>
      </c>
      <c r="AF1247" s="289">
        <v>43445.962011031392</v>
      </c>
      <c r="AG1247">
        <f t="shared" si="96"/>
        <v>360</v>
      </c>
      <c r="AH1247" s="289">
        <f t="shared" si="97"/>
        <v>120.68322780842053</v>
      </c>
      <c r="AJ1247" s="289">
        <f t="shared" si="98"/>
        <v>30</v>
      </c>
      <c r="AK1247" s="289">
        <f t="shared" si="99"/>
        <v>3620.4968342526158</v>
      </c>
    </row>
    <row r="1248" spans="1:37">
      <c r="A1248" s="703" t="s">
        <v>2649</v>
      </c>
      <c r="B1248" s="703" t="s">
        <v>2311</v>
      </c>
      <c r="C1248" s="703" t="s">
        <v>586</v>
      </c>
      <c r="D1248" s="703" t="s">
        <v>334</v>
      </c>
      <c r="E1248" s="703" t="s">
        <v>334</v>
      </c>
      <c r="F1248" s="703" t="s">
        <v>335</v>
      </c>
      <c r="G1248" s="703" t="s">
        <v>2650</v>
      </c>
      <c r="H1248" s="703" t="s">
        <v>334</v>
      </c>
      <c r="I1248" s="703" t="s">
        <v>334</v>
      </c>
      <c r="J1248" s="703" t="s">
        <v>337</v>
      </c>
      <c r="K1248" s="704">
        <v>0</v>
      </c>
      <c r="L1248" s="703" t="s">
        <v>334</v>
      </c>
      <c r="M1248" s="702">
        <v>43616</v>
      </c>
      <c r="N1248" s="702">
        <v>44187</v>
      </c>
      <c r="O1248" s="703" t="s">
        <v>338</v>
      </c>
      <c r="P1248" s="20">
        <v>1134.5</v>
      </c>
      <c r="Q1248" s="20">
        <v>0</v>
      </c>
      <c r="R1248" s="20">
        <v>0</v>
      </c>
      <c r="S1248" s="20">
        <v>0</v>
      </c>
      <c r="T1248" s="20">
        <v>1134.5</v>
      </c>
      <c r="U1248" s="20">
        <v>1096.68</v>
      </c>
      <c r="V1248" s="20">
        <v>-37.82</v>
      </c>
      <c r="W1248" s="20">
        <v>-75.64</v>
      </c>
      <c r="X1248" s="20">
        <v>-37.82</v>
      </c>
      <c r="Y1248" s="20">
        <v>0</v>
      </c>
      <c r="Z1248" s="20">
        <v>0</v>
      </c>
      <c r="AA1248" s="20">
        <v>0</v>
      </c>
      <c r="AB1248" s="20">
        <v>1058.8599999999999</v>
      </c>
      <c r="AC1248" t="s">
        <v>589</v>
      </c>
      <c r="AD1248" t="s">
        <v>290</v>
      </c>
      <c r="AE1248" s="702">
        <f t="shared" si="95"/>
        <v>43983</v>
      </c>
      <c r="AF1248" s="289">
        <v>1637.6253367823344</v>
      </c>
      <c r="AG1248">
        <f t="shared" si="96"/>
        <v>360</v>
      </c>
      <c r="AH1248" s="289">
        <f t="shared" si="97"/>
        <v>4.5489592688398179</v>
      </c>
      <c r="AJ1248" s="289">
        <f t="shared" si="98"/>
        <v>30</v>
      </c>
      <c r="AK1248" s="289">
        <f t="shared" si="99"/>
        <v>136.46877806519453</v>
      </c>
    </row>
    <row r="1249" spans="1:37">
      <c r="A1249" s="703" t="s">
        <v>2651</v>
      </c>
      <c r="B1249" s="703" t="s">
        <v>2311</v>
      </c>
      <c r="C1249" s="703" t="s">
        <v>586</v>
      </c>
      <c r="D1249" s="703" t="s">
        <v>334</v>
      </c>
      <c r="E1249" s="703" t="s">
        <v>334</v>
      </c>
      <c r="F1249" s="703" t="s">
        <v>335</v>
      </c>
      <c r="G1249" s="703" t="s">
        <v>2652</v>
      </c>
      <c r="H1249" s="703" t="s">
        <v>334</v>
      </c>
      <c r="I1249" s="703" t="s">
        <v>334</v>
      </c>
      <c r="J1249" s="703" t="s">
        <v>337</v>
      </c>
      <c r="K1249" s="704">
        <v>0</v>
      </c>
      <c r="L1249" s="703" t="s">
        <v>334</v>
      </c>
      <c r="M1249" s="702">
        <v>43616</v>
      </c>
      <c r="N1249" s="702">
        <v>44187</v>
      </c>
      <c r="O1249" s="703" t="s">
        <v>338</v>
      </c>
      <c r="P1249" s="20">
        <v>2460</v>
      </c>
      <c r="Q1249" s="20">
        <v>0</v>
      </c>
      <c r="R1249" s="20">
        <v>0</v>
      </c>
      <c r="S1249" s="20">
        <v>0</v>
      </c>
      <c r="T1249" s="20">
        <v>2460</v>
      </c>
      <c r="U1249" s="20">
        <v>2378</v>
      </c>
      <c r="V1249" s="20">
        <v>-82</v>
      </c>
      <c r="W1249" s="20">
        <v>-164</v>
      </c>
      <c r="X1249" s="20">
        <v>-82</v>
      </c>
      <c r="Y1249" s="20">
        <v>0</v>
      </c>
      <c r="Z1249" s="20">
        <v>0</v>
      </c>
      <c r="AA1249" s="20">
        <v>0</v>
      </c>
      <c r="AB1249" s="20">
        <v>2296</v>
      </c>
      <c r="AC1249" t="s">
        <v>589</v>
      </c>
      <c r="AD1249" t="s">
        <v>290</v>
      </c>
      <c r="AE1249" s="702">
        <f t="shared" si="95"/>
        <v>43983</v>
      </c>
      <c r="AF1249" s="289">
        <v>3550.9548950943517</v>
      </c>
      <c r="AG1249">
        <f t="shared" si="96"/>
        <v>360</v>
      </c>
      <c r="AH1249" s="289">
        <f t="shared" si="97"/>
        <v>9.8637635974843096</v>
      </c>
      <c r="AJ1249" s="289">
        <f t="shared" si="98"/>
        <v>30</v>
      </c>
      <c r="AK1249" s="289">
        <f t="shared" si="99"/>
        <v>295.91290792452929</v>
      </c>
    </row>
    <row r="1250" spans="1:37">
      <c r="A1250" s="703" t="s">
        <v>2653</v>
      </c>
      <c r="B1250" s="703" t="s">
        <v>2311</v>
      </c>
      <c r="C1250" s="703" t="s">
        <v>586</v>
      </c>
      <c r="D1250" s="703" t="s">
        <v>334</v>
      </c>
      <c r="E1250" s="703" t="s">
        <v>334</v>
      </c>
      <c r="F1250" s="703" t="s">
        <v>335</v>
      </c>
      <c r="G1250" s="703" t="s">
        <v>2654</v>
      </c>
      <c r="H1250" s="703" t="s">
        <v>334</v>
      </c>
      <c r="I1250" s="703" t="s">
        <v>334</v>
      </c>
      <c r="J1250" s="703" t="s">
        <v>337</v>
      </c>
      <c r="K1250" s="704">
        <v>0</v>
      </c>
      <c r="L1250" s="703" t="s">
        <v>334</v>
      </c>
      <c r="M1250" s="702">
        <v>43616</v>
      </c>
      <c r="N1250" s="702">
        <v>44187</v>
      </c>
      <c r="O1250" s="703" t="s">
        <v>338</v>
      </c>
      <c r="P1250" s="20">
        <v>880.67</v>
      </c>
      <c r="Q1250" s="20">
        <v>0</v>
      </c>
      <c r="R1250" s="20">
        <v>0</v>
      </c>
      <c r="S1250" s="20">
        <v>0</v>
      </c>
      <c r="T1250" s="20">
        <v>880.67</v>
      </c>
      <c r="U1250" s="20">
        <v>851.31</v>
      </c>
      <c r="V1250" s="20">
        <v>-29.36</v>
      </c>
      <c r="W1250" s="20">
        <v>-58.72</v>
      </c>
      <c r="X1250" s="20">
        <v>-29.36</v>
      </c>
      <c r="Y1250" s="20">
        <v>0</v>
      </c>
      <c r="Z1250" s="20">
        <v>0</v>
      </c>
      <c r="AA1250" s="20">
        <v>0</v>
      </c>
      <c r="AB1250" s="20">
        <v>821.95</v>
      </c>
      <c r="AC1250" t="s">
        <v>589</v>
      </c>
      <c r="AD1250" t="s">
        <v>290</v>
      </c>
      <c r="AE1250" s="702">
        <f t="shared" si="95"/>
        <v>43983</v>
      </c>
      <c r="AF1250" s="289">
        <v>1271.2274176677815</v>
      </c>
      <c r="AG1250">
        <f t="shared" si="96"/>
        <v>360</v>
      </c>
      <c r="AH1250" s="289">
        <f t="shared" si="97"/>
        <v>3.5311872712993932</v>
      </c>
      <c r="AJ1250" s="289">
        <f t="shared" si="98"/>
        <v>30</v>
      </c>
      <c r="AK1250" s="289">
        <f t="shared" si="99"/>
        <v>105.93561813898179</v>
      </c>
    </row>
    <row r="1251" spans="1:37">
      <c r="A1251" s="703" t="s">
        <v>2655</v>
      </c>
      <c r="B1251" s="703" t="s">
        <v>2311</v>
      </c>
      <c r="C1251" s="703" t="s">
        <v>586</v>
      </c>
      <c r="D1251" s="703" t="s">
        <v>334</v>
      </c>
      <c r="E1251" s="703" t="s">
        <v>334</v>
      </c>
      <c r="F1251" s="703" t="s">
        <v>335</v>
      </c>
      <c r="G1251" s="703" t="s">
        <v>2656</v>
      </c>
      <c r="H1251" s="703" t="s">
        <v>334</v>
      </c>
      <c r="I1251" s="703" t="s">
        <v>334</v>
      </c>
      <c r="J1251" s="703" t="s">
        <v>337</v>
      </c>
      <c r="K1251" s="704">
        <v>0</v>
      </c>
      <c r="L1251" s="703" t="s">
        <v>334</v>
      </c>
      <c r="M1251" s="702">
        <v>43616</v>
      </c>
      <c r="N1251" s="702">
        <v>44187</v>
      </c>
      <c r="O1251" s="703" t="s">
        <v>338</v>
      </c>
      <c r="P1251" s="20">
        <v>580</v>
      </c>
      <c r="Q1251" s="20">
        <v>0</v>
      </c>
      <c r="R1251" s="20">
        <v>0</v>
      </c>
      <c r="S1251" s="20">
        <v>0</v>
      </c>
      <c r="T1251" s="20">
        <v>580</v>
      </c>
      <c r="U1251" s="20">
        <v>560.66999999999996</v>
      </c>
      <c r="V1251" s="20">
        <v>-19.329999999999998</v>
      </c>
      <c r="W1251" s="20">
        <v>-38.659999999999997</v>
      </c>
      <c r="X1251" s="20">
        <v>-19.329999999999998</v>
      </c>
      <c r="Y1251" s="20">
        <v>0</v>
      </c>
      <c r="Z1251" s="20">
        <v>0</v>
      </c>
      <c r="AA1251" s="20">
        <v>0</v>
      </c>
      <c r="AB1251" s="20">
        <v>541.34</v>
      </c>
      <c r="AC1251" t="s">
        <v>589</v>
      </c>
      <c r="AD1251" t="s">
        <v>290</v>
      </c>
      <c r="AE1251" s="702">
        <f t="shared" si="95"/>
        <v>43983</v>
      </c>
      <c r="AF1251" s="289">
        <v>837.21700778647323</v>
      </c>
      <c r="AG1251">
        <f t="shared" si="96"/>
        <v>360</v>
      </c>
      <c r="AH1251" s="289">
        <f t="shared" si="97"/>
        <v>2.32560279940687</v>
      </c>
      <c r="AJ1251" s="289">
        <f t="shared" si="98"/>
        <v>30</v>
      </c>
      <c r="AK1251" s="289">
        <f t="shared" si="99"/>
        <v>69.768083982206093</v>
      </c>
    </row>
    <row r="1252" spans="1:37">
      <c r="A1252" s="703" t="s">
        <v>2657</v>
      </c>
      <c r="B1252" s="703" t="s">
        <v>2311</v>
      </c>
      <c r="C1252" s="703" t="s">
        <v>586</v>
      </c>
      <c r="D1252" s="703" t="s">
        <v>334</v>
      </c>
      <c r="E1252" s="703" t="s">
        <v>334</v>
      </c>
      <c r="F1252" s="703" t="s">
        <v>335</v>
      </c>
      <c r="G1252" s="703" t="s">
        <v>2658</v>
      </c>
      <c r="H1252" s="703" t="s">
        <v>334</v>
      </c>
      <c r="I1252" s="703" t="s">
        <v>334</v>
      </c>
      <c r="J1252" s="703" t="s">
        <v>337</v>
      </c>
      <c r="K1252" s="704">
        <v>0</v>
      </c>
      <c r="L1252" s="703" t="s">
        <v>334</v>
      </c>
      <c r="M1252" s="702">
        <v>43616</v>
      </c>
      <c r="N1252" s="702">
        <v>44187</v>
      </c>
      <c r="O1252" s="703" t="s">
        <v>338</v>
      </c>
      <c r="P1252" s="20">
        <v>5367.42</v>
      </c>
      <c r="Q1252" s="20">
        <v>0</v>
      </c>
      <c r="R1252" s="20">
        <v>0</v>
      </c>
      <c r="S1252" s="20">
        <v>0</v>
      </c>
      <c r="T1252" s="20">
        <v>5367.42</v>
      </c>
      <c r="U1252" s="20">
        <v>5188.51</v>
      </c>
      <c r="V1252" s="20">
        <v>-178.91</v>
      </c>
      <c r="W1252" s="20">
        <v>-357.82</v>
      </c>
      <c r="X1252" s="20">
        <v>-178.91</v>
      </c>
      <c r="Y1252" s="20">
        <v>0</v>
      </c>
      <c r="Z1252" s="20">
        <v>0</v>
      </c>
      <c r="AA1252" s="20">
        <v>0</v>
      </c>
      <c r="AB1252" s="20">
        <v>5009.6000000000004</v>
      </c>
      <c r="AC1252" t="s">
        <v>589</v>
      </c>
      <c r="AD1252" t="s">
        <v>290</v>
      </c>
      <c r="AE1252" s="702">
        <f t="shared" si="95"/>
        <v>43983</v>
      </c>
      <c r="AF1252" s="289">
        <v>7747.7505378159867</v>
      </c>
      <c r="AG1252">
        <f t="shared" si="96"/>
        <v>360</v>
      </c>
      <c r="AH1252" s="289">
        <f t="shared" si="97"/>
        <v>21.521529271711074</v>
      </c>
      <c r="AJ1252" s="289">
        <f t="shared" si="98"/>
        <v>30</v>
      </c>
      <c r="AK1252" s="289">
        <f t="shared" si="99"/>
        <v>645.64587815133223</v>
      </c>
    </row>
    <row r="1253" spans="1:37">
      <c r="A1253" s="703" t="s">
        <v>2659</v>
      </c>
      <c r="B1253" s="703" t="s">
        <v>2311</v>
      </c>
      <c r="C1253" s="703" t="s">
        <v>586</v>
      </c>
      <c r="D1253" s="703" t="s">
        <v>334</v>
      </c>
      <c r="E1253" s="703" t="s">
        <v>334</v>
      </c>
      <c r="F1253" s="703" t="s">
        <v>335</v>
      </c>
      <c r="G1253" s="703" t="s">
        <v>2660</v>
      </c>
      <c r="H1253" s="703" t="s">
        <v>334</v>
      </c>
      <c r="I1253" s="703" t="s">
        <v>334</v>
      </c>
      <c r="J1253" s="703" t="s">
        <v>337</v>
      </c>
      <c r="K1253" s="704">
        <v>0</v>
      </c>
      <c r="L1253" s="703" t="s">
        <v>334</v>
      </c>
      <c r="M1253" s="702">
        <v>43616</v>
      </c>
      <c r="N1253" s="702">
        <v>44187</v>
      </c>
      <c r="O1253" s="703" t="s">
        <v>338</v>
      </c>
      <c r="P1253" s="20">
        <v>271477.08</v>
      </c>
      <c r="Q1253" s="20">
        <v>0</v>
      </c>
      <c r="R1253" s="20">
        <v>0</v>
      </c>
      <c r="S1253" s="20">
        <v>0</v>
      </c>
      <c r="T1253" s="20">
        <v>271477.08</v>
      </c>
      <c r="U1253" s="20">
        <v>262427.84000000003</v>
      </c>
      <c r="V1253" s="20">
        <v>-9049.24</v>
      </c>
      <c r="W1253" s="20">
        <v>-18098.48</v>
      </c>
      <c r="X1253" s="20">
        <v>-9049.24</v>
      </c>
      <c r="Y1253" s="20">
        <v>0</v>
      </c>
      <c r="Z1253" s="20">
        <v>0</v>
      </c>
      <c r="AA1253" s="20">
        <v>0</v>
      </c>
      <c r="AB1253" s="20">
        <v>253378.6</v>
      </c>
      <c r="AC1253" t="s">
        <v>589</v>
      </c>
      <c r="AD1253" t="s">
        <v>290</v>
      </c>
      <c r="AE1253" s="702">
        <f t="shared" si="95"/>
        <v>43983</v>
      </c>
      <c r="AF1253" s="289">
        <v>391871.08379346383</v>
      </c>
      <c r="AG1253">
        <f t="shared" si="96"/>
        <v>360</v>
      </c>
      <c r="AH1253" s="289">
        <f t="shared" si="97"/>
        <v>1088.5307883151772</v>
      </c>
      <c r="AJ1253" s="289">
        <f t="shared" si="98"/>
        <v>30</v>
      </c>
      <c r="AK1253" s="289">
        <f t="shared" si="99"/>
        <v>32655.923649455319</v>
      </c>
    </row>
    <row r="1254" spans="1:37">
      <c r="A1254" s="703" t="s">
        <v>2661</v>
      </c>
      <c r="B1254" s="703" t="s">
        <v>2311</v>
      </c>
      <c r="C1254" s="703" t="s">
        <v>586</v>
      </c>
      <c r="D1254" s="703" t="s">
        <v>334</v>
      </c>
      <c r="E1254" s="703" t="s">
        <v>334</v>
      </c>
      <c r="F1254" s="703" t="s">
        <v>335</v>
      </c>
      <c r="G1254" s="703" t="s">
        <v>2662</v>
      </c>
      <c r="H1254" s="703" t="s">
        <v>334</v>
      </c>
      <c r="I1254" s="703" t="s">
        <v>334</v>
      </c>
      <c r="J1254" s="703" t="s">
        <v>337</v>
      </c>
      <c r="K1254" s="704">
        <v>0</v>
      </c>
      <c r="L1254" s="703" t="s">
        <v>334</v>
      </c>
      <c r="M1254" s="702">
        <v>43616</v>
      </c>
      <c r="N1254" s="702">
        <v>44187</v>
      </c>
      <c r="O1254" s="703" t="s">
        <v>338</v>
      </c>
      <c r="P1254" s="20">
        <v>252.78</v>
      </c>
      <c r="Q1254" s="20">
        <v>0</v>
      </c>
      <c r="R1254" s="20">
        <v>0</v>
      </c>
      <c r="S1254" s="20">
        <v>0</v>
      </c>
      <c r="T1254" s="20">
        <v>252.78</v>
      </c>
      <c r="U1254" s="20">
        <v>244.35</v>
      </c>
      <c r="V1254" s="20">
        <v>-8.43</v>
      </c>
      <c r="W1254" s="20">
        <v>-16.86</v>
      </c>
      <c r="X1254" s="20">
        <v>-8.43</v>
      </c>
      <c r="Y1254" s="20">
        <v>0</v>
      </c>
      <c r="Z1254" s="20">
        <v>0</v>
      </c>
      <c r="AA1254" s="20">
        <v>0</v>
      </c>
      <c r="AB1254" s="20">
        <v>235.92</v>
      </c>
      <c r="AC1254" t="s">
        <v>589</v>
      </c>
      <c r="AD1254" t="s">
        <v>290</v>
      </c>
      <c r="AE1254" s="702">
        <f t="shared" si="95"/>
        <v>43983</v>
      </c>
      <c r="AF1254" s="289">
        <v>364.88226763493913</v>
      </c>
      <c r="AG1254">
        <f t="shared" si="96"/>
        <v>360</v>
      </c>
      <c r="AH1254" s="289">
        <f t="shared" si="97"/>
        <v>1.0135618545414975</v>
      </c>
      <c r="AJ1254" s="289">
        <f t="shared" si="98"/>
        <v>30</v>
      </c>
      <c r="AK1254" s="289">
        <f t="shared" si="99"/>
        <v>30.406855636244924</v>
      </c>
    </row>
    <row r="1255" spans="1:37">
      <c r="A1255" s="703" t="s">
        <v>2663</v>
      </c>
      <c r="B1255" s="703" t="s">
        <v>2311</v>
      </c>
      <c r="C1255" s="703" t="s">
        <v>586</v>
      </c>
      <c r="D1255" s="703" t="s">
        <v>334</v>
      </c>
      <c r="E1255" s="703" t="s">
        <v>334</v>
      </c>
      <c r="F1255" s="703" t="s">
        <v>335</v>
      </c>
      <c r="G1255" s="703" t="s">
        <v>2664</v>
      </c>
      <c r="H1255" s="703" t="s">
        <v>334</v>
      </c>
      <c r="I1255" s="703" t="s">
        <v>334</v>
      </c>
      <c r="J1255" s="703" t="s">
        <v>337</v>
      </c>
      <c r="K1255" s="704">
        <v>0</v>
      </c>
      <c r="L1255" s="703" t="s">
        <v>334</v>
      </c>
      <c r="M1255" s="702">
        <v>43616</v>
      </c>
      <c r="N1255" s="702">
        <v>44187</v>
      </c>
      <c r="O1255" s="703" t="s">
        <v>338</v>
      </c>
      <c r="P1255" s="20">
        <v>851.55</v>
      </c>
      <c r="Q1255" s="20">
        <v>0</v>
      </c>
      <c r="R1255" s="20">
        <v>0</v>
      </c>
      <c r="S1255" s="20">
        <v>0</v>
      </c>
      <c r="T1255" s="20">
        <v>851.55</v>
      </c>
      <c r="U1255" s="20">
        <v>823.16</v>
      </c>
      <c r="V1255" s="20">
        <v>-28.39</v>
      </c>
      <c r="W1255" s="20">
        <v>-56.78</v>
      </c>
      <c r="X1255" s="20">
        <v>-28.39</v>
      </c>
      <c r="Y1255" s="20">
        <v>0</v>
      </c>
      <c r="Z1255" s="20">
        <v>0</v>
      </c>
      <c r="AA1255" s="20">
        <v>0</v>
      </c>
      <c r="AB1255" s="20">
        <v>794.77</v>
      </c>
      <c r="AC1255" t="s">
        <v>589</v>
      </c>
      <c r="AD1255" t="s">
        <v>290</v>
      </c>
      <c r="AE1255" s="702">
        <f t="shared" si="95"/>
        <v>43983</v>
      </c>
      <c r="AF1255" s="289">
        <v>1229.1933499665022</v>
      </c>
      <c r="AG1255">
        <f t="shared" si="96"/>
        <v>360</v>
      </c>
      <c r="AH1255" s="289">
        <f t="shared" si="97"/>
        <v>3.4144259721291728</v>
      </c>
      <c r="AJ1255" s="289">
        <f t="shared" si="98"/>
        <v>30</v>
      </c>
      <c r="AK1255" s="289">
        <f t="shared" si="99"/>
        <v>102.43277916387518</v>
      </c>
    </row>
    <row r="1256" spans="1:37">
      <c r="A1256" s="703" t="s">
        <v>2665</v>
      </c>
      <c r="B1256" s="703" t="s">
        <v>2311</v>
      </c>
      <c r="C1256" s="703" t="s">
        <v>586</v>
      </c>
      <c r="D1256" s="703" t="s">
        <v>334</v>
      </c>
      <c r="E1256" s="703" t="s">
        <v>334</v>
      </c>
      <c r="F1256" s="703" t="s">
        <v>335</v>
      </c>
      <c r="G1256" s="703" t="s">
        <v>2666</v>
      </c>
      <c r="H1256" s="703" t="s">
        <v>334</v>
      </c>
      <c r="I1256" s="703" t="s">
        <v>334</v>
      </c>
      <c r="J1256" s="703" t="s">
        <v>337</v>
      </c>
      <c r="K1256" s="704">
        <v>0</v>
      </c>
      <c r="L1256" s="703" t="s">
        <v>334</v>
      </c>
      <c r="M1256" s="702">
        <v>43616</v>
      </c>
      <c r="N1256" s="702">
        <v>44187</v>
      </c>
      <c r="O1256" s="703" t="s">
        <v>338</v>
      </c>
      <c r="P1256" s="20">
        <v>1632.59</v>
      </c>
      <c r="Q1256" s="20">
        <v>0</v>
      </c>
      <c r="R1256" s="20">
        <v>0</v>
      </c>
      <c r="S1256" s="20">
        <v>0</v>
      </c>
      <c r="T1256" s="20">
        <v>1632.59</v>
      </c>
      <c r="U1256" s="20">
        <v>1578.17</v>
      </c>
      <c r="V1256" s="20">
        <v>-54.42</v>
      </c>
      <c r="W1256" s="20">
        <v>-108.84</v>
      </c>
      <c r="X1256" s="20">
        <v>-54.42</v>
      </c>
      <c r="Y1256" s="20">
        <v>0</v>
      </c>
      <c r="Z1256" s="20">
        <v>0</v>
      </c>
      <c r="AA1256" s="20">
        <v>0</v>
      </c>
      <c r="AB1256" s="20">
        <v>1523.75</v>
      </c>
      <c r="AC1256" t="s">
        <v>589</v>
      </c>
      <c r="AD1256" t="s">
        <v>290</v>
      </c>
      <c r="AE1256" s="702">
        <f t="shared" si="95"/>
        <v>43983</v>
      </c>
      <c r="AF1256" s="289">
        <v>2356.6070943829623</v>
      </c>
      <c r="AG1256">
        <f t="shared" si="96"/>
        <v>360</v>
      </c>
      <c r="AH1256" s="289">
        <f t="shared" si="97"/>
        <v>6.5461308177304511</v>
      </c>
      <c r="AJ1256" s="289">
        <f t="shared" si="98"/>
        <v>30</v>
      </c>
      <c r="AK1256" s="289">
        <f t="shared" si="99"/>
        <v>196.38392453191352</v>
      </c>
    </row>
    <row r="1257" spans="1:37">
      <c r="A1257" s="703" t="s">
        <v>2667</v>
      </c>
      <c r="B1257" s="703" t="s">
        <v>2311</v>
      </c>
      <c r="C1257" s="703" t="s">
        <v>586</v>
      </c>
      <c r="D1257" s="703" t="s">
        <v>334</v>
      </c>
      <c r="E1257" s="703" t="s">
        <v>334</v>
      </c>
      <c r="F1257" s="703" t="s">
        <v>335</v>
      </c>
      <c r="G1257" s="703" t="s">
        <v>2668</v>
      </c>
      <c r="H1257" s="703" t="s">
        <v>334</v>
      </c>
      <c r="I1257" s="703" t="s">
        <v>334</v>
      </c>
      <c r="J1257" s="703" t="s">
        <v>337</v>
      </c>
      <c r="K1257" s="704">
        <v>0</v>
      </c>
      <c r="L1257" s="703" t="s">
        <v>334</v>
      </c>
      <c r="M1257" s="702">
        <v>43616</v>
      </c>
      <c r="N1257" s="702">
        <v>44187</v>
      </c>
      <c r="O1257" s="703" t="s">
        <v>338</v>
      </c>
      <c r="P1257" s="20">
        <v>2212.89</v>
      </c>
      <c r="Q1257" s="20">
        <v>0</v>
      </c>
      <c r="R1257" s="20">
        <v>0</v>
      </c>
      <c r="S1257" s="20">
        <v>0</v>
      </c>
      <c r="T1257" s="20">
        <v>2212.89</v>
      </c>
      <c r="U1257" s="20">
        <v>2139.13</v>
      </c>
      <c r="V1257" s="20">
        <v>-73.760000000000005</v>
      </c>
      <c r="W1257" s="20">
        <v>-147.52000000000001</v>
      </c>
      <c r="X1257" s="20">
        <v>-73.760000000000005</v>
      </c>
      <c r="Y1257" s="20">
        <v>0</v>
      </c>
      <c r="Z1257" s="20">
        <v>0</v>
      </c>
      <c r="AA1257" s="20">
        <v>0</v>
      </c>
      <c r="AB1257" s="20">
        <v>2065.37</v>
      </c>
      <c r="AC1257" t="s">
        <v>589</v>
      </c>
      <c r="AD1257" t="s">
        <v>290</v>
      </c>
      <c r="AE1257" s="702">
        <f t="shared" si="95"/>
        <v>43983</v>
      </c>
      <c r="AF1257" s="289">
        <v>3194.2571454493254</v>
      </c>
      <c r="AG1257">
        <f t="shared" si="96"/>
        <v>360</v>
      </c>
      <c r="AH1257" s="289">
        <f t="shared" si="97"/>
        <v>8.872936515137015</v>
      </c>
      <c r="AJ1257" s="289">
        <f t="shared" si="98"/>
        <v>30</v>
      </c>
      <c r="AK1257" s="289">
        <f t="shared" si="99"/>
        <v>266.18809545411045</v>
      </c>
    </row>
    <row r="1258" spans="1:37">
      <c r="A1258" s="703" t="s">
        <v>2669</v>
      </c>
      <c r="B1258" s="703" t="s">
        <v>2311</v>
      </c>
      <c r="C1258" s="703" t="s">
        <v>586</v>
      </c>
      <c r="D1258" s="703" t="s">
        <v>334</v>
      </c>
      <c r="E1258" s="703" t="s">
        <v>334</v>
      </c>
      <c r="F1258" s="703" t="s">
        <v>335</v>
      </c>
      <c r="G1258" s="703" t="s">
        <v>2670</v>
      </c>
      <c r="H1258" s="703" t="s">
        <v>334</v>
      </c>
      <c r="I1258" s="703" t="s">
        <v>334</v>
      </c>
      <c r="J1258" s="703" t="s">
        <v>337</v>
      </c>
      <c r="K1258" s="704">
        <v>0</v>
      </c>
      <c r="L1258" s="703" t="s">
        <v>334</v>
      </c>
      <c r="M1258" s="702">
        <v>43616</v>
      </c>
      <c r="N1258" s="702">
        <v>44187</v>
      </c>
      <c r="O1258" s="703" t="s">
        <v>338</v>
      </c>
      <c r="P1258" s="20">
        <v>70845.279999999999</v>
      </c>
      <c r="Q1258" s="20">
        <v>0</v>
      </c>
      <c r="R1258" s="20">
        <v>0</v>
      </c>
      <c r="S1258" s="20">
        <v>0</v>
      </c>
      <c r="T1258" s="20">
        <v>70845.279999999999</v>
      </c>
      <c r="U1258" s="20">
        <v>68483.77</v>
      </c>
      <c r="V1258" s="20">
        <v>-2361.5100000000002</v>
      </c>
      <c r="W1258" s="20">
        <v>-4723.0200000000004</v>
      </c>
      <c r="X1258" s="20">
        <v>-2361.5100000000002</v>
      </c>
      <c r="Y1258" s="20">
        <v>0</v>
      </c>
      <c r="Z1258" s="20">
        <v>0</v>
      </c>
      <c r="AA1258" s="20">
        <v>0</v>
      </c>
      <c r="AB1258" s="20">
        <v>66122.259999999995</v>
      </c>
      <c r="AC1258" t="s">
        <v>589</v>
      </c>
      <c r="AD1258" t="s">
        <v>290</v>
      </c>
      <c r="AE1258" s="702">
        <f t="shared" si="95"/>
        <v>43983</v>
      </c>
      <c r="AF1258" s="289">
        <v>102263.57471964633</v>
      </c>
      <c r="AG1258">
        <f t="shared" si="96"/>
        <v>360</v>
      </c>
      <c r="AH1258" s="289">
        <f t="shared" si="97"/>
        <v>284.06548533235093</v>
      </c>
      <c r="AJ1258" s="289">
        <f t="shared" si="98"/>
        <v>30</v>
      </c>
      <c r="AK1258" s="289">
        <f t="shared" si="99"/>
        <v>8521.9645599705273</v>
      </c>
    </row>
    <row r="1259" spans="1:37">
      <c r="A1259" s="703" t="s">
        <v>2671</v>
      </c>
      <c r="B1259" s="703" t="s">
        <v>2311</v>
      </c>
      <c r="C1259" s="703" t="s">
        <v>586</v>
      </c>
      <c r="D1259" s="703" t="s">
        <v>334</v>
      </c>
      <c r="E1259" s="703" t="s">
        <v>334</v>
      </c>
      <c r="F1259" s="703" t="s">
        <v>335</v>
      </c>
      <c r="G1259" s="703" t="s">
        <v>2672</v>
      </c>
      <c r="H1259" s="703" t="s">
        <v>334</v>
      </c>
      <c r="I1259" s="703" t="s">
        <v>334</v>
      </c>
      <c r="J1259" s="703" t="s">
        <v>337</v>
      </c>
      <c r="K1259" s="704">
        <v>0</v>
      </c>
      <c r="L1259" s="703" t="s">
        <v>334</v>
      </c>
      <c r="M1259" s="702">
        <v>43616</v>
      </c>
      <c r="N1259" s="702">
        <v>44187</v>
      </c>
      <c r="O1259" s="703" t="s">
        <v>338</v>
      </c>
      <c r="P1259" s="20">
        <v>24820.28</v>
      </c>
      <c r="Q1259" s="20">
        <v>0</v>
      </c>
      <c r="R1259" s="20">
        <v>0</v>
      </c>
      <c r="S1259" s="20">
        <v>0</v>
      </c>
      <c r="T1259" s="20">
        <v>24820.28</v>
      </c>
      <c r="U1259" s="20">
        <v>23992.94</v>
      </c>
      <c r="V1259" s="20">
        <v>-827.34</v>
      </c>
      <c r="W1259" s="20">
        <v>-1654.68</v>
      </c>
      <c r="X1259" s="20">
        <v>-827.34</v>
      </c>
      <c r="Y1259" s="20">
        <v>0</v>
      </c>
      <c r="Z1259" s="20">
        <v>0</v>
      </c>
      <c r="AA1259" s="20">
        <v>0</v>
      </c>
      <c r="AB1259" s="20">
        <v>23165.599999999999</v>
      </c>
      <c r="AC1259" t="s">
        <v>589</v>
      </c>
      <c r="AD1259" t="s">
        <v>290</v>
      </c>
      <c r="AE1259" s="702">
        <f t="shared" si="95"/>
        <v>43983</v>
      </c>
      <c r="AF1259" s="289">
        <v>35827.518196590427</v>
      </c>
      <c r="AG1259">
        <f t="shared" si="96"/>
        <v>360</v>
      </c>
      <c r="AH1259" s="289">
        <f t="shared" si="97"/>
        <v>99.520883879417852</v>
      </c>
      <c r="AJ1259" s="289">
        <f t="shared" si="98"/>
        <v>30</v>
      </c>
      <c r="AK1259" s="289">
        <f t="shared" si="99"/>
        <v>2985.6265163825356</v>
      </c>
    </row>
    <row r="1260" spans="1:37">
      <c r="A1260" s="703" t="s">
        <v>2673</v>
      </c>
      <c r="B1260" s="703" t="s">
        <v>2311</v>
      </c>
      <c r="C1260" s="703" t="s">
        <v>586</v>
      </c>
      <c r="D1260" s="703" t="s">
        <v>334</v>
      </c>
      <c r="E1260" s="703" t="s">
        <v>334</v>
      </c>
      <c r="F1260" s="703" t="s">
        <v>335</v>
      </c>
      <c r="G1260" s="703" t="s">
        <v>2674</v>
      </c>
      <c r="H1260" s="703" t="s">
        <v>334</v>
      </c>
      <c r="I1260" s="703" t="s">
        <v>334</v>
      </c>
      <c r="J1260" s="703" t="s">
        <v>337</v>
      </c>
      <c r="K1260" s="704">
        <v>0</v>
      </c>
      <c r="L1260" s="703" t="s">
        <v>334</v>
      </c>
      <c r="M1260" s="702">
        <v>43616</v>
      </c>
      <c r="N1260" s="702">
        <v>44187</v>
      </c>
      <c r="O1260" s="703" t="s">
        <v>338</v>
      </c>
      <c r="P1260" s="20">
        <v>6177.8</v>
      </c>
      <c r="Q1260" s="20">
        <v>0</v>
      </c>
      <c r="R1260" s="20">
        <v>0</v>
      </c>
      <c r="S1260" s="20">
        <v>0</v>
      </c>
      <c r="T1260" s="20">
        <v>6177.8</v>
      </c>
      <c r="U1260" s="20">
        <v>5971.87</v>
      </c>
      <c r="V1260" s="20">
        <v>-205.93</v>
      </c>
      <c r="W1260" s="20">
        <v>-411.86</v>
      </c>
      <c r="X1260" s="20">
        <v>-205.93</v>
      </c>
      <c r="Y1260" s="20">
        <v>0</v>
      </c>
      <c r="Z1260" s="20">
        <v>0</v>
      </c>
      <c r="AA1260" s="20">
        <v>0</v>
      </c>
      <c r="AB1260" s="20">
        <v>5765.94</v>
      </c>
      <c r="AC1260" t="s">
        <v>589</v>
      </c>
      <c r="AD1260" t="s">
        <v>290</v>
      </c>
      <c r="AE1260" s="702">
        <f t="shared" si="95"/>
        <v>43983</v>
      </c>
      <c r="AF1260" s="289">
        <v>8917.5159150056461</v>
      </c>
      <c r="AG1260">
        <f t="shared" si="96"/>
        <v>360</v>
      </c>
      <c r="AH1260" s="289">
        <f t="shared" si="97"/>
        <v>24.770877541682349</v>
      </c>
      <c r="AJ1260" s="289">
        <f t="shared" si="98"/>
        <v>30</v>
      </c>
      <c r="AK1260" s="289">
        <f t="shared" si="99"/>
        <v>743.12632625047047</v>
      </c>
    </row>
    <row r="1261" spans="1:37">
      <c r="A1261" s="703" t="s">
        <v>2675</v>
      </c>
      <c r="B1261" s="703" t="s">
        <v>2311</v>
      </c>
      <c r="C1261" s="703" t="s">
        <v>586</v>
      </c>
      <c r="D1261" s="703" t="s">
        <v>334</v>
      </c>
      <c r="E1261" s="703" t="s">
        <v>334</v>
      </c>
      <c r="F1261" s="703" t="s">
        <v>335</v>
      </c>
      <c r="G1261" s="703" t="s">
        <v>2676</v>
      </c>
      <c r="H1261" s="703" t="s">
        <v>334</v>
      </c>
      <c r="I1261" s="703" t="s">
        <v>334</v>
      </c>
      <c r="J1261" s="703" t="s">
        <v>337</v>
      </c>
      <c r="K1261" s="704">
        <v>0</v>
      </c>
      <c r="L1261" s="703" t="s">
        <v>334</v>
      </c>
      <c r="M1261" s="702">
        <v>43616</v>
      </c>
      <c r="N1261" s="702">
        <v>44187</v>
      </c>
      <c r="O1261" s="703" t="s">
        <v>338</v>
      </c>
      <c r="P1261" s="20">
        <v>4015.17</v>
      </c>
      <c r="Q1261" s="20">
        <v>0</v>
      </c>
      <c r="R1261" s="20">
        <v>0</v>
      </c>
      <c r="S1261" s="20">
        <v>0</v>
      </c>
      <c r="T1261" s="20">
        <v>4015.17</v>
      </c>
      <c r="U1261" s="20">
        <v>3881.33</v>
      </c>
      <c r="V1261" s="20">
        <v>-133.84</v>
      </c>
      <c r="W1261" s="20">
        <v>-267.68</v>
      </c>
      <c r="X1261" s="20">
        <v>-133.84</v>
      </c>
      <c r="Y1261" s="20">
        <v>0</v>
      </c>
      <c r="Z1261" s="20">
        <v>0</v>
      </c>
      <c r="AA1261" s="20">
        <v>0</v>
      </c>
      <c r="AB1261" s="20">
        <v>3747.49</v>
      </c>
      <c r="AC1261" t="s">
        <v>589</v>
      </c>
      <c r="AD1261" t="s">
        <v>290</v>
      </c>
      <c r="AE1261" s="702">
        <f t="shared" si="95"/>
        <v>43983</v>
      </c>
      <c r="AF1261" s="289">
        <v>5795.8079537138174</v>
      </c>
      <c r="AG1261">
        <f t="shared" si="96"/>
        <v>360</v>
      </c>
      <c r="AH1261" s="289">
        <f t="shared" si="97"/>
        <v>16.099466538093939</v>
      </c>
      <c r="AJ1261" s="289">
        <f t="shared" si="98"/>
        <v>30</v>
      </c>
      <c r="AK1261" s="289">
        <f t="shared" si="99"/>
        <v>482.98399614281817</v>
      </c>
    </row>
    <row r="1262" spans="1:37">
      <c r="A1262" s="703" t="s">
        <v>2677</v>
      </c>
      <c r="B1262" s="703" t="s">
        <v>2311</v>
      </c>
      <c r="C1262" s="703" t="s">
        <v>586</v>
      </c>
      <c r="D1262" s="703" t="s">
        <v>334</v>
      </c>
      <c r="E1262" s="703" t="s">
        <v>334</v>
      </c>
      <c r="F1262" s="703" t="s">
        <v>335</v>
      </c>
      <c r="G1262" s="703" t="s">
        <v>2678</v>
      </c>
      <c r="H1262" s="703" t="s">
        <v>334</v>
      </c>
      <c r="I1262" s="703" t="s">
        <v>334</v>
      </c>
      <c r="J1262" s="703" t="s">
        <v>337</v>
      </c>
      <c r="K1262" s="704">
        <v>0</v>
      </c>
      <c r="L1262" s="703" t="s">
        <v>334</v>
      </c>
      <c r="M1262" s="702">
        <v>43616</v>
      </c>
      <c r="N1262" s="702">
        <v>44187</v>
      </c>
      <c r="O1262" s="703" t="s">
        <v>338</v>
      </c>
      <c r="P1262" s="20">
        <v>2173.6799999999998</v>
      </c>
      <c r="Q1262" s="20">
        <v>0</v>
      </c>
      <c r="R1262" s="20">
        <v>0</v>
      </c>
      <c r="S1262" s="20">
        <v>0</v>
      </c>
      <c r="T1262" s="20">
        <v>2173.6799999999998</v>
      </c>
      <c r="U1262" s="20">
        <v>2101.2199999999998</v>
      </c>
      <c r="V1262" s="20">
        <v>-72.459999999999994</v>
      </c>
      <c r="W1262" s="20">
        <v>-144.91999999999999</v>
      </c>
      <c r="X1262" s="20">
        <v>-72.459999999999994</v>
      </c>
      <c r="Y1262" s="20">
        <v>0</v>
      </c>
      <c r="Z1262" s="20">
        <v>0</v>
      </c>
      <c r="AA1262" s="20">
        <v>0</v>
      </c>
      <c r="AB1262" s="20">
        <v>2028.76</v>
      </c>
      <c r="AC1262" t="s">
        <v>589</v>
      </c>
      <c r="AD1262" t="s">
        <v>290</v>
      </c>
      <c r="AE1262" s="702">
        <f t="shared" si="95"/>
        <v>43983</v>
      </c>
      <c r="AF1262" s="289">
        <v>3137.6583887677607</v>
      </c>
      <c r="AG1262">
        <f t="shared" si="96"/>
        <v>360</v>
      </c>
      <c r="AH1262" s="289">
        <f t="shared" si="97"/>
        <v>8.7157177465771127</v>
      </c>
      <c r="AJ1262" s="289">
        <f t="shared" si="98"/>
        <v>30</v>
      </c>
      <c r="AK1262" s="289">
        <f t="shared" si="99"/>
        <v>261.47153239731335</v>
      </c>
    </row>
    <row r="1263" spans="1:37">
      <c r="A1263" s="703" t="s">
        <v>2679</v>
      </c>
      <c r="B1263" s="703" t="s">
        <v>2311</v>
      </c>
      <c r="C1263" s="703" t="s">
        <v>586</v>
      </c>
      <c r="D1263" s="703" t="s">
        <v>334</v>
      </c>
      <c r="E1263" s="703" t="s">
        <v>334</v>
      </c>
      <c r="F1263" s="703" t="s">
        <v>335</v>
      </c>
      <c r="G1263" s="703" t="s">
        <v>2680</v>
      </c>
      <c r="H1263" s="703" t="s">
        <v>334</v>
      </c>
      <c r="I1263" s="703" t="s">
        <v>334</v>
      </c>
      <c r="J1263" s="703" t="s">
        <v>337</v>
      </c>
      <c r="K1263" s="704">
        <v>0</v>
      </c>
      <c r="L1263" s="703" t="s">
        <v>334</v>
      </c>
      <c r="M1263" s="702">
        <v>43616</v>
      </c>
      <c r="N1263" s="702">
        <v>44187</v>
      </c>
      <c r="O1263" s="703" t="s">
        <v>338</v>
      </c>
      <c r="P1263" s="20">
        <v>35594.769999999997</v>
      </c>
      <c r="Q1263" s="20">
        <v>0</v>
      </c>
      <c r="R1263" s="20">
        <v>0</v>
      </c>
      <c r="S1263" s="20">
        <v>0</v>
      </c>
      <c r="T1263" s="20">
        <v>35594.769999999997</v>
      </c>
      <c r="U1263" s="20">
        <v>34408.28</v>
      </c>
      <c r="V1263" s="20">
        <v>-1186.49</v>
      </c>
      <c r="W1263" s="20">
        <v>-2372.98</v>
      </c>
      <c r="X1263" s="20">
        <v>-1186.49</v>
      </c>
      <c r="Y1263" s="20">
        <v>0</v>
      </c>
      <c r="Z1263" s="20">
        <v>0</v>
      </c>
      <c r="AA1263" s="20">
        <v>0</v>
      </c>
      <c r="AB1263" s="20">
        <v>33221.79</v>
      </c>
      <c r="AC1263" t="s">
        <v>589</v>
      </c>
      <c r="AD1263" t="s">
        <v>290</v>
      </c>
      <c r="AE1263" s="702">
        <f t="shared" si="95"/>
        <v>43983</v>
      </c>
      <c r="AF1263" s="289">
        <v>51380.253159047788</v>
      </c>
      <c r="AG1263">
        <f t="shared" si="96"/>
        <v>360</v>
      </c>
      <c r="AH1263" s="289">
        <f t="shared" si="97"/>
        <v>142.72292544179942</v>
      </c>
      <c r="AJ1263" s="289">
        <f t="shared" si="98"/>
        <v>30</v>
      </c>
      <c r="AK1263" s="289">
        <f t="shared" si="99"/>
        <v>4281.6877632539827</v>
      </c>
    </row>
    <row r="1264" spans="1:37">
      <c r="A1264" s="703" t="s">
        <v>2681</v>
      </c>
      <c r="B1264" s="703" t="s">
        <v>2311</v>
      </c>
      <c r="C1264" s="703" t="s">
        <v>586</v>
      </c>
      <c r="D1264" s="703" t="s">
        <v>334</v>
      </c>
      <c r="E1264" s="703" t="s">
        <v>334</v>
      </c>
      <c r="F1264" s="703" t="s">
        <v>335</v>
      </c>
      <c r="G1264" s="703" t="s">
        <v>2682</v>
      </c>
      <c r="H1264" s="703" t="s">
        <v>334</v>
      </c>
      <c r="I1264" s="703" t="s">
        <v>334</v>
      </c>
      <c r="J1264" s="703" t="s">
        <v>337</v>
      </c>
      <c r="K1264" s="704">
        <v>0</v>
      </c>
      <c r="L1264" s="703" t="s">
        <v>334</v>
      </c>
      <c r="M1264" s="702">
        <v>43616</v>
      </c>
      <c r="N1264" s="702">
        <v>44187</v>
      </c>
      <c r="O1264" s="703" t="s">
        <v>338</v>
      </c>
      <c r="P1264" s="20">
        <v>58111.05</v>
      </c>
      <c r="Q1264" s="20">
        <v>0</v>
      </c>
      <c r="R1264" s="20">
        <v>0</v>
      </c>
      <c r="S1264" s="20">
        <v>0</v>
      </c>
      <c r="T1264" s="20">
        <v>58111.05</v>
      </c>
      <c r="U1264" s="20">
        <v>56174.01</v>
      </c>
      <c r="V1264" s="20">
        <v>-1937.04</v>
      </c>
      <c r="W1264" s="20">
        <v>-3874.08</v>
      </c>
      <c r="X1264" s="20">
        <v>-1937.04</v>
      </c>
      <c r="Y1264" s="20">
        <v>0</v>
      </c>
      <c r="Z1264" s="20">
        <v>0</v>
      </c>
      <c r="AA1264" s="20">
        <v>0</v>
      </c>
      <c r="AB1264" s="20">
        <v>54236.97</v>
      </c>
      <c r="AC1264" t="s">
        <v>589</v>
      </c>
      <c r="AD1264" t="s">
        <v>290</v>
      </c>
      <c r="AE1264" s="702">
        <f t="shared" si="95"/>
        <v>43983</v>
      </c>
      <c r="AF1264" s="289">
        <v>83881.998966086438</v>
      </c>
      <c r="AG1264">
        <f t="shared" si="96"/>
        <v>360</v>
      </c>
      <c r="AH1264" s="289">
        <f t="shared" si="97"/>
        <v>233.00555268357343</v>
      </c>
      <c r="AJ1264" s="289">
        <f t="shared" si="98"/>
        <v>30</v>
      </c>
      <c r="AK1264" s="289">
        <f t="shared" si="99"/>
        <v>6990.1665805072025</v>
      </c>
    </row>
    <row r="1265" spans="1:37">
      <c r="A1265" s="703" t="s">
        <v>2683</v>
      </c>
      <c r="B1265" s="703" t="s">
        <v>2311</v>
      </c>
      <c r="C1265" s="703" t="s">
        <v>586</v>
      </c>
      <c r="D1265" s="703" t="s">
        <v>334</v>
      </c>
      <c r="E1265" s="703" t="s">
        <v>334</v>
      </c>
      <c r="F1265" s="703" t="s">
        <v>335</v>
      </c>
      <c r="G1265" s="703" t="s">
        <v>2684</v>
      </c>
      <c r="H1265" s="703" t="s">
        <v>334</v>
      </c>
      <c r="I1265" s="703" t="s">
        <v>334</v>
      </c>
      <c r="J1265" s="703" t="s">
        <v>337</v>
      </c>
      <c r="K1265" s="704">
        <v>0</v>
      </c>
      <c r="L1265" s="703" t="s">
        <v>334</v>
      </c>
      <c r="M1265" s="702">
        <v>43616</v>
      </c>
      <c r="N1265" s="702">
        <v>44187</v>
      </c>
      <c r="O1265" s="703" t="s">
        <v>338</v>
      </c>
      <c r="P1265" s="20">
        <v>15631.75</v>
      </c>
      <c r="Q1265" s="20">
        <v>0</v>
      </c>
      <c r="R1265" s="20">
        <v>0</v>
      </c>
      <c r="S1265" s="20">
        <v>0</v>
      </c>
      <c r="T1265" s="20">
        <v>15631.75</v>
      </c>
      <c r="U1265" s="20">
        <v>15110.69</v>
      </c>
      <c r="V1265" s="20">
        <v>-521.05999999999995</v>
      </c>
      <c r="W1265" s="20">
        <v>-1042.1199999999999</v>
      </c>
      <c r="X1265" s="20">
        <v>-521.05999999999995</v>
      </c>
      <c r="Y1265" s="20">
        <v>0</v>
      </c>
      <c r="Z1265" s="20">
        <v>0</v>
      </c>
      <c r="AA1265" s="20">
        <v>0</v>
      </c>
      <c r="AB1265" s="20">
        <v>14589.63</v>
      </c>
      <c r="AC1265" t="s">
        <v>589</v>
      </c>
      <c r="AD1265" t="s">
        <v>290</v>
      </c>
      <c r="AE1265" s="702">
        <f t="shared" si="95"/>
        <v>43983</v>
      </c>
      <c r="AF1265" s="289">
        <v>22564.080968045175</v>
      </c>
      <c r="AG1265">
        <f t="shared" si="96"/>
        <v>360</v>
      </c>
      <c r="AH1265" s="289">
        <f t="shared" si="97"/>
        <v>62.678002689014377</v>
      </c>
      <c r="AJ1265" s="289">
        <f t="shared" si="98"/>
        <v>30</v>
      </c>
      <c r="AK1265" s="289">
        <f t="shared" si="99"/>
        <v>1880.3400806704312</v>
      </c>
    </row>
    <row r="1266" spans="1:37">
      <c r="A1266" s="703" t="s">
        <v>2685</v>
      </c>
      <c r="B1266" s="703" t="s">
        <v>2311</v>
      </c>
      <c r="C1266" s="703" t="s">
        <v>586</v>
      </c>
      <c r="D1266" s="703" t="s">
        <v>334</v>
      </c>
      <c r="E1266" s="703" t="s">
        <v>334</v>
      </c>
      <c r="F1266" s="703" t="s">
        <v>335</v>
      </c>
      <c r="G1266" s="703" t="s">
        <v>2686</v>
      </c>
      <c r="H1266" s="703" t="s">
        <v>334</v>
      </c>
      <c r="I1266" s="703" t="s">
        <v>334</v>
      </c>
      <c r="J1266" s="703" t="s">
        <v>337</v>
      </c>
      <c r="K1266" s="704">
        <v>0</v>
      </c>
      <c r="L1266" s="703" t="s">
        <v>334</v>
      </c>
      <c r="M1266" s="702">
        <v>43616</v>
      </c>
      <c r="N1266" s="702">
        <v>44187</v>
      </c>
      <c r="O1266" s="703" t="s">
        <v>338</v>
      </c>
      <c r="P1266" s="20">
        <v>1462.43</v>
      </c>
      <c r="Q1266" s="20">
        <v>0</v>
      </c>
      <c r="R1266" s="20">
        <v>0</v>
      </c>
      <c r="S1266" s="20">
        <v>0</v>
      </c>
      <c r="T1266" s="20">
        <v>1462.43</v>
      </c>
      <c r="U1266" s="20">
        <v>1413.68</v>
      </c>
      <c r="V1266" s="20">
        <v>-48.75</v>
      </c>
      <c r="W1266" s="20">
        <v>-97.5</v>
      </c>
      <c r="X1266" s="20">
        <v>-48.75</v>
      </c>
      <c r="Y1266" s="20">
        <v>0</v>
      </c>
      <c r="Z1266" s="20">
        <v>0</v>
      </c>
      <c r="AA1266" s="20">
        <v>0</v>
      </c>
      <c r="AB1266" s="20">
        <v>1364.93</v>
      </c>
      <c r="AC1266" t="s">
        <v>589</v>
      </c>
      <c r="AD1266" t="s">
        <v>290</v>
      </c>
      <c r="AE1266" s="702">
        <f t="shared" si="95"/>
        <v>43983</v>
      </c>
      <c r="AF1266" s="289">
        <v>2110.9849460296073</v>
      </c>
      <c r="AG1266">
        <f t="shared" si="96"/>
        <v>360</v>
      </c>
      <c r="AH1266" s="289">
        <f t="shared" si="97"/>
        <v>5.8638470723044644</v>
      </c>
      <c r="AJ1266" s="289">
        <f t="shared" si="98"/>
        <v>30</v>
      </c>
      <c r="AK1266" s="289">
        <f t="shared" si="99"/>
        <v>175.91541216913393</v>
      </c>
    </row>
    <row r="1267" spans="1:37">
      <c r="A1267" s="703" t="s">
        <v>2687</v>
      </c>
      <c r="B1267" s="703" t="s">
        <v>2311</v>
      </c>
      <c r="C1267" s="703" t="s">
        <v>586</v>
      </c>
      <c r="D1267" s="703" t="s">
        <v>334</v>
      </c>
      <c r="E1267" s="703" t="s">
        <v>334</v>
      </c>
      <c r="F1267" s="703" t="s">
        <v>335</v>
      </c>
      <c r="G1267" s="703" t="s">
        <v>2688</v>
      </c>
      <c r="H1267" s="703" t="s">
        <v>334</v>
      </c>
      <c r="I1267" s="703" t="s">
        <v>334</v>
      </c>
      <c r="J1267" s="703" t="s">
        <v>337</v>
      </c>
      <c r="K1267" s="704">
        <v>0</v>
      </c>
      <c r="L1267" s="703" t="s">
        <v>334</v>
      </c>
      <c r="M1267" s="702">
        <v>43616</v>
      </c>
      <c r="N1267" s="702">
        <v>44187</v>
      </c>
      <c r="O1267" s="703" t="s">
        <v>338</v>
      </c>
      <c r="P1267" s="20">
        <v>693.64</v>
      </c>
      <c r="Q1267" s="20">
        <v>0</v>
      </c>
      <c r="R1267" s="20">
        <v>0</v>
      </c>
      <c r="S1267" s="20">
        <v>0</v>
      </c>
      <c r="T1267" s="20">
        <v>693.64</v>
      </c>
      <c r="U1267" s="20">
        <v>670.52</v>
      </c>
      <c r="V1267" s="20">
        <v>-23.12</v>
      </c>
      <c r="W1267" s="20">
        <v>-46.24</v>
      </c>
      <c r="X1267" s="20">
        <v>-23.12</v>
      </c>
      <c r="Y1267" s="20">
        <v>0</v>
      </c>
      <c r="Z1267" s="20">
        <v>0</v>
      </c>
      <c r="AA1267" s="20">
        <v>0</v>
      </c>
      <c r="AB1267" s="20">
        <v>647.4</v>
      </c>
      <c r="AC1267" t="s">
        <v>589</v>
      </c>
      <c r="AD1267" t="s">
        <v>290</v>
      </c>
      <c r="AE1267" s="702">
        <f t="shared" si="95"/>
        <v>43983</v>
      </c>
      <c r="AF1267" s="289">
        <v>1001.2538022086367</v>
      </c>
      <c r="AG1267">
        <f t="shared" si="96"/>
        <v>360</v>
      </c>
      <c r="AH1267" s="289">
        <f t="shared" si="97"/>
        <v>2.7812605616906576</v>
      </c>
      <c r="AJ1267" s="289">
        <f t="shared" si="98"/>
        <v>30</v>
      </c>
      <c r="AK1267" s="289">
        <f t="shared" si="99"/>
        <v>83.437816850719727</v>
      </c>
    </row>
    <row r="1268" spans="1:37">
      <c r="A1268" s="703" t="s">
        <v>2689</v>
      </c>
      <c r="B1268" s="703" t="s">
        <v>2311</v>
      </c>
      <c r="C1268" s="703" t="s">
        <v>586</v>
      </c>
      <c r="D1268" s="703" t="s">
        <v>334</v>
      </c>
      <c r="E1268" s="703" t="s">
        <v>334</v>
      </c>
      <c r="F1268" s="703" t="s">
        <v>335</v>
      </c>
      <c r="G1268" s="703" t="s">
        <v>2690</v>
      </c>
      <c r="H1268" s="703" t="s">
        <v>334</v>
      </c>
      <c r="I1268" s="703" t="s">
        <v>334</v>
      </c>
      <c r="J1268" s="703" t="s">
        <v>337</v>
      </c>
      <c r="K1268" s="704">
        <v>0</v>
      </c>
      <c r="L1268" s="703" t="s">
        <v>334</v>
      </c>
      <c r="M1268" s="702">
        <v>43616</v>
      </c>
      <c r="N1268" s="702">
        <v>44187</v>
      </c>
      <c r="O1268" s="703" t="s">
        <v>338</v>
      </c>
      <c r="P1268" s="20">
        <v>37647.800000000003</v>
      </c>
      <c r="Q1268" s="20">
        <v>0</v>
      </c>
      <c r="R1268" s="20">
        <v>0</v>
      </c>
      <c r="S1268" s="20">
        <v>0</v>
      </c>
      <c r="T1268" s="20">
        <v>37647.800000000003</v>
      </c>
      <c r="U1268" s="20">
        <v>36392.870000000003</v>
      </c>
      <c r="V1268" s="20">
        <v>-1254.93</v>
      </c>
      <c r="W1268" s="20">
        <v>-2509.86</v>
      </c>
      <c r="X1268" s="20">
        <v>-1254.93</v>
      </c>
      <c r="Y1268" s="20">
        <v>0</v>
      </c>
      <c r="Z1268" s="20">
        <v>0</v>
      </c>
      <c r="AA1268" s="20">
        <v>0</v>
      </c>
      <c r="AB1268" s="20">
        <v>35137.94</v>
      </c>
      <c r="AC1268" t="s">
        <v>589</v>
      </c>
      <c r="AD1268" t="s">
        <v>290</v>
      </c>
      <c r="AE1268" s="702">
        <f t="shared" si="95"/>
        <v>43983</v>
      </c>
      <c r="AF1268" s="289">
        <v>54343.755975419983</v>
      </c>
      <c r="AG1268">
        <f t="shared" si="96"/>
        <v>360</v>
      </c>
      <c r="AH1268" s="289">
        <f t="shared" si="97"/>
        <v>150.95487770949995</v>
      </c>
      <c r="AJ1268" s="289">
        <f t="shared" si="98"/>
        <v>30</v>
      </c>
      <c r="AK1268" s="289">
        <f t="shared" si="99"/>
        <v>4528.6463312849983</v>
      </c>
    </row>
    <row r="1269" spans="1:37">
      <c r="A1269" s="703" t="s">
        <v>2691</v>
      </c>
      <c r="B1269" s="703" t="s">
        <v>2311</v>
      </c>
      <c r="C1269" s="703" t="s">
        <v>586</v>
      </c>
      <c r="D1269" s="703" t="s">
        <v>334</v>
      </c>
      <c r="E1269" s="703" t="s">
        <v>334</v>
      </c>
      <c r="F1269" s="703" t="s">
        <v>335</v>
      </c>
      <c r="G1269" s="703" t="s">
        <v>2692</v>
      </c>
      <c r="H1269" s="703" t="s">
        <v>334</v>
      </c>
      <c r="I1269" s="703" t="s">
        <v>334</v>
      </c>
      <c r="J1269" s="703" t="s">
        <v>337</v>
      </c>
      <c r="K1269" s="704">
        <v>0</v>
      </c>
      <c r="L1269" s="703" t="s">
        <v>334</v>
      </c>
      <c r="M1269" s="702">
        <v>43616</v>
      </c>
      <c r="N1269" s="702">
        <v>44187</v>
      </c>
      <c r="O1269" s="703" t="s">
        <v>338</v>
      </c>
      <c r="P1269" s="20">
        <v>3775.29</v>
      </c>
      <c r="Q1269" s="20">
        <v>0</v>
      </c>
      <c r="R1269" s="20">
        <v>0</v>
      </c>
      <c r="S1269" s="20">
        <v>0</v>
      </c>
      <c r="T1269" s="20">
        <v>3775.29</v>
      </c>
      <c r="U1269" s="20">
        <v>3649.45</v>
      </c>
      <c r="V1269" s="20">
        <v>-125.84</v>
      </c>
      <c r="W1269" s="20">
        <v>-251.68</v>
      </c>
      <c r="X1269" s="20">
        <v>-125.84</v>
      </c>
      <c r="Y1269" s="20">
        <v>0</v>
      </c>
      <c r="Z1269" s="20">
        <v>0</v>
      </c>
      <c r="AA1269" s="20">
        <v>0</v>
      </c>
      <c r="AB1269" s="20">
        <v>3523.61</v>
      </c>
      <c r="AC1269" t="s">
        <v>589</v>
      </c>
      <c r="AD1269" t="s">
        <v>290</v>
      </c>
      <c r="AE1269" s="702">
        <f t="shared" si="95"/>
        <v>43983</v>
      </c>
      <c r="AF1269" s="289">
        <v>5449.5465471141288</v>
      </c>
      <c r="AG1269">
        <f t="shared" si="96"/>
        <v>360</v>
      </c>
      <c r="AH1269" s="289">
        <f t="shared" si="97"/>
        <v>15.137629297539247</v>
      </c>
      <c r="AJ1269" s="289">
        <f t="shared" si="98"/>
        <v>30</v>
      </c>
      <c r="AK1269" s="289">
        <f t="shared" si="99"/>
        <v>454.12887892617744</v>
      </c>
    </row>
    <row r="1270" spans="1:37">
      <c r="A1270" s="703" t="s">
        <v>2693</v>
      </c>
      <c r="B1270" s="703" t="s">
        <v>2311</v>
      </c>
      <c r="C1270" s="703" t="s">
        <v>586</v>
      </c>
      <c r="D1270" s="703" t="s">
        <v>334</v>
      </c>
      <c r="E1270" s="703" t="s">
        <v>334</v>
      </c>
      <c r="F1270" s="703" t="s">
        <v>335</v>
      </c>
      <c r="G1270" s="703" t="s">
        <v>2694</v>
      </c>
      <c r="H1270" s="703" t="s">
        <v>334</v>
      </c>
      <c r="I1270" s="703" t="s">
        <v>334</v>
      </c>
      <c r="J1270" s="703" t="s">
        <v>337</v>
      </c>
      <c r="K1270" s="704">
        <v>0</v>
      </c>
      <c r="L1270" s="703" t="s">
        <v>334</v>
      </c>
      <c r="M1270" s="702">
        <v>43616</v>
      </c>
      <c r="N1270" s="702">
        <v>44187</v>
      </c>
      <c r="O1270" s="703" t="s">
        <v>338</v>
      </c>
      <c r="P1270" s="20">
        <v>2400.48</v>
      </c>
      <c r="Q1270" s="20">
        <v>0</v>
      </c>
      <c r="R1270" s="20">
        <v>0</v>
      </c>
      <c r="S1270" s="20">
        <v>0</v>
      </c>
      <c r="T1270" s="20">
        <v>2400.48</v>
      </c>
      <c r="U1270" s="20">
        <v>2320.46</v>
      </c>
      <c r="V1270" s="20">
        <v>-80.02</v>
      </c>
      <c r="W1270" s="20">
        <v>-160.04</v>
      </c>
      <c r="X1270" s="20">
        <v>-80.02</v>
      </c>
      <c r="Y1270" s="20">
        <v>0</v>
      </c>
      <c r="Z1270" s="20">
        <v>0</v>
      </c>
      <c r="AA1270" s="20">
        <v>0</v>
      </c>
      <c r="AB1270" s="20">
        <v>2240.44</v>
      </c>
      <c r="AC1270" t="s">
        <v>589</v>
      </c>
      <c r="AD1270" t="s">
        <v>290</v>
      </c>
      <c r="AE1270" s="702">
        <f t="shared" si="95"/>
        <v>43983</v>
      </c>
      <c r="AF1270" s="289">
        <v>3465.0391083642639</v>
      </c>
      <c r="AG1270">
        <f t="shared" si="96"/>
        <v>360</v>
      </c>
      <c r="AH1270" s="289">
        <f t="shared" si="97"/>
        <v>9.6251086343451782</v>
      </c>
      <c r="AJ1270" s="289">
        <f t="shared" si="98"/>
        <v>30</v>
      </c>
      <c r="AK1270" s="289">
        <f t="shared" si="99"/>
        <v>288.75325903035537</v>
      </c>
    </row>
    <row r="1271" spans="1:37">
      <c r="A1271" s="703" t="s">
        <v>2695</v>
      </c>
      <c r="B1271" s="703" t="s">
        <v>2311</v>
      </c>
      <c r="C1271" s="703" t="s">
        <v>586</v>
      </c>
      <c r="D1271" s="703" t="s">
        <v>334</v>
      </c>
      <c r="E1271" s="703" t="s">
        <v>334</v>
      </c>
      <c r="F1271" s="703" t="s">
        <v>335</v>
      </c>
      <c r="G1271" s="703" t="s">
        <v>2696</v>
      </c>
      <c r="H1271" s="703" t="s">
        <v>334</v>
      </c>
      <c r="I1271" s="703" t="s">
        <v>334</v>
      </c>
      <c r="J1271" s="703" t="s">
        <v>337</v>
      </c>
      <c r="K1271" s="704">
        <v>0</v>
      </c>
      <c r="L1271" s="703" t="s">
        <v>334</v>
      </c>
      <c r="M1271" s="702">
        <v>43616</v>
      </c>
      <c r="N1271" s="702">
        <v>44187</v>
      </c>
      <c r="O1271" s="703" t="s">
        <v>338</v>
      </c>
      <c r="P1271" s="20">
        <v>1457.82</v>
      </c>
      <c r="Q1271" s="20">
        <v>0</v>
      </c>
      <c r="R1271" s="20">
        <v>0</v>
      </c>
      <c r="S1271" s="20">
        <v>0</v>
      </c>
      <c r="T1271" s="20">
        <v>1457.82</v>
      </c>
      <c r="U1271" s="20">
        <v>1409.23</v>
      </c>
      <c r="V1271" s="20">
        <v>-48.59</v>
      </c>
      <c r="W1271" s="20">
        <v>-97.18</v>
      </c>
      <c r="X1271" s="20">
        <v>-48.59</v>
      </c>
      <c r="Y1271" s="20">
        <v>0</v>
      </c>
      <c r="Z1271" s="20">
        <v>0</v>
      </c>
      <c r="AA1271" s="20">
        <v>0</v>
      </c>
      <c r="AB1271" s="20">
        <v>1360.64</v>
      </c>
      <c r="AC1271" t="s">
        <v>589</v>
      </c>
      <c r="AD1271" t="s">
        <v>290</v>
      </c>
      <c r="AE1271" s="702">
        <f t="shared" si="95"/>
        <v>43983</v>
      </c>
      <c r="AF1271" s="289">
        <v>2104.3305142953041</v>
      </c>
      <c r="AG1271">
        <f t="shared" si="96"/>
        <v>360</v>
      </c>
      <c r="AH1271" s="289">
        <f t="shared" si="97"/>
        <v>5.8453625397091775</v>
      </c>
      <c r="AJ1271" s="289">
        <f t="shared" si="98"/>
        <v>30</v>
      </c>
      <c r="AK1271" s="289">
        <f t="shared" si="99"/>
        <v>175.36087619127534</v>
      </c>
    </row>
    <row r="1272" spans="1:37">
      <c r="A1272" s="703" t="s">
        <v>2697</v>
      </c>
      <c r="B1272" s="703" t="s">
        <v>2311</v>
      </c>
      <c r="C1272" s="703" t="s">
        <v>586</v>
      </c>
      <c r="D1272" s="703" t="s">
        <v>334</v>
      </c>
      <c r="E1272" s="703" t="s">
        <v>334</v>
      </c>
      <c r="F1272" s="703" t="s">
        <v>335</v>
      </c>
      <c r="G1272" s="703" t="s">
        <v>2698</v>
      </c>
      <c r="H1272" s="703" t="s">
        <v>334</v>
      </c>
      <c r="I1272" s="703" t="s">
        <v>334</v>
      </c>
      <c r="J1272" s="703" t="s">
        <v>337</v>
      </c>
      <c r="K1272" s="704">
        <v>0</v>
      </c>
      <c r="L1272" s="703" t="s">
        <v>334</v>
      </c>
      <c r="M1272" s="702">
        <v>43616</v>
      </c>
      <c r="N1272" s="702">
        <v>44187</v>
      </c>
      <c r="O1272" s="703" t="s">
        <v>338</v>
      </c>
      <c r="P1272" s="20">
        <v>15766.31</v>
      </c>
      <c r="Q1272" s="20">
        <v>0</v>
      </c>
      <c r="R1272" s="20">
        <v>0</v>
      </c>
      <c r="S1272" s="20">
        <v>0</v>
      </c>
      <c r="T1272" s="20">
        <v>15766.31</v>
      </c>
      <c r="U1272" s="20">
        <v>15240.77</v>
      </c>
      <c r="V1272" s="20">
        <v>-525.54</v>
      </c>
      <c r="W1272" s="20">
        <v>-1051.08</v>
      </c>
      <c r="X1272" s="20">
        <v>-525.54</v>
      </c>
      <c r="Y1272" s="20">
        <v>0</v>
      </c>
      <c r="Z1272" s="20">
        <v>0</v>
      </c>
      <c r="AA1272" s="20">
        <v>0</v>
      </c>
      <c r="AB1272" s="20">
        <v>14715.23</v>
      </c>
      <c r="AC1272" t="s">
        <v>589</v>
      </c>
      <c r="AD1272" t="s">
        <v>290</v>
      </c>
      <c r="AE1272" s="702">
        <f t="shared" si="95"/>
        <v>43983</v>
      </c>
      <c r="AF1272" s="289">
        <v>22758.315313851639</v>
      </c>
      <c r="AG1272">
        <f t="shared" si="96"/>
        <v>360</v>
      </c>
      <c r="AH1272" s="289">
        <f t="shared" si="97"/>
        <v>63.217542538476778</v>
      </c>
      <c r="AJ1272" s="289">
        <f t="shared" si="98"/>
        <v>30</v>
      </c>
      <c r="AK1272" s="289">
        <f t="shared" si="99"/>
        <v>1896.5262761543033</v>
      </c>
    </row>
    <row r="1273" spans="1:37">
      <c r="A1273" s="703" t="s">
        <v>2699</v>
      </c>
      <c r="B1273" s="703" t="s">
        <v>2311</v>
      </c>
      <c r="C1273" s="703" t="s">
        <v>586</v>
      </c>
      <c r="D1273" s="703" t="s">
        <v>334</v>
      </c>
      <c r="E1273" s="703" t="s">
        <v>334</v>
      </c>
      <c r="F1273" s="703" t="s">
        <v>335</v>
      </c>
      <c r="G1273" s="703" t="s">
        <v>2700</v>
      </c>
      <c r="H1273" s="703" t="s">
        <v>334</v>
      </c>
      <c r="I1273" s="703" t="s">
        <v>334</v>
      </c>
      <c r="J1273" s="703" t="s">
        <v>337</v>
      </c>
      <c r="K1273" s="704">
        <v>0</v>
      </c>
      <c r="L1273" s="703" t="s">
        <v>334</v>
      </c>
      <c r="M1273" s="702">
        <v>43616</v>
      </c>
      <c r="N1273" s="702">
        <v>44187</v>
      </c>
      <c r="O1273" s="703" t="s">
        <v>338</v>
      </c>
      <c r="P1273" s="20">
        <v>3472.09</v>
      </c>
      <c r="Q1273" s="20">
        <v>0</v>
      </c>
      <c r="R1273" s="20">
        <v>0</v>
      </c>
      <c r="S1273" s="20">
        <v>0</v>
      </c>
      <c r="T1273" s="20">
        <v>3472.09</v>
      </c>
      <c r="U1273" s="20">
        <v>3356.35</v>
      </c>
      <c r="V1273" s="20">
        <v>-115.74</v>
      </c>
      <c r="W1273" s="20">
        <v>-231.48</v>
      </c>
      <c r="X1273" s="20">
        <v>-115.74</v>
      </c>
      <c r="Y1273" s="20">
        <v>0</v>
      </c>
      <c r="Z1273" s="20">
        <v>0</v>
      </c>
      <c r="AA1273" s="20">
        <v>0</v>
      </c>
      <c r="AB1273" s="20">
        <v>3240.61</v>
      </c>
      <c r="AC1273" t="s">
        <v>589</v>
      </c>
      <c r="AD1273" t="s">
        <v>290</v>
      </c>
      <c r="AE1273" s="702">
        <f t="shared" si="95"/>
        <v>43983</v>
      </c>
      <c r="AF1273" s="289">
        <v>5011.8841389057516</v>
      </c>
      <c r="AG1273">
        <f t="shared" si="96"/>
        <v>360</v>
      </c>
      <c r="AH1273" s="289">
        <f t="shared" si="97"/>
        <v>13.921900385849311</v>
      </c>
      <c r="AJ1273" s="289">
        <f t="shared" si="98"/>
        <v>30</v>
      </c>
      <c r="AK1273" s="289">
        <f t="shared" si="99"/>
        <v>417.65701157547932</v>
      </c>
    </row>
    <row r="1274" spans="1:37">
      <c r="A1274" s="703" t="s">
        <v>2701</v>
      </c>
      <c r="B1274" s="703" t="s">
        <v>2311</v>
      </c>
      <c r="C1274" s="703" t="s">
        <v>586</v>
      </c>
      <c r="D1274" s="703" t="s">
        <v>334</v>
      </c>
      <c r="E1274" s="703" t="s">
        <v>334</v>
      </c>
      <c r="F1274" s="703" t="s">
        <v>335</v>
      </c>
      <c r="G1274" s="703" t="s">
        <v>2702</v>
      </c>
      <c r="H1274" s="703" t="s">
        <v>334</v>
      </c>
      <c r="I1274" s="703" t="s">
        <v>334</v>
      </c>
      <c r="J1274" s="703" t="s">
        <v>337</v>
      </c>
      <c r="K1274" s="704">
        <v>0</v>
      </c>
      <c r="L1274" s="703" t="s">
        <v>334</v>
      </c>
      <c r="M1274" s="702">
        <v>43616</v>
      </c>
      <c r="N1274" s="702">
        <v>44187</v>
      </c>
      <c r="O1274" s="703" t="s">
        <v>338</v>
      </c>
      <c r="P1274" s="20">
        <v>44512.800000000003</v>
      </c>
      <c r="Q1274" s="20">
        <v>0</v>
      </c>
      <c r="R1274" s="20">
        <v>0</v>
      </c>
      <c r="S1274" s="20">
        <v>0</v>
      </c>
      <c r="T1274" s="20">
        <v>44512.800000000003</v>
      </c>
      <c r="U1274" s="20">
        <v>43029.04</v>
      </c>
      <c r="V1274" s="20">
        <v>-1483.76</v>
      </c>
      <c r="W1274" s="20">
        <v>-2967.52</v>
      </c>
      <c r="X1274" s="20">
        <v>-1483.76</v>
      </c>
      <c r="Y1274" s="20">
        <v>0</v>
      </c>
      <c r="Z1274" s="20">
        <v>0</v>
      </c>
      <c r="AA1274" s="20">
        <v>0</v>
      </c>
      <c r="AB1274" s="20">
        <v>41545.279999999999</v>
      </c>
      <c r="AC1274" t="s">
        <v>589</v>
      </c>
      <c r="AD1274" t="s">
        <v>290</v>
      </c>
      <c r="AE1274" s="702">
        <f t="shared" si="95"/>
        <v>43983</v>
      </c>
      <c r="AF1274" s="289">
        <v>64253.229696892631</v>
      </c>
      <c r="AG1274">
        <f t="shared" si="96"/>
        <v>360</v>
      </c>
      <c r="AH1274" s="289">
        <f t="shared" si="97"/>
        <v>178.48119360247952</v>
      </c>
      <c r="AJ1274" s="289">
        <f t="shared" si="98"/>
        <v>30</v>
      </c>
      <c r="AK1274" s="289">
        <f t="shared" si="99"/>
        <v>5354.4358080743859</v>
      </c>
    </row>
    <row r="1275" spans="1:37">
      <c r="A1275" s="703" t="s">
        <v>2703</v>
      </c>
      <c r="B1275" s="703" t="s">
        <v>2311</v>
      </c>
      <c r="C1275" s="703" t="s">
        <v>586</v>
      </c>
      <c r="D1275" s="703" t="s">
        <v>334</v>
      </c>
      <c r="E1275" s="703" t="s">
        <v>334</v>
      </c>
      <c r="F1275" s="703" t="s">
        <v>335</v>
      </c>
      <c r="G1275" s="703" t="s">
        <v>2704</v>
      </c>
      <c r="H1275" s="703" t="s">
        <v>334</v>
      </c>
      <c r="I1275" s="703" t="s">
        <v>334</v>
      </c>
      <c r="J1275" s="703" t="s">
        <v>337</v>
      </c>
      <c r="K1275" s="704">
        <v>0</v>
      </c>
      <c r="L1275" s="703" t="s">
        <v>334</v>
      </c>
      <c r="M1275" s="702">
        <v>43616</v>
      </c>
      <c r="N1275" s="702">
        <v>44187</v>
      </c>
      <c r="O1275" s="703" t="s">
        <v>338</v>
      </c>
      <c r="P1275" s="20">
        <v>6082.22</v>
      </c>
      <c r="Q1275" s="20">
        <v>0</v>
      </c>
      <c r="R1275" s="20">
        <v>0</v>
      </c>
      <c r="S1275" s="20">
        <v>0</v>
      </c>
      <c r="T1275" s="20">
        <v>6082.22</v>
      </c>
      <c r="U1275" s="20">
        <v>5879.48</v>
      </c>
      <c r="V1275" s="20">
        <v>-202.74</v>
      </c>
      <c r="W1275" s="20">
        <v>-405.48</v>
      </c>
      <c r="X1275" s="20">
        <v>-202.74</v>
      </c>
      <c r="Y1275" s="20">
        <v>0</v>
      </c>
      <c r="Z1275" s="20">
        <v>0</v>
      </c>
      <c r="AA1275" s="20">
        <v>0</v>
      </c>
      <c r="AB1275" s="20">
        <v>5676.74</v>
      </c>
      <c r="AC1275" t="s">
        <v>589</v>
      </c>
      <c r="AD1275" t="s">
        <v>290</v>
      </c>
      <c r="AE1275" s="702">
        <f t="shared" si="95"/>
        <v>43983</v>
      </c>
      <c r="AF1275" s="289">
        <v>8779.5483260328328</v>
      </c>
      <c r="AG1275">
        <f t="shared" si="96"/>
        <v>360</v>
      </c>
      <c r="AH1275" s="289">
        <f t="shared" si="97"/>
        <v>24.387634238980091</v>
      </c>
      <c r="AJ1275" s="289">
        <f t="shared" si="98"/>
        <v>30</v>
      </c>
      <c r="AK1275" s="289">
        <f t="shared" si="99"/>
        <v>731.62902716940278</v>
      </c>
    </row>
    <row r="1276" spans="1:37">
      <c r="A1276" s="703" t="s">
        <v>2705</v>
      </c>
      <c r="B1276" s="703" t="s">
        <v>2311</v>
      </c>
      <c r="C1276" s="703" t="s">
        <v>586</v>
      </c>
      <c r="D1276" s="703" t="s">
        <v>334</v>
      </c>
      <c r="E1276" s="703" t="s">
        <v>334</v>
      </c>
      <c r="F1276" s="703" t="s">
        <v>335</v>
      </c>
      <c r="G1276" s="703" t="s">
        <v>2706</v>
      </c>
      <c r="H1276" s="703" t="s">
        <v>334</v>
      </c>
      <c r="I1276" s="703" t="s">
        <v>334</v>
      </c>
      <c r="J1276" s="703" t="s">
        <v>337</v>
      </c>
      <c r="K1276" s="704">
        <v>0</v>
      </c>
      <c r="L1276" s="703" t="s">
        <v>334</v>
      </c>
      <c r="M1276" s="702">
        <v>43616</v>
      </c>
      <c r="N1276" s="702">
        <v>44187</v>
      </c>
      <c r="O1276" s="703" t="s">
        <v>338</v>
      </c>
      <c r="P1276" s="20">
        <v>6221.12</v>
      </c>
      <c r="Q1276" s="20">
        <v>0</v>
      </c>
      <c r="R1276" s="20">
        <v>0</v>
      </c>
      <c r="S1276" s="20">
        <v>0</v>
      </c>
      <c r="T1276" s="20">
        <v>6221.12</v>
      </c>
      <c r="U1276" s="20">
        <v>6013.75</v>
      </c>
      <c r="V1276" s="20">
        <v>-207.37</v>
      </c>
      <c r="W1276" s="20">
        <v>-414.74</v>
      </c>
      <c r="X1276" s="20">
        <v>-207.37</v>
      </c>
      <c r="Y1276" s="20">
        <v>0</v>
      </c>
      <c r="Z1276" s="20">
        <v>0</v>
      </c>
      <c r="AA1276" s="20">
        <v>0</v>
      </c>
      <c r="AB1276" s="20">
        <v>5806.38</v>
      </c>
      <c r="AC1276" t="s">
        <v>589</v>
      </c>
      <c r="AD1276" t="s">
        <v>290</v>
      </c>
      <c r="AE1276" s="702">
        <f t="shared" si="95"/>
        <v>43983</v>
      </c>
      <c r="AF1276" s="289">
        <v>8980.0473646216979</v>
      </c>
      <c r="AG1276">
        <f t="shared" si="96"/>
        <v>360</v>
      </c>
      <c r="AH1276" s="289">
        <f t="shared" si="97"/>
        <v>24.944576012838048</v>
      </c>
      <c r="AJ1276" s="289">
        <f t="shared" si="98"/>
        <v>30</v>
      </c>
      <c r="AK1276" s="289">
        <f t="shared" si="99"/>
        <v>748.33728038514141</v>
      </c>
    </row>
    <row r="1277" spans="1:37">
      <c r="A1277" s="703" t="s">
        <v>2707</v>
      </c>
      <c r="B1277" s="703" t="s">
        <v>2311</v>
      </c>
      <c r="C1277" s="703" t="s">
        <v>586</v>
      </c>
      <c r="D1277" s="703" t="s">
        <v>334</v>
      </c>
      <c r="E1277" s="703" t="s">
        <v>334</v>
      </c>
      <c r="F1277" s="703" t="s">
        <v>335</v>
      </c>
      <c r="G1277" s="703" t="s">
        <v>2708</v>
      </c>
      <c r="H1277" s="703" t="s">
        <v>334</v>
      </c>
      <c r="I1277" s="703" t="s">
        <v>334</v>
      </c>
      <c r="J1277" s="703" t="s">
        <v>337</v>
      </c>
      <c r="K1277" s="704">
        <v>0</v>
      </c>
      <c r="L1277" s="703" t="s">
        <v>334</v>
      </c>
      <c r="M1277" s="702">
        <v>43616</v>
      </c>
      <c r="N1277" s="702">
        <v>44187</v>
      </c>
      <c r="O1277" s="703" t="s">
        <v>338</v>
      </c>
      <c r="P1277" s="20">
        <v>3809.03</v>
      </c>
      <c r="Q1277" s="20">
        <v>0</v>
      </c>
      <c r="R1277" s="20">
        <v>0</v>
      </c>
      <c r="S1277" s="20">
        <v>0</v>
      </c>
      <c r="T1277" s="20">
        <v>3809.03</v>
      </c>
      <c r="U1277" s="20">
        <v>3682.06</v>
      </c>
      <c r="V1277" s="20">
        <v>-126.97</v>
      </c>
      <c r="W1277" s="20">
        <v>-253.94</v>
      </c>
      <c r="X1277" s="20">
        <v>-126.97</v>
      </c>
      <c r="Y1277" s="20">
        <v>0</v>
      </c>
      <c r="Z1277" s="20">
        <v>0</v>
      </c>
      <c r="AA1277" s="20">
        <v>0</v>
      </c>
      <c r="AB1277" s="20">
        <v>3555.09</v>
      </c>
      <c r="AC1277" t="s">
        <v>589</v>
      </c>
      <c r="AD1277" t="s">
        <v>290</v>
      </c>
      <c r="AE1277" s="702">
        <f t="shared" si="95"/>
        <v>43983</v>
      </c>
      <c r="AF1277" s="289">
        <v>5498.2494813257072</v>
      </c>
      <c r="AG1277">
        <f t="shared" si="96"/>
        <v>360</v>
      </c>
      <c r="AH1277" s="289">
        <f t="shared" si="97"/>
        <v>15.272915225904741</v>
      </c>
      <c r="AJ1277" s="289">
        <f t="shared" si="98"/>
        <v>30</v>
      </c>
      <c r="AK1277" s="289">
        <f t="shared" si="99"/>
        <v>458.18745677714224</v>
      </c>
    </row>
    <row r="1278" spans="1:37">
      <c r="A1278" s="703" t="s">
        <v>2709</v>
      </c>
      <c r="B1278" s="703" t="s">
        <v>2311</v>
      </c>
      <c r="C1278" s="703" t="s">
        <v>586</v>
      </c>
      <c r="D1278" s="703" t="s">
        <v>334</v>
      </c>
      <c r="E1278" s="703" t="s">
        <v>334</v>
      </c>
      <c r="F1278" s="703" t="s">
        <v>335</v>
      </c>
      <c r="G1278" s="703" t="s">
        <v>2710</v>
      </c>
      <c r="H1278" s="703" t="s">
        <v>334</v>
      </c>
      <c r="I1278" s="703" t="s">
        <v>334</v>
      </c>
      <c r="J1278" s="703" t="s">
        <v>337</v>
      </c>
      <c r="K1278" s="704">
        <v>0</v>
      </c>
      <c r="L1278" s="703" t="s">
        <v>334</v>
      </c>
      <c r="M1278" s="702">
        <v>43616</v>
      </c>
      <c r="N1278" s="702">
        <v>44187</v>
      </c>
      <c r="O1278" s="703" t="s">
        <v>338</v>
      </c>
      <c r="P1278" s="20">
        <v>2899.01</v>
      </c>
      <c r="Q1278" s="20">
        <v>0</v>
      </c>
      <c r="R1278" s="20">
        <v>0</v>
      </c>
      <c r="S1278" s="20">
        <v>0</v>
      </c>
      <c r="T1278" s="20">
        <v>2899.01</v>
      </c>
      <c r="U1278" s="20">
        <v>2802.38</v>
      </c>
      <c r="V1278" s="20">
        <v>-96.63</v>
      </c>
      <c r="W1278" s="20">
        <v>-193.26</v>
      </c>
      <c r="X1278" s="20">
        <v>-96.63</v>
      </c>
      <c r="Y1278" s="20">
        <v>0</v>
      </c>
      <c r="Z1278" s="20">
        <v>0</v>
      </c>
      <c r="AA1278" s="20">
        <v>0</v>
      </c>
      <c r="AB1278" s="20">
        <v>2705.75</v>
      </c>
      <c r="AC1278" t="s">
        <v>589</v>
      </c>
      <c r="AD1278" t="s">
        <v>290</v>
      </c>
      <c r="AE1278" s="702">
        <f t="shared" si="95"/>
        <v>43983</v>
      </c>
      <c r="AF1278" s="289">
        <v>4184.6559961087314</v>
      </c>
      <c r="AG1278">
        <f t="shared" si="96"/>
        <v>360</v>
      </c>
      <c r="AH1278" s="289">
        <f t="shared" si="97"/>
        <v>11.624044433635365</v>
      </c>
      <c r="AJ1278" s="289">
        <f t="shared" si="98"/>
        <v>30</v>
      </c>
      <c r="AK1278" s="289">
        <f t="shared" si="99"/>
        <v>348.72133300906097</v>
      </c>
    </row>
    <row r="1279" spans="1:37">
      <c r="A1279" s="703" t="s">
        <v>2711</v>
      </c>
      <c r="B1279" s="703" t="s">
        <v>2311</v>
      </c>
      <c r="C1279" s="703" t="s">
        <v>586</v>
      </c>
      <c r="D1279" s="703" t="s">
        <v>334</v>
      </c>
      <c r="E1279" s="703" t="s">
        <v>334</v>
      </c>
      <c r="F1279" s="703" t="s">
        <v>335</v>
      </c>
      <c r="G1279" s="703" t="s">
        <v>2712</v>
      </c>
      <c r="H1279" s="703" t="s">
        <v>334</v>
      </c>
      <c r="I1279" s="703" t="s">
        <v>334</v>
      </c>
      <c r="J1279" s="703" t="s">
        <v>337</v>
      </c>
      <c r="K1279" s="704">
        <v>0</v>
      </c>
      <c r="L1279" s="703" t="s">
        <v>334</v>
      </c>
      <c r="M1279" s="702">
        <v>43616</v>
      </c>
      <c r="N1279" s="702">
        <v>44187</v>
      </c>
      <c r="O1279" s="703" t="s">
        <v>338</v>
      </c>
      <c r="P1279" s="20">
        <v>98023.77</v>
      </c>
      <c r="Q1279" s="20">
        <v>0</v>
      </c>
      <c r="R1279" s="20">
        <v>0</v>
      </c>
      <c r="S1279" s="20">
        <v>0</v>
      </c>
      <c r="T1279" s="20">
        <v>98023.77</v>
      </c>
      <c r="U1279" s="20">
        <v>94756.31</v>
      </c>
      <c r="V1279" s="20">
        <v>-3267.46</v>
      </c>
      <c r="W1279" s="20">
        <v>-6534.92</v>
      </c>
      <c r="X1279" s="20">
        <v>-3267.46</v>
      </c>
      <c r="Y1279" s="20">
        <v>0</v>
      </c>
      <c r="Z1279" s="20">
        <v>0</v>
      </c>
      <c r="AA1279" s="20">
        <v>0</v>
      </c>
      <c r="AB1279" s="20">
        <v>91488.85</v>
      </c>
      <c r="AC1279" t="s">
        <v>589</v>
      </c>
      <c r="AD1279" t="s">
        <v>290</v>
      </c>
      <c r="AE1279" s="702">
        <f t="shared" si="95"/>
        <v>43983</v>
      </c>
      <c r="AF1279" s="289">
        <v>141495.1162264646</v>
      </c>
      <c r="AG1279">
        <f t="shared" si="96"/>
        <v>360</v>
      </c>
      <c r="AH1279" s="289">
        <f t="shared" si="97"/>
        <v>393.04198951795723</v>
      </c>
      <c r="AJ1279" s="289">
        <f t="shared" si="98"/>
        <v>30</v>
      </c>
      <c r="AK1279" s="289">
        <f t="shared" si="99"/>
        <v>11791.259685538716</v>
      </c>
    </row>
    <row r="1280" spans="1:37">
      <c r="A1280" s="703" t="s">
        <v>2713</v>
      </c>
      <c r="B1280" s="703" t="s">
        <v>2311</v>
      </c>
      <c r="C1280" s="703" t="s">
        <v>586</v>
      </c>
      <c r="D1280" s="703" t="s">
        <v>334</v>
      </c>
      <c r="E1280" s="703" t="s">
        <v>334</v>
      </c>
      <c r="F1280" s="703" t="s">
        <v>335</v>
      </c>
      <c r="G1280" s="703" t="s">
        <v>2714</v>
      </c>
      <c r="H1280" s="703" t="s">
        <v>334</v>
      </c>
      <c r="I1280" s="703" t="s">
        <v>334</v>
      </c>
      <c r="J1280" s="703" t="s">
        <v>337</v>
      </c>
      <c r="K1280" s="704">
        <v>0</v>
      </c>
      <c r="L1280" s="703" t="s">
        <v>334</v>
      </c>
      <c r="M1280" s="702">
        <v>43616</v>
      </c>
      <c r="N1280" s="702">
        <v>44187</v>
      </c>
      <c r="O1280" s="703" t="s">
        <v>338</v>
      </c>
      <c r="P1280" s="20">
        <v>28157.35</v>
      </c>
      <c r="Q1280" s="20">
        <v>0</v>
      </c>
      <c r="R1280" s="20">
        <v>0</v>
      </c>
      <c r="S1280" s="20">
        <v>0</v>
      </c>
      <c r="T1280" s="20">
        <v>28157.35</v>
      </c>
      <c r="U1280" s="20">
        <v>27218.77</v>
      </c>
      <c r="V1280" s="20">
        <v>-938.58</v>
      </c>
      <c r="W1280" s="20">
        <v>-1877.16</v>
      </c>
      <c r="X1280" s="20">
        <v>-938.58</v>
      </c>
      <c r="Y1280" s="20">
        <v>0</v>
      </c>
      <c r="Z1280" s="20">
        <v>0</v>
      </c>
      <c r="AA1280" s="20">
        <v>0</v>
      </c>
      <c r="AB1280" s="20">
        <v>26280.19</v>
      </c>
      <c r="AC1280" t="s">
        <v>589</v>
      </c>
      <c r="AD1280" t="s">
        <v>290</v>
      </c>
      <c r="AE1280" s="702">
        <f t="shared" si="95"/>
        <v>43983</v>
      </c>
      <c r="AF1280" s="289">
        <v>40644.503989993886</v>
      </c>
      <c r="AG1280">
        <f t="shared" si="96"/>
        <v>360</v>
      </c>
      <c r="AH1280" s="289">
        <f t="shared" si="97"/>
        <v>112.90139997220524</v>
      </c>
      <c r="AJ1280" s="289">
        <f t="shared" si="98"/>
        <v>30</v>
      </c>
      <c r="AK1280" s="289">
        <f t="shared" si="99"/>
        <v>3387.0419991661574</v>
      </c>
    </row>
    <row r="1281" spans="1:37">
      <c r="A1281" s="703" t="s">
        <v>2715</v>
      </c>
      <c r="B1281" s="703" t="s">
        <v>2311</v>
      </c>
      <c r="C1281" s="703" t="s">
        <v>1124</v>
      </c>
      <c r="D1281" s="703" t="s">
        <v>334</v>
      </c>
      <c r="E1281" s="703" t="s">
        <v>334</v>
      </c>
      <c r="F1281" s="703" t="s">
        <v>335</v>
      </c>
      <c r="G1281" s="703" t="s">
        <v>2716</v>
      </c>
      <c r="H1281" s="703" t="s">
        <v>334</v>
      </c>
      <c r="I1281" s="703" t="s">
        <v>334</v>
      </c>
      <c r="J1281" s="703" t="s">
        <v>337</v>
      </c>
      <c r="K1281" s="704">
        <v>0</v>
      </c>
      <c r="L1281" s="703" t="s">
        <v>334</v>
      </c>
      <c r="M1281" s="702">
        <v>43769</v>
      </c>
      <c r="N1281" s="702">
        <v>44187</v>
      </c>
      <c r="O1281" s="703" t="s">
        <v>338</v>
      </c>
      <c r="P1281" s="20">
        <v>647.34</v>
      </c>
      <c r="Q1281" s="20">
        <v>0</v>
      </c>
      <c r="R1281" s="20">
        <v>0</v>
      </c>
      <c r="S1281" s="20">
        <v>0</v>
      </c>
      <c r="T1281" s="20">
        <v>647.34</v>
      </c>
      <c r="U1281" s="20">
        <v>625.76</v>
      </c>
      <c r="V1281" s="20">
        <v>-21.58</v>
      </c>
      <c r="W1281" s="20">
        <v>-43.16</v>
      </c>
      <c r="X1281" s="20">
        <v>-21.58</v>
      </c>
      <c r="Y1281" s="20">
        <v>0</v>
      </c>
      <c r="Z1281" s="20">
        <v>0</v>
      </c>
      <c r="AA1281" s="20">
        <v>0</v>
      </c>
      <c r="AB1281" s="20">
        <v>604.17999999999995</v>
      </c>
      <c r="AC1281" t="s">
        <v>1127</v>
      </c>
      <c r="AD1281" t="s">
        <v>290</v>
      </c>
      <c r="AE1281" s="702">
        <f t="shared" si="95"/>
        <v>43983</v>
      </c>
      <c r="AF1281" s="289">
        <v>934.42078934568201</v>
      </c>
      <c r="AG1281">
        <f t="shared" si="96"/>
        <v>360</v>
      </c>
      <c r="AH1281" s="289">
        <f t="shared" si="97"/>
        <v>2.5956133037380056</v>
      </c>
      <c r="AJ1281" s="289">
        <f t="shared" si="98"/>
        <v>30</v>
      </c>
      <c r="AK1281" s="289">
        <f t="shared" si="99"/>
        <v>77.868399112140168</v>
      </c>
    </row>
    <row r="1282" spans="1:37">
      <c r="A1282" s="703" t="s">
        <v>2717</v>
      </c>
      <c r="B1282" s="703" t="s">
        <v>2311</v>
      </c>
      <c r="C1282" s="703" t="s">
        <v>1124</v>
      </c>
      <c r="D1282" s="703" t="s">
        <v>334</v>
      </c>
      <c r="E1282" s="703" t="s">
        <v>334</v>
      </c>
      <c r="F1282" s="703" t="s">
        <v>335</v>
      </c>
      <c r="G1282" s="703" t="s">
        <v>2718</v>
      </c>
      <c r="H1282" s="703" t="s">
        <v>334</v>
      </c>
      <c r="I1282" s="703" t="s">
        <v>334</v>
      </c>
      <c r="J1282" s="703" t="s">
        <v>337</v>
      </c>
      <c r="K1282" s="704">
        <v>0</v>
      </c>
      <c r="L1282" s="703" t="s">
        <v>334</v>
      </c>
      <c r="M1282" s="702">
        <v>43769</v>
      </c>
      <c r="N1282" s="702">
        <v>44187</v>
      </c>
      <c r="O1282" s="703" t="s">
        <v>338</v>
      </c>
      <c r="P1282" s="20">
        <v>127701.12</v>
      </c>
      <c r="Q1282" s="20">
        <v>0</v>
      </c>
      <c r="R1282" s="20">
        <v>0</v>
      </c>
      <c r="S1282" s="20">
        <v>0</v>
      </c>
      <c r="T1282" s="20">
        <v>127701.12</v>
      </c>
      <c r="U1282" s="20">
        <v>123444.42</v>
      </c>
      <c r="V1282" s="20">
        <v>-4256.7</v>
      </c>
      <c r="W1282" s="20">
        <v>-8513.4</v>
      </c>
      <c r="X1282" s="20">
        <v>-4256.7</v>
      </c>
      <c r="Y1282" s="20">
        <v>0</v>
      </c>
      <c r="Z1282" s="20">
        <v>0</v>
      </c>
      <c r="AA1282" s="20">
        <v>0</v>
      </c>
      <c r="AB1282" s="20">
        <v>119187.72</v>
      </c>
      <c r="AC1282" t="s">
        <v>1127</v>
      </c>
      <c r="AD1282" t="s">
        <v>290</v>
      </c>
      <c r="AE1282" s="702">
        <f t="shared" si="95"/>
        <v>43983</v>
      </c>
      <c r="AF1282" s="289">
        <v>184333.7061678989</v>
      </c>
      <c r="AG1282">
        <f t="shared" si="96"/>
        <v>360</v>
      </c>
      <c r="AH1282" s="289">
        <f t="shared" si="97"/>
        <v>512.03807268860805</v>
      </c>
      <c r="AJ1282" s="289">
        <f t="shared" si="98"/>
        <v>30</v>
      </c>
      <c r="AK1282" s="289">
        <f t="shared" si="99"/>
        <v>15361.142180658242</v>
      </c>
    </row>
    <row r="1283" spans="1:37">
      <c r="A1283" s="703" t="s">
        <v>2719</v>
      </c>
      <c r="B1283" s="703" t="s">
        <v>2311</v>
      </c>
      <c r="C1283" s="703" t="s">
        <v>1124</v>
      </c>
      <c r="D1283" s="703" t="s">
        <v>334</v>
      </c>
      <c r="E1283" s="703" t="s">
        <v>334</v>
      </c>
      <c r="F1283" s="703" t="s">
        <v>335</v>
      </c>
      <c r="G1283" s="703" t="s">
        <v>2720</v>
      </c>
      <c r="H1283" s="703" t="s">
        <v>334</v>
      </c>
      <c r="I1283" s="703" t="s">
        <v>334</v>
      </c>
      <c r="J1283" s="703" t="s">
        <v>337</v>
      </c>
      <c r="K1283" s="704">
        <v>0</v>
      </c>
      <c r="L1283" s="703" t="s">
        <v>334</v>
      </c>
      <c r="M1283" s="702">
        <v>43769</v>
      </c>
      <c r="N1283" s="702">
        <v>44187</v>
      </c>
      <c r="O1283" s="703" t="s">
        <v>338</v>
      </c>
      <c r="P1283" s="20">
        <v>118693.02</v>
      </c>
      <c r="Q1283" s="20">
        <v>0</v>
      </c>
      <c r="R1283" s="20">
        <v>0</v>
      </c>
      <c r="S1283" s="20">
        <v>0</v>
      </c>
      <c r="T1283" s="20">
        <v>118693.02</v>
      </c>
      <c r="U1283" s="20">
        <v>114736.59</v>
      </c>
      <c r="V1283" s="20">
        <v>-3956.43</v>
      </c>
      <c r="W1283" s="20">
        <v>-7912.86</v>
      </c>
      <c r="X1283" s="20">
        <v>-3956.43</v>
      </c>
      <c r="Y1283" s="20">
        <v>0</v>
      </c>
      <c r="Z1283" s="20">
        <v>0</v>
      </c>
      <c r="AA1283" s="20">
        <v>0</v>
      </c>
      <c r="AB1283" s="20">
        <v>110780.16</v>
      </c>
      <c r="AC1283" t="s">
        <v>1127</v>
      </c>
      <c r="AD1283" t="s">
        <v>290</v>
      </c>
      <c r="AE1283" s="702">
        <f t="shared" si="95"/>
        <v>43983</v>
      </c>
      <c r="AF1283" s="289">
        <v>171330.71560265523</v>
      </c>
      <c r="AG1283">
        <f t="shared" si="96"/>
        <v>360</v>
      </c>
      <c r="AH1283" s="289">
        <f t="shared" si="97"/>
        <v>475.91865445182009</v>
      </c>
      <c r="AJ1283" s="289">
        <f t="shared" si="98"/>
        <v>30</v>
      </c>
      <c r="AK1283" s="289">
        <f t="shared" si="99"/>
        <v>14277.559633554603</v>
      </c>
    </row>
    <row r="1284" spans="1:37">
      <c r="A1284" s="703" t="s">
        <v>2721</v>
      </c>
      <c r="B1284" s="703" t="s">
        <v>2311</v>
      </c>
      <c r="C1284" s="703" t="s">
        <v>1124</v>
      </c>
      <c r="D1284" s="703" t="s">
        <v>334</v>
      </c>
      <c r="E1284" s="703" t="s">
        <v>334</v>
      </c>
      <c r="F1284" s="703" t="s">
        <v>335</v>
      </c>
      <c r="G1284" s="703" t="s">
        <v>2722</v>
      </c>
      <c r="H1284" s="703" t="s">
        <v>334</v>
      </c>
      <c r="I1284" s="703" t="s">
        <v>334</v>
      </c>
      <c r="J1284" s="703" t="s">
        <v>337</v>
      </c>
      <c r="K1284" s="704">
        <v>0</v>
      </c>
      <c r="L1284" s="703" t="s">
        <v>334</v>
      </c>
      <c r="M1284" s="702">
        <v>43769</v>
      </c>
      <c r="N1284" s="702">
        <v>44187</v>
      </c>
      <c r="O1284" s="703" t="s">
        <v>338</v>
      </c>
      <c r="P1284" s="20">
        <v>99995.19</v>
      </c>
      <c r="Q1284" s="20">
        <v>0</v>
      </c>
      <c r="R1284" s="20">
        <v>0</v>
      </c>
      <c r="S1284" s="20">
        <v>0</v>
      </c>
      <c r="T1284" s="20">
        <v>99995.19</v>
      </c>
      <c r="U1284" s="20">
        <v>96662.02</v>
      </c>
      <c r="V1284" s="20">
        <v>-3333.17</v>
      </c>
      <c r="W1284" s="20">
        <v>-6666.34</v>
      </c>
      <c r="X1284" s="20">
        <v>-3333.17</v>
      </c>
      <c r="Y1284" s="20">
        <v>0</v>
      </c>
      <c r="Z1284" s="20">
        <v>0</v>
      </c>
      <c r="AA1284" s="20">
        <v>0</v>
      </c>
      <c r="AB1284" s="20">
        <v>93328.85</v>
      </c>
      <c r="AC1284" t="s">
        <v>1127</v>
      </c>
      <c r="AD1284" t="s">
        <v>290</v>
      </c>
      <c r="AE1284" s="702">
        <f t="shared" si="95"/>
        <v>43983</v>
      </c>
      <c r="AF1284" s="289">
        <v>144340.8168359308</v>
      </c>
      <c r="AG1284">
        <f t="shared" si="96"/>
        <v>360</v>
      </c>
      <c r="AH1284" s="289">
        <f t="shared" si="97"/>
        <v>400.9467134331411</v>
      </c>
      <c r="AJ1284" s="289">
        <f t="shared" si="98"/>
        <v>30</v>
      </c>
      <c r="AK1284" s="289">
        <f t="shared" si="99"/>
        <v>12028.401402994234</v>
      </c>
    </row>
    <row r="1285" spans="1:37">
      <c r="A1285" s="703" t="s">
        <v>2723</v>
      </c>
      <c r="B1285" s="703" t="s">
        <v>2311</v>
      </c>
      <c r="C1285" s="703" t="s">
        <v>1124</v>
      </c>
      <c r="D1285" s="703" t="s">
        <v>334</v>
      </c>
      <c r="E1285" s="703" t="s">
        <v>334</v>
      </c>
      <c r="F1285" s="703" t="s">
        <v>335</v>
      </c>
      <c r="G1285" s="703" t="s">
        <v>2724</v>
      </c>
      <c r="H1285" s="703" t="s">
        <v>334</v>
      </c>
      <c r="I1285" s="703" t="s">
        <v>334</v>
      </c>
      <c r="J1285" s="703" t="s">
        <v>337</v>
      </c>
      <c r="K1285" s="704">
        <v>0</v>
      </c>
      <c r="L1285" s="703" t="s">
        <v>334</v>
      </c>
      <c r="M1285" s="702">
        <v>43769</v>
      </c>
      <c r="N1285" s="702">
        <v>44187</v>
      </c>
      <c r="O1285" s="703" t="s">
        <v>338</v>
      </c>
      <c r="P1285" s="20">
        <v>14325.32</v>
      </c>
      <c r="Q1285" s="20">
        <v>0</v>
      </c>
      <c r="R1285" s="20">
        <v>0</v>
      </c>
      <c r="S1285" s="20">
        <v>0</v>
      </c>
      <c r="T1285" s="20">
        <v>14325.32</v>
      </c>
      <c r="U1285" s="20">
        <v>13847.81</v>
      </c>
      <c r="V1285" s="20">
        <v>-477.51</v>
      </c>
      <c r="W1285" s="20">
        <v>-955.02</v>
      </c>
      <c r="X1285" s="20">
        <v>-477.51</v>
      </c>
      <c r="Y1285" s="20">
        <v>0</v>
      </c>
      <c r="Z1285" s="20">
        <v>0</v>
      </c>
      <c r="AA1285" s="20">
        <v>0</v>
      </c>
      <c r="AB1285" s="20">
        <v>13370.3</v>
      </c>
      <c r="AC1285" t="s">
        <v>1127</v>
      </c>
      <c r="AD1285" t="s">
        <v>290</v>
      </c>
      <c r="AE1285" s="702">
        <f t="shared" si="95"/>
        <v>43983</v>
      </c>
      <c r="AF1285" s="289">
        <v>20678.278527558137</v>
      </c>
      <c r="AG1285">
        <f t="shared" si="96"/>
        <v>360</v>
      </c>
      <c r="AH1285" s="289">
        <f t="shared" si="97"/>
        <v>57.439662576550383</v>
      </c>
      <c r="AJ1285" s="289">
        <f t="shared" si="98"/>
        <v>30</v>
      </c>
      <c r="AK1285" s="289">
        <f t="shared" si="99"/>
        <v>1723.1898772965114</v>
      </c>
    </row>
    <row r="1286" spans="1:37">
      <c r="A1286" s="703" t="s">
        <v>2725</v>
      </c>
      <c r="B1286" s="703" t="s">
        <v>2311</v>
      </c>
      <c r="C1286" s="703" t="s">
        <v>1124</v>
      </c>
      <c r="D1286" s="703" t="s">
        <v>334</v>
      </c>
      <c r="E1286" s="703" t="s">
        <v>334</v>
      </c>
      <c r="F1286" s="703" t="s">
        <v>335</v>
      </c>
      <c r="G1286" s="703" t="s">
        <v>2726</v>
      </c>
      <c r="H1286" s="703" t="s">
        <v>334</v>
      </c>
      <c r="I1286" s="703" t="s">
        <v>334</v>
      </c>
      <c r="J1286" s="703" t="s">
        <v>337</v>
      </c>
      <c r="K1286" s="704">
        <v>0</v>
      </c>
      <c r="L1286" s="703" t="s">
        <v>334</v>
      </c>
      <c r="M1286" s="702">
        <v>43769</v>
      </c>
      <c r="N1286" s="702">
        <v>44187</v>
      </c>
      <c r="O1286" s="703" t="s">
        <v>338</v>
      </c>
      <c r="P1286" s="20">
        <v>301.58</v>
      </c>
      <c r="Q1286" s="20">
        <v>0</v>
      </c>
      <c r="R1286" s="20">
        <v>0</v>
      </c>
      <c r="S1286" s="20">
        <v>0</v>
      </c>
      <c r="T1286" s="20">
        <v>301.58</v>
      </c>
      <c r="U1286" s="20">
        <v>291.52999999999997</v>
      </c>
      <c r="V1286" s="20">
        <v>-10.050000000000001</v>
      </c>
      <c r="W1286" s="20">
        <v>-20.100000000000001</v>
      </c>
      <c r="X1286" s="20">
        <v>-10.050000000000001</v>
      </c>
      <c r="Y1286" s="20">
        <v>0</v>
      </c>
      <c r="Z1286" s="20">
        <v>0</v>
      </c>
      <c r="AA1286" s="20">
        <v>0</v>
      </c>
      <c r="AB1286" s="20">
        <v>281.48</v>
      </c>
      <c r="AC1286" t="s">
        <v>1127</v>
      </c>
      <c r="AD1286" t="s">
        <v>290</v>
      </c>
      <c r="AE1286" s="702">
        <f t="shared" si="95"/>
        <v>43983</v>
      </c>
      <c r="AF1286" s="289">
        <v>435.32397449697345</v>
      </c>
      <c r="AG1286">
        <f t="shared" si="96"/>
        <v>360</v>
      </c>
      <c r="AH1286" s="289">
        <f t="shared" si="97"/>
        <v>1.2092332624915929</v>
      </c>
      <c r="AJ1286" s="289">
        <f t="shared" si="98"/>
        <v>30</v>
      </c>
      <c r="AK1286" s="289">
        <f t="shared" si="99"/>
        <v>36.276997874747785</v>
      </c>
    </row>
    <row r="1287" spans="1:37">
      <c r="A1287" s="703" t="s">
        <v>2727</v>
      </c>
      <c r="B1287" s="703" t="s">
        <v>2311</v>
      </c>
      <c r="C1287" s="703" t="s">
        <v>1124</v>
      </c>
      <c r="D1287" s="703" t="s">
        <v>334</v>
      </c>
      <c r="E1287" s="703" t="s">
        <v>334</v>
      </c>
      <c r="F1287" s="703" t="s">
        <v>335</v>
      </c>
      <c r="G1287" s="703" t="s">
        <v>2728</v>
      </c>
      <c r="H1287" s="703" t="s">
        <v>334</v>
      </c>
      <c r="I1287" s="703" t="s">
        <v>334</v>
      </c>
      <c r="J1287" s="703" t="s">
        <v>337</v>
      </c>
      <c r="K1287" s="704">
        <v>0</v>
      </c>
      <c r="L1287" s="703" t="s">
        <v>334</v>
      </c>
      <c r="M1287" s="702">
        <v>43769</v>
      </c>
      <c r="N1287" s="702">
        <v>44187</v>
      </c>
      <c r="O1287" s="703" t="s">
        <v>338</v>
      </c>
      <c r="P1287" s="20">
        <v>310.66000000000003</v>
      </c>
      <c r="Q1287" s="20">
        <v>0</v>
      </c>
      <c r="R1287" s="20">
        <v>0</v>
      </c>
      <c r="S1287" s="20">
        <v>0</v>
      </c>
      <c r="T1287" s="20">
        <v>310.66000000000003</v>
      </c>
      <c r="U1287" s="20">
        <v>300.3</v>
      </c>
      <c r="V1287" s="20">
        <v>-10.36</v>
      </c>
      <c r="W1287" s="20">
        <v>-20.72</v>
      </c>
      <c r="X1287" s="20">
        <v>-10.36</v>
      </c>
      <c r="Y1287" s="20">
        <v>0</v>
      </c>
      <c r="Z1287" s="20">
        <v>0</v>
      </c>
      <c r="AA1287" s="20">
        <v>0</v>
      </c>
      <c r="AB1287" s="20">
        <v>289.94</v>
      </c>
      <c r="AC1287" t="s">
        <v>1127</v>
      </c>
      <c r="AD1287" t="s">
        <v>290</v>
      </c>
      <c r="AE1287" s="702">
        <f t="shared" ref="AE1287:AE1350" si="100">IF(N1287&gt;=$AG$5,DATE(YEAR(N1287),6,1),DATE(YEAR(N1287),6,1))</f>
        <v>43983</v>
      </c>
      <c r="AF1287" s="289">
        <v>448.43075110163068</v>
      </c>
      <c r="AG1287">
        <f t="shared" ref="AG1287:AG1350" si="101">+IF(AD1287="intangível",20*12,IF(AD1287="Diferido",120,IF(AD1287="Não vinculados",0,IF(AE1287&lt;=$AG$5,F1287*12,360))))</f>
        <v>360</v>
      </c>
      <c r="AH1287" s="289">
        <f t="shared" ref="AH1287:AH1350" si="102">IF(AG1287=0,0,AF1287/AG1287)</f>
        <v>1.2456409752823074</v>
      </c>
      <c r="AJ1287" s="289">
        <f t="shared" ref="AJ1287:AJ1350" si="103">+IF(AND(YEAR(AE1287)&gt;=2018,YEAR(AE1287)&lt;=2022),IF(DATEDIF(AE1287,$AK$4,"m")&gt;=AG1287,AG1287,DATEDIF(AE1287,$AK$4,"m")),0)</f>
        <v>30</v>
      </c>
      <c r="AK1287" s="289">
        <f t="shared" ref="AK1287:AK1350" si="104">IF(AD1287="Imobilizado",AJ1287*AH1287,0)</f>
        <v>37.369229258469225</v>
      </c>
    </row>
    <row r="1288" spans="1:37">
      <c r="A1288" s="703" t="s">
        <v>2729</v>
      </c>
      <c r="B1288" s="703" t="s">
        <v>2311</v>
      </c>
      <c r="C1288" s="703" t="s">
        <v>1124</v>
      </c>
      <c r="D1288" s="703" t="s">
        <v>334</v>
      </c>
      <c r="E1288" s="703" t="s">
        <v>334</v>
      </c>
      <c r="F1288" s="703" t="s">
        <v>335</v>
      </c>
      <c r="G1288" s="703" t="s">
        <v>2730</v>
      </c>
      <c r="H1288" s="703" t="s">
        <v>334</v>
      </c>
      <c r="I1288" s="703" t="s">
        <v>334</v>
      </c>
      <c r="J1288" s="703" t="s">
        <v>337</v>
      </c>
      <c r="K1288" s="704">
        <v>0</v>
      </c>
      <c r="L1288" s="703" t="s">
        <v>334</v>
      </c>
      <c r="M1288" s="702">
        <v>43769</v>
      </c>
      <c r="N1288" s="702">
        <v>44187</v>
      </c>
      <c r="O1288" s="703" t="s">
        <v>338</v>
      </c>
      <c r="P1288" s="20">
        <v>155.33000000000001</v>
      </c>
      <c r="Q1288" s="20">
        <v>0</v>
      </c>
      <c r="R1288" s="20">
        <v>0</v>
      </c>
      <c r="S1288" s="20">
        <v>0</v>
      </c>
      <c r="T1288" s="20">
        <v>155.33000000000001</v>
      </c>
      <c r="U1288" s="20">
        <v>150.15</v>
      </c>
      <c r="V1288" s="20">
        <v>-5.18</v>
      </c>
      <c r="W1288" s="20">
        <v>-10.36</v>
      </c>
      <c r="X1288" s="20">
        <v>-5.18</v>
      </c>
      <c r="Y1288" s="20">
        <v>0</v>
      </c>
      <c r="Z1288" s="20">
        <v>0</v>
      </c>
      <c r="AA1288" s="20">
        <v>0</v>
      </c>
      <c r="AB1288" s="20">
        <v>144.97</v>
      </c>
      <c r="AC1288" t="s">
        <v>1127</v>
      </c>
      <c r="AD1288" t="s">
        <v>290</v>
      </c>
      <c r="AE1288" s="702">
        <f t="shared" si="100"/>
        <v>43983</v>
      </c>
      <c r="AF1288" s="289">
        <v>224.21537555081534</v>
      </c>
      <c r="AG1288">
        <f t="shared" si="101"/>
        <v>360</v>
      </c>
      <c r="AH1288" s="289">
        <f t="shared" si="102"/>
        <v>0.62282048764115372</v>
      </c>
      <c r="AJ1288" s="289">
        <f t="shared" si="103"/>
        <v>30</v>
      </c>
      <c r="AK1288" s="289">
        <f t="shared" si="104"/>
        <v>18.684614629234613</v>
      </c>
    </row>
    <row r="1289" spans="1:37">
      <c r="A1289" s="703" t="s">
        <v>2731</v>
      </c>
      <c r="B1289" s="703" t="s">
        <v>2311</v>
      </c>
      <c r="C1289" s="703" t="s">
        <v>1124</v>
      </c>
      <c r="D1289" s="703" t="s">
        <v>334</v>
      </c>
      <c r="E1289" s="703" t="s">
        <v>334</v>
      </c>
      <c r="F1289" s="703" t="s">
        <v>335</v>
      </c>
      <c r="G1289" s="703" t="s">
        <v>2732</v>
      </c>
      <c r="H1289" s="703" t="s">
        <v>334</v>
      </c>
      <c r="I1289" s="703" t="s">
        <v>334</v>
      </c>
      <c r="J1289" s="703" t="s">
        <v>337</v>
      </c>
      <c r="K1289" s="704">
        <v>0</v>
      </c>
      <c r="L1289" s="703" t="s">
        <v>334</v>
      </c>
      <c r="M1289" s="702">
        <v>43769</v>
      </c>
      <c r="N1289" s="702">
        <v>44187</v>
      </c>
      <c r="O1289" s="703" t="s">
        <v>338</v>
      </c>
      <c r="P1289" s="20">
        <v>7360.52</v>
      </c>
      <c r="Q1289" s="20">
        <v>0</v>
      </c>
      <c r="R1289" s="20">
        <v>0</v>
      </c>
      <c r="S1289" s="20">
        <v>0</v>
      </c>
      <c r="T1289" s="20">
        <v>7360.52</v>
      </c>
      <c r="U1289" s="20">
        <v>7115.17</v>
      </c>
      <c r="V1289" s="20">
        <v>-245.35</v>
      </c>
      <c r="W1289" s="20">
        <v>-490.7</v>
      </c>
      <c r="X1289" s="20">
        <v>-245.35</v>
      </c>
      <c r="Y1289" s="20">
        <v>0</v>
      </c>
      <c r="Z1289" s="20">
        <v>0</v>
      </c>
      <c r="AA1289" s="20">
        <v>0</v>
      </c>
      <c r="AB1289" s="20">
        <v>6869.82</v>
      </c>
      <c r="AC1289" t="s">
        <v>1127</v>
      </c>
      <c r="AD1289" t="s">
        <v>290</v>
      </c>
      <c r="AE1289" s="702">
        <f t="shared" si="100"/>
        <v>43983</v>
      </c>
      <c r="AF1289" s="289">
        <v>10624.745741642228</v>
      </c>
      <c r="AG1289">
        <f t="shared" si="101"/>
        <v>360</v>
      </c>
      <c r="AH1289" s="289">
        <f t="shared" si="102"/>
        <v>29.513182615672854</v>
      </c>
      <c r="AJ1289" s="289">
        <f t="shared" si="103"/>
        <v>30</v>
      </c>
      <c r="AK1289" s="289">
        <f t="shared" si="104"/>
        <v>885.39547847018559</v>
      </c>
    </row>
    <row r="1290" spans="1:37">
      <c r="A1290" s="703" t="s">
        <v>2733</v>
      </c>
      <c r="B1290" s="703" t="s">
        <v>2311</v>
      </c>
      <c r="C1290" s="703" t="s">
        <v>1124</v>
      </c>
      <c r="D1290" s="703" t="s">
        <v>334</v>
      </c>
      <c r="E1290" s="703" t="s">
        <v>334</v>
      </c>
      <c r="F1290" s="703" t="s">
        <v>335</v>
      </c>
      <c r="G1290" s="703" t="s">
        <v>2734</v>
      </c>
      <c r="H1290" s="703" t="s">
        <v>334</v>
      </c>
      <c r="I1290" s="703" t="s">
        <v>334</v>
      </c>
      <c r="J1290" s="703" t="s">
        <v>337</v>
      </c>
      <c r="K1290" s="704">
        <v>0</v>
      </c>
      <c r="L1290" s="703" t="s">
        <v>334</v>
      </c>
      <c r="M1290" s="702">
        <v>43769</v>
      </c>
      <c r="N1290" s="702">
        <v>44187</v>
      </c>
      <c r="O1290" s="703" t="s">
        <v>338</v>
      </c>
      <c r="P1290" s="20">
        <v>23858.23</v>
      </c>
      <c r="Q1290" s="20">
        <v>0</v>
      </c>
      <c r="R1290" s="20">
        <v>0</v>
      </c>
      <c r="S1290" s="20">
        <v>0</v>
      </c>
      <c r="T1290" s="20">
        <v>23858.23</v>
      </c>
      <c r="U1290" s="20">
        <v>23062.959999999999</v>
      </c>
      <c r="V1290" s="20">
        <v>-795.27</v>
      </c>
      <c r="W1290" s="20">
        <v>-1590.54</v>
      </c>
      <c r="X1290" s="20">
        <v>-795.27</v>
      </c>
      <c r="Y1290" s="20">
        <v>0</v>
      </c>
      <c r="Z1290" s="20">
        <v>0</v>
      </c>
      <c r="AA1290" s="20">
        <v>0</v>
      </c>
      <c r="AB1290" s="20">
        <v>22267.69</v>
      </c>
      <c r="AC1290" t="s">
        <v>1127</v>
      </c>
      <c r="AD1290" t="s">
        <v>290</v>
      </c>
      <c r="AE1290" s="702">
        <f t="shared" si="100"/>
        <v>43983</v>
      </c>
      <c r="AF1290" s="289">
        <v>34438.820571864599</v>
      </c>
      <c r="AG1290">
        <f t="shared" si="101"/>
        <v>360</v>
      </c>
      <c r="AH1290" s="289">
        <f t="shared" si="102"/>
        <v>95.663390477401663</v>
      </c>
      <c r="AJ1290" s="289">
        <f t="shared" si="103"/>
        <v>30</v>
      </c>
      <c r="AK1290" s="289">
        <f t="shared" si="104"/>
        <v>2869.9017143220499</v>
      </c>
    </row>
    <row r="1291" spans="1:37">
      <c r="A1291" s="703" t="s">
        <v>2735</v>
      </c>
      <c r="B1291" s="703" t="s">
        <v>2311</v>
      </c>
      <c r="C1291" s="703" t="s">
        <v>1124</v>
      </c>
      <c r="D1291" s="703" t="s">
        <v>334</v>
      </c>
      <c r="E1291" s="703" t="s">
        <v>334</v>
      </c>
      <c r="F1291" s="703" t="s">
        <v>335</v>
      </c>
      <c r="G1291" s="703" t="s">
        <v>2736</v>
      </c>
      <c r="H1291" s="703" t="s">
        <v>334</v>
      </c>
      <c r="I1291" s="703" t="s">
        <v>334</v>
      </c>
      <c r="J1291" s="703" t="s">
        <v>337</v>
      </c>
      <c r="K1291" s="704">
        <v>0</v>
      </c>
      <c r="L1291" s="703" t="s">
        <v>334</v>
      </c>
      <c r="M1291" s="702">
        <v>43769</v>
      </c>
      <c r="N1291" s="702">
        <v>44187</v>
      </c>
      <c r="O1291" s="703" t="s">
        <v>338</v>
      </c>
      <c r="P1291" s="20">
        <v>4832.91</v>
      </c>
      <c r="Q1291" s="20">
        <v>0</v>
      </c>
      <c r="R1291" s="20">
        <v>0</v>
      </c>
      <c r="S1291" s="20">
        <v>0</v>
      </c>
      <c r="T1291" s="20">
        <v>4832.91</v>
      </c>
      <c r="U1291" s="20">
        <v>4671.8100000000004</v>
      </c>
      <c r="V1291" s="20">
        <v>-161.1</v>
      </c>
      <c r="W1291" s="20">
        <v>-322.2</v>
      </c>
      <c r="X1291" s="20">
        <v>-161.1</v>
      </c>
      <c r="Y1291" s="20">
        <v>0</v>
      </c>
      <c r="Z1291" s="20">
        <v>0</v>
      </c>
      <c r="AA1291" s="20">
        <v>0</v>
      </c>
      <c r="AB1291" s="20">
        <v>4510.71</v>
      </c>
      <c r="AC1291" t="s">
        <v>1127</v>
      </c>
      <c r="AD1291" t="s">
        <v>290</v>
      </c>
      <c r="AE1291" s="702">
        <f t="shared" si="100"/>
        <v>43983</v>
      </c>
      <c r="AF1291" s="289">
        <v>6976.1973260367649</v>
      </c>
      <c r="AG1291">
        <f t="shared" si="101"/>
        <v>360</v>
      </c>
      <c r="AH1291" s="289">
        <f t="shared" si="102"/>
        <v>19.378325905657679</v>
      </c>
      <c r="AJ1291" s="289">
        <f t="shared" si="103"/>
        <v>30</v>
      </c>
      <c r="AK1291" s="289">
        <f t="shared" si="104"/>
        <v>581.34977716973037</v>
      </c>
    </row>
    <row r="1292" spans="1:37">
      <c r="A1292" s="703" t="s">
        <v>2737</v>
      </c>
      <c r="B1292" s="703" t="s">
        <v>2311</v>
      </c>
      <c r="C1292" s="703" t="s">
        <v>1124</v>
      </c>
      <c r="D1292" s="703" t="s">
        <v>334</v>
      </c>
      <c r="E1292" s="703" t="s">
        <v>334</v>
      </c>
      <c r="F1292" s="703" t="s">
        <v>335</v>
      </c>
      <c r="G1292" s="703" t="s">
        <v>2738</v>
      </c>
      <c r="H1292" s="703" t="s">
        <v>334</v>
      </c>
      <c r="I1292" s="703" t="s">
        <v>334</v>
      </c>
      <c r="J1292" s="703" t="s">
        <v>337</v>
      </c>
      <c r="K1292" s="704">
        <v>0</v>
      </c>
      <c r="L1292" s="703" t="s">
        <v>334</v>
      </c>
      <c r="M1292" s="702">
        <v>43769</v>
      </c>
      <c r="N1292" s="702">
        <v>44187</v>
      </c>
      <c r="O1292" s="703" t="s">
        <v>338</v>
      </c>
      <c r="P1292" s="20">
        <v>714.05</v>
      </c>
      <c r="Q1292" s="20">
        <v>0</v>
      </c>
      <c r="R1292" s="20">
        <v>0</v>
      </c>
      <c r="S1292" s="20">
        <v>0</v>
      </c>
      <c r="T1292" s="20">
        <v>714.05</v>
      </c>
      <c r="U1292" s="20">
        <v>690.25</v>
      </c>
      <c r="V1292" s="20">
        <v>-23.8</v>
      </c>
      <c r="W1292" s="20">
        <v>-47.6</v>
      </c>
      <c r="X1292" s="20">
        <v>-23.8</v>
      </c>
      <c r="Y1292" s="20">
        <v>0</v>
      </c>
      <c r="Z1292" s="20">
        <v>0</v>
      </c>
      <c r="AA1292" s="20">
        <v>0</v>
      </c>
      <c r="AB1292" s="20">
        <v>666.45</v>
      </c>
      <c r="AC1292" t="s">
        <v>1127</v>
      </c>
      <c r="AD1292" t="s">
        <v>290</v>
      </c>
      <c r="AE1292" s="702">
        <f t="shared" si="100"/>
        <v>43983</v>
      </c>
      <c r="AF1292" s="289">
        <v>1030.7151800171227</v>
      </c>
      <c r="AG1292">
        <f t="shared" si="101"/>
        <v>360</v>
      </c>
      <c r="AH1292" s="289">
        <f t="shared" si="102"/>
        <v>2.8630977222697855</v>
      </c>
      <c r="AJ1292" s="289">
        <f t="shared" si="103"/>
        <v>30</v>
      </c>
      <c r="AK1292" s="289">
        <f t="shared" si="104"/>
        <v>85.892931668093567</v>
      </c>
    </row>
    <row r="1293" spans="1:37">
      <c r="A1293" s="703" t="s">
        <v>2739</v>
      </c>
      <c r="B1293" s="703" t="s">
        <v>2311</v>
      </c>
      <c r="C1293" s="703" t="s">
        <v>1124</v>
      </c>
      <c r="D1293" s="703" t="s">
        <v>334</v>
      </c>
      <c r="E1293" s="703" t="s">
        <v>334</v>
      </c>
      <c r="F1293" s="703" t="s">
        <v>335</v>
      </c>
      <c r="G1293" s="703" t="s">
        <v>2740</v>
      </c>
      <c r="H1293" s="703" t="s">
        <v>334</v>
      </c>
      <c r="I1293" s="703" t="s">
        <v>334</v>
      </c>
      <c r="J1293" s="703" t="s">
        <v>337</v>
      </c>
      <c r="K1293" s="704">
        <v>0</v>
      </c>
      <c r="L1293" s="703" t="s">
        <v>334</v>
      </c>
      <c r="M1293" s="702">
        <v>43769</v>
      </c>
      <c r="N1293" s="702">
        <v>44187</v>
      </c>
      <c r="O1293" s="703" t="s">
        <v>338</v>
      </c>
      <c r="P1293" s="20">
        <v>19835.12</v>
      </c>
      <c r="Q1293" s="20">
        <v>0</v>
      </c>
      <c r="R1293" s="20">
        <v>0</v>
      </c>
      <c r="S1293" s="20">
        <v>0</v>
      </c>
      <c r="T1293" s="20">
        <v>19835.12</v>
      </c>
      <c r="U1293" s="20">
        <v>19173.95</v>
      </c>
      <c r="V1293" s="20">
        <v>-661.17</v>
      </c>
      <c r="W1293" s="20">
        <v>-1322.34</v>
      </c>
      <c r="X1293" s="20">
        <v>-661.17</v>
      </c>
      <c r="Y1293" s="20">
        <v>0</v>
      </c>
      <c r="Z1293" s="20">
        <v>0</v>
      </c>
      <c r="AA1293" s="20">
        <v>0</v>
      </c>
      <c r="AB1293" s="20">
        <v>18512.78</v>
      </c>
      <c r="AC1293" t="s">
        <v>1127</v>
      </c>
      <c r="AD1293" t="s">
        <v>290</v>
      </c>
      <c r="AE1293" s="702">
        <f t="shared" si="100"/>
        <v>43983</v>
      </c>
      <c r="AF1293" s="289">
        <v>28631.551406009708</v>
      </c>
      <c r="AG1293">
        <f t="shared" si="101"/>
        <v>360</v>
      </c>
      <c r="AH1293" s="289">
        <f t="shared" si="102"/>
        <v>79.532087238915864</v>
      </c>
      <c r="AJ1293" s="289">
        <f t="shared" si="103"/>
        <v>30</v>
      </c>
      <c r="AK1293" s="289">
        <f t="shared" si="104"/>
        <v>2385.9626171674759</v>
      </c>
    </row>
    <row r="1294" spans="1:37">
      <c r="A1294" s="703" t="s">
        <v>2741</v>
      </c>
      <c r="B1294" s="703" t="s">
        <v>2311</v>
      </c>
      <c r="C1294" s="703" t="s">
        <v>1124</v>
      </c>
      <c r="D1294" s="703" t="s">
        <v>334</v>
      </c>
      <c r="E1294" s="703" t="s">
        <v>334</v>
      </c>
      <c r="F1294" s="703" t="s">
        <v>335</v>
      </c>
      <c r="G1294" s="703" t="s">
        <v>2742</v>
      </c>
      <c r="H1294" s="703" t="s">
        <v>334</v>
      </c>
      <c r="I1294" s="703" t="s">
        <v>334</v>
      </c>
      <c r="J1294" s="703" t="s">
        <v>337</v>
      </c>
      <c r="K1294" s="704">
        <v>0</v>
      </c>
      <c r="L1294" s="703" t="s">
        <v>334</v>
      </c>
      <c r="M1294" s="702">
        <v>43769</v>
      </c>
      <c r="N1294" s="702">
        <v>44187</v>
      </c>
      <c r="O1294" s="703" t="s">
        <v>338</v>
      </c>
      <c r="P1294" s="20">
        <v>111.11</v>
      </c>
      <c r="Q1294" s="20">
        <v>0</v>
      </c>
      <c r="R1294" s="20">
        <v>0</v>
      </c>
      <c r="S1294" s="20">
        <v>0</v>
      </c>
      <c r="T1294" s="20">
        <v>111.11</v>
      </c>
      <c r="U1294" s="20">
        <v>107.41</v>
      </c>
      <c r="V1294" s="20">
        <v>-3.7</v>
      </c>
      <c r="W1294" s="20">
        <v>-7.4</v>
      </c>
      <c r="X1294" s="20">
        <v>-3.7</v>
      </c>
      <c r="Y1294" s="20">
        <v>0</v>
      </c>
      <c r="Z1294" s="20">
        <v>0</v>
      </c>
      <c r="AA1294" s="20">
        <v>0</v>
      </c>
      <c r="AB1294" s="20">
        <v>103.71</v>
      </c>
      <c r="AC1294" t="s">
        <v>1127</v>
      </c>
      <c r="AD1294" t="s">
        <v>290</v>
      </c>
      <c r="AE1294" s="702">
        <f t="shared" si="100"/>
        <v>43983</v>
      </c>
      <c r="AF1294" s="289">
        <v>160.38479609509491</v>
      </c>
      <c r="AG1294">
        <f t="shared" si="101"/>
        <v>360</v>
      </c>
      <c r="AH1294" s="289">
        <f t="shared" si="102"/>
        <v>0.44551332248637476</v>
      </c>
      <c r="AJ1294" s="289">
        <f t="shared" si="103"/>
        <v>30</v>
      </c>
      <c r="AK1294" s="289">
        <f t="shared" si="104"/>
        <v>13.365399674591243</v>
      </c>
    </row>
    <row r="1295" spans="1:37">
      <c r="A1295" s="703" t="s">
        <v>2743</v>
      </c>
      <c r="B1295" s="703" t="s">
        <v>2311</v>
      </c>
      <c r="C1295" s="703" t="s">
        <v>1124</v>
      </c>
      <c r="D1295" s="703" t="s">
        <v>334</v>
      </c>
      <c r="E1295" s="703" t="s">
        <v>334</v>
      </c>
      <c r="F1295" s="703" t="s">
        <v>335</v>
      </c>
      <c r="G1295" s="703" t="s">
        <v>2744</v>
      </c>
      <c r="H1295" s="703" t="s">
        <v>334</v>
      </c>
      <c r="I1295" s="703" t="s">
        <v>334</v>
      </c>
      <c r="J1295" s="703" t="s">
        <v>337</v>
      </c>
      <c r="K1295" s="704">
        <v>0</v>
      </c>
      <c r="L1295" s="703" t="s">
        <v>334</v>
      </c>
      <c r="M1295" s="702">
        <v>43769</v>
      </c>
      <c r="N1295" s="702">
        <v>44187</v>
      </c>
      <c r="O1295" s="703" t="s">
        <v>338</v>
      </c>
      <c r="P1295" s="20">
        <v>113.12</v>
      </c>
      <c r="Q1295" s="20">
        <v>0</v>
      </c>
      <c r="R1295" s="20">
        <v>0</v>
      </c>
      <c r="S1295" s="20">
        <v>0</v>
      </c>
      <c r="T1295" s="20">
        <v>113.12</v>
      </c>
      <c r="U1295" s="20">
        <v>109.35</v>
      </c>
      <c r="V1295" s="20">
        <v>-3.77</v>
      </c>
      <c r="W1295" s="20">
        <v>-7.54</v>
      </c>
      <c r="X1295" s="20">
        <v>-3.77</v>
      </c>
      <c r="Y1295" s="20">
        <v>0</v>
      </c>
      <c r="Z1295" s="20">
        <v>0</v>
      </c>
      <c r="AA1295" s="20">
        <v>0</v>
      </c>
      <c r="AB1295" s="20">
        <v>105.58</v>
      </c>
      <c r="AC1295" t="s">
        <v>1127</v>
      </c>
      <c r="AD1295" t="s">
        <v>290</v>
      </c>
      <c r="AE1295" s="702">
        <f t="shared" si="100"/>
        <v>43983</v>
      </c>
      <c r="AF1295" s="289">
        <v>163.28618607035492</v>
      </c>
      <c r="AG1295">
        <f t="shared" si="101"/>
        <v>360</v>
      </c>
      <c r="AH1295" s="289">
        <f t="shared" si="102"/>
        <v>0.45357273908431922</v>
      </c>
      <c r="AJ1295" s="289">
        <f t="shared" si="103"/>
        <v>30</v>
      </c>
      <c r="AK1295" s="289">
        <f t="shared" si="104"/>
        <v>13.607182172529576</v>
      </c>
    </row>
    <row r="1296" spans="1:37">
      <c r="A1296" s="703" t="s">
        <v>2745</v>
      </c>
      <c r="B1296" s="703" t="s">
        <v>2311</v>
      </c>
      <c r="C1296" s="703" t="s">
        <v>1124</v>
      </c>
      <c r="D1296" s="703" t="s">
        <v>334</v>
      </c>
      <c r="E1296" s="703" t="s">
        <v>334</v>
      </c>
      <c r="F1296" s="703" t="s">
        <v>335</v>
      </c>
      <c r="G1296" s="703" t="s">
        <v>2746</v>
      </c>
      <c r="H1296" s="703" t="s">
        <v>334</v>
      </c>
      <c r="I1296" s="703" t="s">
        <v>334</v>
      </c>
      <c r="J1296" s="703" t="s">
        <v>337</v>
      </c>
      <c r="K1296" s="704">
        <v>0</v>
      </c>
      <c r="L1296" s="703" t="s">
        <v>334</v>
      </c>
      <c r="M1296" s="702">
        <v>43769</v>
      </c>
      <c r="N1296" s="702">
        <v>44187</v>
      </c>
      <c r="O1296" s="703" t="s">
        <v>338</v>
      </c>
      <c r="P1296" s="20">
        <v>120.12</v>
      </c>
      <c r="Q1296" s="20">
        <v>0</v>
      </c>
      <c r="R1296" s="20">
        <v>0</v>
      </c>
      <c r="S1296" s="20">
        <v>0</v>
      </c>
      <c r="T1296" s="20">
        <v>120.12</v>
      </c>
      <c r="U1296" s="20">
        <v>116.12</v>
      </c>
      <c r="V1296" s="20">
        <v>-4</v>
      </c>
      <c r="W1296" s="20">
        <v>-8</v>
      </c>
      <c r="X1296" s="20">
        <v>-4</v>
      </c>
      <c r="Y1296" s="20">
        <v>0</v>
      </c>
      <c r="Z1296" s="20">
        <v>0</v>
      </c>
      <c r="AA1296" s="20">
        <v>0</v>
      </c>
      <c r="AB1296" s="20">
        <v>112.12</v>
      </c>
      <c r="AC1296" t="s">
        <v>1127</v>
      </c>
      <c r="AD1296" t="s">
        <v>290</v>
      </c>
      <c r="AE1296" s="702">
        <f t="shared" si="100"/>
        <v>43983</v>
      </c>
      <c r="AF1296" s="289">
        <v>173.39052926777785</v>
      </c>
      <c r="AG1296">
        <f t="shared" si="101"/>
        <v>360</v>
      </c>
      <c r="AH1296" s="289">
        <f t="shared" si="102"/>
        <v>0.48164035907716068</v>
      </c>
      <c r="AJ1296" s="289">
        <f t="shared" si="103"/>
        <v>30</v>
      </c>
      <c r="AK1296" s="289">
        <f t="shared" si="104"/>
        <v>14.449210772314821</v>
      </c>
    </row>
    <row r="1297" spans="1:37">
      <c r="A1297" s="703" t="s">
        <v>2747</v>
      </c>
      <c r="B1297" s="703" t="s">
        <v>2311</v>
      </c>
      <c r="C1297" s="703" t="s">
        <v>1124</v>
      </c>
      <c r="D1297" s="703" t="s">
        <v>334</v>
      </c>
      <c r="E1297" s="703" t="s">
        <v>334</v>
      </c>
      <c r="F1297" s="703" t="s">
        <v>335</v>
      </c>
      <c r="G1297" s="703" t="s">
        <v>2748</v>
      </c>
      <c r="H1297" s="703" t="s">
        <v>334</v>
      </c>
      <c r="I1297" s="703" t="s">
        <v>334</v>
      </c>
      <c r="J1297" s="703" t="s">
        <v>337</v>
      </c>
      <c r="K1297" s="704">
        <v>0</v>
      </c>
      <c r="L1297" s="703" t="s">
        <v>334</v>
      </c>
      <c r="M1297" s="702">
        <v>43769</v>
      </c>
      <c r="N1297" s="702">
        <v>44187</v>
      </c>
      <c r="O1297" s="703" t="s">
        <v>338</v>
      </c>
      <c r="P1297" s="20">
        <v>111.11</v>
      </c>
      <c r="Q1297" s="20">
        <v>0</v>
      </c>
      <c r="R1297" s="20">
        <v>0</v>
      </c>
      <c r="S1297" s="20">
        <v>0</v>
      </c>
      <c r="T1297" s="20">
        <v>111.11</v>
      </c>
      <c r="U1297" s="20">
        <v>107.41</v>
      </c>
      <c r="V1297" s="20">
        <v>-3.7</v>
      </c>
      <c r="W1297" s="20">
        <v>-7.4</v>
      </c>
      <c r="X1297" s="20">
        <v>-3.7</v>
      </c>
      <c r="Y1297" s="20">
        <v>0</v>
      </c>
      <c r="Z1297" s="20">
        <v>0</v>
      </c>
      <c r="AA1297" s="20">
        <v>0</v>
      </c>
      <c r="AB1297" s="20">
        <v>103.71</v>
      </c>
      <c r="AC1297" t="s">
        <v>1127</v>
      </c>
      <c r="AD1297" t="s">
        <v>290</v>
      </c>
      <c r="AE1297" s="702">
        <f t="shared" si="100"/>
        <v>43983</v>
      </c>
      <c r="AF1297" s="289">
        <v>160.38479609509491</v>
      </c>
      <c r="AG1297">
        <f t="shared" si="101"/>
        <v>360</v>
      </c>
      <c r="AH1297" s="289">
        <f t="shared" si="102"/>
        <v>0.44551332248637476</v>
      </c>
      <c r="AJ1297" s="289">
        <f t="shared" si="103"/>
        <v>30</v>
      </c>
      <c r="AK1297" s="289">
        <f t="shared" si="104"/>
        <v>13.365399674591243</v>
      </c>
    </row>
    <row r="1298" spans="1:37">
      <c r="A1298" s="703" t="s">
        <v>2749</v>
      </c>
      <c r="B1298" s="703" t="s">
        <v>2311</v>
      </c>
      <c r="C1298" s="703" t="s">
        <v>1124</v>
      </c>
      <c r="D1298" s="703" t="s">
        <v>334</v>
      </c>
      <c r="E1298" s="703" t="s">
        <v>334</v>
      </c>
      <c r="F1298" s="703" t="s">
        <v>335</v>
      </c>
      <c r="G1298" s="703" t="s">
        <v>2750</v>
      </c>
      <c r="H1298" s="703" t="s">
        <v>334</v>
      </c>
      <c r="I1298" s="703" t="s">
        <v>334</v>
      </c>
      <c r="J1298" s="703" t="s">
        <v>337</v>
      </c>
      <c r="K1298" s="704">
        <v>0</v>
      </c>
      <c r="L1298" s="703" t="s">
        <v>334</v>
      </c>
      <c r="M1298" s="702">
        <v>43769</v>
      </c>
      <c r="N1298" s="702">
        <v>44187</v>
      </c>
      <c r="O1298" s="703" t="s">
        <v>338</v>
      </c>
      <c r="P1298" s="20">
        <v>111.11</v>
      </c>
      <c r="Q1298" s="20">
        <v>0</v>
      </c>
      <c r="R1298" s="20">
        <v>0</v>
      </c>
      <c r="S1298" s="20">
        <v>0</v>
      </c>
      <c r="T1298" s="20">
        <v>111.11</v>
      </c>
      <c r="U1298" s="20">
        <v>107.41</v>
      </c>
      <c r="V1298" s="20">
        <v>-3.7</v>
      </c>
      <c r="W1298" s="20">
        <v>-7.4</v>
      </c>
      <c r="X1298" s="20">
        <v>-3.7</v>
      </c>
      <c r="Y1298" s="20">
        <v>0</v>
      </c>
      <c r="Z1298" s="20">
        <v>0</v>
      </c>
      <c r="AA1298" s="20">
        <v>0</v>
      </c>
      <c r="AB1298" s="20">
        <v>103.71</v>
      </c>
      <c r="AC1298" t="s">
        <v>1127</v>
      </c>
      <c r="AD1298" t="s">
        <v>290</v>
      </c>
      <c r="AE1298" s="702">
        <f t="shared" si="100"/>
        <v>43983</v>
      </c>
      <c r="AF1298" s="289">
        <v>160.38479609509491</v>
      </c>
      <c r="AG1298">
        <f t="shared" si="101"/>
        <v>360</v>
      </c>
      <c r="AH1298" s="289">
        <f t="shared" si="102"/>
        <v>0.44551332248637476</v>
      </c>
      <c r="AJ1298" s="289">
        <f t="shared" si="103"/>
        <v>30</v>
      </c>
      <c r="AK1298" s="289">
        <f t="shared" si="104"/>
        <v>13.365399674591243</v>
      </c>
    </row>
    <row r="1299" spans="1:37">
      <c r="A1299" s="703" t="s">
        <v>2751</v>
      </c>
      <c r="B1299" s="703" t="s">
        <v>2311</v>
      </c>
      <c r="C1299" s="703" t="s">
        <v>1124</v>
      </c>
      <c r="D1299" s="703" t="s">
        <v>334</v>
      </c>
      <c r="E1299" s="703" t="s">
        <v>334</v>
      </c>
      <c r="F1299" s="703" t="s">
        <v>335</v>
      </c>
      <c r="G1299" s="703" t="s">
        <v>2752</v>
      </c>
      <c r="H1299" s="703" t="s">
        <v>334</v>
      </c>
      <c r="I1299" s="703" t="s">
        <v>334</v>
      </c>
      <c r="J1299" s="703" t="s">
        <v>337</v>
      </c>
      <c r="K1299" s="704">
        <v>0</v>
      </c>
      <c r="L1299" s="703" t="s">
        <v>334</v>
      </c>
      <c r="M1299" s="702">
        <v>43769</v>
      </c>
      <c r="N1299" s="702">
        <v>44187</v>
      </c>
      <c r="O1299" s="703" t="s">
        <v>338</v>
      </c>
      <c r="P1299" s="20">
        <v>3190.92</v>
      </c>
      <c r="Q1299" s="20">
        <v>0</v>
      </c>
      <c r="R1299" s="20">
        <v>0</v>
      </c>
      <c r="S1299" s="20">
        <v>0</v>
      </c>
      <c r="T1299" s="20">
        <v>3190.92</v>
      </c>
      <c r="U1299" s="20">
        <v>3084.56</v>
      </c>
      <c r="V1299" s="20">
        <v>-106.36</v>
      </c>
      <c r="W1299" s="20">
        <v>-212.72</v>
      </c>
      <c r="X1299" s="20">
        <v>-106.36</v>
      </c>
      <c r="Y1299" s="20">
        <v>0</v>
      </c>
      <c r="Z1299" s="20">
        <v>0</v>
      </c>
      <c r="AA1299" s="20">
        <v>0</v>
      </c>
      <c r="AB1299" s="20">
        <v>2978.2</v>
      </c>
      <c r="AC1299" t="s">
        <v>1127</v>
      </c>
      <c r="AD1299" t="s">
        <v>290</v>
      </c>
      <c r="AE1299" s="702">
        <f t="shared" si="100"/>
        <v>43983</v>
      </c>
      <c r="AF1299" s="289">
        <v>4606.0215422172641</v>
      </c>
      <c r="AG1299">
        <f t="shared" si="101"/>
        <v>360</v>
      </c>
      <c r="AH1299" s="289">
        <f t="shared" si="102"/>
        <v>12.794504283936845</v>
      </c>
      <c r="AJ1299" s="289">
        <f t="shared" si="103"/>
        <v>30</v>
      </c>
      <c r="AK1299" s="289">
        <f t="shared" si="104"/>
        <v>383.83512851810536</v>
      </c>
    </row>
    <row r="1300" spans="1:37">
      <c r="A1300" s="703" t="s">
        <v>2753</v>
      </c>
      <c r="B1300" s="703" t="s">
        <v>2311</v>
      </c>
      <c r="C1300" s="703" t="s">
        <v>1124</v>
      </c>
      <c r="D1300" s="703" t="s">
        <v>334</v>
      </c>
      <c r="E1300" s="703" t="s">
        <v>334</v>
      </c>
      <c r="F1300" s="703" t="s">
        <v>335</v>
      </c>
      <c r="G1300" s="703" t="s">
        <v>2754</v>
      </c>
      <c r="H1300" s="703" t="s">
        <v>334</v>
      </c>
      <c r="I1300" s="703" t="s">
        <v>334</v>
      </c>
      <c r="J1300" s="703" t="s">
        <v>337</v>
      </c>
      <c r="K1300" s="704">
        <v>0</v>
      </c>
      <c r="L1300" s="703" t="s">
        <v>334</v>
      </c>
      <c r="M1300" s="702">
        <v>43769</v>
      </c>
      <c r="N1300" s="702">
        <v>44187</v>
      </c>
      <c r="O1300" s="703" t="s">
        <v>338</v>
      </c>
      <c r="P1300" s="20">
        <v>586.57000000000005</v>
      </c>
      <c r="Q1300" s="20">
        <v>0</v>
      </c>
      <c r="R1300" s="20">
        <v>0</v>
      </c>
      <c r="S1300" s="20">
        <v>0</v>
      </c>
      <c r="T1300" s="20">
        <v>586.57000000000005</v>
      </c>
      <c r="U1300" s="20">
        <v>567.02</v>
      </c>
      <c r="V1300" s="20">
        <v>-19.55</v>
      </c>
      <c r="W1300" s="20">
        <v>-39.1</v>
      </c>
      <c r="X1300" s="20">
        <v>-19.55</v>
      </c>
      <c r="Y1300" s="20">
        <v>0</v>
      </c>
      <c r="Z1300" s="20">
        <v>0</v>
      </c>
      <c r="AA1300" s="20">
        <v>0</v>
      </c>
      <c r="AB1300" s="20">
        <v>547.47</v>
      </c>
      <c r="AC1300" t="s">
        <v>1127</v>
      </c>
      <c r="AD1300" t="s">
        <v>290</v>
      </c>
      <c r="AE1300" s="702">
        <f t="shared" si="100"/>
        <v>43983</v>
      </c>
      <c r="AF1300" s="289">
        <v>846.70065561605463</v>
      </c>
      <c r="AG1300">
        <f t="shared" si="101"/>
        <v>360</v>
      </c>
      <c r="AH1300" s="289">
        <f t="shared" si="102"/>
        <v>2.351946265600152</v>
      </c>
      <c r="AJ1300" s="289">
        <f t="shared" si="103"/>
        <v>30</v>
      </c>
      <c r="AK1300" s="289">
        <f t="shared" si="104"/>
        <v>70.558387968004553</v>
      </c>
    </row>
    <row r="1301" spans="1:37">
      <c r="A1301" s="703" t="s">
        <v>2755</v>
      </c>
      <c r="B1301" s="703" t="s">
        <v>2311</v>
      </c>
      <c r="C1301" s="703" t="s">
        <v>1124</v>
      </c>
      <c r="D1301" s="703" t="s">
        <v>334</v>
      </c>
      <c r="E1301" s="703" t="s">
        <v>334</v>
      </c>
      <c r="F1301" s="703" t="s">
        <v>335</v>
      </c>
      <c r="G1301" s="703" t="s">
        <v>2756</v>
      </c>
      <c r="H1301" s="703" t="s">
        <v>334</v>
      </c>
      <c r="I1301" s="703" t="s">
        <v>334</v>
      </c>
      <c r="J1301" s="703" t="s">
        <v>337</v>
      </c>
      <c r="K1301" s="704">
        <v>0</v>
      </c>
      <c r="L1301" s="703" t="s">
        <v>334</v>
      </c>
      <c r="M1301" s="702">
        <v>43769</v>
      </c>
      <c r="N1301" s="702">
        <v>44187</v>
      </c>
      <c r="O1301" s="703" t="s">
        <v>338</v>
      </c>
      <c r="P1301" s="20">
        <v>3947.98</v>
      </c>
      <c r="Q1301" s="20">
        <v>0</v>
      </c>
      <c r="R1301" s="20">
        <v>0</v>
      </c>
      <c r="S1301" s="20">
        <v>0</v>
      </c>
      <c r="T1301" s="20">
        <v>3947.98</v>
      </c>
      <c r="U1301" s="20">
        <v>3816.38</v>
      </c>
      <c r="V1301" s="20">
        <v>-131.6</v>
      </c>
      <c r="W1301" s="20">
        <v>-263.2</v>
      </c>
      <c r="X1301" s="20">
        <v>-131.6</v>
      </c>
      <c r="Y1301" s="20">
        <v>0</v>
      </c>
      <c r="Z1301" s="20">
        <v>0</v>
      </c>
      <c r="AA1301" s="20">
        <v>0</v>
      </c>
      <c r="AB1301" s="20">
        <v>3684.78</v>
      </c>
      <c r="AC1301" t="s">
        <v>1127</v>
      </c>
      <c r="AD1301" t="s">
        <v>290</v>
      </c>
      <c r="AE1301" s="702">
        <f t="shared" si="100"/>
        <v>43983</v>
      </c>
      <c r="AF1301" s="289">
        <v>5698.8206937945524</v>
      </c>
      <c r="AG1301">
        <f t="shared" si="101"/>
        <v>360</v>
      </c>
      <c r="AH1301" s="289">
        <f t="shared" si="102"/>
        <v>15.830057482762646</v>
      </c>
      <c r="AJ1301" s="289">
        <f t="shared" si="103"/>
        <v>30</v>
      </c>
      <c r="AK1301" s="289">
        <f t="shared" si="104"/>
        <v>474.90172448287939</v>
      </c>
    </row>
    <row r="1302" spans="1:37">
      <c r="A1302" s="703" t="s">
        <v>2757</v>
      </c>
      <c r="B1302" s="703" t="s">
        <v>2311</v>
      </c>
      <c r="C1302" s="703" t="s">
        <v>1124</v>
      </c>
      <c r="D1302" s="703" t="s">
        <v>334</v>
      </c>
      <c r="E1302" s="703" t="s">
        <v>334</v>
      </c>
      <c r="F1302" s="703" t="s">
        <v>335</v>
      </c>
      <c r="G1302" s="703" t="s">
        <v>2758</v>
      </c>
      <c r="H1302" s="703" t="s">
        <v>334</v>
      </c>
      <c r="I1302" s="703" t="s">
        <v>334</v>
      </c>
      <c r="J1302" s="703" t="s">
        <v>337</v>
      </c>
      <c r="K1302" s="704">
        <v>0</v>
      </c>
      <c r="L1302" s="703" t="s">
        <v>334</v>
      </c>
      <c r="M1302" s="702">
        <v>43769</v>
      </c>
      <c r="N1302" s="702">
        <v>44187</v>
      </c>
      <c r="O1302" s="703" t="s">
        <v>338</v>
      </c>
      <c r="P1302" s="20">
        <v>29714.84</v>
      </c>
      <c r="Q1302" s="20">
        <v>0</v>
      </c>
      <c r="R1302" s="20">
        <v>0</v>
      </c>
      <c r="S1302" s="20">
        <v>0</v>
      </c>
      <c r="T1302" s="20">
        <v>29714.84</v>
      </c>
      <c r="U1302" s="20">
        <v>28724.35</v>
      </c>
      <c r="V1302" s="20">
        <v>-990.49</v>
      </c>
      <c r="W1302" s="20">
        <v>-1980.98</v>
      </c>
      <c r="X1302" s="20">
        <v>-990.49</v>
      </c>
      <c r="Y1302" s="20">
        <v>0</v>
      </c>
      <c r="Z1302" s="20">
        <v>0</v>
      </c>
      <c r="AA1302" s="20">
        <v>0</v>
      </c>
      <c r="AB1302" s="20">
        <v>27733.86</v>
      </c>
      <c r="AC1302" t="s">
        <v>1127</v>
      </c>
      <c r="AD1302" t="s">
        <v>290</v>
      </c>
      <c r="AE1302" s="702">
        <f t="shared" si="100"/>
        <v>43983</v>
      </c>
      <c r="AF1302" s="289">
        <v>42892.705916644496</v>
      </c>
      <c r="AG1302">
        <f t="shared" si="101"/>
        <v>360</v>
      </c>
      <c r="AH1302" s="289">
        <f t="shared" si="102"/>
        <v>119.14640532401249</v>
      </c>
      <c r="AJ1302" s="289">
        <f t="shared" si="103"/>
        <v>30</v>
      </c>
      <c r="AK1302" s="289">
        <f t="shared" si="104"/>
        <v>3574.3921597203748</v>
      </c>
    </row>
    <row r="1303" spans="1:37">
      <c r="A1303" s="703" t="s">
        <v>2759</v>
      </c>
      <c r="B1303" s="703" t="s">
        <v>2311</v>
      </c>
      <c r="C1303" s="703" t="s">
        <v>1124</v>
      </c>
      <c r="D1303" s="703" t="s">
        <v>334</v>
      </c>
      <c r="E1303" s="703" t="s">
        <v>334</v>
      </c>
      <c r="F1303" s="703" t="s">
        <v>335</v>
      </c>
      <c r="G1303" s="703" t="s">
        <v>2760</v>
      </c>
      <c r="H1303" s="703" t="s">
        <v>334</v>
      </c>
      <c r="I1303" s="703" t="s">
        <v>334</v>
      </c>
      <c r="J1303" s="703" t="s">
        <v>337</v>
      </c>
      <c r="K1303" s="704">
        <v>0</v>
      </c>
      <c r="L1303" s="703" t="s">
        <v>334</v>
      </c>
      <c r="M1303" s="702">
        <v>43769</v>
      </c>
      <c r="N1303" s="702">
        <v>44187</v>
      </c>
      <c r="O1303" s="703" t="s">
        <v>338</v>
      </c>
      <c r="P1303" s="20">
        <v>26146.1</v>
      </c>
      <c r="Q1303" s="20">
        <v>0</v>
      </c>
      <c r="R1303" s="20">
        <v>0</v>
      </c>
      <c r="S1303" s="20">
        <v>0</v>
      </c>
      <c r="T1303" s="20">
        <v>26146.1</v>
      </c>
      <c r="U1303" s="20">
        <v>25274.560000000001</v>
      </c>
      <c r="V1303" s="20">
        <v>-871.54</v>
      </c>
      <c r="W1303" s="20">
        <v>-1743.08</v>
      </c>
      <c r="X1303" s="20">
        <v>-871.54</v>
      </c>
      <c r="Y1303" s="20">
        <v>0</v>
      </c>
      <c r="Z1303" s="20">
        <v>0</v>
      </c>
      <c r="AA1303" s="20">
        <v>0</v>
      </c>
      <c r="AB1303" s="20">
        <v>24403.02</v>
      </c>
      <c r="AC1303" t="s">
        <v>1127</v>
      </c>
      <c r="AD1303" t="s">
        <v>290</v>
      </c>
      <c r="AE1303" s="702">
        <f t="shared" si="100"/>
        <v>43983</v>
      </c>
      <c r="AF1303" s="289">
        <v>37741.30966773432</v>
      </c>
      <c r="AG1303">
        <f t="shared" si="101"/>
        <v>360</v>
      </c>
      <c r="AH1303" s="289">
        <f t="shared" si="102"/>
        <v>104.836971299262</v>
      </c>
      <c r="AJ1303" s="289">
        <f t="shared" si="103"/>
        <v>30</v>
      </c>
      <c r="AK1303" s="289">
        <f t="shared" si="104"/>
        <v>3145.1091389778603</v>
      </c>
    </row>
    <row r="1304" spans="1:37">
      <c r="A1304" s="703" t="s">
        <v>2761</v>
      </c>
      <c r="B1304" s="703" t="s">
        <v>2311</v>
      </c>
      <c r="C1304" s="703" t="s">
        <v>1124</v>
      </c>
      <c r="D1304" s="703" t="s">
        <v>334</v>
      </c>
      <c r="E1304" s="703" t="s">
        <v>334</v>
      </c>
      <c r="F1304" s="703" t="s">
        <v>335</v>
      </c>
      <c r="G1304" s="703" t="s">
        <v>2762</v>
      </c>
      <c r="H1304" s="703" t="s">
        <v>334</v>
      </c>
      <c r="I1304" s="703" t="s">
        <v>334</v>
      </c>
      <c r="J1304" s="703" t="s">
        <v>337</v>
      </c>
      <c r="K1304" s="704">
        <v>0</v>
      </c>
      <c r="L1304" s="703" t="s">
        <v>334</v>
      </c>
      <c r="M1304" s="702">
        <v>43769</v>
      </c>
      <c r="N1304" s="702">
        <v>44187</v>
      </c>
      <c r="O1304" s="703" t="s">
        <v>338</v>
      </c>
      <c r="P1304" s="20">
        <v>25113.01</v>
      </c>
      <c r="Q1304" s="20">
        <v>0</v>
      </c>
      <c r="R1304" s="20">
        <v>0</v>
      </c>
      <c r="S1304" s="20">
        <v>0</v>
      </c>
      <c r="T1304" s="20">
        <v>25113.01</v>
      </c>
      <c r="U1304" s="20">
        <v>24275.91</v>
      </c>
      <c r="V1304" s="20">
        <v>-837.1</v>
      </c>
      <c r="W1304" s="20">
        <v>-1674.2</v>
      </c>
      <c r="X1304" s="20">
        <v>-837.1</v>
      </c>
      <c r="Y1304" s="20">
        <v>0</v>
      </c>
      <c r="Z1304" s="20">
        <v>0</v>
      </c>
      <c r="AA1304" s="20">
        <v>0</v>
      </c>
      <c r="AB1304" s="20">
        <v>23438.81</v>
      </c>
      <c r="AC1304" t="s">
        <v>1127</v>
      </c>
      <c r="AD1304" t="s">
        <v>290</v>
      </c>
      <c r="AE1304" s="702">
        <f t="shared" si="100"/>
        <v>43983</v>
      </c>
      <c r="AF1304" s="289">
        <v>36250.067394330654</v>
      </c>
      <c r="AG1304">
        <f t="shared" si="101"/>
        <v>360</v>
      </c>
      <c r="AH1304" s="289">
        <f t="shared" si="102"/>
        <v>100.69463165091848</v>
      </c>
      <c r="AJ1304" s="289">
        <f t="shared" si="103"/>
        <v>30</v>
      </c>
      <c r="AK1304" s="289">
        <f t="shared" si="104"/>
        <v>3020.8389495275546</v>
      </c>
    </row>
    <row r="1305" spans="1:37">
      <c r="A1305" s="703" t="s">
        <v>2763</v>
      </c>
      <c r="B1305" s="703" t="s">
        <v>2311</v>
      </c>
      <c r="C1305" s="703" t="s">
        <v>1124</v>
      </c>
      <c r="D1305" s="703" t="s">
        <v>334</v>
      </c>
      <c r="E1305" s="703" t="s">
        <v>334</v>
      </c>
      <c r="F1305" s="703" t="s">
        <v>335</v>
      </c>
      <c r="G1305" s="703" t="s">
        <v>2764</v>
      </c>
      <c r="H1305" s="703" t="s">
        <v>334</v>
      </c>
      <c r="I1305" s="703" t="s">
        <v>334</v>
      </c>
      <c r="J1305" s="703" t="s">
        <v>337</v>
      </c>
      <c r="K1305" s="704">
        <v>0</v>
      </c>
      <c r="L1305" s="703" t="s">
        <v>334</v>
      </c>
      <c r="M1305" s="702">
        <v>43769</v>
      </c>
      <c r="N1305" s="702">
        <v>44187</v>
      </c>
      <c r="O1305" s="703" t="s">
        <v>338</v>
      </c>
      <c r="P1305" s="20">
        <v>20970.45</v>
      </c>
      <c r="Q1305" s="20">
        <v>0</v>
      </c>
      <c r="R1305" s="20">
        <v>0</v>
      </c>
      <c r="S1305" s="20">
        <v>0</v>
      </c>
      <c r="T1305" s="20">
        <v>20970.45</v>
      </c>
      <c r="U1305" s="20">
        <v>20271.43</v>
      </c>
      <c r="V1305" s="20">
        <v>-699.02</v>
      </c>
      <c r="W1305" s="20">
        <v>-1398.04</v>
      </c>
      <c r="X1305" s="20">
        <v>-699.02</v>
      </c>
      <c r="Y1305" s="20">
        <v>0</v>
      </c>
      <c r="Z1305" s="20">
        <v>0</v>
      </c>
      <c r="AA1305" s="20">
        <v>0</v>
      </c>
      <c r="AB1305" s="20">
        <v>19572.41</v>
      </c>
      <c r="AC1305" t="s">
        <v>1127</v>
      </c>
      <c r="AD1305" t="s">
        <v>290</v>
      </c>
      <c r="AE1305" s="702">
        <f t="shared" si="100"/>
        <v>43983</v>
      </c>
      <c r="AF1305" s="289">
        <v>30270.374829199736</v>
      </c>
      <c r="AG1305">
        <f t="shared" si="101"/>
        <v>360</v>
      </c>
      <c r="AH1305" s="289">
        <f t="shared" si="102"/>
        <v>84.084374525554821</v>
      </c>
      <c r="AJ1305" s="289">
        <f t="shared" si="103"/>
        <v>30</v>
      </c>
      <c r="AK1305" s="289">
        <f t="shared" si="104"/>
        <v>2522.5312357666448</v>
      </c>
    </row>
    <row r="1306" spans="1:37">
      <c r="A1306" s="703" t="s">
        <v>2765</v>
      </c>
      <c r="B1306" s="703" t="s">
        <v>2311</v>
      </c>
      <c r="C1306" s="703" t="s">
        <v>1124</v>
      </c>
      <c r="D1306" s="703" t="s">
        <v>334</v>
      </c>
      <c r="E1306" s="703" t="s">
        <v>334</v>
      </c>
      <c r="F1306" s="703" t="s">
        <v>335</v>
      </c>
      <c r="G1306" s="703" t="s">
        <v>2766</v>
      </c>
      <c r="H1306" s="703" t="s">
        <v>334</v>
      </c>
      <c r="I1306" s="703" t="s">
        <v>334</v>
      </c>
      <c r="J1306" s="703" t="s">
        <v>337</v>
      </c>
      <c r="K1306" s="704">
        <v>0</v>
      </c>
      <c r="L1306" s="703" t="s">
        <v>334</v>
      </c>
      <c r="M1306" s="702">
        <v>43769</v>
      </c>
      <c r="N1306" s="702">
        <v>44187</v>
      </c>
      <c r="O1306" s="703" t="s">
        <v>338</v>
      </c>
      <c r="P1306" s="20">
        <v>28075.46</v>
      </c>
      <c r="Q1306" s="20">
        <v>0</v>
      </c>
      <c r="R1306" s="20">
        <v>0</v>
      </c>
      <c r="S1306" s="20">
        <v>0</v>
      </c>
      <c r="T1306" s="20">
        <v>28075.46</v>
      </c>
      <c r="U1306" s="20">
        <v>27139.61</v>
      </c>
      <c r="V1306" s="20">
        <v>-935.85</v>
      </c>
      <c r="W1306" s="20">
        <v>-1871.7</v>
      </c>
      <c r="X1306" s="20">
        <v>-935.85</v>
      </c>
      <c r="Y1306" s="20">
        <v>0</v>
      </c>
      <c r="Z1306" s="20">
        <v>0</v>
      </c>
      <c r="AA1306" s="20">
        <v>0</v>
      </c>
      <c r="AB1306" s="20">
        <v>26203.759999999998</v>
      </c>
      <c r="AC1306" t="s">
        <v>1127</v>
      </c>
      <c r="AD1306" t="s">
        <v>290</v>
      </c>
      <c r="AE1306" s="702">
        <f t="shared" si="100"/>
        <v>43983</v>
      </c>
      <c r="AF1306" s="289">
        <v>40526.29760936003</v>
      </c>
      <c r="AG1306">
        <f t="shared" si="101"/>
        <v>360</v>
      </c>
      <c r="AH1306" s="289">
        <f t="shared" si="102"/>
        <v>112.57304891488897</v>
      </c>
      <c r="AJ1306" s="289">
        <f t="shared" si="103"/>
        <v>30</v>
      </c>
      <c r="AK1306" s="289">
        <f t="shared" si="104"/>
        <v>3377.1914674466693</v>
      </c>
    </row>
    <row r="1307" spans="1:37">
      <c r="A1307" s="703" t="s">
        <v>2767</v>
      </c>
      <c r="B1307" s="703" t="s">
        <v>2311</v>
      </c>
      <c r="C1307" s="703" t="s">
        <v>332</v>
      </c>
      <c r="D1307" s="703" t="s">
        <v>334</v>
      </c>
      <c r="E1307" s="703" t="s">
        <v>334</v>
      </c>
      <c r="F1307" s="703" t="s">
        <v>335</v>
      </c>
      <c r="G1307" s="703" t="s">
        <v>2768</v>
      </c>
      <c r="H1307" s="703" t="s">
        <v>334</v>
      </c>
      <c r="I1307" s="703" t="s">
        <v>334</v>
      </c>
      <c r="J1307" s="703" t="s">
        <v>337</v>
      </c>
      <c r="K1307" s="704">
        <v>0</v>
      </c>
      <c r="L1307" s="703" t="s">
        <v>334</v>
      </c>
      <c r="M1307" s="702">
        <v>43496</v>
      </c>
      <c r="N1307" s="702">
        <v>44188</v>
      </c>
      <c r="O1307" s="703" t="s">
        <v>338</v>
      </c>
      <c r="P1307" s="20">
        <v>688101.29</v>
      </c>
      <c r="Q1307" s="20">
        <v>0</v>
      </c>
      <c r="R1307" s="20">
        <v>0</v>
      </c>
      <c r="S1307" s="20">
        <v>0</v>
      </c>
      <c r="T1307" s="20">
        <v>688101.29</v>
      </c>
      <c r="U1307" s="20">
        <v>665164.57999999996</v>
      </c>
      <c r="V1307" s="20">
        <v>-22936.71</v>
      </c>
      <c r="W1307" s="20">
        <v>-45873.42</v>
      </c>
      <c r="X1307" s="20">
        <v>-22936.71</v>
      </c>
      <c r="Y1307" s="20">
        <v>0</v>
      </c>
      <c r="Z1307" s="20">
        <v>0</v>
      </c>
      <c r="AA1307" s="20">
        <v>0</v>
      </c>
      <c r="AB1307" s="20">
        <v>642227.87</v>
      </c>
      <c r="AC1307" t="s">
        <v>183</v>
      </c>
      <c r="AD1307" t="s">
        <v>290</v>
      </c>
      <c r="AE1307" s="702">
        <f t="shared" si="100"/>
        <v>43983</v>
      </c>
      <c r="AF1307" s="289">
        <v>993258.79839277989</v>
      </c>
      <c r="AG1307">
        <f t="shared" si="101"/>
        <v>360</v>
      </c>
      <c r="AH1307" s="289">
        <f t="shared" si="102"/>
        <v>2759.0522177577218</v>
      </c>
      <c r="AJ1307" s="289">
        <f t="shared" si="103"/>
        <v>30</v>
      </c>
      <c r="AK1307" s="289">
        <f t="shared" si="104"/>
        <v>82771.566532731653</v>
      </c>
    </row>
    <row r="1308" spans="1:37">
      <c r="A1308" s="703" t="s">
        <v>2769</v>
      </c>
      <c r="B1308" s="703" t="s">
        <v>2311</v>
      </c>
      <c r="C1308" s="703" t="s">
        <v>332</v>
      </c>
      <c r="D1308" s="703" t="s">
        <v>334</v>
      </c>
      <c r="E1308" s="703" t="s">
        <v>334</v>
      </c>
      <c r="F1308" s="703" t="s">
        <v>335</v>
      </c>
      <c r="G1308" s="703" t="s">
        <v>2770</v>
      </c>
      <c r="H1308" s="703" t="s">
        <v>334</v>
      </c>
      <c r="I1308" s="703" t="s">
        <v>334</v>
      </c>
      <c r="J1308" s="703" t="s">
        <v>337</v>
      </c>
      <c r="K1308" s="704">
        <v>0</v>
      </c>
      <c r="L1308" s="703" t="s">
        <v>334</v>
      </c>
      <c r="M1308" s="702">
        <v>43555</v>
      </c>
      <c r="N1308" s="702">
        <v>44188</v>
      </c>
      <c r="O1308" s="703" t="s">
        <v>338</v>
      </c>
      <c r="P1308" s="20">
        <v>135825.71</v>
      </c>
      <c r="Q1308" s="20">
        <v>0</v>
      </c>
      <c r="R1308" s="20">
        <v>0</v>
      </c>
      <c r="S1308" s="20">
        <v>0</v>
      </c>
      <c r="T1308" s="20">
        <v>135825.71</v>
      </c>
      <c r="U1308" s="20">
        <v>131298.19</v>
      </c>
      <c r="V1308" s="20">
        <v>-4527.5200000000004</v>
      </c>
      <c r="W1308" s="20">
        <v>-9055.0400000000009</v>
      </c>
      <c r="X1308" s="20">
        <v>-4527.5200000000004</v>
      </c>
      <c r="Y1308" s="20">
        <v>0</v>
      </c>
      <c r="Z1308" s="20">
        <v>0</v>
      </c>
      <c r="AA1308" s="20">
        <v>0</v>
      </c>
      <c r="AB1308" s="20">
        <v>126770.67</v>
      </c>
      <c r="AC1308" t="s">
        <v>183</v>
      </c>
      <c r="AD1308" t="s">
        <v>290</v>
      </c>
      <c r="AE1308" s="702">
        <f t="shared" si="100"/>
        <v>43983</v>
      </c>
      <c r="AF1308" s="289">
        <v>196061.36983909179</v>
      </c>
      <c r="AG1308">
        <f t="shared" si="101"/>
        <v>360</v>
      </c>
      <c r="AH1308" s="289">
        <f t="shared" si="102"/>
        <v>544.61491621969935</v>
      </c>
      <c r="AJ1308" s="289">
        <f t="shared" si="103"/>
        <v>30</v>
      </c>
      <c r="AK1308" s="289">
        <f t="shared" si="104"/>
        <v>16338.44748659098</v>
      </c>
    </row>
    <row r="1309" spans="1:37">
      <c r="A1309" s="703" t="s">
        <v>2771</v>
      </c>
      <c r="B1309" s="703" t="s">
        <v>2311</v>
      </c>
      <c r="C1309" s="703" t="s">
        <v>332</v>
      </c>
      <c r="D1309" s="703" t="s">
        <v>334</v>
      </c>
      <c r="E1309" s="703" t="s">
        <v>334</v>
      </c>
      <c r="F1309" s="703" t="s">
        <v>335</v>
      </c>
      <c r="G1309" s="703" t="s">
        <v>2772</v>
      </c>
      <c r="H1309" s="703" t="s">
        <v>334</v>
      </c>
      <c r="I1309" s="703" t="s">
        <v>334</v>
      </c>
      <c r="J1309" s="703" t="s">
        <v>337</v>
      </c>
      <c r="K1309" s="704">
        <v>0</v>
      </c>
      <c r="L1309" s="703" t="s">
        <v>334</v>
      </c>
      <c r="M1309" s="702">
        <v>43738</v>
      </c>
      <c r="N1309" s="702">
        <v>44188</v>
      </c>
      <c r="O1309" s="703" t="s">
        <v>338</v>
      </c>
      <c r="P1309" s="20">
        <v>831187.91</v>
      </c>
      <c r="Q1309" s="20">
        <v>0</v>
      </c>
      <c r="R1309" s="20">
        <v>0</v>
      </c>
      <c r="S1309" s="20">
        <v>0</v>
      </c>
      <c r="T1309" s="20">
        <v>831187.91</v>
      </c>
      <c r="U1309" s="20">
        <v>803481.65</v>
      </c>
      <c r="V1309" s="20">
        <v>-27706.26</v>
      </c>
      <c r="W1309" s="20">
        <v>-55412.52</v>
      </c>
      <c r="X1309" s="20">
        <v>-27706.26</v>
      </c>
      <c r="Y1309" s="20">
        <v>0</v>
      </c>
      <c r="Z1309" s="20">
        <v>0</v>
      </c>
      <c r="AA1309" s="20">
        <v>0</v>
      </c>
      <c r="AB1309" s="20">
        <v>775775.39</v>
      </c>
      <c r="AC1309" t="s">
        <v>183</v>
      </c>
      <c r="AD1309" t="s">
        <v>290</v>
      </c>
      <c r="AE1309" s="702">
        <f t="shared" si="100"/>
        <v>43983</v>
      </c>
      <c r="AF1309" s="289">
        <v>1199801.1291698145</v>
      </c>
      <c r="AG1309">
        <f t="shared" si="101"/>
        <v>360</v>
      </c>
      <c r="AH1309" s="289">
        <f t="shared" si="102"/>
        <v>3332.7809143605959</v>
      </c>
      <c r="AJ1309" s="289">
        <f t="shared" si="103"/>
        <v>30</v>
      </c>
      <c r="AK1309" s="289">
        <f t="shared" si="104"/>
        <v>99983.427430817872</v>
      </c>
    </row>
    <row r="1310" spans="1:37">
      <c r="A1310" s="703" t="s">
        <v>2773</v>
      </c>
      <c r="B1310" s="703" t="s">
        <v>2311</v>
      </c>
      <c r="C1310" s="703" t="s">
        <v>332</v>
      </c>
      <c r="D1310" s="703" t="s">
        <v>334</v>
      </c>
      <c r="E1310" s="703" t="s">
        <v>334</v>
      </c>
      <c r="F1310" s="703" t="s">
        <v>335</v>
      </c>
      <c r="G1310" s="703" t="s">
        <v>2774</v>
      </c>
      <c r="H1310" s="703" t="s">
        <v>334</v>
      </c>
      <c r="I1310" s="703" t="s">
        <v>334</v>
      </c>
      <c r="J1310" s="703" t="s">
        <v>337</v>
      </c>
      <c r="K1310" s="704">
        <v>0</v>
      </c>
      <c r="L1310" s="703" t="s">
        <v>334</v>
      </c>
      <c r="M1310" s="702">
        <v>43861</v>
      </c>
      <c r="N1310" s="702">
        <v>44188</v>
      </c>
      <c r="O1310" s="703" t="s">
        <v>338</v>
      </c>
      <c r="P1310" s="20">
        <v>323549.18</v>
      </c>
      <c r="Q1310" s="20">
        <v>0</v>
      </c>
      <c r="R1310" s="20">
        <v>0</v>
      </c>
      <c r="S1310" s="20">
        <v>0</v>
      </c>
      <c r="T1310" s="20">
        <v>323549.18</v>
      </c>
      <c r="U1310" s="20">
        <v>312764.21000000002</v>
      </c>
      <c r="V1310" s="20">
        <v>-10784.97</v>
      </c>
      <c r="W1310" s="20">
        <v>-21569.94</v>
      </c>
      <c r="X1310" s="20">
        <v>-10784.97</v>
      </c>
      <c r="Y1310" s="20">
        <v>0</v>
      </c>
      <c r="Z1310" s="20">
        <v>0</v>
      </c>
      <c r="AA1310" s="20">
        <v>0</v>
      </c>
      <c r="AB1310" s="20">
        <v>301979.24</v>
      </c>
      <c r="AC1310" t="s">
        <v>183</v>
      </c>
      <c r="AD1310" t="s">
        <v>290</v>
      </c>
      <c r="AE1310" s="702">
        <f t="shared" si="100"/>
        <v>43983</v>
      </c>
      <c r="AF1310" s="289">
        <v>467035.99370925344</v>
      </c>
      <c r="AG1310">
        <f t="shared" si="101"/>
        <v>360</v>
      </c>
      <c r="AH1310" s="289">
        <f t="shared" si="102"/>
        <v>1297.3222047479262</v>
      </c>
      <c r="AJ1310" s="289">
        <f t="shared" si="103"/>
        <v>30</v>
      </c>
      <c r="AK1310" s="289">
        <f t="shared" si="104"/>
        <v>38919.666142437789</v>
      </c>
    </row>
    <row r="1311" spans="1:37">
      <c r="A1311" s="703" t="s">
        <v>2775</v>
      </c>
      <c r="B1311" s="703" t="s">
        <v>2311</v>
      </c>
      <c r="C1311" s="703" t="s">
        <v>332</v>
      </c>
      <c r="D1311" s="703" t="s">
        <v>334</v>
      </c>
      <c r="E1311" s="703" t="s">
        <v>334</v>
      </c>
      <c r="F1311" s="703" t="s">
        <v>335</v>
      </c>
      <c r="G1311" s="703" t="s">
        <v>2776</v>
      </c>
      <c r="H1311" s="703" t="s">
        <v>334</v>
      </c>
      <c r="I1311" s="703" t="s">
        <v>334</v>
      </c>
      <c r="J1311" s="703" t="s">
        <v>337</v>
      </c>
      <c r="K1311" s="704">
        <v>0</v>
      </c>
      <c r="L1311" s="703" t="s">
        <v>334</v>
      </c>
      <c r="M1311" s="702">
        <v>43496</v>
      </c>
      <c r="N1311" s="702">
        <v>44188</v>
      </c>
      <c r="O1311" s="703" t="s">
        <v>338</v>
      </c>
      <c r="P1311" s="20">
        <v>108090.6</v>
      </c>
      <c r="Q1311" s="20">
        <v>0</v>
      </c>
      <c r="R1311" s="20">
        <v>0</v>
      </c>
      <c r="S1311" s="20">
        <v>0</v>
      </c>
      <c r="T1311" s="20">
        <v>108090.6</v>
      </c>
      <c r="U1311" s="20">
        <v>104487.58</v>
      </c>
      <c r="V1311" s="20">
        <v>-3603.02</v>
      </c>
      <c r="W1311" s="20">
        <v>-7206.04</v>
      </c>
      <c r="X1311" s="20">
        <v>-3603.02</v>
      </c>
      <c r="Y1311" s="20">
        <v>0</v>
      </c>
      <c r="Z1311" s="20">
        <v>0</v>
      </c>
      <c r="AA1311" s="20">
        <v>0</v>
      </c>
      <c r="AB1311" s="20">
        <v>100884.56</v>
      </c>
      <c r="AC1311" t="s">
        <v>183</v>
      </c>
      <c r="AD1311" t="s">
        <v>290</v>
      </c>
      <c r="AE1311" s="702">
        <f t="shared" si="100"/>
        <v>43983</v>
      </c>
      <c r="AF1311" s="289">
        <v>156026.35983076648</v>
      </c>
      <c r="AG1311">
        <f t="shared" si="101"/>
        <v>360</v>
      </c>
      <c r="AH1311" s="289">
        <f t="shared" si="102"/>
        <v>433.40655508546246</v>
      </c>
      <c r="AJ1311" s="289">
        <f t="shared" si="103"/>
        <v>30</v>
      </c>
      <c r="AK1311" s="289">
        <f t="shared" si="104"/>
        <v>13002.196652563875</v>
      </c>
    </row>
    <row r="1312" spans="1:37">
      <c r="A1312" s="703" t="s">
        <v>2777</v>
      </c>
      <c r="B1312" s="703" t="s">
        <v>2311</v>
      </c>
      <c r="C1312" s="703" t="s">
        <v>332</v>
      </c>
      <c r="D1312" s="703" t="s">
        <v>334</v>
      </c>
      <c r="E1312" s="703" t="s">
        <v>334</v>
      </c>
      <c r="F1312" s="703" t="s">
        <v>335</v>
      </c>
      <c r="G1312" s="703" t="s">
        <v>2778</v>
      </c>
      <c r="H1312" s="703" t="s">
        <v>334</v>
      </c>
      <c r="I1312" s="703" t="s">
        <v>334</v>
      </c>
      <c r="J1312" s="703" t="s">
        <v>337</v>
      </c>
      <c r="K1312" s="704">
        <v>0</v>
      </c>
      <c r="L1312" s="703" t="s">
        <v>334</v>
      </c>
      <c r="M1312" s="702">
        <v>43616</v>
      </c>
      <c r="N1312" s="702">
        <v>44188</v>
      </c>
      <c r="O1312" s="703" t="s">
        <v>338</v>
      </c>
      <c r="P1312" s="20">
        <v>5065.0600000000004</v>
      </c>
      <c r="Q1312" s="20">
        <v>0</v>
      </c>
      <c r="R1312" s="20">
        <v>0</v>
      </c>
      <c r="S1312" s="20">
        <v>0</v>
      </c>
      <c r="T1312" s="20">
        <v>5065.0600000000004</v>
      </c>
      <c r="U1312" s="20">
        <v>4896.22</v>
      </c>
      <c r="V1312" s="20">
        <v>-168.84</v>
      </c>
      <c r="W1312" s="20">
        <v>-337.68</v>
      </c>
      <c r="X1312" s="20">
        <v>-168.84</v>
      </c>
      <c r="Y1312" s="20">
        <v>0</v>
      </c>
      <c r="Z1312" s="20">
        <v>0</v>
      </c>
      <c r="AA1312" s="20">
        <v>0</v>
      </c>
      <c r="AB1312" s="20">
        <v>4727.38</v>
      </c>
      <c r="AC1312" t="s">
        <v>183</v>
      </c>
      <c r="AD1312" t="s">
        <v>290</v>
      </c>
      <c r="AE1312" s="702">
        <f t="shared" si="100"/>
        <v>43983</v>
      </c>
      <c r="AF1312" s="289">
        <v>7311.3006507913005</v>
      </c>
      <c r="AG1312">
        <f t="shared" si="101"/>
        <v>360</v>
      </c>
      <c r="AH1312" s="289">
        <f t="shared" si="102"/>
        <v>20.309168474420279</v>
      </c>
      <c r="AJ1312" s="289">
        <f t="shared" si="103"/>
        <v>30</v>
      </c>
      <c r="AK1312" s="289">
        <f t="shared" si="104"/>
        <v>609.27505423260834</v>
      </c>
    </row>
    <row r="1313" spans="1:37">
      <c r="A1313" s="703" t="s">
        <v>2779</v>
      </c>
      <c r="B1313" s="703" t="s">
        <v>2311</v>
      </c>
      <c r="C1313" s="703" t="s">
        <v>332</v>
      </c>
      <c r="D1313" s="703" t="s">
        <v>334</v>
      </c>
      <c r="E1313" s="703" t="s">
        <v>334</v>
      </c>
      <c r="F1313" s="703" t="s">
        <v>335</v>
      </c>
      <c r="G1313" s="703" t="s">
        <v>2780</v>
      </c>
      <c r="H1313" s="703" t="s">
        <v>334</v>
      </c>
      <c r="I1313" s="703" t="s">
        <v>334</v>
      </c>
      <c r="J1313" s="703" t="s">
        <v>337</v>
      </c>
      <c r="K1313" s="704">
        <v>0</v>
      </c>
      <c r="L1313" s="703" t="s">
        <v>334</v>
      </c>
      <c r="M1313" s="702">
        <v>43616</v>
      </c>
      <c r="N1313" s="702">
        <v>44188</v>
      </c>
      <c r="O1313" s="703" t="s">
        <v>338</v>
      </c>
      <c r="P1313" s="20">
        <v>641.75</v>
      </c>
      <c r="Q1313" s="20">
        <v>0</v>
      </c>
      <c r="R1313" s="20">
        <v>0</v>
      </c>
      <c r="S1313" s="20">
        <v>0</v>
      </c>
      <c r="T1313" s="20">
        <v>641.75</v>
      </c>
      <c r="U1313" s="20">
        <v>620.36</v>
      </c>
      <c r="V1313" s="20">
        <v>-21.39</v>
      </c>
      <c r="W1313" s="20">
        <v>-42.78</v>
      </c>
      <c r="X1313" s="20">
        <v>-21.39</v>
      </c>
      <c r="Y1313" s="20">
        <v>0</v>
      </c>
      <c r="Z1313" s="20">
        <v>0</v>
      </c>
      <c r="AA1313" s="20">
        <v>0</v>
      </c>
      <c r="AB1313" s="20">
        <v>598.97</v>
      </c>
      <c r="AC1313" t="s">
        <v>183</v>
      </c>
      <c r="AD1313" t="s">
        <v>290</v>
      </c>
      <c r="AE1313" s="702">
        <f t="shared" si="100"/>
        <v>43983</v>
      </c>
      <c r="AF1313" s="289">
        <v>926.35174956373999</v>
      </c>
      <c r="AG1313">
        <f t="shared" si="101"/>
        <v>360</v>
      </c>
      <c r="AH1313" s="289">
        <f t="shared" si="102"/>
        <v>2.573199304343722</v>
      </c>
      <c r="AJ1313" s="289">
        <f t="shared" si="103"/>
        <v>30</v>
      </c>
      <c r="AK1313" s="289">
        <f t="shared" si="104"/>
        <v>77.195979130311656</v>
      </c>
    </row>
    <row r="1314" spans="1:37">
      <c r="A1314" s="703" t="s">
        <v>2781</v>
      </c>
      <c r="B1314" s="703" t="s">
        <v>2311</v>
      </c>
      <c r="C1314" s="703" t="s">
        <v>332</v>
      </c>
      <c r="D1314" s="703" t="s">
        <v>334</v>
      </c>
      <c r="E1314" s="703" t="s">
        <v>334</v>
      </c>
      <c r="F1314" s="703" t="s">
        <v>335</v>
      </c>
      <c r="G1314" s="703" t="s">
        <v>2782</v>
      </c>
      <c r="H1314" s="703" t="s">
        <v>334</v>
      </c>
      <c r="I1314" s="703" t="s">
        <v>334</v>
      </c>
      <c r="J1314" s="703" t="s">
        <v>337</v>
      </c>
      <c r="K1314" s="704">
        <v>0</v>
      </c>
      <c r="L1314" s="703" t="s">
        <v>334</v>
      </c>
      <c r="M1314" s="702">
        <v>43646</v>
      </c>
      <c r="N1314" s="702">
        <v>44188</v>
      </c>
      <c r="O1314" s="703" t="s">
        <v>338</v>
      </c>
      <c r="P1314" s="20">
        <v>57.89</v>
      </c>
      <c r="Q1314" s="20">
        <v>0</v>
      </c>
      <c r="R1314" s="20">
        <v>0</v>
      </c>
      <c r="S1314" s="20">
        <v>0</v>
      </c>
      <c r="T1314" s="20">
        <v>57.89</v>
      </c>
      <c r="U1314" s="20">
        <v>55.96</v>
      </c>
      <c r="V1314" s="20">
        <v>-1.93</v>
      </c>
      <c r="W1314" s="20">
        <v>-3.86</v>
      </c>
      <c r="X1314" s="20">
        <v>-1.93</v>
      </c>
      <c r="Y1314" s="20">
        <v>0</v>
      </c>
      <c r="Z1314" s="20">
        <v>0</v>
      </c>
      <c r="AA1314" s="20">
        <v>0</v>
      </c>
      <c r="AB1314" s="20">
        <v>54.03</v>
      </c>
      <c r="AC1314" t="s">
        <v>183</v>
      </c>
      <c r="AD1314" t="s">
        <v>290</v>
      </c>
      <c r="AE1314" s="702">
        <f t="shared" si="100"/>
        <v>43983</v>
      </c>
      <c r="AF1314" s="289">
        <v>83.562918242687829</v>
      </c>
      <c r="AG1314">
        <f t="shared" si="101"/>
        <v>360</v>
      </c>
      <c r="AH1314" s="289">
        <f t="shared" si="102"/>
        <v>0.23211921734079952</v>
      </c>
      <c r="AJ1314" s="289">
        <f t="shared" si="103"/>
        <v>30</v>
      </c>
      <c r="AK1314" s="289">
        <f t="shared" si="104"/>
        <v>6.9635765202239854</v>
      </c>
    </row>
    <row r="1315" spans="1:37">
      <c r="A1315" s="703" t="s">
        <v>2783</v>
      </c>
      <c r="B1315" s="703" t="s">
        <v>2311</v>
      </c>
      <c r="C1315" s="703" t="s">
        <v>332</v>
      </c>
      <c r="D1315" s="703" t="s">
        <v>334</v>
      </c>
      <c r="E1315" s="703" t="s">
        <v>334</v>
      </c>
      <c r="F1315" s="703" t="s">
        <v>335</v>
      </c>
      <c r="G1315" s="703" t="s">
        <v>2784</v>
      </c>
      <c r="H1315" s="703" t="s">
        <v>334</v>
      </c>
      <c r="I1315" s="703" t="s">
        <v>334</v>
      </c>
      <c r="J1315" s="703" t="s">
        <v>337</v>
      </c>
      <c r="K1315" s="704">
        <v>0</v>
      </c>
      <c r="L1315" s="703" t="s">
        <v>334</v>
      </c>
      <c r="M1315" s="702">
        <v>43616</v>
      </c>
      <c r="N1315" s="702">
        <v>44188</v>
      </c>
      <c r="O1315" s="703" t="s">
        <v>338</v>
      </c>
      <c r="P1315" s="20">
        <v>1051.06</v>
      </c>
      <c r="Q1315" s="20">
        <v>0</v>
      </c>
      <c r="R1315" s="20">
        <v>0</v>
      </c>
      <c r="S1315" s="20">
        <v>0</v>
      </c>
      <c r="T1315" s="20">
        <v>1051.06</v>
      </c>
      <c r="U1315" s="20">
        <v>1016.02</v>
      </c>
      <c r="V1315" s="20">
        <v>-35.04</v>
      </c>
      <c r="W1315" s="20">
        <v>-70.08</v>
      </c>
      <c r="X1315" s="20">
        <v>-35.04</v>
      </c>
      <c r="Y1315" s="20">
        <v>0</v>
      </c>
      <c r="Z1315" s="20">
        <v>0</v>
      </c>
      <c r="AA1315" s="20">
        <v>0</v>
      </c>
      <c r="AB1315" s="20">
        <v>980.98</v>
      </c>
      <c r="AC1315" t="s">
        <v>183</v>
      </c>
      <c r="AD1315" t="s">
        <v>290</v>
      </c>
      <c r="AE1315" s="702">
        <f t="shared" si="100"/>
        <v>43983</v>
      </c>
      <c r="AF1315" s="289">
        <v>1517.1815658690525</v>
      </c>
      <c r="AG1315">
        <f t="shared" si="101"/>
        <v>360</v>
      </c>
      <c r="AH1315" s="289">
        <f t="shared" si="102"/>
        <v>4.2143932385251457</v>
      </c>
      <c r="AJ1315" s="289">
        <f t="shared" si="103"/>
        <v>30</v>
      </c>
      <c r="AK1315" s="289">
        <f t="shared" si="104"/>
        <v>126.43179715575437</v>
      </c>
    </row>
    <row r="1316" spans="1:37">
      <c r="A1316" s="703" t="s">
        <v>2785</v>
      </c>
      <c r="B1316" s="703" t="s">
        <v>2311</v>
      </c>
      <c r="C1316" s="703" t="s">
        <v>332</v>
      </c>
      <c r="D1316" s="703" t="s">
        <v>334</v>
      </c>
      <c r="E1316" s="703" t="s">
        <v>334</v>
      </c>
      <c r="F1316" s="703" t="s">
        <v>335</v>
      </c>
      <c r="G1316" s="703" t="s">
        <v>2786</v>
      </c>
      <c r="H1316" s="703" t="s">
        <v>334</v>
      </c>
      <c r="I1316" s="703" t="s">
        <v>334</v>
      </c>
      <c r="J1316" s="703" t="s">
        <v>337</v>
      </c>
      <c r="K1316" s="704">
        <v>0</v>
      </c>
      <c r="L1316" s="703" t="s">
        <v>334</v>
      </c>
      <c r="M1316" s="702">
        <v>43708</v>
      </c>
      <c r="N1316" s="702">
        <v>44188</v>
      </c>
      <c r="O1316" s="703" t="s">
        <v>338</v>
      </c>
      <c r="P1316" s="20">
        <v>395.46</v>
      </c>
      <c r="Q1316" s="20">
        <v>0</v>
      </c>
      <c r="R1316" s="20">
        <v>0</v>
      </c>
      <c r="S1316" s="20">
        <v>0</v>
      </c>
      <c r="T1316" s="20">
        <v>395.46</v>
      </c>
      <c r="U1316" s="20">
        <v>382.28</v>
      </c>
      <c r="V1316" s="20">
        <v>-13.18</v>
      </c>
      <c r="W1316" s="20">
        <v>-26.36</v>
      </c>
      <c r="X1316" s="20">
        <v>-13.18</v>
      </c>
      <c r="Y1316" s="20">
        <v>0</v>
      </c>
      <c r="Z1316" s="20">
        <v>0</v>
      </c>
      <c r="AA1316" s="20">
        <v>0</v>
      </c>
      <c r="AB1316" s="20">
        <v>369.1</v>
      </c>
      <c r="AC1316" t="s">
        <v>183</v>
      </c>
      <c r="AD1316" t="s">
        <v>290</v>
      </c>
      <c r="AE1316" s="702">
        <f t="shared" si="100"/>
        <v>43983</v>
      </c>
      <c r="AF1316" s="289">
        <v>570.83765155041158</v>
      </c>
      <c r="AG1316">
        <f t="shared" si="101"/>
        <v>360</v>
      </c>
      <c r="AH1316" s="289">
        <f t="shared" si="102"/>
        <v>1.5856601431955877</v>
      </c>
      <c r="AJ1316" s="289">
        <f t="shared" si="103"/>
        <v>30</v>
      </c>
      <c r="AK1316" s="289">
        <f t="shared" si="104"/>
        <v>47.569804295867627</v>
      </c>
    </row>
    <row r="1317" spans="1:37">
      <c r="A1317" s="703" t="s">
        <v>2787</v>
      </c>
      <c r="B1317" s="703" t="s">
        <v>2311</v>
      </c>
      <c r="C1317" s="703" t="s">
        <v>332</v>
      </c>
      <c r="D1317" s="703" t="s">
        <v>334</v>
      </c>
      <c r="E1317" s="703" t="s">
        <v>334</v>
      </c>
      <c r="F1317" s="703" t="s">
        <v>335</v>
      </c>
      <c r="G1317" s="703" t="s">
        <v>2788</v>
      </c>
      <c r="H1317" s="703" t="s">
        <v>334</v>
      </c>
      <c r="I1317" s="703" t="s">
        <v>334</v>
      </c>
      <c r="J1317" s="703" t="s">
        <v>337</v>
      </c>
      <c r="K1317" s="704">
        <v>0</v>
      </c>
      <c r="L1317" s="703" t="s">
        <v>334</v>
      </c>
      <c r="M1317" s="702">
        <v>43616</v>
      </c>
      <c r="N1317" s="702">
        <v>44188</v>
      </c>
      <c r="O1317" s="703" t="s">
        <v>338</v>
      </c>
      <c r="P1317" s="20">
        <v>270.02</v>
      </c>
      <c r="Q1317" s="20">
        <v>0</v>
      </c>
      <c r="R1317" s="20">
        <v>0</v>
      </c>
      <c r="S1317" s="20">
        <v>0</v>
      </c>
      <c r="T1317" s="20">
        <v>270.02</v>
      </c>
      <c r="U1317" s="20">
        <v>261.02</v>
      </c>
      <c r="V1317" s="20">
        <v>-9</v>
      </c>
      <c r="W1317" s="20">
        <v>-18</v>
      </c>
      <c r="X1317" s="20">
        <v>-9</v>
      </c>
      <c r="Y1317" s="20">
        <v>0</v>
      </c>
      <c r="Z1317" s="20">
        <v>0</v>
      </c>
      <c r="AA1317" s="20">
        <v>0</v>
      </c>
      <c r="AB1317" s="20">
        <v>252.02</v>
      </c>
      <c r="AC1317" t="s">
        <v>183</v>
      </c>
      <c r="AD1317" t="s">
        <v>290</v>
      </c>
      <c r="AE1317" s="702">
        <f t="shared" si="100"/>
        <v>43983</v>
      </c>
      <c r="AF1317" s="289">
        <v>389.76782145259222</v>
      </c>
      <c r="AG1317">
        <f t="shared" si="101"/>
        <v>360</v>
      </c>
      <c r="AH1317" s="289">
        <f t="shared" si="102"/>
        <v>1.0826883929238673</v>
      </c>
      <c r="AJ1317" s="289">
        <f t="shared" si="103"/>
        <v>30</v>
      </c>
      <c r="AK1317" s="289">
        <f t="shared" si="104"/>
        <v>32.48065178771602</v>
      </c>
    </row>
    <row r="1318" spans="1:37">
      <c r="A1318" s="703" t="s">
        <v>2789</v>
      </c>
      <c r="B1318" s="703" t="s">
        <v>2311</v>
      </c>
      <c r="C1318" s="703" t="s">
        <v>390</v>
      </c>
      <c r="D1318" s="703" t="s">
        <v>334</v>
      </c>
      <c r="E1318" s="703" t="s">
        <v>334</v>
      </c>
      <c r="F1318" s="703" t="s">
        <v>335</v>
      </c>
      <c r="G1318" s="703" t="s">
        <v>2790</v>
      </c>
      <c r="H1318" s="703" t="s">
        <v>334</v>
      </c>
      <c r="I1318" s="703" t="s">
        <v>334</v>
      </c>
      <c r="J1318" s="703" t="s">
        <v>337</v>
      </c>
      <c r="K1318" s="704">
        <v>0</v>
      </c>
      <c r="L1318" s="703" t="s">
        <v>334</v>
      </c>
      <c r="M1318" s="702">
        <v>43616</v>
      </c>
      <c r="N1318" s="702">
        <v>44188</v>
      </c>
      <c r="O1318" s="703" t="s">
        <v>338</v>
      </c>
      <c r="P1318" s="20">
        <v>1272.43</v>
      </c>
      <c r="Q1318" s="20">
        <v>0</v>
      </c>
      <c r="R1318" s="20">
        <v>0</v>
      </c>
      <c r="S1318" s="20">
        <v>0</v>
      </c>
      <c r="T1318" s="20">
        <v>1272.43</v>
      </c>
      <c r="U1318" s="20">
        <v>1230.02</v>
      </c>
      <c r="V1318" s="20">
        <v>-42.41</v>
      </c>
      <c r="W1318" s="20">
        <v>-84.82</v>
      </c>
      <c r="X1318" s="20">
        <v>-42.41</v>
      </c>
      <c r="Y1318" s="20">
        <v>0</v>
      </c>
      <c r="Z1318" s="20">
        <v>0</v>
      </c>
      <c r="AA1318" s="20">
        <v>0</v>
      </c>
      <c r="AB1318" s="20">
        <v>1187.6099999999999</v>
      </c>
      <c r="AC1318" t="s">
        <v>188</v>
      </c>
      <c r="AD1318" t="s">
        <v>290</v>
      </c>
      <c r="AE1318" s="702">
        <f t="shared" si="100"/>
        <v>43983</v>
      </c>
      <c r="AF1318" s="289">
        <v>1836.7242020995552</v>
      </c>
      <c r="AG1318">
        <f t="shared" si="101"/>
        <v>360</v>
      </c>
      <c r="AH1318" s="289">
        <f t="shared" si="102"/>
        <v>5.1020116724987643</v>
      </c>
      <c r="AJ1318" s="289">
        <f t="shared" si="103"/>
        <v>30</v>
      </c>
      <c r="AK1318" s="289">
        <f t="shared" si="104"/>
        <v>153.06035017496293</v>
      </c>
    </row>
    <row r="1319" spans="1:37">
      <c r="A1319" s="703" t="s">
        <v>2791</v>
      </c>
      <c r="B1319" s="703" t="s">
        <v>2311</v>
      </c>
      <c r="C1319" s="703" t="s">
        <v>390</v>
      </c>
      <c r="D1319" s="703" t="s">
        <v>334</v>
      </c>
      <c r="E1319" s="703" t="s">
        <v>334</v>
      </c>
      <c r="F1319" s="703" t="s">
        <v>335</v>
      </c>
      <c r="G1319" s="703" t="s">
        <v>2792</v>
      </c>
      <c r="H1319" s="703" t="s">
        <v>334</v>
      </c>
      <c r="I1319" s="703" t="s">
        <v>334</v>
      </c>
      <c r="J1319" s="703" t="s">
        <v>337</v>
      </c>
      <c r="K1319" s="704">
        <v>0</v>
      </c>
      <c r="L1319" s="703" t="s">
        <v>334</v>
      </c>
      <c r="M1319" s="702">
        <v>43616</v>
      </c>
      <c r="N1319" s="702">
        <v>44188</v>
      </c>
      <c r="O1319" s="703" t="s">
        <v>338</v>
      </c>
      <c r="P1319" s="20">
        <v>2423.88</v>
      </c>
      <c r="Q1319" s="20">
        <v>0</v>
      </c>
      <c r="R1319" s="20">
        <v>0</v>
      </c>
      <c r="S1319" s="20">
        <v>0</v>
      </c>
      <c r="T1319" s="20">
        <v>2423.88</v>
      </c>
      <c r="U1319" s="20">
        <v>2343.08</v>
      </c>
      <c r="V1319" s="20">
        <v>-80.8</v>
      </c>
      <c r="W1319" s="20">
        <v>-161.6</v>
      </c>
      <c r="X1319" s="20">
        <v>-80.8</v>
      </c>
      <c r="Y1319" s="20">
        <v>0</v>
      </c>
      <c r="Z1319" s="20">
        <v>0</v>
      </c>
      <c r="AA1319" s="20">
        <v>0</v>
      </c>
      <c r="AB1319" s="20">
        <v>2262.2800000000002</v>
      </c>
      <c r="AC1319" t="s">
        <v>188</v>
      </c>
      <c r="AD1319" t="s">
        <v>290</v>
      </c>
      <c r="AE1319" s="702">
        <f t="shared" si="100"/>
        <v>43983</v>
      </c>
      <c r="AF1319" s="289">
        <v>3498.8164841956495</v>
      </c>
      <c r="AG1319">
        <f t="shared" si="101"/>
        <v>360</v>
      </c>
      <c r="AH1319" s="289">
        <f t="shared" si="102"/>
        <v>9.7189346783212489</v>
      </c>
      <c r="AJ1319" s="289">
        <f t="shared" si="103"/>
        <v>30</v>
      </c>
      <c r="AK1319" s="289">
        <f t="shared" si="104"/>
        <v>291.56804034963744</v>
      </c>
    </row>
    <row r="1320" spans="1:37">
      <c r="A1320" s="703" t="s">
        <v>2793</v>
      </c>
      <c r="B1320" s="703" t="s">
        <v>2311</v>
      </c>
      <c r="C1320" s="703" t="s">
        <v>390</v>
      </c>
      <c r="D1320" s="703" t="s">
        <v>334</v>
      </c>
      <c r="E1320" s="703" t="s">
        <v>334</v>
      </c>
      <c r="F1320" s="703" t="s">
        <v>335</v>
      </c>
      <c r="G1320" s="703" t="s">
        <v>2794</v>
      </c>
      <c r="H1320" s="703" t="s">
        <v>334</v>
      </c>
      <c r="I1320" s="703" t="s">
        <v>334</v>
      </c>
      <c r="J1320" s="703" t="s">
        <v>337</v>
      </c>
      <c r="K1320" s="704">
        <v>0</v>
      </c>
      <c r="L1320" s="703" t="s">
        <v>334</v>
      </c>
      <c r="M1320" s="702">
        <v>43646</v>
      </c>
      <c r="N1320" s="702">
        <v>44188</v>
      </c>
      <c r="O1320" s="703" t="s">
        <v>338</v>
      </c>
      <c r="P1320" s="20">
        <v>866.8</v>
      </c>
      <c r="Q1320" s="20">
        <v>0</v>
      </c>
      <c r="R1320" s="20">
        <v>0</v>
      </c>
      <c r="S1320" s="20">
        <v>0</v>
      </c>
      <c r="T1320" s="20">
        <v>866.8</v>
      </c>
      <c r="U1320" s="20">
        <v>837.91</v>
      </c>
      <c r="V1320" s="20">
        <v>-28.89</v>
      </c>
      <c r="W1320" s="20">
        <v>-57.78</v>
      </c>
      <c r="X1320" s="20">
        <v>-28.89</v>
      </c>
      <c r="Y1320" s="20">
        <v>0</v>
      </c>
      <c r="Z1320" s="20">
        <v>0</v>
      </c>
      <c r="AA1320" s="20">
        <v>0</v>
      </c>
      <c r="AB1320" s="20">
        <v>809.02</v>
      </c>
      <c r="AC1320" t="s">
        <v>188</v>
      </c>
      <c r="AD1320" t="s">
        <v>290</v>
      </c>
      <c r="AE1320" s="702">
        <f t="shared" si="100"/>
        <v>43983</v>
      </c>
      <c r="AF1320" s="289">
        <v>1251.2063833608877</v>
      </c>
      <c r="AG1320">
        <f t="shared" si="101"/>
        <v>360</v>
      </c>
      <c r="AH1320" s="289">
        <f t="shared" si="102"/>
        <v>3.4755732871135767</v>
      </c>
      <c r="AJ1320" s="289">
        <f t="shared" si="103"/>
        <v>30</v>
      </c>
      <c r="AK1320" s="289">
        <f t="shared" si="104"/>
        <v>104.2671986134073</v>
      </c>
    </row>
    <row r="1321" spans="1:37">
      <c r="A1321" s="703" t="s">
        <v>2795</v>
      </c>
      <c r="B1321" s="703" t="s">
        <v>2311</v>
      </c>
      <c r="C1321" s="703" t="s">
        <v>390</v>
      </c>
      <c r="D1321" s="703" t="s">
        <v>334</v>
      </c>
      <c r="E1321" s="703" t="s">
        <v>334</v>
      </c>
      <c r="F1321" s="703" t="s">
        <v>335</v>
      </c>
      <c r="G1321" s="703" t="s">
        <v>2796</v>
      </c>
      <c r="H1321" s="703" t="s">
        <v>334</v>
      </c>
      <c r="I1321" s="703" t="s">
        <v>334</v>
      </c>
      <c r="J1321" s="703" t="s">
        <v>337</v>
      </c>
      <c r="K1321" s="704">
        <v>0</v>
      </c>
      <c r="L1321" s="703" t="s">
        <v>334</v>
      </c>
      <c r="M1321" s="702">
        <v>43616</v>
      </c>
      <c r="N1321" s="702">
        <v>44188</v>
      </c>
      <c r="O1321" s="703" t="s">
        <v>338</v>
      </c>
      <c r="P1321" s="20">
        <v>6317.73</v>
      </c>
      <c r="Q1321" s="20">
        <v>0</v>
      </c>
      <c r="R1321" s="20">
        <v>0</v>
      </c>
      <c r="S1321" s="20">
        <v>0</v>
      </c>
      <c r="T1321" s="20">
        <v>6317.73</v>
      </c>
      <c r="U1321" s="20">
        <v>6107.14</v>
      </c>
      <c r="V1321" s="20">
        <v>-210.59</v>
      </c>
      <c r="W1321" s="20">
        <v>-421.18</v>
      </c>
      <c r="X1321" s="20">
        <v>-210.59</v>
      </c>
      <c r="Y1321" s="20">
        <v>0</v>
      </c>
      <c r="Z1321" s="20">
        <v>0</v>
      </c>
      <c r="AA1321" s="20">
        <v>0</v>
      </c>
      <c r="AB1321" s="20">
        <v>5896.55</v>
      </c>
      <c r="AC1321" t="s">
        <v>188</v>
      </c>
      <c r="AD1321" t="s">
        <v>290</v>
      </c>
      <c r="AE1321" s="702">
        <f t="shared" si="100"/>
        <v>43983</v>
      </c>
      <c r="AF1321" s="289">
        <v>9119.5017355221298</v>
      </c>
      <c r="AG1321">
        <f t="shared" si="101"/>
        <v>360</v>
      </c>
      <c r="AH1321" s="289">
        <f t="shared" si="102"/>
        <v>25.331949265339251</v>
      </c>
      <c r="AJ1321" s="289">
        <f t="shared" si="103"/>
        <v>30</v>
      </c>
      <c r="AK1321" s="289">
        <f t="shared" si="104"/>
        <v>759.95847796017756</v>
      </c>
    </row>
    <row r="1322" spans="1:37">
      <c r="A1322" s="703" t="s">
        <v>2797</v>
      </c>
      <c r="B1322" s="703" t="s">
        <v>2311</v>
      </c>
      <c r="C1322" s="703" t="s">
        <v>390</v>
      </c>
      <c r="D1322" s="703" t="s">
        <v>334</v>
      </c>
      <c r="E1322" s="703" t="s">
        <v>334</v>
      </c>
      <c r="F1322" s="703" t="s">
        <v>335</v>
      </c>
      <c r="G1322" s="703" t="s">
        <v>2798</v>
      </c>
      <c r="H1322" s="703" t="s">
        <v>334</v>
      </c>
      <c r="I1322" s="703" t="s">
        <v>334</v>
      </c>
      <c r="J1322" s="703" t="s">
        <v>337</v>
      </c>
      <c r="K1322" s="704">
        <v>0</v>
      </c>
      <c r="L1322" s="703" t="s">
        <v>334</v>
      </c>
      <c r="M1322" s="702">
        <v>43830</v>
      </c>
      <c r="N1322" s="702">
        <v>44188</v>
      </c>
      <c r="O1322" s="703" t="s">
        <v>338</v>
      </c>
      <c r="P1322" s="20">
        <v>56314.94</v>
      </c>
      <c r="Q1322" s="20">
        <v>0</v>
      </c>
      <c r="R1322" s="20">
        <v>0</v>
      </c>
      <c r="S1322" s="20">
        <v>0</v>
      </c>
      <c r="T1322" s="20">
        <v>56314.94</v>
      </c>
      <c r="U1322" s="20">
        <v>54437.78</v>
      </c>
      <c r="V1322" s="20">
        <v>-1877.16</v>
      </c>
      <c r="W1322" s="20">
        <v>-3754.32</v>
      </c>
      <c r="X1322" s="20">
        <v>-1877.16</v>
      </c>
      <c r="Y1322" s="20">
        <v>0</v>
      </c>
      <c r="Z1322" s="20">
        <v>0</v>
      </c>
      <c r="AA1322" s="20">
        <v>0</v>
      </c>
      <c r="AB1322" s="20">
        <v>52560.62</v>
      </c>
      <c r="AC1322" t="s">
        <v>188</v>
      </c>
      <c r="AD1322" t="s">
        <v>290</v>
      </c>
      <c r="AE1322" s="702">
        <f t="shared" si="100"/>
        <v>43983</v>
      </c>
      <c r="AF1322" s="289">
        <v>81289.354414611676</v>
      </c>
      <c r="AG1322">
        <f t="shared" si="101"/>
        <v>360</v>
      </c>
      <c r="AH1322" s="289">
        <f t="shared" si="102"/>
        <v>225.80376226281021</v>
      </c>
      <c r="AJ1322" s="289">
        <f t="shared" si="103"/>
        <v>30</v>
      </c>
      <c r="AK1322" s="289">
        <f t="shared" si="104"/>
        <v>6774.1128678843061</v>
      </c>
    </row>
    <row r="1323" spans="1:37">
      <c r="A1323" s="703" t="s">
        <v>2799</v>
      </c>
      <c r="B1323" s="703" t="s">
        <v>2311</v>
      </c>
      <c r="C1323" s="703" t="s">
        <v>390</v>
      </c>
      <c r="D1323" s="703" t="s">
        <v>334</v>
      </c>
      <c r="E1323" s="703" t="s">
        <v>334</v>
      </c>
      <c r="F1323" s="703" t="s">
        <v>335</v>
      </c>
      <c r="G1323" s="703" t="s">
        <v>2800</v>
      </c>
      <c r="H1323" s="703" t="s">
        <v>334</v>
      </c>
      <c r="I1323" s="703" t="s">
        <v>334</v>
      </c>
      <c r="J1323" s="703" t="s">
        <v>337</v>
      </c>
      <c r="K1323" s="704">
        <v>0</v>
      </c>
      <c r="L1323" s="703" t="s">
        <v>334</v>
      </c>
      <c r="M1323" s="702">
        <v>43830</v>
      </c>
      <c r="N1323" s="702">
        <v>44188</v>
      </c>
      <c r="O1323" s="703" t="s">
        <v>338</v>
      </c>
      <c r="P1323" s="20">
        <v>55014.09</v>
      </c>
      <c r="Q1323" s="20">
        <v>0</v>
      </c>
      <c r="R1323" s="20">
        <v>0</v>
      </c>
      <c r="S1323" s="20">
        <v>0</v>
      </c>
      <c r="T1323" s="20">
        <v>55014.09</v>
      </c>
      <c r="U1323" s="20">
        <v>53180.29</v>
      </c>
      <c r="V1323" s="20">
        <v>-1833.8</v>
      </c>
      <c r="W1323" s="20">
        <v>-3667.6</v>
      </c>
      <c r="X1323" s="20">
        <v>-1833.8</v>
      </c>
      <c r="Y1323" s="20">
        <v>0</v>
      </c>
      <c r="Z1323" s="20">
        <v>0</v>
      </c>
      <c r="AA1323" s="20">
        <v>0</v>
      </c>
      <c r="AB1323" s="20">
        <v>51346.49</v>
      </c>
      <c r="AC1323" t="s">
        <v>188</v>
      </c>
      <c r="AD1323" t="s">
        <v>290</v>
      </c>
      <c r="AE1323" s="702">
        <f t="shared" si="100"/>
        <v>43983</v>
      </c>
      <c r="AF1323" s="289">
        <v>79411.606579130574</v>
      </c>
      <c r="AG1323">
        <f t="shared" si="101"/>
        <v>360</v>
      </c>
      <c r="AH1323" s="289">
        <f t="shared" si="102"/>
        <v>220.58779605314049</v>
      </c>
      <c r="AJ1323" s="289">
        <f t="shared" si="103"/>
        <v>30</v>
      </c>
      <c r="AK1323" s="289">
        <f t="shared" si="104"/>
        <v>6617.6338815942145</v>
      </c>
    </row>
    <row r="1324" spans="1:37">
      <c r="A1324" s="703" t="s">
        <v>2801</v>
      </c>
      <c r="B1324" s="703" t="s">
        <v>2311</v>
      </c>
      <c r="C1324" s="703" t="s">
        <v>390</v>
      </c>
      <c r="D1324" s="703" t="s">
        <v>334</v>
      </c>
      <c r="E1324" s="703" t="s">
        <v>334</v>
      </c>
      <c r="F1324" s="703" t="s">
        <v>335</v>
      </c>
      <c r="G1324" s="703" t="s">
        <v>2802</v>
      </c>
      <c r="H1324" s="703" t="s">
        <v>334</v>
      </c>
      <c r="I1324" s="703" t="s">
        <v>334</v>
      </c>
      <c r="J1324" s="703" t="s">
        <v>337</v>
      </c>
      <c r="K1324" s="704">
        <v>0</v>
      </c>
      <c r="L1324" s="703" t="s">
        <v>334</v>
      </c>
      <c r="M1324" s="702">
        <v>43708</v>
      </c>
      <c r="N1324" s="702">
        <v>44188</v>
      </c>
      <c r="O1324" s="703" t="s">
        <v>338</v>
      </c>
      <c r="P1324" s="20">
        <v>2679.04</v>
      </c>
      <c r="Q1324" s="20">
        <v>0</v>
      </c>
      <c r="R1324" s="20">
        <v>0</v>
      </c>
      <c r="S1324" s="20">
        <v>0</v>
      </c>
      <c r="T1324" s="20">
        <v>2679.04</v>
      </c>
      <c r="U1324" s="20">
        <v>2589.7399999999998</v>
      </c>
      <c r="V1324" s="20">
        <v>-89.3</v>
      </c>
      <c r="W1324" s="20">
        <v>-178.6</v>
      </c>
      <c r="X1324" s="20">
        <v>-89.3</v>
      </c>
      <c r="Y1324" s="20">
        <v>0</v>
      </c>
      <c r="Z1324" s="20">
        <v>0</v>
      </c>
      <c r="AA1324" s="20">
        <v>0</v>
      </c>
      <c r="AB1324" s="20">
        <v>2500.44</v>
      </c>
      <c r="AC1324" t="s">
        <v>188</v>
      </c>
      <c r="AD1324" t="s">
        <v>290</v>
      </c>
      <c r="AE1324" s="702">
        <f t="shared" si="100"/>
        <v>43983</v>
      </c>
      <c r="AF1324" s="289">
        <v>3867.1342285177125</v>
      </c>
      <c r="AG1324">
        <f t="shared" si="101"/>
        <v>360</v>
      </c>
      <c r="AH1324" s="289">
        <f t="shared" si="102"/>
        <v>10.742039523660312</v>
      </c>
      <c r="AJ1324" s="289">
        <f t="shared" si="103"/>
        <v>30</v>
      </c>
      <c r="AK1324" s="289">
        <f t="shared" si="104"/>
        <v>322.26118570980935</v>
      </c>
    </row>
    <row r="1325" spans="1:37">
      <c r="A1325" s="703" t="s">
        <v>2803</v>
      </c>
      <c r="B1325" s="703" t="s">
        <v>2311</v>
      </c>
      <c r="C1325" s="703" t="s">
        <v>574</v>
      </c>
      <c r="D1325" s="703" t="s">
        <v>334</v>
      </c>
      <c r="E1325" s="703" t="s">
        <v>334</v>
      </c>
      <c r="F1325" s="703" t="s">
        <v>335</v>
      </c>
      <c r="G1325" s="703" t="s">
        <v>2804</v>
      </c>
      <c r="H1325" s="703" t="s">
        <v>334</v>
      </c>
      <c r="I1325" s="703" t="s">
        <v>334</v>
      </c>
      <c r="J1325" s="703" t="s">
        <v>577</v>
      </c>
      <c r="K1325" s="704">
        <v>0</v>
      </c>
      <c r="L1325" s="703" t="s">
        <v>334</v>
      </c>
      <c r="M1325" s="702">
        <v>43616</v>
      </c>
      <c r="N1325" s="702">
        <v>44188</v>
      </c>
      <c r="O1325" s="703" t="s">
        <v>338</v>
      </c>
      <c r="P1325" s="20">
        <v>10484.620000000001</v>
      </c>
      <c r="Q1325" s="20">
        <v>0</v>
      </c>
      <c r="R1325" s="20">
        <v>0</v>
      </c>
      <c r="S1325" s="20">
        <v>0</v>
      </c>
      <c r="T1325" s="20">
        <v>10484.620000000001</v>
      </c>
      <c r="U1325" s="20">
        <v>10135.129999999999</v>
      </c>
      <c r="V1325" s="20">
        <v>-349.49</v>
      </c>
      <c r="W1325" s="20">
        <v>-698.98</v>
      </c>
      <c r="X1325" s="20">
        <v>-349.49</v>
      </c>
      <c r="Y1325" s="20">
        <v>0</v>
      </c>
      <c r="Z1325" s="20">
        <v>0</v>
      </c>
      <c r="AA1325" s="20">
        <v>0</v>
      </c>
      <c r="AB1325" s="20">
        <v>9785.64</v>
      </c>
      <c r="AC1325" t="s">
        <v>578</v>
      </c>
      <c r="AD1325" t="s">
        <v>290</v>
      </c>
      <c r="AE1325" s="702">
        <f t="shared" si="100"/>
        <v>43983</v>
      </c>
      <c r="AF1325" s="289">
        <v>15134.314110652092</v>
      </c>
      <c r="AG1325">
        <f t="shared" si="101"/>
        <v>360</v>
      </c>
      <c r="AH1325" s="289">
        <f t="shared" si="102"/>
        <v>42.039761418478037</v>
      </c>
      <c r="AJ1325" s="289">
        <f t="shared" si="103"/>
        <v>30</v>
      </c>
      <c r="AK1325" s="289">
        <f t="shared" si="104"/>
        <v>1261.192842554341</v>
      </c>
    </row>
    <row r="1326" spans="1:37">
      <c r="A1326" s="703" t="s">
        <v>2805</v>
      </c>
      <c r="B1326" s="703" t="s">
        <v>2311</v>
      </c>
      <c r="C1326" s="703" t="s">
        <v>574</v>
      </c>
      <c r="D1326" s="703" t="s">
        <v>334</v>
      </c>
      <c r="E1326" s="703" t="s">
        <v>334</v>
      </c>
      <c r="F1326" s="703" t="s">
        <v>335</v>
      </c>
      <c r="G1326" s="703" t="s">
        <v>2806</v>
      </c>
      <c r="H1326" s="703" t="s">
        <v>334</v>
      </c>
      <c r="I1326" s="703" t="s">
        <v>334</v>
      </c>
      <c r="J1326" s="703" t="s">
        <v>577</v>
      </c>
      <c r="K1326" s="704">
        <v>0</v>
      </c>
      <c r="L1326" s="703" t="s">
        <v>334</v>
      </c>
      <c r="M1326" s="702">
        <v>43708</v>
      </c>
      <c r="N1326" s="702">
        <v>44188</v>
      </c>
      <c r="O1326" s="703" t="s">
        <v>338</v>
      </c>
      <c r="P1326" s="20">
        <v>1092.3</v>
      </c>
      <c r="Q1326" s="20">
        <v>0</v>
      </c>
      <c r="R1326" s="20">
        <v>0</v>
      </c>
      <c r="S1326" s="20">
        <v>0</v>
      </c>
      <c r="T1326" s="20">
        <v>1092.3</v>
      </c>
      <c r="U1326" s="20">
        <v>1055.8900000000001</v>
      </c>
      <c r="V1326" s="20">
        <v>-36.409999999999997</v>
      </c>
      <c r="W1326" s="20">
        <v>-72.819999999999993</v>
      </c>
      <c r="X1326" s="20">
        <v>-36.409999999999997</v>
      </c>
      <c r="Y1326" s="20">
        <v>0</v>
      </c>
      <c r="Z1326" s="20">
        <v>0</v>
      </c>
      <c r="AA1326" s="20">
        <v>0</v>
      </c>
      <c r="AB1326" s="20">
        <v>1019.48</v>
      </c>
      <c r="AC1326" t="s">
        <v>578</v>
      </c>
      <c r="AD1326" t="s">
        <v>290</v>
      </c>
      <c r="AE1326" s="702">
        <f t="shared" si="100"/>
        <v>43983</v>
      </c>
      <c r="AF1326" s="289">
        <v>1576.7105820778702</v>
      </c>
      <c r="AG1326">
        <f t="shared" si="101"/>
        <v>360</v>
      </c>
      <c r="AH1326" s="289">
        <f t="shared" si="102"/>
        <v>4.3797516168829729</v>
      </c>
      <c r="AJ1326" s="289">
        <f t="shared" si="103"/>
        <v>30</v>
      </c>
      <c r="AK1326" s="289">
        <f t="shared" si="104"/>
        <v>131.39254850648919</v>
      </c>
    </row>
    <row r="1327" spans="1:37">
      <c r="A1327" s="703" t="s">
        <v>2807</v>
      </c>
      <c r="B1327" s="703" t="s">
        <v>2311</v>
      </c>
      <c r="C1327" s="703" t="s">
        <v>574</v>
      </c>
      <c r="D1327" s="703" t="s">
        <v>334</v>
      </c>
      <c r="E1327" s="703" t="s">
        <v>334</v>
      </c>
      <c r="F1327" s="703" t="s">
        <v>335</v>
      </c>
      <c r="G1327" s="703" t="s">
        <v>2808</v>
      </c>
      <c r="H1327" s="703" t="s">
        <v>334</v>
      </c>
      <c r="I1327" s="703" t="s">
        <v>334</v>
      </c>
      <c r="J1327" s="703" t="s">
        <v>577</v>
      </c>
      <c r="K1327" s="704">
        <v>0</v>
      </c>
      <c r="L1327" s="703" t="s">
        <v>334</v>
      </c>
      <c r="M1327" s="702">
        <v>43646</v>
      </c>
      <c r="N1327" s="702">
        <v>44188</v>
      </c>
      <c r="O1327" s="703" t="s">
        <v>338</v>
      </c>
      <c r="P1327" s="20">
        <v>105.67</v>
      </c>
      <c r="Q1327" s="20">
        <v>0</v>
      </c>
      <c r="R1327" s="20">
        <v>0</v>
      </c>
      <c r="S1327" s="20">
        <v>0</v>
      </c>
      <c r="T1327" s="20">
        <v>105.67</v>
      </c>
      <c r="U1327" s="20">
        <v>102.15</v>
      </c>
      <c r="V1327" s="20">
        <v>-3.52</v>
      </c>
      <c r="W1327" s="20">
        <v>-7.04</v>
      </c>
      <c r="X1327" s="20">
        <v>-3.52</v>
      </c>
      <c r="Y1327" s="20">
        <v>0</v>
      </c>
      <c r="Z1327" s="20">
        <v>0</v>
      </c>
      <c r="AA1327" s="20">
        <v>0</v>
      </c>
      <c r="AB1327" s="20">
        <v>98.63</v>
      </c>
      <c r="AC1327" t="s">
        <v>578</v>
      </c>
      <c r="AD1327" t="s">
        <v>290</v>
      </c>
      <c r="AE1327" s="702">
        <f t="shared" si="100"/>
        <v>43983</v>
      </c>
      <c r="AF1327" s="289">
        <v>152.53227795309763</v>
      </c>
      <c r="AG1327">
        <f t="shared" si="101"/>
        <v>360</v>
      </c>
      <c r="AH1327" s="289">
        <f t="shared" si="102"/>
        <v>0.42370077209193785</v>
      </c>
      <c r="AJ1327" s="289">
        <f t="shared" si="103"/>
        <v>30</v>
      </c>
      <c r="AK1327" s="289">
        <f t="shared" si="104"/>
        <v>12.711023162758135</v>
      </c>
    </row>
    <row r="1328" spans="1:37">
      <c r="A1328" s="703" t="s">
        <v>2809</v>
      </c>
      <c r="B1328" s="703" t="s">
        <v>2311</v>
      </c>
      <c r="C1328" s="703" t="s">
        <v>574</v>
      </c>
      <c r="D1328" s="703" t="s">
        <v>334</v>
      </c>
      <c r="E1328" s="703" t="s">
        <v>334</v>
      </c>
      <c r="F1328" s="703" t="s">
        <v>335</v>
      </c>
      <c r="G1328" s="703" t="s">
        <v>2810</v>
      </c>
      <c r="H1328" s="703" t="s">
        <v>334</v>
      </c>
      <c r="I1328" s="703" t="s">
        <v>334</v>
      </c>
      <c r="J1328" s="703" t="s">
        <v>577</v>
      </c>
      <c r="K1328" s="704">
        <v>0</v>
      </c>
      <c r="L1328" s="703" t="s">
        <v>334</v>
      </c>
      <c r="M1328" s="702">
        <v>43646</v>
      </c>
      <c r="N1328" s="702">
        <v>44188</v>
      </c>
      <c r="O1328" s="703" t="s">
        <v>338</v>
      </c>
      <c r="P1328" s="20">
        <v>659.15</v>
      </c>
      <c r="Q1328" s="20">
        <v>0</v>
      </c>
      <c r="R1328" s="20">
        <v>0</v>
      </c>
      <c r="S1328" s="20">
        <v>0</v>
      </c>
      <c r="T1328" s="20">
        <v>659.15</v>
      </c>
      <c r="U1328" s="20">
        <v>637.17999999999995</v>
      </c>
      <c r="V1328" s="20">
        <v>-21.97</v>
      </c>
      <c r="W1328" s="20">
        <v>-43.94</v>
      </c>
      <c r="X1328" s="20">
        <v>-21.97</v>
      </c>
      <c r="Y1328" s="20">
        <v>0</v>
      </c>
      <c r="Z1328" s="20">
        <v>0</v>
      </c>
      <c r="AA1328" s="20">
        <v>0</v>
      </c>
      <c r="AB1328" s="20">
        <v>615.21</v>
      </c>
      <c r="AC1328" t="s">
        <v>578</v>
      </c>
      <c r="AD1328" t="s">
        <v>290</v>
      </c>
      <c r="AE1328" s="702">
        <f t="shared" si="100"/>
        <v>43983</v>
      </c>
      <c r="AF1328" s="289">
        <v>951.4682597973341</v>
      </c>
      <c r="AG1328">
        <f t="shared" si="101"/>
        <v>360</v>
      </c>
      <c r="AH1328" s="289">
        <f t="shared" si="102"/>
        <v>2.6429673883259279</v>
      </c>
      <c r="AJ1328" s="289">
        <f t="shared" si="103"/>
        <v>30</v>
      </c>
      <c r="AK1328" s="289">
        <f t="shared" si="104"/>
        <v>79.289021649777837</v>
      </c>
    </row>
    <row r="1329" spans="1:37">
      <c r="A1329" s="703" t="s">
        <v>2811</v>
      </c>
      <c r="B1329" s="703" t="s">
        <v>2311</v>
      </c>
      <c r="C1329" s="703" t="s">
        <v>574</v>
      </c>
      <c r="D1329" s="703" t="s">
        <v>334</v>
      </c>
      <c r="E1329" s="703" t="s">
        <v>334</v>
      </c>
      <c r="F1329" s="703" t="s">
        <v>335</v>
      </c>
      <c r="G1329" s="703" t="s">
        <v>2812</v>
      </c>
      <c r="H1329" s="703" t="s">
        <v>334</v>
      </c>
      <c r="I1329" s="703" t="s">
        <v>334</v>
      </c>
      <c r="J1329" s="703" t="s">
        <v>577</v>
      </c>
      <c r="K1329" s="704">
        <v>0</v>
      </c>
      <c r="L1329" s="703" t="s">
        <v>334</v>
      </c>
      <c r="M1329" s="702">
        <v>43131</v>
      </c>
      <c r="N1329" s="702">
        <v>44188</v>
      </c>
      <c r="O1329" s="703" t="s">
        <v>338</v>
      </c>
      <c r="P1329" s="20">
        <v>150713.65</v>
      </c>
      <c r="Q1329" s="20">
        <v>0</v>
      </c>
      <c r="R1329" s="20">
        <v>0</v>
      </c>
      <c r="S1329" s="20">
        <v>0</v>
      </c>
      <c r="T1329" s="20">
        <v>150713.65</v>
      </c>
      <c r="U1329" s="20">
        <v>145689.85999999999</v>
      </c>
      <c r="V1329" s="20">
        <v>-5023.79</v>
      </c>
      <c r="W1329" s="20">
        <v>-10047.58</v>
      </c>
      <c r="X1329" s="20">
        <v>-5023.79</v>
      </c>
      <c r="Y1329" s="20">
        <v>0</v>
      </c>
      <c r="Z1329" s="20">
        <v>0</v>
      </c>
      <c r="AA1329" s="20">
        <v>0</v>
      </c>
      <c r="AB1329" s="20">
        <v>140666.07</v>
      </c>
      <c r="AC1329" t="s">
        <v>578</v>
      </c>
      <c r="AD1329" t="s">
        <v>290</v>
      </c>
      <c r="AE1329" s="702">
        <f t="shared" si="100"/>
        <v>43983</v>
      </c>
      <c r="AF1329" s="289">
        <v>217551.7777337548</v>
      </c>
      <c r="AG1329">
        <f t="shared" si="101"/>
        <v>360</v>
      </c>
      <c r="AH1329" s="289">
        <f t="shared" si="102"/>
        <v>604.31049370487449</v>
      </c>
      <c r="AJ1329" s="289">
        <f t="shared" si="103"/>
        <v>30</v>
      </c>
      <c r="AK1329" s="289">
        <f t="shared" si="104"/>
        <v>18129.314811146236</v>
      </c>
    </row>
    <row r="1330" spans="1:37">
      <c r="A1330" s="703" t="s">
        <v>2813</v>
      </c>
      <c r="B1330" s="703" t="s">
        <v>2311</v>
      </c>
      <c r="C1330" s="703" t="s">
        <v>574</v>
      </c>
      <c r="D1330" s="703" t="s">
        <v>334</v>
      </c>
      <c r="E1330" s="703" t="s">
        <v>334</v>
      </c>
      <c r="F1330" s="703" t="s">
        <v>335</v>
      </c>
      <c r="G1330" s="703" t="s">
        <v>2814</v>
      </c>
      <c r="H1330" s="703" t="s">
        <v>334</v>
      </c>
      <c r="I1330" s="703" t="s">
        <v>334</v>
      </c>
      <c r="J1330" s="703" t="s">
        <v>577</v>
      </c>
      <c r="K1330" s="704">
        <v>0</v>
      </c>
      <c r="L1330" s="703" t="s">
        <v>334</v>
      </c>
      <c r="M1330" s="702">
        <v>43131</v>
      </c>
      <c r="N1330" s="702">
        <v>44188</v>
      </c>
      <c r="O1330" s="703" t="s">
        <v>338</v>
      </c>
      <c r="P1330" s="20">
        <v>201560.49</v>
      </c>
      <c r="Q1330" s="20">
        <v>0</v>
      </c>
      <c r="R1330" s="20">
        <v>0</v>
      </c>
      <c r="S1330" s="20">
        <v>0</v>
      </c>
      <c r="T1330" s="20">
        <v>201560.49</v>
      </c>
      <c r="U1330" s="20">
        <v>194841.81</v>
      </c>
      <c r="V1330" s="20">
        <v>-6718.68</v>
      </c>
      <c r="W1330" s="20">
        <v>-13437.36</v>
      </c>
      <c r="X1330" s="20">
        <v>-6718.68</v>
      </c>
      <c r="Y1330" s="20">
        <v>0</v>
      </c>
      <c r="Z1330" s="20">
        <v>0</v>
      </c>
      <c r="AA1330" s="20">
        <v>0</v>
      </c>
      <c r="AB1330" s="20">
        <v>188123.13</v>
      </c>
      <c r="AC1330" t="s">
        <v>578</v>
      </c>
      <c r="AD1330" t="s">
        <v>290</v>
      </c>
      <c r="AE1330" s="702">
        <f t="shared" si="100"/>
        <v>43983</v>
      </c>
      <c r="AF1330" s="289">
        <v>290948.05228581961</v>
      </c>
      <c r="AG1330">
        <f t="shared" si="101"/>
        <v>360</v>
      </c>
      <c r="AH1330" s="289">
        <f t="shared" si="102"/>
        <v>808.18903412727673</v>
      </c>
      <c r="AJ1330" s="289">
        <f t="shared" si="103"/>
        <v>30</v>
      </c>
      <c r="AK1330" s="289">
        <f t="shared" si="104"/>
        <v>24245.6710238183</v>
      </c>
    </row>
    <row r="1331" spans="1:37">
      <c r="A1331" s="703" t="s">
        <v>2815</v>
      </c>
      <c r="B1331" s="703" t="s">
        <v>2311</v>
      </c>
      <c r="C1331" s="703" t="s">
        <v>574</v>
      </c>
      <c r="D1331" s="703" t="s">
        <v>334</v>
      </c>
      <c r="E1331" s="703" t="s">
        <v>334</v>
      </c>
      <c r="F1331" s="703" t="s">
        <v>335</v>
      </c>
      <c r="G1331" s="703" t="s">
        <v>2816</v>
      </c>
      <c r="H1331" s="703" t="s">
        <v>334</v>
      </c>
      <c r="I1331" s="703" t="s">
        <v>334</v>
      </c>
      <c r="J1331" s="703" t="s">
        <v>577</v>
      </c>
      <c r="K1331" s="704">
        <v>0</v>
      </c>
      <c r="L1331" s="703" t="s">
        <v>334</v>
      </c>
      <c r="M1331" s="702">
        <v>43131</v>
      </c>
      <c r="N1331" s="702">
        <v>44188</v>
      </c>
      <c r="O1331" s="703" t="s">
        <v>338</v>
      </c>
      <c r="P1331" s="20">
        <v>128131.57</v>
      </c>
      <c r="Q1331" s="20">
        <v>0</v>
      </c>
      <c r="R1331" s="20">
        <v>0</v>
      </c>
      <c r="S1331" s="20">
        <v>0</v>
      </c>
      <c r="T1331" s="20">
        <v>128131.57</v>
      </c>
      <c r="U1331" s="20">
        <v>123860.52</v>
      </c>
      <c r="V1331" s="20">
        <v>-4271.05</v>
      </c>
      <c r="W1331" s="20">
        <v>-8542.1</v>
      </c>
      <c r="X1331" s="20">
        <v>-4271.05</v>
      </c>
      <c r="Y1331" s="20">
        <v>0</v>
      </c>
      <c r="Z1331" s="20">
        <v>0</v>
      </c>
      <c r="AA1331" s="20">
        <v>0</v>
      </c>
      <c r="AB1331" s="20">
        <v>119589.47</v>
      </c>
      <c r="AC1331" t="s">
        <v>578</v>
      </c>
      <c r="AD1331" t="s">
        <v>290</v>
      </c>
      <c r="AE1331" s="702">
        <f t="shared" si="100"/>
        <v>43983</v>
      </c>
      <c r="AF1331" s="289">
        <v>184955.05110066041</v>
      </c>
      <c r="AG1331">
        <f t="shared" si="101"/>
        <v>360</v>
      </c>
      <c r="AH1331" s="289">
        <f t="shared" si="102"/>
        <v>513.76403083516777</v>
      </c>
      <c r="AJ1331" s="289">
        <f t="shared" si="103"/>
        <v>30</v>
      </c>
      <c r="AK1331" s="289">
        <f t="shared" si="104"/>
        <v>15412.920925055034</v>
      </c>
    </row>
    <row r="1332" spans="1:37">
      <c r="A1332" s="703" t="s">
        <v>2817</v>
      </c>
      <c r="B1332" s="703" t="s">
        <v>2311</v>
      </c>
      <c r="C1332" s="703" t="s">
        <v>574</v>
      </c>
      <c r="D1332" s="703" t="s">
        <v>334</v>
      </c>
      <c r="E1332" s="703" t="s">
        <v>334</v>
      </c>
      <c r="F1332" s="703" t="s">
        <v>335</v>
      </c>
      <c r="G1332" s="703" t="s">
        <v>2818</v>
      </c>
      <c r="H1332" s="703" t="s">
        <v>334</v>
      </c>
      <c r="I1332" s="703" t="s">
        <v>334</v>
      </c>
      <c r="J1332" s="703" t="s">
        <v>577</v>
      </c>
      <c r="K1332" s="704">
        <v>0</v>
      </c>
      <c r="L1332" s="703" t="s">
        <v>334</v>
      </c>
      <c r="M1332" s="702">
        <v>43616</v>
      </c>
      <c r="N1332" s="702">
        <v>44188</v>
      </c>
      <c r="O1332" s="703" t="s">
        <v>338</v>
      </c>
      <c r="P1332" s="20">
        <v>41051.74</v>
      </c>
      <c r="Q1332" s="20">
        <v>0</v>
      </c>
      <c r="R1332" s="20">
        <v>0</v>
      </c>
      <c r="S1332" s="20">
        <v>0</v>
      </c>
      <c r="T1332" s="20">
        <v>41051.74</v>
      </c>
      <c r="U1332" s="20">
        <v>39683.35</v>
      </c>
      <c r="V1332" s="20">
        <v>-1368.39</v>
      </c>
      <c r="W1332" s="20">
        <v>-2736.78</v>
      </c>
      <c r="X1332" s="20">
        <v>-1368.39</v>
      </c>
      <c r="Y1332" s="20">
        <v>0</v>
      </c>
      <c r="Z1332" s="20">
        <v>0</v>
      </c>
      <c r="AA1332" s="20">
        <v>0</v>
      </c>
      <c r="AB1332" s="20">
        <v>38314.959999999999</v>
      </c>
      <c r="AC1332" t="s">
        <v>578</v>
      </c>
      <c r="AD1332" t="s">
        <v>290</v>
      </c>
      <c r="AE1332" s="702">
        <f t="shared" si="100"/>
        <v>43983</v>
      </c>
      <c r="AF1332" s="289">
        <v>59257.267115910814</v>
      </c>
      <c r="AG1332">
        <f t="shared" si="101"/>
        <v>360</v>
      </c>
      <c r="AH1332" s="289">
        <f t="shared" si="102"/>
        <v>164.60351976641894</v>
      </c>
      <c r="AJ1332" s="289">
        <f t="shared" si="103"/>
        <v>30</v>
      </c>
      <c r="AK1332" s="289">
        <f t="shared" si="104"/>
        <v>4938.1055929925678</v>
      </c>
    </row>
    <row r="1333" spans="1:37">
      <c r="A1333" s="703" t="s">
        <v>2819</v>
      </c>
      <c r="B1333" s="703" t="s">
        <v>2311</v>
      </c>
      <c r="C1333" s="703" t="s">
        <v>574</v>
      </c>
      <c r="D1333" s="703" t="s">
        <v>334</v>
      </c>
      <c r="E1333" s="703" t="s">
        <v>334</v>
      </c>
      <c r="F1333" s="703" t="s">
        <v>335</v>
      </c>
      <c r="G1333" s="703" t="s">
        <v>2820</v>
      </c>
      <c r="H1333" s="703" t="s">
        <v>334</v>
      </c>
      <c r="I1333" s="703" t="s">
        <v>334</v>
      </c>
      <c r="J1333" s="703" t="s">
        <v>577</v>
      </c>
      <c r="K1333" s="704">
        <v>0</v>
      </c>
      <c r="L1333" s="703" t="s">
        <v>334</v>
      </c>
      <c r="M1333" s="702">
        <v>43131</v>
      </c>
      <c r="N1333" s="702">
        <v>44188</v>
      </c>
      <c r="O1333" s="703" t="s">
        <v>338</v>
      </c>
      <c r="P1333" s="20">
        <v>102096.88</v>
      </c>
      <c r="Q1333" s="20">
        <v>0</v>
      </c>
      <c r="R1333" s="20">
        <v>0</v>
      </c>
      <c r="S1333" s="20">
        <v>0</v>
      </c>
      <c r="T1333" s="20">
        <v>102096.88</v>
      </c>
      <c r="U1333" s="20">
        <v>98693.65</v>
      </c>
      <c r="V1333" s="20">
        <v>-3403.23</v>
      </c>
      <c r="W1333" s="20">
        <v>-6806.46</v>
      </c>
      <c r="X1333" s="20">
        <v>-3403.23</v>
      </c>
      <c r="Y1333" s="20">
        <v>0</v>
      </c>
      <c r="Z1333" s="20">
        <v>0</v>
      </c>
      <c r="AA1333" s="20">
        <v>0</v>
      </c>
      <c r="AB1333" s="20">
        <v>95290.42</v>
      </c>
      <c r="AC1333" t="s">
        <v>578</v>
      </c>
      <c r="AD1333" t="s">
        <v>290</v>
      </c>
      <c r="AE1333" s="702">
        <f t="shared" si="100"/>
        <v>43983</v>
      </c>
      <c r="AF1333" s="289">
        <v>147374.55927230106</v>
      </c>
      <c r="AG1333">
        <f t="shared" si="101"/>
        <v>360</v>
      </c>
      <c r="AH1333" s="289">
        <f t="shared" si="102"/>
        <v>409.37377575639186</v>
      </c>
      <c r="AJ1333" s="289">
        <f t="shared" si="103"/>
        <v>30</v>
      </c>
      <c r="AK1333" s="289">
        <f t="shared" si="104"/>
        <v>12281.213272691755</v>
      </c>
    </row>
    <row r="1334" spans="1:37">
      <c r="A1334" s="703" t="s">
        <v>2821</v>
      </c>
      <c r="B1334" s="703" t="s">
        <v>2311</v>
      </c>
      <c r="C1334" s="703" t="s">
        <v>586</v>
      </c>
      <c r="D1334" s="703" t="s">
        <v>334</v>
      </c>
      <c r="E1334" s="703" t="s">
        <v>334</v>
      </c>
      <c r="F1334" s="703" t="s">
        <v>335</v>
      </c>
      <c r="G1334" s="703" t="s">
        <v>2822</v>
      </c>
      <c r="H1334" s="703" t="s">
        <v>334</v>
      </c>
      <c r="I1334" s="703" t="s">
        <v>334</v>
      </c>
      <c r="J1334" s="703" t="s">
        <v>337</v>
      </c>
      <c r="K1334" s="704">
        <v>0</v>
      </c>
      <c r="L1334" s="703" t="s">
        <v>334</v>
      </c>
      <c r="M1334" s="702">
        <v>43616</v>
      </c>
      <c r="N1334" s="702">
        <v>44188</v>
      </c>
      <c r="O1334" s="703" t="s">
        <v>338</v>
      </c>
      <c r="P1334" s="20">
        <v>76820.22</v>
      </c>
      <c r="Q1334" s="20">
        <v>0</v>
      </c>
      <c r="R1334" s="20">
        <v>0</v>
      </c>
      <c r="S1334" s="20">
        <v>0</v>
      </c>
      <c r="T1334" s="20">
        <v>76820.22</v>
      </c>
      <c r="U1334" s="20">
        <v>74259.55</v>
      </c>
      <c r="V1334" s="20">
        <v>-2560.67</v>
      </c>
      <c r="W1334" s="20">
        <v>-5121.34</v>
      </c>
      <c r="X1334" s="20">
        <v>-2560.67</v>
      </c>
      <c r="Y1334" s="20">
        <v>0</v>
      </c>
      <c r="Z1334" s="20">
        <v>0</v>
      </c>
      <c r="AA1334" s="20">
        <v>0</v>
      </c>
      <c r="AB1334" s="20">
        <v>71698.880000000005</v>
      </c>
      <c r="AC1334" t="s">
        <v>589</v>
      </c>
      <c r="AD1334" t="s">
        <v>290</v>
      </c>
      <c r="AE1334" s="702">
        <f t="shared" si="100"/>
        <v>43983</v>
      </c>
      <c r="AF1334" s="289">
        <v>110888.26676879067</v>
      </c>
      <c r="AG1334">
        <f t="shared" si="101"/>
        <v>360</v>
      </c>
      <c r="AH1334" s="289">
        <f t="shared" si="102"/>
        <v>308.02296324664076</v>
      </c>
      <c r="AJ1334" s="289">
        <f t="shared" si="103"/>
        <v>30</v>
      </c>
      <c r="AK1334" s="289">
        <f t="shared" si="104"/>
        <v>9240.6888973992227</v>
      </c>
    </row>
    <row r="1335" spans="1:37">
      <c r="A1335" s="703" t="s">
        <v>2823</v>
      </c>
      <c r="B1335" s="703" t="s">
        <v>2311</v>
      </c>
      <c r="C1335" s="703" t="s">
        <v>586</v>
      </c>
      <c r="D1335" s="703" t="s">
        <v>334</v>
      </c>
      <c r="E1335" s="703" t="s">
        <v>334</v>
      </c>
      <c r="F1335" s="703" t="s">
        <v>335</v>
      </c>
      <c r="G1335" s="703" t="s">
        <v>2824</v>
      </c>
      <c r="H1335" s="703" t="s">
        <v>334</v>
      </c>
      <c r="I1335" s="703" t="s">
        <v>334</v>
      </c>
      <c r="J1335" s="703" t="s">
        <v>337</v>
      </c>
      <c r="K1335" s="704">
        <v>0</v>
      </c>
      <c r="L1335" s="703" t="s">
        <v>334</v>
      </c>
      <c r="M1335" s="702">
        <v>43496</v>
      </c>
      <c r="N1335" s="702">
        <v>44188</v>
      </c>
      <c r="O1335" s="703" t="s">
        <v>338</v>
      </c>
      <c r="P1335" s="20">
        <v>109797.37</v>
      </c>
      <c r="Q1335" s="20">
        <v>0</v>
      </c>
      <c r="R1335" s="20">
        <v>0</v>
      </c>
      <c r="S1335" s="20">
        <v>0</v>
      </c>
      <c r="T1335" s="20">
        <v>109797.37</v>
      </c>
      <c r="U1335" s="20">
        <v>106137.46</v>
      </c>
      <c r="V1335" s="20">
        <v>-3659.91</v>
      </c>
      <c r="W1335" s="20">
        <v>-7319.82</v>
      </c>
      <c r="X1335" s="20">
        <v>-3659.91</v>
      </c>
      <c r="Y1335" s="20">
        <v>0</v>
      </c>
      <c r="Z1335" s="20">
        <v>0</v>
      </c>
      <c r="AA1335" s="20">
        <v>0</v>
      </c>
      <c r="AB1335" s="20">
        <v>102477.55</v>
      </c>
      <c r="AC1335" t="s">
        <v>589</v>
      </c>
      <c r="AD1335" t="s">
        <v>290</v>
      </c>
      <c r="AE1335" s="702">
        <f t="shared" si="100"/>
        <v>43983</v>
      </c>
      <c r="AF1335" s="289">
        <v>158490.04409349014</v>
      </c>
      <c r="AG1335">
        <f t="shared" si="101"/>
        <v>360</v>
      </c>
      <c r="AH1335" s="289">
        <f t="shared" si="102"/>
        <v>440.25012248191706</v>
      </c>
      <c r="AJ1335" s="289">
        <f t="shared" si="103"/>
        <v>30</v>
      </c>
      <c r="AK1335" s="289">
        <f t="shared" si="104"/>
        <v>13207.503674457512</v>
      </c>
    </row>
    <row r="1336" spans="1:37">
      <c r="A1336" s="703" t="s">
        <v>2825</v>
      </c>
      <c r="B1336" s="703" t="s">
        <v>2311</v>
      </c>
      <c r="C1336" s="703" t="s">
        <v>586</v>
      </c>
      <c r="D1336" s="703" t="s">
        <v>334</v>
      </c>
      <c r="E1336" s="703" t="s">
        <v>334</v>
      </c>
      <c r="F1336" s="703" t="s">
        <v>335</v>
      </c>
      <c r="G1336" s="703" t="s">
        <v>2826</v>
      </c>
      <c r="H1336" s="703" t="s">
        <v>334</v>
      </c>
      <c r="I1336" s="703" t="s">
        <v>334</v>
      </c>
      <c r="J1336" s="703" t="s">
        <v>337</v>
      </c>
      <c r="K1336" s="704">
        <v>0</v>
      </c>
      <c r="L1336" s="703" t="s">
        <v>334</v>
      </c>
      <c r="M1336" s="702">
        <v>42886</v>
      </c>
      <c r="N1336" s="702">
        <v>44188</v>
      </c>
      <c r="O1336" s="703" t="s">
        <v>338</v>
      </c>
      <c r="P1336" s="20">
        <v>13081.52</v>
      </c>
      <c r="Q1336" s="20">
        <v>0</v>
      </c>
      <c r="R1336" s="20">
        <v>0</v>
      </c>
      <c r="S1336" s="20">
        <v>0</v>
      </c>
      <c r="T1336" s="20">
        <v>13081.52</v>
      </c>
      <c r="U1336" s="20">
        <v>12645.47</v>
      </c>
      <c r="V1336" s="20">
        <v>-436.05</v>
      </c>
      <c r="W1336" s="20">
        <v>-872.1</v>
      </c>
      <c r="X1336" s="20">
        <v>-436.05</v>
      </c>
      <c r="Y1336" s="20">
        <v>0</v>
      </c>
      <c r="Z1336" s="20">
        <v>0</v>
      </c>
      <c r="AA1336" s="20">
        <v>0</v>
      </c>
      <c r="AB1336" s="20">
        <v>12209.42</v>
      </c>
      <c r="AC1336" t="s">
        <v>589</v>
      </c>
      <c r="AD1336" t="s">
        <v>290</v>
      </c>
      <c r="AE1336" s="702">
        <f t="shared" si="100"/>
        <v>43983</v>
      </c>
      <c r="AF1336" s="289">
        <v>18882.881089136044</v>
      </c>
      <c r="AG1336">
        <f t="shared" si="101"/>
        <v>360</v>
      </c>
      <c r="AH1336" s="289">
        <f t="shared" si="102"/>
        <v>52.452447469822346</v>
      </c>
      <c r="AJ1336" s="289">
        <f t="shared" si="103"/>
        <v>30</v>
      </c>
      <c r="AK1336" s="289">
        <f t="shared" si="104"/>
        <v>1573.5734240946704</v>
      </c>
    </row>
    <row r="1337" spans="1:37">
      <c r="A1337" s="703" t="s">
        <v>2827</v>
      </c>
      <c r="B1337" s="703" t="s">
        <v>2311</v>
      </c>
      <c r="C1337" s="703" t="s">
        <v>586</v>
      </c>
      <c r="D1337" s="703" t="s">
        <v>334</v>
      </c>
      <c r="E1337" s="703" t="s">
        <v>334</v>
      </c>
      <c r="F1337" s="703" t="s">
        <v>335</v>
      </c>
      <c r="G1337" s="703" t="s">
        <v>2828</v>
      </c>
      <c r="H1337" s="703" t="s">
        <v>334</v>
      </c>
      <c r="I1337" s="703" t="s">
        <v>334</v>
      </c>
      <c r="J1337" s="703" t="s">
        <v>337</v>
      </c>
      <c r="K1337" s="704">
        <v>0</v>
      </c>
      <c r="L1337" s="703" t="s">
        <v>334</v>
      </c>
      <c r="M1337" s="702">
        <v>43496</v>
      </c>
      <c r="N1337" s="702">
        <v>44188</v>
      </c>
      <c r="O1337" s="703" t="s">
        <v>338</v>
      </c>
      <c r="P1337" s="20">
        <v>67011.61</v>
      </c>
      <c r="Q1337" s="20">
        <v>0</v>
      </c>
      <c r="R1337" s="20">
        <v>0</v>
      </c>
      <c r="S1337" s="20">
        <v>0</v>
      </c>
      <c r="T1337" s="20">
        <v>67011.61</v>
      </c>
      <c r="U1337" s="20">
        <v>64777.89</v>
      </c>
      <c r="V1337" s="20">
        <v>-2233.7199999999998</v>
      </c>
      <c r="W1337" s="20">
        <v>-4467.4399999999996</v>
      </c>
      <c r="X1337" s="20">
        <v>-2233.7199999999998</v>
      </c>
      <c r="Y1337" s="20">
        <v>0</v>
      </c>
      <c r="Z1337" s="20">
        <v>0</v>
      </c>
      <c r="AA1337" s="20">
        <v>0</v>
      </c>
      <c r="AB1337" s="20">
        <v>62544.17</v>
      </c>
      <c r="AC1337" t="s">
        <v>589</v>
      </c>
      <c r="AD1337" t="s">
        <v>290</v>
      </c>
      <c r="AE1337" s="702">
        <f t="shared" si="100"/>
        <v>43983</v>
      </c>
      <c r="AF1337" s="289">
        <v>96729.757950265688</v>
      </c>
      <c r="AG1337">
        <f t="shared" si="101"/>
        <v>360</v>
      </c>
      <c r="AH1337" s="289">
        <f t="shared" si="102"/>
        <v>268.69377208407138</v>
      </c>
      <c r="AJ1337" s="289">
        <f t="shared" si="103"/>
        <v>30</v>
      </c>
      <c r="AK1337" s="289">
        <f t="shared" si="104"/>
        <v>8060.8131625221413</v>
      </c>
    </row>
    <row r="1338" spans="1:37">
      <c r="A1338" s="703" t="s">
        <v>2829</v>
      </c>
      <c r="B1338" s="703" t="s">
        <v>2311</v>
      </c>
      <c r="C1338" s="703" t="s">
        <v>586</v>
      </c>
      <c r="D1338" s="703" t="s">
        <v>334</v>
      </c>
      <c r="E1338" s="703" t="s">
        <v>334</v>
      </c>
      <c r="F1338" s="703" t="s">
        <v>335</v>
      </c>
      <c r="G1338" s="703" t="s">
        <v>2830</v>
      </c>
      <c r="H1338" s="703" t="s">
        <v>334</v>
      </c>
      <c r="I1338" s="703" t="s">
        <v>334</v>
      </c>
      <c r="J1338" s="703" t="s">
        <v>337</v>
      </c>
      <c r="K1338" s="704">
        <v>0</v>
      </c>
      <c r="L1338" s="703" t="s">
        <v>334</v>
      </c>
      <c r="M1338" s="702">
        <v>43496</v>
      </c>
      <c r="N1338" s="702">
        <v>44188</v>
      </c>
      <c r="O1338" s="703" t="s">
        <v>338</v>
      </c>
      <c r="P1338" s="20">
        <v>14534.8</v>
      </c>
      <c r="Q1338" s="20">
        <v>0</v>
      </c>
      <c r="R1338" s="20">
        <v>0</v>
      </c>
      <c r="S1338" s="20">
        <v>0</v>
      </c>
      <c r="T1338" s="20">
        <v>14534.8</v>
      </c>
      <c r="U1338" s="20">
        <v>14050.31</v>
      </c>
      <c r="V1338" s="20">
        <v>-484.49</v>
      </c>
      <c r="W1338" s="20">
        <v>-968.98</v>
      </c>
      <c r="X1338" s="20">
        <v>-484.49</v>
      </c>
      <c r="Y1338" s="20">
        <v>0</v>
      </c>
      <c r="Z1338" s="20">
        <v>0</v>
      </c>
      <c r="AA1338" s="20">
        <v>0</v>
      </c>
      <c r="AB1338" s="20">
        <v>13565.82</v>
      </c>
      <c r="AC1338" t="s">
        <v>589</v>
      </c>
      <c r="AD1338" t="s">
        <v>290</v>
      </c>
      <c r="AE1338" s="702">
        <f t="shared" si="100"/>
        <v>43983</v>
      </c>
      <c r="AF1338" s="289">
        <v>20980.658215129017</v>
      </c>
      <c r="AG1338">
        <f t="shared" si="101"/>
        <v>360</v>
      </c>
      <c r="AH1338" s="289">
        <f t="shared" si="102"/>
        <v>58.279606153136157</v>
      </c>
      <c r="AJ1338" s="289">
        <f t="shared" si="103"/>
        <v>30</v>
      </c>
      <c r="AK1338" s="289">
        <f t="shared" si="104"/>
        <v>1748.3881845940848</v>
      </c>
    </row>
    <row r="1339" spans="1:37">
      <c r="A1339" s="703" t="s">
        <v>2831</v>
      </c>
      <c r="B1339" s="703" t="s">
        <v>2311</v>
      </c>
      <c r="C1339" s="703" t="s">
        <v>586</v>
      </c>
      <c r="D1339" s="703" t="s">
        <v>334</v>
      </c>
      <c r="E1339" s="703" t="s">
        <v>334</v>
      </c>
      <c r="F1339" s="703" t="s">
        <v>335</v>
      </c>
      <c r="G1339" s="703" t="s">
        <v>2832</v>
      </c>
      <c r="H1339" s="703" t="s">
        <v>334</v>
      </c>
      <c r="I1339" s="703" t="s">
        <v>334</v>
      </c>
      <c r="J1339" s="703" t="s">
        <v>337</v>
      </c>
      <c r="K1339" s="704">
        <v>0</v>
      </c>
      <c r="L1339" s="703" t="s">
        <v>334</v>
      </c>
      <c r="M1339" s="702">
        <v>43496</v>
      </c>
      <c r="N1339" s="702">
        <v>44188</v>
      </c>
      <c r="O1339" s="703" t="s">
        <v>338</v>
      </c>
      <c r="P1339" s="20">
        <v>1686.48</v>
      </c>
      <c r="Q1339" s="20">
        <v>0</v>
      </c>
      <c r="R1339" s="20">
        <v>0</v>
      </c>
      <c r="S1339" s="20">
        <v>0</v>
      </c>
      <c r="T1339" s="20">
        <v>1686.48</v>
      </c>
      <c r="U1339" s="20">
        <v>1630.26</v>
      </c>
      <c r="V1339" s="20">
        <v>-56.22</v>
      </c>
      <c r="W1339" s="20">
        <v>-112.44</v>
      </c>
      <c r="X1339" s="20">
        <v>-56.22</v>
      </c>
      <c r="Y1339" s="20">
        <v>0</v>
      </c>
      <c r="Z1339" s="20">
        <v>0</v>
      </c>
      <c r="AA1339" s="20">
        <v>0</v>
      </c>
      <c r="AB1339" s="20">
        <v>1574.04</v>
      </c>
      <c r="AC1339" t="s">
        <v>589</v>
      </c>
      <c r="AD1339" t="s">
        <v>290</v>
      </c>
      <c r="AE1339" s="702">
        <f t="shared" si="100"/>
        <v>43983</v>
      </c>
      <c r="AF1339" s="289">
        <v>2434.3961022271228</v>
      </c>
      <c r="AG1339">
        <f t="shared" si="101"/>
        <v>360</v>
      </c>
      <c r="AH1339" s="289">
        <f t="shared" si="102"/>
        <v>6.7622113950753411</v>
      </c>
      <c r="AJ1339" s="289">
        <f t="shared" si="103"/>
        <v>30</v>
      </c>
      <c r="AK1339" s="289">
        <f t="shared" si="104"/>
        <v>202.86634185226023</v>
      </c>
    </row>
    <row r="1340" spans="1:37">
      <c r="A1340" s="703" t="s">
        <v>2833</v>
      </c>
      <c r="B1340" s="703" t="s">
        <v>2311</v>
      </c>
      <c r="C1340" s="703" t="s">
        <v>586</v>
      </c>
      <c r="D1340" s="703" t="s">
        <v>334</v>
      </c>
      <c r="E1340" s="703" t="s">
        <v>334</v>
      </c>
      <c r="F1340" s="703" t="s">
        <v>335</v>
      </c>
      <c r="G1340" s="703" t="s">
        <v>2834</v>
      </c>
      <c r="H1340" s="703" t="s">
        <v>334</v>
      </c>
      <c r="I1340" s="703" t="s">
        <v>334</v>
      </c>
      <c r="J1340" s="703" t="s">
        <v>337</v>
      </c>
      <c r="K1340" s="704">
        <v>0</v>
      </c>
      <c r="L1340" s="703" t="s">
        <v>334</v>
      </c>
      <c r="M1340" s="702">
        <v>43496</v>
      </c>
      <c r="N1340" s="702">
        <v>44188</v>
      </c>
      <c r="O1340" s="703" t="s">
        <v>338</v>
      </c>
      <c r="P1340" s="20">
        <v>69916</v>
      </c>
      <c r="Q1340" s="20">
        <v>0</v>
      </c>
      <c r="R1340" s="20">
        <v>0</v>
      </c>
      <c r="S1340" s="20">
        <v>0</v>
      </c>
      <c r="T1340" s="20">
        <v>69916</v>
      </c>
      <c r="U1340" s="20">
        <v>67585.47</v>
      </c>
      <c r="V1340" s="20">
        <v>-2330.5300000000002</v>
      </c>
      <c r="W1340" s="20">
        <v>-4661.0600000000004</v>
      </c>
      <c r="X1340" s="20">
        <v>-2330.5300000000002</v>
      </c>
      <c r="Y1340" s="20">
        <v>0</v>
      </c>
      <c r="Z1340" s="20">
        <v>0</v>
      </c>
      <c r="AA1340" s="20">
        <v>0</v>
      </c>
      <c r="AB1340" s="20">
        <v>65254.94</v>
      </c>
      <c r="AC1340" t="s">
        <v>589</v>
      </c>
      <c r="AD1340" t="s">
        <v>290</v>
      </c>
      <c r="AE1340" s="702">
        <f t="shared" si="100"/>
        <v>43983</v>
      </c>
      <c r="AF1340" s="289">
        <v>100922.17985586045</v>
      </c>
      <c r="AG1340">
        <f t="shared" si="101"/>
        <v>360</v>
      </c>
      <c r="AH1340" s="289">
        <f t="shared" si="102"/>
        <v>280.33938848850124</v>
      </c>
      <c r="AJ1340" s="289">
        <f t="shared" si="103"/>
        <v>30</v>
      </c>
      <c r="AK1340" s="289">
        <f t="shared" si="104"/>
        <v>8410.1816546550381</v>
      </c>
    </row>
    <row r="1341" spans="1:37">
      <c r="A1341" s="703" t="s">
        <v>2835</v>
      </c>
      <c r="B1341" s="703" t="s">
        <v>2311</v>
      </c>
      <c r="C1341" s="703" t="s">
        <v>586</v>
      </c>
      <c r="D1341" s="703" t="s">
        <v>334</v>
      </c>
      <c r="E1341" s="703" t="s">
        <v>334</v>
      </c>
      <c r="F1341" s="703" t="s">
        <v>335</v>
      </c>
      <c r="G1341" s="703" t="s">
        <v>2836</v>
      </c>
      <c r="H1341" s="703" t="s">
        <v>334</v>
      </c>
      <c r="I1341" s="703" t="s">
        <v>334</v>
      </c>
      <c r="J1341" s="703" t="s">
        <v>337</v>
      </c>
      <c r="K1341" s="704">
        <v>0</v>
      </c>
      <c r="L1341" s="703" t="s">
        <v>334</v>
      </c>
      <c r="M1341" s="702">
        <v>43524</v>
      </c>
      <c r="N1341" s="702">
        <v>44188</v>
      </c>
      <c r="O1341" s="703" t="s">
        <v>338</v>
      </c>
      <c r="P1341" s="20">
        <v>800.32</v>
      </c>
      <c r="Q1341" s="20">
        <v>0</v>
      </c>
      <c r="R1341" s="20">
        <v>0</v>
      </c>
      <c r="S1341" s="20">
        <v>0</v>
      </c>
      <c r="T1341" s="20">
        <v>800.32</v>
      </c>
      <c r="U1341" s="20">
        <v>773.64</v>
      </c>
      <c r="V1341" s="20">
        <v>-26.68</v>
      </c>
      <c r="W1341" s="20">
        <v>-53.36</v>
      </c>
      <c r="X1341" s="20">
        <v>-26.68</v>
      </c>
      <c r="Y1341" s="20">
        <v>0</v>
      </c>
      <c r="Z1341" s="20">
        <v>0</v>
      </c>
      <c r="AA1341" s="20">
        <v>0</v>
      </c>
      <c r="AB1341" s="20">
        <v>746.96</v>
      </c>
      <c r="AC1341" t="s">
        <v>589</v>
      </c>
      <c r="AD1341" t="s">
        <v>290</v>
      </c>
      <c r="AE1341" s="702">
        <f t="shared" si="100"/>
        <v>43983</v>
      </c>
      <c r="AF1341" s="289">
        <v>1155.2439925373626</v>
      </c>
      <c r="AG1341">
        <f t="shared" si="101"/>
        <v>360</v>
      </c>
      <c r="AH1341" s="289">
        <f t="shared" si="102"/>
        <v>3.209011090381563</v>
      </c>
      <c r="AJ1341" s="289">
        <f t="shared" si="103"/>
        <v>30</v>
      </c>
      <c r="AK1341" s="289">
        <f t="shared" si="104"/>
        <v>96.270332711446883</v>
      </c>
    </row>
    <row r="1342" spans="1:37">
      <c r="A1342" s="703" t="s">
        <v>2837</v>
      </c>
      <c r="B1342" s="703" t="s">
        <v>2311</v>
      </c>
      <c r="C1342" s="703" t="s">
        <v>586</v>
      </c>
      <c r="D1342" s="703" t="s">
        <v>334</v>
      </c>
      <c r="E1342" s="703" t="s">
        <v>334</v>
      </c>
      <c r="F1342" s="703" t="s">
        <v>335</v>
      </c>
      <c r="G1342" s="703" t="s">
        <v>2838</v>
      </c>
      <c r="H1342" s="703" t="s">
        <v>334</v>
      </c>
      <c r="I1342" s="703" t="s">
        <v>334</v>
      </c>
      <c r="J1342" s="703" t="s">
        <v>337</v>
      </c>
      <c r="K1342" s="704">
        <v>0</v>
      </c>
      <c r="L1342" s="703" t="s">
        <v>334</v>
      </c>
      <c r="M1342" s="702">
        <v>43496</v>
      </c>
      <c r="N1342" s="702">
        <v>44188</v>
      </c>
      <c r="O1342" s="703" t="s">
        <v>338</v>
      </c>
      <c r="P1342" s="20">
        <v>16818.09</v>
      </c>
      <c r="Q1342" s="20">
        <v>0</v>
      </c>
      <c r="R1342" s="20">
        <v>0</v>
      </c>
      <c r="S1342" s="20">
        <v>0</v>
      </c>
      <c r="T1342" s="20">
        <v>16818.09</v>
      </c>
      <c r="U1342" s="20">
        <v>16257.49</v>
      </c>
      <c r="V1342" s="20">
        <v>-560.6</v>
      </c>
      <c r="W1342" s="20">
        <v>-1121.2</v>
      </c>
      <c r="X1342" s="20">
        <v>-560.6</v>
      </c>
      <c r="Y1342" s="20">
        <v>0</v>
      </c>
      <c r="Z1342" s="20">
        <v>0</v>
      </c>
      <c r="AA1342" s="20">
        <v>0</v>
      </c>
      <c r="AB1342" s="20">
        <v>15696.89</v>
      </c>
      <c r="AC1342" t="s">
        <v>589</v>
      </c>
      <c r="AD1342" t="s">
        <v>290</v>
      </c>
      <c r="AE1342" s="702">
        <f t="shared" si="100"/>
        <v>43983</v>
      </c>
      <c r="AF1342" s="289">
        <v>24276.536183592427</v>
      </c>
      <c r="AG1342">
        <f t="shared" si="101"/>
        <v>360</v>
      </c>
      <c r="AH1342" s="289">
        <f t="shared" si="102"/>
        <v>67.434822732201184</v>
      </c>
      <c r="AJ1342" s="289">
        <f t="shared" si="103"/>
        <v>30</v>
      </c>
      <c r="AK1342" s="289">
        <f t="shared" si="104"/>
        <v>2023.0446819660356</v>
      </c>
    </row>
    <row r="1343" spans="1:37">
      <c r="A1343" s="703" t="s">
        <v>2839</v>
      </c>
      <c r="B1343" s="703" t="s">
        <v>2311</v>
      </c>
      <c r="C1343" s="703" t="s">
        <v>586</v>
      </c>
      <c r="D1343" s="703" t="s">
        <v>334</v>
      </c>
      <c r="E1343" s="703" t="s">
        <v>334</v>
      </c>
      <c r="F1343" s="703" t="s">
        <v>335</v>
      </c>
      <c r="G1343" s="703" t="s">
        <v>2840</v>
      </c>
      <c r="H1343" s="703" t="s">
        <v>334</v>
      </c>
      <c r="I1343" s="703" t="s">
        <v>334</v>
      </c>
      <c r="J1343" s="703" t="s">
        <v>337</v>
      </c>
      <c r="K1343" s="704">
        <v>0</v>
      </c>
      <c r="L1343" s="703" t="s">
        <v>334</v>
      </c>
      <c r="M1343" s="702">
        <v>43524</v>
      </c>
      <c r="N1343" s="702">
        <v>44188</v>
      </c>
      <c r="O1343" s="703" t="s">
        <v>338</v>
      </c>
      <c r="P1343" s="20">
        <v>37290.44</v>
      </c>
      <c r="Q1343" s="20">
        <v>0</v>
      </c>
      <c r="R1343" s="20">
        <v>0</v>
      </c>
      <c r="S1343" s="20">
        <v>0</v>
      </c>
      <c r="T1343" s="20">
        <v>37290.44</v>
      </c>
      <c r="U1343" s="20">
        <v>36047.43</v>
      </c>
      <c r="V1343" s="20">
        <v>-1243.01</v>
      </c>
      <c r="W1343" s="20">
        <v>-2486.02</v>
      </c>
      <c r="X1343" s="20">
        <v>-1243.01</v>
      </c>
      <c r="Y1343" s="20">
        <v>0</v>
      </c>
      <c r="Z1343" s="20">
        <v>0</v>
      </c>
      <c r="AA1343" s="20">
        <v>0</v>
      </c>
      <c r="AB1343" s="20">
        <v>34804.42</v>
      </c>
      <c r="AC1343" t="s">
        <v>589</v>
      </c>
      <c r="AD1343" t="s">
        <v>290</v>
      </c>
      <c r="AE1343" s="702">
        <f t="shared" si="100"/>
        <v>43983</v>
      </c>
      <c r="AF1343" s="289">
        <v>53827.914820415543</v>
      </c>
      <c r="AG1343">
        <f t="shared" si="101"/>
        <v>360</v>
      </c>
      <c r="AH1343" s="289">
        <f t="shared" si="102"/>
        <v>149.52198561226538</v>
      </c>
      <c r="AJ1343" s="289">
        <f t="shared" si="103"/>
        <v>30</v>
      </c>
      <c r="AK1343" s="289">
        <f t="shared" si="104"/>
        <v>4485.6595683679616</v>
      </c>
    </row>
    <row r="1344" spans="1:37">
      <c r="A1344" s="703" t="s">
        <v>2841</v>
      </c>
      <c r="B1344" s="703" t="s">
        <v>2311</v>
      </c>
      <c r="C1344" s="703" t="s">
        <v>586</v>
      </c>
      <c r="D1344" s="703" t="s">
        <v>334</v>
      </c>
      <c r="E1344" s="703" t="s">
        <v>334</v>
      </c>
      <c r="F1344" s="703" t="s">
        <v>335</v>
      </c>
      <c r="G1344" s="703" t="s">
        <v>2842</v>
      </c>
      <c r="H1344" s="703" t="s">
        <v>334</v>
      </c>
      <c r="I1344" s="703" t="s">
        <v>334</v>
      </c>
      <c r="J1344" s="703" t="s">
        <v>337</v>
      </c>
      <c r="K1344" s="704">
        <v>0</v>
      </c>
      <c r="L1344" s="703" t="s">
        <v>334</v>
      </c>
      <c r="M1344" s="702">
        <v>44104</v>
      </c>
      <c r="N1344" s="702">
        <v>44188</v>
      </c>
      <c r="O1344" s="703" t="s">
        <v>338</v>
      </c>
      <c r="P1344" s="20">
        <v>24867.73</v>
      </c>
      <c r="Q1344" s="20">
        <v>0</v>
      </c>
      <c r="R1344" s="20">
        <v>0</v>
      </c>
      <c r="S1344" s="20">
        <v>0</v>
      </c>
      <c r="T1344" s="20">
        <v>24867.73</v>
      </c>
      <c r="U1344" s="20">
        <v>24038.81</v>
      </c>
      <c r="V1344" s="20">
        <v>-828.92</v>
      </c>
      <c r="W1344" s="20">
        <v>-1657.84</v>
      </c>
      <c r="X1344" s="20">
        <v>-828.92</v>
      </c>
      <c r="Y1344" s="20">
        <v>0</v>
      </c>
      <c r="Z1344" s="20">
        <v>0</v>
      </c>
      <c r="AA1344" s="20">
        <v>0</v>
      </c>
      <c r="AB1344" s="20">
        <v>23209.89</v>
      </c>
      <c r="AC1344" t="s">
        <v>589</v>
      </c>
      <c r="AD1344" t="s">
        <v>290</v>
      </c>
      <c r="AE1344" s="702">
        <f t="shared" si="100"/>
        <v>43983</v>
      </c>
      <c r="AF1344" s="289">
        <v>35896.011208692951</v>
      </c>
      <c r="AG1344">
        <f t="shared" si="101"/>
        <v>360</v>
      </c>
      <c r="AH1344" s="289">
        <f t="shared" si="102"/>
        <v>99.711142246369306</v>
      </c>
      <c r="AJ1344" s="289">
        <f t="shared" si="103"/>
        <v>30</v>
      </c>
      <c r="AK1344" s="289">
        <f t="shared" si="104"/>
        <v>2991.3342673910793</v>
      </c>
    </row>
    <row r="1345" spans="1:37">
      <c r="A1345" s="703" t="s">
        <v>2843</v>
      </c>
      <c r="B1345" s="703" t="s">
        <v>484</v>
      </c>
      <c r="C1345" s="703" t="s">
        <v>1776</v>
      </c>
      <c r="D1345" s="703" t="s">
        <v>1777</v>
      </c>
      <c r="E1345" s="703" t="s">
        <v>334</v>
      </c>
      <c r="F1345" s="703" t="s">
        <v>487</v>
      </c>
      <c r="G1345" s="703" t="s">
        <v>2844</v>
      </c>
      <c r="H1345" s="703" t="s">
        <v>334</v>
      </c>
      <c r="I1345" s="703" t="s">
        <v>334</v>
      </c>
      <c r="J1345" s="703" t="s">
        <v>490</v>
      </c>
      <c r="K1345" s="704">
        <v>0</v>
      </c>
      <c r="L1345" s="703" t="s">
        <v>334</v>
      </c>
      <c r="M1345" s="702"/>
      <c r="N1345" s="702">
        <v>44196</v>
      </c>
      <c r="O1345" s="703" t="s">
        <v>338</v>
      </c>
      <c r="P1345" s="20">
        <v>663281.37</v>
      </c>
      <c r="Q1345" s="20">
        <v>810370.69</v>
      </c>
      <c r="R1345" s="20">
        <v>-662424.97</v>
      </c>
      <c r="S1345" s="20">
        <v>0</v>
      </c>
      <c r="T1345" s="20">
        <v>811227.09</v>
      </c>
      <c r="U1345" s="20">
        <v>663281.37</v>
      </c>
      <c r="V1345" s="20">
        <v>0</v>
      </c>
      <c r="W1345" s="20">
        <v>0</v>
      </c>
      <c r="X1345" s="20">
        <v>0</v>
      </c>
      <c r="Y1345" s="20">
        <v>0</v>
      </c>
      <c r="Z1345" s="20">
        <v>0</v>
      </c>
      <c r="AA1345" s="20">
        <v>0</v>
      </c>
      <c r="AB1345" s="20">
        <v>811227.09</v>
      </c>
      <c r="AC1345" t="s">
        <v>1779</v>
      </c>
      <c r="AD1345" t="s">
        <v>492</v>
      </c>
      <c r="AE1345" s="702">
        <f t="shared" si="100"/>
        <v>43983</v>
      </c>
      <c r="AF1345" s="289">
        <v>1170988.132629531</v>
      </c>
      <c r="AG1345">
        <f t="shared" si="101"/>
        <v>360</v>
      </c>
      <c r="AH1345" s="289">
        <f t="shared" si="102"/>
        <v>3252.7448128598085</v>
      </c>
      <c r="AJ1345" s="289">
        <f t="shared" si="103"/>
        <v>30</v>
      </c>
      <c r="AK1345" s="289">
        <f t="shared" si="104"/>
        <v>0</v>
      </c>
    </row>
    <row r="1346" spans="1:37">
      <c r="A1346" s="703" t="s">
        <v>2845</v>
      </c>
      <c r="B1346" s="703" t="s">
        <v>484</v>
      </c>
      <c r="C1346" s="703" t="s">
        <v>1776</v>
      </c>
      <c r="D1346" s="703" t="s">
        <v>1777</v>
      </c>
      <c r="E1346" s="703" t="s">
        <v>334</v>
      </c>
      <c r="F1346" s="703" t="s">
        <v>487</v>
      </c>
      <c r="G1346" s="703" t="s">
        <v>2846</v>
      </c>
      <c r="H1346" s="703" t="s">
        <v>334</v>
      </c>
      <c r="I1346" s="703" t="s">
        <v>334</v>
      </c>
      <c r="J1346" s="703" t="s">
        <v>490</v>
      </c>
      <c r="K1346" s="704">
        <v>0</v>
      </c>
      <c r="L1346" s="703" t="s">
        <v>334</v>
      </c>
      <c r="M1346" s="702"/>
      <c r="N1346" s="702">
        <v>44196</v>
      </c>
      <c r="O1346" s="703" t="s">
        <v>338</v>
      </c>
      <c r="P1346" s="20">
        <v>628.99</v>
      </c>
      <c r="Q1346" s="20">
        <v>0</v>
      </c>
      <c r="R1346" s="20">
        <v>-2</v>
      </c>
      <c r="S1346" s="20">
        <v>0</v>
      </c>
      <c r="T1346" s="20">
        <v>626.99</v>
      </c>
      <c r="U1346" s="20">
        <v>628.99</v>
      </c>
      <c r="V1346" s="20">
        <v>0</v>
      </c>
      <c r="W1346" s="20">
        <v>0</v>
      </c>
      <c r="X1346" s="20">
        <v>0</v>
      </c>
      <c r="Y1346" s="20">
        <v>0</v>
      </c>
      <c r="Z1346" s="20">
        <v>0</v>
      </c>
      <c r="AA1346" s="20">
        <v>0</v>
      </c>
      <c r="AB1346" s="20">
        <v>626.99</v>
      </c>
      <c r="AC1346" t="s">
        <v>1779</v>
      </c>
      <c r="AD1346" t="s">
        <v>492</v>
      </c>
      <c r="AE1346" s="702">
        <f t="shared" si="100"/>
        <v>43983</v>
      </c>
      <c r="AF1346" s="289">
        <v>905.04602019317383</v>
      </c>
      <c r="AG1346">
        <f t="shared" si="101"/>
        <v>360</v>
      </c>
      <c r="AH1346" s="289">
        <f t="shared" si="102"/>
        <v>2.5140167227588162</v>
      </c>
      <c r="AJ1346" s="289">
        <f t="shared" si="103"/>
        <v>30</v>
      </c>
      <c r="AK1346" s="289">
        <f t="shared" si="104"/>
        <v>0</v>
      </c>
    </row>
    <row r="1347" spans="1:37">
      <c r="A1347" s="703" t="s">
        <v>2847</v>
      </c>
      <c r="B1347" s="703" t="s">
        <v>484</v>
      </c>
      <c r="C1347" s="703" t="s">
        <v>1210</v>
      </c>
      <c r="D1347" s="703" t="s">
        <v>391</v>
      </c>
      <c r="E1347" s="703" t="s">
        <v>334</v>
      </c>
      <c r="F1347" s="703" t="s">
        <v>487</v>
      </c>
      <c r="G1347" s="703" t="s">
        <v>2848</v>
      </c>
      <c r="H1347" s="703" t="s">
        <v>334</v>
      </c>
      <c r="I1347" s="703" t="s">
        <v>334</v>
      </c>
      <c r="J1347" s="703" t="s">
        <v>490</v>
      </c>
      <c r="K1347" s="704">
        <v>0</v>
      </c>
      <c r="L1347" s="703" t="s">
        <v>334</v>
      </c>
      <c r="M1347" s="702"/>
      <c r="N1347" s="702">
        <v>44196</v>
      </c>
      <c r="O1347" s="703" t="s">
        <v>338</v>
      </c>
      <c r="P1347" s="20">
        <v>77.47</v>
      </c>
      <c r="Q1347" s="20">
        <v>0</v>
      </c>
      <c r="R1347" s="20">
        <v>0</v>
      </c>
      <c r="S1347" s="20">
        <v>0</v>
      </c>
      <c r="T1347" s="20">
        <v>77.47</v>
      </c>
      <c r="U1347" s="20">
        <v>77.47</v>
      </c>
      <c r="V1347" s="20">
        <v>0</v>
      </c>
      <c r="W1347" s="20">
        <v>0</v>
      </c>
      <c r="X1347" s="20">
        <v>0</v>
      </c>
      <c r="Y1347" s="20">
        <v>0</v>
      </c>
      <c r="Z1347" s="20">
        <v>0</v>
      </c>
      <c r="AA1347" s="20">
        <v>0</v>
      </c>
      <c r="AB1347" s="20">
        <v>77.47</v>
      </c>
      <c r="AC1347" t="s">
        <v>1212</v>
      </c>
      <c r="AD1347" t="s">
        <v>492</v>
      </c>
      <c r="AE1347" s="702">
        <f t="shared" si="100"/>
        <v>43983</v>
      </c>
      <c r="AF1347" s="289">
        <v>111.82620964347944</v>
      </c>
      <c r="AG1347">
        <f t="shared" si="101"/>
        <v>360</v>
      </c>
      <c r="AH1347" s="289">
        <f t="shared" si="102"/>
        <v>0.31062836012077621</v>
      </c>
      <c r="AJ1347" s="289">
        <f t="shared" si="103"/>
        <v>30</v>
      </c>
      <c r="AK1347" s="289">
        <f t="shared" si="104"/>
        <v>0</v>
      </c>
    </row>
    <row r="1348" spans="1:37">
      <c r="A1348" s="703" t="s">
        <v>2286</v>
      </c>
      <c r="B1348" s="703" t="s">
        <v>2849</v>
      </c>
      <c r="C1348" s="703" t="s">
        <v>332</v>
      </c>
      <c r="D1348" s="703" t="s">
        <v>334</v>
      </c>
      <c r="E1348" s="703" t="s">
        <v>334</v>
      </c>
      <c r="F1348" s="703" t="s">
        <v>335</v>
      </c>
      <c r="G1348" s="703" t="s">
        <v>2287</v>
      </c>
      <c r="H1348" s="703" t="s">
        <v>334</v>
      </c>
      <c r="I1348" s="703" t="s">
        <v>334</v>
      </c>
      <c r="J1348" s="703" t="s">
        <v>337</v>
      </c>
      <c r="K1348" s="704">
        <v>0</v>
      </c>
      <c r="L1348" s="703" t="s">
        <v>334</v>
      </c>
      <c r="M1348" s="702">
        <v>39478</v>
      </c>
      <c r="N1348" s="702">
        <v>44218</v>
      </c>
      <c r="O1348" s="703" t="s">
        <v>338</v>
      </c>
      <c r="P1348" s="20">
        <v>1797.88</v>
      </c>
      <c r="Q1348" s="20">
        <v>0</v>
      </c>
      <c r="R1348" s="20">
        <v>0</v>
      </c>
      <c r="S1348" s="20">
        <v>0</v>
      </c>
      <c r="T1348" s="20">
        <v>1797.88</v>
      </c>
      <c r="U1348" s="20">
        <v>1742.94</v>
      </c>
      <c r="V1348" s="20">
        <v>-54.94</v>
      </c>
      <c r="W1348" s="20">
        <v>-114.87</v>
      </c>
      <c r="X1348" s="20">
        <v>-59.93</v>
      </c>
      <c r="Y1348" s="20">
        <v>0</v>
      </c>
      <c r="Z1348" s="20">
        <v>0</v>
      </c>
      <c r="AA1348" s="20">
        <v>0</v>
      </c>
      <c r="AB1348" s="20">
        <v>1683.01</v>
      </c>
      <c r="AC1348" t="s">
        <v>183</v>
      </c>
      <c r="AD1348" t="s">
        <v>290</v>
      </c>
      <c r="AE1348" s="702">
        <f t="shared" si="100"/>
        <v>44348</v>
      </c>
      <c r="AF1348" s="289">
        <v>2064.4070416459822</v>
      </c>
      <c r="AG1348">
        <f t="shared" si="101"/>
        <v>360</v>
      </c>
      <c r="AH1348" s="289">
        <f t="shared" si="102"/>
        <v>5.7344640045721729</v>
      </c>
      <c r="AJ1348" s="289">
        <f t="shared" si="103"/>
        <v>18</v>
      </c>
      <c r="AK1348" s="289">
        <f t="shared" si="104"/>
        <v>103.22035208229912</v>
      </c>
    </row>
    <row r="1349" spans="1:37">
      <c r="A1349" s="703" t="s">
        <v>2366</v>
      </c>
      <c r="B1349" s="703" t="s">
        <v>2849</v>
      </c>
      <c r="C1349" s="703" t="s">
        <v>332</v>
      </c>
      <c r="D1349" s="703" t="s">
        <v>334</v>
      </c>
      <c r="E1349" s="703" t="s">
        <v>334</v>
      </c>
      <c r="F1349" s="703" t="s">
        <v>335</v>
      </c>
      <c r="G1349" s="703" t="s">
        <v>2367</v>
      </c>
      <c r="H1349" s="703" t="s">
        <v>334</v>
      </c>
      <c r="I1349" s="703" t="s">
        <v>334</v>
      </c>
      <c r="J1349" s="703" t="s">
        <v>337</v>
      </c>
      <c r="K1349" s="704">
        <v>0</v>
      </c>
      <c r="L1349" s="703" t="s">
        <v>334</v>
      </c>
      <c r="M1349" s="702">
        <v>39478</v>
      </c>
      <c r="N1349" s="702">
        <v>44218</v>
      </c>
      <c r="O1349" s="703" t="s">
        <v>338</v>
      </c>
      <c r="P1349" s="20">
        <v>17417.47</v>
      </c>
      <c r="Q1349" s="20">
        <v>0</v>
      </c>
      <c r="R1349" s="20">
        <v>0</v>
      </c>
      <c r="S1349" s="20">
        <v>0</v>
      </c>
      <c r="T1349" s="20">
        <v>17417.47</v>
      </c>
      <c r="U1349" s="20">
        <v>16885.27</v>
      </c>
      <c r="V1349" s="20">
        <v>-532.20000000000005</v>
      </c>
      <c r="W1349" s="20">
        <v>-1112.78</v>
      </c>
      <c r="X1349" s="20">
        <v>-580.58000000000004</v>
      </c>
      <c r="Y1349" s="20">
        <v>0</v>
      </c>
      <c r="Z1349" s="20">
        <v>0</v>
      </c>
      <c r="AA1349" s="20">
        <v>0</v>
      </c>
      <c r="AB1349" s="20">
        <v>16304.69</v>
      </c>
      <c r="AC1349" t="s">
        <v>183</v>
      </c>
      <c r="AD1349" t="s">
        <v>290</v>
      </c>
      <c r="AE1349" s="702">
        <f t="shared" si="100"/>
        <v>44348</v>
      </c>
      <c r="AF1349" s="289">
        <v>19999.525950373576</v>
      </c>
      <c r="AG1349">
        <f t="shared" si="101"/>
        <v>360</v>
      </c>
      <c r="AH1349" s="289">
        <f t="shared" si="102"/>
        <v>55.554238751037708</v>
      </c>
      <c r="AJ1349" s="289">
        <f t="shared" si="103"/>
        <v>18</v>
      </c>
      <c r="AK1349" s="289">
        <f t="shared" si="104"/>
        <v>999.97629751867873</v>
      </c>
    </row>
    <row r="1350" spans="1:37">
      <c r="A1350" s="703" t="s">
        <v>2370</v>
      </c>
      <c r="B1350" s="703" t="s">
        <v>2849</v>
      </c>
      <c r="C1350" s="703" t="s">
        <v>332</v>
      </c>
      <c r="D1350" s="703" t="s">
        <v>334</v>
      </c>
      <c r="E1350" s="703" t="s">
        <v>334</v>
      </c>
      <c r="F1350" s="703" t="s">
        <v>335</v>
      </c>
      <c r="G1350" s="703" t="s">
        <v>2371</v>
      </c>
      <c r="H1350" s="703" t="s">
        <v>334</v>
      </c>
      <c r="I1350" s="703" t="s">
        <v>334</v>
      </c>
      <c r="J1350" s="703" t="s">
        <v>337</v>
      </c>
      <c r="K1350" s="704">
        <v>0</v>
      </c>
      <c r="L1350" s="703" t="s">
        <v>334</v>
      </c>
      <c r="M1350" s="702">
        <v>39478</v>
      </c>
      <c r="N1350" s="702">
        <v>44218</v>
      </c>
      <c r="O1350" s="703" t="s">
        <v>338</v>
      </c>
      <c r="P1350" s="20">
        <v>59517.39</v>
      </c>
      <c r="Q1350" s="20">
        <v>0</v>
      </c>
      <c r="R1350" s="20">
        <v>0</v>
      </c>
      <c r="S1350" s="20">
        <v>0</v>
      </c>
      <c r="T1350" s="20">
        <v>59517.39</v>
      </c>
      <c r="U1350" s="20">
        <v>57698.8</v>
      </c>
      <c r="V1350" s="20">
        <v>-1818.59</v>
      </c>
      <c r="W1350" s="20">
        <v>-3802.5</v>
      </c>
      <c r="X1350" s="20">
        <v>-1983.91</v>
      </c>
      <c r="Y1350" s="20">
        <v>0</v>
      </c>
      <c r="Z1350" s="20">
        <v>0</v>
      </c>
      <c r="AA1350" s="20">
        <v>0</v>
      </c>
      <c r="AB1350" s="20">
        <v>55714.89</v>
      </c>
      <c r="AC1350" t="s">
        <v>183</v>
      </c>
      <c r="AD1350" t="s">
        <v>290</v>
      </c>
      <c r="AE1350" s="702">
        <f t="shared" si="100"/>
        <v>44348</v>
      </c>
      <c r="AF1350" s="289">
        <v>68340.556108522345</v>
      </c>
      <c r="AG1350">
        <f t="shared" si="101"/>
        <v>360</v>
      </c>
      <c r="AH1350" s="289">
        <f t="shared" si="102"/>
        <v>189.83487807922873</v>
      </c>
      <c r="AJ1350" s="289">
        <f t="shared" si="103"/>
        <v>18</v>
      </c>
      <c r="AK1350" s="289">
        <f t="shared" si="104"/>
        <v>3417.0278054261171</v>
      </c>
    </row>
    <row r="1351" spans="1:37">
      <c r="A1351" s="703" t="s">
        <v>2375</v>
      </c>
      <c r="B1351" s="703" t="s">
        <v>2849</v>
      </c>
      <c r="C1351" s="703" t="s">
        <v>332</v>
      </c>
      <c r="D1351" s="703" t="s">
        <v>334</v>
      </c>
      <c r="E1351" s="703" t="s">
        <v>334</v>
      </c>
      <c r="F1351" s="703" t="s">
        <v>335</v>
      </c>
      <c r="G1351" s="703" t="s">
        <v>2376</v>
      </c>
      <c r="H1351" s="703" t="s">
        <v>334</v>
      </c>
      <c r="I1351" s="703" t="s">
        <v>334</v>
      </c>
      <c r="J1351" s="703" t="s">
        <v>337</v>
      </c>
      <c r="K1351" s="704">
        <v>0</v>
      </c>
      <c r="L1351" s="703" t="s">
        <v>334</v>
      </c>
      <c r="M1351" s="702">
        <v>39478</v>
      </c>
      <c r="N1351" s="702">
        <v>44218</v>
      </c>
      <c r="O1351" s="703" t="s">
        <v>338</v>
      </c>
      <c r="P1351" s="20">
        <v>152442.85999999999</v>
      </c>
      <c r="Q1351" s="20">
        <v>0</v>
      </c>
      <c r="R1351" s="20">
        <v>0</v>
      </c>
      <c r="S1351" s="20">
        <v>0</v>
      </c>
      <c r="T1351" s="20">
        <v>152442.85999999999</v>
      </c>
      <c r="U1351" s="20">
        <v>147784.88</v>
      </c>
      <c r="V1351" s="20">
        <v>-4657.9799999999996</v>
      </c>
      <c r="W1351" s="20">
        <v>-9739.41</v>
      </c>
      <c r="X1351" s="20">
        <v>-5081.43</v>
      </c>
      <c r="Y1351" s="20">
        <v>0</v>
      </c>
      <c r="Z1351" s="20">
        <v>0</v>
      </c>
      <c r="AA1351" s="20">
        <v>0</v>
      </c>
      <c r="AB1351" s="20">
        <v>142703.45000000001</v>
      </c>
      <c r="AC1351" t="s">
        <v>183</v>
      </c>
      <c r="AD1351" t="s">
        <v>290</v>
      </c>
      <c r="AE1351" s="702">
        <f t="shared" ref="AE1351:AE1414" si="105">IF(N1351&gt;=$AG$5,DATE(YEAR(N1351),6,1),DATE(YEAR(N1351),6,1))</f>
        <v>44348</v>
      </c>
      <c r="AF1351" s="289">
        <v>175041.77900229857</v>
      </c>
      <c r="AG1351">
        <f t="shared" ref="AG1351:AG1414" si="106">+IF(AD1351="intangível",20*12,IF(AD1351="Diferido",120,IF(AD1351="Não vinculados",0,IF(AE1351&lt;=$AG$5,F1351*12,360))))</f>
        <v>360</v>
      </c>
      <c r="AH1351" s="289">
        <f t="shared" ref="AH1351:AH1414" si="107">IF(AG1351=0,0,AF1351/AG1351)</f>
        <v>486.2271638952738</v>
      </c>
      <c r="AJ1351" s="289">
        <f t="shared" ref="AJ1351:AJ1414" si="108">+IF(AND(YEAR(AE1351)&gt;=2018,YEAR(AE1351)&lt;=2022),IF(DATEDIF(AE1351,$AK$4,"m")&gt;=AG1351,AG1351,DATEDIF(AE1351,$AK$4,"m")),0)</f>
        <v>18</v>
      </c>
      <c r="AK1351" s="289">
        <f t="shared" ref="AK1351:AK1414" si="109">IF(AD1351="Imobilizado",AJ1351*AH1351,0)</f>
        <v>8752.0889501149286</v>
      </c>
    </row>
    <row r="1352" spans="1:37">
      <c r="A1352" s="703" t="s">
        <v>2377</v>
      </c>
      <c r="B1352" s="703" t="s">
        <v>2849</v>
      </c>
      <c r="C1352" s="703" t="s">
        <v>332</v>
      </c>
      <c r="D1352" s="703" t="s">
        <v>334</v>
      </c>
      <c r="E1352" s="703" t="s">
        <v>334</v>
      </c>
      <c r="F1352" s="703" t="s">
        <v>335</v>
      </c>
      <c r="G1352" s="703" t="s">
        <v>2378</v>
      </c>
      <c r="H1352" s="703" t="s">
        <v>334</v>
      </c>
      <c r="I1352" s="703" t="s">
        <v>334</v>
      </c>
      <c r="J1352" s="703" t="s">
        <v>337</v>
      </c>
      <c r="K1352" s="704">
        <v>0</v>
      </c>
      <c r="L1352" s="703" t="s">
        <v>334</v>
      </c>
      <c r="M1352" s="702">
        <v>39478</v>
      </c>
      <c r="N1352" s="702">
        <v>44218</v>
      </c>
      <c r="O1352" s="703" t="s">
        <v>338</v>
      </c>
      <c r="P1352" s="20">
        <v>200195.09</v>
      </c>
      <c r="Q1352" s="20">
        <v>0</v>
      </c>
      <c r="R1352" s="20">
        <v>0</v>
      </c>
      <c r="S1352" s="20">
        <v>0</v>
      </c>
      <c r="T1352" s="20">
        <v>200195.09</v>
      </c>
      <c r="U1352" s="20">
        <v>194078.02</v>
      </c>
      <c r="V1352" s="20">
        <v>-6117.07</v>
      </c>
      <c r="W1352" s="20">
        <v>-12790.24</v>
      </c>
      <c r="X1352" s="20">
        <v>-6673.17</v>
      </c>
      <c r="Y1352" s="20">
        <v>0</v>
      </c>
      <c r="Z1352" s="20">
        <v>0</v>
      </c>
      <c r="AA1352" s="20">
        <v>0</v>
      </c>
      <c r="AB1352" s="20">
        <v>187404.85</v>
      </c>
      <c r="AC1352" t="s">
        <v>183</v>
      </c>
      <c r="AD1352" t="s">
        <v>290</v>
      </c>
      <c r="AE1352" s="702">
        <f t="shared" si="105"/>
        <v>44348</v>
      </c>
      <c r="AF1352" s="289">
        <v>229873.0468657258</v>
      </c>
      <c r="AG1352">
        <f t="shared" si="106"/>
        <v>360</v>
      </c>
      <c r="AH1352" s="289">
        <f t="shared" si="107"/>
        <v>638.53624129368279</v>
      </c>
      <c r="AJ1352" s="289">
        <f t="shared" si="108"/>
        <v>18</v>
      </c>
      <c r="AK1352" s="289">
        <f t="shared" si="109"/>
        <v>11493.65234328629</v>
      </c>
    </row>
    <row r="1353" spans="1:37">
      <c r="A1353" s="703" t="s">
        <v>2383</v>
      </c>
      <c r="B1353" s="703" t="s">
        <v>2849</v>
      </c>
      <c r="C1353" s="703" t="s">
        <v>332</v>
      </c>
      <c r="D1353" s="703" t="s">
        <v>334</v>
      </c>
      <c r="E1353" s="703" t="s">
        <v>334</v>
      </c>
      <c r="F1353" s="703" t="s">
        <v>335</v>
      </c>
      <c r="G1353" s="703" t="s">
        <v>2384</v>
      </c>
      <c r="H1353" s="703" t="s">
        <v>334</v>
      </c>
      <c r="I1353" s="703" t="s">
        <v>334</v>
      </c>
      <c r="J1353" s="703" t="s">
        <v>337</v>
      </c>
      <c r="K1353" s="704">
        <v>0</v>
      </c>
      <c r="L1353" s="703" t="s">
        <v>334</v>
      </c>
      <c r="M1353" s="702">
        <v>42613</v>
      </c>
      <c r="N1353" s="702">
        <v>44218</v>
      </c>
      <c r="O1353" s="703" t="s">
        <v>338</v>
      </c>
      <c r="P1353" s="20">
        <v>1504360.09</v>
      </c>
      <c r="Q1353" s="20">
        <v>0</v>
      </c>
      <c r="R1353" s="20">
        <v>0</v>
      </c>
      <c r="S1353" s="20">
        <v>0</v>
      </c>
      <c r="T1353" s="20">
        <v>1504360.09</v>
      </c>
      <c r="U1353" s="20">
        <v>1458393.53</v>
      </c>
      <c r="V1353" s="20">
        <v>-45966.559999999998</v>
      </c>
      <c r="W1353" s="20">
        <v>-96111.9</v>
      </c>
      <c r="X1353" s="20">
        <v>-50145.34</v>
      </c>
      <c r="Y1353" s="20">
        <v>0</v>
      </c>
      <c r="Z1353" s="20">
        <v>0</v>
      </c>
      <c r="AA1353" s="20">
        <v>0</v>
      </c>
      <c r="AB1353" s="20">
        <v>1408248.19</v>
      </c>
      <c r="AC1353" t="s">
        <v>183</v>
      </c>
      <c r="AD1353" t="s">
        <v>290</v>
      </c>
      <c r="AE1353" s="702">
        <f t="shared" si="105"/>
        <v>44348</v>
      </c>
      <c r="AF1353" s="289">
        <v>1727374.2201744185</v>
      </c>
      <c r="AG1353">
        <f t="shared" si="106"/>
        <v>360</v>
      </c>
      <c r="AH1353" s="289">
        <f t="shared" si="107"/>
        <v>4798.2617227067185</v>
      </c>
      <c r="AJ1353" s="289">
        <f t="shared" si="108"/>
        <v>18</v>
      </c>
      <c r="AK1353" s="289">
        <f t="shared" si="109"/>
        <v>86368.711008720929</v>
      </c>
    </row>
    <row r="1354" spans="1:37">
      <c r="A1354" s="703" t="s">
        <v>2385</v>
      </c>
      <c r="B1354" s="703" t="s">
        <v>2849</v>
      </c>
      <c r="C1354" s="703" t="s">
        <v>332</v>
      </c>
      <c r="D1354" s="703" t="s">
        <v>334</v>
      </c>
      <c r="E1354" s="703" t="s">
        <v>334</v>
      </c>
      <c r="F1354" s="703" t="s">
        <v>335</v>
      </c>
      <c r="G1354" s="703" t="s">
        <v>2386</v>
      </c>
      <c r="H1354" s="703" t="s">
        <v>334</v>
      </c>
      <c r="I1354" s="703" t="s">
        <v>334</v>
      </c>
      <c r="J1354" s="703" t="s">
        <v>337</v>
      </c>
      <c r="K1354" s="704">
        <v>0</v>
      </c>
      <c r="L1354" s="703" t="s">
        <v>334</v>
      </c>
      <c r="M1354" s="702">
        <v>42886</v>
      </c>
      <c r="N1354" s="702">
        <v>44218</v>
      </c>
      <c r="O1354" s="703" t="s">
        <v>338</v>
      </c>
      <c r="P1354" s="20">
        <v>260429.98</v>
      </c>
      <c r="Q1354" s="20">
        <v>0</v>
      </c>
      <c r="R1354" s="20">
        <v>0</v>
      </c>
      <c r="S1354" s="20">
        <v>0</v>
      </c>
      <c r="T1354" s="20">
        <v>260429.98</v>
      </c>
      <c r="U1354" s="20">
        <v>252472.4</v>
      </c>
      <c r="V1354" s="20">
        <v>-7957.58</v>
      </c>
      <c r="W1354" s="20">
        <v>-16638.580000000002</v>
      </c>
      <c r="X1354" s="20">
        <v>-8681</v>
      </c>
      <c r="Y1354" s="20">
        <v>0</v>
      </c>
      <c r="Z1354" s="20">
        <v>0</v>
      </c>
      <c r="AA1354" s="20">
        <v>0</v>
      </c>
      <c r="AB1354" s="20">
        <v>243791.4</v>
      </c>
      <c r="AC1354" t="s">
        <v>183</v>
      </c>
      <c r="AD1354" t="s">
        <v>290</v>
      </c>
      <c r="AE1354" s="702">
        <f t="shared" si="105"/>
        <v>44348</v>
      </c>
      <c r="AF1354" s="289">
        <v>299037.46888987155</v>
      </c>
      <c r="AG1354">
        <f t="shared" si="106"/>
        <v>360</v>
      </c>
      <c r="AH1354" s="289">
        <f t="shared" si="107"/>
        <v>830.65963580519872</v>
      </c>
      <c r="AJ1354" s="289">
        <f t="shared" si="108"/>
        <v>18</v>
      </c>
      <c r="AK1354" s="289">
        <f t="shared" si="109"/>
        <v>14951.873444493576</v>
      </c>
    </row>
    <row r="1355" spans="1:37">
      <c r="A1355" s="703" t="s">
        <v>2850</v>
      </c>
      <c r="B1355" s="703" t="s">
        <v>2849</v>
      </c>
      <c r="C1355" s="703" t="s">
        <v>332</v>
      </c>
      <c r="D1355" s="703" t="s">
        <v>334</v>
      </c>
      <c r="E1355" s="703" t="s">
        <v>334</v>
      </c>
      <c r="F1355" s="703" t="s">
        <v>335</v>
      </c>
      <c r="G1355" s="703" t="s">
        <v>2851</v>
      </c>
      <c r="H1355" s="703" t="s">
        <v>334</v>
      </c>
      <c r="I1355" s="703" t="s">
        <v>334</v>
      </c>
      <c r="J1355" s="703" t="s">
        <v>337</v>
      </c>
      <c r="K1355" s="704">
        <v>0</v>
      </c>
      <c r="L1355" s="703" t="s">
        <v>334</v>
      </c>
      <c r="M1355" s="702">
        <v>39478</v>
      </c>
      <c r="N1355" s="702">
        <v>44218</v>
      </c>
      <c r="O1355" s="703" t="s">
        <v>338</v>
      </c>
      <c r="P1355" s="20">
        <v>406025.84</v>
      </c>
      <c r="Q1355" s="20">
        <v>0</v>
      </c>
      <c r="R1355" s="20">
        <v>0</v>
      </c>
      <c r="S1355" s="20">
        <v>0</v>
      </c>
      <c r="T1355" s="20">
        <v>406025.84</v>
      </c>
      <c r="U1355" s="20">
        <v>393619.49</v>
      </c>
      <c r="V1355" s="20">
        <v>-12406.35</v>
      </c>
      <c r="W1355" s="20">
        <v>-25940.54</v>
      </c>
      <c r="X1355" s="20">
        <v>-13534.19</v>
      </c>
      <c r="Y1355" s="20">
        <v>0</v>
      </c>
      <c r="Z1355" s="20">
        <v>0</v>
      </c>
      <c r="AA1355" s="20">
        <v>0</v>
      </c>
      <c r="AB1355" s="20">
        <v>380085.3</v>
      </c>
      <c r="AC1355" t="s">
        <v>183</v>
      </c>
      <c r="AD1355" t="s">
        <v>290</v>
      </c>
      <c r="AE1355" s="702">
        <f t="shared" si="105"/>
        <v>44348</v>
      </c>
      <c r="AF1355" s="289">
        <v>466217.21315450693</v>
      </c>
      <c r="AG1355">
        <f t="shared" si="106"/>
        <v>360</v>
      </c>
      <c r="AH1355" s="289">
        <f t="shared" si="107"/>
        <v>1295.0478143180749</v>
      </c>
      <c r="AJ1355" s="289">
        <f t="shared" si="108"/>
        <v>18</v>
      </c>
      <c r="AK1355" s="289">
        <f t="shared" si="109"/>
        <v>23310.860657725349</v>
      </c>
    </row>
    <row r="1356" spans="1:37">
      <c r="A1356" s="703" t="s">
        <v>2852</v>
      </c>
      <c r="B1356" s="703" t="s">
        <v>2849</v>
      </c>
      <c r="C1356" s="703" t="s">
        <v>332</v>
      </c>
      <c r="D1356" s="703" t="s">
        <v>334</v>
      </c>
      <c r="E1356" s="703" t="s">
        <v>334</v>
      </c>
      <c r="F1356" s="703" t="s">
        <v>335</v>
      </c>
      <c r="G1356" s="703" t="s">
        <v>2851</v>
      </c>
      <c r="H1356" s="703" t="s">
        <v>334</v>
      </c>
      <c r="I1356" s="703" t="s">
        <v>334</v>
      </c>
      <c r="J1356" s="703" t="s">
        <v>337</v>
      </c>
      <c r="K1356" s="704">
        <v>0</v>
      </c>
      <c r="L1356" s="703" t="s">
        <v>334</v>
      </c>
      <c r="M1356" s="702">
        <v>43921</v>
      </c>
      <c r="N1356" s="702">
        <v>44218</v>
      </c>
      <c r="O1356" s="703" t="s">
        <v>338</v>
      </c>
      <c r="P1356" s="20">
        <v>125031.86</v>
      </c>
      <c r="Q1356" s="20">
        <v>0</v>
      </c>
      <c r="R1356" s="20">
        <v>0</v>
      </c>
      <c r="S1356" s="20">
        <v>0</v>
      </c>
      <c r="T1356" s="20">
        <v>125031.86</v>
      </c>
      <c r="U1356" s="20">
        <v>121211.44</v>
      </c>
      <c r="V1356" s="20">
        <v>-3820.42</v>
      </c>
      <c r="W1356" s="20">
        <v>-7988.15</v>
      </c>
      <c r="X1356" s="20">
        <v>-4167.7299999999996</v>
      </c>
      <c r="Y1356" s="20">
        <v>0</v>
      </c>
      <c r="Z1356" s="20">
        <v>0</v>
      </c>
      <c r="AA1356" s="20">
        <v>0</v>
      </c>
      <c r="AB1356" s="20">
        <v>117043.71</v>
      </c>
      <c r="AC1356" t="s">
        <v>183</v>
      </c>
      <c r="AD1356" t="s">
        <v>290</v>
      </c>
      <c r="AE1356" s="702">
        <f t="shared" si="105"/>
        <v>44348</v>
      </c>
      <c r="AF1356" s="289">
        <v>143567.23041253843</v>
      </c>
      <c r="AG1356">
        <f t="shared" si="106"/>
        <v>360</v>
      </c>
      <c r="AH1356" s="289">
        <f t="shared" si="107"/>
        <v>398.79786225705118</v>
      </c>
      <c r="AJ1356" s="289">
        <f t="shared" si="108"/>
        <v>18</v>
      </c>
      <c r="AK1356" s="289">
        <f t="shared" si="109"/>
        <v>7178.3615206269214</v>
      </c>
    </row>
    <row r="1357" spans="1:37">
      <c r="A1357" s="703" t="s">
        <v>2427</v>
      </c>
      <c r="B1357" s="703" t="s">
        <v>2849</v>
      </c>
      <c r="C1357" s="703" t="s">
        <v>390</v>
      </c>
      <c r="D1357" s="703" t="s">
        <v>334</v>
      </c>
      <c r="E1357" s="703" t="s">
        <v>334</v>
      </c>
      <c r="F1357" s="703" t="s">
        <v>335</v>
      </c>
      <c r="G1357" s="703" t="s">
        <v>2428</v>
      </c>
      <c r="H1357" s="703" t="s">
        <v>334</v>
      </c>
      <c r="I1357" s="703" t="s">
        <v>334</v>
      </c>
      <c r="J1357" s="703" t="s">
        <v>337</v>
      </c>
      <c r="K1357" s="704">
        <v>0</v>
      </c>
      <c r="L1357" s="703" t="s">
        <v>334</v>
      </c>
      <c r="M1357" s="702">
        <v>43251</v>
      </c>
      <c r="N1357" s="702">
        <v>44218</v>
      </c>
      <c r="O1357" s="703" t="s">
        <v>338</v>
      </c>
      <c r="P1357" s="20">
        <v>42106.34</v>
      </c>
      <c r="Q1357" s="20">
        <v>0</v>
      </c>
      <c r="R1357" s="20">
        <v>0</v>
      </c>
      <c r="S1357" s="20">
        <v>0</v>
      </c>
      <c r="T1357" s="20">
        <v>42106.34</v>
      </c>
      <c r="U1357" s="20">
        <v>40819.760000000002</v>
      </c>
      <c r="V1357" s="20">
        <v>-1286.58</v>
      </c>
      <c r="W1357" s="20">
        <v>-2690.12</v>
      </c>
      <c r="X1357" s="20">
        <v>-1403.54</v>
      </c>
      <c r="Y1357" s="20">
        <v>0</v>
      </c>
      <c r="Z1357" s="20">
        <v>0</v>
      </c>
      <c r="AA1357" s="20">
        <v>0</v>
      </c>
      <c r="AB1357" s="20">
        <v>39416.22</v>
      </c>
      <c r="AC1357" t="s">
        <v>188</v>
      </c>
      <c r="AD1357" t="s">
        <v>290</v>
      </c>
      <c r="AE1357" s="702">
        <f t="shared" si="105"/>
        <v>44348</v>
      </c>
      <c r="AF1357" s="289">
        <v>48348.401892195179</v>
      </c>
      <c r="AG1357">
        <f t="shared" si="106"/>
        <v>360</v>
      </c>
      <c r="AH1357" s="289">
        <f t="shared" si="107"/>
        <v>134.30111636720883</v>
      </c>
      <c r="AJ1357" s="289">
        <f t="shared" si="108"/>
        <v>18</v>
      </c>
      <c r="AK1357" s="289">
        <f t="shared" si="109"/>
        <v>2417.420094609759</v>
      </c>
    </row>
    <row r="1358" spans="1:37">
      <c r="A1358" s="703" t="s">
        <v>2443</v>
      </c>
      <c r="B1358" s="703" t="s">
        <v>2849</v>
      </c>
      <c r="C1358" s="703" t="s">
        <v>390</v>
      </c>
      <c r="D1358" s="703" t="s">
        <v>334</v>
      </c>
      <c r="E1358" s="703" t="s">
        <v>334</v>
      </c>
      <c r="F1358" s="703" t="s">
        <v>335</v>
      </c>
      <c r="G1358" s="703" t="s">
        <v>2444</v>
      </c>
      <c r="H1358" s="703" t="s">
        <v>334</v>
      </c>
      <c r="I1358" s="703" t="s">
        <v>334</v>
      </c>
      <c r="J1358" s="703" t="s">
        <v>337</v>
      </c>
      <c r="K1358" s="704">
        <v>0</v>
      </c>
      <c r="L1358" s="703" t="s">
        <v>334</v>
      </c>
      <c r="M1358" s="702">
        <v>42886</v>
      </c>
      <c r="N1358" s="702">
        <v>44218</v>
      </c>
      <c r="O1358" s="703" t="s">
        <v>338</v>
      </c>
      <c r="P1358" s="20">
        <v>728.62</v>
      </c>
      <c r="Q1358" s="20">
        <v>0</v>
      </c>
      <c r="R1358" s="20">
        <v>0</v>
      </c>
      <c r="S1358" s="20">
        <v>0</v>
      </c>
      <c r="T1358" s="20">
        <v>728.62</v>
      </c>
      <c r="U1358" s="20">
        <v>706.36</v>
      </c>
      <c r="V1358" s="20">
        <v>-22.26</v>
      </c>
      <c r="W1358" s="20">
        <v>-46.55</v>
      </c>
      <c r="X1358" s="20">
        <v>-24.29</v>
      </c>
      <c r="Y1358" s="20">
        <v>0</v>
      </c>
      <c r="Z1358" s="20">
        <v>0</v>
      </c>
      <c r="AA1358" s="20">
        <v>0</v>
      </c>
      <c r="AB1358" s="20">
        <v>682.07</v>
      </c>
      <c r="AC1358" t="s">
        <v>188</v>
      </c>
      <c r="AD1358" t="s">
        <v>290</v>
      </c>
      <c r="AE1358" s="702">
        <f t="shared" si="105"/>
        <v>44348</v>
      </c>
      <c r="AF1358" s="289">
        <v>836.63440200908587</v>
      </c>
      <c r="AG1358">
        <f t="shared" si="106"/>
        <v>360</v>
      </c>
      <c r="AH1358" s="289">
        <f t="shared" si="107"/>
        <v>2.3239844500252387</v>
      </c>
      <c r="AJ1358" s="289">
        <f t="shared" si="108"/>
        <v>18</v>
      </c>
      <c r="AK1358" s="289">
        <f t="shared" si="109"/>
        <v>41.831720100454298</v>
      </c>
    </row>
    <row r="1359" spans="1:37">
      <c r="A1359" s="703" t="s">
        <v>2853</v>
      </c>
      <c r="B1359" s="703" t="s">
        <v>2849</v>
      </c>
      <c r="C1359" s="703" t="s">
        <v>390</v>
      </c>
      <c r="D1359" s="703" t="s">
        <v>334</v>
      </c>
      <c r="E1359" s="703" t="s">
        <v>334</v>
      </c>
      <c r="F1359" s="703" t="s">
        <v>335</v>
      </c>
      <c r="G1359" s="703" t="s">
        <v>2854</v>
      </c>
      <c r="H1359" s="703" t="s">
        <v>334</v>
      </c>
      <c r="I1359" s="703" t="s">
        <v>334</v>
      </c>
      <c r="J1359" s="703" t="s">
        <v>337</v>
      </c>
      <c r="K1359" s="704">
        <v>0</v>
      </c>
      <c r="L1359" s="703" t="s">
        <v>334</v>
      </c>
      <c r="M1359" s="702">
        <v>42886</v>
      </c>
      <c r="N1359" s="702">
        <v>44218</v>
      </c>
      <c r="O1359" s="703" t="s">
        <v>338</v>
      </c>
      <c r="P1359" s="20">
        <v>5541.64</v>
      </c>
      <c r="Q1359" s="20">
        <v>0</v>
      </c>
      <c r="R1359" s="20">
        <v>0</v>
      </c>
      <c r="S1359" s="20">
        <v>0</v>
      </c>
      <c r="T1359" s="20">
        <v>5541.64</v>
      </c>
      <c r="U1359" s="20">
        <v>5372.31</v>
      </c>
      <c r="V1359" s="20">
        <v>-169.33</v>
      </c>
      <c r="W1359" s="20">
        <v>-354.05</v>
      </c>
      <c r="X1359" s="20">
        <v>-184.72</v>
      </c>
      <c r="Y1359" s="20">
        <v>0</v>
      </c>
      <c r="Z1359" s="20">
        <v>0</v>
      </c>
      <c r="AA1359" s="20">
        <v>0</v>
      </c>
      <c r="AB1359" s="20">
        <v>5187.59</v>
      </c>
      <c r="AC1359" t="s">
        <v>188</v>
      </c>
      <c r="AD1359" t="s">
        <v>290</v>
      </c>
      <c r="AE1359" s="702">
        <f t="shared" si="105"/>
        <v>44348</v>
      </c>
      <c r="AF1359" s="289">
        <v>6363.1614113661863</v>
      </c>
      <c r="AG1359">
        <f t="shared" si="106"/>
        <v>360</v>
      </c>
      <c r="AH1359" s="289">
        <f t="shared" si="107"/>
        <v>17.675448364906075</v>
      </c>
      <c r="AJ1359" s="289">
        <f t="shared" si="108"/>
        <v>18</v>
      </c>
      <c r="AK1359" s="289">
        <f t="shared" si="109"/>
        <v>318.15807056830931</v>
      </c>
    </row>
    <row r="1360" spans="1:37">
      <c r="A1360" s="703" t="s">
        <v>2855</v>
      </c>
      <c r="B1360" s="703" t="s">
        <v>2849</v>
      </c>
      <c r="C1360" s="703" t="s">
        <v>390</v>
      </c>
      <c r="D1360" s="703" t="s">
        <v>334</v>
      </c>
      <c r="E1360" s="703" t="s">
        <v>334</v>
      </c>
      <c r="F1360" s="703" t="s">
        <v>335</v>
      </c>
      <c r="G1360" s="703" t="s">
        <v>2856</v>
      </c>
      <c r="H1360" s="703" t="s">
        <v>334</v>
      </c>
      <c r="I1360" s="703" t="s">
        <v>334</v>
      </c>
      <c r="J1360" s="703" t="s">
        <v>337</v>
      </c>
      <c r="K1360" s="704">
        <v>0</v>
      </c>
      <c r="L1360" s="703" t="s">
        <v>334</v>
      </c>
      <c r="M1360" s="702">
        <v>42886</v>
      </c>
      <c r="N1360" s="702">
        <v>44218</v>
      </c>
      <c r="O1360" s="703" t="s">
        <v>338</v>
      </c>
      <c r="P1360" s="20">
        <v>62072.800000000003</v>
      </c>
      <c r="Q1360" s="20">
        <v>0</v>
      </c>
      <c r="R1360" s="20">
        <v>0</v>
      </c>
      <c r="S1360" s="20">
        <v>0</v>
      </c>
      <c r="T1360" s="20">
        <v>62072.800000000003</v>
      </c>
      <c r="U1360" s="20">
        <v>60176.13</v>
      </c>
      <c r="V1360" s="20">
        <v>-1896.67</v>
      </c>
      <c r="W1360" s="20">
        <v>-3965.76</v>
      </c>
      <c r="X1360" s="20">
        <v>-2069.09</v>
      </c>
      <c r="Y1360" s="20">
        <v>0</v>
      </c>
      <c r="Z1360" s="20">
        <v>0</v>
      </c>
      <c r="AA1360" s="20">
        <v>0</v>
      </c>
      <c r="AB1360" s="20">
        <v>58107.040000000001</v>
      </c>
      <c r="AC1360" t="s">
        <v>188</v>
      </c>
      <c r="AD1360" t="s">
        <v>290</v>
      </c>
      <c r="AE1360" s="702">
        <f t="shared" si="105"/>
        <v>44348</v>
      </c>
      <c r="AF1360" s="289">
        <v>71274.793320289857</v>
      </c>
      <c r="AG1360">
        <f t="shared" si="106"/>
        <v>360</v>
      </c>
      <c r="AH1360" s="289">
        <f t="shared" si="107"/>
        <v>197.98553700080515</v>
      </c>
      <c r="AJ1360" s="289">
        <f t="shared" si="108"/>
        <v>18</v>
      </c>
      <c r="AK1360" s="289">
        <f t="shared" si="109"/>
        <v>3563.7396660144927</v>
      </c>
    </row>
    <row r="1361" spans="1:37">
      <c r="A1361" s="703" t="s">
        <v>2857</v>
      </c>
      <c r="B1361" s="703" t="s">
        <v>2849</v>
      </c>
      <c r="C1361" s="703" t="s">
        <v>390</v>
      </c>
      <c r="D1361" s="703" t="s">
        <v>334</v>
      </c>
      <c r="E1361" s="703" t="s">
        <v>334</v>
      </c>
      <c r="F1361" s="703" t="s">
        <v>335</v>
      </c>
      <c r="G1361" s="703" t="s">
        <v>2858</v>
      </c>
      <c r="H1361" s="703" t="s">
        <v>334</v>
      </c>
      <c r="I1361" s="703" t="s">
        <v>334</v>
      </c>
      <c r="J1361" s="703" t="s">
        <v>337</v>
      </c>
      <c r="K1361" s="704">
        <v>0</v>
      </c>
      <c r="L1361" s="703" t="s">
        <v>334</v>
      </c>
      <c r="M1361" s="702">
        <v>43921</v>
      </c>
      <c r="N1361" s="702">
        <v>44218</v>
      </c>
      <c r="O1361" s="703" t="s">
        <v>338</v>
      </c>
      <c r="P1361" s="20">
        <v>7251.03</v>
      </c>
      <c r="Q1361" s="20">
        <v>0</v>
      </c>
      <c r="R1361" s="20">
        <v>0</v>
      </c>
      <c r="S1361" s="20">
        <v>0</v>
      </c>
      <c r="T1361" s="20">
        <v>7251.03</v>
      </c>
      <c r="U1361" s="20">
        <v>7029.47</v>
      </c>
      <c r="V1361" s="20">
        <v>-221.56</v>
      </c>
      <c r="W1361" s="20">
        <v>-463.26</v>
      </c>
      <c r="X1361" s="20">
        <v>-241.7</v>
      </c>
      <c r="Y1361" s="20">
        <v>0</v>
      </c>
      <c r="Z1361" s="20">
        <v>0</v>
      </c>
      <c r="AA1361" s="20">
        <v>0</v>
      </c>
      <c r="AB1361" s="20">
        <v>6787.77</v>
      </c>
      <c r="AC1361" t="s">
        <v>188</v>
      </c>
      <c r="AD1361" t="s">
        <v>290</v>
      </c>
      <c r="AE1361" s="702">
        <f t="shared" si="105"/>
        <v>44348</v>
      </c>
      <c r="AF1361" s="289">
        <v>8325.9602371605815</v>
      </c>
      <c r="AG1361">
        <f t="shared" si="106"/>
        <v>360</v>
      </c>
      <c r="AH1361" s="289">
        <f t="shared" si="107"/>
        <v>23.127667325446058</v>
      </c>
      <c r="AJ1361" s="289">
        <f t="shared" si="108"/>
        <v>18</v>
      </c>
      <c r="AK1361" s="289">
        <f t="shared" si="109"/>
        <v>416.29801185802904</v>
      </c>
    </row>
    <row r="1362" spans="1:37">
      <c r="A1362" s="703" t="s">
        <v>2208</v>
      </c>
      <c r="B1362" s="703" t="s">
        <v>2849</v>
      </c>
      <c r="C1362" s="703" t="s">
        <v>390</v>
      </c>
      <c r="D1362" s="703" t="s">
        <v>391</v>
      </c>
      <c r="E1362" s="703" t="s">
        <v>334</v>
      </c>
      <c r="F1362" s="703" t="s">
        <v>487</v>
      </c>
      <c r="G1362" s="703" t="s">
        <v>2209</v>
      </c>
      <c r="H1362" s="703" t="s">
        <v>334</v>
      </c>
      <c r="I1362" s="703" t="s">
        <v>334</v>
      </c>
      <c r="J1362" s="703" t="s">
        <v>337</v>
      </c>
      <c r="K1362" s="704">
        <v>0</v>
      </c>
      <c r="L1362" s="703" t="s">
        <v>334</v>
      </c>
      <c r="M1362" s="702">
        <v>42886</v>
      </c>
      <c r="N1362" s="702">
        <v>44218</v>
      </c>
      <c r="O1362" s="703" t="s">
        <v>338</v>
      </c>
      <c r="P1362" s="20">
        <v>127757.75</v>
      </c>
      <c r="Q1362" s="20">
        <v>0</v>
      </c>
      <c r="R1362" s="20">
        <v>0</v>
      </c>
      <c r="S1362" s="20">
        <v>0</v>
      </c>
      <c r="T1362" s="20">
        <v>127757.75</v>
      </c>
      <c r="U1362" s="20">
        <v>127757.75</v>
      </c>
      <c r="V1362" s="20">
        <v>0</v>
      </c>
      <c r="W1362" s="20">
        <v>0</v>
      </c>
      <c r="X1362" s="20">
        <v>0</v>
      </c>
      <c r="Y1362" s="20">
        <v>0</v>
      </c>
      <c r="Z1362" s="20">
        <v>0</v>
      </c>
      <c r="AA1362" s="20">
        <v>0</v>
      </c>
      <c r="AB1362" s="20">
        <v>127757.75</v>
      </c>
      <c r="AC1362" t="s">
        <v>188</v>
      </c>
      <c r="AD1362" t="s">
        <v>290</v>
      </c>
      <c r="AE1362" s="702">
        <f t="shared" si="105"/>
        <v>44348</v>
      </c>
      <c r="AF1362" s="289">
        <v>146697.2204623484</v>
      </c>
      <c r="AG1362">
        <f t="shared" si="106"/>
        <v>360</v>
      </c>
      <c r="AH1362" s="289">
        <f t="shared" si="107"/>
        <v>407.49227906207886</v>
      </c>
      <c r="AJ1362" s="289">
        <f t="shared" si="108"/>
        <v>18</v>
      </c>
      <c r="AK1362" s="289">
        <f t="shared" si="109"/>
        <v>7334.8610231174198</v>
      </c>
    </row>
    <row r="1363" spans="1:37">
      <c r="A1363" s="703" t="s">
        <v>2859</v>
      </c>
      <c r="B1363" s="703" t="s">
        <v>2849</v>
      </c>
      <c r="C1363" s="703" t="s">
        <v>332</v>
      </c>
      <c r="D1363" s="703" t="s">
        <v>334</v>
      </c>
      <c r="E1363" s="703" t="s">
        <v>334</v>
      </c>
      <c r="F1363" s="703" t="s">
        <v>335</v>
      </c>
      <c r="G1363" s="703" t="s">
        <v>2851</v>
      </c>
      <c r="H1363" s="703" t="s">
        <v>334</v>
      </c>
      <c r="I1363" s="703" t="s">
        <v>334</v>
      </c>
      <c r="J1363" s="703" t="s">
        <v>337</v>
      </c>
      <c r="K1363" s="704">
        <v>0</v>
      </c>
      <c r="L1363" s="703" t="s">
        <v>334</v>
      </c>
      <c r="M1363" s="702">
        <v>43921</v>
      </c>
      <c r="N1363" s="702">
        <v>44221</v>
      </c>
      <c r="O1363" s="703" t="s">
        <v>338</v>
      </c>
      <c r="P1363" s="20">
        <v>199752.44</v>
      </c>
      <c r="Q1363" s="20">
        <v>0</v>
      </c>
      <c r="R1363" s="20">
        <v>0</v>
      </c>
      <c r="S1363" s="20">
        <v>0</v>
      </c>
      <c r="T1363" s="20">
        <v>199752.44</v>
      </c>
      <c r="U1363" s="20">
        <v>193648.89</v>
      </c>
      <c r="V1363" s="20">
        <v>-6103.55</v>
      </c>
      <c r="W1363" s="20">
        <v>-12761.96</v>
      </c>
      <c r="X1363" s="20">
        <v>-6658.41</v>
      </c>
      <c r="Y1363" s="20">
        <v>0</v>
      </c>
      <c r="Z1363" s="20">
        <v>0</v>
      </c>
      <c r="AA1363" s="20">
        <v>0</v>
      </c>
      <c r="AB1363" s="20">
        <v>186990.48</v>
      </c>
      <c r="AC1363" t="s">
        <v>183</v>
      </c>
      <c r="AD1363" t="s">
        <v>290</v>
      </c>
      <c r="AE1363" s="702">
        <f t="shared" si="105"/>
        <v>44348</v>
      </c>
      <c r="AF1363" s="289">
        <v>229364.77613743217</v>
      </c>
      <c r="AG1363">
        <f t="shared" si="106"/>
        <v>360</v>
      </c>
      <c r="AH1363" s="289">
        <f t="shared" si="107"/>
        <v>637.12437815953376</v>
      </c>
      <c r="AJ1363" s="289">
        <f t="shared" si="108"/>
        <v>18</v>
      </c>
      <c r="AK1363" s="289">
        <f t="shared" si="109"/>
        <v>11468.238806871608</v>
      </c>
    </row>
    <row r="1364" spans="1:37">
      <c r="A1364" s="703" t="s">
        <v>2860</v>
      </c>
      <c r="B1364" s="703" t="s">
        <v>2849</v>
      </c>
      <c r="C1364" s="703" t="s">
        <v>332</v>
      </c>
      <c r="D1364" s="703" t="s">
        <v>334</v>
      </c>
      <c r="E1364" s="703" t="s">
        <v>334</v>
      </c>
      <c r="F1364" s="703" t="s">
        <v>335</v>
      </c>
      <c r="G1364" s="703" t="s">
        <v>2851</v>
      </c>
      <c r="H1364" s="703" t="s">
        <v>334</v>
      </c>
      <c r="I1364" s="703" t="s">
        <v>334</v>
      </c>
      <c r="J1364" s="703" t="s">
        <v>337</v>
      </c>
      <c r="K1364" s="704">
        <v>0</v>
      </c>
      <c r="L1364" s="703" t="s">
        <v>334</v>
      </c>
      <c r="M1364" s="702">
        <v>43921</v>
      </c>
      <c r="N1364" s="702">
        <v>44221</v>
      </c>
      <c r="O1364" s="703" t="s">
        <v>338</v>
      </c>
      <c r="P1364" s="20">
        <v>251125.31</v>
      </c>
      <c r="Q1364" s="20">
        <v>0</v>
      </c>
      <c r="R1364" s="20">
        <v>0</v>
      </c>
      <c r="S1364" s="20">
        <v>0</v>
      </c>
      <c r="T1364" s="20">
        <v>251125.31</v>
      </c>
      <c r="U1364" s="20">
        <v>243452.04</v>
      </c>
      <c r="V1364" s="20">
        <v>-7673.27</v>
      </c>
      <c r="W1364" s="20">
        <v>-16044.11</v>
      </c>
      <c r="X1364" s="20">
        <v>-8370.84</v>
      </c>
      <c r="Y1364" s="20">
        <v>0</v>
      </c>
      <c r="Z1364" s="20">
        <v>0</v>
      </c>
      <c r="AA1364" s="20">
        <v>0</v>
      </c>
      <c r="AB1364" s="20">
        <v>235081.2</v>
      </c>
      <c r="AC1364" t="s">
        <v>183</v>
      </c>
      <c r="AD1364" t="s">
        <v>290</v>
      </c>
      <c r="AE1364" s="702">
        <f t="shared" si="105"/>
        <v>44348</v>
      </c>
      <c r="AF1364" s="289">
        <v>288353.42642419413</v>
      </c>
      <c r="AG1364">
        <f t="shared" si="106"/>
        <v>360</v>
      </c>
      <c r="AH1364" s="289">
        <f t="shared" si="107"/>
        <v>800.98174006720592</v>
      </c>
      <c r="AJ1364" s="289">
        <f t="shared" si="108"/>
        <v>18</v>
      </c>
      <c r="AK1364" s="289">
        <f t="shared" si="109"/>
        <v>14417.671321209706</v>
      </c>
    </row>
    <row r="1365" spans="1:37">
      <c r="A1365" s="703" t="s">
        <v>2861</v>
      </c>
      <c r="B1365" s="703" t="s">
        <v>2849</v>
      </c>
      <c r="C1365" s="703" t="s">
        <v>332</v>
      </c>
      <c r="D1365" s="703" t="s">
        <v>334</v>
      </c>
      <c r="E1365" s="703" t="s">
        <v>334</v>
      </c>
      <c r="F1365" s="703" t="s">
        <v>335</v>
      </c>
      <c r="G1365" s="703" t="s">
        <v>2851</v>
      </c>
      <c r="H1365" s="703" t="s">
        <v>334</v>
      </c>
      <c r="I1365" s="703" t="s">
        <v>334</v>
      </c>
      <c r="J1365" s="703" t="s">
        <v>337</v>
      </c>
      <c r="K1365" s="704">
        <v>0</v>
      </c>
      <c r="L1365" s="703" t="s">
        <v>334</v>
      </c>
      <c r="M1365" s="702">
        <v>43921</v>
      </c>
      <c r="N1365" s="702">
        <v>44221</v>
      </c>
      <c r="O1365" s="703" t="s">
        <v>338</v>
      </c>
      <c r="P1365" s="20">
        <v>57462.97</v>
      </c>
      <c r="Q1365" s="20">
        <v>0</v>
      </c>
      <c r="R1365" s="20">
        <v>0</v>
      </c>
      <c r="S1365" s="20">
        <v>0</v>
      </c>
      <c r="T1365" s="20">
        <v>57462.97</v>
      </c>
      <c r="U1365" s="20">
        <v>55707.16</v>
      </c>
      <c r="V1365" s="20">
        <v>-1755.81</v>
      </c>
      <c r="W1365" s="20">
        <v>-3671.24</v>
      </c>
      <c r="X1365" s="20">
        <v>-1915.43</v>
      </c>
      <c r="Y1365" s="20">
        <v>0</v>
      </c>
      <c r="Z1365" s="20">
        <v>0</v>
      </c>
      <c r="AA1365" s="20">
        <v>0</v>
      </c>
      <c r="AB1365" s="20">
        <v>53791.73</v>
      </c>
      <c r="AC1365" t="s">
        <v>183</v>
      </c>
      <c r="AD1365" t="s">
        <v>290</v>
      </c>
      <c r="AE1365" s="702">
        <f t="shared" si="105"/>
        <v>44348</v>
      </c>
      <c r="AF1365" s="289">
        <v>65981.578248766222</v>
      </c>
      <c r="AG1365">
        <f t="shared" si="106"/>
        <v>360</v>
      </c>
      <c r="AH1365" s="289">
        <f t="shared" si="107"/>
        <v>183.2821618021284</v>
      </c>
      <c r="AJ1365" s="289">
        <f t="shared" si="108"/>
        <v>18</v>
      </c>
      <c r="AK1365" s="289">
        <f t="shared" si="109"/>
        <v>3299.0789124383114</v>
      </c>
    </row>
    <row r="1366" spans="1:37">
      <c r="A1366" s="703" t="s">
        <v>2419</v>
      </c>
      <c r="B1366" s="703" t="s">
        <v>2849</v>
      </c>
      <c r="C1366" s="703" t="s">
        <v>390</v>
      </c>
      <c r="D1366" s="703" t="s">
        <v>334</v>
      </c>
      <c r="E1366" s="703" t="s">
        <v>334</v>
      </c>
      <c r="F1366" s="703" t="s">
        <v>335</v>
      </c>
      <c r="G1366" s="703" t="s">
        <v>2420</v>
      </c>
      <c r="H1366" s="703" t="s">
        <v>334</v>
      </c>
      <c r="I1366" s="703" t="s">
        <v>334</v>
      </c>
      <c r="J1366" s="703" t="s">
        <v>337</v>
      </c>
      <c r="K1366" s="704">
        <v>0</v>
      </c>
      <c r="L1366" s="703" t="s">
        <v>334</v>
      </c>
      <c r="M1366" s="702">
        <v>42886</v>
      </c>
      <c r="N1366" s="702">
        <v>44221</v>
      </c>
      <c r="O1366" s="703" t="s">
        <v>338</v>
      </c>
      <c r="P1366" s="20">
        <v>9836.67</v>
      </c>
      <c r="Q1366" s="20">
        <v>0</v>
      </c>
      <c r="R1366" s="20">
        <v>0</v>
      </c>
      <c r="S1366" s="20">
        <v>0</v>
      </c>
      <c r="T1366" s="20">
        <v>9836.67</v>
      </c>
      <c r="U1366" s="20">
        <v>9536.11</v>
      </c>
      <c r="V1366" s="20">
        <v>-300.56</v>
      </c>
      <c r="W1366" s="20">
        <v>-628.45000000000005</v>
      </c>
      <c r="X1366" s="20">
        <v>-327.89</v>
      </c>
      <c r="Y1366" s="20">
        <v>0</v>
      </c>
      <c r="Z1366" s="20">
        <v>0</v>
      </c>
      <c r="AA1366" s="20">
        <v>0</v>
      </c>
      <c r="AB1366" s="20">
        <v>9208.2199999999993</v>
      </c>
      <c r="AC1366" t="s">
        <v>188</v>
      </c>
      <c r="AD1366" t="s">
        <v>290</v>
      </c>
      <c r="AE1366" s="702">
        <f t="shared" si="105"/>
        <v>44348</v>
      </c>
      <c r="AF1366" s="289">
        <v>11294.908900676231</v>
      </c>
      <c r="AG1366">
        <f t="shared" si="106"/>
        <v>360</v>
      </c>
      <c r="AH1366" s="289">
        <f t="shared" si="107"/>
        <v>31.374746946322865</v>
      </c>
      <c r="AJ1366" s="289">
        <f t="shared" si="108"/>
        <v>18</v>
      </c>
      <c r="AK1366" s="289">
        <f t="shared" si="109"/>
        <v>564.74544503381162</v>
      </c>
    </row>
    <row r="1367" spans="1:37">
      <c r="A1367" s="703" t="s">
        <v>2423</v>
      </c>
      <c r="B1367" s="703" t="s">
        <v>2849</v>
      </c>
      <c r="C1367" s="703" t="s">
        <v>390</v>
      </c>
      <c r="D1367" s="703" t="s">
        <v>334</v>
      </c>
      <c r="E1367" s="703" t="s">
        <v>334</v>
      </c>
      <c r="F1367" s="703" t="s">
        <v>335</v>
      </c>
      <c r="G1367" s="703" t="s">
        <v>2424</v>
      </c>
      <c r="H1367" s="703" t="s">
        <v>334</v>
      </c>
      <c r="I1367" s="703" t="s">
        <v>334</v>
      </c>
      <c r="J1367" s="703" t="s">
        <v>337</v>
      </c>
      <c r="K1367" s="704">
        <v>0</v>
      </c>
      <c r="L1367" s="703" t="s">
        <v>334</v>
      </c>
      <c r="M1367" s="702">
        <v>42886</v>
      </c>
      <c r="N1367" s="702">
        <v>44221</v>
      </c>
      <c r="O1367" s="703" t="s">
        <v>338</v>
      </c>
      <c r="P1367" s="20">
        <v>4175.71</v>
      </c>
      <c r="Q1367" s="20">
        <v>0</v>
      </c>
      <c r="R1367" s="20">
        <v>0</v>
      </c>
      <c r="S1367" s="20">
        <v>0</v>
      </c>
      <c r="T1367" s="20">
        <v>4175.71</v>
      </c>
      <c r="U1367" s="20">
        <v>4048.12</v>
      </c>
      <c r="V1367" s="20">
        <v>-127.59</v>
      </c>
      <c r="W1367" s="20">
        <v>-266.77999999999997</v>
      </c>
      <c r="X1367" s="20">
        <v>-139.19</v>
      </c>
      <c r="Y1367" s="20">
        <v>0</v>
      </c>
      <c r="Z1367" s="20">
        <v>0</v>
      </c>
      <c r="AA1367" s="20">
        <v>0</v>
      </c>
      <c r="AB1367" s="20">
        <v>3908.93</v>
      </c>
      <c r="AC1367" t="s">
        <v>188</v>
      </c>
      <c r="AD1367" t="s">
        <v>290</v>
      </c>
      <c r="AE1367" s="702">
        <f t="shared" si="105"/>
        <v>44348</v>
      </c>
      <c r="AF1367" s="289">
        <v>4794.7388746031684</v>
      </c>
      <c r="AG1367">
        <f t="shared" si="106"/>
        <v>360</v>
      </c>
      <c r="AH1367" s="289">
        <f t="shared" si="107"/>
        <v>13.318719096119912</v>
      </c>
      <c r="AJ1367" s="289">
        <f t="shared" si="108"/>
        <v>18</v>
      </c>
      <c r="AK1367" s="289">
        <f t="shared" si="109"/>
        <v>239.7369437301584</v>
      </c>
    </row>
    <row r="1368" spans="1:37">
      <c r="A1368" s="703" t="s">
        <v>2425</v>
      </c>
      <c r="B1368" s="703" t="s">
        <v>2849</v>
      </c>
      <c r="C1368" s="703" t="s">
        <v>390</v>
      </c>
      <c r="D1368" s="703" t="s">
        <v>334</v>
      </c>
      <c r="E1368" s="703" t="s">
        <v>334</v>
      </c>
      <c r="F1368" s="703" t="s">
        <v>335</v>
      </c>
      <c r="G1368" s="703" t="s">
        <v>2426</v>
      </c>
      <c r="H1368" s="703" t="s">
        <v>334</v>
      </c>
      <c r="I1368" s="703" t="s">
        <v>334</v>
      </c>
      <c r="J1368" s="703" t="s">
        <v>337</v>
      </c>
      <c r="K1368" s="704">
        <v>0</v>
      </c>
      <c r="L1368" s="703" t="s">
        <v>334</v>
      </c>
      <c r="M1368" s="702">
        <v>42886</v>
      </c>
      <c r="N1368" s="702">
        <v>44221</v>
      </c>
      <c r="O1368" s="703" t="s">
        <v>338</v>
      </c>
      <c r="P1368" s="20">
        <v>767.53</v>
      </c>
      <c r="Q1368" s="20">
        <v>0</v>
      </c>
      <c r="R1368" s="20">
        <v>0</v>
      </c>
      <c r="S1368" s="20">
        <v>0</v>
      </c>
      <c r="T1368" s="20">
        <v>767.53</v>
      </c>
      <c r="U1368" s="20">
        <v>744.08</v>
      </c>
      <c r="V1368" s="20">
        <v>-23.45</v>
      </c>
      <c r="W1368" s="20">
        <v>-49.03</v>
      </c>
      <c r="X1368" s="20">
        <v>-25.58</v>
      </c>
      <c r="Y1368" s="20">
        <v>0</v>
      </c>
      <c r="Z1368" s="20">
        <v>0</v>
      </c>
      <c r="AA1368" s="20">
        <v>0</v>
      </c>
      <c r="AB1368" s="20">
        <v>718.5</v>
      </c>
      <c r="AC1368" t="s">
        <v>188</v>
      </c>
      <c r="AD1368" t="s">
        <v>290</v>
      </c>
      <c r="AE1368" s="702">
        <f t="shared" si="105"/>
        <v>44348</v>
      </c>
      <c r="AF1368" s="289">
        <v>881.31262190721327</v>
      </c>
      <c r="AG1368">
        <f t="shared" si="106"/>
        <v>360</v>
      </c>
      <c r="AH1368" s="289">
        <f t="shared" si="107"/>
        <v>2.4480906164089258</v>
      </c>
      <c r="AJ1368" s="289">
        <f t="shared" si="108"/>
        <v>18</v>
      </c>
      <c r="AK1368" s="289">
        <f t="shared" si="109"/>
        <v>44.065631095360665</v>
      </c>
    </row>
    <row r="1369" spans="1:37">
      <c r="A1369" s="703" t="s">
        <v>453</v>
      </c>
      <c r="B1369" s="703" t="s">
        <v>2849</v>
      </c>
      <c r="C1369" s="703" t="s">
        <v>454</v>
      </c>
      <c r="D1369" s="703" t="s">
        <v>334</v>
      </c>
      <c r="E1369" s="703" t="s">
        <v>334</v>
      </c>
      <c r="F1369" s="703" t="s">
        <v>455</v>
      </c>
      <c r="G1369" s="703" t="s">
        <v>456</v>
      </c>
      <c r="H1369" s="703" t="s">
        <v>457</v>
      </c>
      <c r="I1369" s="703" t="s">
        <v>334</v>
      </c>
      <c r="J1369" s="703" t="s">
        <v>458</v>
      </c>
      <c r="K1369" s="704">
        <v>0</v>
      </c>
      <c r="L1369" s="703" t="s">
        <v>334</v>
      </c>
      <c r="M1369" s="702"/>
      <c r="N1369" s="702">
        <v>44227</v>
      </c>
      <c r="O1369" s="703" t="s">
        <v>338</v>
      </c>
      <c r="P1369" s="20">
        <v>251867.9</v>
      </c>
      <c r="Q1369" s="20">
        <v>0</v>
      </c>
      <c r="R1369" s="20">
        <v>0</v>
      </c>
      <c r="S1369" s="20">
        <v>0</v>
      </c>
      <c r="T1369" s="20">
        <v>251867.9</v>
      </c>
      <c r="U1369" s="20">
        <v>246423.74</v>
      </c>
      <c r="V1369" s="20">
        <v>-5444.16</v>
      </c>
      <c r="W1369" s="20">
        <v>-18037.560000000001</v>
      </c>
      <c r="X1369" s="20">
        <v>-12593.4</v>
      </c>
      <c r="Y1369" s="20">
        <v>0</v>
      </c>
      <c r="Z1369" s="20">
        <v>0</v>
      </c>
      <c r="AA1369" s="20">
        <v>0</v>
      </c>
      <c r="AB1369" s="20">
        <v>233830.34</v>
      </c>
      <c r="AC1369" t="s">
        <v>459</v>
      </c>
      <c r="AD1369" t="s">
        <v>290</v>
      </c>
      <c r="AE1369" s="702">
        <f t="shared" si="105"/>
        <v>44348</v>
      </c>
      <c r="AF1369" s="289">
        <v>289206.10181134782</v>
      </c>
      <c r="AG1369">
        <f t="shared" si="106"/>
        <v>360</v>
      </c>
      <c r="AH1369" s="289">
        <f t="shared" si="107"/>
        <v>803.35028280929953</v>
      </c>
      <c r="AJ1369" s="289">
        <f t="shared" si="108"/>
        <v>18</v>
      </c>
      <c r="AK1369" s="289">
        <f t="shared" si="109"/>
        <v>14460.305090567392</v>
      </c>
    </row>
    <row r="1370" spans="1:37">
      <c r="A1370" s="703" t="s">
        <v>2174</v>
      </c>
      <c r="B1370" s="703" t="s">
        <v>2849</v>
      </c>
      <c r="C1370" s="703" t="s">
        <v>454</v>
      </c>
      <c r="D1370" s="703" t="s">
        <v>467</v>
      </c>
      <c r="E1370" s="703" t="s">
        <v>334</v>
      </c>
      <c r="F1370" s="703" t="s">
        <v>455</v>
      </c>
      <c r="G1370" s="703" t="s">
        <v>2175</v>
      </c>
      <c r="H1370" s="703" t="s">
        <v>334</v>
      </c>
      <c r="I1370" s="703" t="s">
        <v>334</v>
      </c>
      <c r="J1370" s="703" t="s">
        <v>458</v>
      </c>
      <c r="K1370" s="704">
        <v>29</v>
      </c>
      <c r="L1370" s="703" t="s">
        <v>463</v>
      </c>
      <c r="M1370" s="702"/>
      <c r="N1370" s="702">
        <v>44227</v>
      </c>
      <c r="O1370" s="703" t="s">
        <v>338</v>
      </c>
      <c r="P1370" s="20">
        <v>4436636.41</v>
      </c>
      <c r="Q1370" s="20">
        <v>0</v>
      </c>
      <c r="R1370" s="20">
        <v>0</v>
      </c>
      <c r="S1370" s="20">
        <v>0</v>
      </c>
      <c r="T1370" s="20">
        <v>4436636.41</v>
      </c>
      <c r="U1370" s="20">
        <v>4332643.13</v>
      </c>
      <c r="V1370" s="20">
        <v>-103993.28</v>
      </c>
      <c r="W1370" s="20">
        <v>-325825.09999999998</v>
      </c>
      <c r="X1370" s="20">
        <v>-221831.82</v>
      </c>
      <c r="Y1370" s="20">
        <v>0</v>
      </c>
      <c r="Z1370" s="20">
        <v>0</v>
      </c>
      <c r="AA1370" s="20">
        <v>0</v>
      </c>
      <c r="AB1370" s="20">
        <v>4110811.31</v>
      </c>
      <c r="AC1370" t="s">
        <v>459</v>
      </c>
      <c r="AD1370" t="s">
        <v>290</v>
      </c>
      <c r="AE1370" s="702">
        <f t="shared" si="105"/>
        <v>44348</v>
      </c>
      <c r="AF1370" s="289">
        <v>5094346.3668470373</v>
      </c>
      <c r="AG1370">
        <f t="shared" si="106"/>
        <v>360</v>
      </c>
      <c r="AH1370" s="289">
        <f t="shared" si="107"/>
        <v>14150.96213013066</v>
      </c>
      <c r="AJ1370" s="289">
        <f t="shared" si="108"/>
        <v>18</v>
      </c>
      <c r="AK1370" s="289">
        <f t="shared" si="109"/>
        <v>254717.31834235188</v>
      </c>
    </row>
    <row r="1371" spans="1:37">
      <c r="A1371" s="703" t="s">
        <v>2862</v>
      </c>
      <c r="B1371" s="703" t="s">
        <v>484</v>
      </c>
      <c r="C1371" s="703" t="s">
        <v>1776</v>
      </c>
      <c r="D1371" s="703" t="s">
        <v>333</v>
      </c>
      <c r="E1371" s="703" t="s">
        <v>334</v>
      </c>
      <c r="F1371" s="703" t="s">
        <v>487</v>
      </c>
      <c r="G1371" s="703" t="s">
        <v>1783</v>
      </c>
      <c r="H1371" s="703" t="s">
        <v>334</v>
      </c>
      <c r="I1371" s="703" t="s">
        <v>334</v>
      </c>
      <c r="J1371" s="703" t="s">
        <v>490</v>
      </c>
      <c r="K1371" s="704">
        <v>0</v>
      </c>
      <c r="L1371" s="703" t="s">
        <v>334</v>
      </c>
      <c r="M1371" s="702"/>
      <c r="N1371" s="702">
        <v>44227</v>
      </c>
      <c r="O1371" s="703" t="s">
        <v>338</v>
      </c>
      <c r="P1371" s="20">
        <v>548691.31000000006</v>
      </c>
      <c r="Q1371" s="20">
        <v>0</v>
      </c>
      <c r="R1371" s="20">
        <v>-548691.31000000006</v>
      </c>
      <c r="S1371" s="20">
        <v>0</v>
      </c>
      <c r="T1371" s="20">
        <v>0</v>
      </c>
      <c r="U1371" s="20">
        <v>548691.31000000006</v>
      </c>
      <c r="V1371" s="20">
        <v>0</v>
      </c>
      <c r="W1371" s="20">
        <v>0</v>
      </c>
      <c r="X1371" s="20">
        <v>0</v>
      </c>
      <c r="Y1371" s="20">
        <v>0</v>
      </c>
      <c r="Z1371" s="20">
        <v>0</v>
      </c>
      <c r="AA1371" s="20">
        <v>0</v>
      </c>
      <c r="AB1371" s="20">
        <v>0</v>
      </c>
      <c r="AC1371" t="s">
        <v>1779</v>
      </c>
      <c r="AD1371" t="s">
        <v>492</v>
      </c>
      <c r="AE1371" s="702">
        <f t="shared" si="105"/>
        <v>44348</v>
      </c>
      <c r="AF1371" s="289">
        <v>0</v>
      </c>
      <c r="AG1371">
        <f t="shared" si="106"/>
        <v>360</v>
      </c>
      <c r="AH1371" s="289">
        <f t="shared" si="107"/>
        <v>0</v>
      </c>
      <c r="AJ1371" s="289">
        <f t="shared" si="108"/>
        <v>18</v>
      </c>
      <c r="AK1371" s="289">
        <f t="shared" si="109"/>
        <v>0</v>
      </c>
    </row>
    <row r="1372" spans="1:37">
      <c r="A1372" s="703" t="s">
        <v>460</v>
      </c>
      <c r="B1372" s="703" t="s">
        <v>2849</v>
      </c>
      <c r="C1372" s="703" t="s">
        <v>454</v>
      </c>
      <c r="D1372" s="703" t="s">
        <v>334</v>
      </c>
      <c r="E1372" s="703" t="s">
        <v>334</v>
      </c>
      <c r="F1372" s="703" t="s">
        <v>455</v>
      </c>
      <c r="G1372" s="703" t="s">
        <v>461</v>
      </c>
      <c r="H1372" s="703" t="s">
        <v>462</v>
      </c>
      <c r="I1372" s="703" t="s">
        <v>334</v>
      </c>
      <c r="J1372" s="703" t="s">
        <v>458</v>
      </c>
      <c r="K1372" s="704">
        <v>40</v>
      </c>
      <c r="L1372" s="703" t="s">
        <v>463</v>
      </c>
      <c r="M1372" s="702"/>
      <c r="N1372" s="702">
        <v>44255</v>
      </c>
      <c r="O1372" s="703" t="s">
        <v>338</v>
      </c>
      <c r="P1372" s="20">
        <v>60544.85</v>
      </c>
      <c r="Q1372" s="20">
        <v>0</v>
      </c>
      <c r="R1372" s="20">
        <v>0</v>
      </c>
      <c r="S1372" s="20">
        <v>0</v>
      </c>
      <c r="T1372" s="20">
        <v>60544.85</v>
      </c>
      <c r="U1372" s="20">
        <v>59667.66</v>
      </c>
      <c r="V1372" s="20">
        <v>-877.19</v>
      </c>
      <c r="W1372" s="20">
        <v>-3904.43</v>
      </c>
      <c r="X1372" s="20">
        <v>-3027.24</v>
      </c>
      <c r="Y1372" s="20">
        <v>0</v>
      </c>
      <c r="Z1372" s="20">
        <v>0</v>
      </c>
      <c r="AA1372" s="20">
        <v>0</v>
      </c>
      <c r="AB1372" s="20">
        <v>56640.42</v>
      </c>
      <c r="AC1372" t="s">
        <v>459</v>
      </c>
      <c r="AD1372" t="s">
        <v>290</v>
      </c>
      <c r="AE1372" s="702">
        <f t="shared" si="105"/>
        <v>44348</v>
      </c>
      <c r="AF1372" s="289">
        <v>69520.33209969505</v>
      </c>
      <c r="AG1372">
        <f t="shared" si="106"/>
        <v>360</v>
      </c>
      <c r="AH1372" s="289">
        <f t="shared" si="107"/>
        <v>193.11203361026404</v>
      </c>
      <c r="AJ1372" s="289">
        <f t="shared" si="108"/>
        <v>18</v>
      </c>
      <c r="AK1372" s="289">
        <f t="shared" si="109"/>
        <v>3476.0166049847526</v>
      </c>
    </row>
    <row r="1373" spans="1:37">
      <c r="A1373" s="703" t="s">
        <v>809</v>
      </c>
      <c r="B1373" s="703" t="s">
        <v>2849</v>
      </c>
      <c r="C1373" s="703" t="s">
        <v>472</v>
      </c>
      <c r="D1373" s="703" t="s">
        <v>334</v>
      </c>
      <c r="E1373" s="703" t="s">
        <v>334</v>
      </c>
      <c r="F1373" s="703" t="s">
        <v>474</v>
      </c>
      <c r="G1373" s="703" t="s">
        <v>810</v>
      </c>
      <c r="H1373" s="703" t="s">
        <v>811</v>
      </c>
      <c r="I1373" s="703" t="s">
        <v>334</v>
      </c>
      <c r="J1373" s="703" t="s">
        <v>476</v>
      </c>
      <c r="K1373" s="704">
        <v>0</v>
      </c>
      <c r="L1373" s="703" t="s">
        <v>334</v>
      </c>
      <c r="M1373" s="702"/>
      <c r="N1373" s="702">
        <v>44255</v>
      </c>
      <c r="O1373" s="703" t="s">
        <v>338</v>
      </c>
      <c r="P1373" s="20">
        <v>26076.09</v>
      </c>
      <c r="Q1373" s="20">
        <v>0</v>
      </c>
      <c r="R1373" s="20">
        <v>0</v>
      </c>
      <c r="S1373" s="20">
        <v>0</v>
      </c>
      <c r="T1373" s="20">
        <v>26076.09</v>
      </c>
      <c r="U1373" s="20">
        <v>24365.279999999999</v>
      </c>
      <c r="V1373" s="20">
        <v>-1710.81</v>
      </c>
      <c r="W1373" s="20">
        <v>-4318.42</v>
      </c>
      <c r="X1373" s="20">
        <v>-2607.61</v>
      </c>
      <c r="Y1373" s="20">
        <v>0</v>
      </c>
      <c r="Z1373" s="20">
        <v>0</v>
      </c>
      <c r="AA1373" s="20">
        <v>0</v>
      </c>
      <c r="AB1373" s="20">
        <v>21757.67</v>
      </c>
      <c r="AC1373" t="s">
        <v>477</v>
      </c>
      <c r="AD1373" t="s">
        <v>290</v>
      </c>
      <c r="AE1373" s="702">
        <f t="shared" si="105"/>
        <v>44348</v>
      </c>
      <c r="AF1373" s="289">
        <v>29941.744618436365</v>
      </c>
      <c r="AG1373">
        <f t="shared" si="106"/>
        <v>360</v>
      </c>
      <c r="AH1373" s="289">
        <f t="shared" si="107"/>
        <v>83.171512828989904</v>
      </c>
      <c r="AJ1373" s="289">
        <f t="shared" si="108"/>
        <v>18</v>
      </c>
      <c r="AK1373" s="289">
        <f t="shared" si="109"/>
        <v>1497.0872309218182</v>
      </c>
    </row>
    <row r="1374" spans="1:37">
      <c r="A1374" s="703" t="s">
        <v>518</v>
      </c>
      <c r="B1374" s="703" t="s">
        <v>2849</v>
      </c>
      <c r="C1374" s="703" t="s">
        <v>472</v>
      </c>
      <c r="D1374" s="703" t="s">
        <v>334</v>
      </c>
      <c r="E1374" s="703" t="s">
        <v>334</v>
      </c>
      <c r="F1374" s="703" t="s">
        <v>474</v>
      </c>
      <c r="G1374" s="703" t="s">
        <v>519</v>
      </c>
      <c r="H1374" s="703" t="s">
        <v>520</v>
      </c>
      <c r="I1374" s="703" t="s">
        <v>334</v>
      </c>
      <c r="J1374" s="703" t="s">
        <v>476</v>
      </c>
      <c r="K1374" s="704">
        <v>0</v>
      </c>
      <c r="L1374" s="703" t="s">
        <v>334</v>
      </c>
      <c r="M1374" s="702"/>
      <c r="N1374" s="702">
        <v>44255</v>
      </c>
      <c r="O1374" s="703" t="s">
        <v>338</v>
      </c>
      <c r="P1374" s="20">
        <v>1151085.1299999999</v>
      </c>
      <c r="Q1374" s="20">
        <v>0</v>
      </c>
      <c r="R1374" s="20">
        <v>0</v>
      </c>
      <c r="S1374" s="20">
        <v>0</v>
      </c>
      <c r="T1374" s="20">
        <v>1151085.1299999999</v>
      </c>
      <c r="U1374" s="20">
        <v>1111785.48</v>
      </c>
      <c r="V1374" s="20">
        <v>-39299.65</v>
      </c>
      <c r="W1374" s="20">
        <v>-154408.16</v>
      </c>
      <c r="X1374" s="20">
        <v>-115108.51</v>
      </c>
      <c r="Y1374" s="20">
        <v>0</v>
      </c>
      <c r="Z1374" s="20">
        <v>0</v>
      </c>
      <c r="AA1374" s="20">
        <v>0</v>
      </c>
      <c r="AB1374" s="20">
        <v>996676.97</v>
      </c>
      <c r="AC1374" t="s">
        <v>477</v>
      </c>
      <c r="AD1374" t="s">
        <v>290</v>
      </c>
      <c r="AE1374" s="702">
        <f t="shared" si="105"/>
        <v>44348</v>
      </c>
      <c r="AF1374" s="289">
        <v>1321727.9506451935</v>
      </c>
      <c r="AG1374">
        <f t="shared" si="106"/>
        <v>360</v>
      </c>
      <c r="AH1374" s="289">
        <f t="shared" si="107"/>
        <v>3671.466529569982</v>
      </c>
      <c r="AJ1374" s="289">
        <f t="shared" si="108"/>
        <v>18</v>
      </c>
      <c r="AK1374" s="289">
        <f t="shared" si="109"/>
        <v>66086.397532259682</v>
      </c>
    </row>
    <row r="1375" spans="1:37">
      <c r="A1375" s="703" t="s">
        <v>1465</v>
      </c>
      <c r="B1375" s="703" t="s">
        <v>2849</v>
      </c>
      <c r="C1375" s="703" t="s">
        <v>472</v>
      </c>
      <c r="D1375" s="703" t="s">
        <v>473</v>
      </c>
      <c r="E1375" s="703" t="s">
        <v>334</v>
      </c>
      <c r="F1375" s="703" t="s">
        <v>474</v>
      </c>
      <c r="G1375" s="703" t="s">
        <v>479</v>
      </c>
      <c r="H1375" s="703" t="s">
        <v>1466</v>
      </c>
      <c r="I1375" s="703" t="s">
        <v>334</v>
      </c>
      <c r="J1375" s="703" t="s">
        <v>476</v>
      </c>
      <c r="K1375" s="704">
        <v>0</v>
      </c>
      <c r="L1375" s="703" t="s">
        <v>334</v>
      </c>
      <c r="M1375" s="702"/>
      <c r="N1375" s="702">
        <v>44255</v>
      </c>
      <c r="O1375" s="703" t="s">
        <v>338</v>
      </c>
      <c r="P1375" s="20">
        <v>103566.41</v>
      </c>
      <c r="Q1375" s="20">
        <v>0</v>
      </c>
      <c r="R1375" s="20">
        <v>0</v>
      </c>
      <c r="S1375" s="20">
        <v>0</v>
      </c>
      <c r="T1375" s="20">
        <v>103566.41</v>
      </c>
      <c r="U1375" s="20">
        <v>101098.22</v>
      </c>
      <c r="V1375" s="20">
        <v>-2468.19</v>
      </c>
      <c r="W1375" s="20">
        <v>-12824.83</v>
      </c>
      <c r="X1375" s="20">
        <v>-10356.64</v>
      </c>
      <c r="Y1375" s="20">
        <v>0</v>
      </c>
      <c r="Z1375" s="20">
        <v>0</v>
      </c>
      <c r="AA1375" s="20">
        <v>0</v>
      </c>
      <c r="AB1375" s="20">
        <v>90741.58</v>
      </c>
      <c r="AC1375" t="s">
        <v>477</v>
      </c>
      <c r="AD1375" t="s">
        <v>290</v>
      </c>
      <c r="AE1375" s="702">
        <f t="shared" si="105"/>
        <v>44348</v>
      </c>
      <c r="AF1375" s="289">
        <v>118919.63094422033</v>
      </c>
      <c r="AG1375">
        <f t="shared" si="106"/>
        <v>360</v>
      </c>
      <c r="AH1375" s="289">
        <f t="shared" si="107"/>
        <v>330.33230817838984</v>
      </c>
      <c r="AJ1375" s="289">
        <f t="shared" si="108"/>
        <v>18</v>
      </c>
      <c r="AK1375" s="289">
        <f t="shared" si="109"/>
        <v>5945.9815472110167</v>
      </c>
    </row>
    <row r="1376" spans="1:37">
      <c r="A1376" s="703" t="s">
        <v>478</v>
      </c>
      <c r="B1376" s="703" t="s">
        <v>2849</v>
      </c>
      <c r="C1376" s="703" t="s">
        <v>472</v>
      </c>
      <c r="D1376" s="703" t="s">
        <v>473</v>
      </c>
      <c r="E1376" s="703" t="s">
        <v>334</v>
      </c>
      <c r="F1376" s="703" t="s">
        <v>474</v>
      </c>
      <c r="G1376" s="703" t="s">
        <v>479</v>
      </c>
      <c r="H1376" s="703" t="s">
        <v>480</v>
      </c>
      <c r="I1376" s="703" t="s">
        <v>334</v>
      </c>
      <c r="J1376" s="703" t="s">
        <v>476</v>
      </c>
      <c r="K1376" s="704">
        <v>0</v>
      </c>
      <c r="L1376" s="703" t="s">
        <v>334</v>
      </c>
      <c r="M1376" s="702"/>
      <c r="N1376" s="702">
        <v>44255</v>
      </c>
      <c r="O1376" s="703" t="s">
        <v>338</v>
      </c>
      <c r="P1376" s="20">
        <v>105898.04</v>
      </c>
      <c r="Q1376" s="20">
        <v>0</v>
      </c>
      <c r="R1376" s="20">
        <v>0</v>
      </c>
      <c r="S1376" s="20">
        <v>0</v>
      </c>
      <c r="T1376" s="20">
        <v>105898.04</v>
      </c>
      <c r="U1376" s="20">
        <v>105276.86</v>
      </c>
      <c r="V1376" s="20">
        <v>-621.17999999999995</v>
      </c>
      <c r="W1376" s="20">
        <v>-11210.98</v>
      </c>
      <c r="X1376" s="20">
        <v>-10589.8</v>
      </c>
      <c r="Y1376" s="20">
        <v>0</v>
      </c>
      <c r="Z1376" s="20">
        <v>0</v>
      </c>
      <c r="AA1376" s="20">
        <v>0</v>
      </c>
      <c r="AB1376" s="20">
        <v>94687.06</v>
      </c>
      <c r="AC1376" t="s">
        <v>477</v>
      </c>
      <c r="AD1376" t="s">
        <v>290</v>
      </c>
      <c r="AE1376" s="702">
        <f t="shared" si="105"/>
        <v>44348</v>
      </c>
      <c r="AF1376" s="289">
        <v>121596.91384992762</v>
      </c>
      <c r="AG1376">
        <f t="shared" si="106"/>
        <v>360</v>
      </c>
      <c r="AH1376" s="289">
        <f t="shared" si="107"/>
        <v>337.76920513868782</v>
      </c>
      <c r="AJ1376" s="289">
        <f t="shared" si="108"/>
        <v>18</v>
      </c>
      <c r="AK1376" s="289">
        <f t="shared" si="109"/>
        <v>6079.8456924963812</v>
      </c>
    </row>
    <row r="1377" spans="1:37">
      <c r="A1377" s="703" t="s">
        <v>481</v>
      </c>
      <c r="B1377" s="703" t="s">
        <v>2849</v>
      </c>
      <c r="C1377" s="703" t="s">
        <v>472</v>
      </c>
      <c r="D1377" s="703" t="s">
        <v>473</v>
      </c>
      <c r="E1377" s="703" t="s">
        <v>334</v>
      </c>
      <c r="F1377" s="703" t="s">
        <v>474</v>
      </c>
      <c r="G1377" s="703" t="s">
        <v>479</v>
      </c>
      <c r="H1377" s="703" t="s">
        <v>482</v>
      </c>
      <c r="I1377" s="703" t="s">
        <v>334</v>
      </c>
      <c r="J1377" s="703" t="s">
        <v>476</v>
      </c>
      <c r="K1377" s="704">
        <v>0</v>
      </c>
      <c r="L1377" s="703" t="s">
        <v>334</v>
      </c>
      <c r="M1377" s="702"/>
      <c r="N1377" s="702">
        <v>44255</v>
      </c>
      <c r="O1377" s="703" t="s">
        <v>338</v>
      </c>
      <c r="P1377" s="20">
        <v>49904.32</v>
      </c>
      <c r="Q1377" s="20">
        <v>0</v>
      </c>
      <c r="R1377" s="20">
        <v>0</v>
      </c>
      <c r="S1377" s="20">
        <v>0</v>
      </c>
      <c r="T1377" s="20">
        <v>49904.32</v>
      </c>
      <c r="U1377" s="20">
        <v>46673.24</v>
      </c>
      <c r="V1377" s="20">
        <v>-3231.08</v>
      </c>
      <c r="W1377" s="20">
        <v>-8221.51</v>
      </c>
      <c r="X1377" s="20">
        <v>-4990.43</v>
      </c>
      <c r="Y1377" s="20">
        <v>0</v>
      </c>
      <c r="Z1377" s="20">
        <v>0</v>
      </c>
      <c r="AA1377" s="20">
        <v>0</v>
      </c>
      <c r="AB1377" s="20">
        <v>41682.81</v>
      </c>
      <c r="AC1377" t="s">
        <v>477</v>
      </c>
      <c r="AD1377" t="s">
        <v>290</v>
      </c>
      <c r="AE1377" s="702">
        <f t="shared" si="105"/>
        <v>44348</v>
      </c>
      <c r="AF1377" s="289">
        <v>57302.394829774188</v>
      </c>
      <c r="AG1377">
        <f t="shared" si="106"/>
        <v>360</v>
      </c>
      <c r="AH1377" s="289">
        <f t="shared" si="107"/>
        <v>159.17331897159497</v>
      </c>
      <c r="AJ1377" s="289">
        <f t="shared" si="108"/>
        <v>18</v>
      </c>
      <c r="AK1377" s="289">
        <f t="shared" si="109"/>
        <v>2865.1197414887092</v>
      </c>
    </row>
    <row r="1378" spans="1:37">
      <c r="A1378" s="703" t="s">
        <v>2863</v>
      </c>
      <c r="B1378" s="703" t="s">
        <v>484</v>
      </c>
      <c r="C1378" s="703" t="s">
        <v>1776</v>
      </c>
      <c r="D1378" s="703" t="s">
        <v>333</v>
      </c>
      <c r="E1378" s="703" t="s">
        <v>334</v>
      </c>
      <c r="F1378" s="703" t="s">
        <v>487</v>
      </c>
      <c r="G1378" s="703" t="s">
        <v>2271</v>
      </c>
      <c r="H1378" s="703" t="s">
        <v>334</v>
      </c>
      <c r="I1378" s="703" t="s">
        <v>334</v>
      </c>
      <c r="J1378" s="703" t="s">
        <v>490</v>
      </c>
      <c r="K1378" s="704">
        <v>0</v>
      </c>
      <c r="L1378" s="703" t="s">
        <v>334</v>
      </c>
      <c r="M1378" s="702"/>
      <c r="N1378" s="702">
        <v>44255</v>
      </c>
      <c r="O1378" s="703" t="s">
        <v>338</v>
      </c>
      <c r="P1378" s="20">
        <v>77602.960000000006</v>
      </c>
      <c r="Q1378" s="20">
        <v>320929.34000000003</v>
      </c>
      <c r="R1378" s="20">
        <v>-319.88</v>
      </c>
      <c r="S1378" s="20">
        <v>0</v>
      </c>
      <c r="T1378" s="20">
        <v>398212.42</v>
      </c>
      <c r="U1378" s="20">
        <v>77602.960000000006</v>
      </c>
      <c r="V1378" s="20">
        <v>0</v>
      </c>
      <c r="W1378" s="20">
        <v>0</v>
      </c>
      <c r="X1378" s="20">
        <v>0</v>
      </c>
      <c r="Y1378" s="20">
        <v>0</v>
      </c>
      <c r="Z1378" s="20">
        <v>0</v>
      </c>
      <c r="AA1378" s="20">
        <v>0</v>
      </c>
      <c r="AB1378" s="20">
        <v>398212.42</v>
      </c>
      <c r="AC1378" t="s">
        <v>1779</v>
      </c>
      <c r="AD1378" t="s">
        <v>492</v>
      </c>
      <c r="AE1378" s="702">
        <f t="shared" si="105"/>
        <v>44348</v>
      </c>
      <c r="AF1378" s="289">
        <v>457245.49131137074</v>
      </c>
      <c r="AG1378">
        <f t="shared" si="106"/>
        <v>360</v>
      </c>
      <c r="AH1378" s="289">
        <f t="shared" si="107"/>
        <v>1270.1263647538076</v>
      </c>
      <c r="AJ1378" s="289">
        <f t="shared" si="108"/>
        <v>18</v>
      </c>
      <c r="AK1378" s="289">
        <f t="shared" si="109"/>
        <v>0</v>
      </c>
    </row>
    <row r="1379" spans="1:37">
      <c r="A1379" s="703" t="s">
        <v>2864</v>
      </c>
      <c r="B1379" s="703" t="s">
        <v>484</v>
      </c>
      <c r="C1379" s="703" t="s">
        <v>1214</v>
      </c>
      <c r="D1379" s="703" t="s">
        <v>575</v>
      </c>
      <c r="E1379" s="703" t="s">
        <v>334</v>
      </c>
      <c r="F1379" s="703" t="s">
        <v>487</v>
      </c>
      <c r="G1379" s="703" t="s">
        <v>2177</v>
      </c>
      <c r="H1379" s="703" t="s">
        <v>334</v>
      </c>
      <c r="I1379" s="703" t="s">
        <v>334</v>
      </c>
      <c r="J1379" s="703" t="s">
        <v>1217</v>
      </c>
      <c r="K1379" s="704">
        <v>0</v>
      </c>
      <c r="L1379" s="703" t="s">
        <v>334</v>
      </c>
      <c r="M1379" s="702"/>
      <c r="N1379" s="702">
        <v>44286</v>
      </c>
      <c r="O1379" s="703" t="s">
        <v>338</v>
      </c>
      <c r="P1379" s="20">
        <v>484449.84</v>
      </c>
      <c r="Q1379" s="20">
        <v>94785.63</v>
      </c>
      <c r="R1379" s="20">
        <v>0</v>
      </c>
      <c r="S1379" s="20">
        <v>0</v>
      </c>
      <c r="T1379" s="20">
        <v>579235.47</v>
      </c>
      <c r="U1379" s="20">
        <v>484449.84</v>
      </c>
      <c r="V1379" s="20">
        <v>0</v>
      </c>
      <c r="W1379" s="20">
        <v>0</v>
      </c>
      <c r="X1379" s="20">
        <v>0</v>
      </c>
      <c r="Y1379" s="20">
        <v>0</v>
      </c>
      <c r="Z1379" s="20">
        <v>0</v>
      </c>
      <c r="AA1379" s="20">
        <v>0</v>
      </c>
      <c r="AB1379" s="20">
        <v>579235.47</v>
      </c>
      <c r="AC1379" t="s">
        <v>1218</v>
      </c>
      <c r="AD1379" t="s">
        <v>492</v>
      </c>
      <c r="AE1379" s="702">
        <f t="shared" si="105"/>
        <v>44348</v>
      </c>
      <c r="AF1379" s="289">
        <v>665104.33568376082</v>
      </c>
      <c r="AG1379">
        <f t="shared" si="106"/>
        <v>360</v>
      </c>
      <c r="AH1379" s="289">
        <f t="shared" si="107"/>
        <v>1847.5120435660024</v>
      </c>
      <c r="AJ1379" s="289">
        <f t="shared" si="108"/>
        <v>18</v>
      </c>
      <c r="AK1379" s="289">
        <f t="shared" si="109"/>
        <v>0</v>
      </c>
    </row>
    <row r="1380" spans="1:37">
      <c r="A1380" s="703" t="s">
        <v>2865</v>
      </c>
      <c r="B1380" s="703" t="s">
        <v>484</v>
      </c>
      <c r="C1380" s="703" t="s">
        <v>485</v>
      </c>
      <c r="D1380" s="703" t="s">
        <v>486</v>
      </c>
      <c r="E1380" s="703" t="s">
        <v>334</v>
      </c>
      <c r="F1380" s="703" t="s">
        <v>487</v>
      </c>
      <c r="G1380" s="703" t="s">
        <v>2866</v>
      </c>
      <c r="H1380" s="703" t="s">
        <v>2866</v>
      </c>
      <c r="I1380" s="703" t="s">
        <v>334</v>
      </c>
      <c r="J1380" s="703" t="s">
        <v>490</v>
      </c>
      <c r="K1380" s="704">
        <v>0</v>
      </c>
      <c r="L1380" s="703" t="s">
        <v>334</v>
      </c>
      <c r="M1380" s="702"/>
      <c r="N1380" s="702">
        <v>44286</v>
      </c>
      <c r="O1380" s="703" t="s">
        <v>338</v>
      </c>
      <c r="P1380" s="20">
        <v>215028.14</v>
      </c>
      <c r="Q1380" s="20">
        <v>1855313.3</v>
      </c>
      <c r="R1380" s="20">
        <v>0</v>
      </c>
      <c r="S1380" s="20">
        <v>0</v>
      </c>
      <c r="T1380" s="20">
        <v>2070341.44</v>
      </c>
      <c r="U1380" s="20">
        <v>215028.14</v>
      </c>
      <c r="V1380" s="20">
        <v>0</v>
      </c>
      <c r="W1380" s="20">
        <v>0</v>
      </c>
      <c r="X1380" s="20">
        <v>0</v>
      </c>
      <c r="Y1380" s="20">
        <v>0</v>
      </c>
      <c r="Z1380" s="20">
        <v>0</v>
      </c>
      <c r="AA1380" s="20">
        <v>0</v>
      </c>
      <c r="AB1380" s="20">
        <v>2070341.44</v>
      </c>
      <c r="AC1380" t="s">
        <v>491</v>
      </c>
      <c r="AD1380" t="s">
        <v>492</v>
      </c>
      <c r="AE1380" s="702">
        <f t="shared" si="105"/>
        <v>44348</v>
      </c>
      <c r="AF1380" s="289">
        <v>2377259.5764720016</v>
      </c>
      <c r="AG1380">
        <f t="shared" si="106"/>
        <v>360</v>
      </c>
      <c r="AH1380" s="289">
        <f t="shared" si="107"/>
        <v>6603.4988235333376</v>
      </c>
      <c r="AJ1380" s="289">
        <f t="shared" si="108"/>
        <v>18</v>
      </c>
      <c r="AK1380" s="289">
        <f t="shared" si="109"/>
        <v>0</v>
      </c>
    </row>
    <row r="1381" spans="1:37">
      <c r="A1381" s="703" t="s">
        <v>2867</v>
      </c>
      <c r="B1381" s="703" t="s">
        <v>2849</v>
      </c>
      <c r="C1381" s="703" t="s">
        <v>332</v>
      </c>
      <c r="D1381" s="703" t="s">
        <v>334</v>
      </c>
      <c r="E1381" s="703" t="s">
        <v>334</v>
      </c>
      <c r="F1381" s="703" t="s">
        <v>335</v>
      </c>
      <c r="G1381" s="703" t="s">
        <v>2868</v>
      </c>
      <c r="H1381" s="703" t="s">
        <v>334</v>
      </c>
      <c r="I1381" s="703" t="s">
        <v>334</v>
      </c>
      <c r="J1381" s="703" t="s">
        <v>337</v>
      </c>
      <c r="K1381" s="704">
        <v>0</v>
      </c>
      <c r="L1381" s="703" t="s">
        <v>334</v>
      </c>
      <c r="M1381" s="702">
        <v>39478</v>
      </c>
      <c r="N1381" s="702">
        <v>44306</v>
      </c>
      <c r="O1381" s="703" t="s">
        <v>338</v>
      </c>
      <c r="P1381" s="20">
        <v>206230.08</v>
      </c>
      <c r="Q1381" s="20">
        <v>0</v>
      </c>
      <c r="R1381" s="20">
        <v>0</v>
      </c>
      <c r="S1381" s="20">
        <v>0</v>
      </c>
      <c r="T1381" s="20">
        <v>206230.08</v>
      </c>
      <c r="U1381" s="20">
        <v>201647.19</v>
      </c>
      <c r="V1381" s="20">
        <v>-4582.8900000000003</v>
      </c>
      <c r="W1381" s="20">
        <v>-11457.23</v>
      </c>
      <c r="X1381" s="20">
        <v>-6874.34</v>
      </c>
      <c r="Y1381" s="20">
        <v>0</v>
      </c>
      <c r="Z1381" s="20">
        <v>0</v>
      </c>
      <c r="AA1381" s="20">
        <v>0</v>
      </c>
      <c r="AB1381" s="20">
        <v>194772.85</v>
      </c>
      <c r="AC1381" t="s">
        <v>183</v>
      </c>
      <c r="AD1381" t="s">
        <v>290</v>
      </c>
      <c r="AE1381" s="702">
        <f t="shared" si="105"/>
        <v>44348</v>
      </c>
      <c r="AF1381" s="289">
        <v>236802.6950359391</v>
      </c>
      <c r="AG1381">
        <f t="shared" si="106"/>
        <v>360</v>
      </c>
      <c r="AH1381" s="289">
        <f t="shared" si="107"/>
        <v>657.78526398871975</v>
      </c>
      <c r="AJ1381" s="289">
        <f t="shared" si="108"/>
        <v>18</v>
      </c>
      <c r="AK1381" s="289">
        <f t="shared" si="109"/>
        <v>11840.134751796955</v>
      </c>
    </row>
    <row r="1382" spans="1:37">
      <c r="A1382" s="703" t="s">
        <v>2869</v>
      </c>
      <c r="B1382" s="703" t="s">
        <v>2849</v>
      </c>
      <c r="C1382" s="703" t="s">
        <v>332</v>
      </c>
      <c r="D1382" s="703" t="s">
        <v>334</v>
      </c>
      <c r="E1382" s="703" t="s">
        <v>334</v>
      </c>
      <c r="F1382" s="703" t="s">
        <v>335</v>
      </c>
      <c r="G1382" s="703" t="s">
        <v>2870</v>
      </c>
      <c r="H1382" s="703" t="s">
        <v>334</v>
      </c>
      <c r="I1382" s="703" t="s">
        <v>334</v>
      </c>
      <c r="J1382" s="703" t="s">
        <v>337</v>
      </c>
      <c r="K1382" s="704">
        <v>0</v>
      </c>
      <c r="L1382" s="703" t="s">
        <v>334</v>
      </c>
      <c r="M1382" s="702">
        <v>42886</v>
      </c>
      <c r="N1382" s="702">
        <v>44306</v>
      </c>
      <c r="O1382" s="703" t="s">
        <v>338</v>
      </c>
      <c r="P1382" s="20">
        <v>17735.14</v>
      </c>
      <c r="Q1382" s="20">
        <v>0</v>
      </c>
      <c r="R1382" s="20">
        <v>0</v>
      </c>
      <c r="S1382" s="20">
        <v>0</v>
      </c>
      <c r="T1382" s="20">
        <v>17735.14</v>
      </c>
      <c r="U1382" s="20">
        <v>17341.03</v>
      </c>
      <c r="V1382" s="20">
        <v>-394.11</v>
      </c>
      <c r="W1382" s="20">
        <v>-985.28</v>
      </c>
      <c r="X1382" s="20">
        <v>-591.16999999999996</v>
      </c>
      <c r="Y1382" s="20">
        <v>0</v>
      </c>
      <c r="Z1382" s="20">
        <v>0</v>
      </c>
      <c r="AA1382" s="20">
        <v>0</v>
      </c>
      <c r="AB1382" s="20">
        <v>16749.86</v>
      </c>
      <c r="AC1382" t="s">
        <v>183</v>
      </c>
      <c r="AD1382" t="s">
        <v>290</v>
      </c>
      <c r="AE1382" s="702">
        <f t="shared" si="105"/>
        <v>44348</v>
      </c>
      <c r="AF1382" s="289">
        <v>20364.288996249648</v>
      </c>
      <c r="AG1382">
        <f t="shared" si="106"/>
        <v>360</v>
      </c>
      <c r="AH1382" s="289">
        <f t="shared" si="107"/>
        <v>56.567469434026798</v>
      </c>
      <c r="AJ1382" s="289">
        <f t="shared" si="108"/>
        <v>18</v>
      </c>
      <c r="AK1382" s="289">
        <f t="shared" si="109"/>
        <v>1018.2144498124824</v>
      </c>
    </row>
    <row r="1383" spans="1:37">
      <c r="A1383" s="703" t="s">
        <v>2871</v>
      </c>
      <c r="B1383" s="703" t="s">
        <v>2849</v>
      </c>
      <c r="C1383" s="703" t="s">
        <v>332</v>
      </c>
      <c r="D1383" s="703" t="s">
        <v>334</v>
      </c>
      <c r="E1383" s="703" t="s">
        <v>334</v>
      </c>
      <c r="F1383" s="703" t="s">
        <v>335</v>
      </c>
      <c r="G1383" s="703" t="s">
        <v>2872</v>
      </c>
      <c r="H1383" s="703" t="s">
        <v>334</v>
      </c>
      <c r="I1383" s="703" t="s">
        <v>334</v>
      </c>
      <c r="J1383" s="703" t="s">
        <v>337</v>
      </c>
      <c r="K1383" s="704">
        <v>0</v>
      </c>
      <c r="L1383" s="703" t="s">
        <v>334</v>
      </c>
      <c r="M1383" s="702">
        <v>42886</v>
      </c>
      <c r="N1383" s="702">
        <v>44306</v>
      </c>
      <c r="O1383" s="703" t="s">
        <v>338</v>
      </c>
      <c r="P1383" s="20">
        <v>8181.93</v>
      </c>
      <c r="Q1383" s="20">
        <v>0</v>
      </c>
      <c r="R1383" s="20">
        <v>0</v>
      </c>
      <c r="S1383" s="20">
        <v>0</v>
      </c>
      <c r="T1383" s="20">
        <v>8181.93</v>
      </c>
      <c r="U1383" s="20">
        <v>8000.11</v>
      </c>
      <c r="V1383" s="20">
        <v>-181.82</v>
      </c>
      <c r="W1383" s="20">
        <v>-454.55</v>
      </c>
      <c r="X1383" s="20">
        <v>-272.73</v>
      </c>
      <c r="Y1383" s="20">
        <v>0</v>
      </c>
      <c r="Z1383" s="20">
        <v>0</v>
      </c>
      <c r="AA1383" s="20">
        <v>0</v>
      </c>
      <c r="AB1383" s="20">
        <v>7727.38</v>
      </c>
      <c r="AC1383" t="s">
        <v>183</v>
      </c>
      <c r="AD1383" t="s">
        <v>290</v>
      </c>
      <c r="AE1383" s="702">
        <f t="shared" si="105"/>
        <v>44348</v>
      </c>
      <c r="AF1383" s="289">
        <v>9394.8616738906421</v>
      </c>
      <c r="AG1383">
        <f t="shared" si="106"/>
        <v>360</v>
      </c>
      <c r="AH1383" s="289">
        <f t="shared" si="107"/>
        <v>26.096837983029562</v>
      </c>
      <c r="AJ1383" s="289">
        <f t="shared" si="108"/>
        <v>18</v>
      </c>
      <c r="AK1383" s="289">
        <f t="shared" si="109"/>
        <v>469.74308369453212</v>
      </c>
    </row>
    <row r="1384" spans="1:37">
      <c r="A1384" s="703" t="s">
        <v>2873</v>
      </c>
      <c r="B1384" s="703" t="s">
        <v>2849</v>
      </c>
      <c r="C1384" s="703" t="s">
        <v>332</v>
      </c>
      <c r="D1384" s="703" t="s">
        <v>334</v>
      </c>
      <c r="E1384" s="703" t="s">
        <v>334</v>
      </c>
      <c r="F1384" s="703" t="s">
        <v>335</v>
      </c>
      <c r="G1384" s="703" t="s">
        <v>2874</v>
      </c>
      <c r="H1384" s="703" t="s">
        <v>334</v>
      </c>
      <c r="I1384" s="703" t="s">
        <v>334</v>
      </c>
      <c r="J1384" s="703" t="s">
        <v>337</v>
      </c>
      <c r="K1384" s="704">
        <v>0</v>
      </c>
      <c r="L1384" s="703" t="s">
        <v>334</v>
      </c>
      <c r="M1384" s="702">
        <v>42886</v>
      </c>
      <c r="N1384" s="702">
        <v>44306</v>
      </c>
      <c r="O1384" s="703" t="s">
        <v>338</v>
      </c>
      <c r="P1384" s="20">
        <v>5172.6000000000004</v>
      </c>
      <c r="Q1384" s="20">
        <v>0</v>
      </c>
      <c r="R1384" s="20">
        <v>0</v>
      </c>
      <c r="S1384" s="20">
        <v>0</v>
      </c>
      <c r="T1384" s="20">
        <v>5172.6000000000004</v>
      </c>
      <c r="U1384" s="20">
        <v>5057.6499999999996</v>
      </c>
      <c r="V1384" s="20">
        <v>-114.95</v>
      </c>
      <c r="W1384" s="20">
        <v>-287.37</v>
      </c>
      <c r="X1384" s="20">
        <v>-172.42</v>
      </c>
      <c r="Y1384" s="20">
        <v>0</v>
      </c>
      <c r="Z1384" s="20">
        <v>0</v>
      </c>
      <c r="AA1384" s="20">
        <v>0</v>
      </c>
      <c r="AB1384" s="20">
        <v>4885.2299999999996</v>
      </c>
      <c r="AC1384" t="s">
        <v>183</v>
      </c>
      <c r="AD1384" t="s">
        <v>290</v>
      </c>
      <c r="AE1384" s="702">
        <f t="shared" si="105"/>
        <v>44348</v>
      </c>
      <c r="AF1384" s="289">
        <v>5939.4130106670118</v>
      </c>
      <c r="AG1384">
        <f t="shared" si="106"/>
        <v>360</v>
      </c>
      <c r="AH1384" s="289">
        <f t="shared" si="107"/>
        <v>16.498369474075034</v>
      </c>
      <c r="AJ1384" s="289">
        <f t="shared" si="108"/>
        <v>18</v>
      </c>
      <c r="AK1384" s="289">
        <f t="shared" si="109"/>
        <v>296.97065053335064</v>
      </c>
    </row>
    <row r="1385" spans="1:37">
      <c r="A1385" s="703" t="s">
        <v>2875</v>
      </c>
      <c r="B1385" s="703" t="s">
        <v>2849</v>
      </c>
      <c r="C1385" s="703" t="s">
        <v>332</v>
      </c>
      <c r="D1385" s="703" t="s">
        <v>334</v>
      </c>
      <c r="E1385" s="703" t="s">
        <v>334</v>
      </c>
      <c r="F1385" s="703" t="s">
        <v>335</v>
      </c>
      <c r="G1385" s="703" t="s">
        <v>2872</v>
      </c>
      <c r="H1385" s="703" t="s">
        <v>334</v>
      </c>
      <c r="I1385" s="703" t="s">
        <v>334</v>
      </c>
      <c r="J1385" s="703" t="s">
        <v>337</v>
      </c>
      <c r="K1385" s="704">
        <v>0</v>
      </c>
      <c r="L1385" s="703" t="s">
        <v>334</v>
      </c>
      <c r="M1385" s="702">
        <v>42886</v>
      </c>
      <c r="N1385" s="702">
        <v>44306</v>
      </c>
      <c r="O1385" s="703" t="s">
        <v>338</v>
      </c>
      <c r="P1385" s="20">
        <v>636.59</v>
      </c>
      <c r="Q1385" s="20">
        <v>0</v>
      </c>
      <c r="R1385" s="20">
        <v>0</v>
      </c>
      <c r="S1385" s="20">
        <v>0</v>
      </c>
      <c r="T1385" s="20">
        <v>636.59</v>
      </c>
      <c r="U1385" s="20">
        <v>622.44000000000005</v>
      </c>
      <c r="V1385" s="20">
        <v>-14.15</v>
      </c>
      <c r="W1385" s="20">
        <v>-35.369999999999997</v>
      </c>
      <c r="X1385" s="20">
        <v>-21.22</v>
      </c>
      <c r="Y1385" s="20">
        <v>0</v>
      </c>
      <c r="Z1385" s="20">
        <v>0</v>
      </c>
      <c r="AA1385" s="20">
        <v>0</v>
      </c>
      <c r="AB1385" s="20">
        <v>601.22</v>
      </c>
      <c r="AC1385" t="s">
        <v>183</v>
      </c>
      <c r="AD1385" t="s">
        <v>290</v>
      </c>
      <c r="AE1385" s="702">
        <f t="shared" si="105"/>
        <v>44348</v>
      </c>
      <c r="AF1385" s="289">
        <v>730.96139822536304</v>
      </c>
      <c r="AG1385">
        <f t="shared" si="106"/>
        <v>360</v>
      </c>
      <c r="AH1385" s="289">
        <f t="shared" si="107"/>
        <v>2.0304483284037862</v>
      </c>
      <c r="AJ1385" s="289">
        <f t="shared" si="108"/>
        <v>18</v>
      </c>
      <c r="AK1385" s="289">
        <f t="shared" si="109"/>
        <v>36.548069911268151</v>
      </c>
    </row>
    <row r="1386" spans="1:37">
      <c r="A1386" s="703" t="s">
        <v>2876</v>
      </c>
      <c r="B1386" s="703" t="s">
        <v>2849</v>
      </c>
      <c r="C1386" s="703" t="s">
        <v>390</v>
      </c>
      <c r="D1386" s="703" t="s">
        <v>334</v>
      </c>
      <c r="E1386" s="703" t="s">
        <v>334</v>
      </c>
      <c r="F1386" s="703" t="s">
        <v>335</v>
      </c>
      <c r="G1386" s="703" t="s">
        <v>2877</v>
      </c>
      <c r="H1386" s="703" t="s">
        <v>334</v>
      </c>
      <c r="I1386" s="703" t="s">
        <v>334</v>
      </c>
      <c r="J1386" s="703" t="s">
        <v>337</v>
      </c>
      <c r="K1386" s="704">
        <v>0</v>
      </c>
      <c r="L1386" s="703" t="s">
        <v>334</v>
      </c>
      <c r="M1386" s="702">
        <v>43251</v>
      </c>
      <c r="N1386" s="702">
        <v>44306</v>
      </c>
      <c r="O1386" s="703" t="s">
        <v>338</v>
      </c>
      <c r="P1386" s="20">
        <v>498.24</v>
      </c>
      <c r="Q1386" s="20">
        <v>0</v>
      </c>
      <c r="R1386" s="20">
        <v>0</v>
      </c>
      <c r="S1386" s="20">
        <v>0</v>
      </c>
      <c r="T1386" s="20">
        <v>498.24</v>
      </c>
      <c r="U1386" s="20">
        <v>487.17</v>
      </c>
      <c r="V1386" s="20">
        <v>-11.07</v>
      </c>
      <c r="W1386" s="20">
        <v>-27.68</v>
      </c>
      <c r="X1386" s="20">
        <v>-16.61</v>
      </c>
      <c r="Y1386" s="20">
        <v>0</v>
      </c>
      <c r="Z1386" s="20">
        <v>0</v>
      </c>
      <c r="AA1386" s="20">
        <v>0</v>
      </c>
      <c r="AB1386" s="20">
        <v>470.56</v>
      </c>
      <c r="AC1386" t="s">
        <v>188</v>
      </c>
      <c r="AD1386" t="s">
        <v>290</v>
      </c>
      <c r="AE1386" s="702">
        <f t="shared" si="105"/>
        <v>44348</v>
      </c>
      <c r="AF1386" s="289">
        <v>572.10167777031506</v>
      </c>
      <c r="AG1386">
        <f t="shared" si="106"/>
        <v>360</v>
      </c>
      <c r="AH1386" s="289">
        <f t="shared" si="107"/>
        <v>1.5891713271397641</v>
      </c>
      <c r="AJ1386" s="289">
        <f t="shared" si="108"/>
        <v>18</v>
      </c>
      <c r="AK1386" s="289">
        <f t="shared" si="109"/>
        <v>28.605083888515754</v>
      </c>
    </row>
    <row r="1387" spans="1:37">
      <c r="A1387" s="703" t="s">
        <v>2878</v>
      </c>
      <c r="B1387" s="703" t="s">
        <v>2849</v>
      </c>
      <c r="C1387" s="703" t="s">
        <v>390</v>
      </c>
      <c r="D1387" s="703" t="s">
        <v>334</v>
      </c>
      <c r="E1387" s="703" t="s">
        <v>334</v>
      </c>
      <c r="F1387" s="703" t="s">
        <v>335</v>
      </c>
      <c r="G1387" s="703" t="s">
        <v>2879</v>
      </c>
      <c r="H1387" s="703" t="s">
        <v>334</v>
      </c>
      <c r="I1387" s="703" t="s">
        <v>334</v>
      </c>
      <c r="J1387" s="703" t="s">
        <v>337</v>
      </c>
      <c r="K1387" s="704">
        <v>0</v>
      </c>
      <c r="L1387" s="703" t="s">
        <v>334</v>
      </c>
      <c r="M1387" s="702">
        <v>43251</v>
      </c>
      <c r="N1387" s="702">
        <v>44306</v>
      </c>
      <c r="O1387" s="703" t="s">
        <v>338</v>
      </c>
      <c r="P1387" s="20">
        <v>77.47</v>
      </c>
      <c r="Q1387" s="20">
        <v>0</v>
      </c>
      <c r="R1387" s="20">
        <v>0</v>
      </c>
      <c r="S1387" s="20">
        <v>0</v>
      </c>
      <c r="T1387" s="20">
        <v>77.47</v>
      </c>
      <c r="U1387" s="20">
        <v>75.75</v>
      </c>
      <c r="V1387" s="20">
        <v>-1.72</v>
      </c>
      <c r="W1387" s="20">
        <v>-4.3</v>
      </c>
      <c r="X1387" s="20">
        <v>-2.58</v>
      </c>
      <c r="Y1387" s="20">
        <v>0</v>
      </c>
      <c r="Z1387" s="20">
        <v>0</v>
      </c>
      <c r="AA1387" s="20">
        <v>0</v>
      </c>
      <c r="AB1387" s="20">
        <v>73.17</v>
      </c>
      <c r="AC1387" t="s">
        <v>188</v>
      </c>
      <c r="AD1387" t="s">
        <v>290</v>
      </c>
      <c r="AE1387" s="702">
        <f t="shared" si="105"/>
        <v>44348</v>
      </c>
      <c r="AF1387" s="289">
        <v>88.954553983755432</v>
      </c>
      <c r="AG1387">
        <f t="shared" si="106"/>
        <v>360</v>
      </c>
      <c r="AH1387" s="289">
        <f t="shared" si="107"/>
        <v>0.24709598328820953</v>
      </c>
      <c r="AJ1387" s="289">
        <f t="shared" si="108"/>
        <v>18</v>
      </c>
      <c r="AK1387" s="289">
        <f t="shared" si="109"/>
        <v>4.4477276991877712</v>
      </c>
    </row>
    <row r="1388" spans="1:37">
      <c r="A1388" s="703" t="s">
        <v>2880</v>
      </c>
      <c r="B1388" s="703" t="s">
        <v>2849</v>
      </c>
      <c r="C1388" s="703" t="s">
        <v>390</v>
      </c>
      <c r="D1388" s="703" t="s">
        <v>334</v>
      </c>
      <c r="E1388" s="703" t="s">
        <v>334</v>
      </c>
      <c r="F1388" s="703" t="s">
        <v>335</v>
      </c>
      <c r="G1388" s="703" t="s">
        <v>2879</v>
      </c>
      <c r="H1388" s="703" t="s">
        <v>334</v>
      </c>
      <c r="I1388" s="703" t="s">
        <v>334</v>
      </c>
      <c r="J1388" s="703" t="s">
        <v>337</v>
      </c>
      <c r="K1388" s="704">
        <v>0</v>
      </c>
      <c r="L1388" s="703" t="s">
        <v>334</v>
      </c>
      <c r="M1388" s="702">
        <v>43251</v>
      </c>
      <c r="N1388" s="702">
        <v>44306</v>
      </c>
      <c r="O1388" s="703" t="s">
        <v>338</v>
      </c>
      <c r="P1388" s="20">
        <v>4790.37</v>
      </c>
      <c r="Q1388" s="20">
        <v>0</v>
      </c>
      <c r="R1388" s="20">
        <v>0</v>
      </c>
      <c r="S1388" s="20">
        <v>0</v>
      </c>
      <c r="T1388" s="20">
        <v>4790.37</v>
      </c>
      <c r="U1388" s="20">
        <v>4683.92</v>
      </c>
      <c r="V1388" s="20">
        <v>-106.45</v>
      </c>
      <c r="W1388" s="20">
        <v>-266.13</v>
      </c>
      <c r="X1388" s="20">
        <v>-159.68</v>
      </c>
      <c r="Y1388" s="20">
        <v>0</v>
      </c>
      <c r="Z1388" s="20">
        <v>0</v>
      </c>
      <c r="AA1388" s="20">
        <v>0</v>
      </c>
      <c r="AB1388" s="20">
        <v>4524.24</v>
      </c>
      <c r="AC1388" t="s">
        <v>188</v>
      </c>
      <c r="AD1388" t="s">
        <v>290</v>
      </c>
      <c r="AE1388" s="702">
        <f t="shared" si="105"/>
        <v>44348</v>
      </c>
      <c r="AF1388" s="289">
        <v>5500.5192560625082</v>
      </c>
      <c r="AG1388">
        <f t="shared" si="106"/>
        <v>360</v>
      </c>
      <c r="AH1388" s="289">
        <f t="shared" si="107"/>
        <v>15.27922015572919</v>
      </c>
      <c r="AJ1388" s="289">
        <f t="shared" si="108"/>
        <v>18</v>
      </c>
      <c r="AK1388" s="289">
        <f t="shared" si="109"/>
        <v>275.02596280312542</v>
      </c>
    </row>
    <row r="1389" spans="1:37">
      <c r="A1389" s="703" t="s">
        <v>2881</v>
      </c>
      <c r="B1389" s="703" t="s">
        <v>2849</v>
      </c>
      <c r="C1389" s="703" t="s">
        <v>390</v>
      </c>
      <c r="D1389" s="703" t="s">
        <v>334</v>
      </c>
      <c r="E1389" s="703" t="s">
        <v>334</v>
      </c>
      <c r="F1389" s="703" t="s">
        <v>335</v>
      </c>
      <c r="G1389" s="703" t="s">
        <v>2882</v>
      </c>
      <c r="H1389" s="703" t="s">
        <v>334</v>
      </c>
      <c r="I1389" s="703" t="s">
        <v>334</v>
      </c>
      <c r="J1389" s="703" t="s">
        <v>337</v>
      </c>
      <c r="K1389" s="704">
        <v>0</v>
      </c>
      <c r="L1389" s="703" t="s">
        <v>334</v>
      </c>
      <c r="M1389" s="702">
        <v>43251</v>
      </c>
      <c r="N1389" s="702">
        <v>44306</v>
      </c>
      <c r="O1389" s="703" t="s">
        <v>338</v>
      </c>
      <c r="P1389" s="20">
        <v>6690.77</v>
      </c>
      <c r="Q1389" s="20">
        <v>0</v>
      </c>
      <c r="R1389" s="20">
        <v>0</v>
      </c>
      <c r="S1389" s="20">
        <v>0</v>
      </c>
      <c r="T1389" s="20">
        <v>6690.77</v>
      </c>
      <c r="U1389" s="20">
        <v>6542.09</v>
      </c>
      <c r="V1389" s="20">
        <v>-148.68</v>
      </c>
      <c r="W1389" s="20">
        <v>-371.71</v>
      </c>
      <c r="X1389" s="20">
        <v>-223.03</v>
      </c>
      <c r="Y1389" s="20">
        <v>0</v>
      </c>
      <c r="Z1389" s="20">
        <v>0</v>
      </c>
      <c r="AA1389" s="20">
        <v>0</v>
      </c>
      <c r="AB1389" s="20">
        <v>6319.06</v>
      </c>
      <c r="AC1389" t="s">
        <v>188</v>
      </c>
      <c r="AD1389" t="s">
        <v>290</v>
      </c>
      <c r="AE1389" s="702">
        <f t="shared" si="105"/>
        <v>44348</v>
      </c>
      <c r="AF1389" s="289">
        <v>7682.6443934154049</v>
      </c>
      <c r="AG1389">
        <f t="shared" si="106"/>
        <v>360</v>
      </c>
      <c r="AH1389" s="289">
        <f t="shared" si="107"/>
        <v>21.340678870598346</v>
      </c>
      <c r="AJ1389" s="289">
        <f t="shared" si="108"/>
        <v>18</v>
      </c>
      <c r="AK1389" s="289">
        <f t="shared" si="109"/>
        <v>384.13221967077021</v>
      </c>
    </row>
    <row r="1390" spans="1:37">
      <c r="A1390" s="703" t="s">
        <v>2883</v>
      </c>
      <c r="B1390" s="703" t="s">
        <v>2849</v>
      </c>
      <c r="C1390" s="703" t="s">
        <v>390</v>
      </c>
      <c r="D1390" s="703" t="s">
        <v>334</v>
      </c>
      <c r="E1390" s="703" t="s">
        <v>334</v>
      </c>
      <c r="F1390" s="703" t="s">
        <v>335</v>
      </c>
      <c r="G1390" s="703" t="s">
        <v>2882</v>
      </c>
      <c r="H1390" s="703" t="s">
        <v>334</v>
      </c>
      <c r="I1390" s="703" t="s">
        <v>334</v>
      </c>
      <c r="J1390" s="703" t="s">
        <v>337</v>
      </c>
      <c r="K1390" s="704">
        <v>0</v>
      </c>
      <c r="L1390" s="703" t="s">
        <v>334</v>
      </c>
      <c r="M1390" s="702">
        <v>43251</v>
      </c>
      <c r="N1390" s="702">
        <v>44306</v>
      </c>
      <c r="O1390" s="703" t="s">
        <v>338</v>
      </c>
      <c r="P1390" s="20">
        <v>485.99</v>
      </c>
      <c r="Q1390" s="20">
        <v>0</v>
      </c>
      <c r="R1390" s="20">
        <v>0</v>
      </c>
      <c r="S1390" s="20">
        <v>0</v>
      </c>
      <c r="T1390" s="20">
        <v>485.99</v>
      </c>
      <c r="U1390" s="20">
        <v>475.19</v>
      </c>
      <c r="V1390" s="20">
        <v>-10.8</v>
      </c>
      <c r="W1390" s="20">
        <v>-27</v>
      </c>
      <c r="X1390" s="20">
        <v>-16.2</v>
      </c>
      <c r="Y1390" s="20">
        <v>0</v>
      </c>
      <c r="Z1390" s="20">
        <v>0</v>
      </c>
      <c r="AA1390" s="20">
        <v>0</v>
      </c>
      <c r="AB1390" s="20">
        <v>458.99</v>
      </c>
      <c r="AC1390" t="s">
        <v>188</v>
      </c>
      <c r="AD1390" t="s">
        <v>290</v>
      </c>
      <c r="AE1390" s="702">
        <f t="shared" si="105"/>
        <v>44348</v>
      </c>
      <c r="AF1390" s="289">
        <v>558.03567433284252</v>
      </c>
      <c r="AG1390">
        <f t="shared" si="106"/>
        <v>360</v>
      </c>
      <c r="AH1390" s="289">
        <f t="shared" si="107"/>
        <v>1.550099095369007</v>
      </c>
      <c r="AJ1390" s="289">
        <f t="shared" si="108"/>
        <v>18</v>
      </c>
      <c r="AK1390" s="289">
        <f t="shared" si="109"/>
        <v>27.901783716642125</v>
      </c>
    </row>
    <row r="1391" spans="1:37">
      <c r="A1391" s="703" t="s">
        <v>2884</v>
      </c>
      <c r="B1391" s="703" t="s">
        <v>2849</v>
      </c>
      <c r="C1391" s="703" t="s">
        <v>390</v>
      </c>
      <c r="D1391" s="703" t="s">
        <v>334</v>
      </c>
      <c r="E1391" s="703" t="s">
        <v>334</v>
      </c>
      <c r="F1391" s="703" t="s">
        <v>335</v>
      </c>
      <c r="G1391" s="703" t="s">
        <v>2877</v>
      </c>
      <c r="H1391" s="703" t="s">
        <v>334</v>
      </c>
      <c r="I1391" s="703" t="s">
        <v>334</v>
      </c>
      <c r="J1391" s="703" t="s">
        <v>337</v>
      </c>
      <c r="K1391" s="704">
        <v>0</v>
      </c>
      <c r="L1391" s="703" t="s">
        <v>334</v>
      </c>
      <c r="M1391" s="702">
        <v>43251</v>
      </c>
      <c r="N1391" s="702">
        <v>44306</v>
      </c>
      <c r="O1391" s="703" t="s">
        <v>338</v>
      </c>
      <c r="P1391" s="20">
        <v>77.47</v>
      </c>
      <c r="Q1391" s="20">
        <v>0</v>
      </c>
      <c r="R1391" s="20">
        <v>0</v>
      </c>
      <c r="S1391" s="20">
        <v>0</v>
      </c>
      <c r="T1391" s="20">
        <v>77.47</v>
      </c>
      <c r="U1391" s="20">
        <v>75.75</v>
      </c>
      <c r="V1391" s="20">
        <v>-1.72</v>
      </c>
      <c r="W1391" s="20">
        <v>-4.3</v>
      </c>
      <c r="X1391" s="20">
        <v>-2.58</v>
      </c>
      <c r="Y1391" s="20">
        <v>0</v>
      </c>
      <c r="Z1391" s="20">
        <v>0</v>
      </c>
      <c r="AA1391" s="20">
        <v>0</v>
      </c>
      <c r="AB1391" s="20">
        <v>73.17</v>
      </c>
      <c r="AC1391" t="s">
        <v>188</v>
      </c>
      <c r="AD1391" t="s">
        <v>290</v>
      </c>
      <c r="AE1391" s="702">
        <f t="shared" si="105"/>
        <v>44348</v>
      </c>
      <c r="AF1391" s="289">
        <v>88.954553983755432</v>
      </c>
      <c r="AG1391">
        <f t="shared" si="106"/>
        <v>360</v>
      </c>
      <c r="AH1391" s="289">
        <f t="shared" si="107"/>
        <v>0.24709598328820953</v>
      </c>
      <c r="AJ1391" s="289">
        <f t="shared" si="108"/>
        <v>18</v>
      </c>
      <c r="AK1391" s="289">
        <f t="shared" si="109"/>
        <v>4.4477276991877712</v>
      </c>
    </row>
    <row r="1392" spans="1:37">
      <c r="A1392" s="703" t="s">
        <v>2266</v>
      </c>
      <c r="B1392" s="703" t="s">
        <v>2849</v>
      </c>
      <c r="C1392" s="703" t="s">
        <v>472</v>
      </c>
      <c r="D1392" s="703" t="s">
        <v>334</v>
      </c>
      <c r="E1392" s="703" t="s">
        <v>334</v>
      </c>
      <c r="F1392" s="703" t="s">
        <v>474</v>
      </c>
      <c r="G1392" s="703" t="s">
        <v>810</v>
      </c>
      <c r="H1392" s="703" t="s">
        <v>2267</v>
      </c>
      <c r="I1392" s="703" t="s">
        <v>334</v>
      </c>
      <c r="J1392" s="703" t="s">
        <v>476</v>
      </c>
      <c r="K1392" s="704">
        <v>0</v>
      </c>
      <c r="L1392" s="703" t="s">
        <v>334</v>
      </c>
      <c r="M1392" s="702"/>
      <c r="N1392" s="702">
        <v>44316</v>
      </c>
      <c r="O1392" s="703" t="s">
        <v>338</v>
      </c>
      <c r="P1392" s="20">
        <v>55678.46</v>
      </c>
      <c r="Q1392" s="20">
        <v>0</v>
      </c>
      <c r="R1392" s="20">
        <v>0</v>
      </c>
      <c r="S1392" s="20">
        <v>0</v>
      </c>
      <c r="T1392" s="20">
        <v>55678.46</v>
      </c>
      <c r="U1392" s="20">
        <v>52797.99</v>
      </c>
      <c r="V1392" s="20">
        <v>-2880.47</v>
      </c>
      <c r="W1392" s="20">
        <v>-8448.32</v>
      </c>
      <c r="X1392" s="20">
        <v>-5567.85</v>
      </c>
      <c r="Y1392" s="20">
        <v>0</v>
      </c>
      <c r="Z1392" s="20">
        <v>0</v>
      </c>
      <c r="AA1392" s="20">
        <v>0</v>
      </c>
      <c r="AB1392" s="20">
        <v>47230.14</v>
      </c>
      <c r="AC1392" t="s">
        <v>477</v>
      </c>
      <c r="AD1392" t="s">
        <v>290</v>
      </c>
      <c r="AE1392" s="702">
        <f t="shared" si="105"/>
        <v>44348</v>
      </c>
      <c r="AF1392" s="289">
        <v>63932.52324515771</v>
      </c>
      <c r="AG1392">
        <f t="shared" si="106"/>
        <v>360</v>
      </c>
      <c r="AH1392" s="289">
        <f t="shared" si="107"/>
        <v>177.59034234766031</v>
      </c>
      <c r="AJ1392" s="289">
        <f t="shared" si="108"/>
        <v>18</v>
      </c>
      <c r="AK1392" s="289">
        <f t="shared" si="109"/>
        <v>3196.6261622578854</v>
      </c>
    </row>
    <row r="1393" spans="1:37">
      <c r="A1393" s="703" t="s">
        <v>1506</v>
      </c>
      <c r="B1393" s="703" t="s">
        <v>2849</v>
      </c>
      <c r="C1393" s="703" t="s">
        <v>472</v>
      </c>
      <c r="D1393" s="703" t="s">
        <v>334</v>
      </c>
      <c r="E1393" s="703" t="s">
        <v>334</v>
      </c>
      <c r="F1393" s="703" t="s">
        <v>474</v>
      </c>
      <c r="G1393" s="703" t="s">
        <v>810</v>
      </c>
      <c r="H1393" s="703" t="s">
        <v>1507</v>
      </c>
      <c r="I1393" s="703" t="s">
        <v>334</v>
      </c>
      <c r="J1393" s="703" t="s">
        <v>476</v>
      </c>
      <c r="K1393" s="704">
        <v>0</v>
      </c>
      <c r="L1393" s="703" t="s">
        <v>334</v>
      </c>
      <c r="M1393" s="702"/>
      <c r="N1393" s="702">
        <v>44347</v>
      </c>
      <c r="O1393" s="703" t="s">
        <v>338</v>
      </c>
      <c r="P1393" s="20">
        <v>42803.5</v>
      </c>
      <c r="Q1393" s="20">
        <v>0</v>
      </c>
      <c r="R1393" s="20">
        <v>0</v>
      </c>
      <c r="S1393" s="20">
        <v>0</v>
      </c>
      <c r="T1393" s="20">
        <v>42803.5</v>
      </c>
      <c r="U1393" s="20">
        <v>40306.629999999997</v>
      </c>
      <c r="V1393" s="20">
        <v>-2496.87</v>
      </c>
      <c r="W1393" s="20">
        <v>-6777.22</v>
      </c>
      <c r="X1393" s="20">
        <v>-4280.3500000000004</v>
      </c>
      <c r="Y1393" s="20">
        <v>0</v>
      </c>
      <c r="Z1393" s="20">
        <v>0</v>
      </c>
      <c r="AA1393" s="20">
        <v>0</v>
      </c>
      <c r="AB1393" s="20">
        <v>36026.28</v>
      </c>
      <c r="AC1393" t="s">
        <v>477</v>
      </c>
      <c r="AD1393" t="s">
        <v>290</v>
      </c>
      <c r="AE1393" s="702">
        <f t="shared" si="105"/>
        <v>44348</v>
      </c>
      <c r="AF1393" s="289">
        <v>49148.912500886487</v>
      </c>
      <c r="AG1393">
        <f t="shared" si="106"/>
        <v>360</v>
      </c>
      <c r="AH1393" s="289">
        <f t="shared" si="107"/>
        <v>136.5247569469069</v>
      </c>
      <c r="AJ1393" s="289">
        <f t="shared" si="108"/>
        <v>18</v>
      </c>
      <c r="AK1393" s="289">
        <f t="shared" si="109"/>
        <v>2457.4456250443245</v>
      </c>
    </row>
    <row r="1394" spans="1:37">
      <c r="A1394" s="703" t="s">
        <v>1207</v>
      </c>
      <c r="B1394" s="703" t="s">
        <v>2849</v>
      </c>
      <c r="C1394" s="703" t="s">
        <v>472</v>
      </c>
      <c r="D1394" s="703" t="s">
        <v>334</v>
      </c>
      <c r="E1394" s="703" t="s">
        <v>334</v>
      </c>
      <c r="F1394" s="703" t="s">
        <v>474</v>
      </c>
      <c r="G1394" s="703" t="s">
        <v>810</v>
      </c>
      <c r="H1394" s="703" t="s">
        <v>1208</v>
      </c>
      <c r="I1394" s="703" t="s">
        <v>334</v>
      </c>
      <c r="J1394" s="703" t="s">
        <v>476</v>
      </c>
      <c r="K1394" s="704">
        <v>0</v>
      </c>
      <c r="L1394" s="703" t="s">
        <v>334</v>
      </c>
      <c r="M1394" s="702"/>
      <c r="N1394" s="702">
        <v>44347</v>
      </c>
      <c r="O1394" s="703" t="s">
        <v>338</v>
      </c>
      <c r="P1394" s="20">
        <v>124841.41</v>
      </c>
      <c r="Q1394" s="20">
        <v>0</v>
      </c>
      <c r="R1394" s="20">
        <v>0</v>
      </c>
      <c r="S1394" s="20">
        <v>0</v>
      </c>
      <c r="T1394" s="20">
        <v>124841.41</v>
      </c>
      <c r="U1394" s="20">
        <v>119958.99</v>
      </c>
      <c r="V1394" s="20">
        <v>-4882.42</v>
      </c>
      <c r="W1394" s="20">
        <v>-17366.560000000001</v>
      </c>
      <c r="X1394" s="20">
        <v>-12484.14</v>
      </c>
      <c r="Y1394" s="20">
        <v>0</v>
      </c>
      <c r="Z1394" s="20">
        <v>0</v>
      </c>
      <c r="AA1394" s="20">
        <v>0</v>
      </c>
      <c r="AB1394" s="20">
        <v>107474.85</v>
      </c>
      <c r="AC1394" t="s">
        <v>477</v>
      </c>
      <c r="AD1394" t="s">
        <v>290</v>
      </c>
      <c r="AE1394" s="702">
        <f t="shared" si="105"/>
        <v>44348</v>
      </c>
      <c r="AF1394" s="289">
        <v>143348.54711827994</v>
      </c>
      <c r="AG1394">
        <f t="shared" si="106"/>
        <v>360</v>
      </c>
      <c r="AH1394" s="289">
        <f t="shared" si="107"/>
        <v>398.19040866188874</v>
      </c>
      <c r="AJ1394" s="289">
        <f t="shared" si="108"/>
        <v>18</v>
      </c>
      <c r="AK1394" s="289">
        <f t="shared" si="109"/>
        <v>7167.4273559139974</v>
      </c>
    </row>
    <row r="1395" spans="1:37">
      <c r="A1395" s="703" t="s">
        <v>2885</v>
      </c>
      <c r="B1395" s="703" t="s">
        <v>2849</v>
      </c>
      <c r="C1395" s="703" t="s">
        <v>1577</v>
      </c>
      <c r="D1395" s="703" t="s">
        <v>334</v>
      </c>
      <c r="E1395" s="703" t="s">
        <v>334</v>
      </c>
      <c r="F1395" s="703" t="s">
        <v>502</v>
      </c>
      <c r="G1395" s="703" t="s">
        <v>2886</v>
      </c>
      <c r="H1395" s="703" t="s">
        <v>334</v>
      </c>
      <c r="I1395" s="703" t="s">
        <v>334</v>
      </c>
      <c r="J1395" s="703" t="s">
        <v>1579</v>
      </c>
      <c r="K1395" s="704">
        <v>0</v>
      </c>
      <c r="L1395" s="703" t="s">
        <v>334</v>
      </c>
      <c r="M1395" s="702"/>
      <c r="N1395" s="702">
        <v>44347</v>
      </c>
      <c r="O1395" s="703" t="s">
        <v>338</v>
      </c>
      <c r="P1395" s="20">
        <v>14000</v>
      </c>
      <c r="Q1395" s="20">
        <v>0</v>
      </c>
      <c r="R1395" s="20">
        <v>0</v>
      </c>
      <c r="S1395" s="20">
        <v>0</v>
      </c>
      <c r="T1395" s="20">
        <v>14000</v>
      </c>
      <c r="U1395" s="20">
        <v>13720</v>
      </c>
      <c r="V1395" s="20">
        <v>-280</v>
      </c>
      <c r="W1395" s="20">
        <v>-3080</v>
      </c>
      <c r="X1395" s="20">
        <v>-2800</v>
      </c>
      <c r="Y1395" s="20">
        <v>0</v>
      </c>
      <c r="Z1395" s="20">
        <v>0</v>
      </c>
      <c r="AA1395" s="20">
        <v>0</v>
      </c>
      <c r="AB1395" s="20">
        <v>10920</v>
      </c>
      <c r="AC1395" t="s">
        <v>1580</v>
      </c>
      <c r="AD1395" t="s">
        <v>290</v>
      </c>
      <c r="AE1395" s="702">
        <f t="shared" si="105"/>
        <v>44348</v>
      </c>
      <c r="AF1395" s="289">
        <v>16075.432499968712</v>
      </c>
      <c r="AG1395">
        <f t="shared" si="106"/>
        <v>360</v>
      </c>
      <c r="AH1395" s="289">
        <f t="shared" si="107"/>
        <v>44.653979166579759</v>
      </c>
      <c r="AJ1395" s="289">
        <f t="shared" si="108"/>
        <v>18</v>
      </c>
      <c r="AK1395" s="289">
        <f t="shared" si="109"/>
        <v>803.77162499843564</v>
      </c>
    </row>
    <row r="1396" spans="1:37">
      <c r="A1396" s="703" t="s">
        <v>2887</v>
      </c>
      <c r="B1396" s="703" t="s">
        <v>484</v>
      </c>
      <c r="C1396" s="703" t="s">
        <v>1776</v>
      </c>
      <c r="D1396" s="703" t="s">
        <v>1777</v>
      </c>
      <c r="E1396" s="703" t="s">
        <v>334</v>
      </c>
      <c r="F1396" s="703" t="s">
        <v>487</v>
      </c>
      <c r="G1396" s="703" t="s">
        <v>2888</v>
      </c>
      <c r="H1396" s="703" t="s">
        <v>2888</v>
      </c>
      <c r="I1396" s="703" t="s">
        <v>334</v>
      </c>
      <c r="J1396" s="703" t="s">
        <v>490</v>
      </c>
      <c r="K1396" s="704">
        <v>0</v>
      </c>
      <c r="L1396" s="703" t="s">
        <v>334</v>
      </c>
      <c r="M1396" s="702"/>
      <c r="N1396" s="702">
        <v>44347</v>
      </c>
      <c r="O1396" s="703" t="s">
        <v>338</v>
      </c>
      <c r="P1396" s="20">
        <v>404953.49</v>
      </c>
      <c r="Q1396" s="20">
        <v>0</v>
      </c>
      <c r="R1396" s="20">
        <v>0</v>
      </c>
      <c r="S1396" s="20">
        <v>0</v>
      </c>
      <c r="T1396" s="20">
        <v>404953.49</v>
      </c>
      <c r="U1396" s="20">
        <v>404953.49</v>
      </c>
      <c r="V1396" s="20">
        <v>0</v>
      </c>
      <c r="W1396" s="20">
        <v>0</v>
      </c>
      <c r="X1396" s="20">
        <v>0</v>
      </c>
      <c r="Y1396" s="20">
        <v>0</v>
      </c>
      <c r="Z1396" s="20">
        <v>0</v>
      </c>
      <c r="AA1396" s="20">
        <v>0</v>
      </c>
      <c r="AB1396" s="20">
        <v>404953.49</v>
      </c>
      <c r="AC1396" t="s">
        <v>1779</v>
      </c>
      <c r="AD1396" t="s">
        <v>492</v>
      </c>
      <c r="AE1396" s="702">
        <f t="shared" si="105"/>
        <v>44348</v>
      </c>
      <c r="AF1396" s="289">
        <v>464985.89243726822</v>
      </c>
      <c r="AG1396">
        <f t="shared" si="106"/>
        <v>360</v>
      </c>
      <c r="AH1396" s="289">
        <f t="shared" si="107"/>
        <v>1291.6274789924116</v>
      </c>
      <c r="AJ1396" s="289">
        <f t="shared" si="108"/>
        <v>18</v>
      </c>
      <c r="AK1396" s="289">
        <f t="shared" si="109"/>
        <v>0</v>
      </c>
    </row>
    <row r="1397" spans="1:37">
      <c r="A1397" s="703" t="s">
        <v>2889</v>
      </c>
      <c r="B1397" s="703" t="s">
        <v>2849</v>
      </c>
      <c r="C1397" s="703" t="s">
        <v>332</v>
      </c>
      <c r="D1397" s="703" t="s">
        <v>334</v>
      </c>
      <c r="E1397" s="703" t="s">
        <v>334</v>
      </c>
      <c r="F1397" s="703" t="s">
        <v>335</v>
      </c>
      <c r="G1397" s="703" t="s">
        <v>2890</v>
      </c>
      <c r="H1397" s="703" t="s">
        <v>334</v>
      </c>
      <c r="I1397" s="703" t="s">
        <v>334</v>
      </c>
      <c r="J1397" s="703" t="s">
        <v>337</v>
      </c>
      <c r="K1397" s="704">
        <v>0</v>
      </c>
      <c r="L1397" s="703" t="s">
        <v>334</v>
      </c>
      <c r="M1397" s="702">
        <v>42886</v>
      </c>
      <c r="N1397" s="702">
        <v>44372</v>
      </c>
      <c r="O1397" s="703" t="s">
        <v>338</v>
      </c>
      <c r="P1397" s="20">
        <v>34509.24</v>
      </c>
      <c r="Q1397" s="20">
        <v>0</v>
      </c>
      <c r="R1397" s="20">
        <v>0</v>
      </c>
      <c r="S1397" s="20">
        <v>0</v>
      </c>
      <c r="T1397" s="20">
        <v>34509.24</v>
      </c>
      <c r="U1397" s="20">
        <v>33934.089999999997</v>
      </c>
      <c r="V1397" s="20">
        <v>-575.15</v>
      </c>
      <c r="W1397" s="20">
        <v>-1725.46</v>
      </c>
      <c r="X1397" s="20">
        <v>-1150.31</v>
      </c>
      <c r="Y1397" s="20">
        <v>0</v>
      </c>
      <c r="Z1397" s="20">
        <v>0</v>
      </c>
      <c r="AA1397" s="20">
        <v>0</v>
      </c>
      <c r="AB1397" s="20">
        <v>32783.78</v>
      </c>
      <c r="AC1397" t="s">
        <v>183</v>
      </c>
      <c r="AD1397" t="s">
        <v>290</v>
      </c>
      <c r="AE1397" s="702">
        <f t="shared" si="105"/>
        <v>44348</v>
      </c>
      <c r="AF1397" s="289">
        <v>39625.068446087163</v>
      </c>
      <c r="AG1397">
        <f t="shared" si="106"/>
        <v>360</v>
      </c>
      <c r="AH1397" s="289">
        <f t="shared" si="107"/>
        <v>110.06963457246434</v>
      </c>
      <c r="AJ1397" s="289">
        <f t="shared" si="108"/>
        <v>18</v>
      </c>
      <c r="AK1397" s="289">
        <f t="shared" si="109"/>
        <v>1981.2534223043581</v>
      </c>
    </row>
    <row r="1398" spans="1:37">
      <c r="A1398" s="703" t="s">
        <v>2891</v>
      </c>
      <c r="B1398" s="703" t="s">
        <v>2849</v>
      </c>
      <c r="C1398" s="703" t="s">
        <v>332</v>
      </c>
      <c r="D1398" s="703" t="s">
        <v>334</v>
      </c>
      <c r="E1398" s="703" t="s">
        <v>334</v>
      </c>
      <c r="F1398" s="703" t="s">
        <v>335</v>
      </c>
      <c r="G1398" s="703" t="s">
        <v>2892</v>
      </c>
      <c r="H1398" s="703" t="s">
        <v>334</v>
      </c>
      <c r="I1398" s="703" t="s">
        <v>334</v>
      </c>
      <c r="J1398" s="703" t="s">
        <v>337</v>
      </c>
      <c r="K1398" s="704">
        <v>0</v>
      </c>
      <c r="L1398" s="703" t="s">
        <v>334</v>
      </c>
      <c r="M1398" s="702">
        <v>42886</v>
      </c>
      <c r="N1398" s="702">
        <v>44372</v>
      </c>
      <c r="O1398" s="703" t="s">
        <v>338</v>
      </c>
      <c r="P1398" s="20">
        <v>525.46</v>
      </c>
      <c r="Q1398" s="20">
        <v>0</v>
      </c>
      <c r="R1398" s="20">
        <v>0</v>
      </c>
      <c r="S1398" s="20">
        <v>0</v>
      </c>
      <c r="T1398" s="20">
        <v>525.46</v>
      </c>
      <c r="U1398" s="20">
        <v>516.70000000000005</v>
      </c>
      <c r="V1398" s="20">
        <v>-8.76</v>
      </c>
      <c r="W1398" s="20">
        <v>-26.28</v>
      </c>
      <c r="X1398" s="20">
        <v>-17.52</v>
      </c>
      <c r="Y1398" s="20">
        <v>0</v>
      </c>
      <c r="Z1398" s="20">
        <v>0</v>
      </c>
      <c r="AA1398" s="20">
        <v>0</v>
      </c>
      <c r="AB1398" s="20">
        <v>499.18</v>
      </c>
      <c r="AC1398" t="s">
        <v>183</v>
      </c>
      <c r="AD1398" t="s">
        <v>290</v>
      </c>
      <c r="AE1398" s="702">
        <f t="shared" si="105"/>
        <v>44348</v>
      </c>
      <c r="AF1398" s="289">
        <v>603.35691153096855</v>
      </c>
      <c r="AG1398">
        <f t="shared" si="106"/>
        <v>360</v>
      </c>
      <c r="AH1398" s="289">
        <f t="shared" si="107"/>
        <v>1.6759914209193572</v>
      </c>
      <c r="AJ1398" s="289">
        <f t="shared" si="108"/>
        <v>18</v>
      </c>
      <c r="AK1398" s="289">
        <f t="shared" si="109"/>
        <v>30.16784557654843</v>
      </c>
    </row>
    <row r="1399" spans="1:37">
      <c r="A1399" s="703" t="s">
        <v>2893</v>
      </c>
      <c r="B1399" s="703" t="s">
        <v>2849</v>
      </c>
      <c r="C1399" s="703" t="s">
        <v>332</v>
      </c>
      <c r="D1399" s="703" t="s">
        <v>334</v>
      </c>
      <c r="E1399" s="703" t="s">
        <v>334</v>
      </c>
      <c r="F1399" s="703" t="s">
        <v>335</v>
      </c>
      <c r="G1399" s="703" t="s">
        <v>2894</v>
      </c>
      <c r="H1399" s="703" t="s">
        <v>334</v>
      </c>
      <c r="I1399" s="703" t="s">
        <v>334</v>
      </c>
      <c r="J1399" s="703" t="s">
        <v>337</v>
      </c>
      <c r="K1399" s="704">
        <v>0</v>
      </c>
      <c r="L1399" s="703" t="s">
        <v>334</v>
      </c>
      <c r="M1399" s="702">
        <v>42886</v>
      </c>
      <c r="N1399" s="702">
        <v>44372</v>
      </c>
      <c r="O1399" s="703" t="s">
        <v>338</v>
      </c>
      <c r="P1399" s="20">
        <v>14110.99</v>
      </c>
      <c r="Q1399" s="20">
        <v>0</v>
      </c>
      <c r="R1399" s="20">
        <v>0</v>
      </c>
      <c r="S1399" s="20">
        <v>0</v>
      </c>
      <c r="T1399" s="20">
        <v>14110.99</v>
      </c>
      <c r="U1399" s="20">
        <v>13875.81</v>
      </c>
      <c r="V1399" s="20">
        <v>-235.18</v>
      </c>
      <c r="W1399" s="20">
        <v>-705.55</v>
      </c>
      <c r="X1399" s="20">
        <v>-470.37</v>
      </c>
      <c r="Y1399" s="20">
        <v>0</v>
      </c>
      <c r="Z1399" s="20">
        <v>0</v>
      </c>
      <c r="AA1399" s="20">
        <v>0</v>
      </c>
      <c r="AB1399" s="20">
        <v>13405.44</v>
      </c>
      <c r="AC1399" t="s">
        <v>183</v>
      </c>
      <c r="AD1399" t="s">
        <v>290</v>
      </c>
      <c r="AE1399" s="702">
        <f t="shared" si="105"/>
        <v>44348</v>
      </c>
      <c r="AF1399" s="289">
        <v>16202.876232338107</v>
      </c>
      <c r="AG1399">
        <f t="shared" si="106"/>
        <v>360</v>
      </c>
      <c r="AH1399" s="289">
        <f t="shared" si="107"/>
        <v>45.007989534272518</v>
      </c>
      <c r="AJ1399" s="289">
        <f t="shared" si="108"/>
        <v>18</v>
      </c>
      <c r="AK1399" s="289">
        <f t="shared" si="109"/>
        <v>810.14381161690528</v>
      </c>
    </row>
    <row r="1400" spans="1:37">
      <c r="A1400" s="703" t="s">
        <v>2895</v>
      </c>
      <c r="B1400" s="703" t="s">
        <v>2849</v>
      </c>
      <c r="C1400" s="703" t="s">
        <v>332</v>
      </c>
      <c r="D1400" s="703" t="s">
        <v>334</v>
      </c>
      <c r="E1400" s="703" t="s">
        <v>334</v>
      </c>
      <c r="F1400" s="703" t="s">
        <v>335</v>
      </c>
      <c r="G1400" s="703" t="s">
        <v>2896</v>
      </c>
      <c r="H1400" s="703" t="s">
        <v>334</v>
      </c>
      <c r="I1400" s="703" t="s">
        <v>334</v>
      </c>
      <c r="J1400" s="703" t="s">
        <v>337</v>
      </c>
      <c r="K1400" s="704">
        <v>0</v>
      </c>
      <c r="L1400" s="703" t="s">
        <v>334</v>
      </c>
      <c r="M1400" s="702">
        <v>39478</v>
      </c>
      <c r="N1400" s="702">
        <v>44372</v>
      </c>
      <c r="O1400" s="703" t="s">
        <v>338</v>
      </c>
      <c r="P1400" s="20">
        <v>221955.46</v>
      </c>
      <c r="Q1400" s="20">
        <v>0</v>
      </c>
      <c r="R1400" s="20">
        <v>0</v>
      </c>
      <c r="S1400" s="20">
        <v>0</v>
      </c>
      <c r="T1400" s="20">
        <v>221955.46</v>
      </c>
      <c r="U1400" s="20">
        <v>218256.2</v>
      </c>
      <c r="V1400" s="20">
        <v>-3699.26</v>
      </c>
      <c r="W1400" s="20">
        <v>-11097.78</v>
      </c>
      <c r="X1400" s="20">
        <v>-7398.52</v>
      </c>
      <c r="Y1400" s="20">
        <v>0</v>
      </c>
      <c r="Z1400" s="20">
        <v>0</v>
      </c>
      <c r="AA1400" s="20">
        <v>0</v>
      </c>
      <c r="AB1400" s="20">
        <v>210857.68</v>
      </c>
      <c r="AC1400" t="s">
        <v>183</v>
      </c>
      <c r="AD1400" t="s">
        <v>290</v>
      </c>
      <c r="AE1400" s="702">
        <f t="shared" si="105"/>
        <v>44348</v>
      </c>
      <c r="AF1400" s="289">
        <v>254859.28680210753</v>
      </c>
      <c r="AG1400">
        <f t="shared" si="106"/>
        <v>360</v>
      </c>
      <c r="AH1400" s="289">
        <f t="shared" si="107"/>
        <v>707.94246333918761</v>
      </c>
      <c r="AJ1400" s="289">
        <f t="shared" si="108"/>
        <v>18</v>
      </c>
      <c r="AK1400" s="289">
        <f t="shared" si="109"/>
        <v>12742.964340105376</v>
      </c>
    </row>
    <row r="1401" spans="1:37">
      <c r="A1401" s="703" t="s">
        <v>2897</v>
      </c>
      <c r="B1401" s="703" t="s">
        <v>2849</v>
      </c>
      <c r="C1401" s="703" t="s">
        <v>390</v>
      </c>
      <c r="D1401" s="703" t="s">
        <v>334</v>
      </c>
      <c r="E1401" s="703" t="s">
        <v>334</v>
      </c>
      <c r="F1401" s="703" t="s">
        <v>335</v>
      </c>
      <c r="G1401" s="703" t="s">
        <v>2898</v>
      </c>
      <c r="H1401" s="703" t="s">
        <v>334</v>
      </c>
      <c r="I1401" s="703" t="s">
        <v>334</v>
      </c>
      <c r="J1401" s="703" t="s">
        <v>337</v>
      </c>
      <c r="K1401" s="704">
        <v>0</v>
      </c>
      <c r="L1401" s="703" t="s">
        <v>334</v>
      </c>
      <c r="M1401" s="702">
        <v>43251</v>
      </c>
      <c r="N1401" s="702">
        <v>44372</v>
      </c>
      <c r="O1401" s="703" t="s">
        <v>338</v>
      </c>
      <c r="P1401" s="20">
        <v>3978.54</v>
      </c>
      <c r="Q1401" s="20">
        <v>0</v>
      </c>
      <c r="R1401" s="20">
        <v>0</v>
      </c>
      <c r="S1401" s="20">
        <v>0</v>
      </c>
      <c r="T1401" s="20">
        <v>3978.54</v>
      </c>
      <c r="U1401" s="20">
        <v>3912.23</v>
      </c>
      <c r="V1401" s="20">
        <v>-66.31</v>
      </c>
      <c r="W1401" s="20">
        <v>-198.93</v>
      </c>
      <c r="X1401" s="20">
        <v>-132.62</v>
      </c>
      <c r="Y1401" s="20">
        <v>0</v>
      </c>
      <c r="Z1401" s="20">
        <v>0</v>
      </c>
      <c r="AA1401" s="20">
        <v>0</v>
      </c>
      <c r="AB1401" s="20">
        <v>3779.61</v>
      </c>
      <c r="AC1401" t="s">
        <v>188</v>
      </c>
      <c r="AD1401" t="s">
        <v>290</v>
      </c>
      <c r="AE1401" s="702">
        <f t="shared" si="105"/>
        <v>44348</v>
      </c>
      <c r="AF1401" s="289">
        <v>4568.3393727446801</v>
      </c>
      <c r="AG1401">
        <f t="shared" si="106"/>
        <v>360</v>
      </c>
      <c r="AH1401" s="289">
        <f t="shared" si="107"/>
        <v>12.689831590957445</v>
      </c>
      <c r="AJ1401" s="289">
        <f t="shared" si="108"/>
        <v>18</v>
      </c>
      <c r="AK1401" s="289">
        <f t="shared" si="109"/>
        <v>228.41696863723399</v>
      </c>
    </row>
    <row r="1402" spans="1:37">
      <c r="A1402" s="703" t="s">
        <v>2899</v>
      </c>
      <c r="B1402" s="703" t="s">
        <v>2849</v>
      </c>
      <c r="C1402" s="703" t="s">
        <v>390</v>
      </c>
      <c r="D1402" s="703" t="s">
        <v>334</v>
      </c>
      <c r="E1402" s="703" t="s">
        <v>334</v>
      </c>
      <c r="F1402" s="703" t="s">
        <v>335</v>
      </c>
      <c r="G1402" s="703" t="s">
        <v>2900</v>
      </c>
      <c r="H1402" s="703" t="s">
        <v>334</v>
      </c>
      <c r="I1402" s="703" t="s">
        <v>334</v>
      </c>
      <c r="J1402" s="703" t="s">
        <v>337</v>
      </c>
      <c r="K1402" s="704">
        <v>0</v>
      </c>
      <c r="L1402" s="703" t="s">
        <v>334</v>
      </c>
      <c r="M1402" s="702">
        <v>43251</v>
      </c>
      <c r="N1402" s="702">
        <v>44372</v>
      </c>
      <c r="O1402" s="703" t="s">
        <v>338</v>
      </c>
      <c r="P1402" s="20">
        <v>9722.91</v>
      </c>
      <c r="Q1402" s="20">
        <v>0</v>
      </c>
      <c r="R1402" s="20">
        <v>0</v>
      </c>
      <c r="S1402" s="20">
        <v>0</v>
      </c>
      <c r="T1402" s="20">
        <v>9722.91</v>
      </c>
      <c r="U1402" s="20">
        <v>9560.86</v>
      </c>
      <c r="V1402" s="20">
        <v>-162.05000000000001</v>
      </c>
      <c r="W1402" s="20">
        <v>-486.15</v>
      </c>
      <c r="X1402" s="20">
        <v>-324.10000000000002</v>
      </c>
      <c r="Y1402" s="20">
        <v>0</v>
      </c>
      <c r="Z1402" s="20">
        <v>0</v>
      </c>
      <c r="AA1402" s="20">
        <v>0</v>
      </c>
      <c r="AB1402" s="20">
        <v>9236.76</v>
      </c>
      <c r="AC1402" t="s">
        <v>188</v>
      </c>
      <c r="AD1402" t="s">
        <v>290</v>
      </c>
      <c r="AE1402" s="702">
        <f t="shared" si="105"/>
        <v>44348</v>
      </c>
      <c r="AF1402" s="289">
        <v>11164.2845291622</v>
      </c>
      <c r="AG1402">
        <f t="shared" si="106"/>
        <v>360</v>
      </c>
      <c r="AH1402" s="289">
        <f t="shared" si="107"/>
        <v>31.011901469895001</v>
      </c>
      <c r="AJ1402" s="289">
        <f t="shared" si="108"/>
        <v>18</v>
      </c>
      <c r="AK1402" s="289">
        <f t="shared" si="109"/>
        <v>558.21422645811003</v>
      </c>
    </row>
    <row r="1403" spans="1:37">
      <c r="A1403" s="703" t="s">
        <v>2901</v>
      </c>
      <c r="B1403" s="703" t="s">
        <v>2849</v>
      </c>
      <c r="C1403" s="703" t="s">
        <v>390</v>
      </c>
      <c r="D1403" s="703" t="s">
        <v>334</v>
      </c>
      <c r="E1403" s="703" t="s">
        <v>334</v>
      </c>
      <c r="F1403" s="703" t="s">
        <v>335</v>
      </c>
      <c r="G1403" s="703" t="s">
        <v>2902</v>
      </c>
      <c r="H1403" s="703" t="s">
        <v>334</v>
      </c>
      <c r="I1403" s="703" t="s">
        <v>334</v>
      </c>
      <c r="J1403" s="703" t="s">
        <v>337</v>
      </c>
      <c r="K1403" s="704">
        <v>0</v>
      </c>
      <c r="L1403" s="703" t="s">
        <v>334</v>
      </c>
      <c r="M1403" s="702">
        <v>43251</v>
      </c>
      <c r="N1403" s="702">
        <v>44372</v>
      </c>
      <c r="O1403" s="703" t="s">
        <v>338</v>
      </c>
      <c r="P1403" s="20">
        <v>222053.34</v>
      </c>
      <c r="Q1403" s="20">
        <v>0</v>
      </c>
      <c r="R1403" s="20">
        <v>0</v>
      </c>
      <c r="S1403" s="20">
        <v>0</v>
      </c>
      <c r="T1403" s="20">
        <v>222053.34</v>
      </c>
      <c r="U1403" s="20">
        <v>218352.45</v>
      </c>
      <c r="V1403" s="20">
        <v>-3700.89</v>
      </c>
      <c r="W1403" s="20">
        <v>-11102.67</v>
      </c>
      <c r="X1403" s="20">
        <v>-7401.78</v>
      </c>
      <c r="Y1403" s="20">
        <v>0</v>
      </c>
      <c r="Z1403" s="20">
        <v>0</v>
      </c>
      <c r="AA1403" s="20">
        <v>0</v>
      </c>
      <c r="AB1403" s="20">
        <v>210950.67</v>
      </c>
      <c r="AC1403" t="s">
        <v>188</v>
      </c>
      <c r="AD1403" t="s">
        <v>290</v>
      </c>
      <c r="AE1403" s="702">
        <f t="shared" si="105"/>
        <v>44348</v>
      </c>
      <c r="AF1403" s="289">
        <v>254971.67704018587</v>
      </c>
      <c r="AG1403">
        <f t="shared" si="106"/>
        <v>360</v>
      </c>
      <c r="AH1403" s="289">
        <f t="shared" si="107"/>
        <v>708.2546584449608</v>
      </c>
      <c r="AJ1403" s="289">
        <f t="shared" si="108"/>
        <v>18</v>
      </c>
      <c r="AK1403" s="289">
        <f t="shared" si="109"/>
        <v>12748.583852009295</v>
      </c>
    </row>
    <row r="1404" spans="1:37">
      <c r="A1404" s="703" t="s">
        <v>2903</v>
      </c>
      <c r="B1404" s="703" t="s">
        <v>2849</v>
      </c>
      <c r="C1404" s="703" t="s">
        <v>390</v>
      </c>
      <c r="D1404" s="703" t="s">
        <v>334</v>
      </c>
      <c r="E1404" s="703" t="s">
        <v>334</v>
      </c>
      <c r="F1404" s="703" t="s">
        <v>335</v>
      </c>
      <c r="G1404" s="703" t="s">
        <v>2904</v>
      </c>
      <c r="H1404" s="703" t="s">
        <v>334</v>
      </c>
      <c r="I1404" s="703" t="s">
        <v>334</v>
      </c>
      <c r="J1404" s="703" t="s">
        <v>337</v>
      </c>
      <c r="K1404" s="704">
        <v>0</v>
      </c>
      <c r="L1404" s="703" t="s">
        <v>334</v>
      </c>
      <c r="M1404" s="702">
        <v>42886</v>
      </c>
      <c r="N1404" s="702">
        <v>44372</v>
      </c>
      <c r="O1404" s="703" t="s">
        <v>338</v>
      </c>
      <c r="P1404" s="20">
        <v>5541.64</v>
      </c>
      <c r="Q1404" s="20">
        <v>0</v>
      </c>
      <c r="R1404" s="20">
        <v>0</v>
      </c>
      <c r="S1404" s="20">
        <v>0</v>
      </c>
      <c r="T1404" s="20">
        <v>5541.64</v>
      </c>
      <c r="U1404" s="20">
        <v>5449.28</v>
      </c>
      <c r="V1404" s="20">
        <v>-92.36</v>
      </c>
      <c r="W1404" s="20">
        <v>-277.08</v>
      </c>
      <c r="X1404" s="20">
        <v>-184.72</v>
      </c>
      <c r="Y1404" s="20">
        <v>0</v>
      </c>
      <c r="Z1404" s="20">
        <v>0</v>
      </c>
      <c r="AA1404" s="20">
        <v>0</v>
      </c>
      <c r="AB1404" s="20">
        <v>5264.56</v>
      </c>
      <c r="AC1404" t="s">
        <v>188</v>
      </c>
      <c r="AD1404" t="s">
        <v>290</v>
      </c>
      <c r="AE1404" s="702">
        <f t="shared" si="105"/>
        <v>44348</v>
      </c>
      <c r="AF1404" s="289">
        <v>6363.1614113661863</v>
      </c>
      <c r="AG1404">
        <f t="shared" si="106"/>
        <v>360</v>
      </c>
      <c r="AH1404" s="289">
        <f t="shared" si="107"/>
        <v>17.675448364906075</v>
      </c>
      <c r="AJ1404" s="289">
        <f t="shared" si="108"/>
        <v>18</v>
      </c>
      <c r="AK1404" s="289">
        <f t="shared" si="109"/>
        <v>318.15807056830931</v>
      </c>
    </row>
    <row r="1405" spans="1:37">
      <c r="A1405" s="703" t="s">
        <v>2905</v>
      </c>
      <c r="B1405" s="703" t="s">
        <v>2849</v>
      </c>
      <c r="C1405" s="703" t="s">
        <v>390</v>
      </c>
      <c r="D1405" s="703" t="s">
        <v>334</v>
      </c>
      <c r="E1405" s="703" t="s">
        <v>334</v>
      </c>
      <c r="F1405" s="703" t="s">
        <v>335</v>
      </c>
      <c r="G1405" s="703" t="s">
        <v>2906</v>
      </c>
      <c r="H1405" s="703" t="s">
        <v>334</v>
      </c>
      <c r="I1405" s="703" t="s">
        <v>334</v>
      </c>
      <c r="J1405" s="703" t="s">
        <v>337</v>
      </c>
      <c r="K1405" s="704">
        <v>0</v>
      </c>
      <c r="L1405" s="703" t="s">
        <v>334</v>
      </c>
      <c r="M1405" s="702">
        <v>43251</v>
      </c>
      <c r="N1405" s="702">
        <v>44372</v>
      </c>
      <c r="O1405" s="703" t="s">
        <v>338</v>
      </c>
      <c r="P1405" s="20">
        <v>771.52</v>
      </c>
      <c r="Q1405" s="20">
        <v>0</v>
      </c>
      <c r="R1405" s="20">
        <v>0</v>
      </c>
      <c r="S1405" s="20">
        <v>0</v>
      </c>
      <c r="T1405" s="20">
        <v>771.52</v>
      </c>
      <c r="U1405" s="20">
        <v>758.66</v>
      </c>
      <c r="V1405" s="20">
        <v>-12.86</v>
      </c>
      <c r="W1405" s="20">
        <v>-38.58</v>
      </c>
      <c r="X1405" s="20">
        <v>-25.72</v>
      </c>
      <c r="Y1405" s="20">
        <v>0</v>
      </c>
      <c r="Z1405" s="20">
        <v>0</v>
      </c>
      <c r="AA1405" s="20">
        <v>0</v>
      </c>
      <c r="AB1405" s="20">
        <v>732.94</v>
      </c>
      <c r="AC1405" t="s">
        <v>188</v>
      </c>
      <c r="AD1405" t="s">
        <v>290</v>
      </c>
      <c r="AE1405" s="702">
        <f t="shared" si="105"/>
        <v>44348</v>
      </c>
      <c r="AF1405" s="289">
        <v>885.89412016970437</v>
      </c>
      <c r="AG1405">
        <f t="shared" si="106"/>
        <v>360</v>
      </c>
      <c r="AH1405" s="289">
        <f t="shared" si="107"/>
        <v>2.4608170004714012</v>
      </c>
      <c r="AJ1405" s="289">
        <f t="shared" si="108"/>
        <v>18</v>
      </c>
      <c r="AK1405" s="289">
        <f t="shared" si="109"/>
        <v>44.294706008485221</v>
      </c>
    </row>
    <row r="1406" spans="1:37">
      <c r="A1406" s="703" t="s">
        <v>2907</v>
      </c>
      <c r="B1406" s="703" t="s">
        <v>2849</v>
      </c>
      <c r="C1406" s="703" t="s">
        <v>390</v>
      </c>
      <c r="D1406" s="703" t="s">
        <v>334</v>
      </c>
      <c r="E1406" s="703" t="s">
        <v>334</v>
      </c>
      <c r="F1406" s="703" t="s">
        <v>335</v>
      </c>
      <c r="G1406" s="703" t="s">
        <v>2908</v>
      </c>
      <c r="H1406" s="703" t="s">
        <v>334</v>
      </c>
      <c r="I1406" s="703" t="s">
        <v>334</v>
      </c>
      <c r="J1406" s="703" t="s">
        <v>337</v>
      </c>
      <c r="K1406" s="704">
        <v>0</v>
      </c>
      <c r="L1406" s="703" t="s">
        <v>334</v>
      </c>
      <c r="M1406" s="702">
        <v>42886</v>
      </c>
      <c r="N1406" s="702">
        <v>44372</v>
      </c>
      <c r="O1406" s="703" t="s">
        <v>338</v>
      </c>
      <c r="P1406" s="20">
        <v>5443.12</v>
      </c>
      <c r="Q1406" s="20">
        <v>0</v>
      </c>
      <c r="R1406" s="20">
        <v>0</v>
      </c>
      <c r="S1406" s="20">
        <v>0</v>
      </c>
      <c r="T1406" s="20">
        <v>5443.12</v>
      </c>
      <c r="U1406" s="20">
        <v>5352.4</v>
      </c>
      <c r="V1406" s="20">
        <v>-90.72</v>
      </c>
      <c r="W1406" s="20">
        <v>-272.16000000000003</v>
      </c>
      <c r="X1406" s="20">
        <v>-181.44</v>
      </c>
      <c r="Y1406" s="20">
        <v>0</v>
      </c>
      <c r="Z1406" s="20">
        <v>0</v>
      </c>
      <c r="AA1406" s="20">
        <v>0</v>
      </c>
      <c r="AB1406" s="20">
        <v>5170.96</v>
      </c>
      <c r="AC1406" t="s">
        <v>188</v>
      </c>
      <c r="AD1406" t="s">
        <v>290</v>
      </c>
      <c r="AE1406" s="702">
        <f t="shared" si="105"/>
        <v>44348</v>
      </c>
      <c r="AF1406" s="289">
        <v>6250.0362963735488</v>
      </c>
      <c r="AG1406">
        <f t="shared" si="106"/>
        <v>360</v>
      </c>
      <c r="AH1406" s="289">
        <f t="shared" si="107"/>
        <v>17.361211934370967</v>
      </c>
      <c r="AJ1406" s="289">
        <f t="shared" si="108"/>
        <v>18</v>
      </c>
      <c r="AK1406" s="289">
        <f t="shared" si="109"/>
        <v>312.50181481867742</v>
      </c>
    </row>
    <row r="1407" spans="1:37">
      <c r="A1407" s="703" t="s">
        <v>2909</v>
      </c>
      <c r="B1407" s="703" t="s">
        <v>484</v>
      </c>
      <c r="C1407" s="703" t="s">
        <v>1776</v>
      </c>
      <c r="D1407" s="703" t="s">
        <v>1777</v>
      </c>
      <c r="E1407" s="703" t="s">
        <v>334</v>
      </c>
      <c r="F1407" s="703" t="s">
        <v>487</v>
      </c>
      <c r="G1407" s="703" t="s">
        <v>2910</v>
      </c>
      <c r="H1407" s="703" t="s">
        <v>2910</v>
      </c>
      <c r="I1407" s="703" t="s">
        <v>334</v>
      </c>
      <c r="J1407" s="703" t="s">
        <v>490</v>
      </c>
      <c r="K1407" s="704">
        <v>0</v>
      </c>
      <c r="L1407" s="703" t="s">
        <v>334</v>
      </c>
      <c r="M1407" s="702"/>
      <c r="N1407" s="702">
        <v>44377</v>
      </c>
      <c r="O1407" s="703" t="s">
        <v>338</v>
      </c>
      <c r="P1407" s="20">
        <v>200818.44</v>
      </c>
      <c r="Q1407" s="20">
        <v>0</v>
      </c>
      <c r="R1407" s="20">
        <v>0</v>
      </c>
      <c r="S1407" s="20">
        <v>0</v>
      </c>
      <c r="T1407" s="20">
        <v>200818.44</v>
      </c>
      <c r="U1407" s="20">
        <v>200818.44</v>
      </c>
      <c r="V1407" s="20">
        <v>0</v>
      </c>
      <c r="W1407" s="20">
        <v>0</v>
      </c>
      <c r="X1407" s="20">
        <v>0</v>
      </c>
      <c r="Y1407" s="20">
        <v>0</v>
      </c>
      <c r="Z1407" s="20">
        <v>0</v>
      </c>
      <c r="AA1407" s="20">
        <v>0</v>
      </c>
      <c r="AB1407" s="20">
        <v>200818.44</v>
      </c>
      <c r="AC1407" t="s">
        <v>1779</v>
      </c>
      <c r="AD1407" t="s">
        <v>492</v>
      </c>
      <c r="AE1407" s="702">
        <f t="shared" si="105"/>
        <v>44348</v>
      </c>
      <c r="AF1407" s="289">
        <v>230588.80549778693</v>
      </c>
      <c r="AG1407">
        <f t="shared" si="106"/>
        <v>360</v>
      </c>
      <c r="AH1407" s="289">
        <f t="shared" si="107"/>
        <v>640.52445971607483</v>
      </c>
      <c r="AJ1407" s="289">
        <f t="shared" si="108"/>
        <v>18</v>
      </c>
      <c r="AK1407" s="289">
        <f t="shared" si="109"/>
        <v>0</v>
      </c>
    </row>
    <row r="1408" spans="1:37">
      <c r="A1408" s="703" t="s">
        <v>2911</v>
      </c>
      <c r="B1408" s="703" t="s">
        <v>484</v>
      </c>
      <c r="C1408" s="703" t="s">
        <v>1776</v>
      </c>
      <c r="D1408" s="703" t="s">
        <v>1777</v>
      </c>
      <c r="E1408" s="703" t="s">
        <v>334</v>
      </c>
      <c r="F1408" s="703" t="s">
        <v>487</v>
      </c>
      <c r="G1408" s="703" t="s">
        <v>2912</v>
      </c>
      <c r="H1408" s="703" t="s">
        <v>2912</v>
      </c>
      <c r="I1408" s="703" t="s">
        <v>334</v>
      </c>
      <c r="J1408" s="703" t="s">
        <v>490</v>
      </c>
      <c r="K1408" s="704">
        <v>0</v>
      </c>
      <c r="L1408" s="703" t="s">
        <v>334</v>
      </c>
      <c r="M1408" s="702"/>
      <c r="N1408" s="702">
        <v>44377</v>
      </c>
      <c r="O1408" s="703" t="s">
        <v>338</v>
      </c>
      <c r="P1408" s="20">
        <v>8375.59</v>
      </c>
      <c r="Q1408" s="20">
        <v>0</v>
      </c>
      <c r="R1408" s="20">
        <v>0</v>
      </c>
      <c r="S1408" s="20">
        <v>0</v>
      </c>
      <c r="T1408" s="20">
        <v>8375.59</v>
      </c>
      <c r="U1408" s="20">
        <v>8375.59</v>
      </c>
      <c r="V1408" s="20">
        <v>0</v>
      </c>
      <c r="W1408" s="20">
        <v>0</v>
      </c>
      <c r="X1408" s="20">
        <v>0</v>
      </c>
      <c r="Y1408" s="20">
        <v>0</v>
      </c>
      <c r="Z1408" s="20">
        <v>0</v>
      </c>
      <c r="AA1408" s="20">
        <v>0</v>
      </c>
      <c r="AB1408" s="20">
        <v>8375.59</v>
      </c>
      <c r="AC1408" t="s">
        <v>1779</v>
      </c>
      <c r="AD1408" t="s">
        <v>492</v>
      </c>
      <c r="AE1408" s="702">
        <f t="shared" si="105"/>
        <v>44348</v>
      </c>
      <c r="AF1408" s="289">
        <v>9617.2308351723532</v>
      </c>
      <c r="AG1408">
        <f t="shared" si="106"/>
        <v>360</v>
      </c>
      <c r="AH1408" s="289">
        <f t="shared" si="107"/>
        <v>26.71453009770098</v>
      </c>
      <c r="AJ1408" s="289">
        <f t="shared" si="108"/>
        <v>18</v>
      </c>
      <c r="AK1408" s="289">
        <f t="shared" si="109"/>
        <v>0</v>
      </c>
    </row>
    <row r="1409" spans="1:37">
      <c r="A1409" s="703" t="s">
        <v>2913</v>
      </c>
      <c r="B1409" s="703" t="s">
        <v>484</v>
      </c>
      <c r="C1409" s="703" t="s">
        <v>1776</v>
      </c>
      <c r="D1409" s="703" t="s">
        <v>1777</v>
      </c>
      <c r="E1409" s="703" t="s">
        <v>334</v>
      </c>
      <c r="F1409" s="703" t="s">
        <v>487</v>
      </c>
      <c r="G1409" s="703" t="s">
        <v>2914</v>
      </c>
      <c r="H1409" s="703" t="s">
        <v>2914</v>
      </c>
      <c r="I1409" s="703" t="s">
        <v>334</v>
      </c>
      <c r="J1409" s="703" t="s">
        <v>490</v>
      </c>
      <c r="K1409" s="704">
        <v>0</v>
      </c>
      <c r="L1409" s="703" t="s">
        <v>334</v>
      </c>
      <c r="M1409" s="702"/>
      <c r="N1409" s="702">
        <v>44377</v>
      </c>
      <c r="O1409" s="703" t="s">
        <v>338</v>
      </c>
      <c r="P1409" s="20">
        <v>15214.19</v>
      </c>
      <c r="Q1409" s="20">
        <v>0</v>
      </c>
      <c r="R1409" s="20">
        <v>0</v>
      </c>
      <c r="S1409" s="20">
        <v>0</v>
      </c>
      <c r="T1409" s="20">
        <v>15214.19</v>
      </c>
      <c r="U1409" s="20">
        <v>15214.19</v>
      </c>
      <c r="V1409" s="20">
        <v>0</v>
      </c>
      <c r="W1409" s="20">
        <v>0</v>
      </c>
      <c r="X1409" s="20">
        <v>0</v>
      </c>
      <c r="Y1409" s="20">
        <v>0</v>
      </c>
      <c r="Z1409" s="20">
        <v>0</v>
      </c>
      <c r="AA1409" s="20">
        <v>0</v>
      </c>
      <c r="AB1409" s="20">
        <v>15214.19</v>
      </c>
      <c r="AC1409" t="s">
        <v>1779</v>
      </c>
      <c r="AD1409" t="s">
        <v>492</v>
      </c>
      <c r="AE1409" s="702">
        <f t="shared" si="105"/>
        <v>44348</v>
      </c>
      <c r="AF1409" s="289">
        <v>17469.620313335643</v>
      </c>
      <c r="AG1409">
        <f t="shared" si="106"/>
        <v>360</v>
      </c>
      <c r="AH1409" s="289">
        <f t="shared" si="107"/>
        <v>48.526723092599006</v>
      </c>
      <c r="AJ1409" s="289">
        <f t="shared" si="108"/>
        <v>18</v>
      </c>
      <c r="AK1409" s="289">
        <f t="shared" si="109"/>
        <v>0</v>
      </c>
    </row>
    <row r="1410" spans="1:37">
      <c r="A1410" s="703" t="s">
        <v>2915</v>
      </c>
      <c r="B1410" s="703" t="s">
        <v>484</v>
      </c>
      <c r="C1410" s="703" t="s">
        <v>485</v>
      </c>
      <c r="D1410" s="703" t="s">
        <v>486</v>
      </c>
      <c r="E1410" s="703" t="s">
        <v>334</v>
      </c>
      <c r="F1410" s="703" t="s">
        <v>487</v>
      </c>
      <c r="G1410" s="703" t="s">
        <v>488</v>
      </c>
      <c r="H1410" s="703" t="s">
        <v>2916</v>
      </c>
      <c r="I1410" s="703" t="s">
        <v>334</v>
      </c>
      <c r="J1410" s="703" t="s">
        <v>490</v>
      </c>
      <c r="K1410" s="704">
        <v>0</v>
      </c>
      <c r="L1410" s="703" t="s">
        <v>334</v>
      </c>
      <c r="M1410" s="702"/>
      <c r="N1410" s="702">
        <v>44377</v>
      </c>
      <c r="O1410" s="703" t="s">
        <v>338</v>
      </c>
      <c r="P1410" s="20">
        <v>278447.23</v>
      </c>
      <c r="Q1410" s="20">
        <v>0</v>
      </c>
      <c r="R1410" s="20">
        <v>-278447.23</v>
      </c>
      <c r="S1410" s="20">
        <v>0</v>
      </c>
      <c r="T1410" s="20">
        <v>0</v>
      </c>
      <c r="U1410" s="20">
        <v>278447.23</v>
      </c>
      <c r="V1410" s="20">
        <v>0</v>
      </c>
      <c r="W1410" s="20">
        <v>0</v>
      </c>
      <c r="X1410" s="20">
        <v>0</v>
      </c>
      <c r="Y1410" s="20">
        <v>0</v>
      </c>
      <c r="Z1410" s="20">
        <v>0</v>
      </c>
      <c r="AA1410" s="20">
        <v>0</v>
      </c>
      <c r="AB1410" s="20">
        <v>0</v>
      </c>
      <c r="AC1410" t="s">
        <v>491</v>
      </c>
      <c r="AD1410" t="s">
        <v>492</v>
      </c>
      <c r="AE1410" s="702">
        <f t="shared" si="105"/>
        <v>44348</v>
      </c>
      <c r="AF1410" s="289">
        <v>0</v>
      </c>
      <c r="AG1410">
        <f t="shared" si="106"/>
        <v>360</v>
      </c>
      <c r="AH1410" s="289">
        <f t="shared" si="107"/>
        <v>0</v>
      </c>
      <c r="AJ1410" s="289">
        <f t="shared" si="108"/>
        <v>18</v>
      </c>
      <c r="AK1410" s="289">
        <f t="shared" si="109"/>
        <v>0</v>
      </c>
    </row>
    <row r="1411" spans="1:37">
      <c r="A1411" s="703" t="s">
        <v>2917</v>
      </c>
      <c r="B1411" s="703" t="s">
        <v>484</v>
      </c>
      <c r="C1411" s="703" t="s">
        <v>1214</v>
      </c>
      <c r="D1411" s="703" t="s">
        <v>334</v>
      </c>
      <c r="E1411" s="703" t="s">
        <v>334</v>
      </c>
      <c r="F1411" s="703" t="s">
        <v>487</v>
      </c>
      <c r="G1411" s="703" t="s">
        <v>2918</v>
      </c>
      <c r="H1411" s="703" t="s">
        <v>334</v>
      </c>
      <c r="I1411" s="703" t="s">
        <v>334</v>
      </c>
      <c r="J1411" s="703" t="s">
        <v>1217</v>
      </c>
      <c r="K1411" s="704">
        <v>0</v>
      </c>
      <c r="L1411" s="703" t="s">
        <v>334</v>
      </c>
      <c r="M1411" s="702"/>
      <c r="N1411" s="702">
        <v>44408</v>
      </c>
      <c r="O1411" s="703" t="s">
        <v>338</v>
      </c>
      <c r="P1411" s="20">
        <v>347056.25</v>
      </c>
      <c r="Q1411" s="20">
        <v>0</v>
      </c>
      <c r="R1411" s="20">
        <v>0</v>
      </c>
      <c r="S1411" s="20">
        <v>0</v>
      </c>
      <c r="T1411" s="20">
        <v>347056.25</v>
      </c>
      <c r="U1411" s="20">
        <v>347056.25</v>
      </c>
      <c r="V1411" s="20">
        <v>0</v>
      </c>
      <c r="W1411" s="20">
        <v>0</v>
      </c>
      <c r="X1411" s="20">
        <v>0</v>
      </c>
      <c r="Y1411" s="20">
        <v>0</v>
      </c>
      <c r="Z1411" s="20">
        <v>0</v>
      </c>
      <c r="AA1411" s="20">
        <v>0</v>
      </c>
      <c r="AB1411" s="20">
        <v>347056.25</v>
      </c>
      <c r="AC1411" t="s">
        <v>1218</v>
      </c>
      <c r="AD1411" t="s">
        <v>492</v>
      </c>
      <c r="AE1411" s="702">
        <f t="shared" si="105"/>
        <v>44348</v>
      </c>
      <c r="AF1411" s="289">
        <v>398505.6657548048</v>
      </c>
      <c r="AG1411">
        <f t="shared" si="106"/>
        <v>360</v>
      </c>
      <c r="AH1411" s="289">
        <f t="shared" si="107"/>
        <v>1106.9601826522355</v>
      </c>
      <c r="AJ1411" s="289">
        <f t="shared" si="108"/>
        <v>18</v>
      </c>
      <c r="AK1411" s="289">
        <f t="shared" si="109"/>
        <v>0</v>
      </c>
    </row>
    <row r="1412" spans="1:37">
      <c r="A1412" s="703" t="s">
        <v>620</v>
      </c>
      <c r="B1412" s="703" t="s">
        <v>2849</v>
      </c>
      <c r="C1412" s="703" t="s">
        <v>454</v>
      </c>
      <c r="D1412" s="703" t="s">
        <v>334</v>
      </c>
      <c r="E1412" s="703" t="s">
        <v>334</v>
      </c>
      <c r="F1412" s="703" t="s">
        <v>455</v>
      </c>
      <c r="G1412" s="703" t="s">
        <v>621</v>
      </c>
      <c r="H1412" s="703" t="s">
        <v>622</v>
      </c>
      <c r="I1412" s="703" t="s">
        <v>334</v>
      </c>
      <c r="J1412" s="703" t="s">
        <v>458</v>
      </c>
      <c r="K1412" s="704">
        <v>2</v>
      </c>
      <c r="L1412" s="703" t="s">
        <v>463</v>
      </c>
      <c r="M1412" s="702"/>
      <c r="N1412" s="702">
        <v>44439</v>
      </c>
      <c r="O1412" s="703" t="s">
        <v>338</v>
      </c>
      <c r="P1412" s="20">
        <v>396255.08</v>
      </c>
      <c r="Q1412" s="20">
        <v>0</v>
      </c>
      <c r="R1412" s="20">
        <v>0</v>
      </c>
      <c r="S1412" s="20">
        <v>0</v>
      </c>
      <c r="T1412" s="20">
        <v>396255.08</v>
      </c>
      <c r="U1412" s="20">
        <v>393488.77</v>
      </c>
      <c r="V1412" s="20">
        <v>-2766.31</v>
      </c>
      <c r="W1412" s="20">
        <v>-22579.06</v>
      </c>
      <c r="X1412" s="20">
        <v>-19812.75</v>
      </c>
      <c r="Y1412" s="20">
        <v>0</v>
      </c>
      <c r="Z1412" s="20">
        <v>0</v>
      </c>
      <c r="AA1412" s="20">
        <v>0</v>
      </c>
      <c r="AB1412" s="20">
        <v>373676.02</v>
      </c>
      <c r="AC1412" t="s">
        <v>459</v>
      </c>
      <c r="AD1412" t="s">
        <v>290</v>
      </c>
      <c r="AE1412" s="702">
        <f t="shared" si="105"/>
        <v>44348</v>
      </c>
      <c r="AF1412" s="289">
        <v>454997.98509355017</v>
      </c>
      <c r="AG1412">
        <f t="shared" si="106"/>
        <v>360</v>
      </c>
      <c r="AH1412" s="289">
        <f t="shared" si="107"/>
        <v>1263.8832919265283</v>
      </c>
      <c r="AJ1412" s="289">
        <f t="shared" si="108"/>
        <v>18</v>
      </c>
      <c r="AK1412" s="289">
        <f t="shared" si="109"/>
        <v>22749.899254677508</v>
      </c>
    </row>
    <row r="1413" spans="1:37">
      <c r="A1413" s="703" t="s">
        <v>2919</v>
      </c>
      <c r="B1413" s="703" t="s">
        <v>484</v>
      </c>
      <c r="C1413" s="703" t="s">
        <v>1776</v>
      </c>
      <c r="D1413" s="703" t="s">
        <v>1777</v>
      </c>
      <c r="E1413" s="703" t="s">
        <v>334</v>
      </c>
      <c r="F1413" s="703" t="s">
        <v>487</v>
      </c>
      <c r="G1413" s="703" t="s">
        <v>2920</v>
      </c>
      <c r="H1413" s="703" t="s">
        <v>334</v>
      </c>
      <c r="I1413" s="703" t="s">
        <v>334</v>
      </c>
      <c r="J1413" s="703" t="s">
        <v>490</v>
      </c>
      <c r="K1413" s="704">
        <v>0</v>
      </c>
      <c r="L1413" s="703" t="s">
        <v>334</v>
      </c>
      <c r="M1413" s="702"/>
      <c r="N1413" s="702">
        <v>44469</v>
      </c>
      <c r="O1413" s="703" t="s">
        <v>338</v>
      </c>
      <c r="P1413" s="20">
        <v>10335.57</v>
      </c>
      <c r="Q1413" s="20">
        <v>0</v>
      </c>
      <c r="R1413" s="20">
        <v>-10335.57</v>
      </c>
      <c r="S1413" s="20">
        <v>0</v>
      </c>
      <c r="T1413" s="20">
        <v>0</v>
      </c>
      <c r="U1413" s="20">
        <v>10335.57</v>
      </c>
      <c r="V1413" s="20">
        <v>0</v>
      </c>
      <c r="W1413" s="20">
        <v>0</v>
      </c>
      <c r="X1413" s="20">
        <v>0</v>
      </c>
      <c r="Y1413" s="20">
        <v>0</v>
      </c>
      <c r="Z1413" s="20">
        <v>0</v>
      </c>
      <c r="AA1413" s="20">
        <v>0</v>
      </c>
      <c r="AB1413" s="20">
        <v>0</v>
      </c>
      <c r="AC1413" t="s">
        <v>1779</v>
      </c>
      <c r="AD1413" t="s">
        <v>492</v>
      </c>
      <c r="AE1413" s="702">
        <f t="shared" si="105"/>
        <v>44348</v>
      </c>
      <c r="AF1413" s="289">
        <v>0</v>
      </c>
      <c r="AG1413">
        <f t="shared" si="106"/>
        <v>360</v>
      </c>
      <c r="AH1413" s="289">
        <f t="shared" si="107"/>
        <v>0</v>
      </c>
      <c r="AJ1413" s="289">
        <f t="shared" si="108"/>
        <v>18</v>
      </c>
      <c r="AK1413" s="289">
        <f t="shared" si="109"/>
        <v>0</v>
      </c>
    </row>
    <row r="1414" spans="1:37">
      <c r="A1414" s="703" t="s">
        <v>2921</v>
      </c>
      <c r="B1414" s="703" t="s">
        <v>2849</v>
      </c>
      <c r="C1414" s="703" t="s">
        <v>332</v>
      </c>
      <c r="D1414" s="703" t="s">
        <v>334</v>
      </c>
      <c r="E1414" s="703" t="s">
        <v>334</v>
      </c>
      <c r="F1414" s="703" t="s">
        <v>335</v>
      </c>
      <c r="G1414" s="703" t="s">
        <v>2922</v>
      </c>
      <c r="H1414" s="703" t="s">
        <v>334</v>
      </c>
      <c r="I1414" s="703" t="s">
        <v>334</v>
      </c>
      <c r="J1414" s="703" t="s">
        <v>337</v>
      </c>
      <c r="K1414" s="704">
        <v>0</v>
      </c>
      <c r="L1414" s="703" t="s">
        <v>334</v>
      </c>
      <c r="M1414" s="702">
        <v>42613</v>
      </c>
      <c r="N1414" s="702">
        <v>44495</v>
      </c>
      <c r="O1414" s="703" t="s">
        <v>338</v>
      </c>
      <c r="P1414" s="20">
        <v>369013.9</v>
      </c>
      <c r="Q1414" s="20">
        <v>0</v>
      </c>
      <c r="R1414" s="20">
        <v>0</v>
      </c>
      <c r="S1414" s="20">
        <v>0</v>
      </c>
      <c r="T1414" s="20">
        <v>369013.9</v>
      </c>
      <c r="U1414" s="20">
        <v>366963.82</v>
      </c>
      <c r="V1414" s="20">
        <v>-2050.08</v>
      </c>
      <c r="W1414" s="20">
        <v>-14350.54</v>
      </c>
      <c r="X1414" s="20">
        <v>-12300.46</v>
      </c>
      <c r="Y1414" s="20">
        <v>0</v>
      </c>
      <c r="Z1414" s="20">
        <v>0</v>
      </c>
      <c r="AA1414" s="20">
        <v>0</v>
      </c>
      <c r="AB1414" s="20">
        <v>354663.36</v>
      </c>
      <c r="AC1414" t="s">
        <v>183</v>
      </c>
      <c r="AD1414" t="s">
        <v>290</v>
      </c>
      <c r="AE1414" s="702">
        <f t="shared" si="105"/>
        <v>44348</v>
      </c>
      <c r="AF1414" s="289">
        <v>423718.43150001467</v>
      </c>
      <c r="AG1414">
        <f t="shared" si="106"/>
        <v>360</v>
      </c>
      <c r="AH1414" s="289">
        <f t="shared" si="107"/>
        <v>1176.9956430555962</v>
      </c>
      <c r="AJ1414" s="289">
        <f t="shared" si="108"/>
        <v>18</v>
      </c>
      <c r="AK1414" s="289">
        <f t="shared" si="109"/>
        <v>21185.921575000732</v>
      </c>
    </row>
    <row r="1415" spans="1:37">
      <c r="A1415" s="703" t="s">
        <v>2923</v>
      </c>
      <c r="B1415" s="703" t="s">
        <v>2849</v>
      </c>
      <c r="C1415" s="703" t="s">
        <v>332</v>
      </c>
      <c r="D1415" s="703" t="s">
        <v>334</v>
      </c>
      <c r="E1415" s="703" t="s">
        <v>334</v>
      </c>
      <c r="F1415" s="703" t="s">
        <v>335</v>
      </c>
      <c r="G1415" s="703" t="s">
        <v>2924</v>
      </c>
      <c r="H1415" s="703" t="s">
        <v>334</v>
      </c>
      <c r="I1415" s="703" t="s">
        <v>334</v>
      </c>
      <c r="J1415" s="703" t="s">
        <v>337</v>
      </c>
      <c r="K1415" s="704">
        <v>0</v>
      </c>
      <c r="L1415" s="703" t="s">
        <v>334</v>
      </c>
      <c r="M1415" s="702">
        <v>39478</v>
      </c>
      <c r="N1415" s="702">
        <v>44516</v>
      </c>
      <c r="O1415" s="703" t="s">
        <v>338</v>
      </c>
      <c r="P1415" s="20">
        <v>40.24</v>
      </c>
      <c r="Q1415" s="20">
        <v>0</v>
      </c>
      <c r="R1415" s="20">
        <v>0</v>
      </c>
      <c r="S1415" s="20">
        <v>0</v>
      </c>
      <c r="T1415" s="20">
        <v>40.24</v>
      </c>
      <c r="U1415" s="20">
        <v>40.130000000000003</v>
      </c>
      <c r="V1415" s="20">
        <v>-0.11</v>
      </c>
      <c r="W1415" s="20">
        <v>-1.45</v>
      </c>
      <c r="X1415" s="20">
        <v>-1.34</v>
      </c>
      <c r="Y1415" s="20">
        <v>0</v>
      </c>
      <c r="Z1415" s="20">
        <v>0</v>
      </c>
      <c r="AA1415" s="20">
        <v>0</v>
      </c>
      <c r="AB1415" s="20">
        <v>38.79</v>
      </c>
      <c r="AC1415" t="s">
        <v>183</v>
      </c>
      <c r="AD1415" t="s">
        <v>290</v>
      </c>
      <c r="AE1415" s="702">
        <f t="shared" ref="AE1415:AE1478" si="110">IF(N1415&gt;=$AG$5,DATE(YEAR(N1415),6,1),DATE(YEAR(N1415),6,1))</f>
        <v>44348</v>
      </c>
      <c r="AF1415" s="289">
        <v>46.205385985624353</v>
      </c>
      <c r="AG1415">
        <f t="shared" ref="AG1415:AG1478" si="111">+IF(AD1415="intangível",20*12,IF(AD1415="Diferido",120,IF(AD1415="Não vinculados",0,IF(AE1415&lt;=$AG$5,F1415*12,360))))</f>
        <v>360</v>
      </c>
      <c r="AH1415" s="289">
        <f t="shared" ref="AH1415:AH1478" si="112">IF(AG1415=0,0,AF1415/AG1415)</f>
        <v>0.12834829440451209</v>
      </c>
      <c r="AJ1415" s="289">
        <f t="shared" ref="AJ1415:AJ1478" si="113">+IF(AND(YEAR(AE1415)&gt;=2018,YEAR(AE1415)&lt;=2022),IF(DATEDIF(AE1415,$AK$4,"m")&gt;=AG1415,AG1415,DATEDIF(AE1415,$AK$4,"m")),0)</f>
        <v>18</v>
      </c>
      <c r="AK1415" s="289">
        <f t="shared" ref="AK1415:AK1478" si="114">IF(AD1415="Imobilizado",AJ1415*AH1415,0)</f>
        <v>2.3102692992812175</v>
      </c>
    </row>
    <row r="1416" spans="1:37">
      <c r="A1416" s="703" t="s">
        <v>2925</v>
      </c>
      <c r="B1416" s="703" t="s">
        <v>2849</v>
      </c>
      <c r="C1416" s="703" t="s">
        <v>332</v>
      </c>
      <c r="D1416" s="703" t="s">
        <v>334</v>
      </c>
      <c r="E1416" s="703" t="s">
        <v>334</v>
      </c>
      <c r="F1416" s="703" t="s">
        <v>335</v>
      </c>
      <c r="G1416" s="703" t="s">
        <v>2924</v>
      </c>
      <c r="H1416" s="703" t="s">
        <v>334</v>
      </c>
      <c r="I1416" s="703" t="s">
        <v>334</v>
      </c>
      <c r="J1416" s="703" t="s">
        <v>337</v>
      </c>
      <c r="K1416" s="704">
        <v>0</v>
      </c>
      <c r="L1416" s="703" t="s">
        <v>334</v>
      </c>
      <c r="M1416" s="702">
        <v>39478</v>
      </c>
      <c r="N1416" s="702">
        <v>44516</v>
      </c>
      <c r="O1416" s="703" t="s">
        <v>338</v>
      </c>
      <c r="P1416" s="20">
        <v>1337.98</v>
      </c>
      <c r="Q1416" s="20">
        <v>0</v>
      </c>
      <c r="R1416" s="20">
        <v>0</v>
      </c>
      <c r="S1416" s="20">
        <v>0</v>
      </c>
      <c r="T1416" s="20">
        <v>1337.98</v>
      </c>
      <c r="U1416" s="20">
        <v>1334.26</v>
      </c>
      <c r="V1416" s="20">
        <v>-3.72</v>
      </c>
      <c r="W1416" s="20">
        <v>-48.32</v>
      </c>
      <c r="X1416" s="20">
        <v>-44.6</v>
      </c>
      <c r="Y1416" s="20">
        <v>0</v>
      </c>
      <c r="Z1416" s="20">
        <v>0</v>
      </c>
      <c r="AA1416" s="20">
        <v>0</v>
      </c>
      <c r="AB1416" s="20">
        <v>1289.6600000000001</v>
      </c>
      <c r="AC1416" t="s">
        <v>183</v>
      </c>
      <c r="AD1416" t="s">
        <v>290</v>
      </c>
      <c r="AE1416" s="702">
        <f t="shared" si="110"/>
        <v>44348</v>
      </c>
      <c r="AF1416" s="289">
        <v>1536.3290840220097</v>
      </c>
      <c r="AG1416">
        <f t="shared" si="111"/>
        <v>360</v>
      </c>
      <c r="AH1416" s="289">
        <f t="shared" si="112"/>
        <v>4.2675807889500268</v>
      </c>
      <c r="AJ1416" s="289">
        <f t="shared" si="113"/>
        <v>18</v>
      </c>
      <c r="AK1416" s="289">
        <f t="shared" si="114"/>
        <v>76.816454201100484</v>
      </c>
    </row>
    <row r="1417" spans="1:37">
      <c r="A1417" s="703" t="s">
        <v>2926</v>
      </c>
      <c r="B1417" s="703" t="s">
        <v>2849</v>
      </c>
      <c r="C1417" s="703" t="s">
        <v>332</v>
      </c>
      <c r="D1417" s="703" t="s">
        <v>334</v>
      </c>
      <c r="E1417" s="703" t="s">
        <v>334</v>
      </c>
      <c r="F1417" s="703" t="s">
        <v>335</v>
      </c>
      <c r="G1417" s="703" t="s">
        <v>2924</v>
      </c>
      <c r="H1417" s="703" t="s">
        <v>334</v>
      </c>
      <c r="I1417" s="703" t="s">
        <v>334</v>
      </c>
      <c r="J1417" s="703" t="s">
        <v>337</v>
      </c>
      <c r="K1417" s="704">
        <v>0</v>
      </c>
      <c r="L1417" s="703" t="s">
        <v>334</v>
      </c>
      <c r="M1417" s="702">
        <v>39478</v>
      </c>
      <c r="N1417" s="702">
        <v>44516</v>
      </c>
      <c r="O1417" s="703" t="s">
        <v>338</v>
      </c>
      <c r="P1417" s="20">
        <v>372.22</v>
      </c>
      <c r="Q1417" s="20">
        <v>0</v>
      </c>
      <c r="R1417" s="20">
        <v>0</v>
      </c>
      <c r="S1417" s="20">
        <v>0</v>
      </c>
      <c r="T1417" s="20">
        <v>372.22</v>
      </c>
      <c r="U1417" s="20">
        <v>371.19</v>
      </c>
      <c r="V1417" s="20">
        <v>-1.03</v>
      </c>
      <c r="W1417" s="20">
        <v>-13.44</v>
      </c>
      <c r="X1417" s="20">
        <v>-12.41</v>
      </c>
      <c r="Y1417" s="20">
        <v>0</v>
      </c>
      <c r="Z1417" s="20">
        <v>0</v>
      </c>
      <c r="AA1417" s="20">
        <v>0</v>
      </c>
      <c r="AB1417" s="20">
        <v>358.78</v>
      </c>
      <c r="AC1417" t="s">
        <v>183</v>
      </c>
      <c r="AD1417" t="s">
        <v>290</v>
      </c>
      <c r="AE1417" s="702">
        <f t="shared" si="110"/>
        <v>44348</v>
      </c>
      <c r="AF1417" s="289">
        <v>427.39982036702531</v>
      </c>
      <c r="AG1417">
        <f t="shared" si="111"/>
        <v>360</v>
      </c>
      <c r="AH1417" s="289">
        <f t="shared" si="112"/>
        <v>1.187221723241737</v>
      </c>
      <c r="AJ1417" s="289">
        <f t="shared" si="113"/>
        <v>18</v>
      </c>
      <c r="AK1417" s="289">
        <f t="shared" si="114"/>
        <v>21.369991018351268</v>
      </c>
    </row>
    <row r="1418" spans="1:37">
      <c r="A1418" s="703" t="s">
        <v>2927</v>
      </c>
      <c r="B1418" s="703" t="s">
        <v>2849</v>
      </c>
      <c r="C1418" s="703" t="s">
        <v>332</v>
      </c>
      <c r="D1418" s="703" t="s">
        <v>334</v>
      </c>
      <c r="E1418" s="703" t="s">
        <v>334</v>
      </c>
      <c r="F1418" s="703" t="s">
        <v>335</v>
      </c>
      <c r="G1418" s="703" t="s">
        <v>2924</v>
      </c>
      <c r="H1418" s="703" t="s">
        <v>334</v>
      </c>
      <c r="I1418" s="703" t="s">
        <v>334</v>
      </c>
      <c r="J1418" s="703" t="s">
        <v>337</v>
      </c>
      <c r="K1418" s="704">
        <v>0</v>
      </c>
      <c r="L1418" s="703" t="s">
        <v>334</v>
      </c>
      <c r="M1418" s="702">
        <v>39478</v>
      </c>
      <c r="N1418" s="702">
        <v>44516</v>
      </c>
      <c r="O1418" s="703" t="s">
        <v>338</v>
      </c>
      <c r="P1418" s="20">
        <v>863.36</v>
      </c>
      <c r="Q1418" s="20">
        <v>0</v>
      </c>
      <c r="R1418" s="20">
        <v>0</v>
      </c>
      <c r="S1418" s="20">
        <v>0</v>
      </c>
      <c r="T1418" s="20">
        <v>863.36</v>
      </c>
      <c r="U1418" s="20">
        <v>860.96</v>
      </c>
      <c r="V1418" s="20">
        <v>-2.4</v>
      </c>
      <c r="W1418" s="20">
        <v>-31.18</v>
      </c>
      <c r="X1418" s="20">
        <v>-28.78</v>
      </c>
      <c r="Y1418" s="20">
        <v>0</v>
      </c>
      <c r="Z1418" s="20">
        <v>0</v>
      </c>
      <c r="AA1418" s="20">
        <v>0</v>
      </c>
      <c r="AB1418" s="20">
        <v>832.18</v>
      </c>
      <c r="AC1418" t="s">
        <v>183</v>
      </c>
      <c r="AD1418" t="s">
        <v>290</v>
      </c>
      <c r="AE1418" s="702">
        <f t="shared" si="110"/>
        <v>44348</v>
      </c>
      <c r="AF1418" s="289">
        <v>991.34895736949909</v>
      </c>
      <c r="AG1418">
        <f t="shared" si="111"/>
        <v>360</v>
      </c>
      <c r="AH1418" s="289">
        <f t="shared" si="112"/>
        <v>2.7537471038041641</v>
      </c>
      <c r="AJ1418" s="289">
        <f t="shared" si="113"/>
        <v>18</v>
      </c>
      <c r="AK1418" s="289">
        <f t="shared" si="114"/>
        <v>49.567447868474957</v>
      </c>
    </row>
    <row r="1419" spans="1:37">
      <c r="A1419" s="703" t="s">
        <v>2928</v>
      </c>
      <c r="B1419" s="703" t="s">
        <v>2849</v>
      </c>
      <c r="C1419" s="703" t="s">
        <v>332</v>
      </c>
      <c r="D1419" s="703" t="s">
        <v>334</v>
      </c>
      <c r="E1419" s="703" t="s">
        <v>334</v>
      </c>
      <c r="F1419" s="703" t="s">
        <v>335</v>
      </c>
      <c r="G1419" s="703" t="s">
        <v>2924</v>
      </c>
      <c r="H1419" s="703" t="s">
        <v>334</v>
      </c>
      <c r="I1419" s="703" t="s">
        <v>334</v>
      </c>
      <c r="J1419" s="703" t="s">
        <v>337</v>
      </c>
      <c r="K1419" s="704">
        <v>0</v>
      </c>
      <c r="L1419" s="703" t="s">
        <v>334</v>
      </c>
      <c r="M1419" s="702">
        <v>39478</v>
      </c>
      <c r="N1419" s="702">
        <v>44516</v>
      </c>
      <c r="O1419" s="703" t="s">
        <v>338</v>
      </c>
      <c r="P1419" s="20">
        <v>464.88</v>
      </c>
      <c r="Q1419" s="20">
        <v>0</v>
      </c>
      <c r="R1419" s="20">
        <v>0</v>
      </c>
      <c r="S1419" s="20">
        <v>0</v>
      </c>
      <c r="T1419" s="20">
        <v>464.88</v>
      </c>
      <c r="U1419" s="20">
        <v>463.59</v>
      </c>
      <c r="V1419" s="20">
        <v>-1.29</v>
      </c>
      <c r="W1419" s="20">
        <v>-16.79</v>
      </c>
      <c r="X1419" s="20">
        <v>-15.5</v>
      </c>
      <c r="Y1419" s="20">
        <v>0</v>
      </c>
      <c r="Z1419" s="20">
        <v>0</v>
      </c>
      <c r="AA1419" s="20">
        <v>0</v>
      </c>
      <c r="AB1419" s="20">
        <v>448.09</v>
      </c>
      <c r="AC1419" t="s">
        <v>183</v>
      </c>
      <c r="AD1419" t="s">
        <v>290</v>
      </c>
      <c r="AE1419" s="702">
        <f t="shared" si="110"/>
        <v>44348</v>
      </c>
      <c r="AF1419" s="289">
        <v>533.79621861324677</v>
      </c>
      <c r="AG1419">
        <f t="shared" si="111"/>
        <v>360</v>
      </c>
      <c r="AH1419" s="289">
        <f t="shared" si="112"/>
        <v>1.4827672739256854</v>
      </c>
      <c r="AJ1419" s="289">
        <f t="shared" si="113"/>
        <v>18</v>
      </c>
      <c r="AK1419" s="289">
        <f t="shared" si="114"/>
        <v>26.689810930662336</v>
      </c>
    </row>
    <row r="1420" spans="1:37">
      <c r="A1420" s="703" t="s">
        <v>2929</v>
      </c>
      <c r="B1420" s="703" t="s">
        <v>2849</v>
      </c>
      <c r="C1420" s="703" t="s">
        <v>332</v>
      </c>
      <c r="D1420" s="703" t="s">
        <v>334</v>
      </c>
      <c r="E1420" s="703" t="s">
        <v>334</v>
      </c>
      <c r="F1420" s="703" t="s">
        <v>335</v>
      </c>
      <c r="G1420" s="703" t="s">
        <v>2924</v>
      </c>
      <c r="H1420" s="703" t="s">
        <v>334</v>
      </c>
      <c r="I1420" s="703" t="s">
        <v>334</v>
      </c>
      <c r="J1420" s="703" t="s">
        <v>337</v>
      </c>
      <c r="K1420" s="704">
        <v>0</v>
      </c>
      <c r="L1420" s="703" t="s">
        <v>334</v>
      </c>
      <c r="M1420" s="702">
        <v>39478</v>
      </c>
      <c r="N1420" s="702">
        <v>44516</v>
      </c>
      <c r="O1420" s="703" t="s">
        <v>338</v>
      </c>
      <c r="P1420" s="20">
        <v>135.15</v>
      </c>
      <c r="Q1420" s="20">
        <v>0</v>
      </c>
      <c r="R1420" s="20">
        <v>0</v>
      </c>
      <c r="S1420" s="20">
        <v>0</v>
      </c>
      <c r="T1420" s="20">
        <v>135.15</v>
      </c>
      <c r="U1420" s="20">
        <v>134.77000000000001</v>
      </c>
      <c r="V1420" s="20">
        <v>-0.38</v>
      </c>
      <c r="W1420" s="20">
        <v>-4.8899999999999997</v>
      </c>
      <c r="X1420" s="20">
        <v>-4.51</v>
      </c>
      <c r="Y1420" s="20">
        <v>0</v>
      </c>
      <c r="Z1420" s="20">
        <v>0</v>
      </c>
      <c r="AA1420" s="20">
        <v>0</v>
      </c>
      <c r="AB1420" s="20">
        <v>130.26</v>
      </c>
      <c r="AC1420" t="s">
        <v>183</v>
      </c>
      <c r="AD1420" t="s">
        <v>290</v>
      </c>
      <c r="AE1420" s="702">
        <f t="shared" si="110"/>
        <v>44348</v>
      </c>
      <c r="AF1420" s="289">
        <v>155.18533588362652</v>
      </c>
      <c r="AG1420">
        <f t="shared" si="111"/>
        <v>360</v>
      </c>
      <c r="AH1420" s="289">
        <f t="shared" si="112"/>
        <v>0.43107037745451809</v>
      </c>
      <c r="AJ1420" s="289">
        <f t="shared" si="113"/>
        <v>18</v>
      </c>
      <c r="AK1420" s="289">
        <f t="shared" si="114"/>
        <v>7.7592667941813254</v>
      </c>
    </row>
    <row r="1421" spans="1:37">
      <c r="A1421" s="703" t="s">
        <v>2930</v>
      </c>
      <c r="B1421" s="703" t="s">
        <v>2849</v>
      </c>
      <c r="C1421" s="703" t="s">
        <v>332</v>
      </c>
      <c r="D1421" s="703" t="s">
        <v>334</v>
      </c>
      <c r="E1421" s="703" t="s">
        <v>334</v>
      </c>
      <c r="F1421" s="703" t="s">
        <v>335</v>
      </c>
      <c r="G1421" s="703" t="s">
        <v>2924</v>
      </c>
      <c r="H1421" s="703" t="s">
        <v>334</v>
      </c>
      <c r="I1421" s="703" t="s">
        <v>334</v>
      </c>
      <c r="J1421" s="703" t="s">
        <v>337</v>
      </c>
      <c r="K1421" s="704">
        <v>0</v>
      </c>
      <c r="L1421" s="703" t="s">
        <v>334</v>
      </c>
      <c r="M1421" s="702">
        <v>39478</v>
      </c>
      <c r="N1421" s="702">
        <v>44516</v>
      </c>
      <c r="O1421" s="703" t="s">
        <v>338</v>
      </c>
      <c r="P1421" s="20">
        <v>31110.89</v>
      </c>
      <c r="Q1421" s="20">
        <v>0</v>
      </c>
      <c r="R1421" s="20">
        <v>0</v>
      </c>
      <c r="S1421" s="20">
        <v>0</v>
      </c>
      <c r="T1421" s="20">
        <v>31110.89</v>
      </c>
      <c r="U1421" s="20">
        <v>31024.47</v>
      </c>
      <c r="V1421" s="20">
        <v>-86.42</v>
      </c>
      <c r="W1421" s="20">
        <v>-1123.45</v>
      </c>
      <c r="X1421" s="20">
        <v>-1037.03</v>
      </c>
      <c r="Y1421" s="20">
        <v>0</v>
      </c>
      <c r="Z1421" s="20">
        <v>0</v>
      </c>
      <c r="AA1421" s="20">
        <v>0</v>
      </c>
      <c r="AB1421" s="20">
        <v>29987.439999999999</v>
      </c>
      <c r="AC1421" t="s">
        <v>183</v>
      </c>
      <c r="AD1421" t="s">
        <v>290</v>
      </c>
      <c r="AE1421" s="702">
        <f t="shared" si="110"/>
        <v>44348</v>
      </c>
      <c r="AF1421" s="289">
        <v>35722.929443496541</v>
      </c>
      <c r="AG1421">
        <f t="shared" si="111"/>
        <v>360</v>
      </c>
      <c r="AH1421" s="289">
        <f t="shared" si="112"/>
        <v>99.230359565268174</v>
      </c>
      <c r="AJ1421" s="289">
        <f t="shared" si="113"/>
        <v>18</v>
      </c>
      <c r="AK1421" s="289">
        <f t="shared" si="114"/>
        <v>1786.1464721748271</v>
      </c>
    </row>
    <row r="1422" spans="1:37">
      <c r="A1422" s="703" t="s">
        <v>2931</v>
      </c>
      <c r="B1422" s="703" t="s">
        <v>2849</v>
      </c>
      <c r="C1422" s="703" t="s">
        <v>332</v>
      </c>
      <c r="D1422" s="703" t="s">
        <v>334</v>
      </c>
      <c r="E1422" s="703" t="s">
        <v>334</v>
      </c>
      <c r="F1422" s="703" t="s">
        <v>335</v>
      </c>
      <c r="G1422" s="703" t="s">
        <v>2924</v>
      </c>
      <c r="H1422" s="703" t="s">
        <v>334</v>
      </c>
      <c r="I1422" s="703" t="s">
        <v>334</v>
      </c>
      <c r="J1422" s="703" t="s">
        <v>337</v>
      </c>
      <c r="K1422" s="704">
        <v>0</v>
      </c>
      <c r="L1422" s="703" t="s">
        <v>334</v>
      </c>
      <c r="M1422" s="702">
        <v>39478</v>
      </c>
      <c r="N1422" s="702">
        <v>44516</v>
      </c>
      <c r="O1422" s="703" t="s">
        <v>338</v>
      </c>
      <c r="P1422" s="20">
        <v>129.5</v>
      </c>
      <c r="Q1422" s="20">
        <v>0</v>
      </c>
      <c r="R1422" s="20">
        <v>0</v>
      </c>
      <c r="S1422" s="20">
        <v>0</v>
      </c>
      <c r="T1422" s="20">
        <v>129.5</v>
      </c>
      <c r="U1422" s="20">
        <v>129.13999999999999</v>
      </c>
      <c r="V1422" s="20">
        <v>-0.36</v>
      </c>
      <c r="W1422" s="20">
        <v>-4.68</v>
      </c>
      <c r="X1422" s="20">
        <v>-4.32</v>
      </c>
      <c r="Y1422" s="20">
        <v>0</v>
      </c>
      <c r="Z1422" s="20">
        <v>0</v>
      </c>
      <c r="AA1422" s="20">
        <v>0</v>
      </c>
      <c r="AB1422" s="20">
        <v>124.82</v>
      </c>
      <c r="AC1422" t="s">
        <v>183</v>
      </c>
      <c r="AD1422" t="s">
        <v>290</v>
      </c>
      <c r="AE1422" s="702">
        <f t="shared" si="110"/>
        <v>44348</v>
      </c>
      <c r="AF1422" s="289">
        <v>148.69775062471058</v>
      </c>
      <c r="AG1422">
        <f t="shared" si="111"/>
        <v>360</v>
      </c>
      <c r="AH1422" s="289">
        <f t="shared" si="112"/>
        <v>0.4130493072908627</v>
      </c>
      <c r="AJ1422" s="289">
        <f t="shared" si="113"/>
        <v>18</v>
      </c>
      <c r="AK1422" s="289">
        <f t="shared" si="114"/>
        <v>7.4348875312355283</v>
      </c>
    </row>
    <row r="1423" spans="1:37">
      <c r="A1423" s="703" t="s">
        <v>2932</v>
      </c>
      <c r="B1423" s="703" t="s">
        <v>2849</v>
      </c>
      <c r="C1423" s="703" t="s">
        <v>332</v>
      </c>
      <c r="D1423" s="703" t="s">
        <v>334</v>
      </c>
      <c r="E1423" s="703" t="s">
        <v>334</v>
      </c>
      <c r="F1423" s="703" t="s">
        <v>335</v>
      </c>
      <c r="G1423" s="703" t="s">
        <v>2924</v>
      </c>
      <c r="H1423" s="703" t="s">
        <v>334</v>
      </c>
      <c r="I1423" s="703" t="s">
        <v>334</v>
      </c>
      <c r="J1423" s="703" t="s">
        <v>337</v>
      </c>
      <c r="K1423" s="704">
        <v>0</v>
      </c>
      <c r="L1423" s="703" t="s">
        <v>334</v>
      </c>
      <c r="M1423" s="702">
        <v>39478</v>
      </c>
      <c r="N1423" s="702">
        <v>44516</v>
      </c>
      <c r="O1423" s="703" t="s">
        <v>338</v>
      </c>
      <c r="P1423" s="20">
        <v>69.73</v>
      </c>
      <c r="Q1423" s="20">
        <v>0</v>
      </c>
      <c r="R1423" s="20">
        <v>0</v>
      </c>
      <c r="S1423" s="20">
        <v>0</v>
      </c>
      <c r="T1423" s="20">
        <v>69.73</v>
      </c>
      <c r="U1423" s="20">
        <v>69.540000000000006</v>
      </c>
      <c r="V1423" s="20">
        <v>-0.19</v>
      </c>
      <c r="W1423" s="20">
        <v>-2.5099999999999998</v>
      </c>
      <c r="X1423" s="20">
        <v>-2.3199999999999998</v>
      </c>
      <c r="Y1423" s="20">
        <v>0</v>
      </c>
      <c r="Z1423" s="20">
        <v>0</v>
      </c>
      <c r="AA1423" s="20">
        <v>0</v>
      </c>
      <c r="AB1423" s="20">
        <v>67.22</v>
      </c>
      <c r="AC1423" t="s">
        <v>183</v>
      </c>
      <c r="AD1423" t="s">
        <v>290</v>
      </c>
      <c r="AE1423" s="702">
        <f t="shared" si="110"/>
        <v>44348</v>
      </c>
      <c r="AF1423" s="289">
        <v>80.067136301629887</v>
      </c>
      <c r="AG1423">
        <f t="shared" si="111"/>
        <v>360</v>
      </c>
      <c r="AH1423" s="289">
        <f t="shared" si="112"/>
        <v>0.22240871194897191</v>
      </c>
      <c r="AJ1423" s="289">
        <f t="shared" si="113"/>
        <v>18</v>
      </c>
      <c r="AK1423" s="289">
        <f t="shared" si="114"/>
        <v>4.003356815081494</v>
      </c>
    </row>
    <row r="1424" spans="1:37">
      <c r="A1424" s="703" t="s">
        <v>2933</v>
      </c>
      <c r="B1424" s="703" t="s">
        <v>2849</v>
      </c>
      <c r="C1424" s="703" t="s">
        <v>332</v>
      </c>
      <c r="D1424" s="703" t="s">
        <v>334</v>
      </c>
      <c r="E1424" s="703" t="s">
        <v>334</v>
      </c>
      <c r="F1424" s="703" t="s">
        <v>335</v>
      </c>
      <c r="G1424" s="703" t="s">
        <v>2924</v>
      </c>
      <c r="H1424" s="703" t="s">
        <v>334</v>
      </c>
      <c r="I1424" s="703" t="s">
        <v>334</v>
      </c>
      <c r="J1424" s="703" t="s">
        <v>337</v>
      </c>
      <c r="K1424" s="704">
        <v>0</v>
      </c>
      <c r="L1424" s="703" t="s">
        <v>334</v>
      </c>
      <c r="M1424" s="702">
        <v>39478</v>
      </c>
      <c r="N1424" s="702">
        <v>44516</v>
      </c>
      <c r="O1424" s="703" t="s">
        <v>338</v>
      </c>
      <c r="P1424" s="20">
        <v>8565.41</v>
      </c>
      <c r="Q1424" s="20">
        <v>0</v>
      </c>
      <c r="R1424" s="20">
        <v>0</v>
      </c>
      <c r="S1424" s="20">
        <v>0</v>
      </c>
      <c r="T1424" s="20">
        <v>8565.41</v>
      </c>
      <c r="U1424" s="20">
        <v>8541.6200000000008</v>
      </c>
      <c r="V1424" s="20">
        <v>-23.79</v>
      </c>
      <c r="W1424" s="20">
        <v>-309.3</v>
      </c>
      <c r="X1424" s="20">
        <v>-285.51</v>
      </c>
      <c r="Y1424" s="20">
        <v>0</v>
      </c>
      <c r="Z1424" s="20">
        <v>0</v>
      </c>
      <c r="AA1424" s="20">
        <v>0</v>
      </c>
      <c r="AB1424" s="20">
        <v>8256.11</v>
      </c>
      <c r="AC1424" t="s">
        <v>183</v>
      </c>
      <c r="AD1424" t="s">
        <v>290</v>
      </c>
      <c r="AE1424" s="702">
        <f t="shared" si="110"/>
        <v>44348</v>
      </c>
      <c r="AF1424" s="289">
        <v>9835.190734968357</v>
      </c>
      <c r="AG1424">
        <f t="shared" si="111"/>
        <v>360</v>
      </c>
      <c r="AH1424" s="289">
        <f t="shared" si="112"/>
        <v>27.31997426380099</v>
      </c>
      <c r="AJ1424" s="289">
        <f t="shared" si="113"/>
        <v>18</v>
      </c>
      <c r="AK1424" s="289">
        <f t="shared" si="114"/>
        <v>491.75953674841782</v>
      </c>
    </row>
    <row r="1425" spans="1:37">
      <c r="A1425" s="703" t="s">
        <v>2934</v>
      </c>
      <c r="B1425" s="703" t="s">
        <v>2849</v>
      </c>
      <c r="C1425" s="703" t="s">
        <v>332</v>
      </c>
      <c r="D1425" s="703" t="s">
        <v>334</v>
      </c>
      <c r="E1425" s="703" t="s">
        <v>334</v>
      </c>
      <c r="F1425" s="703" t="s">
        <v>335</v>
      </c>
      <c r="G1425" s="703" t="s">
        <v>2924</v>
      </c>
      <c r="H1425" s="703" t="s">
        <v>334</v>
      </c>
      <c r="I1425" s="703" t="s">
        <v>334</v>
      </c>
      <c r="J1425" s="703" t="s">
        <v>337</v>
      </c>
      <c r="K1425" s="704">
        <v>0</v>
      </c>
      <c r="L1425" s="703" t="s">
        <v>334</v>
      </c>
      <c r="M1425" s="702">
        <v>39478</v>
      </c>
      <c r="N1425" s="702">
        <v>44516</v>
      </c>
      <c r="O1425" s="703" t="s">
        <v>338</v>
      </c>
      <c r="P1425" s="20">
        <v>50.3</v>
      </c>
      <c r="Q1425" s="20">
        <v>0</v>
      </c>
      <c r="R1425" s="20">
        <v>0</v>
      </c>
      <c r="S1425" s="20">
        <v>0</v>
      </c>
      <c r="T1425" s="20">
        <v>50.3</v>
      </c>
      <c r="U1425" s="20">
        <v>50.16</v>
      </c>
      <c r="V1425" s="20">
        <v>-0.14000000000000001</v>
      </c>
      <c r="W1425" s="20">
        <v>-1.82</v>
      </c>
      <c r="X1425" s="20">
        <v>-1.68</v>
      </c>
      <c r="Y1425" s="20">
        <v>0</v>
      </c>
      <c r="Z1425" s="20">
        <v>0</v>
      </c>
      <c r="AA1425" s="20">
        <v>0</v>
      </c>
      <c r="AB1425" s="20">
        <v>48.48</v>
      </c>
      <c r="AC1425" t="s">
        <v>183</v>
      </c>
      <c r="AD1425" t="s">
        <v>290</v>
      </c>
      <c r="AE1425" s="702">
        <f t="shared" si="110"/>
        <v>44348</v>
      </c>
      <c r="AF1425" s="289">
        <v>57.756732482030444</v>
      </c>
      <c r="AG1425">
        <f t="shared" si="111"/>
        <v>360</v>
      </c>
      <c r="AH1425" s="289">
        <f t="shared" si="112"/>
        <v>0.16043536800564012</v>
      </c>
      <c r="AJ1425" s="289">
        <f t="shared" si="113"/>
        <v>18</v>
      </c>
      <c r="AK1425" s="289">
        <f t="shared" si="114"/>
        <v>2.8878366241015221</v>
      </c>
    </row>
    <row r="1426" spans="1:37">
      <c r="A1426" s="703" t="s">
        <v>2935</v>
      </c>
      <c r="B1426" s="703" t="s">
        <v>2849</v>
      </c>
      <c r="C1426" s="703" t="s">
        <v>332</v>
      </c>
      <c r="D1426" s="703" t="s">
        <v>334</v>
      </c>
      <c r="E1426" s="703" t="s">
        <v>334</v>
      </c>
      <c r="F1426" s="703" t="s">
        <v>335</v>
      </c>
      <c r="G1426" s="703" t="s">
        <v>2924</v>
      </c>
      <c r="H1426" s="703" t="s">
        <v>334</v>
      </c>
      <c r="I1426" s="703" t="s">
        <v>334</v>
      </c>
      <c r="J1426" s="703" t="s">
        <v>337</v>
      </c>
      <c r="K1426" s="704">
        <v>0</v>
      </c>
      <c r="L1426" s="703" t="s">
        <v>334</v>
      </c>
      <c r="M1426" s="702">
        <v>39478</v>
      </c>
      <c r="N1426" s="702">
        <v>44516</v>
      </c>
      <c r="O1426" s="703" t="s">
        <v>338</v>
      </c>
      <c r="P1426" s="20">
        <v>772.65</v>
      </c>
      <c r="Q1426" s="20">
        <v>0</v>
      </c>
      <c r="R1426" s="20">
        <v>0</v>
      </c>
      <c r="S1426" s="20">
        <v>0</v>
      </c>
      <c r="T1426" s="20">
        <v>772.65</v>
      </c>
      <c r="U1426" s="20">
        <v>770.5</v>
      </c>
      <c r="V1426" s="20">
        <v>-2.15</v>
      </c>
      <c r="W1426" s="20">
        <v>-27.91</v>
      </c>
      <c r="X1426" s="20">
        <v>-25.76</v>
      </c>
      <c r="Y1426" s="20">
        <v>0</v>
      </c>
      <c r="Z1426" s="20">
        <v>0</v>
      </c>
      <c r="AA1426" s="20">
        <v>0</v>
      </c>
      <c r="AB1426" s="20">
        <v>744.74</v>
      </c>
      <c r="AC1426" t="s">
        <v>183</v>
      </c>
      <c r="AD1426" t="s">
        <v>290</v>
      </c>
      <c r="AE1426" s="702">
        <f t="shared" si="110"/>
        <v>44348</v>
      </c>
      <c r="AF1426" s="289">
        <v>887.19163722148755</v>
      </c>
      <c r="AG1426">
        <f t="shared" si="111"/>
        <v>360</v>
      </c>
      <c r="AH1426" s="289">
        <f t="shared" si="112"/>
        <v>2.464421214504132</v>
      </c>
      <c r="AJ1426" s="289">
        <f t="shared" si="113"/>
        <v>18</v>
      </c>
      <c r="AK1426" s="289">
        <f t="shared" si="114"/>
        <v>44.359581861074375</v>
      </c>
    </row>
    <row r="1427" spans="1:37">
      <c r="A1427" s="703" t="s">
        <v>2936</v>
      </c>
      <c r="B1427" s="703" t="s">
        <v>2849</v>
      </c>
      <c r="C1427" s="703" t="s">
        <v>332</v>
      </c>
      <c r="D1427" s="703" t="s">
        <v>334</v>
      </c>
      <c r="E1427" s="703" t="s">
        <v>334</v>
      </c>
      <c r="F1427" s="703" t="s">
        <v>335</v>
      </c>
      <c r="G1427" s="703" t="s">
        <v>2924</v>
      </c>
      <c r="H1427" s="703" t="s">
        <v>334</v>
      </c>
      <c r="I1427" s="703" t="s">
        <v>334</v>
      </c>
      <c r="J1427" s="703" t="s">
        <v>337</v>
      </c>
      <c r="K1427" s="704">
        <v>0</v>
      </c>
      <c r="L1427" s="703" t="s">
        <v>334</v>
      </c>
      <c r="M1427" s="702">
        <v>39478</v>
      </c>
      <c r="N1427" s="702">
        <v>44516</v>
      </c>
      <c r="O1427" s="703" t="s">
        <v>338</v>
      </c>
      <c r="P1427" s="20">
        <v>325.33999999999997</v>
      </c>
      <c r="Q1427" s="20">
        <v>0</v>
      </c>
      <c r="R1427" s="20">
        <v>0</v>
      </c>
      <c r="S1427" s="20">
        <v>0</v>
      </c>
      <c r="T1427" s="20">
        <v>325.33999999999997</v>
      </c>
      <c r="U1427" s="20">
        <v>324.44</v>
      </c>
      <c r="V1427" s="20">
        <v>-0.9</v>
      </c>
      <c r="W1427" s="20">
        <v>-11.74</v>
      </c>
      <c r="X1427" s="20">
        <v>-10.84</v>
      </c>
      <c r="Y1427" s="20">
        <v>0</v>
      </c>
      <c r="Z1427" s="20">
        <v>0</v>
      </c>
      <c r="AA1427" s="20">
        <v>0</v>
      </c>
      <c r="AB1427" s="20">
        <v>313.60000000000002</v>
      </c>
      <c r="AC1427" t="s">
        <v>183</v>
      </c>
      <c r="AD1427" t="s">
        <v>290</v>
      </c>
      <c r="AE1427" s="702">
        <f t="shared" si="110"/>
        <v>44348</v>
      </c>
      <c r="AF1427" s="289">
        <v>373.57008639570148</v>
      </c>
      <c r="AG1427">
        <f t="shared" si="111"/>
        <v>360</v>
      </c>
      <c r="AH1427" s="289">
        <f t="shared" si="112"/>
        <v>1.0376946844325041</v>
      </c>
      <c r="AJ1427" s="289">
        <f t="shared" si="113"/>
        <v>18</v>
      </c>
      <c r="AK1427" s="289">
        <f t="shared" si="114"/>
        <v>18.678504319785073</v>
      </c>
    </row>
    <row r="1428" spans="1:37">
      <c r="A1428" s="703" t="s">
        <v>2937</v>
      </c>
      <c r="B1428" s="703" t="s">
        <v>2849</v>
      </c>
      <c r="C1428" s="703" t="s">
        <v>332</v>
      </c>
      <c r="D1428" s="703" t="s">
        <v>334</v>
      </c>
      <c r="E1428" s="703" t="s">
        <v>334</v>
      </c>
      <c r="F1428" s="703" t="s">
        <v>335</v>
      </c>
      <c r="G1428" s="703" t="s">
        <v>2924</v>
      </c>
      <c r="H1428" s="703" t="s">
        <v>334</v>
      </c>
      <c r="I1428" s="703" t="s">
        <v>334</v>
      </c>
      <c r="J1428" s="703" t="s">
        <v>337</v>
      </c>
      <c r="K1428" s="704">
        <v>0</v>
      </c>
      <c r="L1428" s="703" t="s">
        <v>334</v>
      </c>
      <c r="M1428" s="702">
        <v>39478</v>
      </c>
      <c r="N1428" s="702">
        <v>44516</v>
      </c>
      <c r="O1428" s="703" t="s">
        <v>338</v>
      </c>
      <c r="P1428" s="20">
        <v>660.8</v>
      </c>
      <c r="Q1428" s="20">
        <v>0</v>
      </c>
      <c r="R1428" s="20">
        <v>0</v>
      </c>
      <c r="S1428" s="20">
        <v>0</v>
      </c>
      <c r="T1428" s="20">
        <v>660.8</v>
      </c>
      <c r="U1428" s="20">
        <v>658.96</v>
      </c>
      <c r="V1428" s="20">
        <v>-1.84</v>
      </c>
      <c r="W1428" s="20">
        <v>-23.87</v>
      </c>
      <c r="X1428" s="20">
        <v>-22.03</v>
      </c>
      <c r="Y1428" s="20">
        <v>0</v>
      </c>
      <c r="Z1428" s="20">
        <v>0</v>
      </c>
      <c r="AA1428" s="20">
        <v>0</v>
      </c>
      <c r="AB1428" s="20">
        <v>636.92999999999995</v>
      </c>
      <c r="AC1428" t="s">
        <v>183</v>
      </c>
      <c r="AD1428" t="s">
        <v>290</v>
      </c>
      <c r="AE1428" s="702">
        <f t="shared" si="110"/>
        <v>44348</v>
      </c>
      <c r="AF1428" s="289">
        <v>758.76041399852318</v>
      </c>
      <c r="AG1428">
        <f t="shared" si="111"/>
        <v>360</v>
      </c>
      <c r="AH1428" s="289">
        <f t="shared" si="112"/>
        <v>2.1076678166625644</v>
      </c>
      <c r="AJ1428" s="289">
        <f t="shared" si="113"/>
        <v>18</v>
      </c>
      <c r="AK1428" s="289">
        <f t="shared" si="114"/>
        <v>37.938020699926156</v>
      </c>
    </row>
    <row r="1429" spans="1:37">
      <c r="A1429" s="703" t="s">
        <v>2938</v>
      </c>
      <c r="B1429" s="703" t="s">
        <v>2849</v>
      </c>
      <c r="C1429" s="703" t="s">
        <v>332</v>
      </c>
      <c r="D1429" s="703" t="s">
        <v>334</v>
      </c>
      <c r="E1429" s="703" t="s">
        <v>334</v>
      </c>
      <c r="F1429" s="703" t="s">
        <v>335</v>
      </c>
      <c r="G1429" s="703" t="s">
        <v>2924</v>
      </c>
      <c r="H1429" s="703" t="s">
        <v>334</v>
      </c>
      <c r="I1429" s="703" t="s">
        <v>334</v>
      </c>
      <c r="J1429" s="703" t="s">
        <v>337</v>
      </c>
      <c r="K1429" s="704">
        <v>0</v>
      </c>
      <c r="L1429" s="703" t="s">
        <v>334</v>
      </c>
      <c r="M1429" s="702">
        <v>39478</v>
      </c>
      <c r="N1429" s="702">
        <v>44516</v>
      </c>
      <c r="O1429" s="703" t="s">
        <v>338</v>
      </c>
      <c r="P1429" s="20">
        <v>832.49</v>
      </c>
      <c r="Q1429" s="20">
        <v>0</v>
      </c>
      <c r="R1429" s="20">
        <v>0</v>
      </c>
      <c r="S1429" s="20">
        <v>0</v>
      </c>
      <c r="T1429" s="20">
        <v>832.49</v>
      </c>
      <c r="U1429" s="20">
        <v>830.18</v>
      </c>
      <c r="V1429" s="20">
        <v>-2.31</v>
      </c>
      <c r="W1429" s="20">
        <v>-30.06</v>
      </c>
      <c r="X1429" s="20">
        <v>-27.75</v>
      </c>
      <c r="Y1429" s="20">
        <v>0</v>
      </c>
      <c r="Z1429" s="20">
        <v>0</v>
      </c>
      <c r="AA1429" s="20">
        <v>0</v>
      </c>
      <c r="AB1429" s="20">
        <v>802.43</v>
      </c>
      <c r="AC1429" t="s">
        <v>183</v>
      </c>
      <c r="AD1429" t="s">
        <v>290</v>
      </c>
      <c r="AE1429" s="702">
        <f t="shared" si="110"/>
        <v>44348</v>
      </c>
      <c r="AF1429" s="289">
        <v>955.90262870706817</v>
      </c>
      <c r="AG1429">
        <f t="shared" si="111"/>
        <v>360</v>
      </c>
      <c r="AH1429" s="289">
        <f t="shared" si="112"/>
        <v>2.6552850797418559</v>
      </c>
      <c r="AJ1429" s="289">
        <f t="shared" si="113"/>
        <v>18</v>
      </c>
      <c r="AK1429" s="289">
        <f t="shared" si="114"/>
        <v>47.795131435353404</v>
      </c>
    </row>
    <row r="1430" spans="1:37">
      <c r="A1430" s="703" t="s">
        <v>2939</v>
      </c>
      <c r="B1430" s="703" t="s">
        <v>2849</v>
      </c>
      <c r="C1430" s="703" t="s">
        <v>332</v>
      </c>
      <c r="D1430" s="703" t="s">
        <v>334</v>
      </c>
      <c r="E1430" s="703" t="s">
        <v>334</v>
      </c>
      <c r="F1430" s="703" t="s">
        <v>335</v>
      </c>
      <c r="G1430" s="703" t="s">
        <v>2924</v>
      </c>
      <c r="H1430" s="703" t="s">
        <v>334</v>
      </c>
      <c r="I1430" s="703" t="s">
        <v>334</v>
      </c>
      <c r="J1430" s="703" t="s">
        <v>337</v>
      </c>
      <c r="K1430" s="704">
        <v>0</v>
      </c>
      <c r="L1430" s="703" t="s">
        <v>334</v>
      </c>
      <c r="M1430" s="702">
        <v>39478</v>
      </c>
      <c r="N1430" s="702">
        <v>44516</v>
      </c>
      <c r="O1430" s="703" t="s">
        <v>338</v>
      </c>
      <c r="P1430" s="20">
        <v>230.85</v>
      </c>
      <c r="Q1430" s="20">
        <v>0</v>
      </c>
      <c r="R1430" s="20">
        <v>0</v>
      </c>
      <c r="S1430" s="20">
        <v>0</v>
      </c>
      <c r="T1430" s="20">
        <v>230.85</v>
      </c>
      <c r="U1430" s="20">
        <v>230.21</v>
      </c>
      <c r="V1430" s="20">
        <v>-0.64</v>
      </c>
      <c r="W1430" s="20">
        <v>-8.34</v>
      </c>
      <c r="X1430" s="20">
        <v>-7.7</v>
      </c>
      <c r="Y1430" s="20">
        <v>0</v>
      </c>
      <c r="Z1430" s="20">
        <v>0</v>
      </c>
      <c r="AA1430" s="20">
        <v>0</v>
      </c>
      <c r="AB1430" s="20">
        <v>222.51</v>
      </c>
      <c r="AC1430" t="s">
        <v>183</v>
      </c>
      <c r="AD1430" t="s">
        <v>290</v>
      </c>
      <c r="AE1430" s="702">
        <f t="shared" si="110"/>
        <v>44348</v>
      </c>
      <c r="AF1430" s="289">
        <v>265.07239947269835</v>
      </c>
      <c r="AG1430">
        <f t="shared" si="111"/>
        <v>360</v>
      </c>
      <c r="AH1430" s="289">
        <f t="shared" si="112"/>
        <v>0.73631222075749547</v>
      </c>
      <c r="AJ1430" s="289">
        <f t="shared" si="113"/>
        <v>18</v>
      </c>
      <c r="AK1430" s="289">
        <f t="shared" si="114"/>
        <v>13.253619973634919</v>
      </c>
    </row>
    <row r="1431" spans="1:37">
      <c r="A1431" s="703" t="s">
        <v>2940</v>
      </c>
      <c r="B1431" s="703" t="s">
        <v>2849</v>
      </c>
      <c r="C1431" s="703" t="s">
        <v>332</v>
      </c>
      <c r="D1431" s="703" t="s">
        <v>334</v>
      </c>
      <c r="E1431" s="703" t="s">
        <v>334</v>
      </c>
      <c r="F1431" s="703" t="s">
        <v>335</v>
      </c>
      <c r="G1431" s="703" t="s">
        <v>2924</v>
      </c>
      <c r="H1431" s="703" t="s">
        <v>334</v>
      </c>
      <c r="I1431" s="703" t="s">
        <v>334</v>
      </c>
      <c r="J1431" s="703" t="s">
        <v>337</v>
      </c>
      <c r="K1431" s="704">
        <v>0</v>
      </c>
      <c r="L1431" s="703" t="s">
        <v>334</v>
      </c>
      <c r="M1431" s="702">
        <v>39478</v>
      </c>
      <c r="N1431" s="702">
        <v>44516</v>
      </c>
      <c r="O1431" s="703" t="s">
        <v>338</v>
      </c>
      <c r="P1431" s="20">
        <v>8.4</v>
      </c>
      <c r="Q1431" s="20">
        <v>0</v>
      </c>
      <c r="R1431" s="20">
        <v>0</v>
      </c>
      <c r="S1431" s="20">
        <v>0</v>
      </c>
      <c r="T1431" s="20">
        <v>8.4</v>
      </c>
      <c r="U1431" s="20">
        <v>8.3800000000000008</v>
      </c>
      <c r="V1431" s="20">
        <v>-0.02</v>
      </c>
      <c r="W1431" s="20">
        <v>-0.3</v>
      </c>
      <c r="X1431" s="20">
        <v>-0.28000000000000003</v>
      </c>
      <c r="Y1431" s="20">
        <v>0</v>
      </c>
      <c r="Z1431" s="20">
        <v>0</v>
      </c>
      <c r="AA1431" s="20">
        <v>0</v>
      </c>
      <c r="AB1431" s="20">
        <v>8.1</v>
      </c>
      <c r="AC1431" t="s">
        <v>183</v>
      </c>
      <c r="AD1431" t="s">
        <v>290</v>
      </c>
      <c r="AE1431" s="702">
        <f t="shared" si="110"/>
        <v>44348</v>
      </c>
      <c r="AF1431" s="289">
        <v>9.6452594999812291</v>
      </c>
      <c r="AG1431">
        <f t="shared" si="111"/>
        <v>360</v>
      </c>
      <c r="AH1431" s="289">
        <f t="shared" si="112"/>
        <v>2.6792387499947858E-2</v>
      </c>
      <c r="AJ1431" s="289">
        <f t="shared" si="113"/>
        <v>18</v>
      </c>
      <c r="AK1431" s="289">
        <f t="shared" si="114"/>
        <v>0.48226297499906146</v>
      </c>
    </row>
    <row r="1432" spans="1:37">
      <c r="A1432" s="703" t="s">
        <v>2941</v>
      </c>
      <c r="B1432" s="703" t="s">
        <v>2849</v>
      </c>
      <c r="C1432" s="703" t="s">
        <v>332</v>
      </c>
      <c r="D1432" s="703" t="s">
        <v>334</v>
      </c>
      <c r="E1432" s="703" t="s">
        <v>334</v>
      </c>
      <c r="F1432" s="703" t="s">
        <v>335</v>
      </c>
      <c r="G1432" s="703" t="s">
        <v>2924</v>
      </c>
      <c r="H1432" s="703" t="s">
        <v>334</v>
      </c>
      <c r="I1432" s="703" t="s">
        <v>334</v>
      </c>
      <c r="J1432" s="703" t="s">
        <v>337</v>
      </c>
      <c r="K1432" s="704">
        <v>0</v>
      </c>
      <c r="L1432" s="703" t="s">
        <v>334</v>
      </c>
      <c r="M1432" s="702">
        <v>39478</v>
      </c>
      <c r="N1432" s="702">
        <v>44516</v>
      </c>
      <c r="O1432" s="703" t="s">
        <v>338</v>
      </c>
      <c r="P1432" s="20">
        <v>74.77</v>
      </c>
      <c r="Q1432" s="20">
        <v>0</v>
      </c>
      <c r="R1432" s="20">
        <v>0</v>
      </c>
      <c r="S1432" s="20">
        <v>0</v>
      </c>
      <c r="T1432" s="20">
        <v>74.77</v>
      </c>
      <c r="U1432" s="20">
        <v>74.56</v>
      </c>
      <c r="V1432" s="20">
        <v>-0.21</v>
      </c>
      <c r="W1432" s="20">
        <v>-2.7</v>
      </c>
      <c r="X1432" s="20">
        <v>-2.4900000000000002</v>
      </c>
      <c r="Y1432" s="20">
        <v>0</v>
      </c>
      <c r="Z1432" s="20">
        <v>0</v>
      </c>
      <c r="AA1432" s="20">
        <v>0</v>
      </c>
      <c r="AB1432" s="20">
        <v>72.069999999999993</v>
      </c>
      <c r="AC1432" t="s">
        <v>183</v>
      </c>
      <c r="AD1432" t="s">
        <v>290</v>
      </c>
      <c r="AE1432" s="702">
        <f t="shared" si="110"/>
        <v>44348</v>
      </c>
      <c r="AF1432" s="289">
        <v>85.854292001618603</v>
      </c>
      <c r="AG1432">
        <f t="shared" si="111"/>
        <v>360</v>
      </c>
      <c r="AH1432" s="289">
        <f t="shared" si="112"/>
        <v>0.23848414444894056</v>
      </c>
      <c r="AJ1432" s="289">
        <f t="shared" si="113"/>
        <v>18</v>
      </c>
      <c r="AK1432" s="289">
        <f t="shared" si="114"/>
        <v>4.29271460008093</v>
      </c>
    </row>
    <row r="1433" spans="1:37">
      <c r="A1433" s="703" t="s">
        <v>2942</v>
      </c>
      <c r="B1433" s="703" t="s">
        <v>2849</v>
      </c>
      <c r="C1433" s="703" t="s">
        <v>332</v>
      </c>
      <c r="D1433" s="703" t="s">
        <v>334</v>
      </c>
      <c r="E1433" s="703" t="s">
        <v>334</v>
      </c>
      <c r="F1433" s="703" t="s">
        <v>335</v>
      </c>
      <c r="G1433" s="703" t="s">
        <v>2924</v>
      </c>
      <c r="H1433" s="703" t="s">
        <v>334</v>
      </c>
      <c r="I1433" s="703" t="s">
        <v>334</v>
      </c>
      <c r="J1433" s="703" t="s">
        <v>337</v>
      </c>
      <c r="K1433" s="704">
        <v>0</v>
      </c>
      <c r="L1433" s="703" t="s">
        <v>334</v>
      </c>
      <c r="M1433" s="702">
        <v>39478</v>
      </c>
      <c r="N1433" s="702">
        <v>44516</v>
      </c>
      <c r="O1433" s="703" t="s">
        <v>338</v>
      </c>
      <c r="P1433" s="20">
        <v>76.13</v>
      </c>
      <c r="Q1433" s="20">
        <v>0</v>
      </c>
      <c r="R1433" s="20">
        <v>0</v>
      </c>
      <c r="S1433" s="20">
        <v>0</v>
      </c>
      <c r="T1433" s="20">
        <v>76.13</v>
      </c>
      <c r="U1433" s="20">
        <v>75.92</v>
      </c>
      <c r="V1433" s="20">
        <v>-0.21</v>
      </c>
      <c r="W1433" s="20">
        <v>-2.75</v>
      </c>
      <c r="X1433" s="20">
        <v>-2.54</v>
      </c>
      <c r="Y1433" s="20">
        <v>0</v>
      </c>
      <c r="Z1433" s="20">
        <v>0</v>
      </c>
      <c r="AA1433" s="20">
        <v>0</v>
      </c>
      <c r="AB1433" s="20">
        <v>73.38</v>
      </c>
      <c r="AC1433" t="s">
        <v>183</v>
      </c>
      <c r="AD1433" t="s">
        <v>290</v>
      </c>
      <c r="AE1433" s="702">
        <f t="shared" si="110"/>
        <v>44348</v>
      </c>
      <c r="AF1433" s="289">
        <v>87.415905444472713</v>
      </c>
      <c r="AG1433">
        <f t="shared" si="111"/>
        <v>360</v>
      </c>
      <c r="AH1433" s="289">
        <f t="shared" si="112"/>
        <v>0.24282195956797975</v>
      </c>
      <c r="AJ1433" s="289">
        <f t="shared" si="113"/>
        <v>18</v>
      </c>
      <c r="AK1433" s="289">
        <f t="shared" si="114"/>
        <v>4.3707952722236358</v>
      </c>
    </row>
    <row r="1434" spans="1:37">
      <c r="A1434" s="703" t="s">
        <v>2943</v>
      </c>
      <c r="B1434" s="703" t="s">
        <v>2849</v>
      </c>
      <c r="C1434" s="703" t="s">
        <v>332</v>
      </c>
      <c r="D1434" s="703" t="s">
        <v>334</v>
      </c>
      <c r="E1434" s="703" t="s">
        <v>334</v>
      </c>
      <c r="F1434" s="703" t="s">
        <v>335</v>
      </c>
      <c r="G1434" s="703" t="s">
        <v>2924</v>
      </c>
      <c r="H1434" s="703" t="s">
        <v>334</v>
      </c>
      <c r="I1434" s="703" t="s">
        <v>334</v>
      </c>
      <c r="J1434" s="703" t="s">
        <v>337</v>
      </c>
      <c r="K1434" s="704">
        <v>0</v>
      </c>
      <c r="L1434" s="703" t="s">
        <v>334</v>
      </c>
      <c r="M1434" s="702">
        <v>39478</v>
      </c>
      <c r="N1434" s="702">
        <v>44516</v>
      </c>
      <c r="O1434" s="703" t="s">
        <v>338</v>
      </c>
      <c r="P1434" s="20">
        <v>2.31</v>
      </c>
      <c r="Q1434" s="20">
        <v>0</v>
      </c>
      <c r="R1434" s="20">
        <v>0</v>
      </c>
      <c r="S1434" s="20">
        <v>0</v>
      </c>
      <c r="T1434" s="20">
        <v>2.31</v>
      </c>
      <c r="U1434" s="20">
        <v>2.2999999999999998</v>
      </c>
      <c r="V1434" s="20">
        <v>-0.01</v>
      </c>
      <c r="W1434" s="20">
        <v>-0.09</v>
      </c>
      <c r="X1434" s="20">
        <v>-0.08</v>
      </c>
      <c r="Y1434" s="20">
        <v>0</v>
      </c>
      <c r="Z1434" s="20">
        <v>0</v>
      </c>
      <c r="AA1434" s="20">
        <v>0</v>
      </c>
      <c r="AB1434" s="20">
        <v>2.2200000000000002</v>
      </c>
      <c r="AC1434" t="s">
        <v>183</v>
      </c>
      <c r="AD1434" t="s">
        <v>290</v>
      </c>
      <c r="AE1434" s="702">
        <f t="shared" si="110"/>
        <v>44348</v>
      </c>
      <c r="AF1434" s="289">
        <v>2.6524463624948376</v>
      </c>
      <c r="AG1434">
        <f t="shared" si="111"/>
        <v>360</v>
      </c>
      <c r="AH1434" s="289">
        <f t="shared" si="112"/>
        <v>7.3679065624856601E-3</v>
      </c>
      <c r="AJ1434" s="289">
        <f t="shared" si="113"/>
        <v>18</v>
      </c>
      <c r="AK1434" s="289">
        <f t="shared" si="114"/>
        <v>0.13262231812474187</v>
      </c>
    </row>
    <row r="1435" spans="1:37">
      <c r="A1435" s="703" t="s">
        <v>2944</v>
      </c>
      <c r="B1435" s="703" t="s">
        <v>2849</v>
      </c>
      <c r="C1435" s="703" t="s">
        <v>332</v>
      </c>
      <c r="D1435" s="703" t="s">
        <v>334</v>
      </c>
      <c r="E1435" s="703" t="s">
        <v>334</v>
      </c>
      <c r="F1435" s="703" t="s">
        <v>335</v>
      </c>
      <c r="G1435" s="703" t="s">
        <v>2924</v>
      </c>
      <c r="H1435" s="703" t="s">
        <v>334</v>
      </c>
      <c r="I1435" s="703" t="s">
        <v>334</v>
      </c>
      <c r="J1435" s="703" t="s">
        <v>337</v>
      </c>
      <c r="K1435" s="704">
        <v>0</v>
      </c>
      <c r="L1435" s="703" t="s">
        <v>334</v>
      </c>
      <c r="M1435" s="702">
        <v>39478</v>
      </c>
      <c r="N1435" s="702">
        <v>44516</v>
      </c>
      <c r="O1435" s="703" t="s">
        <v>338</v>
      </c>
      <c r="P1435" s="20">
        <v>157.33000000000001</v>
      </c>
      <c r="Q1435" s="20">
        <v>0</v>
      </c>
      <c r="R1435" s="20">
        <v>0</v>
      </c>
      <c r="S1435" s="20">
        <v>0</v>
      </c>
      <c r="T1435" s="20">
        <v>157.33000000000001</v>
      </c>
      <c r="U1435" s="20">
        <v>156.88999999999999</v>
      </c>
      <c r="V1435" s="20">
        <v>-0.44</v>
      </c>
      <c r="W1435" s="20">
        <v>-5.68</v>
      </c>
      <c r="X1435" s="20">
        <v>-5.24</v>
      </c>
      <c r="Y1435" s="20">
        <v>0</v>
      </c>
      <c r="Z1435" s="20">
        <v>0</v>
      </c>
      <c r="AA1435" s="20">
        <v>0</v>
      </c>
      <c r="AB1435" s="20">
        <v>151.65</v>
      </c>
      <c r="AC1435" t="s">
        <v>183</v>
      </c>
      <c r="AD1435" t="s">
        <v>290</v>
      </c>
      <c r="AE1435" s="702">
        <f t="shared" si="110"/>
        <v>44348</v>
      </c>
      <c r="AF1435" s="289">
        <v>180.65341394429126</v>
      </c>
      <c r="AG1435">
        <f t="shared" si="111"/>
        <v>360</v>
      </c>
      <c r="AH1435" s="289">
        <f t="shared" si="112"/>
        <v>0.50181503873414235</v>
      </c>
      <c r="AJ1435" s="289">
        <f t="shared" si="113"/>
        <v>18</v>
      </c>
      <c r="AK1435" s="289">
        <f t="shared" si="114"/>
        <v>9.0326706972145629</v>
      </c>
    </row>
    <row r="1436" spans="1:37">
      <c r="A1436" s="703" t="s">
        <v>2945</v>
      </c>
      <c r="B1436" s="703" t="s">
        <v>2849</v>
      </c>
      <c r="C1436" s="703" t="s">
        <v>332</v>
      </c>
      <c r="D1436" s="703" t="s">
        <v>334</v>
      </c>
      <c r="E1436" s="703" t="s">
        <v>334</v>
      </c>
      <c r="F1436" s="703" t="s">
        <v>335</v>
      </c>
      <c r="G1436" s="703" t="s">
        <v>2924</v>
      </c>
      <c r="H1436" s="703" t="s">
        <v>334</v>
      </c>
      <c r="I1436" s="703" t="s">
        <v>334</v>
      </c>
      <c r="J1436" s="703" t="s">
        <v>337</v>
      </c>
      <c r="K1436" s="704">
        <v>0</v>
      </c>
      <c r="L1436" s="703" t="s">
        <v>334</v>
      </c>
      <c r="M1436" s="702">
        <v>39478</v>
      </c>
      <c r="N1436" s="702">
        <v>44516</v>
      </c>
      <c r="O1436" s="703" t="s">
        <v>338</v>
      </c>
      <c r="P1436" s="20">
        <v>65</v>
      </c>
      <c r="Q1436" s="20">
        <v>0</v>
      </c>
      <c r="R1436" s="20">
        <v>0</v>
      </c>
      <c r="S1436" s="20">
        <v>0</v>
      </c>
      <c r="T1436" s="20">
        <v>65</v>
      </c>
      <c r="U1436" s="20">
        <v>64.819999999999993</v>
      </c>
      <c r="V1436" s="20">
        <v>-0.18</v>
      </c>
      <c r="W1436" s="20">
        <v>-2.35</v>
      </c>
      <c r="X1436" s="20">
        <v>-2.17</v>
      </c>
      <c r="Y1436" s="20">
        <v>0</v>
      </c>
      <c r="Z1436" s="20">
        <v>0</v>
      </c>
      <c r="AA1436" s="20">
        <v>0</v>
      </c>
      <c r="AB1436" s="20">
        <v>62.65</v>
      </c>
      <c r="AC1436" t="s">
        <v>183</v>
      </c>
      <c r="AD1436" t="s">
        <v>290</v>
      </c>
      <c r="AE1436" s="702">
        <f t="shared" si="110"/>
        <v>44348</v>
      </c>
      <c r="AF1436" s="289">
        <v>74.635936606997589</v>
      </c>
      <c r="AG1436">
        <f t="shared" si="111"/>
        <v>360</v>
      </c>
      <c r="AH1436" s="289">
        <f t="shared" si="112"/>
        <v>0.20732204613054886</v>
      </c>
      <c r="AJ1436" s="289">
        <f t="shared" si="113"/>
        <v>18</v>
      </c>
      <c r="AK1436" s="289">
        <f t="shared" si="114"/>
        <v>3.7317968303498796</v>
      </c>
    </row>
    <row r="1437" spans="1:37">
      <c r="A1437" s="703" t="s">
        <v>2946</v>
      </c>
      <c r="B1437" s="703" t="s">
        <v>2849</v>
      </c>
      <c r="C1437" s="703" t="s">
        <v>332</v>
      </c>
      <c r="D1437" s="703" t="s">
        <v>334</v>
      </c>
      <c r="E1437" s="703" t="s">
        <v>334</v>
      </c>
      <c r="F1437" s="703" t="s">
        <v>335</v>
      </c>
      <c r="G1437" s="703" t="s">
        <v>2924</v>
      </c>
      <c r="H1437" s="703" t="s">
        <v>334</v>
      </c>
      <c r="I1437" s="703" t="s">
        <v>334</v>
      </c>
      <c r="J1437" s="703" t="s">
        <v>337</v>
      </c>
      <c r="K1437" s="704">
        <v>0</v>
      </c>
      <c r="L1437" s="703" t="s">
        <v>334</v>
      </c>
      <c r="M1437" s="702">
        <v>39478</v>
      </c>
      <c r="N1437" s="702">
        <v>44516</v>
      </c>
      <c r="O1437" s="703" t="s">
        <v>338</v>
      </c>
      <c r="P1437" s="20">
        <v>259.7</v>
      </c>
      <c r="Q1437" s="20">
        <v>0</v>
      </c>
      <c r="R1437" s="20">
        <v>0</v>
      </c>
      <c r="S1437" s="20">
        <v>0</v>
      </c>
      <c r="T1437" s="20">
        <v>259.7</v>
      </c>
      <c r="U1437" s="20">
        <v>258.98</v>
      </c>
      <c r="V1437" s="20">
        <v>-0.72</v>
      </c>
      <c r="W1437" s="20">
        <v>-9.3800000000000008</v>
      </c>
      <c r="X1437" s="20">
        <v>-8.66</v>
      </c>
      <c r="Y1437" s="20">
        <v>0</v>
      </c>
      <c r="Z1437" s="20">
        <v>0</v>
      </c>
      <c r="AA1437" s="20">
        <v>0</v>
      </c>
      <c r="AB1437" s="20">
        <v>250.32</v>
      </c>
      <c r="AC1437" t="s">
        <v>183</v>
      </c>
      <c r="AD1437" t="s">
        <v>290</v>
      </c>
      <c r="AE1437" s="702">
        <f t="shared" si="110"/>
        <v>44348</v>
      </c>
      <c r="AF1437" s="289">
        <v>298.19927287441959</v>
      </c>
      <c r="AG1437">
        <f t="shared" si="111"/>
        <v>360</v>
      </c>
      <c r="AH1437" s="289">
        <f t="shared" si="112"/>
        <v>0.8283313135400544</v>
      </c>
      <c r="AJ1437" s="289">
        <f t="shared" si="113"/>
        <v>18</v>
      </c>
      <c r="AK1437" s="289">
        <f t="shared" si="114"/>
        <v>14.90996364372098</v>
      </c>
    </row>
    <row r="1438" spans="1:37">
      <c r="A1438" s="703" t="s">
        <v>2947</v>
      </c>
      <c r="B1438" s="703" t="s">
        <v>2849</v>
      </c>
      <c r="C1438" s="703" t="s">
        <v>332</v>
      </c>
      <c r="D1438" s="703" t="s">
        <v>334</v>
      </c>
      <c r="E1438" s="703" t="s">
        <v>334</v>
      </c>
      <c r="F1438" s="703" t="s">
        <v>335</v>
      </c>
      <c r="G1438" s="703" t="s">
        <v>2924</v>
      </c>
      <c r="H1438" s="703" t="s">
        <v>334</v>
      </c>
      <c r="I1438" s="703" t="s">
        <v>334</v>
      </c>
      <c r="J1438" s="703" t="s">
        <v>337</v>
      </c>
      <c r="K1438" s="704">
        <v>0</v>
      </c>
      <c r="L1438" s="703" t="s">
        <v>334</v>
      </c>
      <c r="M1438" s="702">
        <v>39478</v>
      </c>
      <c r="N1438" s="702">
        <v>44516</v>
      </c>
      <c r="O1438" s="703" t="s">
        <v>338</v>
      </c>
      <c r="P1438" s="20">
        <v>85.23</v>
      </c>
      <c r="Q1438" s="20">
        <v>0</v>
      </c>
      <c r="R1438" s="20">
        <v>0</v>
      </c>
      <c r="S1438" s="20">
        <v>0</v>
      </c>
      <c r="T1438" s="20">
        <v>85.23</v>
      </c>
      <c r="U1438" s="20">
        <v>84.99</v>
      </c>
      <c r="V1438" s="20">
        <v>-0.24</v>
      </c>
      <c r="W1438" s="20">
        <v>-3.08</v>
      </c>
      <c r="X1438" s="20">
        <v>-2.84</v>
      </c>
      <c r="Y1438" s="20">
        <v>0</v>
      </c>
      <c r="Z1438" s="20">
        <v>0</v>
      </c>
      <c r="AA1438" s="20">
        <v>0</v>
      </c>
      <c r="AB1438" s="20">
        <v>82.15</v>
      </c>
      <c r="AC1438" t="s">
        <v>183</v>
      </c>
      <c r="AD1438" t="s">
        <v>290</v>
      </c>
      <c r="AE1438" s="702">
        <f t="shared" si="110"/>
        <v>44348</v>
      </c>
      <c r="AF1438" s="289">
        <v>97.864936569452382</v>
      </c>
      <c r="AG1438">
        <f t="shared" si="111"/>
        <v>360</v>
      </c>
      <c r="AH1438" s="289">
        <f t="shared" si="112"/>
        <v>0.27184704602625664</v>
      </c>
      <c r="AJ1438" s="289">
        <f t="shared" si="113"/>
        <v>18</v>
      </c>
      <c r="AK1438" s="289">
        <f t="shared" si="114"/>
        <v>4.8932468284726198</v>
      </c>
    </row>
    <row r="1439" spans="1:37">
      <c r="A1439" s="703" t="s">
        <v>2948</v>
      </c>
      <c r="B1439" s="703" t="s">
        <v>2849</v>
      </c>
      <c r="C1439" s="703" t="s">
        <v>332</v>
      </c>
      <c r="D1439" s="703" t="s">
        <v>334</v>
      </c>
      <c r="E1439" s="703" t="s">
        <v>334</v>
      </c>
      <c r="F1439" s="703" t="s">
        <v>335</v>
      </c>
      <c r="G1439" s="703" t="s">
        <v>2924</v>
      </c>
      <c r="H1439" s="703" t="s">
        <v>334</v>
      </c>
      <c r="I1439" s="703" t="s">
        <v>334</v>
      </c>
      <c r="J1439" s="703" t="s">
        <v>337</v>
      </c>
      <c r="K1439" s="704">
        <v>0</v>
      </c>
      <c r="L1439" s="703" t="s">
        <v>334</v>
      </c>
      <c r="M1439" s="702">
        <v>39478</v>
      </c>
      <c r="N1439" s="702">
        <v>44516</v>
      </c>
      <c r="O1439" s="703" t="s">
        <v>338</v>
      </c>
      <c r="P1439" s="20">
        <v>180.78</v>
      </c>
      <c r="Q1439" s="20">
        <v>0</v>
      </c>
      <c r="R1439" s="20">
        <v>0</v>
      </c>
      <c r="S1439" s="20">
        <v>0</v>
      </c>
      <c r="T1439" s="20">
        <v>180.78</v>
      </c>
      <c r="U1439" s="20">
        <v>180.28</v>
      </c>
      <c r="V1439" s="20">
        <v>-0.5</v>
      </c>
      <c r="W1439" s="20">
        <v>-6.53</v>
      </c>
      <c r="X1439" s="20">
        <v>-6.03</v>
      </c>
      <c r="Y1439" s="20">
        <v>0</v>
      </c>
      <c r="Z1439" s="20">
        <v>0</v>
      </c>
      <c r="AA1439" s="20">
        <v>0</v>
      </c>
      <c r="AB1439" s="20">
        <v>174.25</v>
      </c>
      <c r="AC1439" t="s">
        <v>183</v>
      </c>
      <c r="AD1439" t="s">
        <v>290</v>
      </c>
      <c r="AE1439" s="702">
        <f t="shared" si="110"/>
        <v>44348</v>
      </c>
      <c r="AF1439" s="289">
        <v>207.57976338173884</v>
      </c>
      <c r="AG1439">
        <f t="shared" si="111"/>
        <v>360</v>
      </c>
      <c r="AH1439" s="289">
        <f t="shared" si="112"/>
        <v>0.57661045383816345</v>
      </c>
      <c r="AJ1439" s="289">
        <f t="shared" si="113"/>
        <v>18</v>
      </c>
      <c r="AK1439" s="289">
        <f t="shared" si="114"/>
        <v>10.378988169086941</v>
      </c>
    </row>
    <row r="1440" spans="1:37">
      <c r="A1440" s="703" t="s">
        <v>2949</v>
      </c>
      <c r="B1440" s="703" t="s">
        <v>2849</v>
      </c>
      <c r="C1440" s="703" t="s">
        <v>332</v>
      </c>
      <c r="D1440" s="703" t="s">
        <v>334</v>
      </c>
      <c r="E1440" s="703" t="s">
        <v>334</v>
      </c>
      <c r="F1440" s="703" t="s">
        <v>335</v>
      </c>
      <c r="G1440" s="703" t="s">
        <v>2924</v>
      </c>
      <c r="H1440" s="703" t="s">
        <v>334</v>
      </c>
      <c r="I1440" s="703" t="s">
        <v>334</v>
      </c>
      <c r="J1440" s="703" t="s">
        <v>337</v>
      </c>
      <c r="K1440" s="704">
        <v>0</v>
      </c>
      <c r="L1440" s="703" t="s">
        <v>334</v>
      </c>
      <c r="M1440" s="702">
        <v>39478</v>
      </c>
      <c r="N1440" s="702">
        <v>44516</v>
      </c>
      <c r="O1440" s="703" t="s">
        <v>338</v>
      </c>
      <c r="P1440" s="20">
        <v>190</v>
      </c>
      <c r="Q1440" s="20">
        <v>0</v>
      </c>
      <c r="R1440" s="20">
        <v>0</v>
      </c>
      <c r="S1440" s="20">
        <v>0</v>
      </c>
      <c r="T1440" s="20">
        <v>190</v>
      </c>
      <c r="U1440" s="20">
        <v>189.47</v>
      </c>
      <c r="V1440" s="20">
        <v>-0.53</v>
      </c>
      <c r="W1440" s="20">
        <v>-6.86</v>
      </c>
      <c r="X1440" s="20">
        <v>-6.33</v>
      </c>
      <c r="Y1440" s="20">
        <v>0</v>
      </c>
      <c r="Z1440" s="20">
        <v>0</v>
      </c>
      <c r="AA1440" s="20">
        <v>0</v>
      </c>
      <c r="AB1440" s="20">
        <v>183.14</v>
      </c>
      <c r="AC1440" t="s">
        <v>183</v>
      </c>
      <c r="AD1440" t="s">
        <v>290</v>
      </c>
      <c r="AE1440" s="702">
        <f t="shared" si="110"/>
        <v>44348</v>
      </c>
      <c r="AF1440" s="289">
        <v>218.16658392814679</v>
      </c>
      <c r="AG1440">
        <f t="shared" si="111"/>
        <v>360</v>
      </c>
      <c r="AH1440" s="289">
        <f t="shared" si="112"/>
        <v>0.60601828868929664</v>
      </c>
      <c r="AJ1440" s="289">
        <f t="shared" si="113"/>
        <v>18</v>
      </c>
      <c r="AK1440" s="289">
        <f t="shared" si="114"/>
        <v>10.90832919640734</v>
      </c>
    </row>
    <row r="1441" spans="1:37">
      <c r="A1441" s="703" t="s">
        <v>2950</v>
      </c>
      <c r="B1441" s="703" t="s">
        <v>2849</v>
      </c>
      <c r="C1441" s="703" t="s">
        <v>332</v>
      </c>
      <c r="D1441" s="703" t="s">
        <v>334</v>
      </c>
      <c r="E1441" s="703" t="s">
        <v>334</v>
      </c>
      <c r="F1441" s="703" t="s">
        <v>335</v>
      </c>
      <c r="G1441" s="703" t="s">
        <v>2924</v>
      </c>
      <c r="H1441" s="703" t="s">
        <v>334</v>
      </c>
      <c r="I1441" s="703" t="s">
        <v>334</v>
      </c>
      <c r="J1441" s="703" t="s">
        <v>337</v>
      </c>
      <c r="K1441" s="704">
        <v>0</v>
      </c>
      <c r="L1441" s="703" t="s">
        <v>334</v>
      </c>
      <c r="M1441" s="702">
        <v>39478</v>
      </c>
      <c r="N1441" s="702">
        <v>44516</v>
      </c>
      <c r="O1441" s="703" t="s">
        <v>338</v>
      </c>
      <c r="P1441" s="20">
        <v>1463.01</v>
      </c>
      <c r="Q1441" s="20">
        <v>0</v>
      </c>
      <c r="R1441" s="20">
        <v>0</v>
      </c>
      <c r="S1441" s="20">
        <v>0</v>
      </c>
      <c r="T1441" s="20">
        <v>1463.01</v>
      </c>
      <c r="U1441" s="20">
        <v>1458.95</v>
      </c>
      <c r="V1441" s="20">
        <v>-4.0599999999999996</v>
      </c>
      <c r="W1441" s="20">
        <v>-52.83</v>
      </c>
      <c r="X1441" s="20">
        <v>-48.77</v>
      </c>
      <c r="Y1441" s="20">
        <v>0</v>
      </c>
      <c r="Z1441" s="20">
        <v>0</v>
      </c>
      <c r="AA1441" s="20">
        <v>0</v>
      </c>
      <c r="AB1441" s="20">
        <v>1410.18</v>
      </c>
      <c r="AC1441" t="s">
        <v>183</v>
      </c>
      <c r="AD1441" t="s">
        <v>290</v>
      </c>
      <c r="AE1441" s="702">
        <f t="shared" si="110"/>
        <v>44348</v>
      </c>
      <c r="AF1441" s="289">
        <v>1679.8941786985163</v>
      </c>
      <c r="AG1441">
        <f t="shared" si="111"/>
        <v>360</v>
      </c>
      <c r="AH1441" s="289">
        <f t="shared" si="112"/>
        <v>4.6663727186069899</v>
      </c>
      <c r="AJ1441" s="289">
        <f t="shared" si="113"/>
        <v>18</v>
      </c>
      <c r="AK1441" s="289">
        <f t="shared" si="114"/>
        <v>83.994708934925825</v>
      </c>
    </row>
    <row r="1442" spans="1:37">
      <c r="A1442" s="703" t="s">
        <v>2951</v>
      </c>
      <c r="B1442" s="703" t="s">
        <v>2849</v>
      </c>
      <c r="C1442" s="703" t="s">
        <v>332</v>
      </c>
      <c r="D1442" s="703" t="s">
        <v>334</v>
      </c>
      <c r="E1442" s="703" t="s">
        <v>334</v>
      </c>
      <c r="F1442" s="703" t="s">
        <v>335</v>
      </c>
      <c r="G1442" s="703" t="s">
        <v>2924</v>
      </c>
      <c r="H1442" s="703" t="s">
        <v>334</v>
      </c>
      <c r="I1442" s="703" t="s">
        <v>334</v>
      </c>
      <c r="J1442" s="703" t="s">
        <v>337</v>
      </c>
      <c r="K1442" s="704">
        <v>0</v>
      </c>
      <c r="L1442" s="703" t="s">
        <v>334</v>
      </c>
      <c r="M1442" s="702">
        <v>39478</v>
      </c>
      <c r="N1442" s="702">
        <v>44516</v>
      </c>
      <c r="O1442" s="703" t="s">
        <v>338</v>
      </c>
      <c r="P1442" s="20">
        <v>31.5</v>
      </c>
      <c r="Q1442" s="20">
        <v>0</v>
      </c>
      <c r="R1442" s="20">
        <v>0</v>
      </c>
      <c r="S1442" s="20">
        <v>0</v>
      </c>
      <c r="T1442" s="20">
        <v>31.5</v>
      </c>
      <c r="U1442" s="20">
        <v>31.41</v>
      </c>
      <c r="V1442" s="20">
        <v>-0.09</v>
      </c>
      <c r="W1442" s="20">
        <v>-1.1399999999999999</v>
      </c>
      <c r="X1442" s="20">
        <v>-1.05</v>
      </c>
      <c r="Y1442" s="20">
        <v>0</v>
      </c>
      <c r="Z1442" s="20">
        <v>0</v>
      </c>
      <c r="AA1442" s="20">
        <v>0</v>
      </c>
      <c r="AB1442" s="20">
        <v>30.36</v>
      </c>
      <c r="AC1442" t="s">
        <v>183</v>
      </c>
      <c r="AD1442" t="s">
        <v>290</v>
      </c>
      <c r="AE1442" s="702">
        <f t="shared" si="110"/>
        <v>44348</v>
      </c>
      <c r="AF1442" s="289">
        <v>36.169723124929604</v>
      </c>
      <c r="AG1442">
        <f t="shared" si="111"/>
        <v>360</v>
      </c>
      <c r="AH1442" s="289">
        <f t="shared" si="112"/>
        <v>0.10047145312480446</v>
      </c>
      <c r="AJ1442" s="289">
        <f t="shared" si="113"/>
        <v>18</v>
      </c>
      <c r="AK1442" s="289">
        <f t="shared" si="114"/>
        <v>1.8084861562464802</v>
      </c>
    </row>
    <row r="1443" spans="1:37">
      <c r="A1443" s="703" t="s">
        <v>2952</v>
      </c>
      <c r="B1443" s="703" t="s">
        <v>2849</v>
      </c>
      <c r="C1443" s="703" t="s">
        <v>332</v>
      </c>
      <c r="D1443" s="703" t="s">
        <v>334</v>
      </c>
      <c r="E1443" s="703" t="s">
        <v>334</v>
      </c>
      <c r="F1443" s="703" t="s">
        <v>335</v>
      </c>
      <c r="G1443" s="703" t="s">
        <v>2924</v>
      </c>
      <c r="H1443" s="703" t="s">
        <v>334</v>
      </c>
      <c r="I1443" s="703" t="s">
        <v>334</v>
      </c>
      <c r="J1443" s="703" t="s">
        <v>337</v>
      </c>
      <c r="K1443" s="704">
        <v>0</v>
      </c>
      <c r="L1443" s="703" t="s">
        <v>334</v>
      </c>
      <c r="M1443" s="702">
        <v>39478</v>
      </c>
      <c r="N1443" s="702">
        <v>44516</v>
      </c>
      <c r="O1443" s="703" t="s">
        <v>338</v>
      </c>
      <c r="P1443" s="20">
        <v>3540.8</v>
      </c>
      <c r="Q1443" s="20">
        <v>0</v>
      </c>
      <c r="R1443" s="20">
        <v>0</v>
      </c>
      <c r="S1443" s="20">
        <v>0</v>
      </c>
      <c r="T1443" s="20">
        <v>3540.8</v>
      </c>
      <c r="U1443" s="20">
        <v>3530.96</v>
      </c>
      <c r="V1443" s="20">
        <v>-9.84</v>
      </c>
      <c r="W1443" s="20">
        <v>-127.87</v>
      </c>
      <c r="X1443" s="20">
        <v>-118.03</v>
      </c>
      <c r="Y1443" s="20">
        <v>0</v>
      </c>
      <c r="Z1443" s="20">
        <v>0</v>
      </c>
      <c r="AA1443" s="20">
        <v>0</v>
      </c>
      <c r="AB1443" s="20">
        <v>3412.93</v>
      </c>
      <c r="AC1443" t="s">
        <v>183</v>
      </c>
      <c r="AD1443" t="s">
        <v>290</v>
      </c>
      <c r="AE1443" s="702">
        <f t="shared" si="110"/>
        <v>44348</v>
      </c>
      <c r="AF1443" s="289">
        <v>4065.7065282778012</v>
      </c>
      <c r="AG1443">
        <f t="shared" si="111"/>
        <v>360</v>
      </c>
      <c r="AH1443" s="289">
        <f t="shared" si="112"/>
        <v>11.293629245216115</v>
      </c>
      <c r="AJ1443" s="289">
        <f t="shared" si="113"/>
        <v>18</v>
      </c>
      <c r="AK1443" s="289">
        <f t="shared" si="114"/>
        <v>203.28532641389006</v>
      </c>
    </row>
    <row r="1444" spans="1:37">
      <c r="A1444" s="703" t="s">
        <v>2953</v>
      </c>
      <c r="B1444" s="703" t="s">
        <v>2849</v>
      </c>
      <c r="C1444" s="703" t="s">
        <v>332</v>
      </c>
      <c r="D1444" s="703" t="s">
        <v>334</v>
      </c>
      <c r="E1444" s="703" t="s">
        <v>334</v>
      </c>
      <c r="F1444" s="703" t="s">
        <v>335</v>
      </c>
      <c r="G1444" s="703" t="s">
        <v>2924</v>
      </c>
      <c r="H1444" s="703" t="s">
        <v>334</v>
      </c>
      <c r="I1444" s="703" t="s">
        <v>334</v>
      </c>
      <c r="J1444" s="703" t="s">
        <v>337</v>
      </c>
      <c r="K1444" s="704">
        <v>0</v>
      </c>
      <c r="L1444" s="703" t="s">
        <v>334</v>
      </c>
      <c r="M1444" s="702">
        <v>39478</v>
      </c>
      <c r="N1444" s="702">
        <v>44516</v>
      </c>
      <c r="O1444" s="703" t="s">
        <v>338</v>
      </c>
      <c r="P1444" s="20">
        <v>13174.78</v>
      </c>
      <c r="Q1444" s="20">
        <v>0</v>
      </c>
      <c r="R1444" s="20">
        <v>0</v>
      </c>
      <c r="S1444" s="20">
        <v>0</v>
      </c>
      <c r="T1444" s="20">
        <v>13174.78</v>
      </c>
      <c r="U1444" s="20">
        <v>13138.18</v>
      </c>
      <c r="V1444" s="20">
        <v>-36.6</v>
      </c>
      <c r="W1444" s="20">
        <v>-475.76</v>
      </c>
      <c r="X1444" s="20">
        <v>-439.16</v>
      </c>
      <c r="Y1444" s="20">
        <v>0</v>
      </c>
      <c r="Z1444" s="20">
        <v>0</v>
      </c>
      <c r="AA1444" s="20">
        <v>0</v>
      </c>
      <c r="AB1444" s="20">
        <v>12699.02</v>
      </c>
      <c r="AC1444" t="s">
        <v>183</v>
      </c>
      <c r="AD1444" t="s">
        <v>290</v>
      </c>
      <c r="AE1444" s="702">
        <f t="shared" si="110"/>
        <v>44348</v>
      </c>
      <c r="AF1444" s="289">
        <v>15127.877613709843</v>
      </c>
      <c r="AG1444">
        <f t="shared" si="111"/>
        <v>360</v>
      </c>
      <c r="AH1444" s="289">
        <f t="shared" si="112"/>
        <v>42.021882260305119</v>
      </c>
      <c r="AJ1444" s="289">
        <f t="shared" si="113"/>
        <v>18</v>
      </c>
      <c r="AK1444" s="289">
        <f t="shared" si="114"/>
        <v>756.39388068549215</v>
      </c>
    </row>
    <row r="1445" spans="1:37">
      <c r="A1445" s="703" t="s">
        <v>2954</v>
      </c>
      <c r="B1445" s="703" t="s">
        <v>2849</v>
      </c>
      <c r="C1445" s="703" t="s">
        <v>332</v>
      </c>
      <c r="D1445" s="703" t="s">
        <v>334</v>
      </c>
      <c r="E1445" s="703" t="s">
        <v>334</v>
      </c>
      <c r="F1445" s="703" t="s">
        <v>335</v>
      </c>
      <c r="G1445" s="703" t="s">
        <v>2924</v>
      </c>
      <c r="H1445" s="703" t="s">
        <v>334</v>
      </c>
      <c r="I1445" s="703" t="s">
        <v>334</v>
      </c>
      <c r="J1445" s="703" t="s">
        <v>337</v>
      </c>
      <c r="K1445" s="704">
        <v>0</v>
      </c>
      <c r="L1445" s="703" t="s">
        <v>334</v>
      </c>
      <c r="M1445" s="702">
        <v>39478</v>
      </c>
      <c r="N1445" s="702">
        <v>44516</v>
      </c>
      <c r="O1445" s="703" t="s">
        <v>338</v>
      </c>
      <c r="P1445" s="20">
        <v>3717</v>
      </c>
      <c r="Q1445" s="20">
        <v>0</v>
      </c>
      <c r="R1445" s="20">
        <v>0</v>
      </c>
      <c r="S1445" s="20">
        <v>0</v>
      </c>
      <c r="T1445" s="20">
        <v>3717</v>
      </c>
      <c r="U1445" s="20">
        <v>3706.67</v>
      </c>
      <c r="V1445" s="20">
        <v>-10.33</v>
      </c>
      <c r="W1445" s="20">
        <v>-134.22999999999999</v>
      </c>
      <c r="X1445" s="20">
        <v>-123.9</v>
      </c>
      <c r="Y1445" s="20">
        <v>0</v>
      </c>
      <c r="Z1445" s="20">
        <v>0</v>
      </c>
      <c r="AA1445" s="20">
        <v>0</v>
      </c>
      <c r="AB1445" s="20">
        <v>3582.77</v>
      </c>
      <c r="AC1445" t="s">
        <v>183</v>
      </c>
      <c r="AD1445" t="s">
        <v>290</v>
      </c>
      <c r="AE1445" s="702">
        <f t="shared" si="110"/>
        <v>44348</v>
      </c>
      <c r="AF1445" s="289">
        <v>4268.0273287416931</v>
      </c>
      <c r="AG1445">
        <f t="shared" si="111"/>
        <v>360</v>
      </c>
      <c r="AH1445" s="289">
        <f t="shared" si="112"/>
        <v>11.855631468726925</v>
      </c>
      <c r="AJ1445" s="289">
        <f t="shared" si="113"/>
        <v>18</v>
      </c>
      <c r="AK1445" s="289">
        <f t="shared" si="114"/>
        <v>213.40136643708465</v>
      </c>
    </row>
    <row r="1446" spans="1:37">
      <c r="A1446" s="703" t="s">
        <v>2955</v>
      </c>
      <c r="B1446" s="703" t="s">
        <v>2849</v>
      </c>
      <c r="C1446" s="703" t="s">
        <v>332</v>
      </c>
      <c r="D1446" s="703" t="s">
        <v>334</v>
      </c>
      <c r="E1446" s="703" t="s">
        <v>334</v>
      </c>
      <c r="F1446" s="703" t="s">
        <v>335</v>
      </c>
      <c r="G1446" s="703" t="s">
        <v>2924</v>
      </c>
      <c r="H1446" s="703" t="s">
        <v>334</v>
      </c>
      <c r="I1446" s="703" t="s">
        <v>334</v>
      </c>
      <c r="J1446" s="703" t="s">
        <v>337</v>
      </c>
      <c r="K1446" s="704">
        <v>0</v>
      </c>
      <c r="L1446" s="703" t="s">
        <v>334</v>
      </c>
      <c r="M1446" s="702">
        <v>39478</v>
      </c>
      <c r="N1446" s="702">
        <v>44516</v>
      </c>
      <c r="O1446" s="703" t="s">
        <v>338</v>
      </c>
      <c r="P1446" s="20">
        <v>160.96</v>
      </c>
      <c r="Q1446" s="20">
        <v>0</v>
      </c>
      <c r="R1446" s="20">
        <v>0</v>
      </c>
      <c r="S1446" s="20">
        <v>0</v>
      </c>
      <c r="T1446" s="20">
        <v>160.96</v>
      </c>
      <c r="U1446" s="20">
        <v>160.51</v>
      </c>
      <c r="V1446" s="20">
        <v>-0.45</v>
      </c>
      <c r="W1446" s="20">
        <v>-5.82</v>
      </c>
      <c r="X1446" s="20">
        <v>-5.37</v>
      </c>
      <c r="Y1446" s="20">
        <v>0</v>
      </c>
      <c r="Z1446" s="20">
        <v>0</v>
      </c>
      <c r="AA1446" s="20">
        <v>0</v>
      </c>
      <c r="AB1446" s="20">
        <v>155.13999999999999</v>
      </c>
      <c r="AC1446" t="s">
        <v>183</v>
      </c>
      <c r="AD1446" t="s">
        <v>290</v>
      </c>
      <c r="AE1446" s="702">
        <f t="shared" si="110"/>
        <v>44348</v>
      </c>
      <c r="AF1446" s="289">
        <v>184.82154394249741</v>
      </c>
      <c r="AG1446">
        <f t="shared" si="111"/>
        <v>360</v>
      </c>
      <c r="AH1446" s="289">
        <f t="shared" si="112"/>
        <v>0.51339317761804837</v>
      </c>
      <c r="AJ1446" s="289">
        <f t="shared" si="113"/>
        <v>18</v>
      </c>
      <c r="AK1446" s="289">
        <f t="shared" si="114"/>
        <v>9.24107719712487</v>
      </c>
    </row>
    <row r="1447" spans="1:37">
      <c r="A1447" s="703" t="s">
        <v>2956</v>
      </c>
      <c r="B1447" s="703" t="s">
        <v>2849</v>
      </c>
      <c r="C1447" s="703" t="s">
        <v>332</v>
      </c>
      <c r="D1447" s="703" t="s">
        <v>334</v>
      </c>
      <c r="E1447" s="703" t="s">
        <v>334</v>
      </c>
      <c r="F1447" s="703" t="s">
        <v>335</v>
      </c>
      <c r="G1447" s="703" t="s">
        <v>2924</v>
      </c>
      <c r="H1447" s="703" t="s">
        <v>334</v>
      </c>
      <c r="I1447" s="703" t="s">
        <v>334</v>
      </c>
      <c r="J1447" s="703" t="s">
        <v>337</v>
      </c>
      <c r="K1447" s="704">
        <v>0</v>
      </c>
      <c r="L1447" s="703" t="s">
        <v>334</v>
      </c>
      <c r="M1447" s="702">
        <v>39478</v>
      </c>
      <c r="N1447" s="702">
        <v>44516</v>
      </c>
      <c r="O1447" s="703" t="s">
        <v>338</v>
      </c>
      <c r="P1447" s="20">
        <v>150.9</v>
      </c>
      <c r="Q1447" s="20">
        <v>0</v>
      </c>
      <c r="R1447" s="20">
        <v>0</v>
      </c>
      <c r="S1447" s="20">
        <v>0</v>
      </c>
      <c r="T1447" s="20">
        <v>150.9</v>
      </c>
      <c r="U1447" s="20">
        <v>150.47999999999999</v>
      </c>
      <c r="V1447" s="20">
        <v>-0.42</v>
      </c>
      <c r="W1447" s="20">
        <v>-5.45</v>
      </c>
      <c r="X1447" s="20">
        <v>-5.03</v>
      </c>
      <c r="Y1447" s="20">
        <v>0</v>
      </c>
      <c r="Z1447" s="20">
        <v>0</v>
      </c>
      <c r="AA1447" s="20">
        <v>0</v>
      </c>
      <c r="AB1447" s="20">
        <v>145.44999999999999</v>
      </c>
      <c r="AC1447" t="s">
        <v>183</v>
      </c>
      <c r="AD1447" t="s">
        <v>290</v>
      </c>
      <c r="AE1447" s="702">
        <f t="shared" si="110"/>
        <v>44348</v>
      </c>
      <c r="AF1447" s="289">
        <v>173.27019744609134</v>
      </c>
      <c r="AG1447">
        <f t="shared" si="111"/>
        <v>360</v>
      </c>
      <c r="AH1447" s="289">
        <f t="shared" si="112"/>
        <v>0.48130610401692042</v>
      </c>
      <c r="AJ1447" s="289">
        <f t="shared" si="113"/>
        <v>18</v>
      </c>
      <c r="AK1447" s="289">
        <f t="shared" si="114"/>
        <v>8.6635098723045676</v>
      </c>
    </row>
    <row r="1448" spans="1:37">
      <c r="A1448" s="703" t="s">
        <v>2957</v>
      </c>
      <c r="B1448" s="703" t="s">
        <v>2849</v>
      </c>
      <c r="C1448" s="703" t="s">
        <v>332</v>
      </c>
      <c r="D1448" s="703" t="s">
        <v>334</v>
      </c>
      <c r="E1448" s="703" t="s">
        <v>334</v>
      </c>
      <c r="F1448" s="703" t="s">
        <v>335</v>
      </c>
      <c r="G1448" s="703" t="s">
        <v>2924</v>
      </c>
      <c r="H1448" s="703" t="s">
        <v>334</v>
      </c>
      <c r="I1448" s="703" t="s">
        <v>334</v>
      </c>
      <c r="J1448" s="703" t="s">
        <v>337</v>
      </c>
      <c r="K1448" s="704">
        <v>0</v>
      </c>
      <c r="L1448" s="703" t="s">
        <v>334</v>
      </c>
      <c r="M1448" s="702">
        <v>39478</v>
      </c>
      <c r="N1448" s="702">
        <v>44516</v>
      </c>
      <c r="O1448" s="703" t="s">
        <v>338</v>
      </c>
      <c r="P1448" s="20">
        <v>110.66</v>
      </c>
      <c r="Q1448" s="20">
        <v>0</v>
      </c>
      <c r="R1448" s="20">
        <v>0</v>
      </c>
      <c r="S1448" s="20">
        <v>0</v>
      </c>
      <c r="T1448" s="20">
        <v>110.66</v>
      </c>
      <c r="U1448" s="20">
        <v>110.35</v>
      </c>
      <c r="V1448" s="20">
        <v>-0.31</v>
      </c>
      <c r="W1448" s="20">
        <v>-4</v>
      </c>
      <c r="X1448" s="20">
        <v>-3.69</v>
      </c>
      <c r="Y1448" s="20">
        <v>0</v>
      </c>
      <c r="Z1448" s="20">
        <v>0</v>
      </c>
      <c r="AA1448" s="20">
        <v>0</v>
      </c>
      <c r="AB1448" s="20">
        <v>106.66</v>
      </c>
      <c r="AC1448" t="s">
        <v>183</v>
      </c>
      <c r="AD1448" t="s">
        <v>290</v>
      </c>
      <c r="AE1448" s="702">
        <f t="shared" si="110"/>
        <v>44348</v>
      </c>
      <c r="AF1448" s="289">
        <v>127.06481146046698</v>
      </c>
      <c r="AG1448">
        <f t="shared" si="111"/>
        <v>360</v>
      </c>
      <c r="AH1448" s="289">
        <f t="shared" si="112"/>
        <v>0.3529578096124083</v>
      </c>
      <c r="AJ1448" s="289">
        <f t="shared" si="113"/>
        <v>18</v>
      </c>
      <c r="AK1448" s="289">
        <f t="shared" si="114"/>
        <v>6.3532405730233492</v>
      </c>
    </row>
    <row r="1449" spans="1:37">
      <c r="A1449" s="703" t="s">
        <v>2958</v>
      </c>
      <c r="B1449" s="703" t="s">
        <v>2849</v>
      </c>
      <c r="C1449" s="703" t="s">
        <v>332</v>
      </c>
      <c r="D1449" s="703" t="s">
        <v>334</v>
      </c>
      <c r="E1449" s="703" t="s">
        <v>334</v>
      </c>
      <c r="F1449" s="703" t="s">
        <v>335</v>
      </c>
      <c r="G1449" s="703" t="s">
        <v>2924</v>
      </c>
      <c r="H1449" s="703" t="s">
        <v>334</v>
      </c>
      <c r="I1449" s="703" t="s">
        <v>334</v>
      </c>
      <c r="J1449" s="703" t="s">
        <v>337</v>
      </c>
      <c r="K1449" s="704">
        <v>0</v>
      </c>
      <c r="L1449" s="703" t="s">
        <v>334</v>
      </c>
      <c r="M1449" s="702">
        <v>39478</v>
      </c>
      <c r="N1449" s="702">
        <v>44516</v>
      </c>
      <c r="O1449" s="703" t="s">
        <v>338</v>
      </c>
      <c r="P1449" s="20">
        <v>291.74</v>
      </c>
      <c r="Q1449" s="20">
        <v>0</v>
      </c>
      <c r="R1449" s="20">
        <v>0</v>
      </c>
      <c r="S1449" s="20">
        <v>0</v>
      </c>
      <c r="T1449" s="20">
        <v>291.74</v>
      </c>
      <c r="U1449" s="20">
        <v>290.93</v>
      </c>
      <c r="V1449" s="20">
        <v>-0.81</v>
      </c>
      <c r="W1449" s="20">
        <v>-10.53</v>
      </c>
      <c r="X1449" s="20">
        <v>-9.7200000000000006</v>
      </c>
      <c r="Y1449" s="20">
        <v>0</v>
      </c>
      <c r="Z1449" s="20">
        <v>0</v>
      </c>
      <c r="AA1449" s="20">
        <v>0</v>
      </c>
      <c r="AB1449" s="20">
        <v>281.20999999999998</v>
      </c>
      <c r="AC1449" t="s">
        <v>183</v>
      </c>
      <c r="AD1449" t="s">
        <v>290</v>
      </c>
      <c r="AE1449" s="702">
        <f t="shared" si="110"/>
        <v>44348</v>
      </c>
      <c r="AF1449" s="289">
        <v>334.98904839577659</v>
      </c>
      <c r="AG1449">
        <f t="shared" si="111"/>
        <v>360</v>
      </c>
      <c r="AH1449" s="289">
        <f t="shared" si="112"/>
        <v>0.93052513443271279</v>
      </c>
      <c r="AJ1449" s="289">
        <f t="shared" si="113"/>
        <v>18</v>
      </c>
      <c r="AK1449" s="289">
        <f t="shared" si="114"/>
        <v>16.749452419788831</v>
      </c>
    </row>
    <row r="1450" spans="1:37">
      <c r="A1450" s="703" t="s">
        <v>2959</v>
      </c>
      <c r="B1450" s="703" t="s">
        <v>2849</v>
      </c>
      <c r="C1450" s="703" t="s">
        <v>332</v>
      </c>
      <c r="D1450" s="703" t="s">
        <v>334</v>
      </c>
      <c r="E1450" s="703" t="s">
        <v>334</v>
      </c>
      <c r="F1450" s="703" t="s">
        <v>335</v>
      </c>
      <c r="G1450" s="703" t="s">
        <v>2924</v>
      </c>
      <c r="H1450" s="703" t="s">
        <v>334</v>
      </c>
      <c r="I1450" s="703" t="s">
        <v>334</v>
      </c>
      <c r="J1450" s="703" t="s">
        <v>337</v>
      </c>
      <c r="K1450" s="704">
        <v>0</v>
      </c>
      <c r="L1450" s="703" t="s">
        <v>334</v>
      </c>
      <c r="M1450" s="702">
        <v>39478</v>
      </c>
      <c r="N1450" s="702">
        <v>44516</v>
      </c>
      <c r="O1450" s="703" t="s">
        <v>338</v>
      </c>
      <c r="P1450" s="20">
        <v>1673.4</v>
      </c>
      <c r="Q1450" s="20">
        <v>0</v>
      </c>
      <c r="R1450" s="20">
        <v>0</v>
      </c>
      <c r="S1450" s="20">
        <v>0</v>
      </c>
      <c r="T1450" s="20">
        <v>1673.4</v>
      </c>
      <c r="U1450" s="20">
        <v>1668.75</v>
      </c>
      <c r="V1450" s="20">
        <v>-4.6500000000000004</v>
      </c>
      <c r="W1450" s="20">
        <v>-60.43</v>
      </c>
      <c r="X1450" s="20">
        <v>-55.78</v>
      </c>
      <c r="Y1450" s="20">
        <v>0</v>
      </c>
      <c r="Z1450" s="20">
        <v>0</v>
      </c>
      <c r="AA1450" s="20">
        <v>0</v>
      </c>
      <c r="AB1450" s="20">
        <v>1612.97</v>
      </c>
      <c r="AC1450" t="s">
        <v>183</v>
      </c>
      <c r="AD1450" t="s">
        <v>290</v>
      </c>
      <c r="AE1450" s="702">
        <f t="shared" si="110"/>
        <v>44348</v>
      </c>
      <c r="AF1450" s="289">
        <v>1921.4734818176889</v>
      </c>
      <c r="AG1450">
        <f t="shared" si="111"/>
        <v>360</v>
      </c>
      <c r="AH1450" s="289">
        <f t="shared" si="112"/>
        <v>5.3374263383824694</v>
      </c>
      <c r="AJ1450" s="289">
        <f t="shared" si="113"/>
        <v>18</v>
      </c>
      <c r="AK1450" s="289">
        <f t="shared" si="114"/>
        <v>96.073674090884452</v>
      </c>
    </row>
    <row r="1451" spans="1:37">
      <c r="A1451" s="703" t="s">
        <v>2960</v>
      </c>
      <c r="B1451" s="703" t="s">
        <v>2849</v>
      </c>
      <c r="C1451" s="703" t="s">
        <v>332</v>
      </c>
      <c r="D1451" s="703" t="s">
        <v>334</v>
      </c>
      <c r="E1451" s="703" t="s">
        <v>334</v>
      </c>
      <c r="F1451" s="703" t="s">
        <v>335</v>
      </c>
      <c r="G1451" s="703" t="s">
        <v>2924</v>
      </c>
      <c r="H1451" s="703" t="s">
        <v>334</v>
      </c>
      <c r="I1451" s="703" t="s">
        <v>334</v>
      </c>
      <c r="J1451" s="703" t="s">
        <v>337</v>
      </c>
      <c r="K1451" s="704">
        <v>0</v>
      </c>
      <c r="L1451" s="703" t="s">
        <v>334</v>
      </c>
      <c r="M1451" s="702">
        <v>39478</v>
      </c>
      <c r="N1451" s="702">
        <v>44516</v>
      </c>
      <c r="O1451" s="703" t="s">
        <v>338</v>
      </c>
      <c r="P1451" s="20">
        <v>1396.5</v>
      </c>
      <c r="Q1451" s="20">
        <v>0</v>
      </c>
      <c r="R1451" s="20">
        <v>0</v>
      </c>
      <c r="S1451" s="20">
        <v>0</v>
      </c>
      <c r="T1451" s="20">
        <v>1396.5</v>
      </c>
      <c r="U1451" s="20">
        <v>1392.62</v>
      </c>
      <c r="V1451" s="20">
        <v>-3.88</v>
      </c>
      <c r="W1451" s="20">
        <v>-50.43</v>
      </c>
      <c r="X1451" s="20">
        <v>-46.55</v>
      </c>
      <c r="Y1451" s="20">
        <v>0</v>
      </c>
      <c r="Z1451" s="20">
        <v>0</v>
      </c>
      <c r="AA1451" s="20">
        <v>0</v>
      </c>
      <c r="AB1451" s="20">
        <v>1346.07</v>
      </c>
      <c r="AC1451" t="s">
        <v>183</v>
      </c>
      <c r="AD1451" t="s">
        <v>290</v>
      </c>
      <c r="AE1451" s="702">
        <f t="shared" si="110"/>
        <v>44348</v>
      </c>
      <c r="AF1451" s="289">
        <v>1603.5243918718791</v>
      </c>
      <c r="AG1451">
        <f t="shared" si="111"/>
        <v>360</v>
      </c>
      <c r="AH1451" s="289">
        <f t="shared" si="112"/>
        <v>4.4542344218663308</v>
      </c>
      <c r="AJ1451" s="289">
        <f t="shared" si="113"/>
        <v>18</v>
      </c>
      <c r="AK1451" s="289">
        <f t="shared" si="114"/>
        <v>80.176219593593956</v>
      </c>
    </row>
    <row r="1452" spans="1:37">
      <c r="A1452" s="703" t="s">
        <v>2961</v>
      </c>
      <c r="B1452" s="703" t="s">
        <v>2849</v>
      </c>
      <c r="C1452" s="703" t="s">
        <v>332</v>
      </c>
      <c r="D1452" s="703" t="s">
        <v>334</v>
      </c>
      <c r="E1452" s="703" t="s">
        <v>334</v>
      </c>
      <c r="F1452" s="703" t="s">
        <v>335</v>
      </c>
      <c r="G1452" s="703" t="s">
        <v>2924</v>
      </c>
      <c r="H1452" s="703" t="s">
        <v>334</v>
      </c>
      <c r="I1452" s="703" t="s">
        <v>334</v>
      </c>
      <c r="J1452" s="703" t="s">
        <v>337</v>
      </c>
      <c r="K1452" s="704">
        <v>0</v>
      </c>
      <c r="L1452" s="703" t="s">
        <v>334</v>
      </c>
      <c r="M1452" s="702">
        <v>39478</v>
      </c>
      <c r="N1452" s="702">
        <v>44516</v>
      </c>
      <c r="O1452" s="703" t="s">
        <v>338</v>
      </c>
      <c r="P1452" s="20">
        <v>35.200000000000003</v>
      </c>
      <c r="Q1452" s="20">
        <v>0</v>
      </c>
      <c r="R1452" s="20">
        <v>0</v>
      </c>
      <c r="S1452" s="20">
        <v>0</v>
      </c>
      <c r="T1452" s="20">
        <v>35.200000000000003</v>
      </c>
      <c r="U1452" s="20">
        <v>35.1</v>
      </c>
      <c r="V1452" s="20">
        <v>-0.1</v>
      </c>
      <c r="W1452" s="20">
        <v>-1.27</v>
      </c>
      <c r="X1452" s="20">
        <v>-1.17</v>
      </c>
      <c r="Y1452" s="20">
        <v>0</v>
      </c>
      <c r="Z1452" s="20">
        <v>0</v>
      </c>
      <c r="AA1452" s="20">
        <v>0</v>
      </c>
      <c r="AB1452" s="20">
        <v>33.93</v>
      </c>
      <c r="AC1452" t="s">
        <v>183</v>
      </c>
      <c r="AD1452" t="s">
        <v>290</v>
      </c>
      <c r="AE1452" s="702">
        <f t="shared" si="110"/>
        <v>44348</v>
      </c>
      <c r="AF1452" s="289">
        <v>40.418230285635623</v>
      </c>
      <c r="AG1452">
        <f t="shared" si="111"/>
        <v>360</v>
      </c>
      <c r="AH1452" s="289">
        <f t="shared" si="112"/>
        <v>0.1122728619045434</v>
      </c>
      <c r="AJ1452" s="289">
        <f t="shared" si="113"/>
        <v>18</v>
      </c>
      <c r="AK1452" s="289">
        <f t="shared" si="114"/>
        <v>2.0209115142817811</v>
      </c>
    </row>
    <row r="1453" spans="1:37">
      <c r="A1453" s="703" t="s">
        <v>2962</v>
      </c>
      <c r="B1453" s="703" t="s">
        <v>2849</v>
      </c>
      <c r="C1453" s="703" t="s">
        <v>332</v>
      </c>
      <c r="D1453" s="703" t="s">
        <v>334</v>
      </c>
      <c r="E1453" s="703" t="s">
        <v>334</v>
      </c>
      <c r="F1453" s="703" t="s">
        <v>335</v>
      </c>
      <c r="G1453" s="703" t="s">
        <v>2924</v>
      </c>
      <c r="H1453" s="703" t="s">
        <v>334</v>
      </c>
      <c r="I1453" s="703" t="s">
        <v>334</v>
      </c>
      <c r="J1453" s="703" t="s">
        <v>337</v>
      </c>
      <c r="K1453" s="704">
        <v>0</v>
      </c>
      <c r="L1453" s="703" t="s">
        <v>334</v>
      </c>
      <c r="M1453" s="702">
        <v>39478</v>
      </c>
      <c r="N1453" s="702">
        <v>44516</v>
      </c>
      <c r="O1453" s="703" t="s">
        <v>338</v>
      </c>
      <c r="P1453" s="20">
        <v>3201.77</v>
      </c>
      <c r="Q1453" s="20">
        <v>0</v>
      </c>
      <c r="R1453" s="20">
        <v>0</v>
      </c>
      <c r="S1453" s="20">
        <v>0</v>
      </c>
      <c r="T1453" s="20">
        <v>3201.77</v>
      </c>
      <c r="U1453" s="20">
        <v>3192.88</v>
      </c>
      <c r="V1453" s="20">
        <v>-8.89</v>
      </c>
      <c r="W1453" s="20">
        <v>-115.62</v>
      </c>
      <c r="X1453" s="20">
        <v>-106.73</v>
      </c>
      <c r="Y1453" s="20">
        <v>0</v>
      </c>
      <c r="Z1453" s="20">
        <v>0</v>
      </c>
      <c r="AA1453" s="20">
        <v>0</v>
      </c>
      <c r="AB1453" s="20">
        <v>3086.15</v>
      </c>
      <c r="AC1453" t="s">
        <v>183</v>
      </c>
      <c r="AD1453" t="s">
        <v>290</v>
      </c>
      <c r="AE1453" s="702">
        <f t="shared" si="110"/>
        <v>44348</v>
      </c>
      <c r="AF1453" s="289">
        <v>3676.4169653874874</v>
      </c>
      <c r="AG1453">
        <f t="shared" si="111"/>
        <v>360</v>
      </c>
      <c r="AH1453" s="289">
        <f t="shared" si="112"/>
        <v>10.212269348298577</v>
      </c>
      <c r="AJ1453" s="289">
        <f t="shared" si="113"/>
        <v>18</v>
      </c>
      <c r="AK1453" s="289">
        <f t="shared" si="114"/>
        <v>183.82084826937438</v>
      </c>
    </row>
    <row r="1454" spans="1:37">
      <c r="A1454" s="703" t="s">
        <v>2963</v>
      </c>
      <c r="B1454" s="703" t="s">
        <v>2849</v>
      </c>
      <c r="C1454" s="703" t="s">
        <v>332</v>
      </c>
      <c r="D1454" s="703" t="s">
        <v>334</v>
      </c>
      <c r="E1454" s="703" t="s">
        <v>334</v>
      </c>
      <c r="F1454" s="703" t="s">
        <v>335</v>
      </c>
      <c r="G1454" s="703" t="s">
        <v>2924</v>
      </c>
      <c r="H1454" s="703" t="s">
        <v>334</v>
      </c>
      <c r="I1454" s="703" t="s">
        <v>334</v>
      </c>
      <c r="J1454" s="703" t="s">
        <v>337</v>
      </c>
      <c r="K1454" s="704">
        <v>0</v>
      </c>
      <c r="L1454" s="703" t="s">
        <v>334</v>
      </c>
      <c r="M1454" s="702">
        <v>39478</v>
      </c>
      <c r="N1454" s="702">
        <v>44516</v>
      </c>
      <c r="O1454" s="703" t="s">
        <v>338</v>
      </c>
      <c r="P1454" s="20">
        <v>2671.97</v>
      </c>
      <c r="Q1454" s="20">
        <v>0</v>
      </c>
      <c r="R1454" s="20">
        <v>0</v>
      </c>
      <c r="S1454" s="20">
        <v>0</v>
      </c>
      <c r="T1454" s="20">
        <v>2671.97</v>
      </c>
      <c r="U1454" s="20">
        <v>2664.55</v>
      </c>
      <c r="V1454" s="20">
        <v>-7.42</v>
      </c>
      <c r="W1454" s="20">
        <v>-96.49</v>
      </c>
      <c r="X1454" s="20">
        <v>-89.07</v>
      </c>
      <c r="Y1454" s="20">
        <v>0</v>
      </c>
      <c r="Z1454" s="20">
        <v>0</v>
      </c>
      <c r="AA1454" s="20">
        <v>0</v>
      </c>
      <c r="AB1454" s="20">
        <v>2575.48</v>
      </c>
      <c r="AC1454" t="s">
        <v>183</v>
      </c>
      <c r="AD1454" t="s">
        <v>290</v>
      </c>
      <c r="AE1454" s="702">
        <f t="shared" si="110"/>
        <v>44348</v>
      </c>
      <c r="AF1454" s="289">
        <v>3068.0766697815284</v>
      </c>
      <c r="AG1454">
        <f t="shared" si="111"/>
        <v>360</v>
      </c>
      <c r="AH1454" s="289">
        <f t="shared" si="112"/>
        <v>8.5224351938375786</v>
      </c>
      <c r="AJ1454" s="289">
        <f t="shared" si="113"/>
        <v>18</v>
      </c>
      <c r="AK1454" s="289">
        <f t="shared" si="114"/>
        <v>153.40383348907642</v>
      </c>
    </row>
    <row r="1455" spans="1:37">
      <c r="A1455" s="703" t="s">
        <v>2964</v>
      </c>
      <c r="B1455" s="703" t="s">
        <v>2849</v>
      </c>
      <c r="C1455" s="703" t="s">
        <v>332</v>
      </c>
      <c r="D1455" s="703" t="s">
        <v>334</v>
      </c>
      <c r="E1455" s="703" t="s">
        <v>334</v>
      </c>
      <c r="F1455" s="703" t="s">
        <v>335</v>
      </c>
      <c r="G1455" s="703" t="s">
        <v>2924</v>
      </c>
      <c r="H1455" s="703" t="s">
        <v>334</v>
      </c>
      <c r="I1455" s="703" t="s">
        <v>334</v>
      </c>
      <c r="J1455" s="703" t="s">
        <v>337</v>
      </c>
      <c r="K1455" s="704">
        <v>0</v>
      </c>
      <c r="L1455" s="703" t="s">
        <v>334</v>
      </c>
      <c r="M1455" s="702">
        <v>39478</v>
      </c>
      <c r="N1455" s="702">
        <v>44516</v>
      </c>
      <c r="O1455" s="703" t="s">
        <v>338</v>
      </c>
      <c r="P1455" s="20">
        <v>918.59</v>
      </c>
      <c r="Q1455" s="20">
        <v>0</v>
      </c>
      <c r="R1455" s="20">
        <v>0</v>
      </c>
      <c r="S1455" s="20">
        <v>0</v>
      </c>
      <c r="T1455" s="20">
        <v>918.59</v>
      </c>
      <c r="U1455" s="20">
        <v>916.04</v>
      </c>
      <c r="V1455" s="20">
        <v>-2.5499999999999998</v>
      </c>
      <c r="W1455" s="20">
        <v>-33.17</v>
      </c>
      <c r="X1455" s="20">
        <v>-30.62</v>
      </c>
      <c r="Y1455" s="20">
        <v>0</v>
      </c>
      <c r="Z1455" s="20">
        <v>0</v>
      </c>
      <c r="AA1455" s="20">
        <v>0</v>
      </c>
      <c r="AB1455" s="20">
        <v>885.42</v>
      </c>
      <c r="AC1455" t="s">
        <v>183</v>
      </c>
      <c r="AD1455" t="s">
        <v>290</v>
      </c>
      <c r="AE1455" s="702">
        <f t="shared" si="110"/>
        <v>44348</v>
      </c>
      <c r="AF1455" s="289">
        <v>1054.7665385818757</v>
      </c>
      <c r="AG1455">
        <f t="shared" si="111"/>
        <v>360</v>
      </c>
      <c r="AH1455" s="289">
        <f t="shared" si="112"/>
        <v>2.9299070516163215</v>
      </c>
      <c r="AJ1455" s="289">
        <f t="shared" si="113"/>
        <v>18</v>
      </c>
      <c r="AK1455" s="289">
        <f t="shared" si="114"/>
        <v>52.738326929093787</v>
      </c>
    </row>
    <row r="1456" spans="1:37">
      <c r="A1456" s="703" t="s">
        <v>2965</v>
      </c>
      <c r="B1456" s="703" t="s">
        <v>2849</v>
      </c>
      <c r="C1456" s="703" t="s">
        <v>332</v>
      </c>
      <c r="D1456" s="703" t="s">
        <v>334</v>
      </c>
      <c r="E1456" s="703" t="s">
        <v>334</v>
      </c>
      <c r="F1456" s="703" t="s">
        <v>335</v>
      </c>
      <c r="G1456" s="703" t="s">
        <v>2924</v>
      </c>
      <c r="H1456" s="703" t="s">
        <v>334</v>
      </c>
      <c r="I1456" s="703" t="s">
        <v>334</v>
      </c>
      <c r="J1456" s="703" t="s">
        <v>337</v>
      </c>
      <c r="K1456" s="704">
        <v>0</v>
      </c>
      <c r="L1456" s="703" t="s">
        <v>334</v>
      </c>
      <c r="M1456" s="702">
        <v>39478</v>
      </c>
      <c r="N1456" s="702">
        <v>44516</v>
      </c>
      <c r="O1456" s="703" t="s">
        <v>338</v>
      </c>
      <c r="P1456" s="20">
        <v>1260.6300000000001</v>
      </c>
      <c r="Q1456" s="20">
        <v>0</v>
      </c>
      <c r="R1456" s="20">
        <v>0</v>
      </c>
      <c r="S1456" s="20">
        <v>0</v>
      </c>
      <c r="T1456" s="20">
        <v>1260.6300000000001</v>
      </c>
      <c r="U1456" s="20">
        <v>1257.1300000000001</v>
      </c>
      <c r="V1456" s="20">
        <v>-3.5</v>
      </c>
      <c r="W1456" s="20">
        <v>-45.52</v>
      </c>
      <c r="X1456" s="20">
        <v>-42.02</v>
      </c>
      <c r="Y1456" s="20">
        <v>0</v>
      </c>
      <c r="Z1456" s="20">
        <v>0</v>
      </c>
      <c r="AA1456" s="20">
        <v>0</v>
      </c>
      <c r="AB1456" s="20">
        <v>1215.1099999999999</v>
      </c>
      <c r="AC1456" t="s">
        <v>183</v>
      </c>
      <c r="AD1456" t="s">
        <v>290</v>
      </c>
      <c r="AE1456" s="702">
        <f t="shared" si="110"/>
        <v>44348</v>
      </c>
      <c r="AF1456" s="289">
        <v>1447.5123194596829</v>
      </c>
      <c r="AG1456">
        <f t="shared" si="111"/>
        <v>360</v>
      </c>
      <c r="AH1456" s="289">
        <f t="shared" si="112"/>
        <v>4.020867554054675</v>
      </c>
      <c r="AJ1456" s="289">
        <f t="shared" si="113"/>
        <v>18</v>
      </c>
      <c r="AK1456" s="289">
        <f t="shared" si="114"/>
        <v>72.37561597298415</v>
      </c>
    </row>
    <row r="1457" spans="1:37">
      <c r="A1457" s="703" t="s">
        <v>2966</v>
      </c>
      <c r="B1457" s="703" t="s">
        <v>2849</v>
      </c>
      <c r="C1457" s="703" t="s">
        <v>332</v>
      </c>
      <c r="D1457" s="703" t="s">
        <v>334</v>
      </c>
      <c r="E1457" s="703" t="s">
        <v>334</v>
      </c>
      <c r="F1457" s="703" t="s">
        <v>335</v>
      </c>
      <c r="G1457" s="703" t="s">
        <v>2924</v>
      </c>
      <c r="H1457" s="703" t="s">
        <v>334</v>
      </c>
      <c r="I1457" s="703" t="s">
        <v>334</v>
      </c>
      <c r="J1457" s="703" t="s">
        <v>337</v>
      </c>
      <c r="K1457" s="704">
        <v>0</v>
      </c>
      <c r="L1457" s="703" t="s">
        <v>334</v>
      </c>
      <c r="M1457" s="702">
        <v>39478</v>
      </c>
      <c r="N1457" s="702">
        <v>44516</v>
      </c>
      <c r="O1457" s="703" t="s">
        <v>338</v>
      </c>
      <c r="P1457" s="20">
        <v>1052.03</v>
      </c>
      <c r="Q1457" s="20">
        <v>0</v>
      </c>
      <c r="R1457" s="20">
        <v>0</v>
      </c>
      <c r="S1457" s="20">
        <v>0</v>
      </c>
      <c r="T1457" s="20">
        <v>1052.03</v>
      </c>
      <c r="U1457" s="20">
        <v>1049.1099999999999</v>
      </c>
      <c r="V1457" s="20">
        <v>-2.92</v>
      </c>
      <c r="W1457" s="20">
        <v>-37.99</v>
      </c>
      <c r="X1457" s="20">
        <v>-35.07</v>
      </c>
      <c r="Y1457" s="20">
        <v>0</v>
      </c>
      <c r="Z1457" s="20">
        <v>0</v>
      </c>
      <c r="AA1457" s="20">
        <v>0</v>
      </c>
      <c r="AB1457" s="20">
        <v>1014.04</v>
      </c>
      <c r="AC1457" t="s">
        <v>183</v>
      </c>
      <c r="AD1457" t="s">
        <v>290</v>
      </c>
      <c r="AE1457" s="702">
        <f t="shared" si="110"/>
        <v>44348</v>
      </c>
      <c r="AF1457" s="289">
        <v>1207.9883752101489</v>
      </c>
      <c r="AG1457">
        <f t="shared" si="111"/>
        <v>360</v>
      </c>
      <c r="AH1457" s="289">
        <f t="shared" si="112"/>
        <v>3.3555232644726356</v>
      </c>
      <c r="AJ1457" s="289">
        <f t="shared" si="113"/>
        <v>18</v>
      </c>
      <c r="AK1457" s="289">
        <f t="shared" si="114"/>
        <v>60.399418760507444</v>
      </c>
    </row>
    <row r="1458" spans="1:37">
      <c r="A1458" s="703" t="s">
        <v>2967</v>
      </c>
      <c r="B1458" s="703" t="s">
        <v>2849</v>
      </c>
      <c r="C1458" s="703" t="s">
        <v>332</v>
      </c>
      <c r="D1458" s="703" t="s">
        <v>334</v>
      </c>
      <c r="E1458" s="703" t="s">
        <v>334</v>
      </c>
      <c r="F1458" s="703" t="s">
        <v>335</v>
      </c>
      <c r="G1458" s="703" t="s">
        <v>2924</v>
      </c>
      <c r="H1458" s="703" t="s">
        <v>334</v>
      </c>
      <c r="I1458" s="703" t="s">
        <v>334</v>
      </c>
      <c r="J1458" s="703" t="s">
        <v>337</v>
      </c>
      <c r="K1458" s="704">
        <v>0</v>
      </c>
      <c r="L1458" s="703" t="s">
        <v>334</v>
      </c>
      <c r="M1458" s="702">
        <v>39478</v>
      </c>
      <c r="N1458" s="702">
        <v>44516</v>
      </c>
      <c r="O1458" s="703" t="s">
        <v>338</v>
      </c>
      <c r="P1458" s="20">
        <v>1796.12</v>
      </c>
      <c r="Q1458" s="20">
        <v>0</v>
      </c>
      <c r="R1458" s="20">
        <v>0</v>
      </c>
      <c r="S1458" s="20">
        <v>0</v>
      </c>
      <c r="T1458" s="20">
        <v>1796.12</v>
      </c>
      <c r="U1458" s="20">
        <v>1791.13</v>
      </c>
      <c r="V1458" s="20">
        <v>-4.99</v>
      </c>
      <c r="W1458" s="20">
        <v>-64.86</v>
      </c>
      <c r="X1458" s="20">
        <v>-59.87</v>
      </c>
      <c r="Y1458" s="20">
        <v>0</v>
      </c>
      <c r="Z1458" s="20">
        <v>0</v>
      </c>
      <c r="AA1458" s="20">
        <v>0</v>
      </c>
      <c r="AB1458" s="20">
        <v>1731.26</v>
      </c>
      <c r="AC1458" t="s">
        <v>183</v>
      </c>
      <c r="AD1458" t="s">
        <v>290</v>
      </c>
      <c r="AE1458" s="702">
        <f t="shared" si="110"/>
        <v>44348</v>
      </c>
      <c r="AF1458" s="289">
        <v>2062.3861301317002</v>
      </c>
      <c r="AG1458">
        <f t="shared" si="111"/>
        <v>360</v>
      </c>
      <c r="AH1458" s="289">
        <f t="shared" si="112"/>
        <v>5.7288503614769448</v>
      </c>
      <c r="AJ1458" s="289">
        <f t="shared" si="113"/>
        <v>18</v>
      </c>
      <c r="AK1458" s="289">
        <f t="shared" si="114"/>
        <v>103.119306506585</v>
      </c>
    </row>
    <row r="1459" spans="1:37">
      <c r="A1459" s="703" t="s">
        <v>2968</v>
      </c>
      <c r="B1459" s="703" t="s">
        <v>2849</v>
      </c>
      <c r="C1459" s="703" t="s">
        <v>332</v>
      </c>
      <c r="D1459" s="703" t="s">
        <v>334</v>
      </c>
      <c r="E1459" s="703" t="s">
        <v>334</v>
      </c>
      <c r="F1459" s="703" t="s">
        <v>335</v>
      </c>
      <c r="G1459" s="703" t="s">
        <v>2924</v>
      </c>
      <c r="H1459" s="703" t="s">
        <v>334</v>
      </c>
      <c r="I1459" s="703" t="s">
        <v>334</v>
      </c>
      <c r="J1459" s="703" t="s">
        <v>337</v>
      </c>
      <c r="K1459" s="704">
        <v>0</v>
      </c>
      <c r="L1459" s="703" t="s">
        <v>334</v>
      </c>
      <c r="M1459" s="702">
        <v>39478</v>
      </c>
      <c r="N1459" s="702">
        <v>44516</v>
      </c>
      <c r="O1459" s="703" t="s">
        <v>338</v>
      </c>
      <c r="P1459" s="20">
        <v>1498.91</v>
      </c>
      <c r="Q1459" s="20">
        <v>0</v>
      </c>
      <c r="R1459" s="20">
        <v>0</v>
      </c>
      <c r="S1459" s="20">
        <v>0</v>
      </c>
      <c r="T1459" s="20">
        <v>1498.91</v>
      </c>
      <c r="U1459" s="20">
        <v>1494.75</v>
      </c>
      <c r="V1459" s="20">
        <v>-4.16</v>
      </c>
      <c r="W1459" s="20">
        <v>-54.12</v>
      </c>
      <c r="X1459" s="20">
        <v>-49.96</v>
      </c>
      <c r="Y1459" s="20">
        <v>0</v>
      </c>
      <c r="Z1459" s="20">
        <v>0</v>
      </c>
      <c r="AA1459" s="20">
        <v>0</v>
      </c>
      <c r="AB1459" s="20">
        <v>1444.79</v>
      </c>
      <c r="AC1459" t="s">
        <v>183</v>
      </c>
      <c r="AD1459" t="s">
        <v>290</v>
      </c>
      <c r="AE1459" s="702">
        <f t="shared" si="110"/>
        <v>44348</v>
      </c>
      <c r="AF1459" s="289">
        <v>1721.1161806091502</v>
      </c>
      <c r="AG1459">
        <f t="shared" si="111"/>
        <v>360</v>
      </c>
      <c r="AH1459" s="289">
        <f t="shared" si="112"/>
        <v>4.7808782794698619</v>
      </c>
      <c r="AJ1459" s="289">
        <f t="shared" si="113"/>
        <v>18</v>
      </c>
      <c r="AK1459" s="289">
        <f t="shared" si="114"/>
        <v>86.05580903045751</v>
      </c>
    </row>
    <row r="1460" spans="1:37">
      <c r="A1460" s="703" t="s">
        <v>2969</v>
      </c>
      <c r="B1460" s="703" t="s">
        <v>2849</v>
      </c>
      <c r="C1460" s="703" t="s">
        <v>332</v>
      </c>
      <c r="D1460" s="703" t="s">
        <v>334</v>
      </c>
      <c r="E1460" s="703" t="s">
        <v>334</v>
      </c>
      <c r="F1460" s="703" t="s">
        <v>335</v>
      </c>
      <c r="G1460" s="703" t="s">
        <v>2924</v>
      </c>
      <c r="H1460" s="703" t="s">
        <v>334</v>
      </c>
      <c r="I1460" s="703" t="s">
        <v>334</v>
      </c>
      <c r="J1460" s="703" t="s">
        <v>337</v>
      </c>
      <c r="K1460" s="704">
        <v>0</v>
      </c>
      <c r="L1460" s="703" t="s">
        <v>334</v>
      </c>
      <c r="M1460" s="702">
        <v>39478</v>
      </c>
      <c r="N1460" s="702">
        <v>44516</v>
      </c>
      <c r="O1460" s="703" t="s">
        <v>338</v>
      </c>
      <c r="P1460" s="20">
        <v>246.37</v>
      </c>
      <c r="Q1460" s="20">
        <v>0</v>
      </c>
      <c r="R1460" s="20">
        <v>0</v>
      </c>
      <c r="S1460" s="20">
        <v>0</v>
      </c>
      <c r="T1460" s="20">
        <v>246.37</v>
      </c>
      <c r="U1460" s="20">
        <v>245.69</v>
      </c>
      <c r="V1460" s="20">
        <v>-0.68</v>
      </c>
      <c r="W1460" s="20">
        <v>-8.89</v>
      </c>
      <c r="X1460" s="20">
        <v>-8.2100000000000009</v>
      </c>
      <c r="Y1460" s="20">
        <v>0</v>
      </c>
      <c r="Z1460" s="20">
        <v>0</v>
      </c>
      <c r="AA1460" s="20">
        <v>0</v>
      </c>
      <c r="AB1460" s="20">
        <v>237.48</v>
      </c>
      <c r="AC1460" t="s">
        <v>183</v>
      </c>
      <c r="AD1460" t="s">
        <v>290</v>
      </c>
      <c r="AE1460" s="702">
        <f t="shared" si="110"/>
        <v>44348</v>
      </c>
      <c r="AF1460" s="289">
        <v>282.89316464409228</v>
      </c>
      <c r="AG1460">
        <f t="shared" si="111"/>
        <v>360</v>
      </c>
      <c r="AH1460" s="289">
        <f t="shared" si="112"/>
        <v>0.7858143462335897</v>
      </c>
      <c r="AJ1460" s="289">
        <f t="shared" si="113"/>
        <v>18</v>
      </c>
      <c r="AK1460" s="289">
        <f t="shared" si="114"/>
        <v>14.144658232204614</v>
      </c>
    </row>
    <row r="1461" spans="1:37">
      <c r="A1461" s="703" t="s">
        <v>2970</v>
      </c>
      <c r="B1461" s="703" t="s">
        <v>2849</v>
      </c>
      <c r="C1461" s="703" t="s">
        <v>332</v>
      </c>
      <c r="D1461" s="703" t="s">
        <v>334</v>
      </c>
      <c r="E1461" s="703" t="s">
        <v>334</v>
      </c>
      <c r="F1461" s="703" t="s">
        <v>335</v>
      </c>
      <c r="G1461" s="703" t="s">
        <v>2924</v>
      </c>
      <c r="H1461" s="703" t="s">
        <v>334</v>
      </c>
      <c r="I1461" s="703" t="s">
        <v>334</v>
      </c>
      <c r="J1461" s="703" t="s">
        <v>337</v>
      </c>
      <c r="K1461" s="704">
        <v>0</v>
      </c>
      <c r="L1461" s="703" t="s">
        <v>334</v>
      </c>
      <c r="M1461" s="702">
        <v>39478</v>
      </c>
      <c r="N1461" s="702">
        <v>44516</v>
      </c>
      <c r="O1461" s="703" t="s">
        <v>338</v>
      </c>
      <c r="P1461" s="20">
        <v>241.44</v>
      </c>
      <c r="Q1461" s="20">
        <v>0</v>
      </c>
      <c r="R1461" s="20">
        <v>0</v>
      </c>
      <c r="S1461" s="20">
        <v>0</v>
      </c>
      <c r="T1461" s="20">
        <v>241.44</v>
      </c>
      <c r="U1461" s="20">
        <v>240.77</v>
      </c>
      <c r="V1461" s="20">
        <v>-0.67</v>
      </c>
      <c r="W1461" s="20">
        <v>-8.7200000000000006</v>
      </c>
      <c r="X1461" s="20">
        <v>-8.0500000000000007</v>
      </c>
      <c r="Y1461" s="20">
        <v>0</v>
      </c>
      <c r="Z1461" s="20">
        <v>0</v>
      </c>
      <c r="AA1461" s="20">
        <v>0</v>
      </c>
      <c r="AB1461" s="20">
        <v>232.72</v>
      </c>
      <c r="AC1461" t="s">
        <v>183</v>
      </c>
      <c r="AD1461" t="s">
        <v>290</v>
      </c>
      <c r="AE1461" s="702">
        <f t="shared" si="110"/>
        <v>44348</v>
      </c>
      <c r="AF1461" s="289">
        <v>277.23231591374616</v>
      </c>
      <c r="AG1461">
        <f t="shared" si="111"/>
        <v>360</v>
      </c>
      <c r="AH1461" s="289">
        <f t="shared" si="112"/>
        <v>0.77008976642707272</v>
      </c>
      <c r="AJ1461" s="289">
        <f t="shared" si="113"/>
        <v>18</v>
      </c>
      <c r="AK1461" s="289">
        <f t="shared" si="114"/>
        <v>13.861615795687309</v>
      </c>
    </row>
    <row r="1462" spans="1:37">
      <c r="A1462" s="703" t="s">
        <v>2971</v>
      </c>
      <c r="B1462" s="703" t="s">
        <v>2849</v>
      </c>
      <c r="C1462" s="703" t="s">
        <v>332</v>
      </c>
      <c r="D1462" s="703" t="s">
        <v>334</v>
      </c>
      <c r="E1462" s="703" t="s">
        <v>334</v>
      </c>
      <c r="F1462" s="703" t="s">
        <v>335</v>
      </c>
      <c r="G1462" s="703" t="s">
        <v>2924</v>
      </c>
      <c r="H1462" s="703" t="s">
        <v>334</v>
      </c>
      <c r="I1462" s="703" t="s">
        <v>334</v>
      </c>
      <c r="J1462" s="703" t="s">
        <v>337</v>
      </c>
      <c r="K1462" s="704">
        <v>0</v>
      </c>
      <c r="L1462" s="703" t="s">
        <v>334</v>
      </c>
      <c r="M1462" s="702">
        <v>39478</v>
      </c>
      <c r="N1462" s="702">
        <v>44516</v>
      </c>
      <c r="O1462" s="703" t="s">
        <v>338</v>
      </c>
      <c r="P1462" s="20">
        <v>10.06</v>
      </c>
      <c r="Q1462" s="20">
        <v>0</v>
      </c>
      <c r="R1462" s="20">
        <v>0</v>
      </c>
      <c r="S1462" s="20">
        <v>0</v>
      </c>
      <c r="T1462" s="20">
        <v>10.06</v>
      </c>
      <c r="U1462" s="20">
        <v>10.029999999999999</v>
      </c>
      <c r="V1462" s="20">
        <v>-0.03</v>
      </c>
      <c r="W1462" s="20">
        <v>-0.37</v>
      </c>
      <c r="X1462" s="20">
        <v>-0.34</v>
      </c>
      <c r="Y1462" s="20">
        <v>0</v>
      </c>
      <c r="Z1462" s="20">
        <v>0</v>
      </c>
      <c r="AA1462" s="20">
        <v>0</v>
      </c>
      <c r="AB1462" s="20">
        <v>9.69</v>
      </c>
      <c r="AC1462" t="s">
        <v>183</v>
      </c>
      <c r="AD1462" t="s">
        <v>290</v>
      </c>
      <c r="AE1462" s="702">
        <f t="shared" si="110"/>
        <v>44348</v>
      </c>
      <c r="AF1462" s="289">
        <v>11.551346496406088</v>
      </c>
      <c r="AG1462">
        <f t="shared" si="111"/>
        <v>360</v>
      </c>
      <c r="AH1462" s="289">
        <f t="shared" si="112"/>
        <v>3.2087073601128023E-2</v>
      </c>
      <c r="AJ1462" s="289">
        <f t="shared" si="113"/>
        <v>18</v>
      </c>
      <c r="AK1462" s="289">
        <f t="shared" si="114"/>
        <v>0.57756732482030437</v>
      </c>
    </row>
    <row r="1463" spans="1:37">
      <c r="A1463" s="703" t="s">
        <v>2972</v>
      </c>
      <c r="B1463" s="703" t="s">
        <v>2849</v>
      </c>
      <c r="C1463" s="703" t="s">
        <v>332</v>
      </c>
      <c r="D1463" s="703" t="s">
        <v>334</v>
      </c>
      <c r="E1463" s="703" t="s">
        <v>334</v>
      </c>
      <c r="F1463" s="703" t="s">
        <v>335</v>
      </c>
      <c r="G1463" s="703" t="s">
        <v>2924</v>
      </c>
      <c r="H1463" s="703" t="s">
        <v>334</v>
      </c>
      <c r="I1463" s="703" t="s">
        <v>334</v>
      </c>
      <c r="J1463" s="703" t="s">
        <v>337</v>
      </c>
      <c r="K1463" s="704">
        <v>0</v>
      </c>
      <c r="L1463" s="703" t="s">
        <v>334</v>
      </c>
      <c r="M1463" s="702">
        <v>39478</v>
      </c>
      <c r="N1463" s="702">
        <v>44516</v>
      </c>
      <c r="O1463" s="703" t="s">
        <v>338</v>
      </c>
      <c r="P1463" s="20">
        <v>2807.29</v>
      </c>
      <c r="Q1463" s="20">
        <v>0</v>
      </c>
      <c r="R1463" s="20">
        <v>0</v>
      </c>
      <c r="S1463" s="20">
        <v>0</v>
      </c>
      <c r="T1463" s="20">
        <v>2807.29</v>
      </c>
      <c r="U1463" s="20">
        <v>2799.49</v>
      </c>
      <c r="V1463" s="20">
        <v>-7.8</v>
      </c>
      <c r="W1463" s="20">
        <v>-101.38</v>
      </c>
      <c r="X1463" s="20">
        <v>-93.58</v>
      </c>
      <c r="Y1463" s="20">
        <v>0</v>
      </c>
      <c r="Z1463" s="20">
        <v>0</v>
      </c>
      <c r="AA1463" s="20">
        <v>0</v>
      </c>
      <c r="AB1463" s="20">
        <v>2705.91</v>
      </c>
      <c r="AC1463" t="s">
        <v>183</v>
      </c>
      <c r="AD1463" t="s">
        <v>290</v>
      </c>
      <c r="AE1463" s="702">
        <f t="shared" si="110"/>
        <v>44348</v>
      </c>
      <c r="AF1463" s="289">
        <v>3223.457207345512</v>
      </c>
      <c r="AG1463">
        <f t="shared" si="111"/>
        <v>360</v>
      </c>
      <c r="AH1463" s="289">
        <f t="shared" si="112"/>
        <v>8.9540477981819784</v>
      </c>
      <c r="AJ1463" s="289">
        <f t="shared" si="113"/>
        <v>18</v>
      </c>
      <c r="AK1463" s="289">
        <f t="shared" si="114"/>
        <v>161.1728603672756</v>
      </c>
    </row>
    <row r="1464" spans="1:37">
      <c r="A1464" s="703" t="s">
        <v>2973</v>
      </c>
      <c r="B1464" s="703" t="s">
        <v>2849</v>
      </c>
      <c r="C1464" s="703" t="s">
        <v>332</v>
      </c>
      <c r="D1464" s="703" t="s">
        <v>334</v>
      </c>
      <c r="E1464" s="703" t="s">
        <v>334</v>
      </c>
      <c r="F1464" s="703" t="s">
        <v>335</v>
      </c>
      <c r="G1464" s="703" t="s">
        <v>2924</v>
      </c>
      <c r="H1464" s="703" t="s">
        <v>334</v>
      </c>
      <c r="I1464" s="703" t="s">
        <v>334</v>
      </c>
      <c r="J1464" s="703" t="s">
        <v>337</v>
      </c>
      <c r="K1464" s="704">
        <v>0</v>
      </c>
      <c r="L1464" s="703" t="s">
        <v>334</v>
      </c>
      <c r="M1464" s="702">
        <v>39478</v>
      </c>
      <c r="N1464" s="702">
        <v>44516</v>
      </c>
      <c r="O1464" s="703" t="s">
        <v>338</v>
      </c>
      <c r="P1464" s="20">
        <v>2342.92</v>
      </c>
      <c r="Q1464" s="20">
        <v>0</v>
      </c>
      <c r="R1464" s="20">
        <v>0</v>
      </c>
      <c r="S1464" s="20">
        <v>0</v>
      </c>
      <c r="T1464" s="20">
        <v>2342.92</v>
      </c>
      <c r="U1464" s="20">
        <v>2336.41</v>
      </c>
      <c r="V1464" s="20">
        <v>-6.51</v>
      </c>
      <c r="W1464" s="20">
        <v>-84.61</v>
      </c>
      <c r="X1464" s="20">
        <v>-78.099999999999994</v>
      </c>
      <c r="Y1464" s="20">
        <v>0</v>
      </c>
      <c r="Z1464" s="20">
        <v>0</v>
      </c>
      <c r="AA1464" s="20">
        <v>0</v>
      </c>
      <c r="AB1464" s="20">
        <v>2258.31</v>
      </c>
      <c r="AC1464" t="s">
        <v>183</v>
      </c>
      <c r="AD1464" t="s">
        <v>290</v>
      </c>
      <c r="AE1464" s="702">
        <f t="shared" si="110"/>
        <v>44348</v>
      </c>
      <c r="AF1464" s="289">
        <v>2690.2465937733355</v>
      </c>
      <c r="AG1464">
        <f t="shared" si="111"/>
        <v>360</v>
      </c>
      <c r="AH1464" s="289">
        <f t="shared" si="112"/>
        <v>7.4729072049259315</v>
      </c>
      <c r="AJ1464" s="289">
        <f t="shared" si="113"/>
        <v>18</v>
      </c>
      <c r="AK1464" s="289">
        <f t="shared" si="114"/>
        <v>134.51232968866677</v>
      </c>
    </row>
    <row r="1465" spans="1:37">
      <c r="A1465" s="703" t="s">
        <v>2974</v>
      </c>
      <c r="B1465" s="703" t="s">
        <v>2849</v>
      </c>
      <c r="C1465" s="703" t="s">
        <v>332</v>
      </c>
      <c r="D1465" s="703" t="s">
        <v>334</v>
      </c>
      <c r="E1465" s="703" t="s">
        <v>334</v>
      </c>
      <c r="F1465" s="703" t="s">
        <v>335</v>
      </c>
      <c r="G1465" s="703" t="s">
        <v>2924</v>
      </c>
      <c r="H1465" s="703" t="s">
        <v>334</v>
      </c>
      <c r="I1465" s="703" t="s">
        <v>334</v>
      </c>
      <c r="J1465" s="703" t="s">
        <v>337</v>
      </c>
      <c r="K1465" s="704">
        <v>0</v>
      </c>
      <c r="L1465" s="703" t="s">
        <v>334</v>
      </c>
      <c r="M1465" s="702">
        <v>39478</v>
      </c>
      <c r="N1465" s="702">
        <v>44516</v>
      </c>
      <c r="O1465" s="703" t="s">
        <v>338</v>
      </c>
      <c r="P1465" s="20">
        <v>117.46</v>
      </c>
      <c r="Q1465" s="20">
        <v>0</v>
      </c>
      <c r="R1465" s="20">
        <v>0</v>
      </c>
      <c r="S1465" s="20">
        <v>0</v>
      </c>
      <c r="T1465" s="20">
        <v>117.46</v>
      </c>
      <c r="U1465" s="20">
        <v>117.13</v>
      </c>
      <c r="V1465" s="20">
        <v>-0.33</v>
      </c>
      <c r="W1465" s="20">
        <v>-4.25</v>
      </c>
      <c r="X1465" s="20">
        <v>-3.92</v>
      </c>
      <c r="Y1465" s="20">
        <v>0</v>
      </c>
      <c r="Z1465" s="20">
        <v>0</v>
      </c>
      <c r="AA1465" s="20">
        <v>0</v>
      </c>
      <c r="AB1465" s="20">
        <v>113.21</v>
      </c>
      <c r="AC1465" t="s">
        <v>183</v>
      </c>
      <c r="AD1465" t="s">
        <v>290</v>
      </c>
      <c r="AE1465" s="702">
        <f t="shared" si="110"/>
        <v>44348</v>
      </c>
      <c r="AF1465" s="289">
        <v>134.87287867473751</v>
      </c>
      <c r="AG1465">
        <f t="shared" si="111"/>
        <v>360</v>
      </c>
      <c r="AH1465" s="289">
        <f t="shared" si="112"/>
        <v>0.3746468852076042</v>
      </c>
      <c r="AJ1465" s="289">
        <f t="shared" si="113"/>
        <v>18</v>
      </c>
      <c r="AK1465" s="289">
        <f t="shared" si="114"/>
        <v>6.7436439337368759</v>
      </c>
    </row>
    <row r="1466" spans="1:37">
      <c r="A1466" s="703" t="s">
        <v>2975</v>
      </c>
      <c r="B1466" s="703" t="s">
        <v>2849</v>
      </c>
      <c r="C1466" s="703" t="s">
        <v>332</v>
      </c>
      <c r="D1466" s="703" t="s">
        <v>334</v>
      </c>
      <c r="E1466" s="703" t="s">
        <v>334</v>
      </c>
      <c r="F1466" s="703" t="s">
        <v>335</v>
      </c>
      <c r="G1466" s="703" t="s">
        <v>2924</v>
      </c>
      <c r="H1466" s="703" t="s">
        <v>334</v>
      </c>
      <c r="I1466" s="703" t="s">
        <v>334</v>
      </c>
      <c r="J1466" s="703" t="s">
        <v>337</v>
      </c>
      <c r="K1466" s="704">
        <v>0</v>
      </c>
      <c r="L1466" s="703" t="s">
        <v>334</v>
      </c>
      <c r="M1466" s="702">
        <v>39478</v>
      </c>
      <c r="N1466" s="702">
        <v>44516</v>
      </c>
      <c r="O1466" s="703" t="s">
        <v>338</v>
      </c>
      <c r="P1466" s="20">
        <v>98.03</v>
      </c>
      <c r="Q1466" s="20">
        <v>0</v>
      </c>
      <c r="R1466" s="20">
        <v>0</v>
      </c>
      <c r="S1466" s="20">
        <v>0</v>
      </c>
      <c r="T1466" s="20">
        <v>98.03</v>
      </c>
      <c r="U1466" s="20">
        <v>97.76</v>
      </c>
      <c r="V1466" s="20">
        <v>-0.27</v>
      </c>
      <c r="W1466" s="20">
        <v>-3.54</v>
      </c>
      <c r="X1466" s="20">
        <v>-3.27</v>
      </c>
      <c r="Y1466" s="20">
        <v>0</v>
      </c>
      <c r="Z1466" s="20">
        <v>0</v>
      </c>
      <c r="AA1466" s="20">
        <v>0</v>
      </c>
      <c r="AB1466" s="20">
        <v>94.49</v>
      </c>
      <c r="AC1466" t="s">
        <v>183</v>
      </c>
      <c r="AD1466" t="s">
        <v>290</v>
      </c>
      <c r="AE1466" s="702">
        <f t="shared" si="110"/>
        <v>44348</v>
      </c>
      <c r="AF1466" s="289">
        <v>112.56247485513806</v>
      </c>
      <c r="AG1466">
        <f t="shared" si="111"/>
        <v>360</v>
      </c>
      <c r="AH1466" s="289">
        <f t="shared" si="112"/>
        <v>0.31267354126427238</v>
      </c>
      <c r="AJ1466" s="289">
        <f t="shared" si="113"/>
        <v>18</v>
      </c>
      <c r="AK1466" s="289">
        <f t="shared" si="114"/>
        <v>5.6281237427569026</v>
      </c>
    </row>
    <row r="1467" spans="1:37">
      <c r="A1467" s="703" t="s">
        <v>2976</v>
      </c>
      <c r="B1467" s="703" t="s">
        <v>2849</v>
      </c>
      <c r="C1467" s="703" t="s">
        <v>332</v>
      </c>
      <c r="D1467" s="703" t="s">
        <v>334</v>
      </c>
      <c r="E1467" s="703" t="s">
        <v>334</v>
      </c>
      <c r="F1467" s="703" t="s">
        <v>335</v>
      </c>
      <c r="G1467" s="703" t="s">
        <v>2924</v>
      </c>
      <c r="H1467" s="703" t="s">
        <v>334</v>
      </c>
      <c r="I1467" s="703" t="s">
        <v>334</v>
      </c>
      <c r="J1467" s="703" t="s">
        <v>337</v>
      </c>
      <c r="K1467" s="704">
        <v>0</v>
      </c>
      <c r="L1467" s="703" t="s">
        <v>334</v>
      </c>
      <c r="M1467" s="702">
        <v>39478</v>
      </c>
      <c r="N1467" s="702">
        <v>44516</v>
      </c>
      <c r="O1467" s="703" t="s">
        <v>338</v>
      </c>
      <c r="P1467" s="20">
        <v>390.56</v>
      </c>
      <c r="Q1467" s="20">
        <v>0</v>
      </c>
      <c r="R1467" s="20">
        <v>0</v>
      </c>
      <c r="S1467" s="20">
        <v>0</v>
      </c>
      <c r="T1467" s="20">
        <v>390.56</v>
      </c>
      <c r="U1467" s="20">
        <v>389.48</v>
      </c>
      <c r="V1467" s="20">
        <v>-1.08</v>
      </c>
      <c r="W1467" s="20">
        <v>-14.1</v>
      </c>
      <c r="X1467" s="20">
        <v>-13.02</v>
      </c>
      <c r="Y1467" s="20">
        <v>0</v>
      </c>
      <c r="Z1467" s="20">
        <v>0</v>
      </c>
      <c r="AA1467" s="20">
        <v>0</v>
      </c>
      <c r="AB1467" s="20">
        <v>376.46</v>
      </c>
      <c r="AC1467" t="s">
        <v>183</v>
      </c>
      <c r="AD1467" t="s">
        <v>290</v>
      </c>
      <c r="AE1467" s="702">
        <f t="shared" si="110"/>
        <v>44348</v>
      </c>
      <c r="AF1467" s="289">
        <v>448.45863694198431</v>
      </c>
      <c r="AG1467">
        <f t="shared" si="111"/>
        <v>360</v>
      </c>
      <c r="AH1467" s="289">
        <f t="shared" si="112"/>
        <v>1.2457184359499565</v>
      </c>
      <c r="AJ1467" s="289">
        <f t="shared" si="113"/>
        <v>18</v>
      </c>
      <c r="AK1467" s="289">
        <f t="shared" si="114"/>
        <v>22.422931847099218</v>
      </c>
    </row>
    <row r="1468" spans="1:37">
      <c r="A1468" s="703" t="s">
        <v>2977</v>
      </c>
      <c r="B1468" s="703" t="s">
        <v>2849</v>
      </c>
      <c r="C1468" s="703" t="s">
        <v>332</v>
      </c>
      <c r="D1468" s="703" t="s">
        <v>334</v>
      </c>
      <c r="E1468" s="703" t="s">
        <v>334</v>
      </c>
      <c r="F1468" s="703" t="s">
        <v>335</v>
      </c>
      <c r="G1468" s="703" t="s">
        <v>2924</v>
      </c>
      <c r="H1468" s="703" t="s">
        <v>334</v>
      </c>
      <c r="I1468" s="703" t="s">
        <v>334</v>
      </c>
      <c r="J1468" s="703" t="s">
        <v>337</v>
      </c>
      <c r="K1468" s="704">
        <v>0</v>
      </c>
      <c r="L1468" s="703" t="s">
        <v>334</v>
      </c>
      <c r="M1468" s="702">
        <v>39478</v>
      </c>
      <c r="N1468" s="702">
        <v>44516</v>
      </c>
      <c r="O1468" s="703" t="s">
        <v>338</v>
      </c>
      <c r="P1468" s="20">
        <v>137.78</v>
      </c>
      <c r="Q1468" s="20">
        <v>0</v>
      </c>
      <c r="R1468" s="20">
        <v>0</v>
      </c>
      <c r="S1468" s="20">
        <v>0</v>
      </c>
      <c r="T1468" s="20">
        <v>137.78</v>
      </c>
      <c r="U1468" s="20">
        <v>137.4</v>
      </c>
      <c r="V1468" s="20">
        <v>-0.38</v>
      </c>
      <c r="W1468" s="20">
        <v>-4.97</v>
      </c>
      <c r="X1468" s="20">
        <v>-4.59</v>
      </c>
      <c r="Y1468" s="20">
        <v>0</v>
      </c>
      <c r="Z1468" s="20">
        <v>0</v>
      </c>
      <c r="AA1468" s="20">
        <v>0</v>
      </c>
      <c r="AB1468" s="20">
        <v>132.81</v>
      </c>
      <c r="AC1468" t="s">
        <v>183</v>
      </c>
      <c r="AD1468" t="s">
        <v>290</v>
      </c>
      <c r="AE1468" s="702">
        <f t="shared" si="110"/>
        <v>44348</v>
      </c>
      <c r="AF1468" s="289">
        <v>158.20522070326351</v>
      </c>
      <c r="AG1468">
        <f t="shared" si="111"/>
        <v>360</v>
      </c>
      <c r="AH1468" s="289">
        <f t="shared" si="112"/>
        <v>0.43945894639795419</v>
      </c>
      <c r="AJ1468" s="289">
        <f t="shared" si="113"/>
        <v>18</v>
      </c>
      <c r="AK1468" s="289">
        <f t="shared" si="114"/>
        <v>7.9102610351631757</v>
      </c>
    </row>
    <row r="1469" spans="1:37">
      <c r="A1469" s="703" t="s">
        <v>2978</v>
      </c>
      <c r="B1469" s="703" t="s">
        <v>2849</v>
      </c>
      <c r="C1469" s="703" t="s">
        <v>332</v>
      </c>
      <c r="D1469" s="703" t="s">
        <v>334</v>
      </c>
      <c r="E1469" s="703" t="s">
        <v>334</v>
      </c>
      <c r="F1469" s="703" t="s">
        <v>335</v>
      </c>
      <c r="G1469" s="703" t="s">
        <v>2924</v>
      </c>
      <c r="H1469" s="703" t="s">
        <v>334</v>
      </c>
      <c r="I1469" s="703" t="s">
        <v>334</v>
      </c>
      <c r="J1469" s="703" t="s">
        <v>337</v>
      </c>
      <c r="K1469" s="704">
        <v>0</v>
      </c>
      <c r="L1469" s="703" t="s">
        <v>334</v>
      </c>
      <c r="M1469" s="702">
        <v>39478</v>
      </c>
      <c r="N1469" s="702">
        <v>44516</v>
      </c>
      <c r="O1469" s="703" t="s">
        <v>338</v>
      </c>
      <c r="P1469" s="20">
        <v>590.4</v>
      </c>
      <c r="Q1469" s="20">
        <v>0</v>
      </c>
      <c r="R1469" s="20">
        <v>0</v>
      </c>
      <c r="S1469" s="20">
        <v>0</v>
      </c>
      <c r="T1469" s="20">
        <v>590.4</v>
      </c>
      <c r="U1469" s="20">
        <v>588.76</v>
      </c>
      <c r="V1469" s="20">
        <v>-1.64</v>
      </c>
      <c r="W1469" s="20">
        <v>-21.32</v>
      </c>
      <c r="X1469" s="20">
        <v>-19.68</v>
      </c>
      <c r="Y1469" s="20">
        <v>0</v>
      </c>
      <c r="Z1469" s="20">
        <v>0</v>
      </c>
      <c r="AA1469" s="20">
        <v>0</v>
      </c>
      <c r="AB1469" s="20">
        <v>569.08000000000004</v>
      </c>
      <c r="AC1469" t="s">
        <v>183</v>
      </c>
      <c r="AD1469" t="s">
        <v>290</v>
      </c>
      <c r="AE1469" s="702">
        <f t="shared" si="110"/>
        <v>44348</v>
      </c>
      <c r="AF1469" s="289">
        <v>677.92395342725194</v>
      </c>
      <c r="AG1469">
        <f t="shared" si="111"/>
        <v>360</v>
      </c>
      <c r="AH1469" s="289">
        <f t="shared" si="112"/>
        <v>1.8831220928534775</v>
      </c>
      <c r="AJ1469" s="289">
        <f t="shared" si="113"/>
        <v>18</v>
      </c>
      <c r="AK1469" s="289">
        <f t="shared" si="114"/>
        <v>33.896197671362593</v>
      </c>
    </row>
    <row r="1470" spans="1:37">
      <c r="A1470" s="703" t="s">
        <v>2979</v>
      </c>
      <c r="B1470" s="703" t="s">
        <v>2849</v>
      </c>
      <c r="C1470" s="703" t="s">
        <v>332</v>
      </c>
      <c r="D1470" s="703" t="s">
        <v>334</v>
      </c>
      <c r="E1470" s="703" t="s">
        <v>334</v>
      </c>
      <c r="F1470" s="703" t="s">
        <v>335</v>
      </c>
      <c r="G1470" s="703" t="s">
        <v>2924</v>
      </c>
      <c r="H1470" s="703" t="s">
        <v>334</v>
      </c>
      <c r="I1470" s="703" t="s">
        <v>334</v>
      </c>
      <c r="J1470" s="703" t="s">
        <v>337</v>
      </c>
      <c r="K1470" s="704">
        <v>0</v>
      </c>
      <c r="L1470" s="703" t="s">
        <v>334</v>
      </c>
      <c r="M1470" s="702">
        <v>39478</v>
      </c>
      <c r="N1470" s="702">
        <v>44516</v>
      </c>
      <c r="O1470" s="703" t="s">
        <v>338</v>
      </c>
      <c r="P1470" s="20">
        <v>652.54</v>
      </c>
      <c r="Q1470" s="20">
        <v>0</v>
      </c>
      <c r="R1470" s="20">
        <v>0</v>
      </c>
      <c r="S1470" s="20">
        <v>0</v>
      </c>
      <c r="T1470" s="20">
        <v>652.54</v>
      </c>
      <c r="U1470" s="20">
        <v>650.73</v>
      </c>
      <c r="V1470" s="20">
        <v>-1.81</v>
      </c>
      <c r="W1470" s="20">
        <v>-23.56</v>
      </c>
      <c r="X1470" s="20">
        <v>-21.75</v>
      </c>
      <c r="Y1470" s="20">
        <v>0</v>
      </c>
      <c r="Z1470" s="20">
        <v>0</v>
      </c>
      <c r="AA1470" s="20">
        <v>0</v>
      </c>
      <c r="AB1470" s="20">
        <v>628.98</v>
      </c>
      <c r="AC1470" t="s">
        <v>183</v>
      </c>
      <c r="AD1470" t="s">
        <v>290</v>
      </c>
      <c r="AE1470" s="702">
        <f t="shared" si="110"/>
        <v>44348</v>
      </c>
      <c r="AF1470" s="289">
        <v>749.27590882354173</v>
      </c>
      <c r="AG1470">
        <f t="shared" si="111"/>
        <v>360</v>
      </c>
      <c r="AH1470" s="289">
        <f t="shared" si="112"/>
        <v>2.0813219689542826</v>
      </c>
      <c r="AJ1470" s="289">
        <f t="shared" si="113"/>
        <v>18</v>
      </c>
      <c r="AK1470" s="289">
        <f t="shared" si="114"/>
        <v>37.463795441177083</v>
      </c>
    </row>
    <row r="1471" spans="1:37">
      <c r="A1471" s="703" t="s">
        <v>2980</v>
      </c>
      <c r="B1471" s="703" t="s">
        <v>2849</v>
      </c>
      <c r="C1471" s="703" t="s">
        <v>332</v>
      </c>
      <c r="D1471" s="703" t="s">
        <v>334</v>
      </c>
      <c r="E1471" s="703" t="s">
        <v>334</v>
      </c>
      <c r="F1471" s="703" t="s">
        <v>335</v>
      </c>
      <c r="G1471" s="703" t="s">
        <v>2924</v>
      </c>
      <c r="H1471" s="703" t="s">
        <v>334</v>
      </c>
      <c r="I1471" s="703" t="s">
        <v>334</v>
      </c>
      <c r="J1471" s="703" t="s">
        <v>337</v>
      </c>
      <c r="K1471" s="704">
        <v>0</v>
      </c>
      <c r="L1471" s="703" t="s">
        <v>334</v>
      </c>
      <c r="M1471" s="702">
        <v>39478</v>
      </c>
      <c r="N1471" s="702">
        <v>44516</v>
      </c>
      <c r="O1471" s="703" t="s">
        <v>338</v>
      </c>
      <c r="P1471" s="20">
        <v>12964.81</v>
      </c>
      <c r="Q1471" s="20">
        <v>0</v>
      </c>
      <c r="R1471" s="20">
        <v>0</v>
      </c>
      <c r="S1471" s="20">
        <v>0</v>
      </c>
      <c r="T1471" s="20">
        <v>12964.81</v>
      </c>
      <c r="U1471" s="20">
        <v>12928.8</v>
      </c>
      <c r="V1471" s="20">
        <v>-36.01</v>
      </c>
      <c r="W1471" s="20">
        <v>-468.17</v>
      </c>
      <c r="X1471" s="20">
        <v>-432.16</v>
      </c>
      <c r="Y1471" s="20">
        <v>0</v>
      </c>
      <c r="Z1471" s="20">
        <v>0</v>
      </c>
      <c r="AA1471" s="20">
        <v>0</v>
      </c>
      <c r="AB1471" s="20">
        <v>12496.64</v>
      </c>
      <c r="AC1471" t="s">
        <v>183</v>
      </c>
      <c r="AD1471" t="s">
        <v>290</v>
      </c>
      <c r="AE1471" s="702">
        <f t="shared" si="110"/>
        <v>44348</v>
      </c>
      <c r="AF1471" s="289">
        <v>14886.780573565669</v>
      </c>
      <c r="AG1471">
        <f t="shared" si="111"/>
        <v>360</v>
      </c>
      <c r="AH1471" s="289">
        <f t="shared" si="112"/>
        <v>41.352168259904637</v>
      </c>
      <c r="AJ1471" s="289">
        <f t="shared" si="113"/>
        <v>18</v>
      </c>
      <c r="AK1471" s="289">
        <f t="shared" si="114"/>
        <v>744.33902867828351</v>
      </c>
    </row>
    <row r="1472" spans="1:37">
      <c r="A1472" s="703" t="s">
        <v>2981</v>
      </c>
      <c r="B1472" s="703" t="s">
        <v>2849</v>
      </c>
      <c r="C1472" s="703" t="s">
        <v>332</v>
      </c>
      <c r="D1472" s="703" t="s">
        <v>334</v>
      </c>
      <c r="E1472" s="703" t="s">
        <v>334</v>
      </c>
      <c r="F1472" s="703" t="s">
        <v>335</v>
      </c>
      <c r="G1472" s="703" t="s">
        <v>2924</v>
      </c>
      <c r="H1472" s="703" t="s">
        <v>334</v>
      </c>
      <c r="I1472" s="703" t="s">
        <v>334</v>
      </c>
      <c r="J1472" s="703" t="s">
        <v>337</v>
      </c>
      <c r="K1472" s="704">
        <v>0</v>
      </c>
      <c r="L1472" s="703" t="s">
        <v>334</v>
      </c>
      <c r="M1472" s="702">
        <v>39478</v>
      </c>
      <c r="N1472" s="702">
        <v>44516</v>
      </c>
      <c r="O1472" s="703" t="s">
        <v>338</v>
      </c>
      <c r="P1472" s="20">
        <v>392.34</v>
      </c>
      <c r="Q1472" s="20">
        <v>0</v>
      </c>
      <c r="R1472" s="20">
        <v>0</v>
      </c>
      <c r="S1472" s="20">
        <v>0</v>
      </c>
      <c r="T1472" s="20">
        <v>392.34</v>
      </c>
      <c r="U1472" s="20">
        <v>391.25</v>
      </c>
      <c r="V1472" s="20">
        <v>-1.0900000000000001</v>
      </c>
      <c r="W1472" s="20">
        <v>-14.17</v>
      </c>
      <c r="X1472" s="20">
        <v>-13.08</v>
      </c>
      <c r="Y1472" s="20">
        <v>0</v>
      </c>
      <c r="Z1472" s="20">
        <v>0</v>
      </c>
      <c r="AA1472" s="20">
        <v>0</v>
      </c>
      <c r="AB1472" s="20">
        <v>378.17</v>
      </c>
      <c r="AC1472" t="s">
        <v>183</v>
      </c>
      <c r="AD1472" t="s">
        <v>290</v>
      </c>
      <c r="AE1472" s="702">
        <f t="shared" si="110"/>
        <v>44348</v>
      </c>
      <c r="AF1472" s="289">
        <v>450.50251335983745</v>
      </c>
      <c r="AG1472">
        <f t="shared" si="111"/>
        <v>360</v>
      </c>
      <c r="AH1472" s="289">
        <f t="shared" si="112"/>
        <v>1.2513958704439929</v>
      </c>
      <c r="AJ1472" s="289">
        <f t="shared" si="113"/>
        <v>18</v>
      </c>
      <c r="AK1472" s="289">
        <f t="shared" si="114"/>
        <v>22.525125667991873</v>
      </c>
    </row>
    <row r="1473" spans="1:37">
      <c r="A1473" s="703" t="s">
        <v>2982</v>
      </c>
      <c r="B1473" s="703" t="s">
        <v>2849</v>
      </c>
      <c r="C1473" s="703" t="s">
        <v>332</v>
      </c>
      <c r="D1473" s="703" t="s">
        <v>334</v>
      </c>
      <c r="E1473" s="703" t="s">
        <v>334</v>
      </c>
      <c r="F1473" s="703" t="s">
        <v>335</v>
      </c>
      <c r="G1473" s="703" t="s">
        <v>2924</v>
      </c>
      <c r="H1473" s="703" t="s">
        <v>334</v>
      </c>
      <c r="I1473" s="703" t="s">
        <v>334</v>
      </c>
      <c r="J1473" s="703" t="s">
        <v>337</v>
      </c>
      <c r="K1473" s="704">
        <v>0</v>
      </c>
      <c r="L1473" s="703" t="s">
        <v>334</v>
      </c>
      <c r="M1473" s="702">
        <v>39478</v>
      </c>
      <c r="N1473" s="702">
        <v>44516</v>
      </c>
      <c r="O1473" s="703" t="s">
        <v>338</v>
      </c>
      <c r="P1473" s="20">
        <v>4569.1899999999996</v>
      </c>
      <c r="Q1473" s="20">
        <v>0</v>
      </c>
      <c r="R1473" s="20">
        <v>0</v>
      </c>
      <c r="S1473" s="20">
        <v>0</v>
      </c>
      <c r="T1473" s="20">
        <v>4569.1899999999996</v>
      </c>
      <c r="U1473" s="20">
        <v>4556.5</v>
      </c>
      <c r="V1473" s="20">
        <v>-12.69</v>
      </c>
      <c r="W1473" s="20">
        <v>-165</v>
      </c>
      <c r="X1473" s="20">
        <v>-152.31</v>
      </c>
      <c r="Y1473" s="20">
        <v>0</v>
      </c>
      <c r="Z1473" s="20">
        <v>0</v>
      </c>
      <c r="AA1473" s="20">
        <v>0</v>
      </c>
      <c r="AB1473" s="20">
        <v>4404.1899999999996</v>
      </c>
      <c r="AC1473" t="s">
        <v>183</v>
      </c>
      <c r="AD1473" t="s">
        <v>290</v>
      </c>
      <c r="AE1473" s="702">
        <f t="shared" si="110"/>
        <v>44348</v>
      </c>
      <c r="AF1473" s="289">
        <v>5246.5503874665737</v>
      </c>
      <c r="AG1473">
        <f t="shared" si="111"/>
        <v>360</v>
      </c>
      <c r="AH1473" s="289">
        <f t="shared" si="112"/>
        <v>14.573751076296038</v>
      </c>
      <c r="AJ1473" s="289">
        <f t="shared" si="113"/>
        <v>18</v>
      </c>
      <c r="AK1473" s="289">
        <f t="shared" si="114"/>
        <v>262.3275193733287</v>
      </c>
    </row>
    <row r="1474" spans="1:37">
      <c r="A1474" s="703" t="s">
        <v>2983</v>
      </c>
      <c r="B1474" s="703" t="s">
        <v>2849</v>
      </c>
      <c r="C1474" s="703" t="s">
        <v>332</v>
      </c>
      <c r="D1474" s="703" t="s">
        <v>334</v>
      </c>
      <c r="E1474" s="703" t="s">
        <v>334</v>
      </c>
      <c r="F1474" s="703" t="s">
        <v>335</v>
      </c>
      <c r="G1474" s="703" t="s">
        <v>2924</v>
      </c>
      <c r="H1474" s="703" t="s">
        <v>334</v>
      </c>
      <c r="I1474" s="703" t="s">
        <v>334</v>
      </c>
      <c r="J1474" s="703" t="s">
        <v>337</v>
      </c>
      <c r="K1474" s="704">
        <v>0</v>
      </c>
      <c r="L1474" s="703" t="s">
        <v>334</v>
      </c>
      <c r="M1474" s="702">
        <v>39478</v>
      </c>
      <c r="N1474" s="702">
        <v>44516</v>
      </c>
      <c r="O1474" s="703" t="s">
        <v>338</v>
      </c>
      <c r="P1474" s="20">
        <v>3813.37</v>
      </c>
      <c r="Q1474" s="20">
        <v>0</v>
      </c>
      <c r="R1474" s="20">
        <v>0</v>
      </c>
      <c r="S1474" s="20">
        <v>0</v>
      </c>
      <c r="T1474" s="20">
        <v>3813.37</v>
      </c>
      <c r="U1474" s="20">
        <v>3802.78</v>
      </c>
      <c r="V1474" s="20">
        <v>-10.59</v>
      </c>
      <c r="W1474" s="20">
        <v>-137.69999999999999</v>
      </c>
      <c r="X1474" s="20">
        <v>-127.11</v>
      </c>
      <c r="Y1474" s="20">
        <v>0</v>
      </c>
      <c r="Z1474" s="20">
        <v>0</v>
      </c>
      <c r="AA1474" s="20">
        <v>0</v>
      </c>
      <c r="AB1474" s="20">
        <v>3675.67</v>
      </c>
      <c r="AC1474" t="s">
        <v>183</v>
      </c>
      <c r="AD1474" t="s">
        <v>290</v>
      </c>
      <c r="AE1474" s="702">
        <f t="shared" si="110"/>
        <v>44348</v>
      </c>
      <c r="AF1474" s="289">
        <v>4378.6837166004061</v>
      </c>
      <c r="AG1474">
        <f t="shared" si="111"/>
        <v>360</v>
      </c>
      <c r="AH1474" s="289">
        <f t="shared" si="112"/>
        <v>12.163010323890017</v>
      </c>
      <c r="AJ1474" s="289">
        <f t="shared" si="113"/>
        <v>18</v>
      </c>
      <c r="AK1474" s="289">
        <f t="shared" si="114"/>
        <v>218.93418583002031</v>
      </c>
    </row>
    <row r="1475" spans="1:37">
      <c r="A1475" s="703" t="s">
        <v>2984</v>
      </c>
      <c r="B1475" s="703" t="s">
        <v>2849</v>
      </c>
      <c r="C1475" s="703" t="s">
        <v>332</v>
      </c>
      <c r="D1475" s="703" t="s">
        <v>334</v>
      </c>
      <c r="E1475" s="703" t="s">
        <v>334</v>
      </c>
      <c r="F1475" s="703" t="s">
        <v>335</v>
      </c>
      <c r="G1475" s="703" t="s">
        <v>2924</v>
      </c>
      <c r="H1475" s="703" t="s">
        <v>334</v>
      </c>
      <c r="I1475" s="703" t="s">
        <v>334</v>
      </c>
      <c r="J1475" s="703" t="s">
        <v>337</v>
      </c>
      <c r="K1475" s="704">
        <v>0</v>
      </c>
      <c r="L1475" s="703" t="s">
        <v>334</v>
      </c>
      <c r="M1475" s="702">
        <v>39478</v>
      </c>
      <c r="N1475" s="702">
        <v>44516</v>
      </c>
      <c r="O1475" s="703" t="s">
        <v>338</v>
      </c>
      <c r="P1475" s="20">
        <v>24854.73</v>
      </c>
      <c r="Q1475" s="20">
        <v>0</v>
      </c>
      <c r="R1475" s="20">
        <v>0</v>
      </c>
      <c r="S1475" s="20">
        <v>0</v>
      </c>
      <c r="T1475" s="20">
        <v>24854.73</v>
      </c>
      <c r="U1475" s="20">
        <v>24785.69</v>
      </c>
      <c r="V1475" s="20">
        <v>-69.040000000000006</v>
      </c>
      <c r="W1475" s="20">
        <v>-897.53</v>
      </c>
      <c r="X1475" s="20">
        <v>-828.49</v>
      </c>
      <c r="Y1475" s="20">
        <v>0</v>
      </c>
      <c r="Z1475" s="20">
        <v>0</v>
      </c>
      <c r="AA1475" s="20">
        <v>0</v>
      </c>
      <c r="AB1475" s="20">
        <v>23957.200000000001</v>
      </c>
      <c r="AC1475" t="s">
        <v>183</v>
      </c>
      <c r="AD1475" t="s">
        <v>290</v>
      </c>
      <c r="AE1475" s="702">
        <f t="shared" si="110"/>
        <v>44348</v>
      </c>
      <c r="AF1475" s="289">
        <v>28539.323887139093</v>
      </c>
      <c r="AG1475">
        <f t="shared" si="111"/>
        <v>360</v>
      </c>
      <c r="AH1475" s="289">
        <f t="shared" si="112"/>
        <v>79.275899686497482</v>
      </c>
      <c r="AJ1475" s="289">
        <f t="shared" si="113"/>
        <v>18</v>
      </c>
      <c r="AK1475" s="289">
        <f t="shared" si="114"/>
        <v>1426.9661943569547</v>
      </c>
    </row>
    <row r="1476" spans="1:37">
      <c r="A1476" s="703" t="s">
        <v>2985</v>
      </c>
      <c r="B1476" s="703" t="s">
        <v>2849</v>
      </c>
      <c r="C1476" s="703" t="s">
        <v>332</v>
      </c>
      <c r="D1476" s="703" t="s">
        <v>334</v>
      </c>
      <c r="E1476" s="703" t="s">
        <v>334</v>
      </c>
      <c r="F1476" s="703" t="s">
        <v>335</v>
      </c>
      <c r="G1476" s="703" t="s">
        <v>2924</v>
      </c>
      <c r="H1476" s="703" t="s">
        <v>334</v>
      </c>
      <c r="I1476" s="703" t="s">
        <v>334</v>
      </c>
      <c r="J1476" s="703" t="s">
        <v>337</v>
      </c>
      <c r="K1476" s="704">
        <v>0</v>
      </c>
      <c r="L1476" s="703" t="s">
        <v>334</v>
      </c>
      <c r="M1476" s="702">
        <v>39478</v>
      </c>
      <c r="N1476" s="702">
        <v>44516</v>
      </c>
      <c r="O1476" s="703" t="s">
        <v>338</v>
      </c>
      <c r="P1476" s="20">
        <v>284.58</v>
      </c>
      <c r="Q1476" s="20">
        <v>0</v>
      </c>
      <c r="R1476" s="20">
        <v>0</v>
      </c>
      <c r="S1476" s="20">
        <v>0</v>
      </c>
      <c r="T1476" s="20">
        <v>284.58</v>
      </c>
      <c r="U1476" s="20">
        <v>283.79000000000002</v>
      </c>
      <c r="V1476" s="20">
        <v>-0.79</v>
      </c>
      <c r="W1476" s="20">
        <v>-10.28</v>
      </c>
      <c r="X1476" s="20">
        <v>-9.49</v>
      </c>
      <c r="Y1476" s="20">
        <v>0</v>
      </c>
      <c r="Z1476" s="20">
        <v>0</v>
      </c>
      <c r="AA1476" s="20">
        <v>0</v>
      </c>
      <c r="AB1476" s="20">
        <v>274.3</v>
      </c>
      <c r="AC1476" t="s">
        <v>183</v>
      </c>
      <c r="AD1476" t="s">
        <v>290</v>
      </c>
      <c r="AE1476" s="702">
        <f t="shared" si="110"/>
        <v>44348</v>
      </c>
      <c r="AF1476" s="289">
        <v>326.76761291722113</v>
      </c>
      <c r="AG1476">
        <f t="shared" si="111"/>
        <v>360</v>
      </c>
      <c r="AH1476" s="289">
        <f t="shared" si="112"/>
        <v>0.90768781365894757</v>
      </c>
      <c r="AJ1476" s="289">
        <f t="shared" si="113"/>
        <v>18</v>
      </c>
      <c r="AK1476" s="289">
        <f t="shared" si="114"/>
        <v>16.338380645861058</v>
      </c>
    </row>
    <row r="1477" spans="1:37">
      <c r="A1477" s="703" t="s">
        <v>2986</v>
      </c>
      <c r="B1477" s="703" t="s">
        <v>2849</v>
      </c>
      <c r="C1477" s="703" t="s">
        <v>332</v>
      </c>
      <c r="D1477" s="703" t="s">
        <v>334</v>
      </c>
      <c r="E1477" s="703" t="s">
        <v>334</v>
      </c>
      <c r="F1477" s="703" t="s">
        <v>335</v>
      </c>
      <c r="G1477" s="703" t="s">
        <v>2924</v>
      </c>
      <c r="H1477" s="703" t="s">
        <v>334</v>
      </c>
      <c r="I1477" s="703" t="s">
        <v>334</v>
      </c>
      <c r="J1477" s="703" t="s">
        <v>337</v>
      </c>
      <c r="K1477" s="704">
        <v>0</v>
      </c>
      <c r="L1477" s="703" t="s">
        <v>334</v>
      </c>
      <c r="M1477" s="702">
        <v>39478</v>
      </c>
      <c r="N1477" s="702">
        <v>44516</v>
      </c>
      <c r="O1477" s="703" t="s">
        <v>338</v>
      </c>
      <c r="P1477" s="20">
        <v>1532.43</v>
      </c>
      <c r="Q1477" s="20">
        <v>0</v>
      </c>
      <c r="R1477" s="20">
        <v>0</v>
      </c>
      <c r="S1477" s="20">
        <v>0</v>
      </c>
      <c r="T1477" s="20">
        <v>1532.43</v>
      </c>
      <c r="U1477" s="20">
        <v>1528.17</v>
      </c>
      <c r="V1477" s="20">
        <v>-4.26</v>
      </c>
      <c r="W1477" s="20">
        <v>-55.34</v>
      </c>
      <c r="X1477" s="20">
        <v>-51.08</v>
      </c>
      <c r="Y1477" s="20">
        <v>0</v>
      </c>
      <c r="Z1477" s="20">
        <v>0</v>
      </c>
      <c r="AA1477" s="20">
        <v>0</v>
      </c>
      <c r="AB1477" s="20">
        <v>1477.09</v>
      </c>
      <c r="AC1477" t="s">
        <v>183</v>
      </c>
      <c r="AD1477" t="s">
        <v>290</v>
      </c>
      <c r="AE1477" s="702">
        <f t="shared" si="110"/>
        <v>44348</v>
      </c>
      <c r="AF1477" s="289">
        <v>1759.6053589947896</v>
      </c>
      <c r="AG1477">
        <f t="shared" si="111"/>
        <v>360</v>
      </c>
      <c r="AH1477" s="289">
        <f t="shared" si="112"/>
        <v>4.887792663874416</v>
      </c>
      <c r="AJ1477" s="289">
        <f t="shared" si="113"/>
        <v>18</v>
      </c>
      <c r="AK1477" s="289">
        <f t="shared" si="114"/>
        <v>87.980267949739485</v>
      </c>
    </row>
    <row r="1478" spans="1:37">
      <c r="A1478" s="703" t="s">
        <v>2987</v>
      </c>
      <c r="B1478" s="703" t="s">
        <v>2849</v>
      </c>
      <c r="C1478" s="703" t="s">
        <v>332</v>
      </c>
      <c r="D1478" s="703" t="s">
        <v>334</v>
      </c>
      <c r="E1478" s="703" t="s">
        <v>334</v>
      </c>
      <c r="F1478" s="703" t="s">
        <v>335</v>
      </c>
      <c r="G1478" s="703" t="s">
        <v>2924</v>
      </c>
      <c r="H1478" s="703" t="s">
        <v>334</v>
      </c>
      <c r="I1478" s="703" t="s">
        <v>334</v>
      </c>
      <c r="J1478" s="703" t="s">
        <v>337</v>
      </c>
      <c r="K1478" s="704">
        <v>0</v>
      </c>
      <c r="L1478" s="703" t="s">
        <v>334</v>
      </c>
      <c r="M1478" s="702">
        <v>39478</v>
      </c>
      <c r="N1478" s="702">
        <v>44516</v>
      </c>
      <c r="O1478" s="703" t="s">
        <v>338</v>
      </c>
      <c r="P1478" s="20">
        <v>176.2</v>
      </c>
      <c r="Q1478" s="20">
        <v>0</v>
      </c>
      <c r="R1478" s="20">
        <v>0</v>
      </c>
      <c r="S1478" s="20">
        <v>0</v>
      </c>
      <c r="T1478" s="20">
        <v>176.2</v>
      </c>
      <c r="U1478" s="20">
        <v>175.71</v>
      </c>
      <c r="V1478" s="20">
        <v>-0.49</v>
      </c>
      <c r="W1478" s="20">
        <v>-6.36</v>
      </c>
      <c r="X1478" s="20">
        <v>-5.87</v>
      </c>
      <c r="Y1478" s="20">
        <v>0</v>
      </c>
      <c r="Z1478" s="20">
        <v>0</v>
      </c>
      <c r="AA1478" s="20">
        <v>0</v>
      </c>
      <c r="AB1478" s="20">
        <v>169.84</v>
      </c>
      <c r="AC1478" t="s">
        <v>183</v>
      </c>
      <c r="AD1478" t="s">
        <v>290</v>
      </c>
      <c r="AE1478" s="702">
        <f t="shared" si="110"/>
        <v>44348</v>
      </c>
      <c r="AF1478" s="289">
        <v>202.32080046389191</v>
      </c>
      <c r="AG1478">
        <f t="shared" si="111"/>
        <v>360</v>
      </c>
      <c r="AH1478" s="289">
        <f t="shared" si="112"/>
        <v>0.56200222351081086</v>
      </c>
      <c r="AJ1478" s="289">
        <f t="shared" si="113"/>
        <v>18</v>
      </c>
      <c r="AK1478" s="289">
        <f t="shared" si="114"/>
        <v>10.116040023194596</v>
      </c>
    </row>
    <row r="1479" spans="1:37">
      <c r="A1479" s="703" t="s">
        <v>2988</v>
      </c>
      <c r="B1479" s="703" t="s">
        <v>2849</v>
      </c>
      <c r="C1479" s="703" t="s">
        <v>332</v>
      </c>
      <c r="D1479" s="703" t="s">
        <v>334</v>
      </c>
      <c r="E1479" s="703" t="s">
        <v>334</v>
      </c>
      <c r="F1479" s="703" t="s">
        <v>335</v>
      </c>
      <c r="G1479" s="703" t="s">
        <v>2924</v>
      </c>
      <c r="H1479" s="703" t="s">
        <v>334</v>
      </c>
      <c r="I1479" s="703" t="s">
        <v>334</v>
      </c>
      <c r="J1479" s="703" t="s">
        <v>337</v>
      </c>
      <c r="K1479" s="704">
        <v>0</v>
      </c>
      <c r="L1479" s="703" t="s">
        <v>334</v>
      </c>
      <c r="M1479" s="702">
        <v>39478</v>
      </c>
      <c r="N1479" s="702">
        <v>44516</v>
      </c>
      <c r="O1479" s="703" t="s">
        <v>338</v>
      </c>
      <c r="P1479" s="20">
        <v>127.53</v>
      </c>
      <c r="Q1479" s="20">
        <v>0</v>
      </c>
      <c r="R1479" s="20">
        <v>0</v>
      </c>
      <c r="S1479" s="20">
        <v>0</v>
      </c>
      <c r="T1479" s="20">
        <v>127.53</v>
      </c>
      <c r="U1479" s="20">
        <v>127.18</v>
      </c>
      <c r="V1479" s="20">
        <v>-0.35</v>
      </c>
      <c r="W1479" s="20">
        <v>-4.5999999999999996</v>
      </c>
      <c r="X1479" s="20">
        <v>-4.25</v>
      </c>
      <c r="Y1479" s="20">
        <v>0</v>
      </c>
      <c r="Z1479" s="20">
        <v>0</v>
      </c>
      <c r="AA1479" s="20">
        <v>0</v>
      </c>
      <c r="AB1479" s="20">
        <v>122.93</v>
      </c>
      <c r="AC1479" t="s">
        <v>183</v>
      </c>
      <c r="AD1479" t="s">
        <v>290</v>
      </c>
      <c r="AE1479" s="702">
        <f t="shared" ref="AE1479:AE1542" si="115">IF(N1479&gt;=$AG$5,DATE(YEAR(N1479),6,1),DATE(YEAR(N1479),6,1))</f>
        <v>44348</v>
      </c>
      <c r="AF1479" s="289">
        <v>146.43570762292927</v>
      </c>
      <c r="AG1479">
        <f t="shared" ref="AG1479:AG1542" si="116">+IF(AD1479="intangível",20*12,IF(AD1479="Diferido",120,IF(AD1479="Não vinculados",0,IF(AE1479&lt;=$AG$5,F1479*12,360))))</f>
        <v>360</v>
      </c>
      <c r="AH1479" s="289">
        <f t="shared" ref="AH1479:AH1542" si="117">IF(AG1479=0,0,AF1479/AG1479)</f>
        <v>0.40676585450813685</v>
      </c>
      <c r="AJ1479" s="289">
        <f t="shared" ref="AJ1479:AJ1542" si="118">+IF(AND(YEAR(AE1479)&gt;=2018,YEAR(AE1479)&lt;=2022),IF(DATEDIF(AE1479,$AK$4,"m")&gt;=AG1479,AG1479,DATEDIF(AE1479,$AK$4,"m")),0)</f>
        <v>18</v>
      </c>
      <c r="AK1479" s="289">
        <f t="shared" ref="AK1479:AK1542" si="119">IF(AD1479="Imobilizado",AJ1479*AH1479,0)</f>
        <v>7.321785381146463</v>
      </c>
    </row>
    <row r="1480" spans="1:37">
      <c r="A1480" s="703" t="s">
        <v>2989</v>
      </c>
      <c r="B1480" s="703" t="s">
        <v>2849</v>
      </c>
      <c r="C1480" s="703" t="s">
        <v>332</v>
      </c>
      <c r="D1480" s="703" t="s">
        <v>334</v>
      </c>
      <c r="E1480" s="703" t="s">
        <v>334</v>
      </c>
      <c r="F1480" s="703" t="s">
        <v>335</v>
      </c>
      <c r="G1480" s="703" t="s">
        <v>2924</v>
      </c>
      <c r="H1480" s="703" t="s">
        <v>334</v>
      </c>
      <c r="I1480" s="703" t="s">
        <v>334</v>
      </c>
      <c r="J1480" s="703" t="s">
        <v>337</v>
      </c>
      <c r="K1480" s="704">
        <v>0</v>
      </c>
      <c r="L1480" s="703" t="s">
        <v>334</v>
      </c>
      <c r="M1480" s="702">
        <v>39478</v>
      </c>
      <c r="N1480" s="702">
        <v>44516</v>
      </c>
      <c r="O1480" s="703" t="s">
        <v>338</v>
      </c>
      <c r="P1480" s="20">
        <v>405.35</v>
      </c>
      <c r="Q1480" s="20">
        <v>0</v>
      </c>
      <c r="R1480" s="20">
        <v>0</v>
      </c>
      <c r="S1480" s="20">
        <v>0</v>
      </c>
      <c r="T1480" s="20">
        <v>405.35</v>
      </c>
      <c r="U1480" s="20">
        <v>404.22</v>
      </c>
      <c r="V1480" s="20">
        <v>-1.1299999999999999</v>
      </c>
      <c r="W1480" s="20">
        <v>-14.64</v>
      </c>
      <c r="X1480" s="20">
        <v>-13.51</v>
      </c>
      <c r="Y1480" s="20">
        <v>0</v>
      </c>
      <c r="Z1480" s="20">
        <v>0</v>
      </c>
      <c r="AA1480" s="20">
        <v>0</v>
      </c>
      <c r="AB1480" s="20">
        <v>390.71</v>
      </c>
      <c r="AC1480" t="s">
        <v>183</v>
      </c>
      <c r="AD1480" t="s">
        <v>290</v>
      </c>
      <c r="AE1480" s="702">
        <f t="shared" si="115"/>
        <v>44348</v>
      </c>
      <c r="AF1480" s="289">
        <v>465.44118313302266</v>
      </c>
      <c r="AG1480">
        <f t="shared" si="116"/>
        <v>360</v>
      </c>
      <c r="AH1480" s="289">
        <f t="shared" si="117"/>
        <v>1.2928921753695073</v>
      </c>
      <c r="AJ1480" s="289">
        <f t="shared" si="118"/>
        <v>18</v>
      </c>
      <c r="AK1480" s="289">
        <f t="shared" si="119"/>
        <v>23.272059156651132</v>
      </c>
    </row>
    <row r="1481" spans="1:37">
      <c r="A1481" s="703" t="s">
        <v>2990</v>
      </c>
      <c r="B1481" s="703" t="s">
        <v>2849</v>
      </c>
      <c r="C1481" s="703" t="s">
        <v>332</v>
      </c>
      <c r="D1481" s="703" t="s">
        <v>334</v>
      </c>
      <c r="E1481" s="703" t="s">
        <v>334</v>
      </c>
      <c r="F1481" s="703" t="s">
        <v>335</v>
      </c>
      <c r="G1481" s="703" t="s">
        <v>2924</v>
      </c>
      <c r="H1481" s="703" t="s">
        <v>334</v>
      </c>
      <c r="I1481" s="703" t="s">
        <v>334</v>
      </c>
      <c r="J1481" s="703" t="s">
        <v>337</v>
      </c>
      <c r="K1481" s="704">
        <v>0</v>
      </c>
      <c r="L1481" s="703" t="s">
        <v>334</v>
      </c>
      <c r="M1481" s="702">
        <v>39478</v>
      </c>
      <c r="N1481" s="702">
        <v>44516</v>
      </c>
      <c r="O1481" s="703" t="s">
        <v>338</v>
      </c>
      <c r="P1481" s="20">
        <v>79.099999999999994</v>
      </c>
      <c r="Q1481" s="20">
        <v>0</v>
      </c>
      <c r="R1481" s="20">
        <v>0</v>
      </c>
      <c r="S1481" s="20">
        <v>0</v>
      </c>
      <c r="T1481" s="20">
        <v>79.099999999999994</v>
      </c>
      <c r="U1481" s="20">
        <v>78.88</v>
      </c>
      <c r="V1481" s="20">
        <v>-0.22</v>
      </c>
      <c r="W1481" s="20">
        <v>-2.86</v>
      </c>
      <c r="X1481" s="20">
        <v>-2.64</v>
      </c>
      <c r="Y1481" s="20">
        <v>0</v>
      </c>
      <c r="Z1481" s="20">
        <v>0</v>
      </c>
      <c r="AA1481" s="20">
        <v>0</v>
      </c>
      <c r="AB1481" s="20">
        <v>76.239999999999995</v>
      </c>
      <c r="AC1481" t="s">
        <v>183</v>
      </c>
      <c r="AD1481" t="s">
        <v>290</v>
      </c>
      <c r="AE1481" s="702">
        <f t="shared" si="115"/>
        <v>44348</v>
      </c>
      <c r="AF1481" s="289">
        <v>90.826193624823219</v>
      </c>
      <c r="AG1481">
        <f t="shared" si="116"/>
        <v>360</v>
      </c>
      <c r="AH1481" s="289">
        <f t="shared" si="117"/>
        <v>0.25229498229117558</v>
      </c>
      <c r="AJ1481" s="289">
        <f t="shared" si="118"/>
        <v>18</v>
      </c>
      <c r="AK1481" s="289">
        <f t="shared" si="119"/>
        <v>4.5413096812411604</v>
      </c>
    </row>
    <row r="1482" spans="1:37">
      <c r="A1482" s="703" t="s">
        <v>2991</v>
      </c>
      <c r="B1482" s="703" t="s">
        <v>2849</v>
      </c>
      <c r="C1482" s="703" t="s">
        <v>332</v>
      </c>
      <c r="D1482" s="703" t="s">
        <v>334</v>
      </c>
      <c r="E1482" s="703" t="s">
        <v>334</v>
      </c>
      <c r="F1482" s="703" t="s">
        <v>335</v>
      </c>
      <c r="G1482" s="703" t="s">
        <v>2924</v>
      </c>
      <c r="H1482" s="703" t="s">
        <v>334</v>
      </c>
      <c r="I1482" s="703" t="s">
        <v>334</v>
      </c>
      <c r="J1482" s="703" t="s">
        <v>337</v>
      </c>
      <c r="K1482" s="704">
        <v>0</v>
      </c>
      <c r="L1482" s="703" t="s">
        <v>334</v>
      </c>
      <c r="M1482" s="702">
        <v>39478</v>
      </c>
      <c r="N1482" s="702">
        <v>44516</v>
      </c>
      <c r="O1482" s="703" t="s">
        <v>338</v>
      </c>
      <c r="P1482" s="20">
        <v>502.12</v>
      </c>
      <c r="Q1482" s="20">
        <v>0</v>
      </c>
      <c r="R1482" s="20">
        <v>0</v>
      </c>
      <c r="S1482" s="20">
        <v>0</v>
      </c>
      <c r="T1482" s="20">
        <v>502.12</v>
      </c>
      <c r="U1482" s="20">
        <v>500.73</v>
      </c>
      <c r="V1482" s="20">
        <v>-1.39</v>
      </c>
      <c r="W1482" s="20">
        <v>-18.13</v>
      </c>
      <c r="X1482" s="20">
        <v>-16.739999999999998</v>
      </c>
      <c r="Y1482" s="20">
        <v>0</v>
      </c>
      <c r="Z1482" s="20">
        <v>0</v>
      </c>
      <c r="AA1482" s="20">
        <v>0</v>
      </c>
      <c r="AB1482" s="20">
        <v>483.99</v>
      </c>
      <c r="AC1482" t="s">
        <v>183</v>
      </c>
      <c r="AD1482" t="s">
        <v>290</v>
      </c>
      <c r="AE1482" s="702">
        <f t="shared" si="115"/>
        <v>44348</v>
      </c>
      <c r="AF1482" s="289">
        <v>576.5568690631635</v>
      </c>
      <c r="AG1482">
        <f t="shared" si="116"/>
        <v>360</v>
      </c>
      <c r="AH1482" s="289">
        <f t="shared" si="117"/>
        <v>1.6015468585087875</v>
      </c>
      <c r="AJ1482" s="289">
        <f t="shared" si="118"/>
        <v>18</v>
      </c>
      <c r="AK1482" s="289">
        <f t="shared" si="119"/>
        <v>28.827843453158174</v>
      </c>
    </row>
    <row r="1483" spans="1:37">
      <c r="A1483" s="703" t="s">
        <v>2992</v>
      </c>
      <c r="B1483" s="703" t="s">
        <v>2849</v>
      </c>
      <c r="C1483" s="703" t="s">
        <v>332</v>
      </c>
      <c r="D1483" s="703" t="s">
        <v>334</v>
      </c>
      <c r="E1483" s="703" t="s">
        <v>334</v>
      </c>
      <c r="F1483" s="703" t="s">
        <v>335</v>
      </c>
      <c r="G1483" s="703" t="s">
        <v>2924</v>
      </c>
      <c r="H1483" s="703" t="s">
        <v>334</v>
      </c>
      <c r="I1483" s="703" t="s">
        <v>334</v>
      </c>
      <c r="J1483" s="703" t="s">
        <v>337</v>
      </c>
      <c r="K1483" s="704">
        <v>0</v>
      </c>
      <c r="L1483" s="703" t="s">
        <v>334</v>
      </c>
      <c r="M1483" s="702">
        <v>39478</v>
      </c>
      <c r="N1483" s="702">
        <v>44516</v>
      </c>
      <c r="O1483" s="703" t="s">
        <v>338</v>
      </c>
      <c r="P1483" s="20">
        <v>84.58</v>
      </c>
      <c r="Q1483" s="20">
        <v>0</v>
      </c>
      <c r="R1483" s="20">
        <v>0</v>
      </c>
      <c r="S1483" s="20">
        <v>0</v>
      </c>
      <c r="T1483" s="20">
        <v>84.58</v>
      </c>
      <c r="U1483" s="20">
        <v>84.35</v>
      </c>
      <c r="V1483" s="20">
        <v>-0.23</v>
      </c>
      <c r="W1483" s="20">
        <v>-3.05</v>
      </c>
      <c r="X1483" s="20">
        <v>-2.82</v>
      </c>
      <c r="Y1483" s="20">
        <v>0</v>
      </c>
      <c r="Z1483" s="20">
        <v>0</v>
      </c>
      <c r="AA1483" s="20">
        <v>0</v>
      </c>
      <c r="AB1483" s="20">
        <v>81.53</v>
      </c>
      <c r="AC1483" t="s">
        <v>183</v>
      </c>
      <c r="AD1483" t="s">
        <v>290</v>
      </c>
      <c r="AE1483" s="702">
        <f t="shared" si="115"/>
        <v>44348</v>
      </c>
      <c r="AF1483" s="289">
        <v>97.118577203382401</v>
      </c>
      <c r="AG1483">
        <f t="shared" si="116"/>
        <v>360</v>
      </c>
      <c r="AH1483" s="289">
        <f t="shared" si="117"/>
        <v>0.26977382556495111</v>
      </c>
      <c r="AJ1483" s="289">
        <f t="shared" si="118"/>
        <v>18</v>
      </c>
      <c r="AK1483" s="289">
        <f t="shared" si="119"/>
        <v>4.8559288601691204</v>
      </c>
    </row>
    <row r="1484" spans="1:37">
      <c r="A1484" s="703" t="s">
        <v>2993</v>
      </c>
      <c r="B1484" s="703" t="s">
        <v>2849</v>
      </c>
      <c r="C1484" s="703" t="s">
        <v>332</v>
      </c>
      <c r="D1484" s="703" t="s">
        <v>334</v>
      </c>
      <c r="E1484" s="703" t="s">
        <v>334</v>
      </c>
      <c r="F1484" s="703" t="s">
        <v>335</v>
      </c>
      <c r="G1484" s="703" t="s">
        <v>2924</v>
      </c>
      <c r="H1484" s="703" t="s">
        <v>334</v>
      </c>
      <c r="I1484" s="703" t="s">
        <v>334</v>
      </c>
      <c r="J1484" s="703" t="s">
        <v>337</v>
      </c>
      <c r="K1484" s="704">
        <v>0</v>
      </c>
      <c r="L1484" s="703" t="s">
        <v>334</v>
      </c>
      <c r="M1484" s="702">
        <v>39478</v>
      </c>
      <c r="N1484" s="702">
        <v>44516</v>
      </c>
      <c r="O1484" s="703" t="s">
        <v>338</v>
      </c>
      <c r="P1484" s="20">
        <v>84.58</v>
      </c>
      <c r="Q1484" s="20">
        <v>0</v>
      </c>
      <c r="R1484" s="20">
        <v>0</v>
      </c>
      <c r="S1484" s="20">
        <v>0</v>
      </c>
      <c r="T1484" s="20">
        <v>84.58</v>
      </c>
      <c r="U1484" s="20">
        <v>84.35</v>
      </c>
      <c r="V1484" s="20">
        <v>-0.23</v>
      </c>
      <c r="W1484" s="20">
        <v>-3.05</v>
      </c>
      <c r="X1484" s="20">
        <v>-2.82</v>
      </c>
      <c r="Y1484" s="20">
        <v>0</v>
      </c>
      <c r="Z1484" s="20">
        <v>0</v>
      </c>
      <c r="AA1484" s="20">
        <v>0</v>
      </c>
      <c r="AB1484" s="20">
        <v>81.53</v>
      </c>
      <c r="AC1484" t="s">
        <v>183</v>
      </c>
      <c r="AD1484" t="s">
        <v>290</v>
      </c>
      <c r="AE1484" s="702">
        <f t="shared" si="115"/>
        <v>44348</v>
      </c>
      <c r="AF1484" s="289">
        <v>97.118577203382401</v>
      </c>
      <c r="AG1484">
        <f t="shared" si="116"/>
        <v>360</v>
      </c>
      <c r="AH1484" s="289">
        <f t="shared" si="117"/>
        <v>0.26977382556495111</v>
      </c>
      <c r="AJ1484" s="289">
        <f t="shared" si="118"/>
        <v>18</v>
      </c>
      <c r="AK1484" s="289">
        <f t="shared" si="119"/>
        <v>4.8559288601691204</v>
      </c>
    </row>
    <row r="1485" spans="1:37">
      <c r="A1485" s="703" t="s">
        <v>2994</v>
      </c>
      <c r="B1485" s="703" t="s">
        <v>2849</v>
      </c>
      <c r="C1485" s="703" t="s">
        <v>332</v>
      </c>
      <c r="D1485" s="703" t="s">
        <v>334</v>
      </c>
      <c r="E1485" s="703" t="s">
        <v>334</v>
      </c>
      <c r="F1485" s="703" t="s">
        <v>335</v>
      </c>
      <c r="G1485" s="703" t="s">
        <v>2924</v>
      </c>
      <c r="H1485" s="703" t="s">
        <v>334</v>
      </c>
      <c r="I1485" s="703" t="s">
        <v>334</v>
      </c>
      <c r="J1485" s="703" t="s">
        <v>337</v>
      </c>
      <c r="K1485" s="704">
        <v>0</v>
      </c>
      <c r="L1485" s="703" t="s">
        <v>334</v>
      </c>
      <c r="M1485" s="702">
        <v>39478</v>
      </c>
      <c r="N1485" s="702">
        <v>44516</v>
      </c>
      <c r="O1485" s="703" t="s">
        <v>338</v>
      </c>
      <c r="P1485" s="20">
        <v>484.98</v>
      </c>
      <c r="Q1485" s="20">
        <v>0</v>
      </c>
      <c r="R1485" s="20">
        <v>0</v>
      </c>
      <c r="S1485" s="20">
        <v>0</v>
      </c>
      <c r="T1485" s="20">
        <v>484.98</v>
      </c>
      <c r="U1485" s="20">
        <v>483.63</v>
      </c>
      <c r="V1485" s="20">
        <v>-1.35</v>
      </c>
      <c r="W1485" s="20">
        <v>-17.52</v>
      </c>
      <c r="X1485" s="20">
        <v>-16.170000000000002</v>
      </c>
      <c r="Y1485" s="20">
        <v>0</v>
      </c>
      <c r="Z1485" s="20">
        <v>0</v>
      </c>
      <c r="AA1485" s="20">
        <v>0</v>
      </c>
      <c r="AB1485" s="20">
        <v>467.46</v>
      </c>
      <c r="AC1485" t="s">
        <v>183</v>
      </c>
      <c r="AD1485" t="s">
        <v>290</v>
      </c>
      <c r="AE1485" s="702">
        <f t="shared" si="115"/>
        <v>44348</v>
      </c>
      <c r="AF1485" s="289">
        <v>556.87594670248757</v>
      </c>
      <c r="AG1485">
        <f t="shared" si="116"/>
        <v>360</v>
      </c>
      <c r="AH1485" s="289">
        <f t="shared" si="117"/>
        <v>1.5468776297291322</v>
      </c>
      <c r="AJ1485" s="289">
        <f t="shared" si="118"/>
        <v>18</v>
      </c>
      <c r="AK1485" s="289">
        <f t="shared" si="119"/>
        <v>27.843797335124378</v>
      </c>
    </row>
    <row r="1486" spans="1:37">
      <c r="A1486" s="703" t="s">
        <v>2995</v>
      </c>
      <c r="B1486" s="703" t="s">
        <v>2849</v>
      </c>
      <c r="C1486" s="703" t="s">
        <v>332</v>
      </c>
      <c r="D1486" s="703" t="s">
        <v>334</v>
      </c>
      <c r="E1486" s="703" t="s">
        <v>334</v>
      </c>
      <c r="F1486" s="703" t="s">
        <v>335</v>
      </c>
      <c r="G1486" s="703" t="s">
        <v>2924</v>
      </c>
      <c r="H1486" s="703" t="s">
        <v>334</v>
      </c>
      <c r="I1486" s="703" t="s">
        <v>334</v>
      </c>
      <c r="J1486" s="703" t="s">
        <v>337</v>
      </c>
      <c r="K1486" s="704">
        <v>0</v>
      </c>
      <c r="L1486" s="703" t="s">
        <v>334</v>
      </c>
      <c r="M1486" s="702">
        <v>39478</v>
      </c>
      <c r="N1486" s="702">
        <v>44516</v>
      </c>
      <c r="O1486" s="703" t="s">
        <v>338</v>
      </c>
      <c r="P1486" s="20">
        <v>3545.43</v>
      </c>
      <c r="Q1486" s="20">
        <v>0</v>
      </c>
      <c r="R1486" s="20">
        <v>0</v>
      </c>
      <c r="S1486" s="20">
        <v>0</v>
      </c>
      <c r="T1486" s="20">
        <v>3545.43</v>
      </c>
      <c r="U1486" s="20">
        <v>3535.58</v>
      </c>
      <c r="V1486" s="20">
        <v>-9.85</v>
      </c>
      <c r="W1486" s="20">
        <v>-128.03</v>
      </c>
      <c r="X1486" s="20">
        <v>-118.18</v>
      </c>
      <c r="Y1486" s="20">
        <v>0</v>
      </c>
      <c r="Z1486" s="20">
        <v>0</v>
      </c>
      <c r="AA1486" s="20">
        <v>0</v>
      </c>
      <c r="AB1486" s="20">
        <v>3417.4</v>
      </c>
      <c r="AC1486" t="s">
        <v>183</v>
      </c>
      <c r="AD1486" t="s">
        <v>290</v>
      </c>
      <c r="AE1486" s="702">
        <f t="shared" si="115"/>
        <v>44348</v>
      </c>
      <c r="AF1486" s="289">
        <v>4071.0229034545764</v>
      </c>
      <c r="AG1486">
        <f t="shared" si="116"/>
        <v>360</v>
      </c>
      <c r="AH1486" s="289">
        <f t="shared" si="117"/>
        <v>11.308396954040489</v>
      </c>
      <c r="AJ1486" s="289">
        <f t="shared" si="118"/>
        <v>18</v>
      </c>
      <c r="AK1486" s="289">
        <f t="shared" si="119"/>
        <v>203.55114517272881</v>
      </c>
    </row>
    <row r="1487" spans="1:37">
      <c r="A1487" s="703" t="s">
        <v>2996</v>
      </c>
      <c r="B1487" s="703" t="s">
        <v>2849</v>
      </c>
      <c r="C1487" s="703" t="s">
        <v>332</v>
      </c>
      <c r="D1487" s="703" t="s">
        <v>334</v>
      </c>
      <c r="E1487" s="703" t="s">
        <v>334</v>
      </c>
      <c r="F1487" s="703" t="s">
        <v>335</v>
      </c>
      <c r="G1487" s="703" t="s">
        <v>2924</v>
      </c>
      <c r="H1487" s="703" t="s">
        <v>334</v>
      </c>
      <c r="I1487" s="703" t="s">
        <v>334</v>
      </c>
      <c r="J1487" s="703" t="s">
        <v>337</v>
      </c>
      <c r="K1487" s="704">
        <v>0</v>
      </c>
      <c r="L1487" s="703" t="s">
        <v>334</v>
      </c>
      <c r="M1487" s="702">
        <v>39478</v>
      </c>
      <c r="N1487" s="702">
        <v>44516</v>
      </c>
      <c r="O1487" s="703" t="s">
        <v>338</v>
      </c>
      <c r="P1487" s="20">
        <v>936.83</v>
      </c>
      <c r="Q1487" s="20">
        <v>0</v>
      </c>
      <c r="R1487" s="20">
        <v>0</v>
      </c>
      <c r="S1487" s="20">
        <v>0</v>
      </c>
      <c r="T1487" s="20">
        <v>936.83</v>
      </c>
      <c r="U1487" s="20">
        <v>934.23</v>
      </c>
      <c r="V1487" s="20">
        <v>-2.6</v>
      </c>
      <c r="W1487" s="20">
        <v>-33.83</v>
      </c>
      <c r="X1487" s="20">
        <v>-31.23</v>
      </c>
      <c r="Y1487" s="20">
        <v>0</v>
      </c>
      <c r="Z1487" s="20">
        <v>0</v>
      </c>
      <c r="AA1487" s="20">
        <v>0</v>
      </c>
      <c r="AB1487" s="20">
        <v>903</v>
      </c>
      <c r="AC1487" t="s">
        <v>183</v>
      </c>
      <c r="AD1487" t="s">
        <v>290</v>
      </c>
      <c r="AE1487" s="702">
        <f t="shared" si="115"/>
        <v>44348</v>
      </c>
      <c r="AF1487" s="289">
        <v>1075.7105306389778</v>
      </c>
      <c r="AG1487">
        <f t="shared" si="116"/>
        <v>360</v>
      </c>
      <c r="AH1487" s="289">
        <f t="shared" si="117"/>
        <v>2.9880848073304942</v>
      </c>
      <c r="AJ1487" s="289">
        <f t="shared" si="118"/>
        <v>18</v>
      </c>
      <c r="AK1487" s="289">
        <f t="shared" si="119"/>
        <v>53.785526531948896</v>
      </c>
    </row>
    <row r="1488" spans="1:37">
      <c r="A1488" s="703" t="s">
        <v>2997</v>
      </c>
      <c r="B1488" s="703" t="s">
        <v>2849</v>
      </c>
      <c r="C1488" s="703" t="s">
        <v>332</v>
      </c>
      <c r="D1488" s="703" t="s">
        <v>334</v>
      </c>
      <c r="E1488" s="703" t="s">
        <v>334</v>
      </c>
      <c r="F1488" s="703" t="s">
        <v>335</v>
      </c>
      <c r="G1488" s="703" t="s">
        <v>2924</v>
      </c>
      <c r="H1488" s="703" t="s">
        <v>334</v>
      </c>
      <c r="I1488" s="703" t="s">
        <v>334</v>
      </c>
      <c r="J1488" s="703" t="s">
        <v>337</v>
      </c>
      <c r="K1488" s="704">
        <v>0</v>
      </c>
      <c r="L1488" s="703" t="s">
        <v>334</v>
      </c>
      <c r="M1488" s="702">
        <v>39478</v>
      </c>
      <c r="N1488" s="702">
        <v>44516</v>
      </c>
      <c r="O1488" s="703" t="s">
        <v>338</v>
      </c>
      <c r="P1488" s="20">
        <v>4.2</v>
      </c>
      <c r="Q1488" s="20">
        <v>0</v>
      </c>
      <c r="R1488" s="20">
        <v>0</v>
      </c>
      <c r="S1488" s="20">
        <v>0</v>
      </c>
      <c r="T1488" s="20">
        <v>4.2</v>
      </c>
      <c r="U1488" s="20">
        <v>4.1900000000000004</v>
      </c>
      <c r="V1488" s="20">
        <v>-0.01</v>
      </c>
      <c r="W1488" s="20">
        <v>-0.15</v>
      </c>
      <c r="X1488" s="20">
        <v>-0.14000000000000001</v>
      </c>
      <c r="Y1488" s="20">
        <v>0</v>
      </c>
      <c r="Z1488" s="20">
        <v>0</v>
      </c>
      <c r="AA1488" s="20">
        <v>0</v>
      </c>
      <c r="AB1488" s="20">
        <v>4.05</v>
      </c>
      <c r="AC1488" t="s">
        <v>183</v>
      </c>
      <c r="AD1488" t="s">
        <v>290</v>
      </c>
      <c r="AE1488" s="702">
        <f t="shared" si="115"/>
        <v>44348</v>
      </c>
      <c r="AF1488" s="289">
        <v>4.8226297499906146</v>
      </c>
      <c r="AG1488">
        <f t="shared" si="116"/>
        <v>360</v>
      </c>
      <c r="AH1488" s="289">
        <f t="shared" si="117"/>
        <v>1.3396193749973929E-2</v>
      </c>
      <c r="AJ1488" s="289">
        <f t="shared" si="118"/>
        <v>18</v>
      </c>
      <c r="AK1488" s="289">
        <f t="shared" si="119"/>
        <v>0.24113148749953073</v>
      </c>
    </row>
    <row r="1489" spans="1:37">
      <c r="A1489" s="703" t="s">
        <v>2998</v>
      </c>
      <c r="B1489" s="703" t="s">
        <v>2849</v>
      </c>
      <c r="C1489" s="703" t="s">
        <v>332</v>
      </c>
      <c r="D1489" s="703" t="s">
        <v>334</v>
      </c>
      <c r="E1489" s="703" t="s">
        <v>334</v>
      </c>
      <c r="F1489" s="703" t="s">
        <v>335</v>
      </c>
      <c r="G1489" s="703" t="s">
        <v>2924</v>
      </c>
      <c r="H1489" s="703" t="s">
        <v>334</v>
      </c>
      <c r="I1489" s="703" t="s">
        <v>334</v>
      </c>
      <c r="J1489" s="703" t="s">
        <v>337</v>
      </c>
      <c r="K1489" s="704">
        <v>0</v>
      </c>
      <c r="L1489" s="703" t="s">
        <v>334</v>
      </c>
      <c r="M1489" s="702">
        <v>39478</v>
      </c>
      <c r="N1489" s="702">
        <v>44516</v>
      </c>
      <c r="O1489" s="703" t="s">
        <v>338</v>
      </c>
      <c r="P1489" s="20">
        <v>10.83</v>
      </c>
      <c r="Q1489" s="20">
        <v>0</v>
      </c>
      <c r="R1489" s="20">
        <v>0</v>
      </c>
      <c r="S1489" s="20">
        <v>0</v>
      </c>
      <c r="T1489" s="20">
        <v>10.83</v>
      </c>
      <c r="U1489" s="20">
        <v>10.8</v>
      </c>
      <c r="V1489" s="20">
        <v>-0.03</v>
      </c>
      <c r="W1489" s="20">
        <v>-0.39</v>
      </c>
      <c r="X1489" s="20">
        <v>-0.36</v>
      </c>
      <c r="Y1489" s="20">
        <v>0</v>
      </c>
      <c r="Z1489" s="20">
        <v>0</v>
      </c>
      <c r="AA1489" s="20">
        <v>0</v>
      </c>
      <c r="AB1489" s="20">
        <v>10.44</v>
      </c>
      <c r="AC1489" t="s">
        <v>183</v>
      </c>
      <c r="AD1489" t="s">
        <v>290</v>
      </c>
      <c r="AE1489" s="702">
        <f t="shared" si="115"/>
        <v>44348</v>
      </c>
      <c r="AF1489" s="289">
        <v>12.43549528390437</v>
      </c>
      <c r="AG1489">
        <f t="shared" si="116"/>
        <v>360</v>
      </c>
      <c r="AH1489" s="289">
        <f t="shared" si="117"/>
        <v>3.4543042455289913E-2</v>
      </c>
      <c r="AJ1489" s="289">
        <f t="shared" si="118"/>
        <v>18</v>
      </c>
      <c r="AK1489" s="289">
        <f t="shared" si="119"/>
        <v>0.62177476419521849</v>
      </c>
    </row>
    <row r="1490" spans="1:37">
      <c r="A1490" s="703" t="s">
        <v>2999</v>
      </c>
      <c r="B1490" s="703" t="s">
        <v>2849</v>
      </c>
      <c r="C1490" s="703" t="s">
        <v>332</v>
      </c>
      <c r="D1490" s="703" t="s">
        <v>334</v>
      </c>
      <c r="E1490" s="703" t="s">
        <v>334</v>
      </c>
      <c r="F1490" s="703" t="s">
        <v>335</v>
      </c>
      <c r="G1490" s="703" t="s">
        <v>2924</v>
      </c>
      <c r="H1490" s="703" t="s">
        <v>334</v>
      </c>
      <c r="I1490" s="703" t="s">
        <v>334</v>
      </c>
      <c r="J1490" s="703" t="s">
        <v>337</v>
      </c>
      <c r="K1490" s="704">
        <v>0</v>
      </c>
      <c r="L1490" s="703" t="s">
        <v>334</v>
      </c>
      <c r="M1490" s="702">
        <v>39478</v>
      </c>
      <c r="N1490" s="702">
        <v>44516</v>
      </c>
      <c r="O1490" s="703" t="s">
        <v>338</v>
      </c>
      <c r="P1490" s="20">
        <v>97.12</v>
      </c>
      <c r="Q1490" s="20">
        <v>0</v>
      </c>
      <c r="R1490" s="20">
        <v>0</v>
      </c>
      <c r="S1490" s="20">
        <v>0</v>
      </c>
      <c r="T1490" s="20">
        <v>97.12</v>
      </c>
      <c r="U1490" s="20">
        <v>96.85</v>
      </c>
      <c r="V1490" s="20">
        <v>-0.27</v>
      </c>
      <c r="W1490" s="20">
        <v>-3.51</v>
      </c>
      <c r="X1490" s="20">
        <v>-3.24</v>
      </c>
      <c r="Y1490" s="20">
        <v>0</v>
      </c>
      <c r="Z1490" s="20">
        <v>0</v>
      </c>
      <c r="AA1490" s="20">
        <v>0</v>
      </c>
      <c r="AB1490" s="20">
        <v>93.61</v>
      </c>
      <c r="AC1490" t="s">
        <v>183</v>
      </c>
      <c r="AD1490" t="s">
        <v>290</v>
      </c>
      <c r="AE1490" s="702">
        <f t="shared" si="115"/>
        <v>44348</v>
      </c>
      <c r="AF1490" s="289">
        <v>111.5175717426401</v>
      </c>
      <c r="AG1490">
        <f t="shared" si="116"/>
        <v>360</v>
      </c>
      <c r="AH1490" s="289">
        <f t="shared" si="117"/>
        <v>0.30977103261844474</v>
      </c>
      <c r="AJ1490" s="289">
        <f t="shared" si="118"/>
        <v>18</v>
      </c>
      <c r="AK1490" s="289">
        <f t="shared" si="119"/>
        <v>5.5758785871320056</v>
      </c>
    </row>
    <row r="1491" spans="1:37">
      <c r="A1491" s="703" t="s">
        <v>3000</v>
      </c>
      <c r="B1491" s="703" t="s">
        <v>2849</v>
      </c>
      <c r="C1491" s="703" t="s">
        <v>332</v>
      </c>
      <c r="D1491" s="703" t="s">
        <v>334</v>
      </c>
      <c r="E1491" s="703" t="s">
        <v>334</v>
      </c>
      <c r="F1491" s="703" t="s">
        <v>335</v>
      </c>
      <c r="G1491" s="703" t="s">
        <v>2924</v>
      </c>
      <c r="H1491" s="703" t="s">
        <v>334</v>
      </c>
      <c r="I1491" s="703" t="s">
        <v>334</v>
      </c>
      <c r="J1491" s="703" t="s">
        <v>337</v>
      </c>
      <c r="K1491" s="704">
        <v>0</v>
      </c>
      <c r="L1491" s="703" t="s">
        <v>334</v>
      </c>
      <c r="M1491" s="702">
        <v>39478</v>
      </c>
      <c r="N1491" s="702">
        <v>44516</v>
      </c>
      <c r="O1491" s="703" t="s">
        <v>338</v>
      </c>
      <c r="P1491" s="20">
        <v>19.579999999999998</v>
      </c>
      <c r="Q1491" s="20">
        <v>0</v>
      </c>
      <c r="R1491" s="20">
        <v>0</v>
      </c>
      <c r="S1491" s="20">
        <v>0</v>
      </c>
      <c r="T1491" s="20">
        <v>19.579999999999998</v>
      </c>
      <c r="U1491" s="20">
        <v>19.53</v>
      </c>
      <c r="V1491" s="20">
        <v>-0.05</v>
      </c>
      <c r="W1491" s="20">
        <v>-0.7</v>
      </c>
      <c r="X1491" s="20">
        <v>-0.65</v>
      </c>
      <c r="Y1491" s="20">
        <v>0</v>
      </c>
      <c r="Z1491" s="20">
        <v>0</v>
      </c>
      <c r="AA1491" s="20">
        <v>0</v>
      </c>
      <c r="AB1491" s="20">
        <v>18.88</v>
      </c>
      <c r="AC1491" t="s">
        <v>183</v>
      </c>
      <c r="AD1491" t="s">
        <v>290</v>
      </c>
      <c r="AE1491" s="702">
        <f t="shared" si="115"/>
        <v>44348</v>
      </c>
      <c r="AF1491" s="289">
        <v>22.482640596384812</v>
      </c>
      <c r="AG1491">
        <f t="shared" si="116"/>
        <v>360</v>
      </c>
      <c r="AH1491" s="289">
        <f t="shared" si="117"/>
        <v>6.2451779434402256E-2</v>
      </c>
      <c r="AJ1491" s="289">
        <f t="shared" si="118"/>
        <v>18</v>
      </c>
      <c r="AK1491" s="289">
        <f t="shared" si="119"/>
        <v>1.1241320298192405</v>
      </c>
    </row>
    <row r="1492" spans="1:37">
      <c r="A1492" s="703" t="s">
        <v>3001</v>
      </c>
      <c r="B1492" s="703" t="s">
        <v>2849</v>
      </c>
      <c r="C1492" s="703" t="s">
        <v>332</v>
      </c>
      <c r="D1492" s="703" t="s">
        <v>334</v>
      </c>
      <c r="E1492" s="703" t="s">
        <v>334</v>
      </c>
      <c r="F1492" s="703" t="s">
        <v>335</v>
      </c>
      <c r="G1492" s="703" t="s">
        <v>2924</v>
      </c>
      <c r="H1492" s="703" t="s">
        <v>334</v>
      </c>
      <c r="I1492" s="703" t="s">
        <v>334</v>
      </c>
      <c r="J1492" s="703" t="s">
        <v>337</v>
      </c>
      <c r="K1492" s="704">
        <v>0</v>
      </c>
      <c r="L1492" s="703" t="s">
        <v>334</v>
      </c>
      <c r="M1492" s="702">
        <v>39478</v>
      </c>
      <c r="N1492" s="702">
        <v>44516</v>
      </c>
      <c r="O1492" s="703" t="s">
        <v>338</v>
      </c>
      <c r="P1492" s="20">
        <v>21.25</v>
      </c>
      <c r="Q1492" s="20">
        <v>0</v>
      </c>
      <c r="R1492" s="20">
        <v>0</v>
      </c>
      <c r="S1492" s="20">
        <v>0</v>
      </c>
      <c r="T1492" s="20">
        <v>21.25</v>
      </c>
      <c r="U1492" s="20">
        <v>21.19</v>
      </c>
      <c r="V1492" s="20">
        <v>-0.06</v>
      </c>
      <c r="W1492" s="20">
        <v>-0.77</v>
      </c>
      <c r="X1492" s="20">
        <v>-0.71</v>
      </c>
      <c r="Y1492" s="20">
        <v>0</v>
      </c>
      <c r="Z1492" s="20">
        <v>0</v>
      </c>
      <c r="AA1492" s="20">
        <v>0</v>
      </c>
      <c r="AB1492" s="20">
        <v>20.48</v>
      </c>
      <c r="AC1492" t="s">
        <v>183</v>
      </c>
      <c r="AD1492" t="s">
        <v>290</v>
      </c>
      <c r="AE1492" s="702">
        <f t="shared" si="115"/>
        <v>44348</v>
      </c>
      <c r="AF1492" s="289">
        <v>24.400210044595369</v>
      </c>
      <c r="AG1492">
        <f t="shared" si="116"/>
        <v>360</v>
      </c>
      <c r="AH1492" s="289">
        <f t="shared" si="117"/>
        <v>6.7778361234987136E-2</v>
      </c>
      <c r="AJ1492" s="289">
        <f t="shared" si="118"/>
        <v>18</v>
      </c>
      <c r="AK1492" s="289">
        <f t="shared" si="119"/>
        <v>1.2200105022297685</v>
      </c>
    </row>
    <row r="1493" spans="1:37">
      <c r="A1493" s="703" t="s">
        <v>3002</v>
      </c>
      <c r="B1493" s="703" t="s">
        <v>2849</v>
      </c>
      <c r="C1493" s="703" t="s">
        <v>332</v>
      </c>
      <c r="D1493" s="703" t="s">
        <v>334</v>
      </c>
      <c r="E1493" s="703" t="s">
        <v>334</v>
      </c>
      <c r="F1493" s="703" t="s">
        <v>335</v>
      </c>
      <c r="G1493" s="703" t="s">
        <v>2924</v>
      </c>
      <c r="H1493" s="703" t="s">
        <v>334</v>
      </c>
      <c r="I1493" s="703" t="s">
        <v>334</v>
      </c>
      <c r="J1493" s="703" t="s">
        <v>337</v>
      </c>
      <c r="K1493" s="704">
        <v>0</v>
      </c>
      <c r="L1493" s="703" t="s">
        <v>334</v>
      </c>
      <c r="M1493" s="702">
        <v>39478</v>
      </c>
      <c r="N1493" s="702">
        <v>44516</v>
      </c>
      <c r="O1493" s="703" t="s">
        <v>338</v>
      </c>
      <c r="P1493" s="20">
        <v>3.38</v>
      </c>
      <c r="Q1493" s="20">
        <v>0</v>
      </c>
      <c r="R1493" s="20">
        <v>0</v>
      </c>
      <c r="S1493" s="20">
        <v>0</v>
      </c>
      <c r="T1493" s="20">
        <v>3.38</v>
      </c>
      <c r="U1493" s="20">
        <v>3.37</v>
      </c>
      <c r="V1493" s="20">
        <v>-0.01</v>
      </c>
      <c r="W1493" s="20">
        <v>-0.12</v>
      </c>
      <c r="X1493" s="20">
        <v>-0.11</v>
      </c>
      <c r="Y1493" s="20">
        <v>0</v>
      </c>
      <c r="Z1493" s="20">
        <v>0</v>
      </c>
      <c r="AA1493" s="20">
        <v>0</v>
      </c>
      <c r="AB1493" s="20">
        <v>3.26</v>
      </c>
      <c r="AC1493" t="s">
        <v>183</v>
      </c>
      <c r="AD1493" t="s">
        <v>290</v>
      </c>
      <c r="AE1493" s="702">
        <f t="shared" si="115"/>
        <v>44348</v>
      </c>
      <c r="AF1493" s="289">
        <v>3.8810687035638747</v>
      </c>
      <c r="AG1493">
        <f t="shared" si="116"/>
        <v>360</v>
      </c>
      <c r="AH1493" s="289">
        <f t="shared" si="117"/>
        <v>1.0780746398788541E-2</v>
      </c>
      <c r="AJ1493" s="289">
        <f t="shared" si="118"/>
        <v>18</v>
      </c>
      <c r="AK1493" s="289">
        <f t="shared" si="119"/>
        <v>0.19405343517819373</v>
      </c>
    </row>
    <row r="1494" spans="1:37">
      <c r="A1494" s="703" t="s">
        <v>3003</v>
      </c>
      <c r="B1494" s="703" t="s">
        <v>2849</v>
      </c>
      <c r="C1494" s="703" t="s">
        <v>332</v>
      </c>
      <c r="D1494" s="703" t="s">
        <v>334</v>
      </c>
      <c r="E1494" s="703" t="s">
        <v>334</v>
      </c>
      <c r="F1494" s="703" t="s">
        <v>335</v>
      </c>
      <c r="G1494" s="703" t="s">
        <v>2924</v>
      </c>
      <c r="H1494" s="703" t="s">
        <v>334</v>
      </c>
      <c r="I1494" s="703" t="s">
        <v>334</v>
      </c>
      <c r="J1494" s="703" t="s">
        <v>337</v>
      </c>
      <c r="K1494" s="704">
        <v>0</v>
      </c>
      <c r="L1494" s="703" t="s">
        <v>334</v>
      </c>
      <c r="M1494" s="702">
        <v>39478</v>
      </c>
      <c r="N1494" s="702">
        <v>44516</v>
      </c>
      <c r="O1494" s="703" t="s">
        <v>338</v>
      </c>
      <c r="P1494" s="20">
        <v>57.28</v>
      </c>
      <c r="Q1494" s="20">
        <v>0</v>
      </c>
      <c r="R1494" s="20">
        <v>0</v>
      </c>
      <c r="S1494" s="20">
        <v>0</v>
      </c>
      <c r="T1494" s="20">
        <v>57.28</v>
      </c>
      <c r="U1494" s="20">
        <v>57.12</v>
      </c>
      <c r="V1494" s="20">
        <v>-0.16</v>
      </c>
      <c r="W1494" s="20">
        <v>-2.0699999999999998</v>
      </c>
      <c r="X1494" s="20">
        <v>-1.91</v>
      </c>
      <c r="Y1494" s="20">
        <v>0</v>
      </c>
      <c r="Z1494" s="20">
        <v>0</v>
      </c>
      <c r="AA1494" s="20">
        <v>0</v>
      </c>
      <c r="AB1494" s="20">
        <v>55.21</v>
      </c>
      <c r="AC1494" t="s">
        <v>183</v>
      </c>
      <c r="AD1494" t="s">
        <v>290</v>
      </c>
      <c r="AE1494" s="702">
        <f t="shared" si="115"/>
        <v>44348</v>
      </c>
      <c r="AF1494" s="289">
        <v>65.771483828443422</v>
      </c>
      <c r="AG1494">
        <f t="shared" si="116"/>
        <v>360</v>
      </c>
      <c r="AH1494" s="289">
        <f t="shared" si="117"/>
        <v>0.18269856619012062</v>
      </c>
      <c r="AJ1494" s="289">
        <f t="shared" si="118"/>
        <v>18</v>
      </c>
      <c r="AK1494" s="289">
        <f t="shared" si="119"/>
        <v>3.2885741914221711</v>
      </c>
    </row>
    <row r="1495" spans="1:37">
      <c r="A1495" s="703" t="s">
        <v>3004</v>
      </c>
      <c r="B1495" s="703" t="s">
        <v>2849</v>
      </c>
      <c r="C1495" s="703" t="s">
        <v>332</v>
      </c>
      <c r="D1495" s="703" t="s">
        <v>334</v>
      </c>
      <c r="E1495" s="703" t="s">
        <v>334</v>
      </c>
      <c r="F1495" s="703" t="s">
        <v>335</v>
      </c>
      <c r="G1495" s="703" t="s">
        <v>2924</v>
      </c>
      <c r="H1495" s="703" t="s">
        <v>334</v>
      </c>
      <c r="I1495" s="703" t="s">
        <v>334</v>
      </c>
      <c r="J1495" s="703" t="s">
        <v>337</v>
      </c>
      <c r="K1495" s="704">
        <v>0</v>
      </c>
      <c r="L1495" s="703" t="s">
        <v>334</v>
      </c>
      <c r="M1495" s="702">
        <v>39478</v>
      </c>
      <c r="N1495" s="702">
        <v>44516</v>
      </c>
      <c r="O1495" s="703" t="s">
        <v>338</v>
      </c>
      <c r="P1495" s="20">
        <v>37.49</v>
      </c>
      <c r="Q1495" s="20">
        <v>0</v>
      </c>
      <c r="R1495" s="20">
        <v>0</v>
      </c>
      <c r="S1495" s="20">
        <v>0</v>
      </c>
      <c r="T1495" s="20">
        <v>37.49</v>
      </c>
      <c r="U1495" s="20">
        <v>37.39</v>
      </c>
      <c r="V1495" s="20">
        <v>-0.1</v>
      </c>
      <c r="W1495" s="20">
        <v>-1.35</v>
      </c>
      <c r="X1495" s="20">
        <v>-1.25</v>
      </c>
      <c r="Y1495" s="20">
        <v>0</v>
      </c>
      <c r="Z1495" s="20">
        <v>0</v>
      </c>
      <c r="AA1495" s="20">
        <v>0</v>
      </c>
      <c r="AB1495" s="20">
        <v>36.14</v>
      </c>
      <c r="AC1495" t="s">
        <v>183</v>
      </c>
      <c r="AD1495" t="s">
        <v>290</v>
      </c>
      <c r="AE1495" s="702">
        <f t="shared" si="115"/>
        <v>44348</v>
      </c>
      <c r="AF1495" s="289">
        <v>43.047711744559074</v>
      </c>
      <c r="AG1495">
        <f t="shared" si="116"/>
        <v>360</v>
      </c>
      <c r="AH1495" s="289">
        <f t="shared" si="117"/>
        <v>0.11957697706821965</v>
      </c>
      <c r="AJ1495" s="289">
        <f t="shared" si="118"/>
        <v>18</v>
      </c>
      <c r="AK1495" s="289">
        <f t="shared" si="119"/>
        <v>2.1523855872279536</v>
      </c>
    </row>
    <row r="1496" spans="1:37">
      <c r="A1496" s="703" t="s">
        <v>3005</v>
      </c>
      <c r="B1496" s="703" t="s">
        <v>2849</v>
      </c>
      <c r="C1496" s="703" t="s">
        <v>332</v>
      </c>
      <c r="D1496" s="703" t="s">
        <v>334</v>
      </c>
      <c r="E1496" s="703" t="s">
        <v>334</v>
      </c>
      <c r="F1496" s="703" t="s">
        <v>335</v>
      </c>
      <c r="G1496" s="703" t="s">
        <v>2924</v>
      </c>
      <c r="H1496" s="703" t="s">
        <v>334</v>
      </c>
      <c r="I1496" s="703" t="s">
        <v>334</v>
      </c>
      <c r="J1496" s="703" t="s">
        <v>337</v>
      </c>
      <c r="K1496" s="704">
        <v>0</v>
      </c>
      <c r="L1496" s="703" t="s">
        <v>334</v>
      </c>
      <c r="M1496" s="702">
        <v>39478</v>
      </c>
      <c r="N1496" s="702">
        <v>44516</v>
      </c>
      <c r="O1496" s="703" t="s">
        <v>338</v>
      </c>
      <c r="P1496" s="20">
        <v>176.48</v>
      </c>
      <c r="Q1496" s="20">
        <v>0</v>
      </c>
      <c r="R1496" s="20">
        <v>0</v>
      </c>
      <c r="S1496" s="20">
        <v>0</v>
      </c>
      <c r="T1496" s="20">
        <v>176.48</v>
      </c>
      <c r="U1496" s="20">
        <v>175.99</v>
      </c>
      <c r="V1496" s="20">
        <v>-0.49</v>
      </c>
      <c r="W1496" s="20">
        <v>-6.37</v>
      </c>
      <c r="X1496" s="20">
        <v>-5.88</v>
      </c>
      <c r="Y1496" s="20">
        <v>0</v>
      </c>
      <c r="Z1496" s="20">
        <v>0</v>
      </c>
      <c r="AA1496" s="20">
        <v>0</v>
      </c>
      <c r="AB1496" s="20">
        <v>170.11</v>
      </c>
      <c r="AC1496" t="s">
        <v>183</v>
      </c>
      <c r="AD1496" t="s">
        <v>290</v>
      </c>
      <c r="AE1496" s="702">
        <f t="shared" si="115"/>
        <v>44348</v>
      </c>
      <c r="AF1496" s="289">
        <v>202.64230911389129</v>
      </c>
      <c r="AG1496">
        <f t="shared" si="116"/>
        <v>360</v>
      </c>
      <c r="AH1496" s="289">
        <f t="shared" si="117"/>
        <v>0.56289530309414249</v>
      </c>
      <c r="AJ1496" s="289">
        <f t="shared" si="118"/>
        <v>18</v>
      </c>
      <c r="AK1496" s="289">
        <f t="shared" si="119"/>
        <v>10.132115455694565</v>
      </c>
    </row>
    <row r="1497" spans="1:37">
      <c r="A1497" s="703" t="s">
        <v>3006</v>
      </c>
      <c r="B1497" s="703" t="s">
        <v>2849</v>
      </c>
      <c r="C1497" s="703" t="s">
        <v>332</v>
      </c>
      <c r="D1497" s="703" t="s">
        <v>334</v>
      </c>
      <c r="E1497" s="703" t="s">
        <v>334</v>
      </c>
      <c r="F1497" s="703" t="s">
        <v>335</v>
      </c>
      <c r="G1497" s="703" t="s">
        <v>2924</v>
      </c>
      <c r="H1497" s="703" t="s">
        <v>334</v>
      </c>
      <c r="I1497" s="703" t="s">
        <v>334</v>
      </c>
      <c r="J1497" s="703" t="s">
        <v>337</v>
      </c>
      <c r="K1497" s="704">
        <v>0</v>
      </c>
      <c r="L1497" s="703" t="s">
        <v>334</v>
      </c>
      <c r="M1497" s="702">
        <v>39478</v>
      </c>
      <c r="N1497" s="702">
        <v>44516</v>
      </c>
      <c r="O1497" s="703" t="s">
        <v>338</v>
      </c>
      <c r="P1497" s="20">
        <v>32.299999999999997</v>
      </c>
      <c r="Q1497" s="20">
        <v>0</v>
      </c>
      <c r="R1497" s="20">
        <v>0</v>
      </c>
      <c r="S1497" s="20">
        <v>0</v>
      </c>
      <c r="T1497" s="20">
        <v>32.299999999999997</v>
      </c>
      <c r="U1497" s="20">
        <v>32.21</v>
      </c>
      <c r="V1497" s="20">
        <v>-0.09</v>
      </c>
      <c r="W1497" s="20">
        <v>-1.17</v>
      </c>
      <c r="X1497" s="20">
        <v>-1.08</v>
      </c>
      <c r="Y1497" s="20">
        <v>0</v>
      </c>
      <c r="Z1497" s="20">
        <v>0</v>
      </c>
      <c r="AA1497" s="20">
        <v>0</v>
      </c>
      <c r="AB1497" s="20">
        <v>31.13</v>
      </c>
      <c r="AC1497" t="s">
        <v>183</v>
      </c>
      <c r="AD1497" t="s">
        <v>290</v>
      </c>
      <c r="AE1497" s="702">
        <f t="shared" si="115"/>
        <v>44348</v>
      </c>
      <c r="AF1497" s="289">
        <v>37.088319267784954</v>
      </c>
      <c r="AG1497">
        <f t="shared" si="116"/>
        <v>360</v>
      </c>
      <c r="AH1497" s="289">
        <f t="shared" si="117"/>
        <v>0.10302310907718043</v>
      </c>
      <c r="AJ1497" s="289">
        <f t="shared" si="118"/>
        <v>18</v>
      </c>
      <c r="AK1497" s="289">
        <f t="shared" si="119"/>
        <v>1.8544159633892479</v>
      </c>
    </row>
    <row r="1498" spans="1:37">
      <c r="A1498" s="703" t="s">
        <v>3007</v>
      </c>
      <c r="B1498" s="703" t="s">
        <v>2849</v>
      </c>
      <c r="C1498" s="703" t="s">
        <v>332</v>
      </c>
      <c r="D1498" s="703" t="s">
        <v>334</v>
      </c>
      <c r="E1498" s="703" t="s">
        <v>334</v>
      </c>
      <c r="F1498" s="703" t="s">
        <v>335</v>
      </c>
      <c r="G1498" s="703" t="s">
        <v>2924</v>
      </c>
      <c r="H1498" s="703" t="s">
        <v>334</v>
      </c>
      <c r="I1498" s="703" t="s">
        <v>334</v>
      </c>
      <c r="J1498" s="703" t="s">
        <v>337</v>
      </c>
      <c r="K1498" s="704">
        <v>0</v>
      </c>
      <c r="L1498" s="703" t="s">
        <v>334</v>
      </c>
      <c r="M1498" s="702">
        <v>39478</v>
      </c>
      <c r="N1498" s="702">
        <v>44516</v>
      </c>
      <c r="O1498" s="703" t="s">
        <v>338</v>
      </c>
      <c r="P1498" s="20">
        <v>89.27</v>
      </c>
      <c r="Q1498" s="20">
        <v>0</v>
      </c>
      <c r="R1498" s="20">
        <v>0</v>
      </c>
      <c r="S1498" s="20">
        <v>0</v>
      </c>
      <c r="T1498" s="20">
        <v>89.27</v>
      </c>
      <c r="U1498" s="20">
        <v>89.02</v>
      </c>
      <c r="V1498" s="20">
        <v>-0.25</v>
      </c>
      <c r="W1498" s="20">
        <v>-3.23</v>
      </c>
      <c r="X1498" s="20">
        <v>-2.98</v>
      </c>
      <c r="Y1498" s="20">
        <v>0</v>
      </c>
      <c r="Z1498" s="20">
        <v>0</v>
      </c>
      <c r="AA1498" s="20">
        <v>0</v>
      </c>
      <c r="AB1498" s="20">
        <v>86.04</v>
      </c>
      <c r="AC1498" t="s">
        <v>183</v>
      </c>
      <c r="AD1498" t="s">
        <v>290</v>
      </c>
      <c r="AE1498" s="702">
        <f t="shared" si="115"/>
        <v>44348</v>
      </c>
      <c r="AF1498" s="289">
        <v>102.50384709087191</v>
      </c>
      <c r="AG1498">
        <f t="shared" si="116"/>
        <v>360</v>
      </c>
      <c r="AH1498" s="289">
        <f t="shared" si="117"/>
        <v>0.28473290858575534</v>
      </c>
      <c r="AJ1498" s="289">
        <f t="shared" si="118"/>
        <v>18</v>
      </c>
      <c r="AK1498" s="289">
        <f t="shared" si="119"/>
        <v>5.1251923545435965</v>
      </c>
    </row>
    <row r="1499" spans="1:37">
      <c r="A1499" s="703" t="s">
        <v>3008</v>
      </c>
      <c r="B1499" s="703" t="s">
        <v>2849</v>
      </c>
      <c r="C1499" s="703" t="s">
        <v>332</v>
      </c>
      <c r="D1499" s="703" t="s">
        <v>334</v>
      </c>
      <c r="E1499" s="703" t="s">
        <v>334</v>
      </c>
      <c r="F1499" s="703" t="s">
        <v>335</v>
      </c>
      <c r="G1499" s="703" t="s">
        <v>2924</v>
      </c>
      <c r="H1499" s="703" t="s">
        <v>334</v>
      </c>
      <c r="I1499" s="703" t="s">
        <v>334</v>
      </c>
      <c r="J1499" s="703" t="s">
        <v>337</v>
      </c>
      <c r="K1499" s="704">
        <v>0</v>
      </c>
      <c r="L1499" s="703" t="s">
        <v>334</v>
      </c>
      <c r="M1499" s="702">
        <v>39478</v>
      </c>
      <c r="N1499" s="702">
        <v>44516</v>
      </c>
      <c r="O1499" s="703" t="s">
        <v>338</v>
      </c>
      <c r="P1499" s="20">
        <v>29.4</v>
      </c>
      <c r="Q1499" s="20">
        <v>0</v>
      </c>
      <c r="R1499" s="20">
        <v>0</v>
      </c>
      <c r="S1499" s="20">
        <v>0</v>
      </c>
      <c r="T1499" s="20">
        <v>29.4</v>
      </c>
      <c r="U1499" s="20">
        <v>29.32</v>
      </c>
      <c r="V1499" s="20">
        <v>-0.08</v>
      </c>
      <c r="W1499" s="20">
        <v>-1.06</v>
      </c>
      <c r="X1499" s="20">
        <v>-0.98</v>
      </c>
      <c r="Y1499" s="20">
        <v>0</v>
      </c>
      <c r="Z1499" s="20">
        <v>0</v>
      </c>
      <c r="AA1499" s="20">
        <v>0</v>
      </c>
      <c r="AB1499" s="20">
        <v>28.34</v>
      </c>
      <c r="AC1499" t="s">
        <v>183</v>
      </c>
      <c r="AD1499" t="s">
        <v>290</v>
      </c>
      <c r="AE1499" s="702">
        <f t="shared" si="115"/>
        <v>44348</v>
      </c>
      <c r="AF1499" s="289">
        <v>33.758408249934298</v>
      </c>
      <c r="AG1499">
        <f t="shared" si="116"/>
        <v>360</v>
      </c>
      <c r="AH1499" s="289">
        <f t="shared" si="117"/>
        <v>9.3773356249817502E-2</v>
      </c>
      <c r="AJ1499" s="289">
        <f t="shared" si="118"/>
        <v>18</v>
      </c>
      <c r="AK1499" s="289">
        <f t="shared" si="119"/>
        <v>1.6879204124967151</v>
      </c>
    </row>
    <row r="1500" spans="1:37">
      <c r="A1500" s="703" t="s">
        <v>3009</v>
      </c>
      <c r="B1500" s="703" t="s">
        <v>2849</v>
      </c>
      <c r="C1500" s="703" t="s">
        <v>332</v>
      </c>
      <c r="D1500" s="703" t="s">
        <v>334</v>
      </c>
      <c r="E1500" s="703" t="s">
        <v>334</v>
      </c>
      <c r="F1500" s="703" t="s">
        <v>335</v>
      </c>
      <c r="G1500" s="703" t="s">
        <v>2924</v>
      </c>
      <c r="H1500" s="703" t="s">
        <v>334</v>
      </c>
      <c r="I1500" s="703" t="s">
        <v>334</v>
      </c>
      <c r="J1500" s="703" t="s">
        <v>337</v>
      </c>
      <c r="K1500" s="704">
        <v>0</v>
      </c>
      <c r="L1500" s="703" t="s">
        <v>334</v>
      </c>
      <c r="M1500" s="702">
        <v>39478</v>
      </c>
      <c r="N1500" s="702">
        <v>44516</v>
      </c>
      <c r="O1500" s="703" t="s">
        <v>338</v>
      </c>
      <c r="P1500" s="20">
        <v>73.11</v>
      </c>
      <c r="Q1500" s="20">
        <v>0</v>
      </c>
      <c r="R1500" s="20">
        <v>0</v>
      </c>
      <c r="S1500" s="20">
        <v>0</v>
      </c>
      <c r="T1500" s="20">
        <v>73.11</v>
      </c>
      <c r="U1500" s="20">
        <v>72.91</v>
      </c>
      <c r="V1500" s="20">
        <v>-0.2</v>
      </c>
      <c r="W1500" s="20">
        <v>-2.64</v>
      </c>
      <c r="X1500" s="20">
        <v>-2.44</v>
      </c>
      <c r="Y1500" s="20">
        <v>0</v>
      </c>
      <c r="Z1500" s="20">
        <v>0</v>
      </c>
      <c r="AA1500" s="20">
        <v>0</v>
      </c>
      <c r="AB1500" s="20">
        <v>70.47</v>
      </c>
      <c r="AC1500" t="s">
        <v>183</v>
      </c>
      <c r="AD1500" t="s">
        <v>290</v>
      </c>
      <c r="AE1500" s="702">
        <f t="shared" si="115"/>
        <v>44348</v>
      </c>
      <c r="AF1500" s="289">
        <v>83.948205005193756</v>
      </c>
      <c r="AG1500">
        <f t="shared" si="116"/>
        <v>360</v>
      </c>
      <c r="AH1500" s="289">
        <f t="shared" si="117"/>
        <v>0.23318945834776045</v>
      </c>
      <c r="AJ1500" s="289">
        <f t="shared" si="118"/>
        <v>18</v>
      </c>
      <c r="AK1500" s="289">
        <f t="shared" si="119"/>
        <v>4.1974102502596882</v>
      </c>
    </row>
    <row r="1501" spans="1:37">
      <c r="A1501" s="703" t="s">
        <v>3010</v>
      </c>
      <c r="B1501" s="703" t="s">
        <v>2849</v>
      </c>
      <c r="C1501" s="703" t="s">
        <v>332</v>
      </c>
      <c r="D1501" s="703" t="s">
        <v>334</v>
      </c>
      <c r="E1501" s="703" t="s">
        <v>334</v>
      </c>
      <c r="F1501" s="703" t="s">
        <v>335</v>
      </c>
      <c r="G1501" s="703" t="s">
        <v>3011</v>
      </c>
      <c r="H1501" s="703" t="s">
        <v>334</v>
      </c>
      <c r="I1501" s="703" t="s">
        <v>334</v>
      </c>
      <c r="J1501" s="703" t="s">
        <v>337</v>
      </c>
      <c r="K1501" s="704">
        <v>0</v>
      </c>
      <c r="L1501" s="703" t="s">
        <v>334</v>
      </c>
      <c r="M1501" s="702">
        <v>42886</v>
      </c>
      <c r="N1501" s="702">
        <v>44516</v>
      </c>
      <c r="O1501" s="703" t="s">
        <v>338</v>
      </c>
      <c r="P1501" s="20">
        <v>1349.32</v>
      </c>
      <c r="Q1501" s="20">
        <v>0</v>
      </c>
      <c r="R1501" s="20">
        <v>0</v>
      </c>
      <c r="S1501" s="20">
        <v>0</v>
      </c>
      <c r="T1501" s="20">
        <v>1349.32</v>
      </c>
      <c r="U1501" s="20">
        <v>1345.57</v>
      </c>
      <c r="V1501" s="20">
        <v>-3.75</v>
      </c>
      <c r="W1501" s="20">
        <v>-48.73</v>
      </c>
      <c r="X1501" s="20">
        <v>-44.98</v>
      </c>
      <c r="Y1501" s="20">
        <v>0</v>
      </c>
      <c r="Z1501" s="20">
        <v>0</v>
      </c>
      <c r="AA1501" s="20">
        <v>0</v>
      </c>
      <c r="AB1501" s="20">
        <v>1300.5899999999999</v>
      </c>
      <c r="AC1501" t="s">
        <v>183</v>
      </c>
      <c r="AD1501" t="s">
        <v>290</v>
      </c>
      <c r="AE1501" s="702">
        <f t="shared" si="115"/>
        <v>44348</v>
      </c>
      <c r="AF1501" s="289">
        <v>1549.3501843469844</v>
      </c>
      <c r="AG1501">
        <f t="shared" si="116"/>
        <v>360</v>
      </c>
      <c r="AH1501" s="289">
        <f t="shared" si="117"/>
        <v>4.3037505120749566</v>
      </c>
      <c r="AJ1501" s="289">
        <f t="shared" si="118"/>
        <v>18</v>
      </c>
      <c r="AK1501" s="289">
        <f t="shared" si="119"/>
        <v>77.467509217349217</v>
      </c>
    </row>
    <row r="1502" spans="1:37">
      <c r="A1502" s="703" t="s">
        <v>3012</v>
      </c>
      <c r="B1502" s="703" t="s">
        <v>2849</v>
      </c>
      <c r="C1502" s="703" t="s">
        <v>332</v>
      </c>
      <c r="D1502" s="703" t="s">
        <v>334</v>
      </c>
      <c r="E1502" s="703" t="s">
        <v>334</v>
      </c>
      <c r="F1502" s="703" t="s">
        <v>335</v>
      </c>
      <c r="G1502" s="703" t="s">
        <v>3011</v>
      </c>
      <c r="H1502" s="703" t="s">
        <v>334</v>
      </c>
      <c r="I1502" s="703" t="s">
        <v>334</v>
      </c>
      <c r="J1502" s="703" t="s">
        <v>337</v>
      </c>
      <c r="K1502" s="704">
        <v>0</v>
      </c>
      <c r="L1502" s="703" t="s">
        <v>334</v>
      </c>
      <c r="M1502" s="702">
        <v>42886</v>
      </c>
      <c r="N1502" s="702">
        <v>44516</v>
      </c>
      <c r="O1502" s="703" t="s">
        <v>338</v>
      </c>
      <c r="P1502" s="20">
        <v>34809.22</v>
      </c>
      <c r="Q1502" s="20">
        <v>0</v>
      </c>
      <c r="R1502" s="20">
        <v>0</v>
      </c>
      <c r="S1502" s="20">
        <v>0</v>
      </c>
      <c r="T1502" s="20">
        <v>34809.22</v>
      </c>
      <c r="U1502" s="20">
        <v>34712.53</v>
      </c>
      <c r="V1502" s="20">
        <v>-96.69</v>
      </c>
      <c r="W1502" s="20">
        <v>-1257</v>
      </c>
      <c r="X1502" s="20">
        <v>-1160.31</v>
      </c>
      <c r="Y1502" s="20">
        <v>0</v>
      </c>
      <c r="Z1502" s="20">
        <v>0</v>
      </c>
      <c r="AA1502" s="20">
        <v>0</v>
      </c>
      <c r="AB1502" s="20">
        <v>33552.22</v>
      </c>
      <c r="AC1502" t="s">
        <v>183</v>
      </c>
      <c r="AD1502" t="s">
        <v>290</v>
      </c>
      <c r="AE1502" s="702">
        <f t="shared" si="115"/>
        <v>44348</v>
      </c>
      <c r="AF1502" s="289">
        <v>39969.519034754347</v>
      </c>
      <c r="AG1502">
        <f t="shared" si="116"/>
        <v>360</v>
      </c>
      <c r="AH1502" s="289">
        <f t="shared" si="117"/>
        <v>111.02644176320652</v>
      </c>
      <c r="AJ1502" s="289">
        <f t="shared" si="118"/>
        <v>18</v>
      </c>
      <c r="AK1502" s="289">
        <f t="shared" si="119"/>
        <v>1998.4759517377174</v>
      </c>
    </row>
    <row r="1503" spans="1:37">
      <c r="A1503" s="703" t="s">
        <v>3013</v>
      </c>
      <c r="B1503" s="703" t="s">
        <v>2849</v>
      </c>
      <c r="C1503" s="703" t="s">
        <v>332</v>
      </c>
      <c r="D1503" s="703" t="s">
        <v>334</v>
      </c>
      <c r="E1503" s="703" t="s">
        <v>334</v>
      </c>
      <c r="F1503" s="703" t="s">
        <v>335</v>
      </c>
      <c r="G1503" s="703" t="s">
        <v>3011</v>
      </c>
      <c r="H1503" s="703" t="s">
        <v>334</v>
      </c>
      <c r="I1503" s="703" t="s">
        <v>334</v>
      </c>
      <c r="J1503" s="703" t="s">
        <v>337</v>
      </c>
      <c r="K1503" s="704">
        <v>0</v>
      </c>
      <c r="L1503" s="703" t="s">
        <v>334</v>
      </c>
      <c r="M1503" s="702">
        <v>42886</v>
      </c>
      <c r="N1503" s="702">
        <v>44516</v>
      </c>
      <c r="O1503" s="703" t="s">
        <v>338</v>
      </c>
      <c r="P1503" s="20">
        <v>774.2</v>
      </c>
      <c r="Q1503" s="20">
        <v>0</v>
      </c>
      <c r="R1503" s="20">
        <v>0</v>
      </c>
      <c r="S1503" s="20">
        <v>0</v>
      </c>
      <c r="T1503" s="20">
        <v>774.2</v>
      </c>
      <c r="U1503" s="20">
        <v>772.05</v>
      </c>
      <c r="V1503" s="20">
        <v>-2.15</v>
      </c>
      <c r="W1503" s="20">
        <v>-27.96</v>
      </c>
      <c r="X1503" s="20">
        <v>-25.81</v>
      </c>
      <c r="Y1503" s="20">
        <v>0</v>
      </c>
      <c r="Z1503" s="20">
        <v>0</v>
      </c>
      <c r="AA1503" s="20">
        <v>0</v>
      </c>
      <c r="AB1503" s="20">
        <v>746.24</v>
      </c>
      <c r="AC1503" t="s">
        <v>183</v>
      </c>
      <c r="AD1503" t="s">
        <v>290</v>
      </c>
      <c r="AE1503" s="702">
        <f t="shared" si="115"/>
        <v>44348</v>
      </c>
      <c r="AF1503" s="289">
        <v>888.97141724826986</v>
      </c>
      <c r="AG1503">
        <f t="shared" si="116"/>
        <v>360</v>
      </c>
      <c r="AH1503" s="289">
        <f t="shared" si="117"/>
        <v>2.4693650479118605</v>
      </c>
      <c r="AJ1503" s="289">
        <f t="shared" si="118"/>
        <v>18</v>
      </c>
      <c r="AK1503" s="289">
        <f t="shared" si="119"/>
        <v>44.44857086241349</v>
      </c>
    </row>
    <row r="1504" spans="1:37">
      <c r="A1504" s="703" t="s">
        <v>3014</v>
      </c>
      <c r="B1504" s="703" t="s">
        <v>2849</v>
      </c>
      <c r="C1504" s="703" t="s">
        <v>332</v>
      </c>
      <c r="D1504" s="703" t="s">
        <v>334</v>
      </c>
      <c r="E1504" s="703" t="s">
        <v>334</v>
      </c>
      <c r="F1504" s="703" t="s">
        <v>335</v>
      </c>
      <c r="G1504" s="703" t="s">
        <v>3011</v>
      </c>
      <c r="H1504" s="703" t="s">
        <v>334</v>
      </c>
      <c r="I1504" s="703" t="s">
        <v>334</v>
      </c>
      <c r="J1504" s="703" t="s">
        <v>337</v>
      </c>
      <c r="K1504" s="704">
        <v>0</v>
      </c>
      <c r="L1504" s="703" t="s">
        <v>334</v>
      </c>
      <c r="M1504" s="702">
        <v>42886</v>
      </c>
      <c r="N1504" s="702">
        <v>44516</v>
      </c>
      <c r="O1504" s="703" t="s">
        <v>338</v>
      </c>
      <c r="P1504" s="20">
        <v>4325.8599999999997</v>
      </c>
      <c r="Q1504" s="20">
        <v>0</v>
      </c>
      <c r="R1504" s="20">
        <v>0</v>
      </c>
      <c r="S1504" s="20">
        <v>0</v>
      </c>
      <c r="T1504" s="20">
        <v>4325.8599999999997</v>
      </c>
      <c r="U1504" s="20">
        <v>4313.84</v>
      </c>
      <c r="V1504" s="20">
        <v>-12.02</v>
      </c>
      <c r="W1504" s="20">
        <v>-156.22</v>
      </c>
      <c r="X1504" s="20">
        <v>-144.19999999999999</v>
      </c>
      <c r="Y1504" s="20">
        <v>0</v>
      </c>
      <c r="Z1504" s="20">
        <v>0</v>
      </c>
      <c r="AA1504" s="20">
        <v>0</v>
      </c>
      <c r="AB1504" s="20">
        <v>4169.6400000000003</v>
      </c>
      <c r="AC1504" t="s">
        <v>183</v>
      </c>
      <c r="AD1504" t="s">
        <v>290</v>
      </c>
      <c r="AE1504" s="702">
        <f t="shared" si="115"/>
        <v>44348</v>
      </c>
      <c r="AF1504" s="289">
        <v>4967.147888165332</v>
      </c>
      <c r="AG1504">
        <f t="shared" si="116"/>
        <v>360</v>
      </c>
      <c r="AH1504" s="289">
        <f t="shared" si="117"/>
        <v>13.797633022681477</v>
      </c>
      <c r="AJ1504" s="289">
        <f t="shared" si="118"/>
        <v>18</v>
      </c>
      <c r="AK1504" s="289">
        <f t="shared" si="119"/>
        <v>248.3573944082666</v>
      </c>
    </row>
    <row r="1505" spans="1:37">
      <c r="A1505" s="703" t="s">
        <v>3015</v>
      </c>
      <c r="B1505" s="703" t="s">
        <v>2849</v>
      </c>
      <c r="C1505" s="703" t="s">
        <v>332</v>
      </c>
      <c r="D1505" s="703" t="s">
        <v>334</v>
      </c>
      <c r="E1505" s="703" t="s">
        <v>334</v>
      </c>
      <c r="F1505" s="703" t="s">
        <v>335</v>
      </c>
      <c r="G1505" s="703" t="s">
        <v>3011</v>
      </c>
      <c r="H1505" s="703" t="s">
        <v>334</v>
      </c>
      <c r="I1505" s="703" t="s">
        <v>334</v>
      </c>
      <c r="J1505" s="703" t="s">
        <v>337</v>
      </c>
      <c r="K1505" s="704">
        <v>0</v>
      </c>
      <c r="L1505" s="703" t="s">
        <v>334</v>
      </c>
      <c r="M1505" s="702">
        <v>42886</v>
      </c>
      <c r="N1505" s="702">
        <v>44516</v>
      </c>
      <c r="O1505" s="703" t="s">
        <v>338</v>
      </c>
      <c r="P1505" s="20">
        <v>104.28</v>
      </c>
      <c r="Q1505" s="20">
        <v>0</v>
      </c>
      <c r="R1505" s="20">
        <v>0</v>
      </c>
      <c r="S1505" s="20">
        <v>0</v>
      </c>
      <c r="T1505" s="20">
        <v>104.28</v>
      </c>
      <c r="U1505" s="20">
        <v>103.99</v>
      </c>
      <c r="V1505" s="20">
        <v>-0.28999999999999998</v>
      </c>
      <c r="W1505" s="20">
        <v>-3.77</v>
      </c>
      <c r="X1505" s="20">
        <v>-3.48</v>
      </c>
      <c r="Y1505" s="20">
        <v>0</v>
      </c>
      <c r="Z1505" s="20">
        <v>0</v>
      </c>
      <c r="AA1505" s="20">
        <v>0</v>
      </c>
      <c r="AB1505" s="20">
        <v>100.51</v>
      </c>
      <c r="AC1505" t="s">
        <v>183</v>
      </c>
      <c r="AD1505" t="s">
        <v>290</v>
      </c>
      <c r="AE1505" s="702">
        <f t="shared" si="115"/>
        <v>44348</v>
      </c>
      <c r="AF1505" s="289">
        <v>119.73900722119552</v>
      </c>
      <c r="AG1505">
        <f t="shared" si="116"/>
        <v>360</v>
      </c>
      <c r="AH1505" s="289">
        <f t="shared" si="117"/>
        <v>0.33260835339220979</v>
      </c>
      <c r="AJ1505" s="289">
        <f t="shared" si="118"/>
        <v>18</v>
      </c>
      <c r="AK1505" s="289">
        <f t="shared" si="119"/>
        <v>5.9869503610597761</v>
      </c>
    </row>
    <row r="1506" spans="1:37">
      <c r="A1506" s="703" t="s">
        <v>3016</v>
      </c>
      <c r="B1506" s="703" t="s">
        <v>2849</v>
      </c>
      <c r="C1506" s="703" t="s">
        <v>332</v>
      </c>
      <c r="D1506" s="703" t="s">
        <v>334</v>
      </c>
      <c r="E1506" s="703" t="s">
        <v>334</v>
      </c>
      <c r="F1506" s="703" t="s">
        <v>335</v>
      </c>
      <c r="G1506" s="703" t="s">
        <v>3011</v>
      </c>
      <c r="H1506" s="703" t="s">
        <v>334</v>
      </c>
      <c r="I1506" s="703" t="s">
        <v>334</v>
      </c>
      <c r="J1506" s="703" t="s">
        <v>337</v>
      </c>
      <c r="K1506" s="704">
        <v>0</v>
      </c>
      <c r="L1506" s="703" t="s">
        <v>334</v>
      </c>
      <c r="M1506" s="702">
        <v>42886</v>
      </c>
      <c r="N1506" s="702">
        <v>44516</v>
      </c>
      <c r="O1506" s="703" t="s">
        <v>338</v>
      </c>
      <c r="P1506" s="20">
        <v>501.31</v>
      </c>
      <c r="Q1506" s="20">
        <v>0</v>
      </c>
      <c r="R1506" s="20">
        <v>0</v>
      </c>
      <c r="S1506" s="20">
        <v>0</v>
      </c>
      <c r="T1506" s="20">
        <v>501.31</v>
      </c>
      <c r="U1506" s="20">
        <v>499.92</v>
      </c>
      <c r="V1506" s="20">
        <v>-1.39</v>
      </c>
      <c r="W1506" s="20">
        <v>-18.100000000000001</v>
      </c>
      <c r="X1506" s="20">
        <v>-16.71</v>
      </c>
      <c r="Y1506" s="20">
        <v>0</v>
      </c>
      <c r="Z1506" s="20">
        <v>0</v>
      </c>
      <c r="AA1506" s="20">
        <v>0</v>
      </c>
      <c r="AB1506" s="20">
        <v>483.21</v>
      </c>
      <c r="AC1506" t="s">
        <v>183</v>
      </c>
      <c r="AD1506" t="s">
        <v>290</v>
      </c>
      <c r="AE1506" s="702">
        <f t="shared" si="115"/>
        <v>44348</v>
      </c>
      <c r="AF1506" s="289">
        <v>575.62679046852247</v>
      </c>
      <c r="AG1506">
        <f t="shared" si="116"/>
        <v>360</v>
      </c>
      <c r="AH1506" s="289">
        <f t="shared" si="117"/>
        <v>1.5989633068570068</v>
      </c>
      <c r="AJ1506" s="289">
        <f t="shared" si="118"/>
        <v>18</v>
      </c>
      <c r="AK1506" s="289">
        <f t="shared" si="119"/>
        <v>28.781339523426123</v>
      </c>
    </row>
    <row r="1507" spans="1:37">
      <c r="A1507" s="703" t="s">
        <v>3017</v>
      </c>
      <c r="B1507" s="703" t="s">
        <v>2849</v>
      </c>
      <c r="C1507" s="703" t="s">
        <v>332</v>
      </c>
      <c r="D1507" s="703" t="s">
        <v>334</v>
      </c>
      <c r="E1507" s="703" t="s">
        <v>334</v>
      </c>
      <c r="F1507" s="703" t="s">
        <v>335</v>
      </c>
      <c r="G1507" s="703" t="s">
        <v>3011</v>
      </c>
      <c r="H1507" s="703" t="s">
        <v>334</v>
      </c>
      <c r="I1507" s="703" t="s">
        <v>334</v>
      </c>
      <c r="J1507" s="703" t="s">
        <v>337</v>
      </c>
      <c r="K1507" s="704">
        <v>0</v>
      </c>
      <c r="L1507" s="703" t="s">
        <v>334</v>
      </c>
      <c r="M1507" s="702">
        <v>42886</v>
      </c>
      <c r="N1507" s="702">
        <v>44516</v>
      </c>
      <c r="O1507" s="703" t="s">
        <v>338</v>
      </c>
      <c r="P1507" s="20">
        <v>15314.91</v>
      </c>
      <c r="Q1507" s="20">
        <v>0</v>
      </c>
      <c r="R1507" s="20">
        <v>0</v>
      </c>
      <c r="S1507" s="20">
        <v>0</v>
      </c>
      <c r="T1507" s="20">
        <v>15314.91</v>
      </c>
      <c r="U1507" s="20">
        <v>15272.37</v>
      </c>
      <c r="V1507" s="20">
        <v>-42.54</v>
      </c>
      <c r="W1507" s="20">
        <v>-553.04</v>
      </c>
      <c r="X1507" s="20">
        <v>-510.5</v>
      </c>
      <c r="Y1507" s="20">
        <v>0</v>
      </c>
      <c r="Z1507" s="20">
        <v>0</v>
      </c>
      <c r="AA1507" s="20">
        <v>0</v>
      </c>
      <c r="AB1507" s="20">
        <v>14761.87</v>
      </c>
      <c r="AC1507" t="s">
        <v>183</v>
      </c>
      <c r="AD1507" t="s">
        <v>290</v>
      </c>
      <c r="AE1507" s="702">
        <f t="shared" si="115"/>
        <v>44348</v>
      </c>
      <c r="AF1507" s="289">
        <v>17585.271567721131</v>
      </c>
      <c r="AG1507">
        <f t="shared" si="116"/>
        <v>360</v>
      </c>
      <c r="AH1507" s="289">
        <f t="shared" si="117"/>
        <v>48.847976577003138</v>
      </c>
      <c r="AJ1507" s="289">
        <f t="shared" si="118"/>
        <v>18</v>
      </c>
      <c r="AK1507" s="289">
        <f t="shared" si="119"/>
        <v>879.26357838605645</v>
      </c>
    </row>
    <row r="1508" spans="1:37">
      <c r="A1508" s="703" t="s">
        <v>3018</v>
      </c>
      <c r="B1508" s="703" t="s">
        <v>2849</v>
      </c>
      <c r="C1508" s="703" t="s">
        <v>332</v>
      </c>
      <c r="D1508" s="703" t="s">
        <v>334</v>
      </c>
      <c r="E1508" s="703" t="s">
        <v>334</v>
      </c>
      <c r="F1508" s="703" t="s">
        <v>335</v>
      </c>
      <c r="G1508" s="703" t="s">
        <v>3011</v>
      </c>
      <c r="H1508" s="703" t="s">
        <v>334</v>
      </c>
      <c r="I1508" s="703" t="s">
        <v>334</v>
      </c>
      <c r="J1508" s="703" t="s">
        <v>337</v>
      </c>
      <c r="K1508" s="704">
        <v>0</v>
      </c>
      <c r="L1508" s="703" t="s">
        <v>334</v>
      </c>
      <c r="M1508" s="702">
        <v>42886</v>
      </c>
      <c r="N1508" s="702">
        <v>44516</v>
      </c>
      <c r="O1508" s="703" t="s">
        <v>338</v>
      </c>
      <c r="P1508" s="20">
        <v>215.26</v>
      </c>
      <c r="Q1508" s="20">
        <v>0</v>
      </c>
      <c r="R1508" s="20">
        <v>0</v>
      </c>
      <c r="S1508" s="20">
        <v>0</v>
      </c>
      <c r="T1508" s="20">
        <v>215.26</v>
      </c>
      <c r="U1508" s="20">
        <v>214.66</v>
      </c>
      <c r="V1508" s="20">
        <v>-0.6</v>
      </c>
      <c r="W1508" s="20">
        <v>-7.78</v>
      </c>
      <c r="X1508" s="20">
        <v>-7.18</v>
      </c>
      <c r="Y1508" s="20">
        <v>0</v>
      </c>
      <c r="Z1508" s="20">
        <v>0</v>
      </c>
      <c r="AA1508" s="20">
        <v>0</v>
      </c>
      <c r="AB1508" s="20">
        <v>207.48</v>
      </c>
      <c r="AC1508" t="s">
        <v>183</v>
      </c>
      <c r="AD1508" t="s">
        <v>290</v>
      </c>
      <c r="AE1508" s="702">
        <f t="shared" si="115"/>
        <v>44348</v>
      </c>
      <c r="AF1508" s="289">
        <v>247.17125713880463</v>
      </c>
      <c r="AG1508">
        <f t="shared" si="116"/>
        <v>360</v>
      </c>
      <c r="AH1508" s="289">
        <f t="shared" si="117"/>
        <v>0.68658682538556848</v>
      </c>
      <c r="AJ1508" s="289">
        <f t="shared" si="118"/>
        <v>18</v>
      </c>
      <c r="AK1508" s="289">
        <f t="shared" si="119"/>
        <v>12.358562856940232</v>
      </c>
    </row>
    <row r="1509" spans="1:37">
      <c r="A1509" s="703" t="s">
        <v>3019</v>
      </c>
      <c r="B1509" s="703" t="s">
        <v>2849</v>
      </c>
      <c r="C1509" s="703" t="s">
        <v>332</v>
      </c>
      <c r="D1509" s="703" t="s">
        <v>334</v>
      </c>
      <c r="E1509" s="703" t="s">
        <v>334</v>
      </c>
      <c r="F1509" s="703" t="s">
        <v>335</v>
      </c>
      <c r="G1509" s="703" t="s">
        <v>3011</v>
      </c>
      <c r="H1509" s="703" t="s">
        <v>334</v>
      </c>
      <c r="I1509" s="703" t="s">
        <v>334</v>
      </c>
      <c r="J1509" s="703" t="s">
        <v>337</v>
      </c>
      <c r="K1509" s="704">
        <v>0</v>
      </c>
      <c r="L1509" s="703" t="s">
        <v>334</v>
      </c>
      <c r="M1509" s="702">
        <v>42886</v>
      </c>
      <c r="N1509" s="702">
        <v>44516</v>
      </c>
      <c r="O1509" s="703" t="s">
        <v>338</v>
      </c>
      <c r="P1509" s="20">
        <v>655.05999999999995</v>
      </c>
      <c r="Q1509" s="20">
        <v>0</v>
      </c>
      <c r="R1509" s="20">
        <v>0</v>
      </c>
      <c r="S1509" s="20">
        <v>0</v>
      </c>
      <c r="T1509" s="20">
        <v>655.05999999999995</v>
      </c>
      <c r="U1509" s="20">
        <v>653.24</v>
      </c>
      <c r="V1509" s="20">
        <v>-1.82</v>
      </c>
      <c r="W1509" s="20">
        <v>-23.66</v>
      </c>
      <c r="X1509" s="20">
        <v>-21.84</v>
      </c>
      <c r="Y1509" s="20">
        <v>0</v>
      </c>
      <c r="Z1509" s="20">
        <v>0</v>
      </c>
      <c r="AA1509" s="20">
        <v>0</v>
      </c>
      <c r="AB1509" s="20">
        <v>631.4</v>
      </c>
      <c r="AC1509" t="s">
        <v>183</v>
      </c>
      <c r="AD1509" t="s">
        <v>290</v>
      </c>
      <c r="AE1509" s="702">
        <f t="shared" si="115"/>
        <v>44348</v>
      </c>
      <c r="AF1509" s="289">
        <v>752.16948667353597</v>
      </c>
      <c r="AG1509">
        <f t="shared" si="116"/>
        <v>360</v>
      </c>
      <c r="AH1509" s="289">
        <f t="shared" si="117"/>
        <v>2.0893596852042666</v>
      </c>
      <c r="AJ1509" s="289">
        <f t="shared" si="118"/>
        <v>18</v>
      </c>
      <c r="AK1509" s="289">
        <f t="shared" si="119"/>
        <v>37.608474333676796</v>
      </c>
    </row>
    <row r="1510" spans="1:37">
      <c r="A1510" s="703" t="s">
        <v>3020</v>
      </c>
      <c r="B1510" s="703" t="s">
        <v>2849</v>
      </c>
      <c r="C1510" s="703" t="s">
        <v>332</v>
      </c>
      <c r="D1510" s="703" t="s">
        <v>334</v>
      </c>
      <c r="E1510" s="703" t="s">
        <v>334</v>
      </c>
      <c r="F1510" s="703" t="s">
        <v>335</v>
      </c>
      <c r="G1510" s="703" t="s">
        <v>3011</v>
      </c>
      <c r="H1510" s="703" t="s">
        <v>334</v>
      </c>
      <c r="I1510" s="703" t="s">
        <v>334</v>
      </c>
      <c r="J1510" s="703" t="s">
        <v>337</v>
      </c>
      <c r="K1510" s="704">
        <v>0</v>
      </c>
      <c r="L1510" s="703" t="s">
        <v>334</v>
      </c>
      <c r="M1510" s="702">
        <v>42886</v>
      </c>
      <c r="N1510" s="702">
        <v>44516</v>
      </c>
      <c r="O1510" s="703" t="s">
        <v>338</v>
      </c>
      <c r="P1510" s="20">
        <v>207.35</v>
      </c>
      <c r="Q1510" s="20">
        <v>0</v>
      </c>
      <c r="R1510" s="20">
        <v>0</v>
      </c>
      <c r="S1510" s="20">
        <v>0</v>
      </c>
      <c r="T1510" s="20">
        <v>207.35</v>
      </c>
      <c r="U1510" s="20">
        <v>206.77</v>
      </c>
      <c r="V1510" s="20">
        <v>-0.57999999999999996</v>
      </c>
      <c r="W1510" s="20">
        <v>-7.49</v>
      </c>
      <c r="X1510" s="20">
        <v>-6.91</v>
      </c>
      <c r="Y1510" s="20">
        <v>0</v>
      </c>
      <c r="Z1510" s="20">
        <v>0</v>
      </c>
      <c r="AA1510" s="20">
        <v>0</v>
      </c>
      <c r="AB1510" s="20">
        <v>199.86</v>
      </c>
      <c r="AC1510" t="s">
        <v>183</v>
      </c>
      <c r="AD1510" t="s">
        <v>290</v>
      </c>
      <c r="AE1510" s="702">
        <f t="shared" si="115"/>
        <v>44348</v>
      </c>
      <c r="AF1510" s="289">
        <v>238.08863777632232</v>
      </c>
      <c r="AG1510">
        <f t="shared" si="116"/>
        <v>360</v>
      </c>
      <c r="AH1510" s="289">
        <f t="shared" si="117"/>
        <v>0.6613573271564509</v>
      </c>
      <c r="AJ1510" s="289">
        <f t="shared" si="118"/>
        <v>18</v>
      </c>
      <c r="AK1510" s="289">
        <f t="shared" si="119"/>
        <v>11.904431888816116</v>
      </c>
    </row>
    <row r="1511" spans="1:37">
      <c r="A1511" s="703" t="s">
        <v>3021</v>
      </c>
      <c r="B1511" s="703" t="s">
        <v>2849</v>
      </c>
      <c r="C1511" s="703" t="s">
        <v>332</v>
      </c>
      <c r="D1511" s="703" t="s">
        <v>334</v>
      </c>
      <c r="E1511" s="703" t="s">
        <v>334</v>
      </c>
      <c r="F1511" s="703" t="s">
        <v>335</v>
      </c>
      <c r="G1511" s="703" t="s">
        <v>3011</v>
      </c>
      <c r="H1511" s="703" t="s">
        <v>334</v>
      </c>
      <c r="I1511" s="703" t="s">
        <v>334</v>
      </c>
      <c r="J1511" s="703" t="s">
        <v>337</v>
      </c>
      <c r="K1511" s="704">
        <v>0</v>
      </c>
      <c r="L1511" s="703" t="s">
        <v>334</v>
      </c>
      <c r="M1511" s="702">
        <v>42886</v>
      </c>
      <c r="N1511" s="702">
        <v>44516</v>
      </c>
      <c r="O1511" s="703" t="s">
        <v>338</v>
      </c>
      <c r="P1511" s="20">
        <v>226.2</v>
      </c>
      <c r="Q1511" s="20">
        <v>0</v>
      </c>
      <c r="R1511" s="20">
        <v>0</v>
      </c>
      <c r="S1511" s="20">
        <v>0</v>
      </c>
      <c r="T1511" s="20">
        <v>226.2</v>
      </c>
      <c r="U1511" s="20">
        <v>225.57</v>
      </c>
      <c r="V1511" s="20">
        <v>-0.63</v>
      </c>
      <c r="W1511" s="20">
        <v>-8.17</v>
      </c>
      <c r="X1511" s="20">
        <v>-7.54</v>
      </c>
      <c r="Y1511" s="20">
        <v>0</v>
      </c>
      <c r="Z1511" s="20">
        <v>0</v>
      </c>
      <c r="AA1511" s="20">
        <v>0</v>
      </c>
      <c r="AB1511" s="20">
        <v>218.03</v>
      </c>
      <c r="AC1511" t="s">
        <v>183</v>
      </c>
      <c r="AD1511" t="s">
        <v>290</v>
      </c>
      <c r="AE1511" s="702">
        <f t="shared" si="115"/>
        <v>44348</v>
      </c>
      <c r="AF1511" s="289">
        <v>259.73305939235161</v>
      </c>
      <c r="AG1511">
        <f t="shared" si="116"/>
        <v>360</v>
      </c>
      <c r="AH1511" s="289">
        <f t="shared" si="117"/>
        <v>0.72148072053431</v>
      </c>
      <c r="AJ1511" s="289">
        <f t="shared" si="118"/>
        <v>18</v>
      </c>
      <c r="AK1511" s="289">
        <f t="shared" si="119"/>
        <v>12.98665296961758</v>
      </c>
    </row>
    <row r="1512" spans="1:37">
      <c r="A1512" s="703" t="s">
        <v>3022</v>
      </c>
      <c r="B1512" s="703" t="s">
        <v>2849</v>
      </c>
      <c r="C1512" s="703" t="s">
        <v>332</v>
      </c>
      <c r="D1512" s="703" t="s">
        <v>334</v>
      </c>
      <c r="E1512" s="703" t="s">
        <v>334</v>
      </c>
      <c r="F1512" s="703" t="s">
        <v>335</v>
      </c>
      <c r="G1512" s="703" t="s">
        <v>3011</v>
      </c>
      <c r="H1512" s="703" t="s">
        <v>334</v>
      </c>
      <c r="I1512" s="703" t="s">
        <v>334</v>
      </c>
      <c r="J1512" s="703" t="s">
        <v>337</v>
      </c>
      <c r="K1512" s="704">
        <v>0</v>
      </c>
      <c r="L1512" s="703" t="s">
        <v>334</v>
      </c>
      <c r="M1512" s="702">
        <v>42886</v>
      </c>
      <c r="N1512" s="702">
        <v>44516</v>
      </c>
      <c r="O1512" s="703" t="s">
        <v>338</v>
      </c>
      <c r="P1512" s="20">
        <v>639.48</v>
      </c>
      <c r="Q1512" s="20">
        <v>0</v>
      </c>
      <c r="R1512" s="20">
        <v>0</v>
      </c>
      <c r="S1512" s="20">
        <v>0</v>
      </c>
      <c r="T1512" s="20">
        <v>639.48</v>
      </c>
      <c r="U1512" s="20">
        <v>637.70000000000005</v>
      </c>
      <c r="V1512" s="20">
        <v>-1.78</v>
      </c>
      <c r="W1512" s="20">
        <v>-23.1</v>
      </c>
      <c r="X1512" s="20">
        <v>-21.32</v>
      </c>
      <c r="Y1512" s="20">
        <v>0</v>
      </c>
      <c r="Z1512" s="20">
        <v>0</v>
      </c>
      <c r="AA1512" s="20">
        <v>0</v>
      </c>
      <c r="AB1512" s="20">
        <v>616.38</v>
      </c>
      <c r="AC1512" t="s">
        <v>183</v>
      </c>
      <c r="AD1512" t="s">
        <v>290</v>
      </c>
      <c r="AE1512" s="702">
        <f t="shared" si="115"/>
        <v>44348</v>
      </c>
      <c r="AF1512" s="289">
        <v>734.27982679142804</v>
      </c>
      <c r="AG1512">
        <f t="shared" si="116"/>
        <v>360</v>
      </c>
      <c r="AH1512" s="289">
        <f t="shared" si="117"/>
        <v>2.0396661855317446</v>
      </c>
      <c r="AJ1512" s="289">
        <f t="shared" si="118"/>
        <v>18</v>
      </c>
      <c r="AK1512" s="289">
        <f t="shared" si="119"/>
        <v>36.7139913395714</v>
      </c>
    </row>
    <row r="1513" spans="1:37">
      <c r="A1513" s="703" t="s">
        <v>3023</v>
      </c>
      <c r="B1513" s="703" t="s">
        <v>2849</v>
      </c>
      <c r="C1513" s="703" t="s">
        <v>332</v>
      </c>
      <c r="D1513" s="703" t="s">
        <v>334</v>
      </c>
      <c r="E1513" s="703" t="s">
        <v>334</v>
      </c>
      <c r="F1513" s="703" t="s">
        <v>335</v>
      </c>
      <c r="G1513" s="703" t="s">
        <v>3011</v>
      </c>
      <c r="H1513" s="703" t="s">
        <v>334</v>
      </c>
      <c r="I1513" s="703" t="s">
        <v>334</v>
      </c>
      <c r="J1513" s="703" t="s">
        <v>337</v>
      </c>
      <c r="K1513" s="704">
        <v>0</v>
      </c>
      <c r="L1513" s="703" t="s">
        <v>334</v>
      </c>
      <c r="M1513" s="702">
        <v>42886</v>
      </c>
      <c r="N1513" s="702">
        <v>44516</v>
      </c>
      <c r="O1513" s="703" t="s">
        <v>338</v>
      </c>
      <c r="P1513" s="20">
        <v>1306.6300000000001</v>
      </c>
      <c r="Q1513" s="20">
        <v>0</v>
      </c>
      <c r="R1513" s="20">
        <v>0</v>
      </c>
      <c r="S1513" s="20">
        <v>0</v>
      </c>
      <c r="T1513" s="20">
        <v>1306.6300000000001</v>
      </c>
      <c r="U1513" s="20">
        <v>1303</v>
      </c>
      <c r="V1513" s="20">
        <v>-3.63</v>
      </c>
      <c r="W1513" s="20">
        <v>-47.18</v>
      </c>
      <c r="X1513" s="20">
        <v>-43.55</v>
      </c>
      <c r="Y1513" s="20">
        <v>0</v>
      </c>
      <c r="Z1513" s="20">
        <v>0</v>
      </c>
      <c r="AA1513" s="20">
        <v>0</v>
      </c>
      <c r="AB1513" s="20">
        <v>1259.45</v>
      </c>
      <c r="AC1513" t="s">
        <v>183</v>
      </c>
      <c r="AD1513" t="s">
        <v>290</v>
      </c>
      <c r="AE1513" s="702">
        <f t="shared" si="115"/>
        <v>44348</v>
      </c>
      <c r="AF1513" s="289">
        <v>1500.3315976738659</v>
      </c>
      <c r="AG1513">
        <f t="shared" si="116"/>
        <v>360</v>
      </c>
      <c r="AH1513" s="289">
        <f t="shared" si="117"/>
        <v>4.1675877713162937</v>
      </c>
      <c r="AJ1513" s="289">
        <f t="shared" si="118"/>
        <v>18</v>
      </c>
      <c r="AK1513" s="289">
        <f t="shared" si="119"/>
        <v>75.016579883693282</v>
      </c>
    </row>
    <row r="1514" spans="1:37">
      <c r="A1514" s="703" t="s">
        <v>3024</v>
      </c>
      <c r="B1514" s="703" t="s">
        <v>2849</v>
      </c>
      <c r="C1514" s="703" t="s">
        <v>332</v>
      </c>
      <c r="D1514" s="703" t="s">
        <v>334</v>
      </c>
      <c r="E1514" s="703" t="s">
        <v>334</v>
      </c>
      <c r="F1514" s="703" t="s">
        <v>335</v>
      </c>
      <c r="G1514" s="703" t="s">
        <v>3011</v>
      </c>
      <c r="H1514" s="703" t="s">
        <v>334</v>
      </c>
      <c r="I1514" s="703" t="s">
        <v>334</v>
      </c>
      <c r="J1514" s="703" t="s">
        <v>337</v>
      </c>
      <c r="K1514" s="704">
        <v>0</v>
      </c>
      <c r="L1514" s="703" t="s">
        <v>334</v>
      </c>
      <c r="M1514" s="702">
        <v>42886</v>
      </c>
      <c r="N1514" s="702">
        <v>44516</v>
      </c>
      <c r="O1514" s="703" t="s">
        <v>338</v>
      </c>
      <c r="P1514" s="20">
        <v>32.24</v>
      </c>
      <c r="Q1514" s="20">
        <v>0</v>
      </c>
      <c r="R1514" s="20">
        <v>0</v>
      </c>
      <c r="S1514" s="20">
        <v>0</v>
      </c>
      <c r="T1514" s="20">
        <v>32.24</v>
      </c>
      <c r="U1514" s="20">
        <v>32.15</v>
      </c>
      <c r="V1514" s="20">
        <v>-0.09</v>
      </c>
      <c r="W1514" s="20">
        <v>-1.1599999999999999</v>
      </c>
      <c r="X1514" s="20">
        <v>-1.07</v>
      </c>
      <c r="Y1514" s="20">
        <v>0</v>
      </c>
      <c r="Z1514" s="20">
        <v>0</v>
      </c>
      <c r="AA1514" s="20">
        <v>0</v>
      </c>
      <c r="AB1514" s="20">
        <v>31.08</v>
      </c>
      <c r="AC1514" t="s">
        <v>183</v>
      </c>
      <c r="AD1514" t="s">
        <v>290</v>
      </c>
      <c r="AE1514" s="702">
        <f t="shared" si="115"/>
        <v>44348</v>
      </c>
      <c r="AF1514" s="289">
        <v>37.019424557070813</v>
      </c>
      <c r="AG1514">
        <f t="shared" si="116"/>
        <v>360</v>
      </c>
      <c r="AH1514" s="289">
        <f t="shared" si="117"/>
        <v>0.10283173488075226</v>
      </c>
      <c r="AJ1514" s="289">
        <f t="shared" si="118"/>
        <v>18</v>
      </c>
      <c r="AK1514" s="289">
        <f t="shared" si="119"/>
        <v>1.8509712278535406</v>
      </c>
    </row>
    <row r="1515" spans="1:37">
      <c r="A1515" s="703" t="s">
        <v>3025</v>
      </c>
      <c r="B1515" s="703" t="s">
        <v>2849</v>
      </c>
      <c r="C1515" s="703" t="s">
        <v>332</v>
      </c>
      <c r="D1515" s="703" t="s">
        <v>334</v>
      </c>
      <c r="E1515" s="703" t="s">
        <v>334</v>
      </c>
      <c r="F1515" s="703" t="s">
        <v>335</v>
      </c>
      <c r="G1515" s="703" t="s">
        <v>3011</v>
      </c>
      <c r="H1515" s="703" t="s">
        <v>334</v>
      </c>
      <c r="I1515" s="703" t="s">
        <v>334</v>
      </c>
      <c r="J1515" s="703" t="s">
        <v>337</v>
      </c>
      <c r="K1515" s="704">
        <v>0</v>
      </c>
      <c r="L1515" s="703" t="s">
        <v>334</v>
      </c>
      <c r="M1515" s="702">
        <v>42886</v>
      </c>
      <c r="N1515" s="702">
        <v>44516</v>
      </c>
      <c r="O1515" s="703" t="s">
        <v>338</v>
      </c>
      <c r="P1515" s="20">
        <v>41.87</v>
      </c>
      <c r="Q1515" s="20">
        <v>0</v>
      </c>
      <c r="R1515" s="20">
        <v>0</v>
      </c>
      <c r="S1515" s="20">
        <v>0</v>
      </c>
      <c r="T1515" s="20">
        <v>41.87</v>
      </c>
      <c r="U1515" s="20">
        <v>41.75</v>
      </c>
      <c r="V1515" s="20">
        <v>-0.12</v>
      </c>
      <c r="W1515" s="20">
        <v>-1.52</v>
      </c>
      <c r="X1515" s="20">
        <v>-1.4</v>
      </c>
      <c r="Y1515" s="20">
        <v>0</v>
      </c>
      <c r="Z1515" s="20">
        <v>0</v>
      </c>
      <c r="AA1515" s="20">
        <v>0</v>
      </c>
      <c r="AB1515" s="20">
        <v>40.35</v>
      </c>
      <c r="AC1515" t="s">
        <v>183</v>
      </c>
      <c r="AD1515" t="s">
        <v>290</v>
      </c>
      <c r="AE1515" s="702">
        <f t="shared" si="115"/>
        <v>44348</v>
      </c>
      <c r="AF1515" s="289">
        <v>48.077025626692141</v>
      </c>
      <c r="AG1515">
        <f t="shared" si="116"/>
        <v>360</v>
      </c>
      <c r="AH1515" s="289">
        <f t="shared" si="117"/>
        <v>0.13354729340747817</v>
      </c>
      <c r="AJ1515" s="289">
        <f t="shared" si="118"/>
        <v>18</v>
      </c>
      <c r="AK1515" s="289">
        <f t="shared" si="119"/>
        <v>2.4038512813346071</v>
      </c>
    </row>
    <row r="1516" spans="1:37">
      <c r="A1516" s="703" t="s">
        <v>3026</v>
      </c>
      <c r="B1516" s="703" t="s">
        <v>2849</v>
      </c>
      <c r="C1516" s="703" t="s">
        <v>332</v>
      </c>
      <c r="D1516" s="703" t="s">
        <v>334</v>
      </c>
      <c r="E1516" s="703" t="s">
        <v>334</v>
      </c>
      <c r="F1516" s="703" t="s">
        <v>335</v>
      </c>
      <c r="G1516" s="703" t="s">
        <v>3011</v>
      </c>
      <c r="H1516" s="703" t="s">
        <v>334</v>
      </c>
      <c r="I1516" s="703" t="s">
        <v>334</v>
      </c>
      <c r="J1516" s="703" t="s">
        <v>337</v>
      </c>
      <c r="K1516" s="704">
        <v>0</v>
      </c>
      <c r="L1516" s="703" t="s">
        <v>334</v>
      </c>
      <c r="M1516" s="702">
        <v>42886</v>
      </c>
      <c r="N1516" s="702">
        <v>44516</v>
      </c>
      <c r="O1516" s="703" t="s">
        <v>338</v>
      </c>
      <c r="P1516" s="20">
        <v>3168.51</v>
      </c>
      <c r="Q1516" s="20">
        <v>0</v>
      </c>
      <c r="R1516" s="20">
        <v>0</v>
      </c>
      <c r="S1516" s="20">
        <v>0</v>
      </c>
      <c r="T1516" s="20">
        <v>3168.51</v>
      </c>
      <c r="U1516" s="20">
        <v>3159.71</v>
      </c>
      <c r="V1516" s="20">
        <v>-8.8000000000000007</v>
      </c>
      <c r="W1516" s="20">
        <v>-114.42</v>
      </c>
      <c r="X1516" s="20">
        <v>-105.62</v>
      </c>
      <c r="Y1516" s="20">
        <v>0</v>
      </c>
      <c r="Z1516" s="20">
        <v>0</v>
      </c>
      <c r="AA1516" s="20">
        <v>0</v>
      </c>
      <c r="AB1516" s="20">
        <v>3054.09</v>
      </c>
      <c r="AC1516" t="s">
        <v>183</v>
      </c>
      <c r="AD1516" t="s">
        <v>290</v>
      </c>
      <c r="AE1516" s="702">
        <f t="shared" si="115"/>
        <v>44348</v>
      </c>
      <c r="AF1516" s="289">
        <v>3638.2263307482763</v>
      </c>
      <c r="AG1516">
        <f t="shared" si="116"/>
        <v>360</v>
      </c>
      <c r="AH1516" s="289">
        <f t="shared" si="117"/>
        <v>10.106184252078545</v>
      </c>
      <c r="AJ1516" s="289">
        <f t="shared" si="118"/>
        <v>18</v>
      </c>
      <c r="AK1516" s="289">
        <f t="shared" si="119"/>
        <v>181.91131653741382</v>
      </c>
    </row>
    <row r="1517" spans="1:37">
      <c r="A1517" s="703" t="s">
        <v>3027</v>
      </c>
      <c r="B1517" s="703" t="s">
        <v>2849</v>
      </c>
      <c r="C1517" s="703" t="s">
        <v>332</v>
      </c>
      <c r="D1517" s="703" t="s">
        <v>334</v>
      </c>
      <c r="E1517" s="703" t="s">
        <v>334</v>
      </c>
      <c r="F1517" s="703" t="s">
        <v>335</v>
      </c>
      <c r="G1517" s="703" t="s">
        <v>3011</v>
      </c>
      <c r="H1517" s="703" t="s">
        <v>334</v>
      </c>
      <c r="I1517" s="703" t="s">
        <v>334</v>
      </c>
      <c r="J1517" s="703" t="s">
        <v>337</v>
      </c>
      <c r="K1517" s="704">
        <v>0</v>
      </c>
      <c r="L1517" s="703" t="s">
        <v>334</v>
      </c>
      <c r="M1517" s="702">
        <v>42886</v>
      </c>
      <c r="N1517" s="702">
        <v>44516</v>
      </c>
      <c r="O1517" s="703" t="s">
        <v>338</v>
      </c>
      <c r="P1517" s="20">
        <v>3.97</v>
      </c>
      <c r="Q1517" s="20">
        <v>0</v>
      </c>
      <c r="R1517" s="20">
        <v>0</v>
      </c>
      <c r="S1517" s="20">
        <v>0</v>
      </c>
      <c r="T1517" s="20">
        <v>3.97</v>
      </c>
      <c r="U1517" s="20">
        <v>3.96</v>
      </c>
      <c r="V1517" s="20">
        <v>-0.01</v>
      </c>
      <c r="W1517" s="20">
        <v>-0.14000000000000001</v>
      </c>
      <c r="X1517" s="20">
        <v>-0.13</v>
      </c>
      <c r="Y1517" s="20">
        <v>0</v>
      </c>
      <c r="Z1517" s="20">
        <v>0</v>
      </c>
      <c r="AA1517" s="20">
        <v>0</v>
      </c>
      <c r="AB1517" s="20">
        <v>3.83</v>
      </c>
      <c r="AC1517" t="s">
        <v>183</v>
      </c>
      <c r="AD1517" t="s">
        <v>290</v>
      </c>
      <c r="AE1517" s="702">
        <f t="shared" si="115"/>
        <v>44348</v>
      </c>
      <c r="AF1517" s="289">
        <v>4.558533358919699</v>
      </c>
      <c r="AG1517">
        <f t="shared" si="116"/>
        <v>360</v>
      </c>
      <c r="AH1517" s="289">
        <f t="shared" si="117"/>
        <v>1.2662592663665831E-2</v>
      </c>
      <c r="AJ1517" s="289">
        <f t="shared" si="118"/>
        <v>18</v>
      </c>
      <c r="AK1517" s="289">
        <f t="shared" si="119"/>
        <v>0.22792666794598496</v>
      </c>
    </row>
    <row r="1518" spans="1:37">
      <c r="A1518" s="703" t="s">
        <v>3028</v>
      </c>
      <c r="B1518" s="703" t="s">
        <v>2849</v>
      </c>
      <c r="C1518" s="703" t="s">
        <v>332</v>
      </c>
      <c r="D1518" s="703" t="s">
        <v>334</v>
      </c>
      <c r="E1518" s="703" t="s">
        <v>334</v>
      </c>
      <c r="F1518" s="703" t="s">
        <v>335</v>
      </c>
      <c r="G1518" s="703" t="s">
        <v>3011</v>
      </c>
      <c r="H1518" s="703" t="s">
        <v>334</v>
      </c>
      <c r="I1518" s="703" t="s">
        <v>334</v>
      </c>
      <c r="J1518" s="703" t="s">
        <v>337</v>
      </c>
      <c r="K1518" s="704">
        <v>0</v>
      </c>
      <c r="L1518" s="703" t="s">
        <v>334</v>
      </c>
      <c r="M1518" s="702">
        <v>42886</v>
      </c>
      <c r="N1518" s="702">
        <v>44516</v>
      </c>
      <c r="O1518" s="703" t="s">
        <v>338</v>
      </c>
      <c r="P1518" s="20">
        <v>8.4</v>
      </c>
      <c r="Q1518" s="20">
        <v>0</v>
      </c>
      <c r="R1518" s="20">
        <v>0</v>
      </c>
      <c r="S1518" s="20">
        <v>0</v>
      </c>
      <c r="T1518" s="20">
        <v>8.4</v>
      </c>
      <c r="U1518" s="20">
        <v>8.3800000000000008</v>
      </c>
      <c r="V1518" s="20">
        <v>-0.02</v>
      </c>
      <c r="W1518" s="20">
        <v>-0.3</v>
      </c>
      <c r="X1518" s="20">
        <v>-0.28000000000000003</v>
      </c>
      <c r="Y1518" s="20">
        <v>0</v>
      </c>
      <c r="Z1518" s="20">
        <v>0</v>
      </c>
      <c r="AA1518" s="20">
        <v>0</v>
      </c>
      <c r="AB1518" s="20">
        <v>8.1</v>
      </c>
      <c r="AC1518" t="s">
        <v>183</v>
      </c>
      <c r="AD1518" t="s">
        <v>290</v>
      </c>
      <c r="AE1518" s="702">
        <f t="shared" si="115"/>
        <v>44348</v>
      </c>
      <c r="AF1518" s="289">
        <v>9.6452594999812291</v>
      </c>
      <c r="AG1518">
        <f t="shared" si="116"/>
        <v>360</v>
      </c>
      <c r="AH1518" s="289">
        <f t="shared" si="117"/>
        <v>2.6792387499947858E-2</v>
      </c>
      <c r="AJ1518" s="289">
        <f t="shared" si="118"/>
        <v>18</v>
      </c>
      <c r="AK1518" s="289">
        <f t="shared" si="119"/>
        <v>0.48226297499906146</v>
      </c>
    </row>
    <row r="1519" spans="1:37">
      <c r="A1519" s="703" t="s">
        <v>3029</v>
      </c>
      <c r="B1519" s="703" t="s">
        <v>2849</v>
      </c>
      <c r="C1519" s="703" t="s">
        <v>332</v>
      </c>
      <c r="D1519" s="703" t="s">
        <v>334</v>
      </c>
      <c r="E1519" s="703" t="s">
        <v>334</v>
      </c>
      <c r="F1519" s="703" t="s">
        <v>335</v>
      </c>
      <c r="G1519" s="703" t="s">
        <v>3011</v>
      </c>
      <c r="H1519" s="703" t="s">
        <v>334</v>
      </c>
      <c r="I1519" s="703" t="s">
        <v>334</v>
      </c>
      <c r="J1519" s="703" t="s">
        <v>337</v>
      </c>
      <c r="K1519" s="704">
        <v>0</v>
      </c>
      <c r="L1519" s="703" t="s">
        <v>334</v>
      </c>
      <c r="M1519" s="702">
        <v>42886</v>
      </c>
      <c r="N1519" s="702">
        <v>44516</v>
      </c>
      <c r="O1519" s="703" t="s">
        <v>338</v>
      </c>
      <c r="P1519" s="20">
        <v>155.97999999999999</v>
      </c>
      <c r="Q1519" s="20">
        <v>0</v>
      </c>
      <c r="R1519" s="20">
        <v>0</v>
      </c>
      <c r="S1519" s="20">
        <v>0</v>
      </c>
      <c r="T1519" s="20">
        <v>155.97999999999999</v>
      </c>
      <c r="U1519" s="20">
        <v>155.55000000000001</v>
      </c>
      <c r="V1519" s="20">
        <v>-0.43</v>
      </c>
      <c r="W1519" s="20">
        <v>-5.63</v>
      </c>
      <c r="X1519" s="20">
        <v>-5.2</v>
      </c>
      <c r="Y1519" s="20">
        <v>0</v>
      </c>
      <c r="Z1519" s="20">
        <v>0</v>
      </c>
      <c r="AA1519" s="20">
        <v>0</v>
      </c>
      <c r="AB1519" s="20">
        <v>150.35</v>
      </c>
      <c r="AC1519" t="s">
        <v>183</v>
      </c>
      <c r="AD1519" t="s">
        <v>290</v>
      </c>
      <c r="AE1519" s="702">
        <f t="shared" si="115"/>
        <v>44348</v>
      </c>
      <c r="AF1519" s="289">
        <v>179.10328295322284</v>
      </c>
      <c r="AG1519">
        <f t="shared" si="116"/>
        <v>360</v>
      </c>
      <c r="AH1519" s="289">
        <f t="shared" si="117"/>
        <v>0.49750911931450792</v>
      </c>
      <c r="AJ1519" s="289">
        <f t="shared" si="118"/>
        <v>18</v>
      </c>
      <c r="AK1519" s="289">
        <f t="shared" si="119"/>
        <v>8.9551641476611419</v>
      </c>
    </row>
    <row r="1520" spans="1:37">
      <c r="A1520" s="703" t="s">
        <v>3030</v>
      </c>
      <c r="B1520" s="703" t="s">
        <v>2849</v>
      </c>
      <c r="C1520" s="703" t="s">
        <v>332</v>
      </c>
      <c r="D1520" s="703" t="s">
        <v>334</v>
      </c>
      <c r="E1520" s="703" t="s">
        <v>334</v>
      </c>
      <c r="F1520" s="703" t="s">
        <v>335</v>
      </c>
      <c r="G1520" s="703" t="s">
        <v>3011</v>
      </c>
      <c r="H1520" s="703" t="s">
        <v>334</v>
      </c>
      <c r="I1520" s="703" t="s">
        <v>334</v>
      </c>
      <c r="J1520" s="703" t="s">
        <v>337</v>
      </c>
      <c r="K1520" s="704">
        <v>0</v>
      </c>
      <c r="L1520" s="703" t="s">
        <v>334</v>
      </c>
      <c r="M1520" s="702">
        <v>42886</v>
      </c>
      <c r="N1520" s="702">
        <v>44516</v>
      </c>
      <c r="O1520" s="703" t="s">
        <v>338</v>
      </c>
      <c r="P1520" s="20">
        <v>169.16</v>
      </c>
      <c r="Q1520" s="20">
        <v>0</v>
      </c>
      <c r="R1520" s="20">
        <v>0</v>
      </c>
      <c r="S1520" s="20">
        <v>0</v>
      </c>
      <c r="T1520" s="20">
        <v>169.16</v>
      </c>
      <c r="U1520" s="20">
        <v>168.69</v>
      </c>
      <c r="V1520" s="20">
        <v>-0.47</v>
      </c>
      <c r="W1520" s="20">
        <v>-6.11</v>
      </c>
      <c r="X1520" s="20">
        <v>-5.64</v>
      </c>
      <c r="Y1520" s="20">
        <v>0</v>
      </c>
      <c r="Z1520" s="20">
        <v>0</v>
      </c>
      <c r="AA1520" s="20">
        <v>0</v>
      </c>
      <c r="AB1520" s="20">
        <v>163.05000000000001</v>
      </c>
      <c r="AC1520" t="s">
        <v>183</v>
      </c>
      <c r="AD1520" t="s">
        <v>290</v>
      </c>
      <c r="AE1520" s="702">
        <f t="shared" si="115"/>
        <v>44348</v>
      </c>
      <c r="AF1520" s="289">
        <v>194.2371544067648</v>
      </c>
      <c r="AG1520">
        <f t="shared" si="116"/>
        <v>360</v>
      </c>
      <c r="AH1520" s="289">
        <f t="shared" si="117"/>
        <v>0.53954765112990222</v>
      </c>
      <c r="AJ1520" s="289">
        <f t="shared" si="118"/>
        <v>18</v>
      </c>
      <c r="AK1520" s="289">
        <f t="shared" si="119"/>
        <v>9.7118577203382408</v>
      </c>
    </row>
    <row r="1521" spans="1:37">
      <c r="A1521" s="703" t="s">
        <v>3031</v>
      </c>
      <c r="B1521" s="703" t="s">
        <v>2849</v>
      </c>
      <c r="C1521" s="703" t="s">
        <v>332</v>
      </c>
      <c r="D1521" s="703" t="s">
        <v>334</v>
      </c>
      <c r="E1521" s="703" t="s">
        <v>334</v>
      </c>
      <c r="F1521" s="703" t="s">
        <v>335</v>
      </c>
      <c r="G1521" s="703" t="s">
        <v>3011</v>
      </c>
      <c r="H1521" s="703" t="s">
        <v>334</v>
      </c>
      <c r="I1521" s="703" t="s">
        <v>334</v>
      </c>
      <c r="J1521" s="703" t="s">
        <v>337</v>
      </c>
      <c r="K1521" s="704">
        <v>0</v>
      </c>
      <c r="L1521" s="703" t="s">
        <v>334</v>
      </c>
      <c r="M1521" s="702">
        <v>42886</v>
      </c>
      <c r="N1521" s="702">
        <v>44516</v>
      </c>
      <c r="O1521" s="703" t="s">
        <v>338</v>
      </c>
      <c r="P1521" s="20">
        <v>80.06</v>
      </c>
      <c r="Q1521" s="20">
        <v>0</v>
      </c>
      <c r="R1521" s="20">
        <v>0</v>
      </c>
      <c r="S1521" s="20">
        <v>0</v>
      </c>
      <c r="T1521" s="20">
        <v>80.06</v>
      </c>
      <c r="U1521" s="20">
        <v>79.84</v>
      </c>
      <c r="V1521" s="20">
        <v>-0.22</v>
      </c>
      <c r="W1521" s="20">
        <v>-2.89</v>
      </c>
      <c r="X1521" s="20">
        <v>-2.67</v>
      </c>
      <c r="Y1521" s="20">
        <v>0</v>
      </c>
      <c r="Z1521" s="20">
        <v>0</v>
      </c>
      <c r="AA1521" s="20">
        <v>0</v>
      </c>
      <c r="AB1521" s="20">
        <v>77.17</v>
      </c>
      <c r="AC1521" t="s">
        <v>183</v>
      </c>
      <c r="AD1521" t="s">
        <v>290</v>
      </c>
      <c r="AE1521" s="702">
        <f t="shared" si="115"/>
        <v>44348</v>
      </c>
      <c r="AF1521" s="289">
        <v>91.928508996249661</v>
      </c>
      <c r="AG1521">
        <f t="shared" si="116"/>
        <v>360</v>
      </c>
      <c r="AH1521" s="289">
        <f t="shared" si="117"/>
        <v>0.25535696943402686</v>
      </c>
      <c r="AJ1521" s="289">
        <f t="shared" si="118"/>
        <v>18</v>
      </c>
      <c r="AK1521" s="289">
        <f t="shared" si="119"/>
        <v>4.5964254498124832</v>
      </c>
    </row>
    <row r="1522" spans="1:37">
      <c r="A1522" s="703" t="s">
        <v>3032</v>
      </c>
      <c r="B1522" s="703" t="s">
        <v>2849</v>
      </c>
      <c r="C1522" s="703" t="s">
        <v>332</v>
      </c>
      <c r="D1522" s="703" t="s">
        <v>334</v>
      </c>
      <c r="E1522" s="703" t="s">
        <v>334</v>
      </c>
      <c r="F1522" s="703" t="s">
        <v>335</v>
      </c>
      <c r="G1522" s="703" t="s">
        <v>3011</v>
      </c>
      <c r="H1522" s="703" t="s">
        <v>334</v>
      </c>
      <c r="I1522" s="703" t="s">
        <v>334</v>
      </c>
      <c r="J1522" s="703" t="s">
        <v>337</v>
      </c>
      <c r="K1522" s="704">
        <v>0</v>
      </c>
      <c r="L1522" s="703" t="s">
        <v>334</v>
      </c>
      <c r="M1522" s="702">
        <v>42886</v>
      </c>
      <c r="N1522" s="702">
        <v>44516</v>
      </c>
      <c r="O1522" s="703" t="s">
        <v>338</v>
      </c>
      <c r="P1522" s="20">
        <v>72.64</v>
      </c>
      <c r="Q1522" s="20">
        <v>0</v>
      </c>
      <c r="R1522" s="20">
        <v>0</v>
      </c>
      <c r="S1522" s="20">
        <v>0</v>
      </c>
      <c r="T1522" s="20">
        <v>72.64</v>
      </c>
      <c r="U1522" s="20">
        <v>72.44</v>
      </c>
      <c r="V1522" s="20">
        <v>-0.2</v>
      </c>
      <c r="W1522" s="20">
        <v>-2.62</v>
      </c>
      <c r="X1522" s="20">
        <v>-2.42</v>
      </c>
      <c r="Y1522" s="20">
        <v>0</v>
      </c>
      <c r="Z1522" s="20">
        <v>0</v>
      </c>
      <c r="AA1522" s="20">
        <v>0</v>
      </c>
      <c r="AB1522" s="20">
        <v>70.02</v>
      </c>
      <c r="AC1522" t="s">
        <v>183</v>
      </c>
      <c r="AD1522" t="s">
        <v>290</v>
      </c>
      <c r="AE1522" s="702">
        <f t="shared" si="115"/>
        <v>44348</v>
      </c>
      <c r="AF1522" s="289">
        <v>83.408529771266231</v>
      </c>
      <c r="AG1522">
        <f t="shared" si="116"/>
        <v>360</v>
      </c>
      <c r="AH1522" s="289">
        <f t="shared" si="117"/>
        <v>0.23169036047573954</v>
      </c>
      <c r="AJ1522" s="289">
        <f t="shared" si="118"/>
        <v>18</v>
      </c>
      <c r="AK1522" s="289">
        <f t="shared" si="119"/>
        <v>4.1704264885633116</v>
      </c>
    </row>
    <row r="1523" spans="1:37">
      <c r="A1523" s="703" t="s">
        <v>3033</v>
      </c>
      <c r="B1523" s="703" t="s">
        <v>2849</v>
      </c>
      <c r="C1523" s="703" t="s">
        <v>332</v>
      </c>
      <c r="D1523" s="703" t="s">
        <v>334</v>
      </c>
      <c r="E1523" s="703" t="s">
        <v>334</v>
      </c>
      <c r="F1523" s="703" t="s">
        <v>335</v>
      </c>
      <c r="G1523" s="703" t="s">
        <v>3011</v>
      </c>
      <c r="H1523" s="703" t="s">
        <v>334</v>
      </c>
      <c r="I1523" s="703" t="s">
        <v>334</v>
      </c>
      <c r="J1523" s="703" t="s">
        <v>337</v>
      </c>
      <c r="K1523" s="704">
        <v>0</v>
      </c>
      <c r="L1523" s="703" t="s">
        <v>334</v>
      </c>
      <c r="M1523" s="702">
        <v>42886</v>
      </c>
      <c r="N1523" s="702">
        <v>44516</v>
      </c>
      <c r="O1523" s="703" t="s">
        <v>338</v>
      </c>
      <c r="P1523" s="20">
        <v>375.44</v>
      </c>
      <c r="Q1523" s="20">
        <v>0</v>
      </c>
      <c r="R1523" s="20">
        <v>0</v>
      </c>
      <c r="S1523" s="20">
        <v>0</v>
      </c>
      <c r="T1523" s="20">
        <v>375.44</v>
      </c>
      <c r="U1523" s="20">
        <v>374.4</v>
      </c>
      <c r="V1523" s="20">
        <v>-1.04</v>
      </c>
      <c r="W1523" s="20">
        <v>-13.55</v>
      </c>
      <c r="X1523" s="20">
        <v>-12.51</v>
      </c>
      <c r="Y1523" s="20">
        <v>0</v>
      </c>
      <c r="Z1523" s="20">
        <v>0</v>
      </c>
      <c r="AA1523" s="20">
        <v>0</v>
      </c>
      <c r="AB1523" s="20">
        <v>361.89</v>
      </c>
      <c r="AC1523" t="s">
        <v>183</v>
      </c>
      <c r="AD1523" t="s">
        <v>290</v>
      </c>
      <c r="AE1523" s="702">
        <f t="shared" si="115"/>
        <v>44348</v>
      </c>
      <c r="AF1523" s="289">
        <v>431.0971698420181</v>
      </c>
      <c r="AG1523">
        <f t="shared" si="116"/>
        <v>360</v>
      </c>
      <c r="AH1523" s="289">
        <f t="shared" si="117"/>
        <v>1.1974921384500503</v>
      </c>
      <c r="AJ1523" s="289">
        <f t="shared" si="118"/>
        <v>18</v>
      </c>
      <c r="AK1523" s="289">
        <f t="shared" si="119"/>
        <v>21.554858492100905</v>
      </c>
    </row>
    <row r="1524" spans="1:37">
      <c r="A1524" s="703" t="s">
        <v>3034</v>
      </c>
      <c r="B1524" s="703" t="s">
        <v>2849</v>
      </c>
      <c r="C1524" s="703" t="s">
        <v>332</v>
      </c>
      <c r="D1524" s="703" t="s">
        <v>334</v>
      </c>
      <c r="E1524" s="703" t="s">
        <v>334</v>
      </c>
      <c r="F1524" s="703" t="s">
        <v>335</v>
      </c>
      <c r="G1524" s="703" t="s">
        <v>3011</v>
      </c>
      <c r="H1524" s="703" t="s">
        <v>334</v>
      </c>
      <c r="I1524" s="703" t="s">
        <v>334</v>
      </c>
      <c r="J1524" s="703" t="s">
        <v>337</v>
      </c>
      <c r="K1524" s="704">
        <v>0</v>
      </c>
      <c r="L1524" s="703" t="s">
        <v>334</v>
      </c>
      <c r="M1524" s="702">
        <v>42886</v>
      </c>
      <c r="N1524" s="702">
        <v>44516</v>
      </c>
      <c r="O1524" s="703" t="s">
        <v>338</v>
      </c>
      <c r="P1524" s="20">
        <v>29.5</v>
      </c>
      <c r="Q1524" s="20">
        <v>0</v>
      </c>
      <c r="R1524" s="20">
        <v>0</v>
      </c>
      <c r="S1524" s="20">
        <v>0</v>
      </c>
      <c r="T1524" s="20">
        <v>29.5</v>
      </c>
      <c r="U1524" s="20">
        <v>29.42</v>
      </c>
      <c r="V1524" s="20">
        <v>-0.08</v>
      </c>
      <c r="W1524" s="20">
        <v>-1.06</v>
      </c>
      <c r="X1524" s="20">
        <v>-0.98</v>
      </c>
      <c r="Y1524" s="20">
        <v>0</v>
      </c>
      <c r="Z1524" s="20">
        <v>0</v>
      </c>
      <c r="AA1524" s="20">
        <v>0</v>
      </c>
      <c r="AB1524" s="20">
        <v>28.44</v>
      </c>
      <c r="AC1524" t="s">
        <v>183</v>
      </c>
      <c r="AD1524" t="s">
        <v>290</v>
      </c>
      <c r="AE1524" s="702">
        <f t="shared" si="115"/>
        <v>44348</v>
      </c>
      <c r="AF1524" s="289">
        <v>33.873232767791215</v>
      </c>
      <c r="AG1524">
        <f t="shared" si="116"/>
        <v>360</v>
      </c>
      <c r="AH1524" s="289">
        <f t="shared" si="117"/>
        <v>9.4092313243864481E-2</v>
      </c>
      <c r="AJ1524" s="289">
        <f t="shared" si="118"/>
        <v>18</v>
      </c>
      <c r="AK1524" s="289">
        <f t="shared" si="119"/>
        <v>1.6936616383895606</v>
      </c>
    </row>
    <row r="1525" spans="1:37">
      <c r="A1525" s="703" t="s">
        <v>3035</v>
      </c>
      <c r="B1525" s="703" t="s">
        <v>2849</v>
      </c>
      <c r="C1525" s="703" t="s">
        <v>332</v>
      </c>
      <c r="D1525" s="703" t="s">
        <v>334</v>
      </c>
      <c r="E1525" s="703" t="s">
        <v>334</v>
      </c>
      <c r="F1525" s="703" t="s">
        <v>335</v>
      </c>
      <c r="G1525" s="703" t="s">
        <v>3011</v>
      </c>
      <c r="H1525" s="703" t="s">
        <v>334</v>
      </c>
      <c r="I1525" s="703" t="s">
        <v>334</v>
      </c>
      <c r="J1525" s="703" t="s">
        <v>337</v>
      </c>
      <c r="K1525" s="704">
        <v>0</v>
      </c>
      <c r="L1525" s="703" t="s">
        <v>334</v>
      </c>
      <c r="M1525" s="702">
        <v>42886</v>
      </c>
      <c r="N1525" s="702">
        <v>44516</v>
      </c>
      <c r="O1525" s="703" t="s">
        <v>338</v>
      </c>
      <c r="P1525" s="20">
        <v>502.12</v>
      </c>
      <c r="Q1525" s="20">
        <v>0</v>
      </c>
      <c r="R1525" s="20">
        <v>0</v>
      </c>
      <c r="S1525" s="20">
        <v>0</v>
      </c>
      <c r="T1525" s="20">
        <v>502.12</v>
      </c>
      <c r="U1525" s="20">
        <v>500.73</v>
      </c>
      <c r="V1525" s="20">
        <v>-1.39</v>
      </c>
      <c r="W1525" s="20">
        <v>-18.13</v>
      </c>
      <c r="X1525" s="20">
        <v>-16.739999999999998</v>
      </c>
      <c r="Y1525" s="20">
        <v>0</v>
      </c>
      <c r="Z1525" s="20">
        <v>0</v>
      </c>
      <c r="AA1525" s="20">
        <v>0</v>
      </c>
      <c r="AB1525" s="20">
        <v>483.99</v>
      </c>
      <c r="AC1525" t="s">
        <v>183</v>
      </c>
      <c r="AD1525" t="s">
        <v>290</v>
      </c>
      <c r="AE1525" s="702">
        <f t="shared" si="115"/>
        <v>44348</v>
      </c>
      <c r="AF1525" s="289">
        <v>576.5568690631635</v>
      </c>
      <c r="AG1525">
        <f t="shared" si="116"/>
        <v>360</v>
      </c>
      <c r="AH1525" s="289">
        <f t="shared" si="117"/>
        <v>1.6015468585087875</v>
      </c>
      <c r="AJ1525" s="289">
        <f t="shared" si="118"/>
        <v>18</v>
      </c>
      <c r="AK1525" s="289">
        <f t="shared" si="119"/>
        <v>28.827843453158174</v>
      </c>
    </row>
    <row r="1526" spans="1:37">
      <c r="A1526" s="703" t="s">
        <v>3036</v>
      </c>
      <c r="B1526" s="703" t="s">
        <v>2849</v>
      </c>
      <c r="C1526" s="703" t="s">
        <v>332</v>
      </c>
      <c r="D1526" s="703" t="s">
        <v>334</v>
      </c>
      <c r="E1526" s="703" t="s">
        <v>334</v>
      </c>
      <c r="F1526" s="703" t="s">
        <v>335</v>
      </c>
      <c r="G1526" s="703" t="s">
        <v>3011</v>
      </c>
      <c r="H1526" s="703" t="s">
        <v>334</v>
      </c>
      <c r="I1526" s="703" t="s">
        <v>334</v>
      </c>
      <c r="J1526" s="703" t="s">
        <v>337</v>
      </c>
      <c r="K1526" s="704">
        <v>0</v>
      </c>
      <c r="L1526" s="703" t="s">
        <v>334</v>
      </c>
      <c r="M1526" s="702">
        <v>42886</v>
      </c>
      <c r="N1526" s="702">
        <v>44516</v>
      </c>
      <c r="O1526" s="703" t="s">
        <v>338</v>
      </c>
      <c r="P1526" s="20">
        <v>8</v>
      </c>
      <c r="Q1526" s="20">
        <v>0</v>
      </c>
      <c r="R1526" s="20">
        <v>0</v>
      </c>
      <c r="S1526" s="20">
        <v>0</v>
      </c>
      <c r="T1526" s="20">
        <v>8</v>
      </c>
      <c r="U1526" s="20">
        <v>7.98</v>
      </c>
      <c r="V1526" s="20">
        <v>-0.02</v>
      </c>
      <c r="W1526" s="20">
        <v>-0.28999999999999998</v>
      </c>
      <c r="X1526" s="20">
        <v>-0.27</v>
      </c>
      <c r="Y1526" s="20">
        <v>0</v>
      </c>
      <c r="Z1526" s="20">
        <v>0</v>
      </c>
      <c r="AA1526" s="20">
        <v>0</v>
      </c>
      <c r="AB1526" s="20">
        <v>7.71</v>
      </c>
      <c r="AC1526" t="s">
        <v>183</v>
      </c>
      <c r="AD1526" t="s">
        <v>290</v>
      </c>
      <c r="AE1526" s="702">
        <f t="shared" si="115"/>
        <v>44348</v>
      </c>
      <c r="AF1526" s="289">
        <v>9.1859614285535507</v>
      </c>
      <c r="AG1526">
        <f t="shared" si="116"/>
        <v>360</v>
      </c>
      <c r="AH1526" s="289">
        <f t="shared" si="117"/>
        <v>2.5516559523759863E-2</v>
      </c>
      <c r="AJ1526" s="289">
        <f t="shared" si="118"/>
        <v>18</v>
      </c>
      <c r="AK1526" s="289">
        <f t="shared" si="119"/>
        <v>0.45929807142767753</v>
      </c>
    </row>
    <row r="1527" spans="1:37">
      <c r="A1527" s="703" t="s">
        <v>3037</v>
      </c>
      <c r="B1527" s="703" t="s">
        <v>2849</v>
      </c>
      <c r="C1527" s="703" t="s">
        <v>332</v>
      </c>
      <c r="D1527" s="703" t="s">
        <v>334</v>
      </c>
      <c r="E1527" s="703" t="s">
        <v>334</v>
      </c>
      <c r="F1527" s="703" t="s">
        <v>335</v>
      </c>
      <c r="G1527" s="703" t="s">
        <v>3011</v>
      </c>
      <c r="H1527" s="703" t="s">
        <v>334</v>
      </c>
      <c r="I1527" s="703" t="s">
        <v>334</v>
      </c>
      <c r="J1527" s="703" t="s">
        <v>337</v>
      </c>
      <c r="K1527" s="704">
        <v>0</v>
      </c>
      <c r="L1527" s="703" t="s">
        <v>334</v>
      </c>
      <c r="M1527" s="702">
        <v>42886</v>
      </c>
      <c r="N1527" s="702">
        <v>44516</v>
      </c>
      <c r="O1527" s="703" t="s">
        <v>338</v>
      </c>
      <c r="P1527" s="20">
        <v>1074</v>
      </c>
      <c r="Q1527" s="20">
        <v>0</v>
      </c>
      <c r="R1527" s="20">
        <v>0</v>
      </c>
      <c r="S1527" s="20">
        <v>0</v>
      </c>
      <c r="T1527" s="20">
        <v>1074</v>
      </c>
      <c r="U1527" s="20">
        <v>1071.02</v>
      </c>
      <c r="V1527" s="20">
        <v>-2.98</v>
      </c>
      <c r="W1527" s="20">
        <v>-38.78</v>
      </c>
      <c r="X1527" s="20">
        <v>-35.799999999999997</v>
      </c>
      <c r="Y1527" s="20">
        <v>0</v>
      </c>
      <c r="Z1527" s="20">
        <v>0</v>
      </c>
      <c r="AA1527" s="20">
        <v>0</v>
      </c>
      <c r="AB1527" s="20">
        <v>1035.22</v>
      </c>
      <c r="AC1527" t="s">
        <v>183</v>
      </c>
      <c r="AD1527" t="s">
        <v>290</v>
      </c>
      <c r="AE1527" s="702">
        <f t="shared" si="115"/>
        <v>44348</v>
      </c>
      <c r="AF1527" s="289">
        <v>1233.215321783314</v>
      </c>
      <c r="AG1527">
        <f t="shared" si="116"/>
        <v>360</v>
      </c>
      <c r="AH1527" s="289">
        <f t="shared" si="117"/>
        <v>3.4255981160647613</v>
      </c>
      <c r="AJ1527" s="289">
        <f t="shared" si="118"/>
        <v>18</v>
      </c>
      <c r="AK1527" s="289">
        <f t="shared" si="119"/>
        <v>61.660766089165705</v>
      </c>
    </row>
    <row r="1528" spans="1:37">
      <c r="A1528" s="703" t="s">
        <v>3038</v>
      </c>
      <c r="B1528" s="703" t="s">
        <v>2849</v>
      </c>
      <c r="C1528" s="703" t="s">
        <v>332</v>
      </c>
      <c r="D1528" s="703" t="s">
        <v>334</v>
      </c>
      <c r="E1528" s="703" t="s">
        <v>334</v>
      </c>
      <c r="F1528" s="703" t="s">
        <v>335</v>
      </c>
      <c r="G1528" s="703" t="s">
        <v>3039</v>
      </c>
      <c r="H1528" s="703" t="s">
        <v>334</v>
      </c>
      <c r="I1528" s="703" t="s">
        <v>334</v>
      </c>
      <c r="J1528" s="703" t="s">
        <v>337</v>
      </c>
      <c r="K1528" s="704">
        <v>0</v>
      </c>
      <c r="L1528" s="703" t="s">
        <v>334</v>
      </c>
      <c r="M1528" s="702">
        <v>42886</v>
      </c>
      <c r="N1528" s="702">
        <v>44516</v>
      </c>
      <c r="O1528" s="703" t="s">
        <v>338</v>
      </c>
      <c r="P1528" s="20">
        <v>537</v>
      </c>
      <c r="Q1528" s="20">
        <v>0</v>
      </c>
      <c r="R1528" s="20">
        <v>0</v>
      </c>
      <c r="S1528" s="20">
        <v>0</v>
      </c>
      <c r="T1528" s="20">
        <v>537</v>
      </c>
      <c r="U1528" s="20">
        <v>535.51</v>
      </c>
      <c r="V1528" s="20">
        <v>-1.49</v>
      </c>
      <c r="W1528" s="20">
        <v>-19.39</v>
      </c>
      <c r="X1528" s="20">
        <v>-17.899999999999999</v>
      </c>
      <c r="Y1528" s="20">
        <v>0</v>
      </c>
      <c r="Z1528" s="20">
        <v>0</v>
      </c>
      <c r="AA1528" s="20">
        <v>0</v>
      </c>
      <c r="AB1528" s="20">
        <v>517.61</v>
      </c>
      <c r="AC1528" t="s">
        <v>183</v>
      </c>
      <c r="AD1528" t="s">
        <v>290</v>
      </c>
      <c r="AE1528" s="702">
        <f t="shared" si="115"/>
        <v>44348</v>
      </c>
      <c r="AF1528" s="289">
        <v>616.60766089165702</v>
      </c>
      <c r="AG1528">
        <f t="shared" si="116"/>
        <v>360</v>
      </c>
      <c r="AH1528" s="289">
        <f t="shared" si="117"/>
        <v>1.7127990580323806</v>
      </c>
      <c r="AJ1528" s="289">
        <f t="shared" si="118"/>
        <v>18</v>
      </c>
      <c r="AK1528" s="289">
        <f t="shared" si="119"/>
        <v>30.830383044582852</v>
      </c>
    </row>
    <row r="1529" spans="1:37">
      <c r="A1529" s="703" t="s">
        <v>3040</v>
      </c>
      <c r="B1529" s="703" t="s">
        <v>2849</v>
      </c>
      <c r="C1529" s="703" t="s">
        <v>332</v>
      </c>
      <c r="D1529" s="703" t="s">
        <v>334</v>
      </c>
      <c r="E1529" s="703" t="s">
        <v>334</v>
      </c>
      <c r="F1529" s="703" t="s">
        <v>335</v>
      </c>
      <c r="G1529" s="703" t="s">
        <v>3039</v>
      </c>
      <c r="H1529" s="703" t="s">
        <v>334</v>
      </c>
      <c r="I1529" s="703" t="s">
        <v>334</v>
      </c>
      <c r="J1529" s="703" t="s">
        <v>337</v>
      </c>
      <c r="K1529" s="704">
        <v>0</v>
      </c>
      <c r="L1529" s="703" t="s">
        <v>334</v>
      </c>
      <c r="M1529" s="702">
        <v>42886</v>
      </c>
      <c r="N1529" s="702">
        <v>44516</v>
      </c>
      <c r="O1529" s="703" t="s">
        <v>338</v>
      </c>
      <c r="P1529" s="20">
        <v>135</v>
      </c>
      <c r="Q1529" s="20">
        <v>0</v>
      </c>
      <c r="R1529" s="20">
        <v>0</v>
      </c>
      <c r="S1529" s="20">
        <v>0</v>
      </c>
      <c r="T1529" s="20">
        <v>135</v>
      </c>
      <c r="U1529" s="20">
        <v>134.62</v>
      </c>
      <c r="V1529" s="20">
        <v>-0.38</v>
      </c>
      <c r="W1529" s="20">
        <v>-4.88</v>
      </c>
      <c r="X1529" s="20">
        <v>-4.5</v>
      </c>
      <c r="Y1529" s="20">
        <v>0</v>
      </c>
      <c r="Z1529" s="20">
        <v>0</v>
      </c>
      <c r="AA1529" s="20">
        <v>0</v>
      </c>
      <c r="AB1529" s="20">
        <v>130.12</v>
      </c>
      <c r="AC1529" t="s">
        <v>183</v>
      </c>
      <c r="AD1529" t="s">
        <v>290</v>
      </c>
      <c r="AE1529" s="702">
        <f t="shared" si="115"/>
        <v>44348</v>
      </c>
      <c r="AF1529" s="289">
        <v>155.01309910684114</v>
      </c>
      <c r="AG1529">
        <f t="shared" si="116"/>
        <v>360</v>
      </c>
      <c r="AH1529" s="289">
        <f t="shared" si="117"/>
        <v>0.43059194196344763</v>
      </c>
      <c r="AJ1529" s="289">
        <f t="shared" si="118"/>
        <v>18</v>
      </c>
      <c r="AK1529" s="289">
        <f t="shared" si="119"/>
        <v>7.750654955342057</v>
      </c>
    </row>
    <row r="1530" spans="1:37">
      <c r="A1530" s="703" t="s">
        <v>3041</v>
      </c>
      <c r="B1530" s="703" t="s">
        <v>2849</v>
      </c>
      <c r="C1530" s="703" t="s">
        <v>332</v>
      </c>
      <c r="D1530" s="703" t="s">
        <v>334</v>
      </c>
      <c r="E1530" s="703" t="s">
        <v>334</v>
      </c>
      <c r="F1530" s="703" t="s">
        <v>335</v>
      </c>
      <c r="G1530" s="703" t="s">
        <v>3039</v>
      </c>
      <c r="H1530" s="703" t="s">
        <v>334</v>
      </c>
      <c r="I1530" s="703" t="s">
        <v>334</v>
      </c>
      <c r="J1530" s="703" t="s">
        <v>337</v>
      </c>
      <c r="K1530" s="704">
        <v>0</v>
      </c>
      <c r="L1530" s="703" t="s">
        <v>334</v>
      </c>
      <c r="M1530" s="702">
        <v>42886</v>
      </c>
      <c r="N1530" s="702">
        <v>44516</v>
      </c>
      <c r="O1530" s="703" t="s">
        <v>338</v>
      </c>
      <c r="P1530" s="20">
        <v>287.56</v>
      </c>
      <c r="Q1530" s="20">
        <v>0</v>
      </c>
      <c r="R1530" s="20">
        <v>0</v>
      </c>
      <c r="S1530" s="20">
        <v>0</v>
      </c>
      <c r="T1530" s="20">
        <v>287.56</v>
      </c>
      <c r="U1530" s="20">
        <v>286.76</v>
      </c>
      <c r="V1530" s="20">
        <v>-0.8</v>
      </c>
      <c r="W1530" s="20">
        <v>-10.39</v>
      </c>
      <c r="X1530" s="20">
        <v>-9.59</v>
      </c>
      <c r="Y1530" s="20">
        <v>0</v>
      </c>
      <c r="Z1530" s="20">
        <v>0</v>
      </c>
      <c r="AA1530" s="20">
        <v>0</v>
      </c>
      <c r="AB1530" s="20">
        <v>277.17</v>
      </c>
      <c r="AC1530" t="s">
        <v>183</v>
      </c>
      <c r="AD1530" t="s">
        <v>290</v>
      </c>
      <c r="AE1530" s="702">
        <f t="shared" si="115"/>
        <v>44348</v>
      </c>
      <c r="AF1530" s="289">
        <v>330.18938354935739</v>
      </c>
      <c r="AG1530">
        <f t="shared" si="116"/>
        <v>360</v>
      </c>
      <c r="AH1530" s="289">
        <f t="shared" si="117"/>
        <v>0.91719273208154828</v>
      </c>
      <c r="AJ1530" s="289">
        <f t="shared" si="118"/>
        <v>18</v>
      </c>
      <c r="AK1530" s="289">
        <f t="shared" si="119"/>
        <v>16.509469177467871</v>
      </c>
    </row>
    <row r="1531" spans="1:37">
      <c r="A1531" s="703" t="s">
        <v>3042</v>
      </c>
      <c r="B1531" s="703" t="s">
        <v>2849</v>
      </c>
      <c r="C1531" s="703" t="s">
        <v>332</v>
      </c>
      <c r="D1531" s="703" t="s">
        <v>334</v>
      </c>
      <c r="E1531" s="703" t="s">
        <v>334</v>
      </c>
      <c r="F1531" s="703" t="s">
        <v>335</v>
      </c>
      <c r="G1531" s="703" t="s">
        <v>3039</v>
      </c>
      <c r="H1531" s="703" t="s">
        <v>334</v>
      </c>
      <c r="I1531" s="703" t="s">
        <v>334</v>
      </c>
      <c r="J1531" s="703" t="s">
        <v>337</v>
      </c>
      <c r="K1531" s="704">
        <v>0</v>
      </c>
      <c r="L1531" s="703" t="s">
        <v>334</v>
      </c>
      <c r="M1531" s="702">
        <v>42886</v>
      </c>
      <c r="N1531" s="702">
        <v>44516</v>
      </c>
      <c r="O1531" s="703" t="s">
        <v>338</v>
      </c>
      <c r="P1531" s="20">
        <v>80.28</v>
      </c>
      <c r="Q1531" s="20">
        <v>0</v>
      </c>
      <c r="R1531" s="20">
        <v>0</v>
      </c>
      <c r="S1531" s="20">
        <v>0</v>
      </c>
      <c r="T1531" s="20">
        <v>80.28</v>
      </c>
      <c r="U1531" s="20">
        <v>80.06</v>
      </c>
      <c r="V1531" s="20">
        <v>-0.22</v>
      </c>
      <c r="W1531" s="20">
        <v>-2.9</v>
      </c>
      <c r="X1531" s="20">
        <v>-2.68</v>
      </c>
      <c r="Y1531" s="20">
        <v>0</v>
      </c>
      <c r="Z1531" s="20">
        <v>0</v>
      </c>
      <c r="AA1531" s="20">
        <v>0</v>
      </c>
      <c r="AB1531" s="20">
        <v>77.38</v>
      </c>
      <c r="AC1531" t="s">
        <v>183</v>
      </c>
      <c r="AD1531" t="s">
        <v>290</v>
      </c>
      <c r="AE1531" s="702">
        <f t="shared" si="115"/>
        <v>44348</v>
      </c>
      <c r="AF1531" s="289">
        <v>92.181122935534873</v>
      </c>
      <c r="AG1531">
        <f t="shared" si="116"/>
        <v>360</v>
      </c>
      <c r="AH1531" s="289">
        <f t="shared" si="117"/>
        <v>0.2560586748209302</v>
      </c>
      <c r="AJ1531" s="289">
        <f t="shared" si="118"/>
        <v>18</v>
      </c>
      <c r="AK1531" s="289">
        <f t="shared" si="119"/>
        <v>4.6090561467767435</v>
      </c>
    </row>
    <row r="1532" spans="1:37">
      <c r="A1532" s="703" t="s">
        <v>3043</v>
      </c>
      <c r="B1532" s="703" t="s">
        <v>2849</v>
      </c>
      <c r="C1532" s="703" t="s">
        <v>332</v>
      </c>
      <c r="D1532" s="703" t="s">
        <v>334</v>
      </c>
      <c r="E1532" s="703" t="s">
        <v>334</v>
      </c>
      <c r="F1532" s="703" t="s">
        <v>335</v>
      </c>
      <c r="G1532" s="703" t="s">
        <v>3039</v>
      </c>
      <c r="H1532" s="703" t="s">
        <v>334</v>
      </c>
      <c r="I1532" s="703" t="s">
        <v>334</v>
      </c>
      <c r="J1532" s="703" t="s">
        <v>337</v>
      </c>
      <c r="K1532" s="704">
        <v>0</v>
      </c>
      <c r="L1532" s="703" t="s">
        <v>334</v>
      </c>
      <c r="M1532" s="702">
        <v>42886</v>
      </c>
      <c r="N1532" s="702">
        <v>44516</v>
      </c>
      <c r="O1532" s="703" t="s">
        <v>338</v>
      </c>
      <c r="P1532" s="20">
        <v>1132.96</v>
      </c>
      <c r="Q1532" s="20">
        <v>0</v>
      </c>
      <c r="R1532" s="20">
        <v>0</v>
      </c>
      <c r="S1532" s="20">
        <v>0</v>
      </c>
      <c r="T1532" s="20">
        <v>1132.96</v>
      </c>
      <c r="U1532" s="20">
        <v>1129.81</v>
      </c>
      <c r="V1532" s="20">
        <v>-3.15</v>
      </c>
      <c r="W1532" s="20">
        <v>-40.92</v>
      </c>
      <c r="X1532" s="20">
        <v>-37.770000000000003</v>
      </c>
      <c r="Y1532" s="20">
        <v>0</v>
      </c>
      <c r="Z1532" s="20">
        <v>0</v>
      </c>
      <c r="AA1532" s="20">
        <v>0</v>
      </c>
      <c r="AB1532" s="20">
        <v>1092.04</v>
      </c>
      <c r="AC1532" t="s">
        <v>183</v>
      </c>
      <c r="AD1532" t="s">
        <v>290</v>
      </c>
      <c r="AE1532" s="702">
        <f t="shared" si="115"/>
        <v>44348</v>
      </c>
      <c r="AF1532" s="289">
        <v>1300.9158575117538</v>
      </c>
      <c r="AG1532">
        <f t="shared" si="116"/>
        <v>360</v>
      </c>
      <c r="AH1532" s="289">
        <f t="shared" si="117"/>
        <v>3.6136551597548716</v>
      </c>
      <c r="AJ1532" s="289">
        <f t="shared" si="118"/>
        <v>18</v>
      </c>
      <c r="AK1532" s="289">
        <f t="shared" si="119"/>
        <v>65.045792875587694</v>
      </c>
    </row>
    <row r="1533" spans="1:37">
      <c r="A1533" s="703" t="s">
        <v>3044</v>
      </c>
      <c r="B1533" s="703" t="s">
        <v>2849</v>
      </c>
      <c r="C1533" s="703" t="s">
        <v>332</v>
      </c>
      <c r="D1533" s="703" t="s">
        <v>334</v>
      </c>
      <c r="E1533" s="703" t="s">
        <v>334</v>
      </c>
      <c r="F1533" s="703" t="s">
        <v>335</v>
      </c>
      <c r="G1533" s="703" t="s">
        <v>3039</v>
      </c>
      <c r="H1533" s="703" t="s">
        <v>334</v>
      </c>
      <c r="I1533" s="703" t="s">
        <v>334</v>
      </c>
      <c r="J1533" s="703" t="s">
        <v>337</v>
      </c>
      <c r="K1533" s="704">
        <v>0</v>
      </c>
      <c r="L1533" s="703" t="s">
        <v>334</v>
      </c>
      <c r="M1533" s="702">
        <v>42886</v>
      </c>
      <c r="N1533" s="702">
        <v>44516</v>
      </c>
      <c r="O1533" s="703" t="s">
        <v>338</v>
      </c>
      <c r="P1533" s="20">
        <v>271.18</v>
      </c>
      <c r="Q1533" s="20">
        <v>0</v>
      </c>
      <c r="R1533" s="20">
        <v>0</v>
      </c>
      <c r="S1533" s="20">
        <v>0</v>
      </c>
      <c r="T1533" s="20">
        <v>271.18</v>
      </c>
      <c r="U1533" s="20">
        <v>270.43</v>
      </c>
      <c r="V1533" s="20">
        <v>-0.75</v>
      </c>
      <c r="W1533" s="20">
        <v>-9.7899999999999991</v>
      </c>
      <c r="X1533" s="20">
        <v>-9.0399999999999991</v>
      </c>
      <c r="Y1533" s="20">
        <v>0</v>
      </c>
      <c r="Z1533" s="20">
        <v>0</v>
      </c>
      <c r="AA1533" s="20">
        <v>0</v>
      </c>
      <c r="AB1533" s="20">
        <v>261.39</v>
      </c>
      <c r="AC1533" t="s">
        <v>183</v>
      </c>
      <c r="AD1533" t="s">
        <v>290</v>
      </c>
      <c r="AE1533" s="702">
        <f t="shared" si="115"/>
        <v>44348</v>
      </c>
      <c r="AF1533" s="289">
        <v>311.381127524394</v>
      </c>
      <c r="AG1533">
        <f t="shared" si="116"/>
        <v>360</v>
      </c>
      <c r="AH1533" s="289">
        <f t="shared" si="117"/>
        <v>0.86494757645664999</v>
      </c>
      <c r="AJ1533" s="289">
        <f t="shared" si="118"/>
        <v>18</v>
      </c>
      <c r="AK1533" s="289">
        <f t="shared" si="119"/>
        <v>15.569056376219701</v>
      </c>
    </row>
    <row r="1534" spans="1:37">
      <c r="A1534" s="703" t="s">
        <v>3045</v>
      </c>
      <c r="B1534" s="703" t="s">
        <v>2849</v>
      </c>
      <c r="C1534" s="703" t="s">
        <v>332</v>
      </c>
      <c r="D1534" s="703" t="s">
        <v>334</v>
      </c>
      <c r="E1534" s="703" t="s">
        <v>334</v>
      </c>
      <c r="F1534" s="703" t="s">
        <v>335</v>
      </c>
      <c r="G1534" s="703" t="s">
        <v>3039</v>
      </c>
      <c r="H1534" s="703" t="s">
        <v>334</v>
      </c>
      <c r="I1534" s="703" t="s">
        <v>334</v>
      </c>
      <c r="J1534" s="703" t="s">
        <v>337</v>
      </c>
      <c r="K1534" s="704">
        <v>0</v>
      </c>
      <c r="L1534" s="703" t="s">
        <v>334</v>
      </c>
      <c r="M1534" s="702">
        <v>42886</v>
      </c>
      <c r="N1534" s="702">
        <v>44516</v>
      </c>
      <c r="O1534" s="703" t="s">
        <v>338</v>
      </c>
      <c r="P1534" s="20">
        <v>7219.76</v>
      </c>
      <c r="Q1534" s="20">
        <v>0</v>
      </c>
      <c r="R1534" s="20">
        <v>0</v>
      </c>
      <c r="S1534" s="20">
        <v>0</v>
      </c>
      <c r="T1534" s="20">
        <v>7219.76</v>
      </c>
      <c r="U1534" s="20">
        <v>7199.71</v>
      </c>
      <c r="V1534" s="20">
        <v>-20.05</v>
      </c>
      <c r="W1534" s="20">
        <v>-260.70999999999998</v>
      </c>
      <c r="X1534" s="20">
        <v>-240.66</v>
      </c>
      <c r="Y1534" s="20">
        <v>0</v>
      </c>
      <c r="Z1534" s="20">
        <v>0</v>
      </c>
      <c r="AA1534" s="20">
        <v>0</v>
      </c>
      <c r="AB1534" s="20">
        <v>6959.05</v>
      </c>
      <c r="AC1534" t="s">
        <v>183</v>
      </c>
      <c r="AD1534" t="s">
        <v>290</v>
      </c>
      <c r="AE1534" s="702">
        <f t="shared" si="115"/>
        <v>44348</v>
      </c>
      <c r="AF1534" s="289">
        <v>8290.0546104267232</v>
      </c>
      <c r="AG1534">
        <f t="shared" si="116"/>
        <v>360</v>
      </c>
      <c r="AH1534" s="289">
        <f t="shared" si="117"/>
        <v>23.027929473407564</v>
      </c>
      <c r="AJ1534" s="289">
        <f t="shared" si="118"/>
        <v>18</v>
      </c>
      <c r="AK1534" s="289">
        <f t="shared" si="119"/>
        <v>414.50273052133616</v>
      </c>
    </row>
    <row r="1535" spans="1:37">
      <c r="A1535" s="703" t="s">
        <v>3046</v>
      </c>
      <c r="B1535" s="703" t="s">
        <v>2849</v>
      </c>
      <c r="C1535" s="703" t="s">
        <v>332</v>
      </c>
      <c r="D1535" s="703" t="s">
        <v>334</v>
      </c>
      <c r="E1535" s="703" t="s">
        <v>334</v>
      </c>
      <c r="F1535" s="703" t="s">
        <v>335</v>
      </c>
      <c r="G1535" s="703" t="s">
        <v>3039</v>
      </c>
      <c r="H1535" s="703" t="s">
        <v>334</v>
      </c>
      <c r="I1535" s="703" t="s">
        <v>334</v>
      </c>
      <c r="J1535" s="703" t="s">
        <v>337</v>
      </c>
      <c r="K1535" s="704">
        <v>0</v>
      </c>
      <c r="L1535" s="703" t="s">
        <v>334</v>
      </c>
      <c r="M1535" s="702">
        <v>42886</v>
      </c>
      <c r="N1535" s="702">
        <v>44516</v>
      </c>
      <c r="O1535" s="703" t="s">
        <v>338</v>
      </c>
      <c r="P1535" s="20">
        <v>1452.79</v>
      </c>
      <c r="Q1535" s="20">
        <v>0</v>
      </c>
      <c r="R1535" s="20">
        <v>0</v>
      </c>
      <c r="S1535" s="20">
        <v>0</v>
      </c>
      <c r="T1535" s="20">
        <v>1452.79</v>
      </c>
      <c r="U1535" s="20">
        <v>1448.75</v>
      </c>
      <c r="V1535" s="20">
        <v>-4.04</v>
      </c>
      <c r="W1535" s="20">
        <v>-52.47</v>
      </c>
      <c r="X1535" s="20">
        <v>-48.43</v>
      </c>
      <c r="Y1535" s="20">
        <v>0</v>
      </c>
      <c r="Z1535" s="20">
        <v>0</v>
      </c>
      <c r="AA1535" s="20">
        <v>0</v>
      </c>
      <c r="AB1535" s="20">
        <v>1400.32</v>
      </c>
      <c r="AC1535" t="s">
        <v>183</v>
      </c>
      <c r="AD1535" t="s">
        <v>290</v>
      </c>
      <c r="AE1535" s="702">
        <f t="shared" si="115"/>
        <v>44348</v>
      </c>
      <c r="AF1535" s="289">
        <v>1668.1591129735391</v>
      </c>
      <c r="AG1535">
        <f t="shared" si="116"/>
        <v>360</v>
      </c>
      <c r="AH1535" s="289">
        <f t="shared" si="117"/>
        <v>4.6337753138153861</v>
      </c>
      <c r="AJ1535" s="289">
        <f t="shared" si="118"/>
        <v>18</v>
      </c>
      <c r="AK1535" s="289">
        <f t="shared" si="119"/>
        <v>83.407955648676946</v>
      </c>
    </row>
    <row r="1536" spans="1:37">
      <c r="A1536" s="703" t="s">
        <v>3047</v>
      </c>
      <c r="B1536" s="703" t="s">
        <v>2849</v>
      </c>
      <c r="C1536" s="703" t="s">
        <v>332</v>
      </c>
      <c r="D1536" s="703" t="s">
        <v>334</v>
      </c>
      <c r="E1536" s="703" t="s">
        <v>334</v>
      </c>
      <c r="F1536" s="703" t="s">
        <v>335</v>
      </c>
      <c r="G1536" s="703" t="s">
        <v>3048</v>
      </c>
      <c r="H1536" s="703" t="s">
        <v>334</v>
      </c>
      <c r="I1536" s="703" t="s">
        <v>334</v>
      </c>
      <c r="J1536" s="703" t="s">
        <v>337</v>
      </c>
      <c r="K1536" s="704">
        <v>0</v>
      </c>
      <c r="L1536" s="703" t="s">
        <v>334</v>
      </c>
      <c r="M1536" s="702">
        <v>42886</v>
      </c>
      <c r="N1536" s="702">
        <v>44516</v>
      </c>
      <c r="O1536" s="703" t="s">
        <v>338</v>
      </c>
      <c r="P1536" s="20">
        <v>5.23</v>
      </c>
      <c r="Q1536" s="20">
        <v>0</v>
      </c>
      <c r="R1536" s="20">
        <v>0</v>
      </c>
      <c r="S1536" s="20">
        <v>0</v>
      </c>
      <c r="T1536" s="20">
        <v>5.23</v>
      </c>
      <c r="U1536" s="20">
        <v>5.22</v>
      </c>
      <c r="V1536" s="20">
        <v>-0.01</v>
      </c>
      <c r="W1536" s="20">
        <v>-0.18</v>
      </c>
      <c r="X1536" s="20">
        <v>-0.17</v>
      </c>
      <c r="Y1536" s="20">
        <v>0</v>
      </c>
      <c r="Z1536" s="20">
        <v>0</v>
      </c>
      <c r="AA1536" s="20">
        <v>0</v>
      </c>
      <c r="AB1536" s="20">
        <v>5.05</v>
      </c>
      <c r="AC1536" t="s">
        <v>183</v>
      </c>
      <c r="AD1536" t="s">
        <v>290</v>
      </c>
      <c r="AE1536" s="702">
        <f t="shared" si="115"/>
        <v>44348</v>
      </c>
      <c r="AF1536" s="289">
        <v>6.0053222839168834</v>
      </c>
      <c r="AG1536">
        <f t="shared" si="116"/>
        <v>360</v>
      </c>
      <c r="AH1536" s="289">
        <f t="shared" si="117"/>
        <v>1.6681450788658011E-2</v>
      </c>
      <c r="AJ1536" s="289">
        <f t="shared" si="118"/>
        <v>18</v>
      </c>
      <c r="AK1536" s="289">
        <f t="shared" si="119"/>
        <v>0.3002661141958442</v>
      </c>
    </row>
    <row r="1537" spans="1:37">
      <c r="A1537" s="703" t="s">
        <v>3049</v>
      </c>
      <c r="B1537" s="703" t="s">
        <v>2849</v>
      </c>
      <c r="C1537" s="703" t="s">
        <v>332</v>
      </c>
      <c r="D1537" s="703" t="s">
        <v>334</v>
      </c>
      <c r="E1537" s="703" t="s">
        <v>334</v>
      </c>
      <c r="F1537" s="703" t="s">
        <v>335</v>
      </c>
      <c r="G1537" s="703" t="s">
        <v>3048</v>
      </c>
      <c r="H1537" s="703" t="s">
        <v>334</v>
      </c>
      <c r="I1537" s="703" t="s">
        <v>334</v>
      </c>
      <c r="J1537" s="703" t="s">
        <v>337</v>
      </c>
      <c r="K1537" s="704">
        <v>0</v>
      </c>
      <c r="L1537" s="703" t="s">
        <v>334</v>
      </c>
      <c r="M1537" s="702">
        <v>42886</v>
      </c>
      <c r="N1537" s="702">
        <v>44516</v>
      </c>
      <c r="O1537" s="703" t="s">
        <v>338</v>
      </c>
      <c r="P1537" s="20">
        <v>9.6</v>
      </c>
      <c r="Q1537" s="20">
        <v>0</v>
      </c>
      <c r="R1537" s="20">
        <v>0</v>
      </c>
      <c r="S1537" s="20">
        <v>0</v>
      </c>
      <c r="T1537" s="20">
        <v>9.6</v>
      </c>
      <c r="U1537" s="20">
        <v>9.57</v>
      </c>
      <c r="V1537" s="20">
        <v>-0.03</v>
      </c>
      <c r="W1537" s="20">
        <v>-0.35</v>
      </c>
      <c r="X1537" s="20">
        <v>-0.32</v>
      </c>
      <c r="Y1537" s="20">
        <v>0</v>
      </c>
      <c r="Z1537" s="20">
        <v>0</v>
      </c>
      <c r="AA1537" s="20">
        <v>0</v>
      </c>
      <c r="AB1537" s="20">
        <v>9.25</v>
      </c>
      <c r="AC1537" t="s">
        <v>183</v>
      </c>
      <c r="AD1537" t="s">
        <v>290</v>
      </c>
      <c r="AE1537" s="702">
        <f t="shared" si="115"/>
        <v>44348</v>
      </c>
      <c r="AF1537" s="289">
        <v>11.023153714264259</v>
      </c>
      <c r="AG1537">
        <f t="shared" si="116"/>
        <v>360</v>
      </c>
      <c r="AH1537" s="289">
        <f t="shared" si="117"/>
        <v>3.061987142851183E-2</v>
      </c>
      <c r="AJ1537" s="289">
        <f t="shared" si="118"/>
        <v>18</v>
      </c>
      <c r="AK1537" s="289">
        <f t="shared" si="119"/>
        <v>0.551157685713213</v>
      </c>
    </row>
    <row r="1538" spans="1:37">
      <c r="A1538" s="703" t="s">
        <v>3050</v>
      </c>
      <c r="B1538" s="703" t="s">
        <v>2849</v>
      </c>
      <c r="C1538" s="703" t="s">
        <v>332</v>
      </c>
      <c r="D1538" s="703" t="s">
        <v>334</v>
      </c>
      <c r="E1538" s="703" t="s">
        <v>334</v>
      </c>
      <c r="F1538" s="703" t="s">
        <v>335</v>
      </c>
      <c r="G1538" s="703" t="s">
        <v>3048</v>
      </c>
      <c r="H1538" s="703" t="s">
        <v>334</v>
      </c>
      <c r="I1538" s="703" t="s">
        <v>334</v>
      </c>
      <c r="J1538" s="703" t="s">
        <v>337</v>
      </c>
      <c r="K1538" s="704">
        <v>0</v>
      </c>
      <c r="L1538" s="703" t="s">
        <v>334</v>
      </c>
      <c r="M1538" s="702">
        <v>42886</v>
      </c>
      <c r="N1538" s="702">
        <v>44516</v>
      </c>
      <c r="O1538" s="703" t="s">
        <v>338</v>
      </c>
      <c r="P1538" s="20">
        <v>155.21</v>
      </c>
      <c r="Q1538" s="20">
        <v>0</v>
      </c>
      <c r="R1538" s="20">
        <v>0</v>
      </c>
      <c r="S1538" s="20">
        <v>0</v>
      </c>
      <c r="T1538" s="20">
        <v>155.21</v>
      </c>
      <c r="U1538" s="20">
        <v>154.78</v>
      </c>
      <c r="V1538" s="20">
        <v>-0.43</v>
      </c>
      <c r="W1538" s="20">
        <v>-5.6</v>
      </c>
      <c r="X1538" s="20">
        <v>-5.17</v>
      </c>
      <c r="Y1538" s="20">
        <v>0</v>
      </c>
      <c r="Z1538" s="20">
        <v>0</v>
      </c>
      <c r="AA1538" s="20">
        <v>0</v>
      </c>
      <c r="AB1538" s="20">
        <v>149.61000000000001</v>
      </c>
      <c r="AC1538" t="s">
        <v>183</v>
      </c>
      <c r="AD1538" t="s">
        <v>290</v>
      </c>
      <c r="AE1538" s="702">
        <f t="shared" si="115"/>
        <v>44348</v>
      </c>
      <c r="AF1538" s="289">
        <v>178.21913416572457</v>
      </c>
      <c r="AG1538">
        <f t="shared" si="116"/>
        <v>360</v>
      </c>
      <c r="AH1538" s="289">
        <f t="shared" si="117"/>
        <v>0.49505315046034604</v>
      </c>
      <c r="AJ1538" s="289">
        <f t="shared" si="118"/>
        <v>18</v>
      </c>
      <c r="AK1538" s="289">
        <f t="shared" si="119"/>
        <v>8.9109567082862284</v>
      </c>
    </row>
    <row r="1539" spans="1:37">
      <c r="A1539" s="703" t="s">
        <v>3051</v>
      </c>
      <c r="B1539" s="703" t="s">
        <v>2849</v>
      </c>
      <c r="C1539" s="703" t="s">
        <v>332</v>
      </c>
      <c r="D1539" s="703" t="s">
        <v>334</v>
      </c>
      <c r="E1539" s="703" t="s">
        <v>334</v>
      </c>
      <c r="F1539" s="703" t="s">
        <v>335</v>
      </c>
      <c r="G1539" s="703" t="s">
        <v>3048</v>
      </c>
      <c r="H1539" s="703" t="s">
        <v>334</v>
      </c>
      <c r="I1539" s="703" t="s">
        <v>334</v>
      </c>
      <c r="J1539" s="703" t="s">
        <v>337</v>
      </c>
      <c r="K1539" s="704">
        <v>0</v>
      </c>
      <c r="L1539" s="703" t="s">
        <v>334</v>
      </c>
      <c r="M1539" s="702">
        <v>42886</v>
      </c>
      <c r="N1539" s="702">
        <v>44516</v>
      </c>
      <c r="O1539" s="703" t="s">
        <v>338</v>
      </c>
      <c r="P1539" s="20">
        <v>623.02</v>
      </c>
      <c r="Q1539" s="20">
        <v>0</v>
      </c>
      <c r="R1539" s="20">
        <v>0</v>
      </c>
      <c r="S1539" s="20">
        <v>0</v>
      </c>
      <c r="T1539" s="20">
        <v>623.02</v>
      </c>
      <c r="U1539" s="20">
        <v>621.29</v>
      </c>
      <c r="V1539" s="20">
        <v>-1.73</v>
      </c>
      <c r="W1539" s="20">
        <v>-22.5</v>
      </c>
      <c r="X1539" s="20">
        <v>-20.77</v>
      </c>
      <c r="Y1539" s="20">
        <v>0</v>
      </c>
      <c r="Z1539" s="20">
        <v>0</v>
      </c>
      <c r="AA1539" s="20">
        <v>0</v>
      </c>
      <c r="AB1539" s="20">
        <v>600.52</v>
      </c>
      <c r="AC1539" t="s">
        <v>183</v>
      </c>
      <c r="AD1539" t="s">
        <v>290</v>
      </c>
      <c r="AE1539" s="702">
        <f t="shared" si="115"/>
        <v>44348</v>
      </c>
      <c r="AF1539" s="289">
        <v>715.37971115217908</v>
      </c>
      <c r="AG1539">
        <f t="shared" si="116"/>
        <v>360</v>
      </c>
      <c r="AH1539" s="289">
        <f t="shared" si="117"/>
        <v>1.9871658643116086</v>
      </c>
      <c r="AJ1539" s="289">
        <f t="shared" si="118"/>
        <v>18</v>
      </c>
      <c r="AK1539" s="289">
        <f t="shared" si="119"/>
        <v>35.768985557608957</v>
      </c>
    </row>
    <row r="1540" spans="1:37">
      <c r="A1540" s="703" t="s">
        <v>3052</v>
      </c>
      <c r="B1540" s="703" t="s">
        <v>2849</v>
      </c>
      <c r="C1540" s="703" t="s">
        <v>332</v>
      </c>
      <c r="D1540" s="703" t="s">
        <v>334</v>
      </c>
      <c r="E1540" s="703" t="s">
        <v>334</v>
      </c>
      <c r="F1540" s="703" t="s">
        <v>335</v>
      </c>
      <c r="G1540" s="703" t="s">
        <v>3048</v>
      </c>
      <c r="H1540" s="703" t="s">
        <v>334</v>
      </c>
      <c r="I1540" s="703" t="s">
        <v>334</v>
      </c>
      <c r="J1540" s="703" t="s">
        <v>337</v>
      </c>
      <c r="K1540" s="704">
        <v>0</v>
      </c>
      <c r="L1540" s="703" t="s">
        <v>334</v>
      </c>
      <c r="M1540" s="702">
        <v>42886</v>
      </c>
      <c r="N1540" s="702">
        <v>44516</v>
      </c>
      <c r="O1540" s="703" t="s">
        <v>338</v>
      </c>
      <c r="P1540" s="20">
        <v>32.24</v>
      </c>
      <c r="Q1540" s="20">
        <v>0</v>
      </c>
      <c r="R1540" s="20">
        <v>0</v>
      </c>
      <c r="S1540" s="20">
        <v>0</v>
      </c>
      <c r="T1540" s="20">
        <v>32.24</v>
      </c>
      <c r="U1540" s="20">
        <v>32.15</v>
      </c>
      <c r="V1540" s="20">
        <v>-0.09</v>
      </c>
      <c r="W1540" s="20">
        <v>-1.1599999999999999</v>
      </c>
      <c r="X1540" s="20">
        <v>-1.07</v>
      </c>
      <c r="Y1540" s="20">
        <v>0</v>
      </c>
      <c r="Z1540" s="20">
        <v>0</v>
      </c>
      <c r="AA1540" s="20">
        <v>0</v>
      </c>
      <c r="AB1540" s="20">
        <v>31.08</v>
      </c>
      <c r="AC1540" t="s">
        <v>183</v>
      </c>
      <c r="AD1540" t="s">
        <v>290</v>
      </c>
      <c r="AE1540" s="702">
        <f t="shared" si="115"/>
        <v>44348</v>
      </c>
      <c r="AF1540" s="289">
        <v>37.019424557070813</v>
      </c>
      <c r="AG1540">
        <f t="shared" si="116"/>
        <v>360</v>
      </c>
      <c r="AH1540" s="289">
        <f t="shared" si="117"/>
        <v>0.10283173488075226</v>
      </c>
      <c r="AJ1540" s="289">
        <f t="shared" si="118"/>
        <v>18</v>
      </c>
      <c r="AK1540" s="289">
        <f t="shared" si="119"/>
        <v>1.8509712278535406</v>
      </c>
    </row>
    <row r="1541" spans="1:37">
      <c r="A1541" s="703" t="s">
        <v>3053</v>
      </c>
      <c r="B1541" s="703" t="s">
        <v>2849</v>
      </c>
      <c r="C1541" s="703" t="s">
        <v>332</v>
      </c>
      <c r="D1541" s="703" t="s">
        <v>334</v>
      </c>
      <c r="E1541" s="703" t="s">
        <v>334</v>
      </c>
      <c r="F1541" s="703" t="s">
        <v>335</v>
      </c>
      <c r="G1541" s="703" t="s">
        <v>3054</v>
      </c>
      <c r="H1541" s="703" t="s">
        <v>334</v>
      </c>
      <c r="I1541" s="703" t="s">
        <v>334</v>
      </c>
      <c r="J1541" s="703" t="s">
        <v>337</v>
      </c>
      <c r="K1541" s="704">
        <v>0</v>
      </c>
      <c r="L1541" s="703" t="s">
        <v>334</v>
      </c>
      <c r="M1541" s="702">
        <v>39478</v>
      </c>
      <c r="N1541" s="702">
        <v>44516</v>
      </c>
      <c r="O1541" s="703" t="s">
        <v>338</v>
      </c>
      <c r="P1541" s="20">
        <v>519.82000000000005</v>
      </c>
      <c r="Q1541" s="20">
        <v>0</v>
      </c>
      <c r="R1541" s="20">
        <v>0</v>
      </c>
      <c r="S1541" s="20">
        <v>0</v>
      </c>
      <c r="T1541" s="20">
        <v>519.82000000000005</v>
      </c>
      <c r="U1541" s="20">
        <v>518.38</v>
      </c>
      <c r="V1541" s="20">
        <v>-1.44</v>
      </c>
      <c r="W1541" s="20">
        <v>-18.77</v>
      </c>
      <c r="X1541" s="20">
        <v>-17.329999999999998</v>
      </c>
      <c r="Y1541" s="20">
        <v>0</v>
      </c>
      <c r="Z1541" s="20">
        <v>0</v>
      </c>
      <c r="AA1541" s="20">
        <v>0</v>
      </c>
      <c r="AB1541" s="20">
        <v>501.05</v>
      </c>
      <c r="AC1541" t="s">
        <v>183</v>
      </c>
      <c r="AD1541" t="s">
        <v>290</v>
      </c>
      <c r="AE1541" s="702">
        <f t="shared" si="115"/>
        <v>44348</v>
      </c>
      <c r="AF1541" s="289">
        <v>596.88080872383841</v>
      </c>
      <c r="AG1541">
        <f t="shared" si="116"/>
        <v>360</v>
      </c>
      <c r="AH1541" s="289">
        <f t="shared" si="117"/>
        <v>1.6580022464551067</v>
      </c>
      <c r="AJ1541" s="289">
        <f t="shared" si="118"/>
        <v>18</v>
      </c>
      <c r="AK1541" s="289">
        <f t="shared" si="119"/>
        <v>29.844040436191921</v>
      </c>
    </row>
    <row r="1542" spans="1:37">
      <c r="A1542" s="703" t="s">
        <v>3055</v>
      </c>
      <c r="B1542" s="703" t="s">
        <v>2849</v>
      </c>
      <c r="C1542" s="703" t="s">
        <v>332</v>
      </c>
      <c r="D1542" s="703" t="s">
        <v>334</v>
      </c>
      <c r="E1542" s="703" t="s">
        <v>334</v>
      </c>
      <c r="F1542" s="703" t="s">
        <v>335</v>
      </c>
      <c r="G1542" s="703" t="s">
        <v>3054</v>
      </c>
      <c r="H1542" s="703" t="s">
        <v>334</v>
      </c>
      <c r="I1542" s="703" t="s">
        <v>334</v>
      </c>
      <c r="J1542" s="703" t="s">
        <v>337</v>
      </c>
      <c r="K1542" s="704">
        <v>0</v>
      </c>
      <c r="L1542" s="703" t="s">
        <v>334</v>
      </c>
      <c r="M1542" s="702">
        <v>39478</v>
      </c>
      <c r="N1542" s="702">
        <v>44516</v>
      </c>
      <c r="O1542" s="703" t="s">
        <v>338</v>
      </c>
      <c r="P1542" s="20">
        <v>623.02</v>
      </c>
      <c r="Q1542" s="20">
        <v>0</v>
      </c>
      <c r="R1542" s="20">
        <v>0</v>
      </c>
      <c r="S1542" s="20">
        <v>0</v>
      </c>
      <c r="T1542" s="20">
        <v>623.02</v>
      </c>
      <c r="U1542" s="20">
        <v>621.29</v>
      </c>
      <c r="V1542" s="20">
        <v>-1.73</v>
      </c>
      <c r="W1542" s="20">
        <v>-22.5</v>
      </c>
      <c r="X1542" s="20">
        <v>-20.77</v>
      </c>
      <c r="Y1542" s="20">
        <v>0</v>
      </c>
      <c r="Z1542" s="20">
        <v>0</v>
      </c>
      <c r="AA1542" s="20">
        <v>0</v>
      </c>
      <c r="AB1542" s="20">
        <v>600.52</v>
      </c>
      <c r="AC1542" t="s">
        <v>183</v>
      </c>
      <c r="AD1542" t="s">
        <v>290</v>
      </c>
      <c r="AE1542" s="702">
        <f t="shared" si="115"/>
        <v>44348</v>
      </c>
      <c r="AF1542" s="289">
        <v>715.37971115217908</v>
      </c>
      <c r="AG1542">
        <f t="shared" si="116"/>
        <v>360</v>
      </c>
      <c r="AH1542" s="289">
        <f t="shared" si="117"/>
        <v>1.9871658643116086</v>
      </c>
      <c r="AJ1542" s="289">
        <f t="shared" si="118"/>
        <v>18</v>
      </c>
      <c r="AK1542" s="289">
        <f t="shared" si="119"/>
        <v>35.768985557608957</v>
      </c>
    </row>
    <row r="1543" spans="1:37">
      <c r="A1543" s="703" t="s">
        <v>3056</v>
      </c>
      <c r="B1543" s="703" t="s">
        <v>2849</v>
      </c>
      <c r="C1543" s="703" t="s">
        <v>332</v>
      </c>
      <c r="D1543" s="703" t="s">
        <v>334</v>
      </c>
      <c r="E1543" s="703" t="s">
        <v>334</v>
      </c>
      <c r="F1543" s="703" t="s">
        <v>335</v>
      </c>
      <c r="G1543" s="703" t="s">
        <v>3054</v>
      </c>
      <c r="H1543" s="703" t="s">
        <v>334</v>
      </c>
      <c r="I1543" s="703" t="s">
        <v>334</v>
      </c>
      <c r="J1543" s="703" t="s">
        <v>337</v>
      </c>
      <c r="K1543" s="704">
        <v>0</v>
      </c>
      <c r="L1543" s="703" t="s">
        <v>334</v>
      </c>
      <c r="M1543" s="702">
        <v>39478</v>
      </c>
      <c r="N1543" s="702">
        <v>44516</v>
      </c>
      <c r="O1543" s="703" t="s">
        <v>338</v>
      </c>
      <c r="P1543" s="20">
        <v>1306.6400000000001</v>
      </c>
      <c r="Q1543" s="20">
        <v>0</v>
      </c>
      <c r="R1543" s="20">
        <v>0</v>
      </c>
      <c r="S1543" s="20">
        <v>0</v>
      </c>
      <c r="T1543" s="20">
        <v>1306.6400000000001</v>
      </c>
      <c r="U1543" s="20">
        <v>1303.01</v>
      </c>
      <c r="V1543" s="20">
        <v>-3.63</v>
      </c>
      <c r="W1543" s="20">
        <v>-47.18</v>
      </c>
      <c r="X1543" s="20">
        <v>-43.55</v>
      </c>
      <c r="Y1543" s="20">
        <v>0</v>
      </c>
      <c r="Z1543" s="20">
        <v>0</v>
      </c>
      <c r="AA1543" s="20">
        <v>0</v>
      </c>
      <c r="AB1543" s="20">
        <v>1259.46</v>
      </c>
      <c r="AC1543" t="s">
        <v>183</v>
      </c>
      <c r="AD1543" t="s">
        <v>290</v>
      </c>
      <c r="AE1543" s="702">
        <f t="shared" ref="AE1543:AE1606" si="120">IF(N1543&gt;=$AG$5,DATE(YEAR(N1543),6,1),DATE(YEAR(N1543),6,1))</f>
        <v>44348</v>
      </c>
      <c r="AF1543" s="289">
        <v>1500.3430801256513</v>
      </c>
      <c r="AG1543">
        <f t="shared" ref="AG1543:AG1606" si="121">+IF(AD1543="intangível",20*12,IF(AD1543="Diferido",120,IF(AD1543="Não vinculados",0,IF(AE1543&lt;=$AG$5,F1543*12,360))))</f>
        <v>360</v>
      </c>
      <c r="AH1543" s="289">
        <f t="shared" ref="AH1543:AH1606" si="122">IF(AG1543=0,0,AF1543/AG1543)</f>
        <v>4.167619667015698</v>
      </c>
      <c r="AJ1543" s="289">
        <f t="shared" ref="AJ1543:AJ1606" si="123">+IF(AND(YEAR(AE1543)&gt;=2018,YEAR(AE1543)&lt;=2022),IF(DATEDIF(AE1543,$AK$4,"m")&gt;=AG1543,AG1543,DATEDIF(AE1543,$AK$4,"m")),0)</f>
        <v>18</v>
      </c>
      <c r="AK1543" s="289">
        <f t="shared" ref="AK1543:AK1606" si="124">IF(AD1543="Imobilizado",AJ1543*AH1543,0)</f>
        <v>75.017154006282567</v>
      </c>
    </row>
    <row r="1544" spans="1:37">
      <c r="A1544" s="703" t="s">
        <v>3057</v>
      </c>
      <c r="B1544" s="703" t="s">
        <v>2849</v>
      </c>
      <c r="C1544" s="703" t="s">
        <v>332</v>
      </c>
      <c r="D1544" s="703" t="s">
        <v>334</v>
      </c>
      <c r="E1544" s="703" t="s">
        <v>334</v>
      </c>
      <c r="F1544" s="703" t="s">
        <v>335</v>
      </c>
      <c r="G1544" s="703" t="s">
        <v>3054</v>
      </c>
      <c r="H1544" s="703" t="s">
        <v>334</v>
      </c>
      <c r="I1544" s="703" t="s">
        <v>334</v>
      </c>
      <c r="J1544" s="703" t="s">
        <v>337</v>
      </c>
      <c r="K1544" s="704">
        <v>0</v>
      </c>
      <c r="L1544" s="703" t="s">
        <v>334</v>
      </c>
      <c r="M1544" s="702">
        <v>39478</v>
      </c>
      <c r="N1544" s="702">
        <v>44516</v>
      </c>
      <c r="O1544" s="703" t="s">
        <v>338</v>
      </c>
      <c r="P1544" s="20">
        <v>32.24</v>
      </c>
      <c r="Q1544" s="20">
        <v>0</v>
      </c>
      <c r="R1544" s="20">
        <v>0</v>
      </c>
      <c r="S1544" s="20">
        <v>0</v>
      </c>
      <c r="T1544" s="20">
        <v>32.24</v>
      </c>
      <c r="U1544" s="20">
        <v>32.15</v>
      </c>
      <c r="V1544" s="20">
        <v>-0.09</v>
      </c>
      <c r="W1544" s="20">
        <v>-1.1599999999999999</v>
      </c>
      <c r="X1544" s="20">
        <v>-1.07</v>
      </c>
      <c r="Y1544" s="20">
        <v>0</v>
      </c>
      <c r="Z1544" s="20">
        <v>0</v>
      </c>
      <c r="AA1544" s="20">
        <v>0</v>
      </c>
      <c r="AB1544" s="20">
        <v>31.08</v>
      </c>
      <c r="AC1544" t="s">
        <v>183</v>
      </c>
      <c r="AD1544" t="s">
        <v>290</v>
      </c>
      <c r="AE1544" s="702">
        <f t="shared" si="120"/>
        <v>44348</v>
      </c>
      <c r="AF1544" s="289">
        <v>37.019424557070813</v>
      </c>
      <c r="AG1544">
        <f t="shared" si="121"/>
        <v>360</v>
      </c>
      <c r="AH1544" s="289">
        <f t="shared" si="122"/>
        <v>0.10283173488075226</v>
      </c>
      <c r="AJ1544" s="289">
        <f t="shared" si="123"/>
        <v>18</v>
      </c>
      <c r="AK1544" s="289">
        <f t="shared" si="124"/>
        <v>1.8509712278535406</v>
      </c>
    </row>
    <row r="1545" spans="1:37">
      <c r="A1545" s="703" t="s">
        <v>3058</v>
      </c>
      <c r="B1545" s="703" t="s">
        <v>2849</v>
      </c>
      <c r="C1545" s="703" t="s">
        <v>332</v>
      </c>
      <c r="D1545" s="703" t="s">
        <v>334</v>
      </c>
      <c r="E1545" s="703" t="s">
        <v>334</v>
      </c>
      <c r="F1545" s="703" t="s">
        <v>335</v>
      </c>
      <c r="G1545" s="703" t="s">
        <v>3054</v>
      </c>
      <c r="H1545" s="703" t="s">
        <v>334</v>
      </c>
      <c r="I1545" s="703" t="s">
        <v>334</v>
      </c>
      <c r="J1545" s="703" t="s">
        <v>337</v>
      </c>
      <c r="K1545" s="704">
        <v>0</v>
      </c>
      <c r="L1545" s="703" t="s">
        <v>334</v>
      </c>
      <c r="M1545" s="702">
        <v>39478</v>
      </c>
      <c r="N1545" s="702">
        <v>44516</v>
      </c>
      <c r="O1545" s="703" t="s">
        <v>338</v>
      </c>
      <c r="P1545" s="20">
        <v>10.45</v>
      </c>
      <c r="Q1545" s="20">
        <v>0</v>
      </c>
      <c r="R1545" s="20">
        <v>0</v>
      </c>
      <c r="S1545" s="20">
        <v>0</v>
      </c>
      <c r="T1545" s="20">
        <v>10.45</v>
      </c>
      <c r="U1545" s="20">
        <v>10.42</v>
      </c>
      <c r="V1545" s="20">
        <v>-0.03</v>
      </c>
      <c r="W1545" s="20">
        <v>-0.38</v>
      </c>
      <c r="X1545" s="20">
        <v>-0.35</v>
      </c>
      <c r="Y1545" s="20">
        <v>0</v>
      </c>
      <c r="Z1545" s="20">
        <v>0</v>
      </c>
      <c r="AA1545" s="20">
        <v>0</v>
      </c>
      <c r="AB1545" s="20">
        <v>10.07</v>
      </c>
      <c r="AC1545" t="s">
        <v>183</v>
      </c>
      <c r="AD1545" t="s">
        <v>290</v>
      </c>
      <c r="AE1545" s="702">
        <f t="shared" si="120"/>
        <v>44348</v>
      </c>
      <c r="AF1545" s="289">
        <v>11.999162116048074</v>
      </c>
      <c r="AG1545">
        <f t="shared" si="121"/>
        <v>360</v>
      </c>
      <c r="AH1545" s="289">
        <f t="shared" si="122"/>
        <v>3.3331005877911317E-2</v>
      </c>
      <c r="AJ1545" s="289">
        <f t="shared" si="123"/>
        <v>18</v>
      </c>
      <c r="AK1545" s="289">
        <f t="shared" si="124"/>
        <v>0.59995810580240372</v>
      </c>
    </row>
    <row r="1546" spans="1:37">
      <c r="A1546" s="703" t="s">
        <v>3059</v>
      </c>
      <c r="B1546" s="703" t="s">
        <v>2849</v>
      </c>
      <c r="C1546" s="703" t="s">
        <v>332</v>
      </c>
      <c r="D1546" s="703" t="s">
        <v>334</v>
      </c>
      <c r="E1546" s="703" t="s">
        <v>334</v>
      </c>
      <c r="F1546" s="703" t="s">
        <v>335</v>
      </c>
      <c r="G1546" s="703" t="s">
        <v>3054</v>
      </c>
      <c r="H1546" s="703" t="s">
        <v>334</v>
      </c>
      <c r="I1546" s="703" t="s">
        <v>334</v>
      </c>
      <c r="J1546" s="703" t="s">
        <v>337</v>
      </c>
      <c r="K1546" s="704">
        <v>0</v>
      </c>
      <c r="L1546" s="703" t="s">
        <v>334</v>
      </c>
      <c r="M1546" s="702">
        <v>39478</v>
      </c>
      <c r="N1546" s="702">
        <v>44516</v>
      </c>
      <c r="O1546" s="703" t="s">
        <v>338</v>
      </c>
      <c r="P1546" s="20">
        <v>16</v>
      </c>
      <c r="Q1546" s="20">
        <v>0</v>
      </c>
      <c r="R1546" s="20">
        <v>0</v>
      </c>
      <c r="S1546" s="20">
        <v>0</v>
      </c>
      <c r="T1546" s="20">
        <v>16</v>
      </c>
      <c r="U1546" s="20">
        <v>15.96</v>
      </c>
      <c r="V1546" s="20">
        <v>-0.04</v>
      </c>
      <c r="W1546" s="20">
        <v>-0.56999999999999995</v>
      </c>
      <c r="X1546" s="20">
        <v>-0.53</v>
      </c>
      <c r="Y1546" s="20">
        <v>0</v>
      </c>
      <c r="Z1546" s="20">
        <v>0</v>
      </c>
      <c r="AA1546" s="20">
        <v>0</v>
      </c>
      <c r="AB1546" s="20">
        <v>15.43</v>
      </c>
      <c r="AC1546" t="s">
        <v>183</v>
      </c>
      <c r="AD1546" t="s">
        <v>290</v>
      </c>
      <c r="AE1546" s="702">
        <f t="shared" si="120"/>
        <v>44348</v>
      </c>
      <c r="AF1546" s="289">
        <v>18.371922857107101</v>
      </c>
      <c r="AG1546">
        <f t="shared" si="121"/>
        <v>360</v>
      </c>
      <c r="AH1546" s="289">
        <f t="shared" si="122"/>
        <v>5.1033119047519726E-2</v>
      </c>
      <c r="AJ1546" s="289">
        <f t="shared" si="123"/>
        <v>18</v>
      </c>
      <c r="AK1546" s="289">
        <f t="shared" si="124"/>
        <v>0.91859614285535507</v>
      </c>
    </row>
    <row r="1547" spans="1:37">
      <c r="A1547" s="703" t="s">
        <v>3060</v>
      </c>
      <c r="B1547" s="703" t="s">
        <v>2849</v>
      </c>
      <c r="C1547" s="703" t="s">
        <v>332</v>
      </c>
      <c r="D1547" s="703" t="s">
        <v>334</v>
      </c>
      <c r="E1547" s="703" t="s">
        <v>334</v>
      </c>
      <c r="F1547" s="703" t="s">
        <v>335</v>
      </c>
      <c r="G1547" s="703" t="s">
        <v>3054</v>
      </c>
      <c r="H1547" s="703" t="s">
        <v>334</v>
      </c>
      <c r="I1547" s="703" t="s">
        <v>334</v>
      </c>
      <c r="J1547" s="703" t="s">
        <v>337</v>
      </c>
      <c r="K1547" s="704">
        <v>0</v>
      </c>
      <c r="L1547" s="703" t="s">
        <v>334</v>
      </c>
      <c r="M1547" s="702">
        <v>39478</v>
      </c>
      <c r="N1547" s="702">
        <v>44516</v>
      </c>
      <c r="O1547" s="703" t="s">
        <v>338</v>
      </c>
      <c r="P1547" s="20">
        <v>155.21</v>
      </c>
      <c r="Q1547" s="20">
        <v>0</v>
      </c>
      <c r="R1547" s="20">
        <v>0</v>
      </c>
      <c r="S1547" s="20">
        <v>0</v>
      </c>
      <c r="T1547" s="20">
        <v>155.21</v>
      </c>
      <c r="U1547" s="20">
        <v>154.78</v>
      </c>
      <c r="V1547" s="20">
        <v>-0.43</v>
      </c>
      <c r="W1547" s="20">
        <v>-5.6</v>
      </c>
      <c r="X1547" s="20">
        <v>-5.17</v>
      </c>
      <c r="Y1547" s="20">
        <v>0</v>
      </c>
      <c r="Z1547" s="20">
        <v>0</v>
      </c>
      <c r="AA1547" s="20">
        <v>0</v>
      </c>
      <c r="AB1547" s="20">
        <v>149.61000000000001</v>
      </c>
      <c r="AC1547" t="s">
        <v>183</v>
      </c>
      <c r="AD1547" t="s">
        <v>290</v>
      </c>
      <c r="AE1547" s="702">
        <f t="shared" si="120"/>
        <v>44348</v>
      </c>
      <c r="AF1547" s="289">
        <v>178.21913416572457</v>
      </c>
      <c r="AG1547">
        <f t="shared" si="121"/>
        <v>360</v>
      </c>
      <c r="AH1547" s="289">
        <f t="shared" si="122"/>
        <v>0.49505315046034604</v>
      </c>
      <c r="AJ1547" s="289">
        <f t="shared" si="123"/>
        <v>18</v>
      </c>
      <c r="AK1547" s="289">
        <f t="shared" si="124"/>
        <v>8.9109567082862284</v>
      </c>
    </row>
    <row r="1548" spans="1:37">
      <c r="A1548" s="703" t="s">
        <v>3061</v>
      </c>
      <c r="B1548" s="703" t="s">
        <v>2849</v>
      </c>
      <c r="C1548" s="703" t="s">
        <v>332</v>
      </c>
      <c r="D1548" s="703" t="s">
        <v>334</v>
      </c>
      <c r="E1548" s="703" t="s">
        <v>334</v>
      </c>
      <c r="F1548" s="703" t="s">
        <v>335</v>
      </c>
      <c r="G1548" s="703" t="s">
        <v>3054</v>
      </c>
      <c r="H1548" s="703" t="s">
        <v>334</v>
      </c>
      <c r="I1548" s="703" t="s">
        <v>334</v>
      </c>
      <c r="J1548" s="703" t="s">
        <v>337</v>
      </c>
      <c r="K1548" s="704">
        <v>0</v>
      </c>
      <c r="L1548" s="703" t="s">
        <v>334</v>
      </c>
      <c r="M1548" s="702">
        <v>39478</v>
      </c>
      <c r="N1548" s="702">
        <v>44516</v>
      </c>
      <c r="O1548" s="703" t="s">
        <v>338</v>
      </c>
      <c r="P1548" s="20">
        <v>130.37</v>
      </c>
      <c r="Q1548" s="20">
        <v>0</v>
      </c>
      <c r="R1548" s="20">
        <v>0</v>
      </c>
      <c r="S1548" s="20">
        <v>0</v>
      </c>
      <c r="T1548" s="20">
        <v>130.37</v>
      </c>
      <c r="U1548" s="20">
        <v>130.01</v>
      </c>
      <c r="V1548" s="20">
        <v>-0.36</v>
      </c>
      <c r="W1548" s="20">
        <v>-4.71</v>
      </c>
      <c r="X1548" s="20">
        <v>-4.3499999999999996</v>
      </c>
      <c r="Y1548" s="20">
        <v>0</v>
      </c>
      <c r="Z1548" s="20">
        <v>0</v>
      </c>
      <c r="AA1548" s="20">
        <v>0</v>
      </c>
      <c r="AB1548" s="20">
        <v>125.66</v>
      </c>
      <c r="AC1548" t="s">
        <v>183</v>
      </c>
      <c r="AD1548" t="s">
        <v>290</v>
      </c>
      <c r="AE1548" s="702">
        <f t="shared" si="120"/>
        <v>44348</v>
      </c>
      <c r="AF1548" s="289">
        <v>149.69672393006579</v>
      </c>
      <c r="AG1548">
        <f t="shared" si="121"/>
        <v>360</v>
      </c>
      <c r="AH1548" s="289">
        <f t="shared" si="122"/>
        <v>0.41582423313907163</v>
      </c>
      <c r="AJ1548" s="289">
        <f t="shared" si="123"/>
        <v>18</v>
      </c>
      <c r="AK1548" s="289">
        <f t="shared" si="124"/>
        <v>7.4848361965032897</v>
      </c>
    </row>
    <row r="1549" spans="1:37">
      <c r="A1549" s="703" t="s">
        <v>3062</v>
      </c>
      <c r="B1549" s="703" t="s">
        <v>2849</v>
      </c>
      <c r="C1549" s="703" t="s">
        <v>332</v>
      </c>
      <c r="D1549" s="703" t="s">
        <v>334</v>
      </c>
      <c r="E1549" s="703" t="s">
        <v>334</v>
      </c>
      <c r="F1549" s="703" t="s">
        <v>335</v>
      </c>
      <c r="G1549" s="703" t="s">
        <v>3054</v>
      </c>
      <c r="H1549" s="703" t="s">
        <v>334</v>
      </c>
      <c r="I1549" s="703" t="s">
        <v>334</v>
      </c>
      <c r="J1549" s="703" t="s">
        <v>337</v>
      </c>
      <c r="K1549" s="704">
        <v>0</v>
      </c>
      <c r="L1549" s="703" t="s">
        <v>334</v>
      </c>
      <c r="M1549" s="702">
        <v>39478</v>
      </c>
      <c r="N1549" s="702">
        <v>44516</v>
      </c>
      <c r="O1549" s="703" t="s">
        <v>338</v>
      </c>
      <c r="P1549" s="20">
        <v>1720.91</v>
      </c>
      <c r="Q1549" s="20">
        <v>0</v>
      </c>
      <c r="R1549" s="20">
        <v>0</v>
      </c>
      <c r="S1549" s="20">
        <v>0</v>
      </c>
      <c r="T1549" s="20">
        <v>1720.91</v>
      </c>
      <c r="U1549" s="20">
        <v>1716.13</v>
      </c>
      <c r="V1549" s="20">
        <v>-4.78</v>
      </c>
      <c r="W1549" s="20">
        <v>-62.14</v>
      </c>
      <c r="X1549" s="20">
        <v>-57.36</v>
      </c>
      <c r="Y1549" s="20">
        <v>0</v>
      </c>
      <c r="Z1549" s="20">
        <v>0</v>
      </c>
      <c r="AA1549" s="20">
        <v>0</v>
      </c>
      <c r="AB1549" s="20">
        <v>1658.77</v>
      </c>
      <c r="AC1549" t="s">
        <v>183</v>
      </c>
      <c r="AD1549" t="s">
        <v>290</v>
      </c>
      <c r="AE1549" s="702">
        <f t="shared" si="120"/>
        <v>44348</v>
      </c>
      <c r="AF1549" s="289">
        <v>1976.0266102515113</v>
      </c>
      <c r="AG1549">
        <f t="shared" si="121"/>
        <v>360</v>
      </c>
      <c r="AH1549" s="289">
        <f t="shared" si="122"/>
        <v>5.4889628062541984</v>
      </c>
      <c r="AJ1549" s="289">
        <f t="shared" si="123"/>
        <v>18</v>
      </c>
      <c r="AK1549" s="289">
        <f t="shared" si="124"/>
        <v>98.801330512575575</v>
      </c>
    </row>
    <row r="1550" spans="1:37">
      <c r="A1550" s="703" t="s">
        <v>3063</v>
      </c>
      <c r="B1550" s="703" t="s">
        <v>2849</v>
      </c>
      <c r="C1550" s="703" t="s">
        <v>332</v>
      </c>
      <c r="D1550" s="703" t="s">
        <v>334</v>
      </c>
      <c r="E1550" s="703" t="s">
        <v>334</v>
      </c>
      <c r="F1550" s="703" t="s">
        <v>335</v>
      </c>
      <c r="G1550" s="703" t="s">
        <v>3054</v>
      </c>
      <c r="H1550" s="703" t="s">
        <v>334</v>
      </c>
      <c r="I1550" s="703" t="s">
        <v>334</v>
      </c>
      <c r="J1550" s="703" t="s">
        <v>337</v>
      </c>
      <c r="K1550" s="704">
        <v>0</v>
      </c>
      <c r="L1550" s="703" t="s">
        <v>334</v>
      </c>
      <c r="M1550" s="702">
        <v>39478</v>
      </c>
      <c r="N1550" s="702">
        <v>44516</v>
      </c>
      <c r="O1550" s="703" t="s">
        <v>338</v>
      </c>
      <c r="P1550" s="20">
        <v>2270.89</v>
      </c>
      <c r="Q1550" s="20">
        <v>0</v>
      </c>
      <c r="R1550" s="20">
        <v>0</v>
      </c>
      <c r="S1550" s="20">
        <v>0</v>
      </c>
      <c r="T1550" s="20">
        <v>2270.89</v>
      </c>
      <c r="U1550" s="20">
        <v>2264.58</v>
      </c>
      <c r="V1550" s="20">
        <v>-6.31</v>
      </c>
      <c r="W1550" s="20">
        <v>-82.01</v>
      </c>
      <c r="X1550" s="20">
        <v>-75.7</v>
      </c>
      <c r="Y1550" s="20">
        <v>0</v>
      </c>
      <c r="Z1550" s="20">
        <v>0</v>
      </c>
      <c r="AA1550" s="20">
        <v>0</v>
      </c>
      <c r="AB1550" s="20">
        <v>2188.88</v>
      </c>
      <c r="AC1550" t="s">
        <v>183</v>
      </c>
      <c r="AD1550" t="s">
        <v>290</v>
      </c>
      <c r="AE1550" s="702">
        <f t="shared" si="120"/>
        <v>44348</v>
      </c>
      <c r="AF1550" s="289">
        <v>2607.5384935609964</v>
      </c>
      <c r="AG1550">
        <f t="shared" si="121"/>
        <v>360</v>
      </c>
      <c r="AH1550" s="289">
        <f t="shared" si="122"/>
        <v>7.2431624821138785</v>
      </c>
      <c r="AJ1550" s="289">
        <f t="shared" si="123"/>
        <v>18</v>
      </c>
      <c r="AK1550" s="289">
        <f t="shared" si="124"/>
        <v>130.37692467804982</v>
      </c>
    </row>
    <row r="1551" spans="1:37">
      <c r="A1551" s="703" t="s">
        <v>3064</v>
      </c>
      <c r="B1551" s="703" t="s">
        <v>2849</v>
      </c>
      <c r="C1551" s="703" t="s">
        <v>332</v>
      </c>
      <c r="D1551" s="703" t="s">
        <v>334</v>
      </c>
      <c r="E1551" s="703" t="s">
        <v>334</v>
      </c>
      <c r="F1551" s="703" t="s">
        <v>335</v>
      </c>
      <c r="G1551" s="703" t="s">
        <v>3054</v>
      </c>
      <c r="H1551" s="703" t="s">
        <v>334</v>
      </c>
      <c r="I1551" s="703" t="s">
        <v>334</v>
      </c>
      <c r="J1551" s="703" t="s">
        <v>337</v>
      </c>
      <c r="K1551" s="704">
        <v>0</v>
      </c>
      <c r="L1551" s="703" t="s">
        <v>334</v>
      </c>
      <c r="M1551" s="702">
        <v>39478</v>
      </c>
      <c r="N1551" s="702">
        <v>44516</v>
      </c>
      <c r="O1551" s="703" t="s">
        <v>338</v>
      </c>
      <c r="P1551" s="20">
        <v>9340.9699999999993</v>
      </c>
      <c r="Q1551" s="20">
        <v>0</v>
      </c>
      <c r="R1551" s="20">
        <v>0</v>
      </c>
      <c r="S1551" s="20">
        <v>0</v>
      </c>
      <c r="T1551" s="20">
        <v>9340.9699999999993</v>
      </c>
      <c r="U1551" s="20">
        <v>9315.02</v>
      </c>
      <c r="V1551" s="20">
        <v>-25.95</v>
      </c>
      <c r="W1551" s="20">
        <v>-337.32</v>
      </c>
      <c r="X1551" s="20">
        <v>-311.37</v>
      </c>
      <c r="Y1551" s="20">
        <v>0</v>
      </c>
      <c r="Z1551" s="20">
        <v>0</v>
      </c>
      <c r="AA1551" s="20">
        <v>0</v>
      </c>
      <c r="AB1551" s="20">
        <v>9003.65</v>
      </c>
      <c r="AC1551" t="s">
        <v>183</v>
      </c>
      <c r="AD1551" t="s">
        <v>290</v>
      </c>
      <c r="AE1551" s="702">
        <f t="shared" si="120"/>
        <v>44348</v>
      </c>
      <c r="AF1551" s="289">
        <v>10725.723765659481</v>
      </c>
      <c r="AG1551">
        <f t="shared" si="121"/>
        <v>360</v>
      </c>
      <c r="AH1551" s="289">
        <f t="shared" si="122"/>
        <v>29.793677126831891</v>
      </c>
      <c r="AJ1551" s="289">
        <f t="shared" si="123"/>
        <v>18</v>
      </c>
      <c r="AK1551" s="289">
        <f t="shared" si="124"/>
        <v>536.28618828297408</v>
      </c>
    </row>
    <row r="1552" spans="1:37">
      <c r="A1552" s="703" t="s">
        <v>3065</v>
      </c>
      <c r="B1552" s="703" t="s">
        <v>2849</v>
      </c>
      <c r="C1552" s="703" t="s">
        <v>332</v>
      </c>
      <c r="D1552" s="703" t="s">
        <v>334</v>
      </c>
      <c r="E1552" s="703" t="s">
        <v>334</v>
      </c>
      <c r="F1552" s="703" t="s">
        <v>335</v>
      </c>
      <c r="G1552" s="703" t="s">
        <v>3054</v>
      </c>
      <c r="H1552" s="703" t="s">
        <v>334</v>
      </c>
      <c r="I1552" s="703" t="s">
        <v>334</v>
      </c>
      <c r="J1552" s="703" t="s">
        <v>337</v>
      </c>
      <c r="K1552" s="704">
        <v>0</v>
      </c>
      <c r="L1552" s="703" t="s">
        <v>334</v>
      </c>
      <c r="M1552" s="702">
        <v>39478</v>
      </c>
      <c r="N1552" s="702">
        <v>44516</v>
      </c>
      <c r="O1552" s="703" t="s">
        <v>338</v>
      </c>
      <c r="P1552" s="20">
        <v>982.43</v>
      </c>
      <c r="Q1552" s="20">
        <v>0</v>
      </c>
      <c r="R1552" s="20">
        <v>0</v>
      </c>
      <c r="S1552" s="20">
        <v>0</v>
      </c>
      <c r="T1552" s="20">
        <v>982.43</v>
      </c>
      <c r="U1552" s="20">
        <v>979.7</v>
      </c>
      <c r="V1552" s="20">
        <v>-2.73</v>
      </c>
      <c r="W1552" s="20">
        <v>-35.479999999999997</v>
      </c>
      <c r="X1552" s="20">
        <v>-32.75</v>
      </c>
      <c r="Y1552" s="20">
        <v>0</v>
      </c>
      <c r="Z1552" s="20">
        <v>0</v>
      </c>
      <c r="AA1552" s="20">
        <v>0</v>
      </c>
      <c r="AB1552" s="20">
        <v>946.95</v>
      </c>
      <c r="AC1552" t="s">
        <v>183</v>
      </c>
      <c r="AD1552" t="s">
        <v>290</v>
      </c>
      <c r="AE1552" s="702">
        <f t="shared" si="120"/>
        <v>44348</v>
      </c>
      <c r="AF1552" s="289">
        <v>1128.070510781733</v>
      </c>
      <c r="AG1552">
        <f t="shared" si="121"/>
        <v>360</v>
      </c>
      <c r="AH1552" s="289">
        <f t="shared" si="122"/>
        <v>3.1335291966159251</v>
      </c>
      <c r="AJ1552" s="289">
        <f t="shared" si="123"/>
        <v>18</v>
      </c>
      <c r="AK1552" s="289">
        <f t="shared" si="124"/>
        <v>56.403525539086651</v>
      </c>
    </row>
    <row r="1553" spans="1:37">
      <c r="A1553" s="703" t="s">
        <v>3066</v>
      </c>
      <c r="B1553" s="703" t="s">
        <v>2849</v>
      </c>
      <c r="C1553" s="703" t="s">
        <v>332</v>
      </c>
      <c r="D1553" s="703" t="s">
        <v>334</v>
      </c>
      <c r="E1553" s="703" t="s">
        <v>334</v>
      </c>
      <c r="F1553" s="703" t="s">
        <v>335</v>
      </c>
      <c r="G1553" s="703" t="s">
        <v>3054</v>
      </c>
      <c r="H1553" s="703" t="s">
        <v>334</v>
      </c>
      <c r="I1553" s="703" t="s">
        <v>334</v>
      </c>
      <c r="J1553" s="703" t="s">
        <v>337</v>
      </c>
      <c r="K1553" s="704">
        <v>0</v>
      </c>
      <c r="L1553" s="703" t="s">
        <v>334</v>
      </c>
      <c r="M1553" s="702">
        <v>39478</v>
      </c>
      <c r="N1553" s="702">
        <v>44516</v>
      </c>
      <c r="O1553" s="703" t="s">
        <v>338</v>
      </c>
      <c r="P1553" s="20">
        <v>631.82000000000005</v>
      </c>
      <c r="Q1553" s="20">
        <v>0</v>
      </c>
      <c r="R1553" s="20">
        <v>0</v>
      </c>
      <c r="S1553" s="20">
        <v>0</v>
      </c>
      <c r="T1553" s="20">
        <v>631.82000000000005</v>
      </c>
      <c r="U1553" s="20">
        <v>630.05999999999995</v>
      </c>
      <c r="V1553" s="20">
        <v>-1.76</v>
      </c>
      <c r="W1553" s="20">
        <v>-22.82</v>
      </c>
      <c r="X1553" s="20">
        <v>-21.06</v>
      </c>
      <c r="Y1553" s="20">
        <v>0</v>
      </c>
      <c r="Z1553" s="20">
        <v>0</v>
      </c>
      <c r="AA1553" s="20">
        <v>0</v>
      </c>
      <c r="AB1553" s="20">
        <v>609</v>
      </c>
      <c r="AC1553" t="s">
        <v>183</v>
      </c>
      <c r="AD1553" t="s">
        <v>290</v>
      </c>
      <c r="AE1553" s="702">
        <f t="shared" si="120"/>
        <v>44348</v>
      </c>
      <c r="AF1553" s="289">
        <v>725.484268723588</v>
      </c>
      <c r="AG1553">
        <f t="shared" si="121"/>
        <v>360</v>
      </c>
      <c r="AH1553" s="289">
        <f t="shared" si="122"/>
        <v>2.0152340797877444</v>
      </c>
      <c r="AJ1553" s="289">
        <f t="shared" si="123"/>
        <v>18</v>
      </c>
      <c r="AK1553" s="289">
        <f t="shared" si="124"/>
        <v>36.274213436179402</v>
      </c>
    </row>
    <row r="1554" spans="1:37">
      <c r="A1554" s="703" t="s">
        <v>3067</v>
      </c>
      <c r="B1554" s="703" t="s">
        <v>2849</v>
      </c>
      <c r="C1554" s="703" t="s">
        <v>332</v>
      </c>
      <c r="D1554" s="703" t="s">
        <v>334</v>
      </c>
      <c r="E1554" s="703" t="s">
        <v>334</v>
      </c>
      <c r="F1554" s="703" t="s">
        <v>335</v>
      </c>
      <c r="G1554" s="703" t="s">
        <v>3054</v>
      </c>
      <c r="H1554" s="703" t="s">
        <v>334</v>
      </c>
      <c r="I1554" s="703" t="s">
        <v>334</v>
      </c>
      <c r="J1554" s="703" t="s">
        <v>337</v>
      </c>
      <c r="K1554" s="704">
        <v>0</v>
      </c>
      <c r="L1554" s="703" t="s">
        <v>334</v>
      </c>
      <c r="M1554" s="702">
        <v>39478</v>
      </c>
      <c r="N1554" s="702">
        <v>44516</v>
      </c>
      <c r="O1554" s="703" t="s">
        <v>338</v>
      </c>
      <c r="P1554" s="20">
        <v>457.81</v>
      </c>
      <c r="Q1554" s="20">
        <v>0</v>
      </c>
      <c r="R1554" s="20">
        <v>0</v>
      </c>
      <c r="S1554" s="20">
        <v>0</v>
      </c>
      <c r="T1554" s="20">
        <v>457.81</v>
      </c>
      <c r="U1554" s="20">
        <v>456.54</v>
      </c>
      <c r="V1554" s="20">
        <v>-1.27</v>
      </c>
      <c r="W1554" s="20">
        <v>-16.53</v>
      </c>
      <c r="X1554" s="20">
        <v>-15.26</v>
      </c>
      <c r="Y1554" s="20">
        <v>0</v>
      </c>
      <c r="Z1554" s="20">
        <v>0</v>
      </c>
      <c r="AA1554" s="20">
        <v>0</v>
      </c>
      <c r="AB1554" s="20">
        <v>441.28</v>
      </c>
      <c r="AC1554" t="s">
        <v>183</v>
      </c>
      <c r="AD1554" t="s">
        <v>290</v>
      </c>
      <c r="AE1554" s="702">
        <f t="shared" si="120"/>
        <v>44348</v>
      </c>
      <c r="AF1554" s="289">
        <v>525.67812520076257</v>
      </c>
      <c r="AG1554">
        <f t="shared" si="121"/>
        <v>360</v>
      </c>
      <c r="AH1554" s="289">
        <f t="shared" si="122"/>
        <v>1.4602170144465627</v>
      </c>
      <c r="AJ1554" s="289">
        <f t="shared" si="123"/>
        <v>18</v>
      </c>
      <c r="AK1554" s="289">
        <f t="shared" si="124"/>
        <v>26.28390626003813</v>
      </c>
    </row>
    <row r="1555" spans="1:37">
      <c r="A1555" s="703" t="s">
        <v>3068</v>
      </c>
      <c r="B1555" s="703" t="s">
        <v>2849</v>
      </c>
      <c r="C1555" s="703" t="s">
        <v>332</v>
      </c>
      <c r="D1555" s="703" t="s">
        <v>334</v>
      </c>
      <c r="E1555" s="703" t="s">
        <v>334</v>
      </c>
      <c r="F1555" s="703" t="s">
        <v>335</v>
      </c>
      <c r="G1555" s="703" t="s">
        <v>3054</v>
      </c>
      <c r="H1555" s="703" t="s">
        <v>334</v>
      </c>
      <c r="I1555" s="703" t="s">
        <v>334</v>
      </c>
      <c r="J1555" s="703" t="s">
        <v>337</v>
      </c>
      <c r="K1555" s="704">
        <v>0</v>
      </c>
      <c r="L1555" s="703" t="s">
        <v>334</v>
      </c>
      <c r="M1555" s="702">
        <v>39478</v>
      </c>
      <c r="N1555" s="702">
        <v>44516</v>
      </c>
      <c r="O1555" s="703" t="s">
        <v>338</v>
      </c>
      <c r="P1555" s="20">
        <v>107.4</v>
      </c>
      <c r="Q1555" s="20">
        <v>0</v>
      </c>
      <c r="R1555" s="20">
        <v>0</v>
      </c>
      <c r="S1555" s="20">
        <v>0</v>
      </c>
      <c r="T1555" s="20">
        <v>107.4</v>
      </c>
      <c r="U1555" s="20">
        <v>107.1</v>
      </c>
      <c r="V1555" s="20">
        <v>-0.3</v>
      </c>
      <c r="W1555" s="20">
        <v>-3.88</v>
      </c>
      <c r="X1555" s="20">
        <v>-3.58</v>
      </c>
      <c r="Y1555" s="20">
        <v>0</v>
      </c>
      <c r="Z1555" s="20">
        <v>0</v>
      </c>
      <c r="AA1555" s="20">
        <v>0</v>
      </c>
      <c r="AB1555" s="20">
        <v>103.52</v>
      </c>
      <c r="AC1555" t="s">
        <v>183</v>
      </c>
      <c r="AD1555" t="s">
        <v>290</v>
      </c>
      <c r="AE1555" s="702">
        <f t="shared" si="120"/>
        <v>44348</v>
      </c>
      <c r="AF1555" s="289">
        <v>123.32153217833141</v>
      </c>
      <c r="AG1555">
        <f t="shared" si="121"/>
        <v>360</v>
      </c>
      <c r="AH1555" s="289">
        <f t="shared" si="122"/>
        <v>0.34255981160647614</v>
      </c>
      <c r="AJ1555" s="289">
        <f t="shared" si="123"/>
        <v>18</v>
      </c>
      <c r="AK1555" s="289">
        <f t="shared" si="124"/>
        <v>6.1660766089165708</v>
      </c>
    </row>
    <row r="1556" spans="1:37">
      <c r="A1556" s="703" t="s">
        <v>3069</v>
      </c>
      <c r="B1556" s="703" t="s">
        <v>2849</v>
      </c>
      <c r="C1556" s="703" t="s">
        <v>332</v>
      </c>
      <c r="D1556" s="703" t="s">
        <v>334</v>
      </c>
      <c r="E1556" s="703" t="s">
        <v>334</v>
      </c>
      <c r="F1556" s="703" t="s">
        <v>335</v>
      </c>
      <c r="G1556" s="703" t="s">
        <v>3054</v>
      </c>
      <c r="H1556" s="703" t="s">
        <v>334</v>
      </c>
      <c r="I1556" s="703" t="s">
        <v>334</v>
      </c>
      <c r="J1556" s="703" t="s">
        <v>337</v>
      </c>
      <c r="K1556" s="704">
        <v>0</v>
      </c>
      <c r="L1556" s="703" t="s">
        <v>334</v>
      </c>
      <c r="M1556" s="702">
        <v>39478</v>
      </c>
      <c r="N1556" s="702">
        <v>44516</v>
      </c>
      <c r="O1556" s="703" t="s">
        <v>338</v>
      </c>
      <c r="P1556" s="20">
        <v>1320.72</v>
      </c>
      <c r="Q1556" s="20">
        <v>0</v>
      </c>
      <c r="R1556" s="20">
        <v>0</v>
      </c>
      <c r="S1556" s="20">
        <v>0</v>
      </c>
      <c r="T1556" s="20">
        <v>1320.72</v>
      </c>
      <c r="U1556" s="20">
        <v>1317.05</v>
      </c>
      <c r="V1556" s="20">
        <v>-3.67</v>
      </c>
      <c r="W1556" s="20">
        <v>-47.69</v>
      </c>
      <c r="X1556" s="20">
        <v>-44.02</v>
      </c>
      <c r="Y1556" s="20">
        <v>0</v>
      </c>
      <c r="Z1556" s="20">
        <v>0</v>
      </c>
      <c r="AA1556" s="20">
        <v>0</v>
      </c>
      <c r="AB1556" s="20">
        <v>1273.03</v>
      </c>
      <c r="AC1556" t="s">
        <v>183</v>
      </c>
      <c r="AD1556" t="s">
        <v>290</v>
      </c>
      <c r="AE1556" s="702">
        <f t="shared" si="120"/>
        <v>44348</v>
      </c>
      <c r="AF1556" s="289">
        <v>1516.5103722399056</v>
      </c>
      <c r="AG1556">
        <f t="shared" si="121"/>
        <v>360</v>
      </c>
      <c r="AH1556" s="289">
        <f t="shared" si="122"/>
        <v>4.2125288117775153</v>
      </c>
      <c r="AJ1556" s="289">
        <f t="shared" si="123"/>
        <v>18</v>
      </c>
      <c r="AK1556" s="289">
        <f t="shared" si="124"/>
        <v>75.825518611995278</v>
      </c>
    </row>
    <row r="1557" spans="1:37">
      <c r="A1557" s="703" t="s">
        <v>3070</v>
      </c>
      <c r="B1557" s="703" t="s">
        <v>2849</v>
      </c>
      <c r="C1557" s="703" t="s">
        <v>332</v>
      </c>
      <c r="D1557" s="703" t="s">
        <v>334</v>
      </c>
      <c r="E1557" s="703" t="s">
        <v>334</v>
      </c>
      <c r="F1557" s="703" t="s">
        <v>335</v>
      </c>
      <c r="G1557" s="703" t="s">
        <v>3071</v>
      </c>
      <c r="H1557" s="703" t="s">
        <v>334</v>
      </c>
      <c r="I1557" s="703" t="s">
        <v>334</v>
      </c>
      <c r="J1557" s="703" t="s">
        <v>337</v>
      </c>
      <c r="K1557" s="704">
        <v>0</v>
      </c>
      <c r="L1557" s="703" t="s">
        <v>334</v>
      </c>
      <c r="M1557" s="702">
        <v>42886</v>
      </c>
      <c r="N1557" s="702">
        <v>44516</v>
      </c>
      <c r="O1557" s="703" t="s">
        <v>338</v>
      </c>
      <c r="P1557" s="20">
        <v>53077.43</v>
      </c>
      <c r="Q1557" s="20">
        <v>0</v>
      </c>
      <c r="R1557" s="20">
        <v>0</v>
      </c>
      <c r="S1557" s="20">
        <v>0</v>
      </c>
      <c r="T1557" s="20">
        <v>53077.43</v>
      </c>
      <c r="U1557" s="20">
        <v>53074.879999999997</v>
      </c>
      <c r="V1557" s="20">
        <v>-2.5499999999999998</v>
      </c>
      <c r="W1557" s="20">
        <v>-1771.8</v>
      </c>
      <c r="X1557" s="20">
        <v>-1769.25</v>
      </c>
      <c r="Y1557" s="20">
        <v>0</v>
      </c>
      <c r="Z1557" s="20">
        <v>0</v>
      </c>
      <c r="AA1557" s="20">
        <v>0</v>
      </c>
      <c r="AB1557" s="20">
        <v>51305.63</v>
      </c>
      <c r="AC1557" t="s">
        <v>183</v>
      </c>
      <c r="AD1557" t="s">
        <v>290</v>
      </c>
      <c r="AE1557" s="702">
        <f t="shared" si="120"/>
        <v>44348</v>
      </c>
      <c r="AF1557" s="289">
        <v>60945.903088343875</v>
      </c>
      <c r="AG1557">
        <f t="shared" si="121"/>
        <v>360</v>
      </c>
      <c r="AH1557" s="289">
        <f t="shared" si="122"/>
        <v>169.29417524539966</v>
      </c>
      <c r="AJ1557" s="289">
        <f t="shared" si="123"/>
        <v>18</v>
      </c>
      <c r="AK1557" s="289">
        <f t="shared" si="124"/>
        <v>3047.2951544171938</v>
      </c>
    </row>
    <row r="1558" spans="1:37">
      <c r="A1558" s="703" t="s">
        <v>3072</v>
      </c>
      <c r="B1558" s="703" t="s">
        <v>2849</v>
      </c>
      <c r="C1558" s="703" t="s">
        <v>332</v>
      </c>
      <c r="D1558" s="703" t="s">
        <v>334</v>
      </c>
      <c r="E1558" s="703" t="s">
        <v>334</v>
      </c>
      <c r="F1558" s="703" t="s">
        <v>335</v>
      </c>
      <c r="G1558" s="703" t="s">
        <v>3011</v>
      </c>
      <c r="H1558" s="703" t="s">
        <v>334</v>
      </c>
      <c r="I1558" s="703" t="s">
        <v>334</v>
      </c>
      <c r="J1558" s="703" t="s">
        <v>337</v>
      </c>
      <c r="K1558" s="704">
        <v>0</v>
      </c>
      <c r="L1558" s="703" t="s">
        <v>334</v>
      </c>
      <c r="M1558" s="702">
        <v>42886</v>
      </c>
      <c r="N1558" s="702">
        <v>44516</v>
      </c>
      <c r="O1558" s="703" t="s">
        <v>338</v>
      </c>
      <c r="P1558" s="20">
        <v>395.85</v>
      </c>
      <c r="Q1558" s="20">
        <v>0</v>
      </c>
      <c r="R1558" s="20">
        <v>0</v>
      </c>
      <c r="S1558" s="20">
        <v>0</v>
      </c>
      <c r="T1558" s="20">
        <v>395.85</v>
      </c>
      <c r="U1558" s="20">
        <v>394.75</v>
      </c>
      <c r="V1558" s="20">
        <v>-1.1000000000000001</v>
      </c>
      <c r="W1558" s="20">
        <v>-14.3</v>
      </c>
      <c r="X1558" s="20">
        <v>-13.2</v>
      </c>
      <c r="Y1558" s="20">
        <v>0</v>
      </c>
      <c r="Z1558" s="20">
        <v>0</v>
      </c>
      <c r="AA1558" s="20">
        <v>0</v>
      </c>
      <c r="AB1558" s="20">
        <v>381.55</v>
      </c>
      <c r="AC1558" t="s">
        <v>183</v>
      </c>
      <c r="AD1558" t="s">
        <v>290</v>
      </c>
      <c r="AE1558" s="702">
        <f t="shared" si="120"/>
        <v>44348</v>
      </c>
      <c r="AF1558" s="289">
        <v>454.53285393661537</v>
      </c>
      <c r="AG1558">
        <f t="shared" si="121"/>
        <v>360</v>
      </c>
      <c r="AH1558" s="289">
        <f t="shared" si="122"/>
        <v>1.2625912609350427</v>
      </c>
      <c r="AJ1558" s="289">
        <f t="shared" si="123"/>
        <v>18</v>
      </c>
      <c r="AK1558" s="289">
        <f t="shared" si="124"/>
        <v>22.726642696830769</v>
      </c>
    </row>
    <row r="1559" spans="1:37">
      <c r="A1559" s="703" t="s">
        <v>3073</v>
      </c>
      <c r="B1559" s="703" t="s">
        <v>2849</v>
      </c>
      <c r="C1559" s="703" t="s">
        <v>332</v>
      </c>
      <c r="D1559" s="703" t="s">
        <v>334</v>
      </c>
      <c r="E1559" s="703" t="s">
        <v>334</v>
      </c>
      <c r="F1559" s="703" t="s">
        <v>335</v>
      </c>
      <c r="G1559" s="703" t="s">
        <v>3011</v>
      </c>
      <c r="H1559" s="703" t="s">
        <v>334</v>
      </c>
      <c r="I1559" s="703" t="s">
        <v>334</v>
      </c>
      <c r="J1559" s="703" t="s">
        <v>337</v>
      </c>
      <c r="K1559" s="704">
        <v>0</v>
      </c>
      <c r="L1559" s="703" t="s">
        <v>334</v>
      </c>
      <c r="M1559" s="702">
        <v>42886</v>
      </c>
      <c r="N1559" s="702">
        <v>44516</v>
      </c>
      <c r="O1559" s="703" t="s">
        <v>338</v>
      </c>
      <c r="P1559" s="20">
        <v>1391.16</v>
      </c>
      <c r="Q1559" s="20">
        <v>0</v>
      </c>
      <c r="R1559" s="20">
        <v>0</v>
      </c>
      <c r="S1559" s="20">
        <v>0</v>
      </c>
      <c r="T1559" s="20">
        <v>1391.16</v>
      </c>
      <c r="U1559" s="20">
        <v>1387.3</v>
      </c>
      <c r="V1559" s="20">
        <v>-3.86</v>
      </c>
      <c r="W1559" s="20">
        <v>-50.23</v>
      </c>
      <c r="X1559" s="20">
        <v>-46.37</v>
      </c>
      <c r="Y1559" s="20">
        <v>0</v>
      </c>
      <c r="Z1559" s="20">
        <v>0</v>
      </c>
      <c r="AA1559" s="20">
        <v>0</v>
      </c>
      <c r="AB1559" s="20">
        <v>1340.93</v>
      </c>
      <c r="AC1559" t="s">
        <v>183</v>
      </c>
      <c r="AD1559" t="s">
        <v>290</v>
      </c>
      <c r="AE1559" s="702">
        <f t="shared" si="120"/>
        <v>44348</v>
      </c>
      <c r="AF1559" s="289">
        <v>1597.3927626183197</v>
      </c>
      <c r="AG1559">
        <f t="shared" si="121"/>
        <v>360</v>
      </c>
      <c r="AH1559" s="289">
        <f t="shared" si="122"/>
        <v>4.4372021183842216</v>
      </c>
      <c r="AJ1559" s="289">
        <f t="shared" si="123"/>
        <v>18</v>
      </c>
      <c r="AK1559" s="289">
        <f t="shared" si="124"/>
        <v>79.869638130915988</v>
      </c>
    </row>
    <row r="1560" spans="1:37">
      <c r="A1560" s="703" t="s">
        <v>3074</v>
      </c>
      <c r="B1560" s="703" t="s">
        <v>2849</v>
      </c>
      <c r="C1560" s="703" t="s">
        <v>332</v>
      </c>
      <c r="D1560" s="703" t="s">
        <v>334</v>
      </c>
      <c r="E1560" s="703" t="s">
        <v>334</v>
      </c>
      <c r="F1560" s="703" t="s">
        <v>335</v>
      </c>
      <c r="G1560" s="703" t="s">
        <v>3011</v>
      </c>
      <c r="H1560" s="703" t="s">
        <v>334</v>
      </c>
      <c r="I1560" s="703" t="s">
        <v>334</v>
      </c>
      <c r="J1560" s="703" t="s">
        <v>337</v>
      </c>
      <c r="K1560" s="704">
        <v>0</v>
      </c>
      <c r="L1560" s="703" t="s">
        <v>334</v>
      </c>
      <c r="M1560" s="702">
        <v>42886</v>
      </c>
      <c r="N1560" s="702">
        <v>44516</v>
      </c>
      <c r="O1560" s="703" t="s">
        <v>338</v>
      </c>
      <c r="P1560" s="20">
        <v>1026.48</v>
      </c>
      <c r="Q1560" s="20">
        <v>0</v>
      </c>
      <c r="R1560" s="20">
        <v>0</v>
      </c>
      <c r="S1560" s="20">
        <v>0</v>
      </c>
      <c r="T1560" s="20">
        <v>1026.48</v>
      </c>
      <c r="U1560" s="20">
        <v>1023.63</v>
      </c>
      <c r="V1560" s="20">
        <v>-2.85</v>
      </c>
      <c r="W1560" s="20">
        <v>-37.07</v>
      </c>
      <c r="X1560" s="20">
        <v>-34.22</v>
      </c>
      <c r="Y1560" s="20">
        <v>0</v>
      </c>
      <c r="Z1560" s="20">
        <v>0</v>
      </c>
      <c r="AA1560" s="20">
        <v>0</v>
      </c>
      <c r="AB1560" s="20">
        <v>989.41</v>
      </c>
      <c r="AC1560" t="s">
        <v>183</v>
      </c>
      <c r="AD1560" t="s">
        <v>290</v>
      </c>
      <c r="AE1560" s="702">
        <f t="shared" si="120"/>
        <v>44348</v>
      </c>
      <c r="AF1560" s="289">
        <v>1178.6507108977059</v>
      </c>
      <c r="AG1560">
        <f t="shared" si="121"/>
        <v>360</v>
      </c>
      <c r="AH1560" s="289">
        <f t="shared" si="122"/>
        <v>3.2740297524936275</v>
      </c>
      <c r="AJ1560" s="289">
        <f t="shared" si="123"/>
        <v>18</v>
      </c>
      <c r="AK1560" s="289">
        <f t="shared" si="124"/>
        <v>58.932535544885297</v>
      </c>
    </row>
    <row r="1561" spans="1:37">
      <c r="A1561" s="703" t="s">
        <v>3075</v>
      </c>
      <c r="B1561" s="703" t="s">
        <v>2849</v>
      </c>
      <c r="C1561" s="703" t="s">
        <v>332</v>
      </c>
      <c r="D1561" s="703" t="s">
        <v>334</v>
      </c>
      <c r="E1561" s="703" t="s">
        <v>334</v>
      </c>
      <c r="F1561" s="703" t="s">
        <v>335</v>
      </c>
      <c r="G1561" s="703" t="s">
        <v>3076</v>
      </c>
      <c r="H1561" s="703" t="s">
        <v>334</v>
      </c>
      <c r="I1561" s="703" t="s">
        <v>334</v>
      </c>
      <c r="J1561" s="703" t="s">
        <v>337</v>
      </c>
      <c r="K1561" s="704">
        <v>0</v>
      </c>
      <c r="L1561" s="703" t="s">
        <v>334</v>
      </c>
      <c r="M1561" s="702">
        <v>42886</v>
      </c>
      <c r="N1561" s="702">
        <v>44516</v>
      </c>
      <c r="O1561" s="703" t="s">
        <v>338</v>
      </c>
      <c r="P1561" s="20">
        <v>8.4</v>
      </c>
      <c r="Q1561" s="20">
        <v>0</v>
      </c>
      <c r="R1561" s="20">
        <v>0</v>
      </c>
      <c r="S1561" s="20">
        <v>0</v>
      </c>
      <c r="T1561" s="20">
        <v>8.4</v>
      </c>
      <c r="U1561" s="20">
        <v>8.3800000000000008</v>
      </c>
      <c r="V1561" s="20">
        <v>-0.02</v>
      </c>
      <c r="W1561" s="20">
        <v>-0.3</v>
      </c>
      <c r="X1561" s="20">
        <v>-0.28000000000000003</v>
      </c>
      <c r="Y1561" s="20">
        <v>0</v>
      </c>
      <c r="Z1561" s="20">
        <v>0</v>
      </c>
      <c r="AA1561" s="20">
        <v>0</v>
      </c>
      <c r="AB1561" s="20">
        <v>8.1</v>
      </c>
      <c r="AC1561" t="s">
        <v>183</v>
      </c>
      <c r="AD1561" t="s">
        <v>290</v>
      </c>
      <c r="AE1561" s="702">
        <f t="shared" si="120"/>
        <v>44348</v>
      </c>
      <c r="AF1561" s="289">
        <v>9.6452594999812291</v>
      </c>
      <c r="AG1561">
        <f t="shared" si="121"/>
        <v>360</v>
      </c>
      <c r="AH1561" s="289">
        <f t="shared" si="122"/>
        <v>2.6792387499947858E-2</v>
      </c>
      <c r="AJ1561" s="289">
        <f t="shared" si="123"/>
        <v>18</v>
      </c>
      <c r="AK1561" s="289">
        <f t="shared" si="124"/>
        <v>0.48226297499906146</v>
      </c>
    </row>
    <row r="1562" spans="1:37">
      <c r="A1562" s="703" t="s">
        <v>3077</v>
      </c>
      <c r="B1562" s="703" t="s">
        <v>2849</v>
      </c>
      <c r="C1562" s="703" t="s">
        <v>332</v>
      </c>
      <c r="D1562" s="703" t="s">
        <v>334</v>
      </c>
      <c r="E1562" s="703" t="s">
        <v>334</v>
      </c>
      <c r="F1562" s="703" t="s">
        <v>335</v>
      </c>
      <c r="G1562" s="703" t="s">
        <v>3076</v>
      </c>
      <c r="H1562" s="703" t="s">
        <v>334</v>
      </c>
      <c r="I1562" s="703" t="s">
        <v>334</v>
      </c>
      <c r="J1562" s="703" t="s">
        <v>337</v>
      </c>
      <c r="K1562" s="704">
        <v>0</v>
      </c>
      <c r="L1562" s="703" t="s">
        <v>334</v>
      </c>
      <c r="M1562" s="702">
        <v>42886</v>
      </c>
      <c r="N1562" s="702">
        <v>44516</v>
      </c>
      <c r="O1562" s="703" t="s">
        <v>338</v>
      </c>
      <c r="P1562" s="20">
        <v>271.02999999999997</v>
      </c>
      <c r="Q1562" s="20">
        <v>0</v>
      </c>
      <c r="R1562" s="20">
        <v>0</v>
      </c>
      <c r="S1562" s="20">
        <v>0</v>
      </c>
      <c r="T1562" s="20">
        <v>271.02999999999997</v>
      </c>
      <c r="U1562" s="20">
        <v>270.27999999999997</v>
      </c>
      <c r="V1562" s="20">
        <v>-0.75</v>
      </c>
      <c r="W1562" s="20">
        <v>-9.7799999999999994</v>
      </c>
      <c r="X1562" s="20">
        <v>-9.0299999999999994</v>
      </c>
      <c r="Y1562" s="20">
        <v>0</v>
      </c>
      <c r="Z1562" s="20">
        <v>0</v>
      </c>
      <c r="AA1562" s="20">
        <v>0</v>
      </c>
      <c r="AB1562" s="20">
        <v>261.25</v>
      </c>
      <c r="AC1562" t="s">
        <v>183</v>
      </c>
      <c r="AD1562" t="s">
        <v>290</v>
      </c>
      <c r="AE1562" s="702">
        <f t="shared" si="120"/>
        <v>44348</v>
      </c>
      <c r="AF1562" s="289">
        <v>311.20889074760856</v>
      </c>
      <c r="AG1562">
        <f t="shared" si="121"/>
        <v>360</v>
      </c>
      <c r="AH1562" s="289">
        <f t="shared" si="122"/>
        <v>0.86446914096557936</v>
      </c>
      <c r="AJ1562" s="289">
        <f t="shared" si="123"/>
        <v>18</v>
      </c>
      <c r="AK1562" s="289">
        <f t="shared" si="124"/>
        <v>15.560444537380429</v>
      </c>
    </row>
    <row r="1563" spans="1:37">
      <c r="A1563" s="703" t="s">
        <v>3078</v>
      </c>
      <c r="B1563" s="703" t="s">
        <v>2849</v>
      </c>
      <c r="C1563" s="703" t="s">
        <v>332</v>
      </c>
      <c r="D1563" s="703" t="s">
        <v>334</v>
      </c>
      <c r="E1563" s="703" t="s">
        <v>334</v>
      </c>
      <c r="F1563" s="703" t="s">
        <v>335</v>
      </c>
      <c r="G1563" s="703" t="s">
        <v>3076</v>
      </c>
      <c r="H1563" s="703" t="s">
        <v>334</v>
      </c>
      <c r="I1563" s="703" t="s">
        <v>334</v>
      </c>
      <c r="J1563" s="703" t="s">
        <v>337</v>
      </c>
      <c r="K1563" s="704">
        <v>0</v>
      </c>
      <c r="L1563" s="703" t="s">
        <v>334</v>
      </c>
      <c r="M1563" s="702">
        <v>42886</v>
      </c>
      <c r="N1563" s="702">
        <v>44516</v>
      </c>
      <c r="O1563" s="703" t="s">
        <v>338</v>
      </c>
      <c r="P1563" s="20">
        <v>39.159999999999997</v>
      </c>
      <c r="Q1563" s="20">
        <v>0</v>
      </c>
      <c r="R1563" s="20">
        <v>0</v>
      </c>
      <c r="S1563" s="20">
        <v>0</v>
      </c>
      <c r="T1563" s="20">
        <v>39.159999999999997</v>
      </c>
      <c r="U1563" s="20">
        <v>39.049999999999997</v>
      </c>
      <c r="V1563" s="20">
        <v>-0.11</v>
      </c>
      <c r="W1563" s="20">
        <v>-1.42</v>
      </c>
      <c r="X1563" s="20">
        <v>-1.31</v>
      </c>
      <c r="Y1563" s="20">
        <v>0</v>
      </c>
      <c r="Z1563" s="20">
        <v>0</v>
      </c>
      <c r="AA1563" s="20">
        <v>0</v>
      </c>
      <c r="AB1563" s="20">
        <v>37.74</v>
      </c>
      <c r="AC1563" t="s">
        <v>183</v>
      </c>
      <c r="AD1563" t="s">
        <v>290</v>
      </c>
      <c r="AE1563" s="702">
        <f t="shared" si="120"/>
        <v>44348</v>
      </c>
      <c r="AF1563" s="289">
        <v>44.965281192769623</v>
      </c>
      <c r="AG1563">
        <f t="shared" si="121"/>
        <v>360</v>
      </c>
      <c r="AH1563" s="289">
        <f t="shared" si="122"/>
        <v>0.12490355886880451</v>
      </c>
      <c r="AJ1563" s="289">
        <f t="shared" si="123"/>
        <v>18</v>
      </c>
      <c r="AK1563" s="289">
        <f t="shared" si="124"/>
        <v>2.2482640596384811</v>
      </c>
    </row>
    <row r="1564" spans="1:37">
      <c r="A1564" s="703" t="s">
        <v>3079</v>
      </c>
      <c r="B1564" s="703" t="s">
        <v>2849</v>
      </c>
      <c r="C1564" s="703" t="s">
        <v>332</v>
      </c>
      <c r="D1564" s="703" t="s">
        <v>334</v>
      </c>
      <c r="E1564" s="703" t="s">
        <v>334</v>
      </c>
      <c r="F1564" s="703" t="s">
        <v>335</v>
      </c>
      <c r="G1564" s="703" t="s">
        <v>3076</v>
      </c>
      <c r="H1564" s="703" t="s">
        <v>334</v>
      </c>
      <c r="I1564" s="703" t="s">
        <v>334</v>
      </c>
      <c r="J1564" s="703" t="s">
        <v>337</v>
      </c>
      <c r="K1564" s="704">
        <v>0</v>
      </c>
      <c r="L1564" s="703" t="s">
        <v>334</v>
      </c>
      <c r="M1564" s="702">
        <v>42886</v>
      </c>
      <c r="N1564" s="702">
        <v>44516</v>
      </c>
      <c r="O1564" s="703" t="s">
        <v>338</v>
      </c>
      <c r="P1564" s="20">
        <v>79.2</v>
      </c>
      <c r="Q1564" s="20">
        <v>0</v>
      </c>
      <c r="R1564" s="20">
        <v>0</v>
      </c>
      <c r="S1564" s="20">
        <v>0</v>
      </c>
      <c r="T1564" s="20">
        <v>79.2</v>
      </c>
      <c r="U1564" s="20">
        <v>78.98</v>
      </c>
      <c r="V1564" s="20">
        <v>-0.22</v>
      </c>
      <c r="W1564" s="20">
        <v>-2.86</v>
      </c>
      <c r="X1564" s="20">
        <v>-2.64</v>
      </c>
      <c r="Y1564" s="20">
        <v>0</v>
      </c>
      <c r="Z1564" s="20">
        <v>0</v>
      </c>
      <c r="AA1564" s="20">
        <v>0</v>
      </c>
      <c r="AB1564" s="20">
        <v>76.34</v>
      </c>
      <c r="AC1564" t="s">
        <v>183</v>
      </c>
      <c r="AD1564" t="s">
        <v>290</v>
      </c>
      <c r="AE1564" s="702">
        <f t="shared" si="120"/>
        <v>44348</v>
      </c>
      <c r="AF1564" s="289">
        <v>90.94101814268015</v>
      </c>
      <c r="AG1564">
        <f t="shared" si="121"/>
        <v>360</v>
      </c>
      <c r="AH1564" s="289">
        <f t="shared" si="122"/>
        <v>0.25261393928522263</v>
      </c>
      <c r="AJ1564" s="289">
        <f t="shared" si="123"/>
        <v>18</v>
      </c>
      <c r="AK1564" s="289">
        <f t="shared" si="124"/>
        <v>4.5470509071340075</v>
      </c>
    </row>
    <row r="1565" spans="1:37">
      <c r="A1565" s="703" t="s">
        <v>3080</v>
      </c>
      <c r="B1565" s="703" t="s">
        <v>2849</v>
      </c>
      <c r="C1565" s="703" t="s">
        <v>332</v>
      </c>
      <c r="D1565" s="703" t="s">
        <v>334</v>
      </c>
      <c r="E1565" s="703" t="s">
        <v>334</v>
      </c>
      <c r="F1565" s="703" t="s">
        <v>335</v>
      </c>
      <c r="G1565" s="703" t="s">
        <v>3076</v>
      </c>
      <c r="H1565" s="703" t="s">
        <v>334</v>
      </c>
      <c r="I1565" s="703" t="s">
        <v>334</v>
      </c>
      <c r="J1565" s="703" t="s">
        <v>337</v>
      </c>
      <c r="K1565" s="704">
        <v>0</v>
      </c>
      <c r="L1565" s="703" t="s">
        <v>334</v>
      </c>
      <c r="M1565" s="702">
        <v>42886</v>
      </c>
      <c r="N1565" s="702">
        <v>44516</v>
      </c>
      <c r="O1565" s="703" t="s">
        <v>338</v>
      </c>
      <c r="P1565" s="20">
        <v>77.989999999999995</v>
      </c>
      <c r="Q1565" s="20">
        <v>0</v>
      </c>
      <c r="R1565" s="20">
        <v>0</v>
      </c>
      <c r="S1565" s="20">
        <v>0</v>
      </c>
      <c r="T1565" s="20">
        <v>77.989999999999995</v>
      </c>
      <c r="U1565" s="20">
        <v>77.77</v>
      </c>
      <c r="V1565" s="20">
        <v>-0.22</v>
      </c>
      <c r="W1565" s="20">
        <v>-2.82</v>
      </c>
      <c r="X1565" s="20">
        <v>-2.6</v>
      </c>
      <c r="Y1565" s="20">
        <v>0</v>
      </c>
      <c r="Z1565" s="20">
        <v>0</v>
      </c>
      <c r="AA1565" s="20">
        <v>0</v>
      </c>
      <c r="AB1565" s="20">
        <v>75.17</v>
      </c>
      <c r="AC1565" t="s">
        <v>183</v>
      </c>
      <c r="AD1565" t="s">
        <v>290</v>
      </c>
      <c r="AE1565" s="702">
        <f t="shared" si="120"/>
        <v>44348</v>
      </c>
      <c r="AF1565" s="289">
        <v>89.551641476611422</v>
      </c>
      <c r="AG1565">
        <f t="shared" si="121"/>
        <v>360</v>
      </c>
      <c r="AH1565" s="289">
        <f t="shared" si="122"/>
        <v>0.24875455965725396</v>
      </c>
      <c r="AJ1565" s="289">
        <f t="shared" si="123"/>
        <v>18</v>
      </c>
      <c r="AK1565" s="289">
        <f t="shared" si="124"/>
        <v>4.4775820738305709</v>
      </c>
    </row>
    <row r="1566" spans="1:37">
      <c r="A1566" s="703" t="s">
        <v>3081</v>
      </c>
      <c r="B1566" s="703" t="s">
        <v>2849</v>
      </c>
      <c r="C1566" s="703" t="s">
        <v>332</v>
      </c>
      <c r="D1566" s="703" t="s">
        <v>334</v>
      </c>
      <c r="E1566" s="703" t="s">
        <v>334</v>
      </c>
      <c r="F1566" s="703" t="s">
        <v>335</v>
      </c>
      <c r="G1566" s="703" t="s">
        <v>3076</v>
      </c>
      <c r="H1566" s="703" t="s">
        <v>334</v>
      </c>
      <c r="I1566" s="703" t="s">
        <v>334</v>
      </c>
      <c r="J1566" s="703" t="s">
        <v>337</v>
      </c>
      <c r="K1566" s="704">
        <v>0</v>
      </c>
      <c r="L1566" s="703" t="s">
        <v>334</v>
      </c>
      <c r="M1566" s="702">
        <v>42886</v>
      </c>
      <c r="N1566" s="702">
        <v>44516</v>
      </c>
      <c r="O1566" s="703" t="s">
        <v>338</v>
      </c>
      <c r="P1566" s="20">
        <v>58.28</v>
      </c>
      <c r="Q1566" s="20">
        <v>0</v>
      </c>
      <c r="R1566" s="20">
        <v>0</v>
      </c>
      <c r="S1566" s="20">
        <v>0</v>
      </c>
      <c r="T1566" s="20">
        <v>58.28</v>
      </c>
      <c r="U1566" s="20">
        <v>58.12</v>
      </c>
      <c r="V1566" s="20">
        <v>-0.16</v>
      </c>
      <c r="W1566" s="20">
        <v>-2.1</v>
      </c>
      <c r="X1566" s="20">
        <v>-1.94</v>
      </c>
      <c r="Y1566" s="20">
        <v>0</v>
      </c>
      <c r="Z1566" s="20">
        <v>0</v>
      </c>
      <c r="AA1566" s="20">
        <v>0</v>
      </c>
      <c r="AB1566" s="20">
        <v>56.18</v>
      </c>
      <c r="AC1566" t="s">
        <v>183</v>
      </c>
      <c r="AD1566" t="s">
        <v>290</v>
      </c>
      <c r="AE1566" s="702">
        <f t="shared" si="120"/>
        <v>44348</v>
      </c>
      <c r="AF1566" s="289">
        <v>66.91972900701262</v>
      </c>
      <c r="AG1566">
        <f t="shared" si="121"/>
        <v>360</v>
      </c>
      <c r="AH1566" s="289">
        <f t="shared" si="122"/>
        <v>0.1858881361305906</v>
      </c>
      <c r="AJ1566" s="289">
        <f t="shared" si="123"/>
        <v>18</v>
      </c>
      <c r="AK1566" s="289">
        <f t="shared" si="124"/>
        <v>3.3459864503506309</v>
      </c>
    </row>
    <row r="1567" spans="1:37">
      <c r="A1567" s="703" t="s">
        <v>3082</v>
      </c>
      <c r="B1567" s="703" t="s">
        <v>2849</v>
      </c>
      <c r="C1567" s="703" t="s">
        <v>332</v>
      </c>
      <c r="D1567" s="703" t="s">
        <v>334</v>
      </c>
      <c r="E1567" s="703" t="s">
        <v>334</v>
      </c>
      <c r="F1567" s="703" t="s">
        <v>335</v>
      </c>
      <c r="G1567" s="703" t="s">
        <v>3076</v>
      </c>
      <c r="H1567" s="703" t="s">
        <v>334</v>
      </c>
      <c r="I1567" s="703" t="s">
        <v>334</v>
      </c>
      <c r="J1567" s="703" t="s">
        <v>337</v>
      </c>
      <c r="K1567" s="704">
        <v>0</v>
      </c>
      <c r="L1567" s="703" t="s">
        <v>334</v>
      </c>
      <c r="M1567" s="702">
        <v>42886</v>
      </c>
      <c r="N1567" s="702">
        <v>44516</v>
      </c>
      <c r="O1567" s="703" t="s">
        <v>338</v>
      </c>
      <c r="P1567" s="20">
        <v>5.23</v>
      </c>
      <c r="Q1567" s="20">
        <v>0</v>
      </c>
      <c r="R1567" s="20">
        <v>0</v>
      </c>
      <c r="S1567" s="20">
        <v>0</v>
      </c>
      <c r="T1567" s="20">
        <v>5.23</v>
      </c>
      <c r="U1567" s="20">
        <v>5.22</v>
      </c>
      <c r="V1567" s="20">
        <v>-0.01</v>
      </c>
      <c r="W1567" s="20">
        <v>-0.18</v>
      </c>
      <c r="X1567" s="20">
        <v>-0.17</v>
      </c>
      <c r="Y1567" s="20">
        <v>0</v>
      </c>
      <c r="Z1567" s="20">
        <v>0</v>
      </c>
      <c r="AA1567" s="20">
        <v>0</v>
      </c>
      <c r="AB1567" s="20">
        <v>5.05</v>
      </c>
      <c r="AC1567" t="s">
        <v>183</v>
      </c>
      <c r="AD1567" t="s">
        <v>290</v>
      </c>
      <c r="AE1567" s="702">
        <f t="shared" si="120"/>
        <v>44348</v>
      </c>
      <c r="AF1567" s="289">
        <v>6.0053222839168834</v>
      </c>
      <c r="AG1567">
        <f t="shared" si="121"/>
        <v>360</v>
      </c>
      <c r="AH1567" s="289">
        <f t="shared" si="122"/>
        <v>1.6681450788658011E-2</v>
      </c>
      <c r="AJ1567" s="289">
        <f t="shared" si="123"/>
        <v>18</v>
      </c>
      <c r="AK1567" s="289">
        <f t="shared" si="124"/>
        <v>0.3002661141958442</v>
      </c>
    </row>
    <row r="1568" spans="1:37">
      <c r="A1568" s="703" t="s">
        <v>3083</v>
      </c>
      <c r="B1568" s="703" t="s">
        <v>2849</v>
      </c>
      <c r="C1568" s="703" t="s">
        <v>332</v>
      </c>
      <c r="D1568" s="703" t="s">
        <v>334</v>
      </c>
      <c r="E1568" s="703" t="s">
        <v>334</v>
      </c>
      <c r="F1568" s="703" t="s">
        <v>335</v>
      </c>
      <c r="G1568" s="703" t="s">
        <v>3076</v>
      </c>
      <c r="H1568" s="703" t="s">
        <v>334</v>
      </c>
      <c r="I1568" s="703" t="s">
        <v>334</v>
      </c>
      <c r="J1568" s="703" t="s">
        <v>337</v>
      </c>
      <c r="K1568" s="704">
        <v>0</v>
      </c>
      <c r="L1568" s="703" t="s">
        <v>334</v>
      </c>
      <c r="M1568" s="702">
        <v>42886</v>
      </c>
      <c r="N1568" s="702">
        <v>44516</v>
      </c>
      <c r="O1568" s="703" t="s">
        <v>338</v>
      </c>
      <c r="P1568" s="20">
        <v>64.05</v>
      </c>
      <c r="Q1568" s="20">
        <v>0</v>
      </c>
      <c r="R1568" s="20">
        <v>0</v>
      </c>
      <c r="S1568" s="20">
        <v>0</v>
      </c>
      <c r="T1568" s="20">
        <v>64.05</v>
      </c>
      <c r="U1568" s="20">
        <v>63.87</v>
      </c>
      <c r="V1568" s="20">
        <v>-0.18</v>
      </c>
      <c r="W1568" s="20">
        <v>-2.3199999999999998</v>
      </c>
      <c r="X1568" s="20">
        <v>-2.14</v>
      </c>
      <c r="Y1568" s="20">
        <v>0</v>
      </c>
      <c r="Z1568" s="20">
        <v>0</v>
      </c>
      <c r="AA1568" s="20">
        <v>0</v>
      </c>
      <c r="AB1568" s="20">
        <v>61.73</v>
      </c>
      <c r="AC1568" t="s">
        <v>183</v>
      </c>
      <c r="AD1568" t="s">
        <v>290</v>
      </c>
      <c r="AE1568" s="702">
        <f t="shared" si="120"/>
        <v>44348</v>
      </c>
      <c r="AF1568" s="289">
        <v>73.545103687356857</v>
      </c>
      <c r="AG1568">
        <f t="shared" si="121"/>
        <v>360</v>
      </c>
      <c r="AH1568" s="289">
        <f t="shared" si="122"/>
        <v>0.20429195468710237</v>
      </c>
      <c r="AJ1568" s="289">
        <f t="shared" si="123"/>
        <v>18</v>
      </c>
      <c r="AK1568" s="289">
        <f t="shared" si="124"/>
        <v>3.6772551843678425</v>
      </c>
    </row>
    <row r="1569" spans="1:37">
      <c r="A1569" s="703" t="s">
        <v>3084</v>
      </c>
      <c r="B1569" s="703" t="s">
        <v>2849</v>
      </c>
      <c r="C1569" s="703" t="s">
        <v>332</v>
      </c>
      <c r="D1569" s="703" t="s">
        <v>334</v>
      </c>
      <c r="E1569" s="703" t="s">
        <v>334</v>
      </c>
      <c r="F1569" s="703" t="s">
        <v>335</v>
      </c>
      <c r="G1569" s="703" t="s">
        <v>3076</v>
      </c>
      <c r="H1569" s="703" t="s">
        <v>334</v>
      </c>
      <c r="I1569" s="703" t="s">
        <v>334</v>
      </c>
      <c r="J1569" s="703" t="s">
        <v>337</v>
      </c>
      <c r="K1569" s="704">
        <v>0</v>
      </c>
      <c r="L1569" s="703" t="s">
        <v>334</v>
      </c>
      <c r="M1569" s="702">
        <v>42886</v>
      </c>
      <c r="N1569" s="702">
        <v>44516</v>
      </c>
      <c r="O1569" s="703" t="s">
        <v>338</v>
      </c>
      <c r="P1569" s="20">
        <v>72.64</v>
      </c>
      <c r="Q1569" s="20">
        <v>0</v>
      </c>
      <c r="R1569" s="20">
        <v>0</v>
      </c>
      <c r="S1569" s="20">
        <v>0</v>
      </c>
      <c r="T1569" s="20">
        <v>72.64</v>
      </c>
      <c r="U1569" s="20">
        <v>72.44</v>
      </c>
      <c r="V1569" s="20">
        <v>-0.2</v>
      </c>
      <c r="W1569" s="20">
        <v>-2.62</v>
      </c>
      <c r="X1569" s="20">
        <v>-2.42</v>
      </c>
      <c r="Y1569" s="20">
        <v>0</v>
      </c>
      <c r="Z1569" s="20">
        <v>0</v>
      </c>
      <c r="AA1569" s="20">
        <v>0</v>
      </c>
      <c r="AB1569" s="20">
        <v>70.02</v>
      </c>
      <c r="AC1569" t="s">
        <v>183</v>
      </c>
      <c r="AD1569" t="s">
        <v>290</v>
      </c>
      <c r="AE1569" s="702">
        <f t="shared" si="120"/>
        <v>44348</v>
      </c>
      <c r="AF1569" s="289">
        <v>83.408529771266231</v>
      </c>
      <c r="AG1569">
        <f t="shared" si="121"/>
        <v>360</v>
      </c>
      <c r="AH1569" s="289">
        <f t="shared" si="122"/>
        <v>0.23169036047573954</v>
      </c>
      <c r="AJ1569" s="289">
        <f t="shared" si="123"/>
        <v>18</v>
      </c>
      <c r="AK1569" s="289">
        <f t="shared" si="124"/>
        <v>4.1704264885633116</v>
      </c>
    </row>
    <row r="1570" spans="1:37">
      <c r="A1570" s="703" t="s">
        <v>3085</v>
      </c>
      <c r="B1570" s="703" t="s">
        <v>2849</v>
      </c>
      <c r="C1570" s="703" t="s">
        <v>332</v>
      </c>
      <c r="D1570" s="703" t="s">
        <v>334</v>
      </c>
      <c r="E1570" s="703" t="s">
        <v>334</v>
      </c>
      <c r="F1570" s="703" t="s">
        <v>335</v>
      </c>
      <c r="G1570" s="703" t="s">
        <v>3076</v>
      </c>
      <c r="H1570" s="703" t="s">
        <v>334</v>
      </c>
      <c r="I1570" s="703" t="s">
        <v>334</v>
      </c>
      <c r="J1570" s="703" t="s">
        <v>337</v>
      </c>
      <c r="K1570" s="704">
        <v>0</v>
      </c>
      <c r="L1570" s="703" t="s">
        <v>334</v>
      </c>
      <c r="M1570" s="702">
        <v>42886</v>
      </c>
      <c r="N1570" s="702">
        <v>44516</v>
      </c>
      <c r="O1570" s="703" t="s">
        <v>338</v>
      </c>
      <c r="P1570" s="20">
        <v>25.77</v>
      </c>
      <c r="Q1570" s="20">
        <v>0</v>
      </c>
      <c r="R1570" s="20">
        <v>0</v>
      </c>
      <c r="S1570" s="20">
        <v>0</v>
      </c>
      <c r="T1570" s="20">
        <v>25.77</v>
      </c>
      <c r="U1570" s="20">
        <v>25.7</v>
      </c>
      <c r="V1570" s="20">
        <v>-7.0000000000000007E-2</v>
      </c>
      <c r="W1570" s="20">
        <v>-0.93</v>
      </c>
      <c r="X1570" s="20">
        <v>-0.86</v>
      </c>
      <c r="Y1570" s="20">
        <v>0</v>
      </c>
      <c r="Z1570" s="20">
        <v>0</v>
      </c>
      <c r="AA1570" s="20">
        <v>0</v>
      </c>
      <c r="AB1570" s="20">
        <v>24.84</v>
      </c>
      <c r="AC1570" t="s">
        <v>183</v>
      </c>
      <c r="AD1570" t="s">
        <v>290</v>
      </c>
      <c r="AE1570" s="702">
        <f t="shared" si="120"/>
        <v>44348</v>
      </c>
      <c r="AF1570" s="289">
        <v>29.590278251728122</v>
      </c>
      <c r="AG1570">
        <f t="shared" si="121"/>
        <v>360</v>
      </c>
      <c r="AH1570" s="289">
        <f t="shared" si="122"/>
        <v>8.2195217365911455E-2</v>
      </c>
      <c r="AJ1570" s="289">
        <f t="shared" si="123"/>
        <v>18</v>
      </c>
      <c r="AK1570" s="289">
        <f t="shared" si="124"/>
        <v>1.4795139125864063</v>
      </c>
    </row>
    <row r="1571" spans="1:37">
      <c r="A1571" s="703" t="s">
        <v>3086</v>
      </c>
      <c r="B1571" s="703" t="s">
        <v>2849</v>
      </c>
      <c r="C1571" s="703" t="s">
        <v>332</v>
      </c>
      <c r="D1571" s="703" t="s">
        <v>334</v>
      </c>
      <c r="E1571" s="703" t="s">
        <v>334</v>
      </c>
      <c r="F1571" s="703" t="s">
        <v>335</v>
      </c>
      <c r="G1571" s="703" t="s">
        <v>3076</v>
      </c>
      <c r="H1571" s="703" t="s">
        <v>334</v>
      </c>
      <c r="I1571" s="703" t="s">
        <v>334</v>
      </c>
      <c r="J1571" s="703" t="s">
        <v>337</v>
      </c>
      <c r="K1571" s="704">
        <v>0</v>
      </c>
      <c r="L1571" s="703" t="s">
        <v>334</v>
      </c>
      <c r="M1571" s="702">
        <v>42886</v>
      </c>
      <c r="N1571" s="702">
        <v>44516</v>
      </c>
      <c r="O1571" s="703" t="s">
        <v>338</v>
      </c>
      <c r="P1571" s="20">
        <v>375.44</v>
      </c>
      <c r="Q1571" s="20">
        <v>0</v>
      </c>
      <c r="R1571" s="20">
        <v>0</v>
      </c>
      <c r="S1571" s="20">
        <v>0</v>
      </c>
      <c r="T1571" s="20">
        <v>375.44</v>
      </c>
      <c r="U1571" s="20">
        <v>374.4</v>
      </c>
      <c r="V1571" s="20">
        <v>-1.04</v>
      </c>
      <c r="W1571" s="20">
        <v>-13.55</v>
      </c>
      <c r="X1571" s="20">
        <v>-12.51</v>
      </c>
      <c r="Y1571" s="20">
        <v>0</v>
      </c>
      <c r="Z1571" s="20">
        <v>0</v>
      </c>
      <c r="AA1571" s="20">
        <v>0</v>
      </c>
      <c r="AB1571" s="20">
        <v>361.89</v>
      </c>
      <c r="AC1571" t="s">
        <v>183</v>
      </c>
      <c r="AD1571" t="s">
        <v>290</v>
      </c>
      <c r="AE1571" s="702">
        <f t="shared" si="120"/>
        <v>44348</v>
      </c>
      <c r="AF1571" s="289">
        <v>431.0971698420181</v>
      </c>
      <c r="AG1571">
        <f t="shared" si="121"/>
        <v>360</v>
      </c>
      <c r="AH1571" s="289">
        <f t="shared" si="122"/>
        <v>1.1974921384500503</v>
      </c>
      <c r="AJ1571" s="289">
        <f t="shared" si="123"/>
        <v>18</v>
      </c>
      <c r="AK1571" s="289">
        <f t="shared" si="124"/>
        <v>21.554858492100905</v>
      </c>
    </row>
    <row r="1572" spans="1:37">
      <c r="A1572" s="703" t="s">
        <v>3087</v>
      </c>
      <c r="B1572" s="703" t="s">
        <v>2849</v>
      </c>
      <c r="C1572" s="703" t="s">
        <v>332</v>
      </c>
      <c r="D1572" s="703" t="s">
        <v>334</v>
      </c>
      <c r="E1572" s="703" t="s">
        <v>334</v>
      </c>
      <c r="F1572" s="703" t="s">
        <v>335</v>
      </c>
      <c r="G1572" s="703" t="s">
        <v>3076</v>
      </c>
      <c r="H1572" s="703" t="s">
        <v>334</v>
      </c>
      <c r="I1572" s="703" t="s">
        <v>334</v>
      </c>
      <c r="J1572" s="703" t="s">
        <v>337</v>
      </c>
      <c r="K1572" s="704">
        <v>0</v>
      </c>
      <c r="L1572" s="703" t="s">
        <v>334</v>
      </c>
      <c r="M1572" s="702">
        <v>42886</v>
      </c>
      <c r="N1572" s="702">
        <v>44516</v>
      </c>
      <c r="O1572" s="703" t="s">
        <v>338</v>
      </c>
      <c r="P1572" s="20">
        <v>202.67</v>
      </c>
      <c r="Q1572" s="20">
        <v>0</v>
      </c>
      <c r="R1572" s="20">
        <v>0</v>
      </c>
      <c r="S1572" s="20">
        <v>0</v>
      </c>
      <c r="T1572" s="20">
        <v>202.67</v>
      </c>
      <c r="U1572" s="20">
        <v>202.11</v>
      </c>
      <c r="V1572" s="20">
        <v>-0.56000000000000005</v>
      </c>
      <c r="W1572" s="20">
        <v>-7.32</v>
      </c>
      <c r="X1572" s="20">
        <v>-6.76</v>
      </c>
      <c r="Y1572" s="20">
        <v>0</v>
      </c>
      <c r="Z1572" s="20">
        <v>0</v>
      </c>
      <c r="AA1572" s="20">
        <v>0</v>
      </c>
      <c r="AB1572" s="20">
        <v>195.35</v>
      </c>
      <c r="AC1572" t="s">
        <v>183</v>
      </c>
      <c r="AD1572" t="s">
        <v>290</v>
      </c>
      <c r="AE1572" s="702">
        <f t="shared" si="120"/>
        <v>44348</v>
      </c>
      <c r="AF1572" s="289">
        <v>232.71485034061848</v>
      </c>
      <c r="AG1572">
        <f t="shared" si="121"/>
        <v>360</v>
      </c>
      <c r="AH1572" s="289">
        <f t="shared" si="122"/>
        <v>0.64643013983505138</v>
      </c>
      <c r="AJ1572" s="289">
        <f t="shared" si="123"/>
        <v>18</v>
      </c>
      <c r="AK1572" s="289">
        <f t="shared" si="124"/>
        <v>11.635742517030925</v>
      </c>
    </row>
    <row r="1573" spans="1:37">
      <c r="A1573" s="703" t="s">
        <v>3088</v>
      </c>
      <c r="B1573" s="703" t="s">
        <v>2849</v>
      </c>
      <c r="C1573" s="703" t="s">
        <v>332</v>
      </c>
      <c r="D1573" s="703" t="s">
        <v>334</v>
      </c>
      <c r="E1573" s="703" t="s">
        <v>334</v>
      </c>
      <c r="F1573" s="703" t="s">
        <v>335</v>
      </c>
      <c r="G1573" s="703" t="s">
        <v>3076</v>
      </c>
      <c r="H1573" s="703" t="s">
        <v>334</v>
      </c>
      <c r="I1573" s="703" t="s">
        <v>334</v>
      </c>
      <c r="J1573" s="703" t="s">
        <v>337</v>
      </c>
      <c r="K1573" s="704">
        <v>0</v>
      </c>
      <c r="L1573" s="703" t="s">
        <v>334</v>
      </c>
      <c r="M1573" s="702">
        <v>42886</v>
      </c>
      <c r="N1573" s="702">
        <v>44516</v>
      </c>
      <c r="O1573" s="703" t="s">
        <v>338</v>
      </c>
      <c r="P1573" s="20">
        <v>25.26</v>
      </c>
      <c r="Q1573" s="20">
        <v>0</v>
      </c>
      <c r="R1573" s="20">
        <v>0</v>
      </c>
      <c r="S1573" s="20">
        <v>0</v>
      </c>
      <c r="T1573" s="20">
        <v>25.26</v>
      </c>
      <c r="U1573" s="20">
        <v>25.19</v>
      </c>
      <c r="V1573" s="20">
        <v>-7.0000000000000007E-2</v>
      </c>
      <c r="W1573" s="20">
        <v>-0.91</v>
      </c>
      <c r="X1573" s="20">
        <v>-0.84</v>
      </c>
      <c r="Y1573" s="20">
        <v>0</v>
      </c>
      <c r="Z1573" s="20">
        <v>0</v>
      </c>
      <c r="AA1573" s="20">
        <v>0</v>
      </c>
      <c r="AB1573" s="20">
        <v>24.35</v>
      </c>
      <c r="AC1573" t="s">
        <v>183</v>
      </c>
      <c r="AD1573" t="s">
        <v>290</v>
      </c>
      <c r="AE1573" s="702">
        <f t="shared" si="120"/>
        <v>44348</v>
      </c>
      <c r="AF1573" s="289">
        <v>29.004673210657835</v>
      </c>
      <c r="AG1573">
        <f t="shared" si="121"/>
        <v>360</v>
      </c>
      <c r="AH1573" s="289">
        <f t="shared" si="122"/>
        <v>8.0568536696271759E-2</v>
      </c>
      <c r="AJ1573" s="289">
        <f t="shared" si="123"/>
        <v>18</v>
      </c>
      <c r="AK1573" s="289">
        <f t="shared" si="124"/>
        <v>1.4502336605328916</v>
      </c>
    </row>
    <row r="1574" spans="1:37">
      <c r="A1574" s="703" t="s">
        <v>3089</v>
      </c>
      <c r="B1574" s="703" t="s">
        <v>2849</v>
      </c>
      <c r="C1574" s="703" t="s">
        <v>332</v>
      </c>
      <c r="D1574" s="703" t="s">
        <v>334</v>
      </c>
      <c r="E1574" s="703" t="s">
        <v>334</v>
      </c>
      <c r="F1574" s="703" t="s">
        <v>335</v>
      </c>
      <c r="G1574" s="703" t="s">
        <v>3076</v>
      </c>
      <c r="H1574" s="703" t="s">
        <v>334</v>
      </c>
      <c r="I1574" s="703" t="s">
        <v>334</v>
      </c>
      <c r="J1574" s="703" t="s">
        <v>337</v>
      </c>
      <c r="K1574" s="704">
        <v>0</v>
      </c>
      <c r="L1574" s="703" t="s">
        <v>334</v>
      </c>
      <c r="M1574" s="702">
        <v>42886</v>
      </c>
      <c r="N1574" s="702">
        <v>44516</v>
      </c>
      <c r="O1574" s="703" t="s">
        <v>338</v>
      </c>
      <c r="P1574" s="20">
        <v>64.61</v>
      </c>
      <c r="Q1574" s="20">
        <v>0</v>
      </c>
      <c r="R1574" s="20">
        <v>0</v>
      </c>
      <c r="S1574" s="20">
        <v>0</v>
      </c>
      <c r="T1574" s="20">
        <v>64.61</v>
      </c>
      <c r="U1574" s="20">
        <v>64.430000000000007</v>
      </c>
      <c r="V1574" s="20">
        <v>-0.18</v>
      </c>
      <c r="W1574" s="20">
        <v>-2.33</v>
      </c>
      <c r="X1574" s="20">
        <v>-2.15</v>
      </c>
      <c r="Y1574" s="20">
        <v>0</v>
      </c>
      <c r="Z1574" s="20">
        <v>0</v>
      </c>
      <c r="AA1574" s="20">
        <v>0</v>
      </c>
      <c r="AB1574" s="20">
        <v>62.28</v>
      </c>
      <c r="AC1574" t="s">
        <v>183</v>
      </c>
      <c r="AD1574" t="s">
        <v>290</v>
      </c>
      <c r="AE1574" s="702">
        <f t="shared" si="120"/>
        <v>44348</v>
      </c>
      <c r="AF1574" s="289">
        <v>74.188120987355603</v>
      </c>
      <c r="AG1574">
        <f t="shared" si="121"/>
        <v>360</v>
      </c>
      <c r="AH1574" s="289">
        <f t="shared" si="122"/>
        <v>0.20607811385376557</v>
      </c>
      <c r="AJ1574" s="289">
        <f t="shared" si="123"/>
        <v>18</v>
      </c>
      <c r="AK1574" s="289">
        <f t="shared" si="124"/>
        <v>3.7094060493677801</v>
      </c>
    </row>
    <row r="1575" spans="1:37">
      <c r="A1575" s="703" t="s">
        <v>3090</v>
      </c>
      <c r="B1575" s="703" t="s">
        <v>2849</v>
      </c>
      <c r="C1575" s="703" t="s">
        <v>332</v>
      </c>
      <c r="D1575" s="703" t="s">
        <v>334</v>
      </c>
      <c r="E1575" s="703" t="s">
        <v>334</v>
      </c>
      <c r="F1575" s="703" t="s">
        <v>335</v>
      </c>
      <c r="G1575" s="703" t="s">
        <v>3076</v>
      </c>
      <c r="H1575" s="703" t="s">
        <v>334</v>
      </c>
      <c r="I1575" s="703" t="s">
        <v>334</v>
      </c>
      <c r="J1575" s="703" t="s">
        <v>337</v>
      </c>
      <c r="K1575" s="704">
        <v>0</v>
      </c>
      <c r="L1575" s="703" t="s">
        <v>334</v>
      </c>
      <c r="M1575" s="702">
        <v>42886</v>
      </c>
      <c r="N1575" s="702">
        <v>44516</v>
      </c>
      <c r="O1575" s="703" t="s">
        <v>338</v>
      </c>
      <c r="P1575" s="20">
        <v>258.68</v>
      </c>
      <c r="Q1575" s="20">
        <v>0</v>
      </c>
      <c r="R1575" s="20">
        <v>0</v>
      </c>
      <c r="S1575" s="20">
        <v>0</v>
      </c>
      <c r="T1575" s="20">
        <v>258.68</v>
      </c>
      <c r="U1575" s="20">
        <v>257.95999999999998</v>
      </c>
      <c r="V1575" s="20">
        <v>-0.72</v>
      </c>
      <c r="W1575" s="20">
        <v>-9.34</v>
      </c>
      <c r="X1575" s="20">
        <v>-8.6199999999999992</v>
      </c>
      <c r="Y1575" s="20">
        <v>0</v>
      </c>
      <c r="Z1575" s="20">
        <v>0</v>
      </c>
      <c r="AA1575" s="20">
        <v>0</v>
      </c>
      <c r="AB1575" s="20">
        <v>249.34</v>
      </c>
      <c r="AC1575" t="s">
        <v>183</v>
      </c>
      <c r="AD1575" t="s">
        <v>290</v>
      </c>
      <c r="AE1575" s="702">
        <f t="shared" si="120"/>
        <v>44348</v>
      </c>
      <c r="AF1575" s="289">
        <v>297.028062792279</v>
      </c>
      <c r="AG1575">
        <f t="shared" si="121"/>
        <v>360</v>
      </c>
      <c r="AH1575" s="289">
        <f t="shared" si="122"/>
        <v>0.82507795220077496</v>
      </c>
      <c r="AJ1575" s="289">
        <f t="shared" si="123"/>
        <v>18</v>
      </c>
      <c r="AK1575" s="289">
        <f t="shared" si="124"/>
        <v>14.85140313961395</v>
      </c>
    </row>
    <row r="1576" spans="1:37">
      <c r="A1576" s="703" t="s">
        <v>3091</v>
      </c>
      <c r="B1576" s="703" t="s">
        <v>2849</v>
      </c>
      <c r="C1576" s="703" t="s">
        <v>332</v>
      </c>
      <c r="D1576" s="703" t="s">
        <v>334</v>
      </c>
      <c r="E1576" s="703" t="s">
        <v>334</v>
      </c>
      <c r="F1576" s="703" t="s">
        <v>335</v>
      </c>
      <c r="G1576" s="703" t="s">
        <v>3076</v>
      </c>
      <c r="H1576" s="703" t="s">
        <v>334</v>
      </c>
      <c r="I1576" s="703" t="s">
        <v>334</v>
      </c>
      <c r="J1576" s="703" t="s">
        <v>337</v>
      </c>
      <c r="K1576" s="704">
        <v>0</v>
      </c>
      <c r="L1576" s="703" t="s">
        <v>334</v>
      </c>
      <c r="M1576" s="702">
        <v>42886</v>
      </c>
      <c r="N1576" s="702">
        <v>44516</v>
      </c>
      <c r="O1576" s="703" t="s">
        <v>338</v>
      </c>
      <c r="P1576" s="20">
        <v>1074</v>
      </c>
      <c r="Q1576" s="20">
        <v>0</v>
      </c>
      <c r="R1576" s="20">
        <v>0</v>
      </c>
      <c r="S1576" s="20">
        <v>0</v>
      </c>
      <c r="T1576" s="20">
        <v>1074</v>
      </c>
      <c r="U1576" s="20">
        <v>1071.02</v>
      </c>
      <c r="V1576" s="20">
        <v>-2.98</v>
      </c>
      <c r="W1576" s="20">
        <v>-38.78</v>
      </c>
      <c r="X1576" s="20">
        <v>-35.799999999999997</v>
      </c>
      <c r="Y1576" s="20">
        <v>0</v>
      </c>
      <c r="Z1576" s="20">
        <v>0</v>
      </c>
      <c r="AA1576" s="20">
        <v>0</v>
      </c>
      <c r="AB1576" s="20">
        <v>1035.22</v>
      </c>
      <c r="AC1576" t="s">
        <v>183</v>
      </c>
      <c r="AD1576" t="s">
        <v>290</v>
      </c>
      <c r="AE1576" s="702">
        <f t="shared" si="120"/>
        <v>44348</v>
      </c>
      <c r="AF1576" s="289">
        <v>1233.215321783314</v>
      </c>
      <c r="AG1576">
        <f t="shared" si="121"/>
        <v>360</v>
      </c>
      <c r="AH1576" s="289">
        <f t="shared" si="122"/>
        <v>3.4255981160647613</v>
      </c>
      <c r="AJ1576" s="289">
        <f t="shared" si="123"/>
        <v>18</v>
      </c>
      <c r="AK1576" s="289">
        <f t="shared" si="124"/>
        <v>61.660766089165705</v>
      </c>
    </row>
    <row r="1577" spans="1:37">
      <c r="A1577" s="703" t="s">
        <v>3092</v>
      </c>
      <c r="B1577" s="703" t="s">
        <v>2849</v>
      </c>
      <c r="C1577" s="703" t="s">
        <v>332</v>
      </c>
      <c r="D1577" s="703" t="s">
        <v>334</v>
      </c>
      <c r="E1577" s="703" t="s">
        <v>334</v>
      </c>
      <c r="F1577" s="703" t="s">
        <v>335</v>
      </c>
      <c r="G1577" s="703" t="s">
        <v>3076</v>
      </c>
      <c r="H1577" s="703" t="s">
        <v>334</v>
      </c>
      <c r="I1577" s="703" t="s">
        <v>334</v>
      </c>
      <c r="J1577" s="703" t="s">
        <v>337</v>
      </c>
      <c r="K1577" s="704">
        <v>0</v>
      </c>
      <c r="L1577" s="703" t="s">
        <v>334</v>
      </c>
      <c r="M1577" s="702">
        <v>42886</v>
      </c>
      <c r="N1577" s="702">
        <v>44516</v>
      </c>
      <c r="O1577" s="703" t="s">
        <v>338</v>
      </c>
      <c r="P1577" s="20">
        <v>467.59</v>
      </c>
      <c r="Q1577" s="20">
        <v>0</v>
      </c>
      <c r="R1577" s="20">
        <v>0</v>
      </c>
      <c r="S1577" s="20">
        <v>0</v>
      </c>
      <c r="T1577" s="20">
        <v>467.59</v>
      </c>
      <c r="U1577" s="20">
        <v>466.29</v>
      </c>
      <c r="V1577" s="20">
        <v>-1.3</v>
      </c>
      <c r="W1577" s="20">
        <v>-16.89</v>
      </c>
      <c r="X1577" s="20">
        <v>-15.59</v>
      </c>
      <c r="Y1577" s="20">
        <v>0</v>
      </c>
      <c r="Z1577" s="20">
        <v>0</v>
      </c>
      <c r="AA1577" s="20">
        <v>0</v>
      </c>
      <c r="AB1577" s="20">
        <v>450.7</v>
      </c>
      <c r="AC1577" t="s">
        <v>183</v>
      </c>
      <c r="AD1577" t="s">
        <v>290</v>
      </c>
      <c r="AE1577" s="702">
        <f t="shared" si="120"/>
        <v>44348</v>
      </c>
      <c r="AF1577" s="289">
        <v>536.90796304716935</v>
      </c>
      <c r="AG1577">
        <f t="shared" si="121"/>
        <v>360</v>
      </c>
      <c r="AH1577" s="289">
        <f t="shared" si="122"/>
        <v>1.4914110084643593</v>
      </c>
      <c r="AJ1577" s="289">
        <f t="shared" si="123"/>
        <v>18</v>
      </c>
      <c r="AK1577" s="289">
        <f t="shared" si="124"/>
        <v>26.845398152358467</v>
      </c>
    </row>
    <row r="1578" spans="1:37">
      <c r="A1578" s="703" t="s">
        <v>3093</v>
      </c>
      <c r="B1578" s="703" t="s">
        <v>2849</v>
      </c>
      <c r="C1578" s="703" t="s">
        <v>332</v>
      </c>
      <c r="D1578" s="703" t="s">
        <v>334</v>
      </c>
      <c r="E1578" s="703" t="s">
        <v>334</v>
      </c>
      <c r="F1578" s="703" t="s">
        <v>335</v>
      </c>
      <c r="G1578" s="703" t="s">
        <v>3076</v>
      </c>
      <c r="H1578" s="703" t="s">
        <v>334</v>
      </c>
      <c r="I1578" s="703" t="s">
        <v>334</v>
      </c>
      <c r="J1578" s="703" t="s">
        <v>337</v>
      </c>
      <c r="K1578" s="704">
        <v>0</v>
      </c>
      <c r="L1578" s="703" t="s">
        <v>334</v>
      </c>
      <c r="M1578" s="702">
        <v>42886</v>
      </c>
      <c r="N1578" s="702">
        <v>44516</v>
      </c>
      <c r="O1578" s="703" t="s">
        <v>338</v>
      </c>
      <c r="P1578" s="20">
        <v>1306.6400000000001</v>
      </c>
      <c r="Q1578" s="20">
        <v>0</v>
      </c>
      <c r="R1578" s="20">
        <v>0</v>
      </c>
      <c r="S1578" s="20">
        <v>0</v>
      </c>
      <c r="T1578" s="20">
        <v>1306.6400000000001</v>
      </c>
      <c r="U1578" s="20">
        <v>1303.01</v>
      </c>
      <c r="V1578" s="20">
        <v>-3.63</v>
      </c>
      <c r="W1578" s="20">
        <v>-47.18</v>
      </c>
      <c r="X1578" s="20">
        <v>-43.55</v>
      </c>
      <c r="Y1578" s="20">
        <v>0</v>
      </c>
      <c r="Z1578" s="20">
        <v>0</v>
      </c>
      <c r="AA1578" s="20">
        <v>0</v>
      </c>
      <c r="AB1578" s="20">
        <v>1259.46</v>
      </c>
      <c r="AC1578" t="s">
        <v>183</v>
      </c>
      <c r="AD1578" t="s">
        <v>290</v>
      </c>
      <c r="AE1578" s="702">
        <f t="shared" si="120"/>
        <v>44348</v>
      </c>
      <c r="AF1578" s="289">
        <v>1500.3430801256513</v>
      </c>
      <c r="AG1578">
        <f t="shared" si="121"/>
        <v>360</v>
      </c>
      <c r="AH1578" s="289">
        <f t="shared" si="122"/>
        <v>4.167619667015698</v>
      </c>
      <c r="AJ1578" s="289">
        <f t="shared" si="123"/>
        <v>18</v>
      </c>
      <c r="AK1578" s="289">
        <f t="shared" si="124"/>
        <v>75.017154006282567</v>
      </c>
    </row>
    <row r="1579" spans="1:37">
      <c r="A1579" s="703" t="s">
        <v>3094</v>
      </c>
      <c r="B1579" s="703" t="s">
        <v>2849</v>
      </c>
      <c r="C1579" s="703" t="s">
        <v>332</v>
      </c>
      <c r="D1579" s="703" t="s">
        <v>334</v>
      </c>
      <c r="E1579" s="703" t="s">
        <v>334</v>
      </c>
      <c r="F1579" s="703" t="s">
        <v>335</v>
      </c>
      <c r="G1579" s="703" t="s">
        <v>3076</v>
      </c>
      <c r="H1579" s="703" t="s">
        <v>334</v>
      </c>
      <c r="I1579" s="703" t="s">
        <v>334</v>
      </c>
      <c r="J1579" s="703" t="s">
        <v>337</v>
      </c>
      <c r="K1579" s="704">
        <v>0</v>
      </c>
      <c r="L1579" s="703" t="s">
        <v>334</v>
      </c>
      <c r="M1579" s="702">
        <v>42886</v>
      </c>
      <c r="N1579" s="702">
        <v>44516</v>
      </c>
      <c r="O1579" s="703" t="s">
        <v>338</v>
      </c>
      <c r="P1579" s="20">
        <v>32.24</v>
      </c>
      <c r="Q1579" s="20">
        <v>0</v>
      </c>
      <c r="R1579" s="20">
        <v>0</v>
      </c>
      <c r="S1579" s="20">
        <v>0</v>
      </c>
      <c r="T1579" s="20">
        <v>32.24</v>
      </c>
      <c r="U1579" s="20">
        <v>32.15</v>
      </c>
      <c r="V1579" s="20">
        <v>-0.09</v>
      </c>
      <c r="W1579" s="20">
        <v>-1.1599999999999999</v>
      </c>
      <c r="X1579" s="20">
        <v>-1.07</v>
      </c>
      <c r="Y1579" s="20">
        <v>0</v>
      </c>
      <c r="Z1579" s="20">
        <v>0</v>
      </c>
      <c r="AA1579" s="20">
        <v>0</v>
      </c>
      <c r="AB1579" s="20">
        <v>31.08</v>
      </c>
      <c r="AC1579" t="s">
        <v>183</v>
      </c>
      <c r="AD1579" t="s">
        <v>290</v>
      </c>
      <c r="AE1579" s="702">
        <f t="shared" si="120"/>
        <v>44348</v>
      </c>
      <c r="AF1579" s="289">
        <v>37.019424557070813</v>
      </c>
      <c r="AG1579">
        <f t="shared" si="121"/>
        <v>360</v>
      </c>
      <c r="AH1579" s="289">
        <f t="shared" si="122"/>
        <v>0.10283173488075226</v>
      </c>
      <c r="AJ1579" s="289">
        <f t="shared" si="123"/>
        <v>18</v>
      </c>
      <c r="AK1579" s="289">
        <f t="shared" si="124"/>
        <v>1.8509712278535406</v>
      </c>
    </row>
    <row r="1580" spans="1:37">
      <c r="A1580" s="703" t="s">
        <v>3095</v>
      </c>
      <c r="B1580" s="703" t="s">
        <v>2849</v>
      </c>
      <c r="C1580" s="703" t="s">
        <v>332</v>
      </c>
      <c r="D1580" s="703" t="s">
        <v>334</v>
      </c>
      <c r="E1580" s="703" t="s">
        <v>334</v>
      </c>
      <c r="F1580" s="703" t="s">
        <v>335</v>
      </c>
      <c r="G1580" s="703" t="s">
        <v>3076</v>
      </c>
      <c r="H1580" s="703" t="s">
        <v>334</v>
      </c>
      <c r="I1580" s="703" t="s">
        <v>334</v>
      </c>
      <c r="J1580" s="703" t="s">
        <v>337</v>
      </c>
      <c r="K1580" s="704">
        <v>0</v>
      </c>
      <c r="L1580" s="703" t="s">
        <v>334</v>
      </c>
      <c r="M1580" s="702">
        <v>42886</v>
      </c>
      <c r="N1580" s="702">
        <v>44516</v>
      </c>
      <c r="O1580" s="703" t="s">
        <v>338</v>
      </c>
      <c r="P1580" s="20">
        <v>792.13</v>
      </c>
      <c r="Q1580" s="20">
        <v>0</v>
      </c>
      <c r="R1580" s="20">
        <v>0</v>
      </c>
      <c r="S1580" s="20">
        <v>0</v>
      </c>
      <c r="T1580" s="20">
        <v>792.13</v>
      </c>
      <c r="U1580" s="20">
        <v>789.93</v>
      </c>
      <c r="V1580" s="20">
        <v>-2.2000000000000002</v>
      </c>
      <c r="W1580" s="20">
        <v>-28.6</v>
      </c>
      <c r="X1580" s="20">
        <v>-26.4</v>
      </c>
      <c r="Y1580" s="20">
        <v>0</v>
      </c>
      <c r="Z1580" s="20">
        <v>0</v>
      </c>
      <c r="AA1580" s="20">
        <v>0</v>
      </c>
      <c r="AB1580" s="20">
        <v>763.53</v>
      </c>
      <c r="AC1580" t="s">
        <v>183</v>
      </c>
      <c r="AD1580" t="s">
        <v>290</v>
      </c>
      <c r="AE1580" s="702">
        <f t="shared" si="120"/>
        <v>44348</v>
      </c>
      <c r="AF1580" s="289">
        <v>909.55945330001543</v>
      </c>
      <c r="AG1580">
        <f t="shared" si="121"/>
        <v>360</v>
      </c>
      <c r="AH1580" s="289">
        <f t="shared" si="122"/>
        <v>2.5265540369444874</v>
      </c>
      <c r="AJ1580" s="289">
        <f t="shared" si="123"/>
        <v>18</v>
      </c>
      <c r="AK1580" s="289">
        <f t="shared" si="124"/>
        <v>45.477972665000777</v>
      </c>
    </row>
    <row r="1581" spans="1:37">
      <c r="A1581" s="703" t="s">
        <v>3096</v>
      </c>
      <c r="B1581" s="703" t="s">
        <v>2849</v>
      </c>
      <c r="C1581" s="703" t="s">
        <v>332</v>
      </c>
      <c r="D1581" s="703" t="s">
        <v>334</v>
      </c>
      <c r="E1581" s="703" t="s">
        <v>334</v>
      </c>
      <c r="F1581" s="703" t="s">
        <v>335</v>
      </c>
      <c r="G1581" s="703" t="s">
        <v>3076</v>
      </c>
      <c r="H1581" s="703" t="s">
        <v>334</v>
      </c>
      <c r="I1581" s="703" t="s">
        <v>334</v>
      </c>
      <c r="J1581" s="703" t="s">
        <v>337</v>
      </c>
      <c r="K1581" s="704">
        <v>0</v>
      </c>
      <c r="L1581" s="703" t="s">
        <v>334</v>
      </c>
      <c r="M1581" s="702">
        <v>42886</v>
      </c>
      <c r="N1581" s="702">
        <v>44516</v>
      </c>
      <c r="O1581" s="703" t="s">
        <v>338</v>
      </c>
      <c r="P1581" s="20">
        <v>553</v>
      </c>
      <c r="Q1581" s="20">
        <v>0</v>
      </c>
      <c r="R1581" s="20">
        <v>0</v>
      </c>
      <c r="S1581" s="20">
        <v>0</v>
      </c>
      <c r="T1581" s="20">
        <v>553</v>
      </c>
      <c r="U1581" s="20">
        <v>551.46</v>
      </c>
      <c r="V1581" s="20">
        <v>-1.54</v>
      </c>
      <c r="W1581" s="20">
        <v>-19.97</v>
      </c>
      <c r="X1581" s="20">
        <v>-18.43</v>
      </c>
      <c r="Y1581" s="20">
        <v>0</v>
      </c>
      <c r="Z1581" s="20">
        <v>0</v>
      </c>
      <c r="AA1581" s="20">
        <v>0</v>
      </c>
      <c r="AB1581" s="20">
        <v>533.03</v>
      </c>
      <c r="AC1581" t="s">
        <v>183</v>
      </c>
      <c r="AD1581" t="s">
        <v>290</v>
      </c>
      <c r="AE1581" s="702">
        <f t="shared" si="120"/>
        <v>44348</v>
      </c>
      <c r="AF1581" s="289">
        <v>634.97958374876418</v>
      </c>
      <c r="AG1581">
        <f t="shared" si="121"/>
        <v>360</v>
      </c>
      <c r="AH1581" s="289">
        <f t="shared" si="122"/>
        <v>1.7638321770799006</v>
      </c>
      <c r="AJ1581" s="289">
        <f t="shared" si="123"/>
        <v>18</v>
      </c>
      <c r="AK1581" s="289">
        <f t="shared" si="124"/>
        <v>31.748979187438209</v>
      </c>
    </row>
    <row r="1582" spans="1:37">
      <c r="A1582" s="703" t="s">
        <v>3097</v>
      </c>
      <c r="B1582" s="703" t="s">
        <v>2849</v>
      </c>
      <c r="C1582" s="703" t="s">
        <v>332</v>
      </c>
      <c r="D1582" s="703" t="s">
        <v>334</v>
      </c>
      <c r="E1582" s="703" t="s">
        <v>334</v>
      </c>
      <c r="F1582" s="703" t="s">
        <v>335</v>
      </c>
      <c r="G1582" s="703" t="s">
        <v>3076</v>
      </c>
      <c r="H1582" s="703" t="s">
        <v>334</v>
      </c>
      <c r="I1582" s="703" t="s">
        <v>334</v>
      </c>
      <c r="J1582" s="703" t="s">
        <v>337</v>
      </c>
      <c r="K1582" s="704">
        <v>0</v>
      </c>
      <c r="L1582" s="703" t="s">
        <v>334</v>
      </c>
      <c r="M1582" s="702">
        <v>42886</v>
      </c>
      <c r="N1582" s="702">
        <v>44516</v>
      </c>
      <c r="O1582" s="703" t="s">
        <v>338</v>
      </c>
      <c r="P1582" s="20">
        <v>398.16</v>
      </c>
      <c r="Q1582" s="20">
        <v>0</v>
      </c>
      <c r="R1582" s="20">
        <v>0</v>
      </c>
      <c r="S1582" s="20">
        <v>0</v>
      </c>
      <c r="T1582" s="20">
        <v>398.16</v>
      </c>
      <c r="U1582" s="20">
        <v>397.05</v>
      </c>
      <c r="V1582" s="20">
        <v>-1.1100000000000001</v>
      </c>
      <c r="W1582" s="20">
        <v>-14.38</v>
      </c>
      <c r="X1582" s="20">
        <v>-13.27</v>
      </c>
      <c r="Y1582" s="20">
        <v>0</v>
      </c>
      <c r="Z1582" s="20">
        <v>0</v>
      </c>
      <c r="AA1582" s="20">
        <v>0</v>
      </c>
      <c r="AB1582" s="20">
        <v>383.78</v>
      </c>
      <c r="AC1582" t="s">
        <v>183</v>
      </c>
      <c r="AD1582" t="s">
        <v>290</v>
      </c>
      <c r="AE1582" s="702">
        <f t="shared" si="120"/>
        <v>44348</v>
      </c>
      <c r="AF1582" s="289">
        <v>457.18530029911022</v>
      </c>
      <c r="AG1582">
        <f t="shared" si="121"/>
        <v>360</v>
      </c>
      <c r="AH1582" s="289">
        <f t="shared" si="122"/>
        <v>1.2699591674975284</v>
      </c>
      <c r="AJ1582" s="289">
        <f t="shared" si="123"/>
        <v>18</v>
      </c>
      <c r="AK1582" s="289">
        <f t="shared" si="124"/>
        <v>22.859265014955511</v>
      </c>
    </row>
    <row r="1583" spans="1:37">
      <c r="A1583" s="703" t="s">
        <v>3098</v>
      </c>
      <c r="B1583" s="703" t="s">
        <v>2849</v>
      </c>
      <c r="C1583" s="703" t="s">
        <v>332</v>
      </c>
      <c r="D1583" s="703" t="s">
        <v>334</v>
      </c>
      <c r="E1583" s="703" t="s">
        <v>334</v>
      </c>
      <c r="F1583" s="703" t="s">
        <v>335</v>
      </c>
      <c r="G1583" s="703" t="s">
        <v>3076</v>
      </c>
      <c r="H1583" s="703" t="s">
        <v>334</v>
      </c>
      <c r="I1583" s="703" t="s">
        <v>334</v>
      </c>
      <c r="J1583" s="703" t="s">
        <v>337</v>
      </c>
      <c r="K1583" s="704">
        <v>0</v>
      </c>
      <c r="L1583" s="703" t="s">
        <v>334</v>
      </c>
      <c r="M1583" s="702">
        <v>42886</v>
      </c>
      <c r="N1583" s="702">
        <v>44516</v>
      </c>
      <c r="O1583" s="703" t="s">
        <v>338</v>
      </c>
      <c r="P1583" s="20">
        <v>1452.79</v>
      </c>
      <c r="Q1583" s="20">
        <v>0</v>
      </c>
      <c r="R1583" s="20">
        <v>0</v>
      </c>
      <c r="S1583" s="20">
        <v>0</v>
      </c>
      <c r="T1583" s="20">
        <v>1452.79</v>
      </c>
      <c r="U1583" s="20">
        <v>1448.75</v>
      </c>
      <c r="V1583" s="20">
        <v>-4.04</v>
      </c>
      <c r="W1583" s="20">
        <v>-52.47</v>
      </c>
      <c r="X1583" s="20">
        <v>-48.43</v>
      </c>
      <c r="Y1583" s="20">
        <v>0</v>
      </c>
      <c r="Z1583" s="20">
        <v>0</v>
      </c>
      <c r="AA1583" s="20">
        <v>0</v>
      </c>
      <c r="AB1583" s="20">
        <v>1400.32</v>
      </c>
      <c r="AC1583" t="s">
        <v>183</v>
      </c>
      <c r="AD1583" t="s">
        <v>290</v>
      </c>
      <c r="AE1583" s="702">
        <f t="shared" si="120"/>
        <v>44348</v>
      </c>
      <c r="AF1583" s="289">
        <v>1668.1591129735391</v>
      </c>
      <c r="AG1583">
        <f t="shared" si="121"/>
        <v>360</v>
      </c>
      <c r="AH1583" s="289">
        <f t="shared" si="122"/>
        <v>4.6337753138153861</v>
      </c>
      <c r="AJ1583" s="289">
        <f t="shared" si="123"/>
        <v>18</v>
      </c>
      <c r="AK1583" s="289">
        <f t="shared" si="124"/>
        <v>83.407955648676946</v>
      </c>
    </row>
    <row r="1584" spans="1:37">
      <c r="A1584" s="703" t="s">
        <v>3099</v>
      </c>
      <c r="B1584" s="703" t="s">
        <v>2849</v>
      </c>
      <c r="C1584" s="703" t="s">
        <v>332</v>
      </c>
      <c r="D1584" s="703" t="s">
        <v>334</v>
      </c>
      <c r="E1584" s="703" t="s">
        <v>334</v>
      </c>
      <c r="F1584" s="703" t="s">
        <v>335</v>
      </c>
      <c r="G1584" s="703" t="s">
        <v>3076</v>
      </c>
      <c r="H1584" s="703" t="s">
        <v>334</v>
      </c>
      <c r="I1584" s="703" t="s">
        <v>334</v>
      </c>
      <c r="J1584" s="703" t="s">
        <v>337</v>
      </c>
      <c r="K1584" s="704">
        <v>0</v>
      </c>
      <c r="L1584" s="703" t="s">
        <v>334</v>
      </c>
      <c r="M1584" s="702">
        <v>42886</v>
      </c>
      <c r="N1584" s="702">
        <v>44516</v>
      </c>
      <c r="O1584" s="703" t="s">
        <v>338</v>
      </c>
      <c r="P1584" s="20">
        <v>13857.5</v>
      </c>
      <c r="Q1584" s="20">
        <v>0</v>
      </c>
      <c r="R1584" s="20">
        <v>0</v>
      </c>
      <c r="S1584" s="20">
        <v>0</v>
      </c>
      <c r="T1584" s="20">
        <v>13857.5</v>
      </c>
      <c r="U1584" s="20">
        <v>13819.01</v>
      </c>
      <c r="V1584" s="20">
        <v>-38.49</v>
      </c>
      <c r="W1584" s="20">
        <v>-500.41</v>
      </c>
      <c r="X1584" s="20">
        <v>-461.92</v>
      </c>
      <c r="Y1584" s="20">
        <v>0</v>
      </c>
      <c r="Z1584" s="20">
        <v>0</v>
      </c>
      <c r="AA1584" s="20">
        <v>0</v>
      </c>
      <c r="AB1584" s="20">
        <v>13357.09</v>
      </c>
      <c r="AC1584" t="s">
        <v>183</v>
      </c>
      <c r="AD1584" t="s">
        <v>290</v>
      </c>
      <c r="AE1584" s="702">
        <f t="shared" si="120"/>
        <v>44348</v>
      </c>
      <c r="AF1584" s="289">
        <v>15911.807562022603</v>
      </c>
      <c r="AG1584">
        <f t="shared" si="121"/>
        <v>360</v>
      </c>
      <c r="AH1584" s="289">
        <f t="shared" si="122"/>
        <v>44.199465450062789</v>
      </c>
      <c r="AJ1584" s="289">
        <f t="shared" si="123"/>
        <v>18</v>
      </c>
      <c r="AK1584" s="289">
        <f t="shared" si="124"/>
        <v>795.59037810113023</v>
      </c>
    </row>
    <row r="1585" spans="1:37">
      <c r="A1585" s="703" t="s">
        <v>3100</v>
      </c>
      <c r="B1585" s="703" t="s">
        <v>2849</v>
      </c>
      <c r="C1585" s="703" t="s">
        <v>332</v>
      </c>
      <c r="D1585" s="703" t="s">
        <v>334</v>
      </c>
      <c r="E1585" s="703" t="s">
        <v>334</v>
      </c>
      <c r="F1585" s="703" t="s">
        <v>335</v>
      </c>
      <c r="G1585" s="703" t="s">
        <v>3076</v>
      </c>
      <c r="H1585" s="703" t="s">
        <v>334</v>
      </c>
      <c r="I1585" s="703" t="s">
        <v>334</v>
      </c>
      <c r="J1585" s="703" t="s">
        <v>337</v>
      </c>
      <c r="K1585" s="704">
        <v>0</v>
      </c>
      <c r="L1585" s="703" t="s">
        <v>334</v>
      </c>
      <c r="M1585" s="702">
        <v>42886</v>
      </c>
      <c r="N1585" s="702">
        <v>44516</v>
      </c>
      <c r="O1585" s="703" t="s">
        <v>338</v>
      </c>
      <c r="P1585" s="20">
        <v>4074.11</v>
      </c>
      <c r="Q1585" s="20">
        <v>0</v>
      </c>
      <c r="R1585" s="20">
        <v>0</v>
      </c>
      <c r="S1585" s="20">
        <v>0</v>
      </c>
      <c r="T1585" s="20">
        <v>4074.11</v>
      </c>
      <c r="U1585" s="20">
        <v>4062.79</v>
      </c>
      <c r="V1585" s="20">
        <v>-11.32</v>
      </c>
      <c r="W1585" s="20">
        <v>-147.12</v>
      </c>
      <c r="X1585" s="20">
        <v>-135.80000000000001</v>
      </c>
      <c r="Y1585" s="20">
        <v>0</v>
      </c>
      <c r="Z1585" s="20">
        <v>0</v>
      </c>
      <c r="AA1585" s="20">
        <v>0</v>
      </c>
      <c r="AB1585" s="20">
        <v>3926.99</v>
      </c>
      <c r="AC1585" t="s">
        <v>183</v>
      </c>
      <c r="AD1585" t="s">
        <v>290</v>
      </c>
      <c r="AE1585" s="702">
        <f t="shared" si="120"/>
        <v>44348</v>
      </c>
      <c r="AF1585" s="289">
        <v>4678.0771644605384</v>
      </c>
      <c r="AG1585">
        <f t="shared" si="121"/>
        <v>360</v>
      </c>
      <c r="AH1585" s="289">
        <f t="shared" si="122"/>
        <v>12.994658790168161</v>
      </c>
      <c r="AJ1585" s="289">
        <f t="shared" si="123"/>
        <v>18</v>
      </c>
      <c r="AK1585" s="289">
        <f t="shared" si="124"/>
        <v>233.9038582230269</v>
      </c>
    </row>
    <row r="1586" spans="1:37">
      <c r="A1586" s="703" t="s">
        <v>3101</v>
      </c>
      <c r="B1586" s="703" t="s">
        <v>2849</v>
      </c>
      <c r="C1586" s="703" t="s">
        <v>332</v>
      </c>
      <c r="D1586" s="703" t="s">
        <v>334</v>
      </c>
      <c r="E1586" s="703" t="s">
        <v>334</v>
      </c>
      <c r="F1586" s="703" t="s">
        <v>335</v>
      </c>
      <c r="G1586" s="703" t="s">
        <v>3076</v>
      </c>
      <c r="H1586" s="703" t="s">
        <v>334</v>
      </c>
      <c r="I1586" s="703" t="s">
        <v>334</v>
      </c>
      <c r="J1586" s="703" t="s">
        <v>337</v>
      </c>
      <c r="K1586" s="704">
        <v>0</v>
      </c>
      <c r="L1586" s="703" t="s">
        <v>334</v>
      </c>
      <c r="M1586" s="702">
        <v>42886</v>
      </c>
      <c r="N1586" s="702">
        <v>44516</v>
      </c>
      <c r="O1586" s="703" t="s">
        <v>338</v>
      </c>
      <c r="P1586" s="20">
        <v>7413.82</v>
      </c>
      <c r="Q1586" s="20">
        <v>0</v>
      </c>
      <c r="R1586" s="20">
        <v>0</v>
      </c>
      <c r="S1586" s="20">
        <v>0</v>
      </c>
      <c r="T1586" s="20">
        <v>7413.82</v>
      </c>
      <c r="U1586" s="20">
        <v>7393.23</v>
      </c>
      <c r="V1586" s="20">
        <v>-20.59</v>
      </c>
      <c r="W1586" s="20">
        <v>-267.72000000000003</v>
      </c>
      <c r="X1586" s="20">
        <v>-247.13</v>
      </c>
      <c r="Y1586" s="20">
        <v>0</v>
      </c>
      <c r="Z1586" s="20">
        <v>0</v>
      </c>
      <c r="AA1586" s="20">
        <v>0</v>
      </c>
      <c r="AB1586" s="20">
        <v>7146.1</v>
      </c>
      <c r="AC1586" t="s">
        <v>183</v>
      </c>
      <c r="AD1586" t="s">
        <v>290</v>
      </c>
      <c r="AE1586" s="702">
        <f t="shared" si="120"/>
        <v>44348</v>
      </c>
      <c r="AF1586" s="289">
        <v>8512.8830697798585</v>
      </c>
      <c r="AG1586">
        <f t="shared" si="121"/>
        <v>360</v>
      </c>
      <c r="AH1586" s="289">
        <f t="shared" si="122"/>
        <v>23.646897416055161</v>
      </c>
      <c r="AJ1586" s="289">
        <f t="shared" si="123"/>
        <v>18</v>
      </c>
      <c r="AK1586" s="289">
        <f t="shared" si="124"/>
        <v>425.64415348899291</v>
      </c>
    </row>
    <row r="1587" spans="1:37">
      <c r="A1587" s="703" t="s">
        <v>3102</v>
      </c>
      <c r="B1587" s="703" t="s">
        <v>2849</v>
      </c>
      <c r="C1587" s="703" t="s">
        <v>332</v>
      </c>
      <c r="D1587" s="703" t="s">
        <v>334</v>
      </c>
      <c r="E1587" s="703" t="s">
        <v>334</v>
      </c>
      <c r="F1587" s="703" t="s">
        <v>335</v>
      </c>
      <c r="G1587" s="703" t="s">
        <v>3076</v>
      </c>
      <c r="H1587" s="703" t="s">
        <v>334</v>
      </c>
      <c r="I1587" s="703" t="s">
        <v>334</v>
      </c>
      <c r="J1587" s="703" t="s">
        <v>337</v>
      </c>
      <c r="K1587" s="704">
        <v>0</v>
      </c>
      <c r="L1587" s="703" t="s">
        <v>334</v>
      </c>
      <c r="M1587" s="702">
        <v>42886</v>
      </c>
      <c r="N1587" s="702">
        <v>44516</v>
      </c>
      <c r="O1587" s="703" t="s">
        <v>338</v>
      </c>
      <c r="P1587" s="20">
        <v>120.43</v>
      </c>
      <c r="Q1587" s="20">
        <v>0</v>
      </c>
      <c r="R1587" s="20">
        <v>0</v>
      </c>
      <c r="S1587" s="20">
        <v>0</v>
      </c>
      <c r="T1587" s="20">
        <v>120.43</v>
      </c>
      <c r="U1587" s="20">
        <v>120.1</v>
      </c>
      <c r="V1587" s="20">
        <v>-0.33</v>
      </c>
      <c r="W1587" s="20">
        <v>-4.34</v>
      </c>
      <c r="X1587" s="20">
        <v>-4.01</v>
      </c>
      <c r="Y1587" s="20">
        <v>0</v>
      </c>
      <c r="Z1587" s="20">
        <v>0</v>
      </c>
      <c r="AA1587" s="20">
        <v>0</v>
      </c>
      <c r="AB1587" s="20">
        <v>116.09</v>
      </c>
      <c r="AC1587" t="s">
        <v>183</v>
      </c>
      <c r="AD1587" t="s">
        <v>290</v>
      </c>
      <c r="AE1587" s="702">
        <f t="shared" si="120"/>
        <v>44348</v>
      </c>
      <c r="AF1587" s="289">
        <v>138.28316685508801</v>
      </c>
      <c r="AG1587">
        <f t="shared" si="121"/>
        <v>360</v>
      </c>
      <c r="AH1587" s="289">
        <f t="shared" si="122"/>
        <v>0.38411990793080003</v>
      </c>
      <c r="AJ1587" s="289">
        <f t="shared" si="123"/>
        <v>18</v>
      </c>
      <c r="AK1587" s="289">
        <f t="shared" si="124"/>
        <v>6.9141583427544004</v>
      </c>
    </row>
    <row r="1588" spans="1:37">
      <c r="A1588" s="703" t="s">
        <v>3103</v>
      </c>
      <c r="B1588" s="703" t="s">
        <v>2849</v>
      </c>
      <c r="C1588" s="703" t="s">
        <v>332</v>
      </c>
      <c r="D1588" s="703" t="s">
        <v>334</v>
      </c>
      <c r="E1588" s="703" t="s">
        <v>334</v>
      </c>
      <c r="F1588" s="703" t="s">
        <v>335</v>
      </c>
      <c r="G1588" s="703" t="s">
        <v>3076</v>
      </c>
      <c r="H1588" s="703" t="s">
        <v>334</v>
      </c>
      <c r="I1588" s="703" t="s">
        <v>334</v>
      </c>
      <c r="J1588" s="703" t="s">
        <v>337</v>
      </c>
      <c r="K1588" s="704">
        <v>0</v>
      </c>
      <c r="L1588" s="703" t="s">
        <v>334</v>
      </c>
      <c r="M1588" s="702">
        <v>42886</v>
      </c>
      <c r="N1588" s="702">
        <v>44516</v>
      </c>
      <c r="O1588" s="703" t="s">
        <v>338</v>
      </c>
      <c r="P1588" s="20">
        <v>7410.92</v>
      </c>
      <c r="Q1588" s="20">
        <v>0</v>
      </c>
      <c r="R1588" s="20">
        <v>0</v>
      </c>
      <c r="S1588" s="20">
        <v>0</v>
      </c>
      <c r="T1588" s="20">
        <v>7410.92</v>
      </c>
      <c r="U1588" s="20">
        <v>7390.33</v>
      </c>
      <c r="V1588" s="20">
        <v>-20.59</v>
      </c>
      <c r="W1588" s="20">
        <v>-267.62</v>
      </c>
      <c r="X1588" s="20">
        <v>-247.03</v>
      </c>
      <c r="Y1588" s="20">
        <v>0</v>
      </c>
      <c r="Z1588" s="20">
        <v>0</v>
      </c>
      <c r="AA1588" s="20">
        <v>0</v>
      </c>
      <c r="AB1588" s="20">
        <v>7143.3</v>
      </c>
      <c r="AC1588" t="s">
        <v>183</v>
      </c>
      <c r="AD1588" t="s">
        <v>290</v>
      </c>
      <c r="AE1588" s="702">
        <f t="shared" si="120"/>
        <v>44348</v>
      </c>
      <c r="AF1588" s="289">
        <v>8509.5531587620098</v>
      </c>
      <c r="AG1588">
        <f t="shared" si="121"/>
        <v>360</v>
      </c>
      <c r="AH1588" s="289">
        <f t="shared" si="122"/>
        <v>23.637647663227806</v>
      </c>
      <c r="AJ1588" s="289">
        <f t="shared" si="123"/>
        <v>18</v>
      </c>
      <c r="AK1588" s="289">
        <f t="shared" si="124"/>
        <v>425.47765793810049</v>
      </c>
    </row>
    <row r="1589" spans="1:37">
      <c r="A1589" s="703" t="s">
        <v>3104</v>
      </c>
      <c r="B1589" s="703" t="s">
        <v>2849</v>
      </c>
      <c r="C1589" s="703" t="s">
        <v>332</v>
      </c>
      <c r="D1589" s="703" t="s">
        <v>334</v>
      </c>
      <c r="E1589" s="703" t="s">
        <v>334</v>
      </c>
      <c r="F1589" s="703" t="s">
        <v>335</v>
      </c>
      <c r="G1589" s="703" t="s">
        <v>3076</v>
      </c>
      <c r="H1589" s="703" t="s">
        <v>334</v>
      </c>
      <c r="I1589" s="703" t="s">
        <v>334</v>
      </c>
      <c r="J1589" s="703" t="s">
        <v>337</v>
      </c>
      <c r="K1589" s="704">
        <v>0</v>
      </c>
      <c r="L1589" s="703" t="s">
        <v>334</v>
      </c>
      <c r="M1589" s="702">
        <v>42886</v>
      </c>
      <c r="N1589" s="702">
        <v>44516</v>
      </c>
      <c r="O1589" s="703" t="s">
        <v>338</v>
      </c>
      <c r="P1589" s="20">
        <v>12553.9</v>
      </c>
      <c r="Q1589" s="20">
        <v>0</v>
      </c>
      <c r="R1589" s="20">
        <v>0</v>
      </c>
      <c r="S1589" s="20">
        <v>0</v>
      </c>
      <c r="T1589" s="20">
        <v>12553.9</v>
      </c>
      <c r="U1589" s="20">
        <v>12519.03</v>
      </c>
      <c r="V1589" s="20">
        <v>-34.869999999999997</v>
      </c>
      <c r="W1589" s="20">
        <v>-453.33</v>
      </c>
      <c r="X1589" s="20">
        <v>-418.46</v>
      </c>
      <c r="Y1589" s="20">
        <v>0</v>
      </c>
      <c r="Z1589" s="20">
        <v>0</v>
      </c>
      <c r="AA1589" s="20">
        <v>0</v>
      </c>
      <c r="AB1589" s="20">
        <v>12100.57</v>
      </c>
      <c r="AC1589" t="s">
        <v>183</v>
      </c>
      <c r="AD1589" t="s">
        <v>290</v>
      </c>
      <c r="AE1589" s="702">
        <f t="shared" si="120"/>
        <v>44348</v>
      </c>
      <c r="AF1589" s="289">
        <v>14414.9551472398</v>
      </c>
      <c r="AG1589">
        <f t="shared" si="121"/>
        <v>360</v>
      </c>
      <c r="AH1589" s="289">
        <f t="shared" si="122"/>
        <v>40.041542075666108</v>
      </c>
      <c r="AJ1589" s="289">
        <f t="shared" si="123"/>
        <v>18</v>
      </c>
      <c r="AK1589" s="289">
        <f t="shared" si="124"/>
        <v>720.7477573619899</v>
      </c>
    </row>
    <row r="1590" spans="1:37">
      <c r="A1590" s="703" t="s">
        <v>3105</v>
      </c>
      <c r="B1590" s="703" t="s">
        <v>2849</v>
      </c>
      <c r="C1590" s="703" t="s">
        <v>332</v>
      </c>
      <c r="D1590" s="703" t="s">
        <v>334</v>
      </c>
      <c r="E1590" s="703" t="s">
        <v>334</v>
      </c>
      <c r="F1590" s="703" t="s">
        <v>335</v>
      </c>
      <c r="G1590" s="703" t="s">
        <v>3106</v>
      </c>
      <c r="H1590" s="703" t="s">
        <v>334</v>
      </c>
      <c r="I1590" s="703" t="s">
        <v>334</v>
      </c>
      <c r="J1590" s="703" t="s">
        <v>337</v>
      </c>
      <c r="K1590" s="704">
        <v>0</v>
      </c>
      <c r="L1590" s="703" t="s">
        <v>334</v>
      </c>
      <c r="M1590" s="702">
        <v>42886</v>
      </c>
      <c r="N1590" s="702">
        <v>44516</v>
      </c>
      <c r="O1590" s="703" t="s">
        <v>338</v>
      </c>
      <c r="P1590" s="20">
        <v>26349.07</v>
      </c>
      <c r="Q1590" s="20">
        <v>0</v>
      </c>
      <c r="R1590" s="20">
        <v>0</v>
      </c>
      <c r="S1590" s="20">
        <v>0</v>
      </c>
      <c r="T1590" s="20">
        <v>26349.07</v>
      </c>
      <c r="U1590" s="20">
        <v>26348.55</v>
      </c>
      <c r="V1590" s="20">
        <v>-0.52</v>
      </c>
      <c r="W1590" s="20">
        <v>-878.82</v>
      </c>
      <c r="X1590" s="20">
        <v>-878.3</v>
      </c>
      <c r="Y1590" s="20">
        <v>0</v>
      </c>
      <c r="Z1590" s="20">
        <v>0</v>
      </c>
      <c r="AA1590" s="20">
        <v>0</v>
      </c>
      <c r="AB1590" s="20">
        <v>25470.25</v>
      </c>
      <c r="AC1590" t="s">
        <v>183</v>
      </c>
      <c r="AD1590" t="s">
        <v>290</v>
      </c>
      <c r="AE1590" s="702">
        <f t="shared" si="120"/>
        <v>44348</v>
      </c>
      <c r="AF1590" s="289">
        <v>30255.192587282185</v>
      </c>
      <c r="AG1590">
        <f t="shared" si="121"/>
        <v>360</v>
      </c>
      <c r="AH1590" s="289">
        <f t="shared" si="122"/>
        <v>84.042201631339395</v>
      </c>
      <c r="AJ1590" s="289">
        <f t="shared" si="123"/>
        <v>18</v>
      </c>
      <c r="AK1590" s="289">
        <f t="shared" si="124"/>
        <v>1512.7596293641091</v>
      </c>
    </row>
    <row r="1591" spans="1:37">
      <c r="A1591" s="703" t="s">
        <v>3107</v>
      </c>
      <c r="B1591" s="703" t="s">
        <v>2849</v>
      </c>
      <c r="C1591" s="703" t="s">
        <v>332</v>
      </c>
      <c r="D1591" s="703" t="s">
        <v>334</v>
      </c>
      <c r="E1591" s="703" t="s">
        <v>334</v>
      </c>
      <c r="F1591" s="703" t="s">
        <v>335</v>
      </c>
      <c r="G1591" s="703" t="s">
        <v>3106</v>
      </c>
      <c r="H1591" s="703" t="s">
        <v>334</v>
      </c>
      <c r="I1591" s="703" t="s">
        <v>334</v>
      </c>
      <c r="J1591" s="703" t="s">
        <v>337</v>
      </c>
      <c r="K1591" s="704">
        <v>0</v>
      </c>
      <c r="L1591" s="703" t="s">
        <v>334</v>
      </c>
      <c r="M1591" s="702">
        <v>42886</v>
      </c>
      <c r="N1591" s="702">
        <v>44516</v>
      </c>
      <c r="O1591" s="703" t="s">
        <v>338</v>
      </c>
      <c r="P1591" s="20">
        <v>1493.79</v>
      </c>
      <c r="Q1591" s="20">
        <v>0</v>
      </c>
      <c r="R1591" s="20">
        <v>0</v>
      </c>
      <c r="S1591" s="20">
        <v>0</v>
      </c>
      <c r="T1591" s="20">
        <v>1493.79</v>
      </c>
      <c r="U1591" s="20">
        <v>1489.64</v>
      </c>
      <c r="V1591" s="20">
        <v>-4.1500000000000004</v>
      </c>
      <c r="W1591" s="20">
        <v>-53.94</v>
      </c>
      <c r="X1591" s="20">
        <v>-49.79</v>
      </c>
      <c r="Y1591" s="20">
        <v>0</v>
      </c>
      <c r="Z1591" s="20">
        <v>0</v>
      </c>
      <c r="AA1591" s="20">
        <v>0</v>
      </c>
      <c r="AB1591" s="20">
        <v>1439.85</v>
      </c>
      <c r="AC1591" t="s">
        <v>183</v>
      </c>
      <c r="AD1591" t="s">
        <v>290</v>
      </c>
      <c r="AE1591" s="702">
        <f t="shared" si="120"/>
        <v>44348</v>
      </c>
      <c r="AF1591" s="289">
        <v>1715.2371652948759</v>
      </c>
      <c r="AG1591">
        <f t="shared" si="121"/>
        <v>360</v>
      </c>
      <c r="AH1591" s="289">
        <f t="shared" si="122"/>
        <v>4.7645476813746557</v>
      </c>
      <c r="AJ1591" s="289">
        <f t="shared" si="123"/>
        <v>18</v>
      </c>
      <c r="AK1591" s="289">
        <f t="shared" si="124"/>
        <v>85.761858264743807</v>
      </c>
    </row>
    <row r="1592" spans="1:37">
      <c r="A1592" s="703" t="s">
        <v>3108</v>
      </c>
      <c r="B1592" s="703" t="s">
        <v>2849</v>
      </c>
      <c r="C1592" s="703" t="s">
        <v>332</v>
      </c>
      <c r="D1592" s="703" t="s">
        <v>334</v>
      </c>
      <c r="E1592" s="703" t="s">
        <v>334</v>
      </c>
      <c r="F1592" s="703" t="s">
        <v>335</v>
      </c>
      <c r="G1592" s="703" t="s">
        <v>3106</v>
      </c>
      <c r="H1592" s="703" t="s">
        <v>334</v>
      </c>
      <c r="I1592" s="703" t="s">
        <v>334</v>
      </c>
      <c r="J1592" s="703" t="s">
        <v>337</v>
      </c>
      <c r="K1592" s="704">
        <v>0</v>
      </c>
      <c r="L1592" s="703" t="s">
        <v>334</v>
      </c>
      <c r="M1592" s="702">
        <v>42886</v>
      </c>
      <c r="N1592" s="702">
        <v>44516</v>
      </c>
      <c r="O1592" s="703" t="s">
        <v>338</v>
      </c>
      <c r="P1592" s="20">
        <v>3427.7</v>
      </c>
      <c r="Q1592" s="20">
        <v>0</v>
      </c>
      <c r="R1592" s="20">
        <v>0</v>
      </c>
      <c r="S1592" s="20">
        <v>0</v>
      </c>
      <c r="T1592" s="20">
        <v>3427.7</v>
      </c>
      <c r="U1592" s="20">
        <v>3418.18</v>
      </c>
      <c r="V1592" s="20">
        <v>-9.52</v>
      </c>
      <c r="W1592" s="20">
        <v>-123.78</v>
      </c>
      <c r="X1592" s="20">
        <v>-114.26</v>
      </c>
      <c r="Y1592" s="20">
        <v>0</v>
      </c>
      <c r="Z1592" s="20">
        <v>0</v>
      </c>
      <c r="AA1592" s="20">
        <v>0</v>
      </c>
      <c r="AB1592" s="20">
        <v>3303.92</v>
      </c>
      <c r="AC1592" t="s">
        <v>183</v>
      </c>
      <c r="AD1592" t="s">
        <v>290</v>
      </c>
      <c r="AE1592" s="702">
        <f t="shared" si="120"/>
        <v>44348</v>
      </c>
      <c r="AF1592" s="289">
        <v>3935.8399985816254</v>
      </c>
      <c r="AG1592">
        <f t="shared" si="121"/>
        <v>360</v>
      </c>
      <c r="AH1592" s="289">
        <f t="shared" si="122"/>
        <v>10.932888884948959</v>
      </c>
      <c r="AJ1592" s="289">
        <f t="shared" si="123"/>
        <v>18</v>
      </c>
      <c r="AK1592" s="289">
        <f t="shared" si="124"/>
        <v>196.79199992908127</v>
      </c>
    </row>
    <row r="1593" spans="1:37">
      <c r="A1593" s="703" t="s">
        <v>3109</v>
      </c>
      <c r="B1593" s="703" t="s">
        <v>2849</v>
      </c>
      <c r="C1593" s="703" t="s">
        <v>332</v>
      </c>
      <c r="D1593" s="703" t="s">
        <v>334</v>
      </c>
      <c r="E1593" s="703" t="s">
        <v>334</v>
      </c>
      <c r="F1593" s="703" t="s">
        <v>335</v>
      </c>
      <c r="G1593" s="703" t="s">
        <v>3106</v>
      </c>
      <c r="H1593" s="703" t="s">
        <v>334</v>
      </c>
      <c r="I1593" s="703" t="s">
        <v>334</v>
      </c>
      <c r="J1593" s="703" t="s">
        <v>337</v>
      </c>
      <c r="K1593" s="704">
        <v>0</v>
      </c>
      <c r="L1593" s="703" t="s">
        <v>334</v>
      </c>
      <c r="M1593" s="702">
        <v>42886</v>
      </c>
      <c r="N1593" s="702">
        <v>44516</v>
      </c>
      <c r="O1593" s="703" t="s">
        <v>338</v>
      </c>
      <c r="P1593" s="20">
        <v>35.799999999999997</v>
      </c>
      <c r="Q1593" s="20">
        <v>0</v>
      </c>
      <c r="R1593" s="20">
        <v>0</v>
      </c>
      <c r="S1593" s="20">
        <v>0</v>
      </c>
      <c r="T1593" s="20">
        <v>35.799999999999997</v>
      </c>
      <c r="U1593" s="20">
        <v>35.700000000000003</v>
      </c>
      <c r="V1593" s="20">
        <v>-0.1</v>
      </c>
      <c r="W1593" s="20">
        <v>-1.29</v>
      </c>
      <c r="X1593" s="20">
        <v>-1.19</v>
      </c>
      <c r="Y1593" s="20">
        <v>0</v>
      </c>
      <c r="Z1593" s="20">
        <v>0</v>
      </c>
      <c r="AA1593" s="20">
        <v>0</v>
      </c>
      <c r="AB1593" s="20">
        <v>34.51</v>
      </c>
      <c r="AC1593" t="s">
        <v>183</v>
      </c>
      <c r="AD1593" t="s">
        <v>290</v>
      </c>
      <c r="AE1593" s="702">
        <f t="shared" si="120"/>
        <v>44348</v>
      </c>
      <c r="AF1593" s="289">
        <v>41.107177392777132</v>
      </c>
      <c r="AG1593">
        <f t="shared" si="121"/>
        <v>360</v>
      </c>
      <c r="AH1593" s="289">
        <f t="shared" si="122"/>
        <v>0.11418660386882537</v>
      </c>
      <c r="AJ1593" s="289">
        <f t="shared" si="123"/>
        <v>18</v>
      </c>
      <c r="AK1593" s="289">
        <f t="shared" si="124"/>
        <v>2.0553588696388565</v>
      </c>
    </row>
    <row r="1594" spans="1:37">
      <c r="A1594" s="703" t="s">
        <v>3110</v>
      </c>
      <c r="B1594" s="703" t="s">
        <v>2849</v>
      </c>
      <c r="C1594" s="703" t="s">
        <v>332</v>
      </c>
      <c r="D1594" s="703" t="s">
        <v>334</v>
      </c>
      <c r="E1594" s="703" t="s">
        <v>334</v>
      </c>
      <c r="F1594" s="703" t="s">
        <v>335</v>
      </c>
      <c r="G1594" s="703" t="s">
        <v>3106</v>
      </c>
      <c r="H1594" s="703" t="s">
        <v>334</v>
      </c>
      <c r="I1594" s="703" t="s">
        <v>334</v>
      </c>
      <c r="J1594" s="703" t="s">
        <v>337</v>
      </c>
      <c r="K1594" s="704">
        <v>0</v>
      </c>
      <c r="L1594" s="703" t="s">
        <v>334</v>
      </c>
      <c r="M1594" s="702">
        <v>42886</v>
      </c>
      <c r="N1594" s="702">
        <v>44516</v>
      </c>
      <c r="O1594" s="703" t="s">
        <v>338</v>
      </c>
      <c r="P1594" s="20">
        <v>1320.72</v>
      </c>
      <c r="Q1594" s="20">
        <v>0</v>
      </c>
      <c r="R1594" s="20">
        <v>0</v>
      </c>
      <c r="S1594" s="20">
        <v>0</v>
      </c>
      <c r="T1594" s="20">
        <v>1320.72</v>
      </c>
      <c r="U1594" s="20">
        <v>1317.05</v>
      </c>
      <c r="V1594" s="20">
        <v>-3.67</v>
      </c>
      <c r="W1594" s="20">
        <v>-47.69</v>
      </c>
      <c r="X1594" s="20">
        <v>-44.02</v>
      </c>
      <c r="Y1594" s="20">
        <v>0</v>
      </c>
      <c r="Z1594" s="20">
        <v>0</v>
      </c>
      <c r="AA1594" s="20">
        <v>0</v>
      </c>
      <c r="AB1594" s="20">
        <v>1273.03</v>
      </c>
      <c r="AC1594" t="s">
        <v>183</v>
      </c>
      <c r="AD1594" t="s">
        <v>290</v>
      </c>
      <c r="AE1594" s="702">
        <f t="shared" si="120"/>
        <v>44348</v>
      </c>
      <c r="AF1594" s="289">
        <v>1516.5103722399056</v>
      </c>
      <c r="AG1594">
        <f t="shared" si="121"/>
        <v>360</v>
      </c>
      <c r="AH1594" s="289">
        <f t="shared" si="122"/>
        <v>4.2125288117775153</v>
      </c>
      <c r="AJ1594" s="289">
        <f t="shared" si="123"/>
        <v>18</v>
      </c>
      <c r="AK1594" s="289">
        <f t="shared" si="124"/>
        <v>75.825518611995278</v>
      </c>
    </row>
    <row r="1595" spans="1:37">
      <c r="A1595" s="703" t="s">
        <v>3111</v>
      </c>
      <c r="B1595" s="703" t="s">
        <v>2849</v>
      </c>
      <c r="C1595" s="703" t="s">
        <v>332</v>
      </c>
      <c r="D1595" s="703" t="s">
        <v>334</v>
      </c>
      <c r="E1595" s="703" t="s">
        <v>334</v>
      </c>
      <c r="F1595" s="703" t="s">
        <v>335</v>
      </c>
      <c r="G1595" s="703" t="s">
        <v>3112</v>
      </c>
      <c r="H1595" s="703" t="s">
        <v>334</v>
      </c>
      <c r="I1595" s="703" t="s">
        <v>334</v>
      </c>
      <c r="J1595" s="703" t="s">
        <v>337</v>
      </c>
      <c r="K1595" s="704">
        <v>0</v>
      </c>
      <c r="L1595" s="703" t="s">
        <v>334</v>
      </c>
      <c r="M1595" s="702">
        <v>39478</v>
      </c>
      <c r="N1595" s="702">
        <v>44516</v>
      </c>
      <c r="O1595" s="703" t="s">
        <v>338</v>
      </c>
      <c r="P1595" s="20">
        <v>151.65</v>
      </c>
      <c r="Q1595" s="20">
        <v>0</v>
      </c>
      <c r="R1595" s="20">
        <v>0</v>
      </c>
      <c r="S1595" s="20">
        <v>0</v>
      </c>
      <c r="T1595" s="20">
        <v>151.65</v>
      </c>
      <c r="U1595" s="20">
        <v>151.22999999999999</v>
      </c>
      <c r="V1595" s="20">
        <v>-0.42</v>
      </c>
      <c r="W1595" s="20">
        <v>-5.48</v>
      </c>
      <c r="X1595" s="20">
        <v>-5.0599999999999996</v>
      </c>
      <c r="Y1595" s="20">
        <v>0</v>
      </c>
      <c r="Z1595" s="20">
        <v>0</v>
      </c>
      <c r="AA1595" s="20">
        <v>0</v>
      </c>
      <c r="AB1595" s="20">
        <v>146.16999999999999</v>
      </c>
      <c r="AC1595" t="s">
        <v>183</v>
      </c>
      <c r="AD1595" t="s">
        <v>290</v>
      </c>
      <c r="AE1595" s="702">
        <f t="shared" si="120"/>
        <v>44348</v>
      </c>
      <c r="AF1595" s="289">
        <v>174.13138133001826</v>
      </c>
      <c r="AG1595">
        <f t="shared" si="121"/>
        <v>360</v>
      </c>
      <c r="AH1595" s="289">
        <f t="shared" si="122"/>
        <v>0.48369828147227295</v>
      </c>
      <c r="AJ1595" s="289">
        <f t="shared" si="123"/>
        <v>18</v>
      </c>
      <c r="AK1595" s="289">
        <f t="shared" si="124"/>
        <v>8.7065690665009132</v>
      </c>
    </row>
    <row r="1596" spans="1:37">
      <c r="A1596" s="703" t="s">
        <v>3113</v>
      </c>
      <c r="B1596" s="703" t="s">
        <v>2849</v>
      </c>
      <c r="C1596" s="703" t="s">
        <v>332</v>
      </c>
      <c r="D1596" s="703" t="s">
        <v>334</v>
      </c>
      <c r="E1596" s="703" t="s">
        <v>334</v>
      </c>
      <c r="F1596" s="703" t="s">
        <v>335</v>
      </c>
      <c r="G1596" s="703" t="s">
        <v>3112</v>
      </c>
      <c r="H1596" s="703" t="s">
        <v>334</v>
      </c>
      <c r="I1596" s="703" t="s">
        <v>334</v>
      </c>
      <c r="J1596" s="703" t="s">
        <v>337</v>
      </c>
      <c r="K1596" s="704">
        <v>0</v>
      </c>
      <c r="L1596" s="703" t="s">
        <v>334</v>
      </c>
      <c r="M1596" s="702">
        <v>39478</v>
      </c>
      <c r="N1596" s="702">
        <v>44516</v>
      </c>
      <c r="O1596" s="703" t="s">
        <v>338</v>
      </c>
      <c r="P1596" s="20">
        <v>623.02</v>
      </c>
      <c r="Q1596" s="20">
        <v>0</v>
      </c>
      <c r="R1596" s="20">
        <v>0</v>
      </c>
      <c r="S1596" s="20">
        <v>0</v>
      </c>
      <c r="T1596" s="20">
        <v>623.02</v>
      </c>
      <c r="U1596" s="20">
        <v>621.29</v>
      </c>
      <c r="V1596" s="20">
        <v>-1.73</v>
      </c>
      <c r="W1596" s="20">
        <v>-22.5</v>
      </c>
      <c r="X1596" s="20">
        <v>-20.77</v>
      </c>
      <c r="Y1596" s="20">
        <v>0</v>
      </c>
      <c r="Z1596" s="20">
        <v>0</v>
      </c>
      <c r="AA1596" s="20">
        <v>0</v>
      </c>
      <c r="AB1596" s="20">
        <v>600.52</v>
      </c>
      <c r="AC1596" t="s">
        <v>183</v>
      </c>
      <c r="AD1596" t="s">
        <v>290</v>
      </c>
      <c r="AE1596" s="702">
        <f t="shared" si="120"/>
        <v>44348</v>
      </c>
      <c r="AF1596" s="289">
        <v>715.37971115217908</v>
      </c>
      <c r="AG1596">
        <f t="shared" si="121"/>
        <v>360</v>
      </c>
      <c r="AH1596" s="289">
        <f t="shared" si="122"/>
        <v>1.9871658643116086</v>
      </c>
      <c r="AJ1596" s="289">
        <f t="shared" si="123"/>
        <v>18</v>
      </c>
      <c r="AK1596" s="289">
        <f t="shared" si="124"/>
        <v>35.768985557608957</v>
      </c>
    </row>
    <row r="1597" spans="1:37">
      <c r="A1597" s="703" t="s">
        <v>3114</v>
      </c>
      <c r="B1597" s="703" t="s">
        <v>2849</v>
      </c>
      <c r="C1597" s="703" t="s">
        <v>332</v>
      </c>
      <c r="D1597" s="703" t="s">
        <v>334</v>
      </c>
      <c r="E1597" s="703" t="s">
        <v>334</v>
      </c>
      <c r="F1597" s="703" t="s">
        <v>335</v>
      </c>
      <c r="G1597" s="703" t="s">
        <v>3112</v>
      </c>
      <c r="H1597" s="703" t="s">
        <v>334</v>
      </c>
      <c r="I1597" s="703" t="s">
        <v>334</v>
      </c>
      <c r="J1597" s="703" t="s">
        <v>337</v>
      </c>
      <c r="K1597" s="704">
        <v>0</v>
      </c>
      <c r="L1597" s="703" t="s">
        <v>334</v>
      </c>
      <c r="M1597" s="702">
        <v>39478</v>
      </c>
      <c r="N1597" s="702">
        <v>44516</v>
      </c>
      <c r="O1597" s="703" t="s">
        <v>338</v>
      </c>
      <c r="P1597" s="20">
        <v>103.47</v>
      </c>
      <c r="Q1597" s="20">
        <v>0</v>
      </c>
      <c r="R1597" s="20">
        <v>0</v>
      </c>
      <c r="S1597" s="20">
        <v>0</v>
      </c>
      <c r="T1597" s="20">
        <v>103.47</v>
      </c>
      <c r="U1597" s="20">
        <v>103.18</v>
      </c>
      <c r="V1597" s="20">
        <v>-0.28999999999999998</v>
      </c>
      <c r="W1597" s="20">
        <v>-3.74</v>
      </c>
      <c r="X1597" s="20">
        <v>-3.45</v>
      </c>
      <c r="Y1597" s="20">
        <v>0</v>
      </c>
      <c r="Z1597" s="20">
        <v>0</v>
      </c>
      <c r="AA1597" s="20">
        <v>0</v>
      </c>
      <c r="AB1597" s="20">
        <v>99.73</v>
      </c>
      <c r="AC1597" t="s">
        <v>183</v>
      </c>
      <c r="AD1597" t="s">
        <v>290</v>
      </c>
      <c r="AE1597" s="702">
        <f t="shared" si="120"/>
        <v>44348</v>
      </c>
      <c r="AF1597" s="289">
        <v>118.80892862655448</v>
      </c>
      <c r="AG1597">
        <f t="shared" si="121"/>
        <v>360</v>
      </c>
      <c r="AH1597" s="289">
        <f t="shared" si="122"/>
        <v>0.33002480174042909</v>
      </c>
      <c r="AJ1597" s="289">
        <f t="shared" si="123"/>
        <v>18</v>
      </c>
      <c r="AK1597" s="289">
        <f t="shared" si="124"/>
        <v>5.9404464313277234</v>
      </c>
    </row>
    <row r="1598" spans="1:37">
      <c r="A1598" s="703" t="s">
        <v>3115</v>
      </c>
      <c r="B1598" s="703" t="s">
        <v>2849</v>
      </c>
      <c r="C1598" s="703" t="s">
        <v>332</v>
      </c>
      <c r="D1598" s="703" t="s">
        <v>334</v>
      </c>
      <c r="E1598" s="703" t="s">
        <v>334</v>
      </c>
      <c r="F1598" s="703" t="s">
        <v>335</v>
      </c>
      <c r="G1598" s="703" t="s">
        <v>3112</v>
      </c>
      <c r="H1598" s="703" t="s">
        <v>334</v>
      </c>
      <c r="I1598" s="703" t="s">
        <v>334</v>
      </c>
      <c r="J1598" s="703" t="s">
        <v>337</v>
      </c>
      <c r="K1598" s="704">
        <v>0</v>
      </c>
      <c r="L1598" s="703" t="s">
        <v>334</v>
      </c>
      <c r="M1598" s="702">
        <v>39478</v>
      </c>
      <c r="N1598" s="702">
        <v>44516</v>
      </c>
      <c r="O1598" s="703" t="s">
        <v>338</v>
      </c>
      <c r="P1598" s="20">
        <v>5.23</v>
      </c>
      <c r="Q1598" s="20">
        <v>0</v>
      </c>
      <c r="R1598" s="20">
        <v>0</v>
      </c>
      <c r="S1598" s="20">
        <v>0</v>
      </c>
      <c r="T1598" s="20">
        <v>5.23</v>
      </c>
      <c r="U1598" s="20">
        <v>5.22</v>
      </c>
      <c r="V1598" s="20">
        <v>-0.01</v>
      </c>
      <c r="W1598" s="20">
        <v>-0.18</v>
      </c>
      <c r="X1598" s="20">
        <v>-0.17</v>
      </c>
      <c r="Y1598" s="20">
        <v>0</v>
      </c>
      <c r="Z1598" s="20">
        <v>0</v>
      </c>
      <c r="AA1598" s="20">
        <v>0</v>
      </c>
      <c r="AB1598" s="20">
        <v>5.05</v>
      </c>
      <c r="AC1598" t="s">
        <v>183</v>
      </c>
      <c r="AD1598" t="s">
        <v>290</v>
      </c>
      <c r="AE1598" s="702">
        <f t="shared" si="120"/>
        <v>44348</v>
      </c>
      <c r="AF1598" s="289">
        <v>6.0053222839168834</v>
      </c>
      <c r="AG1598">
        <f t="shared" si="121"/>
        <v>360</v>
      </c>
      <c r="AH1598" s="289">
        <f t="shared" si="122"/>
        <v>1.6681450788658011E-2</v>
      </c>
      <c r="AJ1598" s="289">
        <f t="shared" si="123"/>
        <v>18</v>
      </c>
      <c r="AK1598" s="289">
        <f t="shared" si="124"/>
        <v>0.3002661141958442</v>
      </c>
    </row>
    <row r="1599" spans="1:37">
      <c r="A1599" s="703" t="s">
        <v>3116</v>
      </c>
      <c r="B1599" s="703" t="s">
        <v>2849</v>
      </c>
      <c r="C1599" s="703" t="s">
        <v>332</v>
      </c>
      <c r="D1599" s="703" t="s">
        <v>334</v>
      </c>
      <c r="E1599" s="703" t="s">
        <v>334</v>
      </c>
      <c r="F1599" s="703" t="s">
        <v>335</v>
      </c>
      <c r="G1599" s="703" t="s">
        <v>3112</v>
      </c>
      <c r="H1599" s="703" t="s">
        <v>334</v>
      </c>
      <c r="I1599" s="703" t="s">
        <v>334</v>
      </c>
      <c r="J1599" s="703" t="s">
        <v>337</v>
      </c>
      <c r="K1599" s="704">
        <v>0</v>
      </c>
      <c r="L1599" s="703" t="s">
        <v>334</v>
      </c>
      <c r="M1599" s="702">
        <v>39478</v>
      </c>
      <c r="N1599" s="702">
        <v>44516</v>
      </c>
      <c r="O1599" s="703" t="s">
        <v>338</v>
      </c>
      <c r="P1599" s="20">
        <v>3.16</v>
      </c>
      <c r="Q1599" s="20">
        <v>0</v>
      </c>
      <c r="R1599" s="20">
        <v>0</v>
      </c>
      <c r="S1599" s="20">
        <v>0</v>
      </c>
      <c r="T1599" s="20">
        <v>3.16</v>
      </c>
      <c r="U1599" s="20">
        <v>3.15</v>
      </c>
      <c r="V1599" s="20">
        <v>-0.01</v>
      </c>
      <c r="W1599" s="20">
        <v>-0.12</v>
      </c>
      <c r="X1599" s="20">
        <v>-0.11</v>
      </c>
      <c r="Y1599" s="20">
        <v>0</v>
      </c>
      <c r="Z1599" s="20">
        <v>0</v>
      </c>
      <c r="AA1599" s="20">
        <v>0</v>
      </c>
      <c r="AB1599" s="20">
        <v>3.04</v>
      </c>
      <c r="AC1599" t="s">
        <v>183</v>
      </c>
      <c r="AD1599" t="s">
        <v>290</v>
      </c>
      <c r="AE1599" s="702">
        <f t="shared" si="120"/>
        <v>44348</v>
      </c>
      <c r="AF1599" s="289">
        <v>3.6284547642786524</v>
      </c>
      <c r="AG1599">
        <f t="shared" si="121"/>
        <v>360</v>
      </c>
      <c r="AH1599" s="289">
        <f t="shared" si="122"/>
        <v>1.0079041011885146E-2</v>
      </c>
      <c r="AJ1599" s="289">
        <f t="shared" si="123"/>
        <v>18</v>
      </c>
      <c r="AK1599" s="289">
        <f t="shared" si="124"/>
        <v>0.18142273821393262</v>
      </c>
    </row>
    <row r="1600" spans="1:37">
      <c r="A1600" s="703" t="s">
        <v>3117</v>
      </c>
      <c r="B1600" s="703" t="s">
        <v>2849</v>
      </c>
      <c r="C1600" s="703" t="s">
        <v>332</v>
      </c>
      <c r="D1600" s="703" t="s">
        <v>334</v>
      </c>
      <c r="E1600" s="703" t="s">
        <v>334</v>
      </c>
      <c r="F1600" s="703" t="s">
        <v>335</v>
      </c>
      <c r="G1600" s="703" t="s">
        <v>3112</v>
      </c>
      <c r="H1600" s="703" t="s">
        <v>334</v>
      </c>
      <c r="I1600" s="703" t="s">
        <v>334</v>
      </c>
      <c r="J1600" s="703" t="s">
        <v>337</v>
      </c>
      <c r="K1600" s="704">
        <v>0</v>
      </c>
      <c r="L1600" s="703" t="s">
        <v>334</v>
      </c>
      <c r="M1600" s="702">
        <v>39478</v>
      </c>
      <c r="N1600" s="702">
        <v>44516</v>
      </c>
      <c r="O1600" s="703" t="s">
        <v>338</v>
      </c>
      <c r="P1600" s="20">
        <v>6.4</v>
      </c>
      <c r="Q1600" s="20">
        <v>0</v>
      </c>
      <c r="R1600" s="20">
        <v>0</v>
      </c>
      <c r="S1600" s="20">
        <v>0</v>
      </c>
      <c r="T1600" s="20">
        <v>6.4</v>
      </c>
      <c r="U1600" s="20">
        <v>6.38</v>
      </c>
      <c r="V1600" s="20">
        <v>-0.02</v>
      </c>
      <c r="W1600" s="20">
        <v>-0.23</v>
      </c>
      <c r="X1600" s="20">
        <v>-0.21</v>
      </c>
      <c r="Y1600" s="20">
        <v>0</v>
      </c>
      <c r="Z1600" s="20">
        <v>0</v>
      </c>
      <c r="AA1600" s="20">
        <v>0</v>
      </c>
      <c r="AB1600" s="20">
        <v>6.17</v>
      </c>
      <c r="AC1600" t="s">
        <v>183</v>
      </c>
      <c r="AD1600" t="s">
        <v>290</v>
      </c>
      <c r="AE1600" s="702">
        <f t="shared" si="120"/>
        <v>44348</v>
      </c>
      <c r="AF1600" s="289">
        <v>7.3487691428428406</v>
      </c>
      <c r="AG1600">
        <f t="shared" si="121"/>
        <v>360</v>
      </c>
      <c r="AH1600" s="289">
        <f t="shared" si="122"/>
        <v>2.0413247619007889E-2</v>
      </c>
      <c r="AJ1600" s="289">
        <f t="shared" si="123"/>
        <v>18</v>
      </c>
      <c r="AK1600" s="289">
        <f t="shared" si="124"/>
        <v>0.36743845714214202</v>
      </c>
    </row>
    <row r="1601" spans="1:37">
      <c r="A1601" s="703" t="s">
        <v>3118</v>
      </c>
      <c r="B1601" s="703" t="s">
        <v>2849</v>
      </c>
      <c r="C1601" s="703" t="s">
        <v>332</v>
      </c>
      <c r="D1601" s="703" t="s">
        <v>334</v>
      </c>
      <c r="E1601" s="703" t="s">
        <v>334</v>
      </c>
      <c r="F1601" s="703" t="s">
        <v>335</v>
      </c>
      <c r="G1601" s="703" t="s">
        <v>3112</v>
      </c>
      <c r="H1601" s="703" t="s">
        <v>334</v>
      </c>
      <c r="I1601" s="703" t="s">
        <v>334</v>
      </c>
      <c r="J1601" s="703" t="s">
        <v>337</v>
      </c>
      <c r="K1601" s="704">
        <v>0</v>
      </c>
      <c r="L1601" s="703" t="s">
        <v>334</v>
      </c>
      <c r="M1601" s="702">
        <v>39478</v>
      </c>
      <c r="N1601" s="702">
        <v>44516</v>
      </c>
      <c r="O1601" s="703" t="s">
        <v>338</v>
      </c>
      <c r="P1601" s="20">
        <v>143.78</v>
      </c>
      <c r="Q1601" s="20">
        <v>0</v>
      </c>
      <c r="R1601" s="20">
        <v>0</v>
      </c>
      <c r="S1601" s="20">
        <v>0</v>
      </c>
      <c r="T1601" s="20">
        <v>143.78</v>
      </c>
      <c r="U1601" s="20">
        <v>143.38</v>
      </c>
      <c r="V1601" s="20">
        <v>-0.4</v>
      </c>
      <c r="W1601" s="20">
        <v>-5.19</v>
      </c>
      <c r="X1601" s="20">
        <v>-4.79</v>
      </c>
      <c r="Y1601" s="20">
        <v>0</v>
      </c>
      <c r="Z1601" s="20">
        <v>0</v>
      </c>
      <c r="AA1601" s="20">
        <v>0</v>
      </c>
      <c r="AB1601" s="20">
        <v>138.59</v>
      </c>
      <c r="AC1601" t="s">
        <v>183</v>
      </c>
      <c r="AD1601" t="s">
        <v>290</v>
      </c>
      <c r="AE1601" s="702">
        <f t="shared" si="120"/>
        <v>44348</v>
      </c>
      <c r="AF1601" s="289">
        <v>165.09469177467869</v>
      </c>
      <c r="AG1601">
        <f t="shared" si="121"/>
        <v>360</v>
      </c>
      <c r="AH1601" s="289">
        <f t="shared" si="122"/>
        <v>0.45859636604077414</v>
      </c>
      <c r="AJ1601" s="289">
        <f t="shared" si="123"/>
        <v>18</v>
      </c>
      <c r="AK1601" s="289">
        <f t="shared" si="124"/>
        <v>8.2547345887339354</v>
      </c>
    </row>
    <row r="1602" spans="1:37">
      <c r="A1602" s="703" t="s">
        <v>3119</v>
      </c>
      <c r="B1602" s="703" t="s">
        <v>2849</v>
      </c>
      <c r="C1602" s="703" t="s">
        <v>332</v>
      </c>
      <c r="D1602" s="703" t="s">
        <v>334</v>
      </c>
      <c r="E1602" s="703" t="s">
        <v>334</v>
      </c>
      <c r="F1602" s="703" t="s">
        <v>335</v>
      </c>
      <c r="G1602" s="703" t="s">
        <v>3112</v>
      </c>
      <c r="H1602" s="703" t="s">
        <v>334</v>
      </c>
      <c r="I1602" s="703" t="s">
        <v>334</v>
      </c>
      <c r="J1602" s="703" t="s">
        <v>337</v>
      </c>
      <c r="K1602" s="704">
        <v>0</v>
      </c>
      <c r="L1602" s="703" t="s">
        <v>334</v>
      </c>
      <c r="M1602" s="702">
        <v>39478</v>
      </c>
      <c r="N1602" s="702">
        <v>44516</v>
      </c>
      <c r="O1602" s="703" t="s">
        <v>338</v>
      </c>
      <c r="P1602" s="20">
        <v>631.82000000000005</v>
      </c>
      <c r="Q1602" s="20">
        <v>0</v>
      </c>
      <c r="R1602" s="20">
        <v>0</v>
      </c>
      <c r="S1602" s="20">
        <v>0</v>
      </c>
      <c r="T1602" s="20">
        <v>631.82000000000005</v>
      </c>
      <c r="U1602" s="20">
        <v>630.05999999999995</v>
      </c>
      <c r="V1602" s="20">
        <v>-1.76</v>
      </c>
      <c r="W1602" s="20">
        <v>-22.82</v>
      </c>
      <c r="X1602" s="20">
        <v>-21.06</v>
      </c>
      <c r="Y1602" s="20">
        <v>0</v>
      </c>
      <c r="Z1602" s="20">
        <v>0</v>
      </c>
      <c r="AA1602" s="20">
        <v>0</v>
      </c>
      <c r="AB1602" s="20">
        <v>609</v>
      </c>
      <c r="AC1602" t="s">
        <v>183</v>
      </c>
      <c r="AD1602" t="s">
        <v>290</v>
      </c>
      <c r="AE1602" s="702">
        <f t="shared" si="120"/>
        <v>44348</v>
      </c>
      <c r="AF1602" s="289">
        <v>725.484268723588</v>
      </c>
      <c r="AG1602">
        <f t="shared" si="121"/>
        <v>360</v>
      </c>
      <c r="AH1602" s="289">
        <f t="shared" si="122"/>
        <v>2.0152340797877444</v>
      </c>
      <c r="AJ1602" s="289">
        <f t="shared" si="123"/>
        <v>18</v>
      </c>
      <c r="AK1602" s="289">
        <f t="shared" si="124"/>
        <v>36.274213436179402</v>
      </c>
    </row>
    <row r="1603" spans="1:37">
      <c r="A1603" s="703" t="s">
        <v>3120</v>
      </c>
      <c r="B1603" s="703" t="s">
        <v>2849</v>
      </c>
      <c r="C1603" s="703" t="s">
        <v>332</v>
      </c>
      <c r="D1603" s="703" t="s">
        <v>334</v>
      </c>
      <c r="E1603" s="703" t="s">
        <v>334</v>
      </c>
      <c r="F1603" s="703" t="s">
        <v>335</v>
      </c>
      <c r="G1603" s="703" t="s">
        <v>3112</v>
      </c>
      <c r="H1603" s="703" t="s">
        <v>334</v>
      </c>
      <c r="I1603" s="703" t="s">
        <v>334</v>
      </c>
      <c r="J1603" s="703" t="s">
        <v>337</v>
      </c>
      <c r="K1603" s="704">
        <v>0</v>
      </c>
      <c r="L1603" s="703" t="s">
        <v>334</v>
      </c>
      <c r="M1603" s="702">
        <v>39478</v>
      </c>
      <c r="N1603" s="702">
        <v>44516</v>
      </c>
      <c r="O1603" s="703" t="s">
        <v>338</v>
      </c>
      <c r="P1603" s="20">
        <v>234.66</v>
      </c>
      <c r="Q1603" s="20">
        <v>0</v>
      </c>
      <c r="R1603" s="20">
        <v>0</v>
      </c>
      <c r="S1603" s="20">
        <v>0</v>
      </c>
      <c r="T1603" s="20">
        <v>234.66</v>
      </c>
      <c r="U1603" s="20">
        <v>234.01</v>
      </c>
      <c r="V1603" s="20">
        <v>-0.65</v>
      </c>
      <c r="W1603" s="20">
        <v>-8.4700000000000006</v>
      </c>
      <c r="X1603" s="20">
        <v>-7.82</v>
      </c>
      <c r="Y1603" s="20">
        <v>0</v>
      </c>
      <c r="Z1603" s="20">
        <v>0</v>
      </c>
      <c r="AA1603" s="20">
        <v>0</v>
      </c>
      <c r="AB1603" s="20">
        <v>226.19</v>
      </c>
      <c r="AC1603" t="s">
        <v>183</v>
      </c>
      <c r="AD1603" t="s">
        <v>290</v>
      </c>
      <c r="AE1603" s="702">
        <f t="shared" si="120"/>
        <v>44348</v>
      </c>
      <c r="AF1603" s="289">
        <v>269.44721360304698</v>
      </c>
      <c r="AG1603">
        <f t="shared" si="121"/>
        <v>360</v>
      </c>
      <c r="AH1603" s="289">
        <f t="shared" si="122"/>
        <v>0.74846448223068607</v>
      </c>
      <c r="AJ1603" s="289">
        <f t="shared" si="123"/>
        <v>18</v>
      </c>
      <c r="AK1603" s="289">
        <f t="shared" si="124"/>
        <v>13.472360680152349</v>
      </c>
    </row>
    <row r="1604" spans="1:37">
      <c r="A1604" s="703" t="s">
        <v>3121</v>
      </c>
      <c r="B1604" s="703" t="s">
        <v>2849</v>
      </c>
      <c r="C1604" s="703" t="s">
        <v>332</v>
      </c>
      <c r="D1604" s="703" t="s">
        <v>334</v>
      </c>
      <c r="E1604" s="703" t="s">
        <v>334</v>
      </c>
      <c r="F1604" s="703" t="s">
        <v>335</v>
      </c>
      <c r="G1604" s="703" t="s">
        <v>3112</v>
      </c>
      <c r="H1604" s="703" t="s">
        <v>334</v>
      </c>
      <c r="I1604" s="703" t="s">
        <v>334</v>
      </c>
      <c r="J1604" s="703" t="s">
        <v>337</v>
      </c>
      <c r="K1604" s="704">
        <v>0</v>
      </c>
      <c r="L1604" s="703" t="s">
        <v>334</v>
      </c>
      <c r="M1604" s="702">
        <v>39478</v>
      </c>
      <c r="N1604" s="702">
        <v>44516</v>
      </c>
      <c r="O1604" s="703" t="s">
        <v>338</v>
      </c>
      <c r="P1604" s="20">
        <v>690.11</v>
      </c>
      <c r="Q1604" s="20">
        <v>0</v>
      </c>
      <c r="R1604" s="20">
        <v>0</v>
      </c>
      <c r="S1604" s="20">
        <v>0</v>
      </c>
      <c r="T1604" s="20">
        <v>690.11</v>
      </c>
      <c r="U1604" s="20">
        <v>688.19</v>
      </c>
      <c r="V1604" s="20">
        <v>-1.92</v>
      </c>
      <c r="W1604" s="20">
        <v>-24.92</v>
      </c>
      <c r="X1604" s="20">
        <v>-23</v>
      </c>
      <c r="Y1604" s="20">
        <v>0</v>
      </c>
      <c r="Z1604" s="20">
        <v>0</v>
      </c>
      <c r="AA1604" s="20">
        <v>0</v>
      </c>
      <c r="AB1604" s="20">
        <v>665.19</v>
      </c>
      <c r="AC1604" t="s">
        <v>183</v>
      </c>
      <c r="AD1604" t="s">
        <v>290</v>
      </c>
      <c r="AE1604" s="702">
        <f t="shared" si="120"/>
        <v>44348</v>
      </c>
      <c r="AF1604" s="289">
        <v>792.41548018238632</v>
      </c>
      <c r="AG1604">
        <f t="shared" si="121"/>
        <v>360</v>
      </c>
      <c r="AH1604" s="289">
        <f t="shared" si="122"/>
        <v>2.2011541116177398</v>
      </c>
      <c r="AJ1604" s="289">
        <f t="shared" si="123"/>
        <v>18</v>
      </c>
      <c r="AK1604" s="289">
        <f t="shared" si="124"/>
        <v>39.620774009119316</v>
      </c>
    </row>
    <row r="1605" spans="1:37">
      <c r="A1605" s="703" t="s">
        <v>3122</v>
      </c>
      <c r="B1605" s="703" t="s">
        <v>2849</v>
      </c>
      <c r="C1605" s="703" t="s">
        <v>332</v>
      </c>
      <c r="D1605" s="703" t="s">
        <v>334</v>
      </c>
      <c r="E1605" s="703" t="s">
        <v>334</v>
      </c>
      <c r="F1605" s="703" t="s">
        <v>335</v>
      </c>
      <c r="G1605" s="703" t="s">
        <v>3112</v>
      </c>
      <c r="H1605" s="703" t="s">
        <v>334</v>
      </c>
      <c r="I1605" s="703" t="s">
        <v>334</v>
      </c>
      <c r="J1605" s="703" t="s">
        <v>337</v>
      </c>
      <c r="K1605" s="704">
        <v>0</v>
      </c>
      <c r="L1605" s="703" t="s">
        <v>334</v>
      </c>
      <c r="M1605" s="702">
        <v>39478</v>
      </c>
      <c r="N1605" s="702">
        <v>44516</v>
      </c>
      <c r="O1605" s="703" t="s">
        <v>338</v>
      </c>
      <c r="P1605" s="20">
        <v>2696.05</v>
      </c>
      <c r="Q1605" s="20">
        <v>0</v>
      </c>
      <c r="R1605" s="20">
        <v>0</v>
      </c>
      <c r="S1605" s="20">
        <v>0</v>
      </c>
      <c r="T1605" s="20">
        <v>2696.05</v>
      </c>
      <c r="U1605" s="20">
        <v>2688.56</v>
      </c>
      <c r="V1605" s="20">
        <v>-7.49</v>
      </c>
      <c r="W1605" s="20">
        <v>-97.36</v>
      </c>
      <c r="X1605" s="20">
        <v>-89.87</v>
      </c>
      <c r="Y1605" s="20">
        <v>0</v>
      </c>
      <c r="Z1605" s="20">
        <v>0</v>
      </c>
      <c r="AA1605" s="20">
        <v>0</v>
      </c>
      <c r="AB1605" s="20">
        <v>2598.69</v>
      </c>
      <c r="AC1605" t="s">
        <v>183</v>
      </c>
      <c r="AD1605" t="s">
        <v>290</v>
      </c>
      <c r="AE1605" s="702">
        <f t="shared" si="120"/>
        <v>44348</v>
      </c>
      <c r="AF1605" s="289">
        <v>3095.7264136814752</v>
      </c>
      <c r="AG1605">
        <f t="shared" si="121"/>
        <v>360</v>
      </c>
      <c r="AH1605" s="289">
        <f t="shared" si="122"/>
        <v>8.5992400380040976</v>
      </c>
      <c r="AJ1605" s="289">
        <f t="shared" si="123"/>
        <v>18</v>
      </c>
      <c r="AK1605" s="289">
        <f t="shared" si="124"/>
        <v>154.78632068407376</v>
      </c>
    </row>
    <row r="1606" spans="1:37">
      <c r="A1606" s="703" t="s">
        <v>3123</v>
      </c>
      <c r="B1606" s="703" t="s">
        <v>2849</v>
      </c>
      <c r="C1606" s="703" t="s">
        <v>332</v>
      </c>
      <c r="D1606" s="703" t="s">
        <v>334</v>
      </c>
      <c r="E1606" s="703" t="s">
        <v>334</v>
      </c>
      <c r="F1606" s="703" t="s">
        <v>335</v>
      </c>
      <c r="G1606" s="703" t="s">
        <v>3112</v>
      </c>
      <c r="H1606" s="703" t="s">
        <v>334</v>
      </c>
      <c r="I1606" s="703" t="s">
        <v>334</v>
      </c>
      <c r="J1606" s="703" t="s">
        <v>337</v>
      </c>
      <c r="K1606" s="704">
        <v>0</v>
      </c>
      <c r="L1606" s="703" t="s">
        <v>334</v>
      </c>
      <c r="M1606" s="702">
        <v>39478</v>
      </c>
      <c r="N1606" s="702">
        <v>44516</v>
      </c>
      <c r="O1606" s="703" t="s">
        <v>338</v>
      </c>
      <c r="P1606" s="20">
        <v>71.599999999999994</v>
      </c>
      <c r="Q1606" s="20">
        <v>0</v>
      </c>
      <c r="R1606" s="20">
        <v>0</v>
      </c>
      <c r="S1606" s="20">
        <v>0</v>
      </c>
      <c r="T1606" s="20">
        <v>71.599999999999994</v>
      </c>
      <c r="U1606" s="20">
        <v>71.400000000000006</v>
      </c>
      <c r="V1606" s="20">
        <v>-0.2</v>
      </c>
      <c r="W1606" s="20">
        <v>-2.59</v>
      </c>
      <c r="X1606" s="20">
        <v>-2.39</v>
      </c>
      <c r="Y1606" s="20">
        <v>0</v>
      </c>
      <c r="Z1606" s="20">
        <v>0</v>
      </c>
      <c r="AA1606" s="20">
        <v>0</v>
      </c>
      <c r="AB1606" s="20">
        <v>69.010000000000005</v>
      </c>
      <c r="AC1606" t="s">
        <v>183</v>
      </c>
      <c r="AD1606" t="s">
        <v>290</v>
      </c>
      <c r="AE1606" s="702">
        <f t="shared" si="120"/>
        <v>44348</v>
      </c>
      <c r="AF1606" s="289">
        <v>82.214354785554264</v>
      </c>
      <c r="AG1606">
        <f t="shared" si="121"/>
        <v>360</v>
      </c>
      <c r="AH1606" s="289">
        <f t="shared" si="122"/>
        <v>0.22837320773765074</v>
      </c>
      <c r="AJ1606" s="289">
        <f t="shared" si="123"/>
        <v>18</v>
      </c>
      <c r="AK1606" s="289">
        <f t="shared" si="124"/>
        <v>4.110717739277713</v>
      </c>
    </row>
    <row r="1607" spans="1:37">
      <c r="A1607" s="703" t="s">
        <v>3124</v>
      </c>
      <c r="B1607" s="703" t="s">
        <v>2849</v>
      </c>
      <c r="C1607" s="703" t="s">
        <v>332</v>
      </c>
      <c r="D1607" s="703" t="s">
        <v>334</v>
      </c>
      <c r="E1607" s="703" t="s">
        <v>334</v>
      </c>
      <c r="F1607" s="703" t="s">
        <v>335</v>
      </c>
      <c r="G1607" s="703" t="s">
        <v>3112</v>
      </c>
      <c r="H1607" s="703" t="s">
        <v>334</v>
      </c>
      <c r="I1607" s="703" t="s">
        <v>334</v>
      </c>
      <c r="J1607" s="703" t="s">
        <v>337</v>
      </c>
      <c r="K1607" s="704">
        <v>0</v>
      </c>
      <c r="L1607" s="703" t="s">
        <v>334</v>
      </c>
      <c r="M1607" s="702">
        <v>39478</v>
      </c>
      <c r="N1607" s="702">
        <v>44516</v>
      </c>
      <c r="O1607" s="703" t="s">
        <v>338</v>
      </c>
      <c r="P1607" s="20">
        <v>1320.72</v>
      </c>
      <c r="Q1607" s="20">
        <v>0</v>
      </c>
      <c r="R1607" s="20">
        <v>0</v>
      </c>
      <c r="S1607" s="20">
        <v>0</v>
      </c>
      <c r="T1607" s="20">
        <v>1320.72</v>
      </c>
      <c r="U1607" s="20">
        <v>1317.05</v>
      </c>
      <c r="V1607" s="20">
        <v>-3.67</v>
      </c>
      <c r="W1607" s="20">
        <v>-47.69</v>
      </c>
      <c r="X1607" s="20">
        <v>-44.02</v>
      </c>
      <c r="Y1607" s="20">
        <v>0</v>
      </c>
      <c r="Z1607" s="20">
        <v>0</v>
      </c>
      <c r="AA1607" s="20">
        <v>0</v>
      </c>
      <c r="AB1607" s="20">
        <v>1273.03</v>
      </c>
      <c r="AC1607" t="s">
        <v>183</v>
      </c>
      <c r="AD1607" t="s">
        <v>290</v>
      </c>
      <c r="AE1607" s="702">
        <f t="shared" ref="AE1607:AE1670" si="125">IF(N1607&gt;=$AG$5,DATE(YEAR(N1607),6,1),DATE(YEAR(N1607),6,1))</f>
        <v>44348</v>
      </c>
      <c r="AF1607" s="289">
        <v>1516.5103722399056</v>
      </c>
      <c r="AG1607">
        <f t="shared" ref="AG1607:AG1670" si="126">+IF(AD1607="intangível",20*12,IF(AD1607="Diferido",120,IF(AD1607="Não vinculados",0,IF(AE1607&lt;=$AG$5,F1607*12,360))))</f>
        <v>360</v>
      </c>
      <c r="AH1607" s="289">
        <f t="shared" ref="AH1607:AH1670" si="127">IF(AG1607=0,0,AF1607/AG1607)</f>
        <v>4.2125288117775153</v>
      </c>
      <c r="AJ1607" s="289">
        <f t="shared" ref="AJ1607:AJ1670" si="128">+IF(AND(YEAR(AE1607)&gt;=2018,YEAR(AE1607)&lt;=2022),IF(DATEDIF(AE1607,$AK$4,"m")&gt;=AG1607,AG1607,DATEDIF(AE1607,$AK$4,"m")),0)</f>
        <v>18</v>
      </c>
      <c r="AK1607" s="289">
        <f t="shared" ref="AK1607:AK1670" si="129">IF(AD1607="Imobilizado",AJ1607*AH1607,0)</f>
        <v>75.825518611995278</v>
      </c>
    </row>
    <row r="1608" spans="1:37">
      <c r="A1608" s="703" t="s">
        <v>3125</v>
      </c>
      <c r="B1608" s="703" t="s">
        <v>2849</v>
      </c>
      <c r="C1608" s="703" t="s">
        <v>332</v>
      </c>
      <c r="D1608" s="703" t="s">
        <v>334</v>
      </c>
      <c r="E1608" s="703" t="s">
        <v>334</v>
      </c>
      <c r="F1608" s="703" t="s">
        <v>335</v>
      </c>
      <c r="G1608" s="703" t="s">
        <v>3112</v>
      </c>
      <c r="H1608" s="703" t="s">
        <v>334</v>
      </c>
      <c r="I1608" s="703" t="s">
        <v>334</v>
      </c>
      <c r="J1608" s="703" t="s">
        <v>337</v>
      </c>
      <c r="K1608" s="704">
        <v>0</v>
      </c>
      <c r="L1608" s="703" t="s">
        <v>334</v>
      </c>
      <c r="M1608" s="702">
        <v>39478</v>
      </c>
      <c r="N1608" s="702">
        <v>44516</v>
      </c>
      <c r="O1608" s="703" t="s">
        <v>338</v>
      </c>
      <c r="P1608" s="20">
        <v>151.63999999999999</v>
      </c>
      <c r="Q1608" s="20">
        <v>0</v>
      </c>
      <c r="R1608" s="20">
        <v>0</v>
      </c>
      <c r="S1608" s="20">
        <v>0</v>
      </c>
      <c r="T1608" s="20">
        <v>151.63999999999999</v>
      </c>
      <c r="U1608" s="20">
        <v>151.22</v>
      </c>
      <c r="V1608" s="20">
        <v>-0.42</v>
      </c>
      <c r="W1608" s="20">
        <v>-5.47</v>
      </c>
      <c r="X1608" s="20">
        <v>-5.05</v>
      </c>
      <c r="Y1608" s="20">
        <v>0</v>
      </c>
      <c r="Z1608" s="20">
        <v>0</v>
      </c>
      <c r="AA1608" s="20">
        <v>0</v>
      </c>
      <c r="AB1608" s="20">
        <v>146.16999999999999</v>
      </c>
      <c r="AC1608" t="s">
        <v>183</v>
      </c>
      <c r="AD1608" t="s">
        <v>290</v>
      </c>
      <c r="AE1608" s="702">
        <f t="shared" si="125"/>
        <v>44348</v>
      </c>
      <c r="AF1608" s="289">
        <v>174.11989887823253</v>
      </c>
      <c r="AG1608">
        <f t="shared" si="126"/>
        <v>360</v>
      </c>
      <c r="AH1608" s="289">
        <f t="shared" si="127"/>
        <v>0.48366638577286813</v>
      </c>
      <c r="AJ1608" s="289">
        <f t="shared" si="128"/>
        <v>18</v>
      </c>
      <c r="AK1608" s="289">
        <f t="shared" si="129"/>
        <v>8.7059949439116266</v>
      </c>
    </row>
    <row r="1609" spans="1:37">
      <c r="A1609" s="703" t="s">
        <v>3126</v>
      </c>
      <c r="B1609" s="703" t="s">
        <v>2849</v>
      </c>
      <c r="C1609" s="703" t="s">
        <v>332</v>
      </c>
      <c r="D1609" s="703" t="s">
        <v>334</v>
      </c>
      <c r="E1609" s="703" t="s">
        <v>334</v>
      </c>
      <c r="F1609" s="703" t="s">
        <v>335</v>
      </c>
      <c r="G1609" s="703" t="s">
        <v>3112</v>
      </c>
      <c r="H1609" s="703" t="s">
        <v>334</v>
      </c>
      <c r="I1609" s="703" t="s">
        <v>334</v>
      </c>
      <c r="J1609" s="703" t="s">
        <v>337</v>
      </c>
      <c r="K1609" s="704">
        <v>0</v>
      </c>
      <c r="L1609" s="703" t="s">
        <v>334</v>
      </c>
      <c r="M1609" s="702">
        <v>39478</v>
      </c>
      <c r="N1609" s="702">
        <v>44516</v>
      </c>
      <c r="O1609" s="703" t="s">
        <v>338</v>
      </c>
      <c r="P1609" s="20">
        <v>5.23</v>
      </c>
      <c r="Q1609" s="20">
        <v>0</v>
      </c>
      <c r="R1609" s="20">
        <v>0</v>
      </c>
      <c r="S1609" s="20">
        <v>0</v>
      </c>
      <c r="T1609" s="20">
        <v>5.23</v>
      </c>
      <c r="U1609" s="20">
        <v>5.22</v>
      </c>
      <c r="V1609" s="20">
        <v>-0.01</v>
      </c>
      <c r="W1609" s="20">
        <v>-0.18</v>
      </c>
      <c r="X1609" s="20">
        <v>-0.17</v>
      </c>
      <c r="Y1609" s="20">
        <v>0</v>
      </c>
      <c r="Z1609" s="20">
        <v>0</v>
      </c>
      <c r="AA1609" s="20">
        <v>0</v>
      </c>
      <c r="AB1609" s="20">
        <v>5.05</v>
      </c>
      <c r="AC1609" t="s">
        <v>183</v>
      </c>
      <c r="AD1609" t="s">
        <v>290</v>
      </c>
      <c r="AE1609" s="702">
        <f t="shared" si="125"/>
        <v>44348</v>
      </c>
      <c r="AF1609" s="289">
        <v>6.0053222839168834</v>
      </c>
      <c r="AG1609">
        <f t="shared" si="126"/>
        <v>360</v>
      </c>
      <c r="AH1609" s="289">
        <f t="shared" si="127"/>
        <v>1.6681450788658011E-2</v>
      </c>
      <c r="AJ1609" s="289">
        <f t="shared" si="128"/>
        <v>18</v>
      </c>
      <c r="AK1609" s="289">
        <f t="shared" si="129"/>
        <v>0.3002661141958442</v>
      </c>
    </row>
    <row r="1610" spans="1:37">
      <c r="A1610" s="703" t="s">
        <v>3127</v>
      </c>
      <c r="B1610" s="703" t="s">
        <v>2849</v>
      </c>
      <c r="C1610" s="703" t="s">
        <v>332</v>
      </c>
      <c r="D1610" s="703" t="s">
        <v>334</v>
      </c>
      <c r="E1610" s="703" t="s">
        <v>334</v>
      </c>
      <c r="F1610" s="703" t="s">
        <v>335</v>
      </c>
      <c r="G1610" s="703" t="s">
        <v>3112</v>
      </c>
      <c r="H1610" s="703" t="s">
        <v>334</v>
      </c>
      <c r="I1610" s="703" t="s">
        <v>334</v>
      </c>
      <c r="J1610" s="703" t="s">
        <v>337</v>
      </c>
      <c r="K1610" s="704">
        <v>0</v>
      </c>
      <c r="L1610" s="703" t="s">
        <v>334</v>
      </c>
      <c r="M1610" s="702">
        <v>39478</v>
      </c>
      <c r="N1610" s="702">
        <v>44516</v>
      </c>
      <c r="O1610" s="703" t="s">
        <v>338</v>
      </c>
      <c r="P1610" s="20">
        <v>6.32</v>
      </c>
      <c r="Q1610" s="20">
        <v>0</v>
      </c>
      <c r="R1610" s="20">
        <v>0</v>
      </c>
      <c r="S1610" s="20">
        <v>0</v>
      </c>
      <c r="T1610" s="20">
        <v>6.32</v>
      </c>
      <c r="U1610" s="20">
        <v>6.3</v>
      </c>
      <c r="V1610" s="20">
        <v>-0.02</v>
      </c>
      <c r="W1610" s="20">
        <v>-0.23</v>
      </c>
      <c r="X1610" s="20">
        <v>-0.21</v>
      </c>
      <c r="Y1610" s="20">
        <v>0</v>
      </c>
      <c r="Z1610" s="20">
        <v>0</v>
      </c>
      <c r="AA1610" s="20">
        <v>0</v>
      </c>
      <c r="AB1610" s="20">
        <v>6.09</v>
      </c>
      <c r="AC1610" t="s">
        <v>183</v>
      </c>
      <c r="AD1610" t="s">
        <v>290</v>
      </c>
      <c r="AE1610" s="702">
        <f t="shared" si="125"/>
        <v>44348</v>
      </c>
      <c r="AF1610" s="289">
        <v>7.2569095285573049</v>
      </c>
      <c r="AG1610">
        <f t="shared" si="126"/>
        <v>360</v>
      </c>
      <c r="AH1610" s="289">
        <f t="shared" si="127"/>
        <v>2.0158082023770292E-2</v>
      </c>
      <c r="AJ1610" s="289">
        <f t="shared" si="128"/>
        <v>18</v>
      </c>
      <c r="AK1610" s="289">
        <f t="shared" si="129"/>
        <v>0.36284547642786524</v>
      </c>
    </row>
    <row r="1611" spans="1:37">
      <c r="A1611" s="703" t="s">
        <v>3128</v>
      </c>
      <c r="B1611" s="703" t="s">
        <v>2849</v>
      </c>
      <c r="C1611" s="703" t="s">
        <v>332</v>
      </c>
      <c r="D1611" s="703" t="s">
        <v>334</v>
      </c>
      <c r="E1611" s="703" t="s">
        <v>334</v>
      </c>
      <c r="F1611" s="703" t="s">
        <v>335</v>
      </c>
      <c r="G1611" s="703" t="s">
        <v>3112</v>
      </c>
      <c r="H1611" s="703" t="s">
        <v>334</v>
      </c>
      <c r="I1611" s="703" t="s">
        <v>334</v>
      </c>
      <c r="J1611" s="703" t="s">
        <v>337</v>
      </c>
      <c r="K1611" s="704">
        <v>0</v>
      </c>
      <c r="L1611" s="703" t="s">
        <v>334</v>
      </c>
      <c r="M1611" s="702">
        <v>39478</v>
      </c>
      <c r="N1611" s="702">
        <v>44516</v>
      </c>
      <c r="O1611" s="703" t="s">
        <v>338</v>
      </c>
      <c r="P1611" s="20">
        <v>6.4</v>
      </c>
      <c r="Q1611" s="20">
        <v>0</v>
      </c>
      <c r="R1611" s="20">
        <v>0</v>
      </c>
      <c r="S1611" s="20">
        <v>0</v>
      </c>
      <c r="T1611" s="20">
        <v>6.4</v>
      </c>
      <c r="U1611" s="20">
        <v>6.38</v>
      </c>
      <c r="V1611" s="20">
        <v>-0.02</v>
      </c>
      <c r="W1611" s="20">
        <v>-0.23</v>
      </c>
      <c r="X1611" s="20">
        <v>-0.21</v>
      </c>
      <c r="Y1611" s="20">
        <v>0</v>
      </c>
      <c r="Z1611" s="20">
        <v>0</v>
      </c>
      <c r="AA1611" s="20">
        <v>0</v>
      </c>
      <c r="AB1611" s="20">
        <v>6.17</v>
      </c>
      <c r="AC1611" t="s">
        <v>183</v>
      </c>
      <c r="AD1611" t="s">
        <v>290</v>
      </c>
      <c r="AE1611" s="702">
        <f t="shared" si="125"/>
        <v>44348</v>
      </c>
      <c r="AF1611" s="289">
        <v>7.3487691428428406</v>
      </c>
      <c r="AG1611">
        <f t="shared" si="126"/>
        <v>360</v>
      </c>
      <c r="AH1611" s="289">
        <f t="shared" si="127"/>
        <v>2.0413247619007889E-2</v>
      </c>
      <c r="AJ1611" s="289">
        <f t="shared" si="128"/>
        <v>18</v>
      </c>
      <c r="AK1611" s="289">
        <f t="shared" si="129"/>
        <v>0.36743845714214202</v>
      </c>
    </row>
    <row r="1612" spans="1:37">
      <c r="A1612" s="703" t="s">
        <v>3129</v>
      </c>
      <c r="B1612" s="703" t="s">
        <v>2849</v>
      </c>
      <c r="C1612" s="703" t="s">
        <v>332</v>
      </c>
      <c r="D1612" s="703" t="s">
        <v>334</v>
      </c>
      <c r="E1612" s="703" t="s">
        <v>334</v>
      </c>
      <c r="F1612" s="703" t="s">
        <v>335</v>
      </c>
      <c r="G1612" s="703" t="s">
        <v>3112</v>
      </c>
      <c r="H1612" s="703" t="s">
        <v>334</v>
      </c>
      <c r="I1612" s="703" t="s">
        <v>334</v>
      </c>
      <c r="J1612" s="703" t="s">
        <v>337</v>
      </c>
      <c r="K1612" s="704">
        <v>0</v>
      </c>
      <c r="L1612" s="703" t="s">
        <v>334</v>
      </c>
      <c r="M1612" s="702">
        <v>39478</v>
      </c>
      <c r="N1612" s="702">
        <v>44516</v>
      </c>
      <c r="O1612" s="703" t="s">
        <v>338</v>
      </c>
      <c r="P1612" s="20">
        <v>103.47</v>
      </c>
      <c r="Q1612" s="20">
        <v>0</v>
      </c>
      <c r="R1612" s="20">
        <v>0</v>
      </c>
      <c r="S1612" s="20">
        <v>0</v>
      </c>
      <c r="T1612" s="20">
        <v>103.47</v>
      </c>
      <c r="U1612" s="20">
        <v>103.18</v>
      </c>
      <c r="V1612" s="20">
        <v>-0.28999999999999998</v>
      </c>
      <c r="W1612" s="20">
        <v>-3.74</v>
      </c>
      <c r="X1612" s="20">
        <v>-3.45</v>
      </c>
      <c r="Y1612" s="20">
        <v>0</v>
      </c>
      <c r="Z1612" s="20">
        <v>0</v>
      </c>
      <c r="AA1612" s="20">
        <v>0</v>
      </c>
      <c r="AB1612" s="20">
        <v>99.73</v>
      </c>
      <c r="AC1612" t="s">
        <v>183</v>
      </c>
      <c r="AD1612" t="s">
        <v>290</v>
      </c>
      <c r="AE1612" s="702">
        <f t="shared" si="125"/>
        <v>44348</v>
      </c>
      <c r="AF1612" s="289">
        <v>118.80892862655448</v>
      </c>
      <c r="AG1612">
        <f t="shared" si="126"/>
        <v>360</v>
      </c>
      <c r="AH1612" s="289">
        <f t="shared" si="127"/>
        <v>0.33002480174042909</v>
      </c>
      <c r="AJ1612" s="289">
        <f t="shared" si="128"/>
        <v>18</v>
      </c>
      <c r="AK1612" s="289">
        <f t="shared" si="129"/>
        <v>5.9404464313277234</v>
      </c>
    </row>
    <row r="1613" spans="1:37">
      <c r="A1613" s="703" t="s">
        <v>3130</v>
      </c>
      <c r="B1613" s="703" t="s">
        <v>2849</v>
      </c>
      <c r="C1613" s="703" t="s">
        <v>332</v>
      </c>
      <c r="D1613" s="703" t="s">
        <v>334</v>
      </c>
      <c r="E1613" s="703" t="s">
        <v>334</v>
      </c>
      <c r="F1613" s="703" t="s">
        <v>335</v>
      </c>
      <c r="G1613" s="703" t="s">
        <v>3112</v>
      </c>
      <c r="H1613" s="703" t="s">
        <v>334</v>
      </c>
      <c r="I1613" s="703" t="s">
        <v>334</v>
      </c>
      <c r="J1613" s="703" t="s">
        <v>337</v>
      </c>
      <c r="K1613" s="704">
        <v>0</v>
      </c>
      <c r="L1613" s="703" t="s">
        <v>334</v>
      </c>
      <c r="M1613" s="702">
        <v>39478</v>
      </c>
      <c r="N1613" s="702">
        <v>44516</v>
      </c>
      <c r="O1613" s="703" t="s">
        <v>338</v>
      </c>
      <c r="P1613" s="20">
        <v>623.02</v>
      </c>
      <c r="Q1613" s="20">
        <v>0</v>
      </c>
      <c r="R1613" s="20">
        <v>0</v>
      </c>
      <c r="S1613" s="20">
        <v>0</v>
      </c>
      <c r="T1613" s="20">
        <v>623.02</v>
      </c>
      <c r="U1613" s="20">
        <v>621.29</v>
      </c>
      <c r="V1613" s="20">
        <v>-1.73</v>
      </c>
      <c r="W1613" s="20">
        <v>-22.5</v>
      </c>
      <c r="X1613" s="20">
        <v>-20.77</v>
      </c>
      <c r="Y1613" s="20">
        <v>0</v>
      </c>
      <c r="Z1613" s="20">
        <v>0</v>
      </c>
      <c r="AA1613" s="20">
        <v>0</v>
      </c>
      <c r="AB1613" s="20">
        <v>600.52</v>
      </c>
      <c r="AC1613" t="s">
        <v>183</v>
      </c>
      <c r="AD1613" t="s">
        <v>290</v>
      </c>
      <c r="AE1613" s="702">
        <f t="shared" si="125"/>
        <v>44348</v>
      </c>
      <c r="AF1613" s="289">
        <v>715.37971115217908</v>
      </c>
      <c r="AG1613">
        <f t="shared" si="126"/>
        <v>360</v>
      </c>
      <c r="AH1613" s="289">
        <f t="shared" si="127"/>
        <v>1.9871658643116086</v>
      </c>
      <c r="AJ1613" s="289">
        <f t="shared" si="128"/>
        <v>18</v>
      </c>
      <c r="AK1613" s="289">
        <f t="shared" si="129"/>
        <v>35.768985557608957</v>
      </c>
    </row>
    <row r="1614" spans="1:37">
      <c r="A1614" s="703" t="s">
        <v>3131</v>
      </c>
      <c r="B1614" s="703" t="s">
        <v>2849</v>
      </c>
      <c r="C1614" s="703" t="s">
        <v>332</v>
      </c>
      <c r="D1614" s="703" t="s">
        <v>334</v>
      </c>
      <c r="E1614" s="703" t="s">
        <v>334</v>
      </c>
      <c r="F1614" s="703" t="s">
        <v>335</v>
      </c>
      <c r="G1614" s="703" t="s">
        <v>3112</v>
      </c>
      <c r="H1614" s="703" t="s">
        <v>334</v>
      </c>
      <c r="I1614" s="703" t="s">
        <v>334</v>
      </c>
      <c r="J1614" s="703" t="s">
        <v>337</v>
      </c>
      <c r="K1614" s="704">
        <v>0</v>
      </c>
      <c r="L1614" s="703" t="s">
        <v>334</v>
      </c>
      <c r="M1614" s="702">
        <v>39478</v>
      </c>
      <c r="N1614" s="702">
        <v>44516</v>
      </c>
      <c r="O1614" s="703" t="s">
        <v>338</v>
      </c>
      <c r="P1614" s="20">
        <v>5.23</v>
      </c>
      <c r="Q1614" s="20">
        <v>0</v>
      </c>
      <c r="R1614" s="20">
        <v>0</v>
      </c>
      <c r="S1614" s="20">
        <v>0</v>
      </c>
      <c r="T1614" s="20">
        <v>5.23</v>
      </c>
      <c r="U1614" s="20">
        <v>5.22</v>
      </c>
      <c r="V1614" s="20">
        <v>-0.01</v>
      </c>
      <c r="W1614" s="20">
        <v>-0.18</v>
      </c>
      <c r="X1614" s="20">
        <v>-0.17</v>
      </c>
      <c r="Y1614" s="20">
        <v>0</v>
      </c>
      <c r="Z1614" s="20">
        <v>0</v>
      </c>
      <c r="AA1614" s="20">
        <v>0</v>
      </c>
      <c r="AB1614" s="20">
        <v>5.05</v>
      </c>
      <c r="AC1614" t="s">
        <v>183</v>
      </c>
      <c r="AD1614" t="s">
        <v>290</v>
      </c>
      <c r="AE1614" s="702">
        <f t="shared" si="125"/>
        <v>44348</v>
      </c>
      <c r="AF1614" s="289">
        <v>6.0053222839168834</v>
      </c>
      <c r="AG1614">
        <f t="shared" si="126"/>
        <v>360</v>
      </c>
      <c r="AH1614" s="289">
        <f t="shared" si="127"/>
        <v>1.6681450788658011E-2</v>
      </c>
      <c r="AJ1614" s="289">
        <f t="shared" si="128"/>
        <v>18</v>
      </c>
      <c r="AK1614" s="289">
        <f t="shared" si="129"/>
        <v>0.3002661141958442</v>
      </c>
    </row>
    <row r="1615" spans="1:37">
      <c r="A1615" s="703" t="s">
        <v>3132</v>
      </c>
      <c r="B1615" s="703" t="s">
        <v>2849</v>
      </c>
      <c r="C1615" s="703" t="s">
        <v>332</v>
      </c>
      <c r="D1615" s="703" t="s">
        <v>334</v>
      </c>
      <c r="E1615" s="703" t="s">
        <v>334</v>
      </c>
      <c r="F1615" s="703" t="s">
        <v>335</v>
      </c>
      <c r="G1615" s="703" t="s">
        <v>3112</v>
      </c>
      <c r="H1615" s="703" t="s">
        <v>334</v>
      </c>
      <c r="I1615" s="703" t="s">
        <v>334</v>
      </c>
      <c r="J1615" s="703" t="s">
        <v>337</v>
      </c>
      <c r="K1615" s="704">
        <v>0</v>
      </c>
      <c r="L1615" s="703" t="s">
        <v>334</v>
      </c>
      <c r="M1615" s="702">
        <v>39478</v>
      </c>
      <c r="N1615" s="702">
        <v>44516</v>
      </c>
      <c r="O1615" s="703" t="s">
        <v>338</v>
      </c>
      <c r="P1615" s="20">
        <v>9.6</v>
      </c>
      <c r="Q1615" s="20">
        <v>0</v>
      </c>
      <c r="R1615" s="20">
        <v>0</v>
      </c>
      <c r="S1615" s="20">
        <v>0</v>
      </c>
      <c r="T1615" s="20">
        <v>9.6</v>
      </c>
      <c r="U1615" s="20">
        <v>9.57</v>
      </c>
      <c r="V1615" s="20">
        <v>-0.03</v>
      </c>
      <c r="W1615" s="20">
        <v>-0.35</v>
      </c>
      <c r="X1615" s="20">
        <v>-0.32</v>
      </c>
      <c r="Y1615" s="20">
        <v>0</v>
      </c>
      <c r="Z1615" s="20">
        <v>0</v>
      </c>
      <c r="AA1615" s="20">
        <v>0</v>
      </c>
      <c r="AB1615" s="20">
        <v>9.25</v>
      </c>
      <c r="AC1615" t="s">
        <v>183</v>
      </c>
      <c r="AD1615" t="s">
        <v>290</v>
      </c>
      <c r="AE1615" s="702">
        <f t="shared" si="125"/>
        <v>44348</v>
      </c>
      <c r="AF1615" s="289">
        <v>11.023153714264259</v>
      </c>
      <c r="AG1615">
        <f t="shared" si="126"/>
        <v>360</v>
      </c>
      <c r="AH1615" s="289">
        <f t="shared" si="127"/>
        <v>3.061987142851183E-2</v>
      </c>
      <c r="AJ1615" s="289">
        <f t="shared" si="128"/>
        <v>18</v>
      </c>
      <c r="AK1615" s="289">
        <f t="shared" si="129"/>
        <v>0.551157685713213</v>
      </c>
    </row>
    <row r="1616" spans="1:37">
      <c r="A1616" s="703" t="s">
        <v>3133</v>
      </c>
      <c r="B1616" s="703" t="s">
        <v>2849</v>
      </c>
      <c r="C1616" s="703" t="s">
        <v>332</v>
      </c>
      <c r="D1616" s="703" t="s">
        <v>334</v>
      </c>
      <c r="E1616" s="703" t="s">
        <v>334</v>
      </c>
      <c r="F1616" s="703" t="s">
        <v>335</v>
      </c>
      <c r="G1616" s="703" t="s">
        <v>3112</v>
      </c>
      <c r="H1616" s="703" t="s">
        <v>334</v>
      </c>
      <c r="I1616" s="703" t="s">
        <v>334</v>
      </c>
      <c r="J1616" s="703" t="s">
        <v>337</v>
      </c>
      <c r="K1616" s="704">
        <v>0</v>
      </c>
      <c r="L1616" s="703" t="s">
        <v>334</v>
      </c>
      <c r="M1616" s="702">
        <v>39478</v>
      </c>
      <c r="N1616" s="702">
        <v>44516</v>
      </c>
      <c r="O1616" s="703" t="s">
        <v>338</v>
      </c>
      <c r="P1616" s="20">
        <v>103.47</v>
      </c>
      <c r="Q1616" s="20">
        <v>0</v>
      </c>
      <c r="R1616" s="20">
        <v>0</v>
      </c>
      <c r="S1616" s="20">
        <v>0</v>
      </c>
      <c r="T1616" s="20">
        <v>103.47</v>
      </c>
      <c r="U1616" s="20">
        <v>103.18</v>
      </c>
      <c r="V1616" s="20">
        <v>-0.28999999999999998</v>
      </c>
      <c r="W1616" s="20">
        <v>-3.74</v>
      </c>
      <c r="X1616" s="20">
        <v>-3.45</v>
      </c>
      <c r="Y1616" s="20">
        <v>0</v>
      </c>
      <c r="Z1616" s="20">
        <v>0</v>
      </c>
      <c r="AA1616" s="20">
        <v>0</v>
      </c>
      <c r="AB1616" s="20">
        <v>99.73</v>
      </c>
      <c r="AC1616" t="s">
        <v>183</v>
      </c>
      <c r="AD1616" t="s">
        <v>290</v>
      </c>
      <c r="AE1616" s="702">
        <f t="shared" si="125"/>
        <v>44348</v>
      </c>
      <c r="AF1616" s="289">
        <v>118.80892862655448</v>
      </c>
      <c r="AG1616">
        <f t="shared" si="126"/>
        <v>360</v>
      </c>
      <c r="AH1616" s="289">
        <f t="shared" si="127"/>
        <v>0.33002480174042909</v>
      </c>
      <c r="AJ1616" s="289">
        <f t="shared" si="128"/>
        <v>18</v>
      </c>
      <c r="AK1616" s="289">
        <f t="shared" si="129"/>
        <v>5.9404464313277234</v>
      </c>
    </row>
    <row r="1617" spans="1:37">
      <c r="A1617" s="703" t="s">
        <v>3134</v>
      </c>
      <c r="B1617" s="703" t="s">
        <v>2849</v>
      </c>
      <c r="C1617" s="703" t="s">
        <v>332</v>
      </c>
      <c r="D1617" s="703" t="s">
        <v>334</v>
      </c>
      <c r="E1617" s="703" t="s">
        <v>334</v>
      </c>
      <c r="F1617" s="703" t="s">
        <v>335</v>
      </c>
      <c r="G1617" s="703" t="s">
        <v>3112</v>
      </c>
      <c r="H1617" s="703" t="s">
        <v>334</v>
      </c>
      <c r="I1617" s="703" t="s">
        <v>334</v>
      </c>
      <c r="J1617" s="703" t="s">
        <v>337</v>
      </c>
      <c r="K1617" s="704">
        <v>0</v>
      </c>
      <c r="L1617" s="703" t="s">
        <v>334</v>
      </c>
      <c r="M1617" s="702">
        <v>39478</v>
      </c>
      <c r="N1617" s="702">
        <v>44516</v>
      </c>
      <c r="O1617" s="703" t="s">
        <v>338</v>
      </c>
      <c r="P1617" s="20">
        <v>265.44</v>
      </c>
      <c r="Q1617" s="20">
        <v>0</v>
      </c>
      <c r="R1617" s="20">
        <v>0</v>
      </c>
      <c r="S1617" s="20">
        <v>0</v>
      </c>
      <c r="T1617" s="20">
        <v>265.44</v>
      </c>
      <c r="U1617" s="20">
        <v>264.7</v>
      </c>
      <c r="V1617" s="20">
        <v>-0.74</v>
      </c>
      <c r="W1617" s="20">
        <v>-9.59</v>
      </c>
      <c r="X1617" s="20">
        <v>-8.85</v>
      </c>
      <c r="Y1617" s="20">
        <v>0</v>
      </c>
      <c r="Z1617" s="20">
        <v>0</v>
      </c>
      <c r="AA1617" s="20">
        <v>0</v>
      </c>
      <c r="AB1617" s="20">
        <v>255.85</v>
      </c>
      <c r="AC1617" t="s">
        <v>183</v>
      </c>
      <c r="AD1617" t="s">
        <v>290</v>
      </c>
      <c r="AE1617" s="702">
        <f t="shared" si="125"/>
        <v>44348</v>
      </c>
      <c r="AF1617" s="289">
        <v>304.7902001994068</v>
      </c>
      <c r="AG1617">
        <f t="shared" si="126"/>
        <v>360</v>
      </c>
      <c r="AH1617" s="289">
        <f t="shared" si="127"/>
        <v>0.8466394449983522</v>
      </c>
      <c r="AJ1617" s="289">
        <f t="shared" si="128"/>
        <v>18</v>
      </c>
      <c r="AK1617" s="289">
        <f t="shared" si="129"/>
        <v>15.23951000997034</v>
      </c>
    </row>
    <row r="1618" spans="1:37">
      <c r="A1618" s="703" t="s">
        <v>3135</v>
      </c>
      <c r="B1618" s="703" t="s">
        <v>2849</v>
      </c>
      <c r="C1618" s="703" t="s">
        <v>332</v>
      </c>
      <c r="D1618" s="703" t="s">
        <v>334</v>
      </c>
      <c r="E1618" s="703" t="s">
        <v>334</v>
      </c>
      <c r="F1618" s="703" t="s">
        <v>335</v>
      </c>
      <c r="G1618" s="703" t="s">
        <v>3112</v>
      </c>
      <c r="H1618" s="703" t="s">
        <v>334</v>
      </c>
      <c r="I1618" s="703" t="s">
        <v>334</v>
      </c>
      <c r="J1618" s="703" t="s">
        <v>337</v>
      </c>
      <c r="K1618" s="704">
        <v>0</v>
      </c>
      <c r="L1618" s="703" t="s">
        <v>334</v>
      </c>
      <c r="M1618" s="702">
        <v>39478</v>
      </c>
      <c r="N1618" s="702">
        <v>44516</v>
      </c>
      <c r="O1618" s="703" t="s">
        <v>338</v>
      </c>
      <c r="P1618" s="20">
        <v>2462.04</v>
      </c>
      <c r="Q1618" s="20">
        <v>0</v>
      </c>
      <c r="R1618" s="20">
        <v>0</v>
      </c>
      <c r="S1618" s="20">
        <v>0</v>
      </c>
      <c r="T1618" s="20">
        <v>2462.04</v>
      </c>
      <c r="U1618" s="20">
        <v>2455.1999999999998</v>
      </c>
      <c r="V1618" s="20">
        <v>-6.84</v>
      </c>
      <c r="W1618" s="20">
        <v>-88.91</v>
      </c>
      <c r="X1618" s="20">
        <v>-82.07</v>
      </c>
      <c r="Y1618" s="20">
        <v>0</v>
      </c>
      <c r="Z1618" s="20">
        <v>0</v>
      </c>
      <c r="AA1618" s="20">
        <v>0</v>
      </c>
      <c r="AB1618" s="20">
        <v>2373.13</v>
      </c>
      <c r="AC1618" t="s">
        <v>183</v>
      </c>
      <c r="AD1618" t="s">
        <v>290</v>
      </c>
      <c r="AE1618" s="702">
        <f t="shared" si="125"/>
        <v>44348</v>
      </c>
      <c r="AF1618" s="289">
        <v>2827.0255594444975</v>
      </c>
      <c r="AG1618">
        <f t="shared" si="126"/>
        <v>360</v>
      </c>
      <c r="AH1618" s="289">
        <f t="shared" si="127"/>
        <v>7.8528487762347154</v>
      </c>
      <c r="AJ1618" s="289">
        <f t="shared" si="128"/>
        <v>18</v>
      </c>
      <c r="AK1618" s="289">
        <f t="shared" si="129"/>
        <v>141.35127797222486</v>
      </c>
    </row>
    <row r="1619" spans="1:37">
      <c r="A1619" s="703" t="s">
        <v>3136</v>
      </c>
      <c r="B1619" s="703" t="s">
        <v>2849</v>
      </c>
      <c r="C1619" s="703" t="s">
        <v>332</v>
      </c>
      <c r="D1619" s="703" t="s">
        <v>334</v>
      </c>
      <c r="E1619" s="703" t="s">
        <v>334</v>
      </c>
      <c r="F1619" s="703" t="s">
        <v>335</v>
      </c>
      <c r="G1619" s="703" t="s">
        <v>3112</v>
      </c>
      <c r="H1619" s="703" t="s">
        <v>334</v>
      </c>
      <c r="I1619" s="703" t="s">
        <v>334</v>
      </c>
      <c r="J1619" s="703" t="s">
        <v>337</v>
      </c>
      <c r="K1619" s="704">
        <v>0</v>
      </c>
      <c r="L1619" s="703" t="s">
        <v>334</v>
      </c>
      <c r="M1619" s="702">
        <v>39478</v>
      </c>
      <c r="N1619" s="702">
        <v>44516</v>
      </c>
      <c r="O1619" s="703" t="s">
        <v>338</v>
      </c>
      <c r="P1619" s="20">
        <v>4720.6000000000004</v>
      </c>
      <c r="Q1619" s="20">
        <v>0</v>
      </c>
      <c r="R1619" s="20">
        <v>0</v>
      </c>
      <c r="S1619" s="20">
        <v>0</v>
      </c>
      <c r="T1619" s="20">
        <v>4720.6000000000004</v>
      </c>
      <c r="U1619" s="20">
        <v>4707.49</v>
      </c>
      <c r="V1619" s="20">
        <v>-13.11</v>
      </c>
      <c r="W1619" s="20">
        <v>-170.46</v>
      </c>
      <c r="X1619" s="20">
        <v>-157.35</v>
      </c>
      <c r="Y1619" s="20">
        <v>0</v>
      </c>
      <c r="Z1619" s="20">
        <v>0</v>
      </c>
      <c r="AA1619" s="20">
        <v>0</v>
      </c>
      <c r="AB1619" s="20">
        <v>4550.1400000000003</v>
      </c>
      <c r="AC1619" t="s">
        <v>183</v>
      </c>
      <c r="AD1619" t="s">
        <v>290</v>
      </c>
      <c r="AE1619" s="702">
        <f t="shared" si="125"/>
        <v>44348</v>
      </c>
      <c r="AF1619" s="289">
        <v>5420.4061899537364</v>
      </c>
      <c r="AG1619">
        <f t="shared" si="126"/>
        <v>360</v>
      </c>
      <c r="AH1619" s="289">
        <f t="shared" si="127"/>
        <v>15.0566838609826</v>
      </c>
      <c r="AJ1619" s="289">
        <f t="shared" si="128"/>
        <v>18</v>
      </c>
      <c r="AK1619" s="289">
        <f t="shared" si="129"/>
        <v>271.02030949768681</v>
      </c>
    </row>
    <row r="1620" spans="1:37">
      <c r="A1620" s="703" t="s">
        <v>3137</v>
      </c>
      <c r="B1620" s="703" t="s">
        <v>2849</v>
      </c>
      <c r="C1620" s="703" t="s">
        <v>332</v>
      </c>
      <c r="D1620" s="703" t="s">
        <v>334</v>
      </c>
      <c r="E1620" s="703" t="s">
        <v>334</v>
      </c>
      <c r="F1620" s="703" t="s">
        <v>335</v>
      </c>
      <c r="G1620" s="703" t="s">
        <v>3112</v>
      </c>
      <c r="H1620" s="703" t="s">
        <v>334</v>
      </c>
      <c r="I1620" s="703" t="s">
        <v>334</v>
      </c>
      <c r="J1620" s="703" t="s">
        <v>337</v>
      </c>
      <c r="K1620" s="704">
        <v>0</v>
      </c>
      <c r="L1620" s="703" t="s">
        <v>334</v>
      </c>
      <c r="M1620" s="702">
        <v>39478</v>
      </c>
      <c r="N1620" s="702">
        <v>44516</v>
      </c>
      <c r="O1620" s="703" t="s">
        <v>338</v>
      </c>
      <c r="P1620" s="20">
        <v>89.5</v>
      </c>
      <c r="Q1620" s="20">
        <v>0</v>
      </c>
      <c r="R1620" s="20">
        <v>0</v>
      </c>
      <c r="S1620" s="20">
        <v>0</v>
      </c>
      <c r="T1620" s="20">
        <v>89.5</v>
      </c>
      <c r="U1620" s="20">
        <v>89.25</v>
      </c>
      <c r="V1620" s="20">
        <v>-0.25</v>
      </c>
      <c r="W1620" s="20">
        <v>-3.23</v>
      </c>
      <c r="X1620" s="20">
        <v>-2.98</v>
      </c>
      <c r="Y1620" s="20">
        <v>0</v>
      </c>
      <c r="Z1620" s="20">
        <v>0</v>
      </c>
      <c r="AA1620" s="20">
        <v>0</v>
      </c>
      <c r="AB1620" s="20">
        <v>86.27</v>
      </c>
      <c r="AC1620" t="s">
        <v>183</v>
      </c>
      <c r="AD1620" t="s">
        <v>290</v>
      </c>
      <c r="AE1620" s="702">
        <f t="shared" si="125"/>
        <v>44348</v>
      </c>
      <c r="AF1620" s="289">
        <v>102.76794348194284</v>
      </c>
      <c r="AG1620">
        <f t="shared" si="126"/>
        <v>360</v>
      </c>
      <c r="AH1620" s="289">
        <f t="shared" si="127"/>
        <v>0.28546650967206344</v>
      </c>
      <c r="AJ1620" s="289">
        <f t="shared" si="128"/>
        <v>18</v>
      </c>
      <c r="AK1620" s="289">
        <f t="shared" si="129"/>
        <v>5.1383971740971415</v>
      </c>
    </row>
    <row r="1621" spans="1:37">
      <c r="A1621" s="703" t="s">
        <v>3138</v>
      </c>
      <c r="B1621" s="703" t="s">
        <v>2849</v>
      </c>
      <c r="C1621" s="703" t="s">
        <v>332</v>
      </c>
      <c r="D1621" s="703" t="s">
        <v>334</v>
      </c>
      <c r="E1621" s="703" t="s">
        <v>334</v>
      </c>
      <c r="F1621" s="703" t="s">
        <v>335</v>
      </c>
      <c r="G1621" s="703" t="s">
        <v>3112</v>
      </c>
      <c r="H1621" s="703" t="s">
        <v>334</v>
      </c>
      <c r="I1621" s="703" t="s">
        <v>334</v>
      </c>
      <c r="J1621" s="703" t="s">
        <v>337</v>
      </c>
      <c r="K1621" s="704">
        <v>0</v>
      </c>
      <c r="L1621" s="703" t="s">
        <v>334</v>
      </c>
      <c r="M1621" s="702">
        <v>39478</v>
      </c>
      <c r="N1621" s="702">
        <v>44516</v>
      </c>
      <c r="O1621" s="703" t="s">
        <v>338</v>
      </c>
      <c r="P1621" s="20">
        <v>1320.72</v>
      </c>
      <c r="Q1621" s="20">
        <v>0</v>
      </c>
      <c r="R1621" s="20">
        <v>0</v>
      </c>
      <c r="S1621" s="20">
        <v>0</v>
      </c>
      <c r="T1621" s="20">
        <v>1320.72</v>
      </c>
      <c r="U1621" s="20">
        <v>1317.05</v>
      </c>
      <c r="V1621" s="20">
        <v>-3.67</v>
      </c>
      <c r="W1621" s="20">
        <v>-47.69</v>
      </c>
      <c r="X1621" s="20">
        <v>-44.02</v>
      </c>
      <c r="Y1621" s="20">
        <v>0</v>
      </c>
      <c r="Z1621" s="20">
        <v>0</v>
      </c>
      <c r="AA1621" s="20">
        <v>0</v>
      </c>
      <c r="AB1621" s="20">
        <v>1273.03</v>
      </c>
      <c r="AC1621" t="s">
        <v>183</v>
      </c>
      <c r="AD1621" t="s">
        <v>290</v>
      </c>
      <c r="AE1621" s="702">
        <f t="shared" si="125"/>
        <v>44348</v>
      </c>
      <c r="AF1621" s="289">
        <v>1516.5103722399056</v>
      </c>
      <c r="AG1621">
        <f t="shared" si="126"/>
        <v>360</v>
      </c>
      <c r="AH1621" s="289">
        <f t="shared" si="127"/>
        <v>4.2125288117775153</v>
      </c>
      <c r="AJ1621" s="289">
        <f t="shared" si="128"/>
        <v>18</v>
      </c>
      <c r="AK1621" s="289">
        <f t="shared" si="129"/>
        <v>75.825518611995278</v>
      </c>
    </row>
    <row r="1622" spans="1:37">
      <c r="A1622" s="703" t="s">
        <v>3139</v>
      </c>
      <c r="B1622" s="703" t="s">
        <v>2849</v>
      </c>
      <c r="C1622" s="703" t="s">
        <v>332</v>
      </c>
      <c r="D1622" s="703" t="s">
        <v>334</v>
      </c>
      <c r="E1622" s="703" t="s">
        <v>334</v>
      </c>
      <c r="F1622" s="703" t="s">
        <v>335</v>
      </c>
      <c r="G1622" s="703" t="s">
        <v>3140</v>
      </c>
      <c r="H1622" s="703" t="s">
        <v>334</v>
      </c>
      <c r="I1622" s="703" t="s">
        <v>334</v>
      </c>
      <c r="J1622" s="703" t="s">
        <v>337</v>
      </c>
      <c r="K1622" s="704">
        <v>0</v>
      </c>
      <c r="L1622" s="703" t="s">
        <v>334</v>
      </c>
      <c r="M1622" s="702">
        <v>39478</v>
      </c>
      <c r="N1622" s="702">
        <v>44516</v>
      </c>
      <c r="O1622" s="703" t="s">
        <v>338</v>
      </c>
      <c r="P1622" s="20">
        <v>1306.6400000000001</v>
      </c>
      <c r="Q1622" s="20">
        <v>0</v>
      </c>
      <c r="R1622" s="20">
        <v>0</v>
      </c>
      <c r="S1622" s="20">
        <v>0</v>
      </c>
      <c r="T1622" s="20">
        <v>1306.6400000000001</v>
      </c>
      <c r="U1622" s="20">
        <v>1303.01</v>
      </c>
      <c r="V1622" s="20">
        <v>-3.63</v>
      </c>
      <c r="W1622" s="20">
        <v>-47.18</v>
      </c>
      <c r="X1622" s="20">
        <v>-43.55</v>
      </c>
      <c r="Y1622" s="20">
        <v>0</v>
      </c>
      <c r="Z1622" s="20">
        <v>0</v>
      </c>
      <c r="AA1622" s="20">
        <v>0</v>
      </c>
      <c r="AB1622" s="20">
        <v>1259.46</v>
      </c>
      <c r="AC1622" t="s">
        <v>183</v>
      </c>
      <c r="AD1622" t="s">
        <v>290</v>
      </c>
      <c r="AE1622" s="702">
        <f t="shared" si="125"/>
        <v>44348</v>
      </c>
      <c r="AF1622" s="289">
        <v>1500.3430801256513</v>
      </c>
      <c r="AG1622">
        <f t="shared" si="126"/>
        <v>360</v>
      </c>
      <c r="AH1622" s="289">
        <f t="shared" si="127"/>
        <v>4.167619667015698</v>
      </c>
      <c r="AJ1622" s="289">
        <f t="shared" si="128"/>
        <v>18</v>
      </c>
      <c r="AK1622" s="289">
        <f t="shared" si="129"/>
        <v>75.017154006282567</v>
      </c>
    </row>
    <row r="1623" spans="1:37">
      <c r="A1623" s="703" t="s">
        <v>3141</v>
      </c>
      <c r="B1623" s="703" t="s">
        <v>2849</v>
      </c>
      <c r="C1623" s="703" t="s">
        <v>332</v>
      </c>
      <c r="D1623" s="703" t="s">
        <v>334</v>
      </c>
      <c r="E1623" s="703" t="s">
        <v>334</v>
      </c>
      <c r="F1623" s="703" t="s">
        <v>335</v>
      </c>
      <c r="G1623" s="703" t="s">
        <v>3140</v>
      </c>
      <c r="H1623" s="703" t="s">
        <v>334</v>
      </c>
      <c r="I1623" s="703" t="s">
        <v>334</v>
      </c>
      <c r="J1623" s="703" t="s">
        <v>337</v>
      </c>
      <c r="K1623" s="704">
        <v>0</v>
      </c>
      <c r="L1623" s="703" t="s">
        <v>334</v>
      </c>
      <c r="M1623" s="702">
        <v>39478</v>
      </c>
      <c r="N1623" s="702">
        <v>44516</v>
      </c>
      <c r="O1623" s="703" t="s">
        <v>338</v>
      </c>
      <c r="P1623" s="20">
        <v>41.87</v>
      </c>
      <c r="Q1623" s="20">
        <v>0</v>
      </c>
      <c r="R1623" s="20">
        <v>0</v>
      </c>
      <c r="S1623" s="20">
        <v>0</v>
      </c>
      <c r="T1623" s="20">
        <v>41.87</v>
      </c>
      <c r="U1623" s="20">
        <v>41.75</v>
      </c>
      <c r="V1623" s="20">
        <v>-0.12</v>
      </c>
      <c r="W1623" s="20">
        <v>-1.52</v>
      </c>
      <c r="X1623" s="20">
        <v>-1.4</v>
      </c>
      <c r="Y1623" s="20">
        <v>0</v>
      </c>
      <c r="Z1623" s="20">
        <v>0</v>
      </c>
      <c r="AA1623" s="20">
        <v>0</v>
      </c>
      <c r="AB1623" s="20">
        <v>40.35</v>
      </c>
      <c r="AC1623" t="s">
        <v>183</v>
      </c>
      <c r="AD1623" t="s">
        <v>290</v>
      </c>
      <c r="AE1623" s="702">
        <f t="shared" si="125"/>
        <v>44348</v>
      </c>
      <c r="AF1623" s="289">
        <v>48.077025626692141</v>
      </c>
      <c r="AG1623">
        <f t="shared" si="126"/>
        <v>360</v>
      </c>
      <c r="AH1623" s="289">
        <f t="shared" si="127"/>
        <v>0.13354729340747817</v>
      </c>
      <c r="AJ1623" s="289">
        <f t="shared" si="128"/>
        <v>18</v>
      </c>
      <c r="AK1623" s="289">
        <f t="shared" si="129"/>
        <v>2.4038512813346071</v>
      </c>
    </row>
    <row r="1624" spans="1:37">
      <c r="A1624" s="703" t="s">
        <v>3142</v>
      </c>
      <c r="B1624" s="703" t="s">
        <v>2849</v>
      </c>
      <c r="C1624" s="703" t="s">
        <v>332</v>
      </c>
      <c r="D1624" s="703" t="s">
        <v>334</v>
      </c>
      <c r="E1624" s="703" t="s">
        <v>334</v>
      </c>
      <c r="F1624" s="703" t="s">
        <v>335</v>
      </c>
      <c r="G1624" s="703" t="s">
        <v>3140</v>
      </c>
      <c r="H1624" s="703" t="s">
        <v>334</v>
      </c>
      <c r="I1624" s="703" t="s">
        <v>334</v>
      </c>
      <c r="J1624" s="703" t="s">
        <v>337</v>
      </c>
      <c r="K1624" s="704">
        <v>0</v>
      </c>
      <c r="L1624" s="703" t="s">
        <v>334</v>
      </c>
      <c r="M1624" s="702">
        <v>39478</v>
      </c>
      <c r="N1624" s="702">
        <v>44516</v>
      </c>
      <c r="O1624" s="703" t="s">
        <v>338</v>
      </c>
      <c r="P1624" s="20">
        <v>3168.51</v>
      </c>
      <c r="Q1624" s="20">
        <v>0</v>
      </c>
      <c r="R1624" s="20">
        <v>0</v>
      </c>
      <c r="S1624" s="20">
        <v>0</v>
      </c>
      <c r="T1624" s="20">
        <v>3168.51</v>
      </c>
      <c r="U1624" s="20">
        <v>3159.71</v>
      </c>
      <c r="V1624" s="20">
        <v>-8.8000000000000007</v>
      </c>
      <c r="W1624" s="20">
        <v>-114.42</v>
      </c>
      <c r="X1624" s="20">
        <v>-105.62</v>
      </c>
      <c r="Y1624" s="20">
        <v>0</v>
      </c>
      <c r="Z1624" s="20">
        <v>0</v>
      </c>
      <c r="AA1624" s="20">
        <v>0</v>
      </c>
      <c r="AB1624" s="20">
        <v>3054.09</v>
      </c>
      <c r="AC1624" t="s">
        <v>183</v>
      </c>
      <c r="AD1624" t="s">
        <v>290</v>
      </c>
      <c r="AE1624" s="702">
        <f t="shared" si="125"/>
        <v>44348</v>
      </c>
      <c r="AF1624" s="289">
        <v>3638.2263307482763</v>
      </c>
      <c r="AG1624">
        <f t="shared" si="126"/>
        <v>360</v>
      </c>
      <c r="AH1624" s="289">
        <f t="shared" si="127"/>
        <v>10.106184252078545</v>
      </c>
      <c r="AJ1624" s="289">
        <f t="shared" si="128"/>
        <v>18</v>
      </c>
      <c r="AK1624" s="289">
        <f t="shared" si="129"/>
        <v>181.91131653741382</v>
      </c>
    </row>
    <row r="1625" spans="1:37">
      <c r="A1625" s="703" t="s">
        <v>3143</v>
      </c>
      <c r="B1625" s="703" t="s">
        <v>2849</v>
      </c>
      <c r="C1625" s="703" t="s">
        <v>332</v>
      </c>
      <c r="D1625" s="703" t="s">
        <v>334</v>
      </c>
      <c r="E1625" s="703" t="s">
        <v>334</v>
      </c>
      <c r="F1625" s="703" t="s">
        <v>335</v>
      </c>
      <c r="G1625" s="703" t="s">
        <v>3140</v>
      </c>
      <c r="H1625" s="703" t="s">
        <v>334</v>
      </c>
      <c r="I1625" s="703" t="s">
        <v>334</v>
      </c>
      <c r="J1625" s="703" t="s">
        <v>337</v>
      </c>
      <c r="K1625" s="704">
        <v>0</v>
      </c>
      <c r="L1625" s="703" t="s">
        <v>334</v>
      </c>
      <c r="M1625" s="702">
        <v>39478</v>
      </c>
      <c r="N1625" s="702">
        <v>44516</v>
      </c>
      <c r="O1625" s="703" t="s">
        <v>338</v>
      </c>
      <c r="P1625" s="20">
        <v>8.4</v>
      </c>
      <c r="Q1625" s="20">
        <v>0</v>
      </c>
      <c r="R1625" s="20">
        <v>0</v>
      </c>
      <c r="S1625" s="20">
        <v>0</v>
      </c>
      <c r="T1625" s="20">
        <v>8.4</v>
      </c>
      <c r="U1625" s="20">
        <v>8.3800000000000008</v>
      </c>
      <c r="V1625" s="20">
        <v>-0.02</v>
      </c>
      <c r="W1625" s="20">
        <v>-0.3</v>
      </c>
      <c r="X1625" s="20">
        <v>-0.28000000000000003</v>
      </c>
      <c r="Y1625" s="20">
        <v>0</v>
      </c>
      <c r="Z1625" s="20">
        <v>0</v>
      </c>
      <c r="AA1625" s="20">
        <v>0</v>
      </c>
      <c r="AB1625" s="20">
        <v>8.1</v>
      </c>
      <c r="AC1625" t="s">
        <v>183</v>
      </c>
      <c r="AD1625" t="s">
        <v>290</v>
      </c>
      <c r="AE1625" s="702">
        <f t="shared" si="125"/>
        <v>44348</v>
      </c>
      <c r="AF1625" s="289">
        <v>9.6452594999812291</v>
      </c>
      <c r="AG1625">
        <f t="shared" si="126"/>
        <v>360</v>
      </c>
      <c r="AH1625" s="289">
        <f t="shared" si="127"/>
        <v>2.6792387499947858E-2</v>
      </c>
      <c r="AJ1625" s="289">
        <f t="shared" si="128"/>
        <v>18</v>
      </c>
      <c r="AK1625" s="289">
        <f t="shared" si="129"/>
        <v>0.48226297499906146</v>
      </c>
    </row>
    <row r="1626" spans="1:37">
      <c r="A1626" s="703" t="s">
        <v>3144</v>
      </c>
      <c r="B1626" s="703" t="s">
        <v>2849</v>
      </c>
      <c r="C1626" s="703" t="s">
        <v>332</v>
      </c>
      <c r="D1626" s="703" t="s">
        <v>334</v>
      </c>
      <c r="E1626" s="703" t="s">
        <v>334</v>
      </c>
      <c r="F1626" s="703" t="s">
        <v>335</v>
      </c>
      <c r="G1626" s="703" t="s">
        <v>3140</v>
      </c>
      <c r="H1626" s="703" t="s">
        <v>334</v>
      </c>
      <c r="I1626" s="703" t="s">
        <v>334</v>
      </c>
      <c r="J1626" s="703" t="s">
        <v>337</v>
      </c>
      <c r="K1626" s="704">
        <v>0</v>
      </c>
      <c r="L1626" s="703" t="s">
        <v>334</v>
      </c>
      <c r="M1626" s="702">
        <v>39478</v>
      </c>
      <c r="N1626" s="702">
        <v>44516</v>
      </c>
      <c r="O1626" s="703" t="s">
        <v>338</v>
      </c>
      <c r="P1626" s="20">
        <v>39.159999999999997</v>
      </c>
      <c r="Q1626" s="20">
        <v>0</v>
      </c>
      <c r="R1626" s="20">
        <v>0</v>
      </c>
      <c r="S1626" s="20">
        <v>0</v>
      </c>
      <c r="T1626" s="20">
        <v>39.159999999999997</v>
      </c>
      <c r="U1626" s="20">
        <v>39.049999999999997</v>
      </c>
      <c r="V1626" s="20">
        <v>-0.11</v>
      </c>
      <c r="W1626" s="20">
        <v>-1.42</v>
      </c>
      <c r="X1626" s="20">
        <v>-1.31</v>
      </c>
      <c r="Y1626" s="20">
        <v>0</v>
      </c>
      <c r="Z1626" s="20">
        <v>0</v>
      </c>
      <c r="AA1626" s="20">
        <v>0</v>
      </c>
      <c r="AB1626" s="20">
        <v>37.74</v>
      </c>
      <c r="AC1626" t="s">
        <v>183</v>
      </c>
      <c r="AD1626" t="s">
        <v>290</v>
      </c>
      <c r="AE1626" s="702">
        <f t="shared" si="125"/>
        <v>44348</v>
      </c>
      <c r="AF1626" s="289">
        <v>44.965281192769623</v>
      </c>
      <c r="AG1626">
        <f t="shared" si="126"/>
        <v>360</v>
      </c>
      <c r="AH1626" s="289">
        <f t="shared" si="127"/>
        <v>0.12490355886880451</v>
      </c>
      <c r="AJ1626" s="289">
        <f t="shared" si="128"/>
        <v>18</v>
      </c>
      <c r="AK1626" s="289">
        <f t="shared" si="129"/>
        <v>2.2482640596384811</v>
      </c>
    </row>
    <row r="1627" spans="1:37">
      <c r="A1627" s="703" t="s">
        <v>3145</v>
      </c>
      <c r="B1627" s="703" t="s">
        <v>2849</v>
      </c>
      <c r="C1627" s="703" t="s">
        <v>332</v>
      </c>
      <c r="D1627" s="703" t="s">
        <v>334</v>
      </c>
      <c r="E1627" s="703" t="s">
        <v>334</v>
      </c>
      <c r="F1627" s="703" t="s">
        <v>335</v>
      </c>
      <c r="G1627" s="703" t="s">
        <v>3140</v>
      </c>
      <c r="H1627" s="703" t="s">
        <v>334</v>
      </c>
      <c r="I1627" s="703" t="s">
        <v>334</v>
      </c>
      <c r="J1627" s="703" t="s">
        <v>337</v>
      </c>
      <c r="K1627" s="704">
        <v>0</v>
      </c>
      <c r="L1627" s="703" t="s">
        <v>334</v>
      </c>
      <c r="M1627" s="702">
        <v>39478</v>
      </c>
      <c r="N1627" s="702">
        <v>44516</v>
      </c>
      <c r="O1627" s="703" t="s">
        <v>338</v>
      </c>
      <c r="P1627" s="20">
        <v>79.2</v>
      </c>
      <c r="Q1627" s="20">
        <v>0</v>
      </c>
      <c r="R1627" s="20">
        <v>0</v>
      </c>
      <c r="S1627" s="20">
        <v>0</v>
      </c>
      <c r="T1627" s="20">
        <v>79.2</v>
      </c>
      <c r="U1627" s="20">
        <v>78.98</v>
      </c>
      <c r="V1627" s="20">
        <v>-0.22</v>
      </c>
      <c r="W1627" s="20">
        <v>-2.86</v>
      </c>
      <c r="X1627" s="20">
        <v>-2.64</v>
      </c>
      <c r="Y1627" s="20">
        <v>0</v>
      </c>
      <c r="Z1627" s="20">
        <v>0</v>
      </c>
      <c r="AA1627" s="20">
        <v>0</v>
      </c>
      <c r="AB1627" s="20">
        <v>76.34</v>
      </c>
      <c r="AC1627" t="s">
        <v>183</v>
      </c>
      <c r="AD1627" t="s">
        <v>290</v>
      </c>
      <c r="AE1627" s="702">
        <f t="shared" si="125"/>
        <v>44348</v>
      </c>
      <c r="AF1627" s="289">
        <v>90.94101814268015</v>
      </c>
      <c r="AG1627">
        <f t="shared" si="126"/>
        <v>360</v>
      </c>
      <c r="AH1627" s="289">
        <f t="shared" si="127"/>
        <v>0.25261393928522263</v>
      </c>
      <c r="AJ1627" s="289">
        <f t="shared" si="128"/>
        <v>18</v>
      </c>
      <c r="AK1627" s="289">
        <f t="shared" si="129"/>
        <v>4.5470509071340075</v>
      </c>
    </row>
    <row r="1628" spans="1:37">
      <c r="A1628" s="703" t="s">
        <v>3146</v>
      </c>
      <c r="B1628" s="703" t="s">
        <v>2849</v>
      </c>
      <c r="C1628" s="703" t="s">
        <v>332</v>
      </c>
      <c r="D1628" s="703" t="s">
        <v>334</v>
      </c>
      <c r="E1628" s="703" t="s">
        <v>334</v>
      </c>
      <c r="F1628" s="703" t="s">
        <v>335</v>
      </c>
      <c r="G1628" s="703" t="s">
        <v>3140</v>
      </c>
      <c r="H1628" s="703" t="s">
        <v>334</v>
      </c>
      <c r="I1628" s="703" t="s">
        <v>334</v>
      </c>
      <c r="J1628" s="703" t="s">
        <v>337</v>
      </c>
      <c r="K1628" s="704">
        <v>0</v>
      </c>
      <c r="L1628" s="703" t="s">
        <v>334</v>
      </c>
      <c r="M1628" s="702">
        <v>39478</v>
      </c>
      <c r="N1628" s="702">
        <v>44516</v>
      </c>
      <c r="O1628" s="703" t="s">
        <v>338</v>
      </c>
      <c r="P1628" s="20">
        <v>155.97999999999999</v>
      </c>
      <c r="Q1628" s="20">
        <v>0</v>
      </c>
      <c r="R1628" s="20">
        <v>0</v>
      </c>
      <c r="S1628" s="20">
        <v>0</v>
      </c>
      <c r="T1628" s="20">
        <v>155.97999999999999</v>
      </c>
      <c r="U1628" s="20">
        <v>155.55000000000001</v>
      </c>
      <c r="V1628" s="20">
        <v>-0.43</v>
      </c>
      <c r="W1628" s="20">
        <v>-5.63</v>
      </c>
      <c r="X1628" s="20">
        <v>-5.2</v>
      </c>
      <c r="Y1628" s="20">
        <v>0</v>
      </c>
      <c r="Z1628" s="20">
        <v>0</v>
      </c>
      <c r="AA1628" s="20">
        <v>0</v>
      </c>
      <c r="AB1628" s="20">
        <v>150.35</v>
      </c>
      <c r="AC1628" t="s">
        <v>183</v>
      </c>
      <c r="AD1628" t="s">
        <v>290</v>
      </c>
      <c r="AE1628" s="702">
        <f t="shared" si="125"/>
        <v>44348</v>
      </c>
      <c r="AF1628" s="289">
        <v>179.10328295322284</v>
      </c>
      <c r="AG1628">
        <f t="shared" si="126"/>
        <v>360</v>
      </c>
      <c r="AH1628" s="289">
        <f t="shared" si="127"/>
        <v>0.49750911931450792</v>
      </c>
      <c r="AJ1628" s="289">
        <f t="shared" si="128"/>
        <v>18</v>
      </c>
      <c r="AK1628" s="289">
        <f t="shared" si="129"/>
        <v>8.9551641476611419</v>
      </c>
    </row>
    <row r="1629" spans="1:37">
      <c r="A1629" s="703" t="s">
        <v>3147</v>
      </c>
      <c r="B1629" s="703" t="s">
        <v>2849</v>
      </c>
      <c r="C1629" s="703" t="s">
        <v>332</v>
      </c>
      <c r="D1629" s="703" t="s">
        <v>334</v>
      </c>
      <c r="E1629" s="703" t="s">
        <v>334</v>
      </c>
      <c r="F1629" s="703" t="s">
        <v>335</v>
      </c>
      <c r="G1629" s="703" t="s">
        <v>3140</v>
      </c>
      <c r="H1629" s="703" t="s">
        <v>334</v>
      </c>
      <c r="I1629" s="703" t="s">
        <v>334</v>
      </c>
      <c r="J1629" s="703" t="s">
        <v>337</v>
      </c>
      <c r="K1629" s="704">
        <v>0</v>
      </c>
      <c r="L1629" s="703" t="s">
        <v>334</v>
      </c>
      <c r="M1629" s="702">
        <v>39478</v>
      </c>
      <c r="N1629" s="702">
        <v>44516</v>
      </c>
      <c r="O1629" s="703" t="s">
        <v>338</v>
      </c>
      <c r="P1629" s="20">
        <v>13.26</v>
      </c>
      <c r="Q1629" s="20">
        <v>0</v>
      </c>
      <c r="R1629" s="20">
        <v>0</v>
      </c>
      <c r="S1629" s="20">
        <v>0</v>
      </c>
      <c r="T1629" s="20">
        <v>13.26</v>
      </c>
      <c r="U1629" s="20">
        <v>13.22</v>
      </c>
      <c r="V1629" s="20">
        <v>-0.04</v>
      </c>
      <c r="W1629" s="20">
        <v>-0.48</v>
      </c>
      <c r="X1629" s="20">
        <v>-0.44</v>
      </c>
      <c r="Y1629" s="20">
        <v>0</v>
      </c>
      <c r="Z1629" s="20">
        <v>0</v>
      </c>
      <c r="AA1629" s="20">
        <v>0</v>
      </c>
      <c r="AB1629" s="20">
        <v>12.78</v>
      </c>
      <c r="AC1629" t="s">
        <v>183</v>
      </c>
      <c r="AD1629" t="s">
        <v>290</v>
      </c>
      <c r="AE1629" s="702">
        <f t="shared" si="125"/>
        <v>44348</v>
      </c>
      <c r="AF1629" s="289">
        <v>15.225731067827509</v>
      </c>
      <c r="AG1629">
        <f t="shared" si="126"/>
        <v>360</v>
      </c>
      <c r="AH1629" s="289">
        <f t="shared" si="127"/>
        <v>4.2293697410631971E-2</v>
      </c>
      <c r="AJ1629" s="289">
        <f t="shared" si="128"/>
        <v>18</v>
      </c>
      <c r="AK1629" s="289">
        <f t="shared" si="129"/>
        <v>0.76128655339137552</v>
      </c>
    </row>
    <row r="1630" spans="1:37">
      <c r="A1630" s="703" t="s">
        <v>3148</v>
      </c>
      <c r="B1630" s="703" t="s">
        <v>2849</v>
      </c>
      <c r="C1630" s="703" t="s">
        <v>332</v>
      </c>
      <c r="D1630" s="703" t="s">
        <v>334</v>
      </c>
      <c r="E1630" s="703" t="s">
        <v>334</v>
      </c>
      <c r="F1630" s="703" t="s">
        <v>335</v>
      </c>
      <c r="G1630" s="703" t="s">
        <v>3140</v>
      </c>
      <c r="H1630" s="703" t="s">
        <v>334</v>
      </c>
      <c r="I1630" s="703" t="s">
        <v>334</v>
      </c>
      <c r="J1630" s="703" t="s">
        <v>337</v>
      </c>
      <c r="K1630" s="704">
        <v>0</v>
      </c>
      <c r="L1630" s="703" t="s">
        <v>334</v>
      </c>
      <c r="M1630" s="702">
        <v>39478</v>
      </c>
      <c r="N1630" s="702">
        <v>44516</v>
      </c>
      <c r="O1630" s="703" t="s">
        <v>338</v>
      </c>
      <c r="P1630" s="20">
        <v>66.61</v>
      </c>
      <c r="Q1630" s="20">
        <v>0</v>
      </c>
      <c r="R1630" s="20">
        <v>0</v>
      </c>
      <c r="S1630" s="20">
        <v>0</v>
      </c>
      <c r="T1630" s="20">
        <v>66.61</v>
      </c>
      <c r="U1630" s="20">
        <v>66.42</v>
      </c>
      <c r="V1630" s="20">
        <v>-0.19</v>
      </c>
      <c r="W1630" s="20">
        <v>-2.41</v>
      </c>
      <c r="X1630" s="20">
        <v>-2.2200000000000002</v>
      </c>
      <c r="Y1630" s="20">
        <v>0</v>
      </c>
      <c r="Z1630" s="20">
        <v>0</v>
      </c>
      <c r="AA1630" s="20">
        <v>0</v>
      </c>
      <c r="AB1630" s="20">
        <v>64.2</v>
      </c>
      <c r="AC1630" t="s">
        <v>183</v>
      </c>
      <c r="AD1630" t="s">
        <v>290</v>
      </c>
      <c r="AE1630" s="702">
        <f t="shared" si="125"/>
        <v>44348</v>
      </c>
      <c r="AF1630" s="289">
        <v>76.484611344493999</v>
      </c>
      <c r="AG1630">
        <f t="shared" si="126"/>
        <v>360</v>
      </c>
      <c r="AH1630" s="289">
        <f t="shared" si="127"/>
        <v>0.21245725373470556</v>
      </c>
      <c r="AJ1630" s="289">
        <f t="shared" si="128"/>
        <v>18</v>
      </c>
      <c r="AK1630" s="289">
        <f t="shared" si="129"/>
        <v>3.8242305672247001</v>
      </c>
    </row>
    <row r="1631" spans="1:37">
      <c r="A1631" s="703" t="s">
        <v>3149</v>
      </c>
      <c r="B1631" s="703" t="s">
        <v>2849</v>
      </c>
      <c r="C1631" s="703" t="s">
        <v>332</v>
      </c>
      <c r="D1631" s="703" t="s">
        <v>334</v>
      </c>
      <c r="E1631" s="703" t="s">
        <v>334</v>
      </c>
      <c r="F1631" s="703" t="s">
        <v>335</v>
      </c>
      <c r="G1631" s="703" t="s">
        <v>3140</v>
      </c>
      <c r="H1631" s="703" t="s">
        <v>334</v>
      </c>
      <c r="I1631" s="703" t="s">
        <v>334</v>
      </c>
      <c r="J1631" s="703" t="s">
        <v>337</v>
      </c>
      <c r="K1631" s="704">
        <v>0</v>
      </c>
      <c r="L1631" s="703" t="s">
        <v>334</v>
      </c>
      <c r="M1631" s="702">
        <v>39478</v>
      </c>
      <c r="N1631" s="702">
        <v>44516</v>
      </c>
      <c r="O1631" s="703" t="s">
        <v>338</v>
      </c>
      <c r="P1631" s="20">
        <v>5.23</v>
      </c>
      <c r="Q1631" s="20">
        <v>0</v>
      </c>
      <c r="R1631" s="20">
        <v>0</v>
      </c>
      <c r="S1631" s="20">
        <v>0</v>
      </c>
      <c r="T1631" s="20">
        <v>5.23</v>
      </c>
      <c r="U1631" s="20">
        <v>5.22</v>
      </c>
      <c r="V1631" s="20">
        <v>-0.01</v>
      </c>
      <c r="W1631" s="20">
        <v>-0.18</v>
      </c>
      <c r="X1631" s="20">
        <v>-0.17</v>
      </c>
      <c r="Y1631" s="20">
        <v>0</v>
      </c>
      <c r="Z1631" s="20">
        <v>0</v>
      </c>
      <c r="AA1631" s="20">
        <v>0</v>
      </c>
      <c r="AB1631" s="20">
        <v>5.05</v>
      </c>
      <c r="AC1631" t="s">
        <v>183</v>
      </c>
      <c r="AD1631" t="s">
        <v>290</v>
      </c>
      <c r="AE1631" s="702">
        <f t="shared" si="125"/>
        <v>44348</v>
      </c>
      <c r="AF1631" s="289">
        <v>6.0053222839168834</v>
      </c>
      <c r="AG1631">
        <f t="shared" si="126"/>
        <v>360</v>
      </c>
      <c r="AH1631" s="289">
        <f t="shared" si="127"/>
        <v>1.6681450788658011E-2</v>
      </c>
      <c r="AJ1631" s="289">
        <f t="shared" si="128"/>
        <v>18</v>
      </c>
      <c r="AK1631" s="289">
        <f t="shared" si="129"/>
        <v>0.3002661141958442</v>
      </c>
    </row>
    <row r="1632" spans="1:37">
      <c r="A1632" s="703" t="s">
        <v>3150</v>
      </c>
      <c r="B1632" s="703" t="s">
        <v>2849</v>
      </c>
      <c r="C1632" s="703" t="s">
        <v>332</v>
      </c>
      <c r="D1632" s="703" t="s">
        <v>334</v>
      </c>
      <c r="E1632" s="703" t="s">
        <v>334</v>
      </c>
      <c r="F1632" s="703" t="s">
        <v>335</v>
      </c>
      <c r="G1632" s="703" t="s">
        <v>3140</v>
      </c>
      <c r="H1632" s="703" t="s">
        <v>334</v>
      </c>
      <c r="I1632" s="703" t="s">
        <v>334</v>
      </c>
      <c r="J1632" s="703" t="s">
        <v>337</v>
      </c>
      <c r="K1632" s="704">
        <v>0</v>
      </c>
      <c r="L1632" s="703" t="s">
        <v>334</v>
      </c>
      <c r="M1632" s="702">
        <v>39478</v>
      </c>
      <c r="N1632" s="702">
        <v>44516</v>
      </c>
      <c r="O1632" s="703" t="s">
        <v>338</v>
      </c>
      <c r="P1632" s="20">
        <v>128.09</v>
      </c>
      <c r="Q1632" s="20">
        <v>0</v>
      </c>
      <c r="R1632" s="20">
        <v>0</v>
      </c>
      <c r="S1632" s="20">
        <v>0</v>
      </c>
      <c r="T1632" s="20">
        <v>128.09</v>
      </c>
      <c r="U1632" s="20">
        <v>127.73</v>
      </c>
      <c r="V1632" s="20">
        <v>-0.36</v>
      </c>
      <c r="W1632" s="20">
        <v>-4.63</v>
      </c>
      <c r="X1632" s="20">
        <v>-4.2699999999999996</v>
      </c>
      <c r="Y1632" s="20">
        <v>0</v>
      </c>
      <c r="Z1632" s="20">
        <v>0</v>
      </c>
      <c r="AA1632" s="20">
        <v>0</v>
      </c>
      <c r="AB1632" s="20">
        <v>123.46</v>
      </c>
      <c r="AC1632" t="s">
        <v>183</v>
      </c>
      <c r="AD1632" t="s">
        <v>290</v>
      </c>
      <c r="AE1632" s="702">
        <f t="shared" si="125"/>
        <v>44348</v>
      </c>
      <c r="AF1632" s="289">
        <v>147.07872492292805</v>
      </c>
      <c r="AG1632">
        <f t="shared" si="126"/>
        <v>360</v>
      </c>
      <c r="AH1632" s="289">
        <f t="shared" si="127"/>
        <v>0.40855201367480015</v>
      </c>
      <c r="AJ1632" s="289">
        <f t="shared" si="128"/>
        <v>18</v>
      </c>
      <c r="AK1632" s="289">
        <f t="shared" si="129"/>
        <v>7.3539362461464028</v>
      </c>
    </row>
    <row r="1633" spans="1:37">
      <c r="A1633" s="703" t="s">
        <v>3151</v>
      </c>
      <c r="B1633" s="703" t="s">
        <v>2849</v>
      </c>
      <c r="C1633" s="703" t="s">
        <v>332</v>
      </c>
      <c r="D1633" s="703" t="s">
        <v>334</v>
      </c>
      <c r="E1633" s="703" t="s">
        <v>334</v>
      </c>
      <c r="F1633" s="703" t="s">
        <v>335</v>
      </c>
      <c r="G1633" s="703" t="s">
        <v>3140</v>
      </c>
      <c r="H1633" s="703" t="s">
        <v>334</v>
      </c>
      <c r="I1633" s="703" t="s">
        <v>334</v>
      </c>
      <c r="J1633" s="703" t="s">
        <v>337</v>
      </c>
      <c r="K1633" s="704">
        <v>0</v>
      </c>
      <c r="L1633" s="703" t="s">
        <v>334</v>
      </c>
      <c r="M1633" s="702">
        <v>39478</v>
      </c>
      <c r="N1633" s="702">
        <v>44516</v>
      </c>
      <c r="O1633" s="703" t="s">
        <v>338</v>
      </c>
      <c r="P1633" s="20">
        <v>72.64</v>
      </c>
      <c r="Q1633" s="20">
        <v>0</v>
      </c>
      <c r="R1633" s="20">
        <v>0</v>
      </c>
      <c r="S1633" s="20">
        <v>0</v>
      </c>
      <c r="T1633" s="20">
        <v>72.64</v>
      </c>
      <c r="U1633" s="20">
        <v>72.44</v>
      </c>
      <c r="V1633" s="20">
        <v>-0.2</v>
      </c>
      <c r="W1633" s="20">
        <v>-2.62</v>
      </c>
      <c r="X1633" s="20">
        <v>-2.42</v>
      </c>
      <c r="Y1633" s="20">
        <v>0</v>
      </c>
      <c r="Z1633" s="20">
        <v>0</v>
      </c>
      <c r="AA1633" s="20">
        <v>0</v>
      </c>
      <c r="AB1633" s="20">
        <v>70.02</v>
      </c>
      <c r="AC1633" t="s">
        <v>183</v>
      </c>
      <c r="AD1633" t="s">
        <v>290</v>
      </c>
      <c r="AE1633" s="702">
        <f t="shared" si="125"/>
        <v>44348</v>
      </c>
      <c r="AF1633" s="289">
        <v>83.408529771266231</v>
      </c>
      <c r="AG1633">
        <f t="shared" si="126"/>
        <v>360</v>
      </c>
      <c r="AH1633" s="289">
        <f t="shared" si="127"/>
        <v>0.23169036047573954</v>
      </c>
      <c r="AJ1633" s="289">
        <f t="shared" si="128"/>
        <v>18</v>
      </c>
      <c r="AK1633" s="289">
        <f t="shared" si="129"/>
        <v>4.1704264885633116</v>
      </c>
    </row>
    <row r="1634" spans="1:37">
      <c r="A1634" s="703" t="s">
        <v>3152</v>
      </c>
      <c r="B1634" s="703" t="s">
        <v>2849</v>
      </c>
      <c r="C1634" s="703" t="s">
        <v>332</v>
      </c>
      <c r="D1634" s="703" t="s">
        <v>334</v>
      </c>
      <c r="E1634" s="703" t="s">
        <v>334</v>
      </c>
      <c r="F1634" s="703" t="s">
        <v>335</v>
      </c>
      <c r="G1634" s="703" t="s">
        <v>3140</v>
      </c>
      <c r="H1634" s="703" t="s">
        <v>334</v>
      </c>
      <c r="I1634" s="703" t="s">
        <v>334</v>
      </c>
      <c r="J1634" s="703" t="s">
        <v>337</v>
      </c>
      <c r="K1634" s="704">
        <v>0</v>
      </c>
      <c r="L1634" s="703" t="s">
        <v>334</v>
      </c>
      <c r="M1634" s="702">
        <v>39478</v>
      </c>
      <c r="N1634" s="702">
        <v>44516</v>
      </c>
      <c r="O1634" s="703" t="s">
        <v>338</v>
      </c>
      <c r="P1634" s="20">
        <v>25.78</v>
      </c>
      <c r="Q1634" s="20">
        <v>0</v>
      </c>
      <c r="R1634" s="20">
        <v>0</v>
      </c>
      <c r="S1634" s="20">
        <v>0</v>
      </c>
      <c r="T1634" s="20">
        <v>25.78</v>
      </c>
      <c r="U1634" s="20">
        <v>25.71</v>
      </c>
      <c r="V1634" s="20">
        <v>-7.0000000000000007E-2</v>
      </c>
      <c r="W1634" s="20">
        <v>-0.93</v>
      </c>
      <c r="X1634" s="20">
        <v>-0.86</v>
      </c>
      <c r="Y1634" s="20">
        <v>0</v>
      </c>
      <c r="Z1634" s="20">
        <v>0</v>
      </c>
      <c r="AA1634" s="20">
        <v>0</v>
      </c>
      <c r="AB1634" s="20">
        <v>24.85</v>
      </c>
      <c r="AC1634" t="s">
        <v>183</v>
      </c>
      <c r="AD1634" t="s">
        <v>290</v>
      </c>
      <c r="AE1634" s="702">
        <f t="shared" si="125"/>
        <v>44348</v>
      </c>
      <c r="AF1634" s="289">
        <v>29.601760703513815</v>
      </c>
      <c r="AG1634">
        <f t="shared" si="126"/>
        <v>360</v>
      </c>
      <c r="AH1634" s="289">
        <f t="shared" si="127"/>
        <v>8.2227113065316146E-2</v>
      </c>
      <c r="AJ1634" s="289">
        <f t="shared" si="128"/>
        <v>18</v>
      </c>
      <c r="AK1634" s="289">
        <f t="shared" si="129"/>
        <v>1.4800880351756907</v>
      </c>
    </row>
    <row r="1635" spans="1:37">
      <c r="A1635" s="703" t="s">
        <v>3153</v>
      </c>
      <c r="B1635" s="703" t="s">
        <v>2849</v>
      </c>
      <c r="C1635" s="703" t="s">
        <v>332</v>
      </c>
      <c r="D1635" s="703" t="s">
        <v>334</v>
      </c>
      <c r="E1635" s="703" t="s">
        <v>334</v>
      </c>
      <c r="F1635" s="703" t="s">
        <v>335</v>
      </c>
      <c r="G1635" s="703" t="s">
        <v>3140</v>
      </c>
      <c r="H1635" s="703" t="s">
        <v>334</v>
      </c>
      <c r="I1635" s="703" t="s">
        <v>334</v>
      </c>
      <c r="J1635" s="703" t="s">
        <v>337</v>
      </c>
      <c r="K1635" s="704">
        <v>0</v>
      </c>
      <c r="L1635" s="703" t="s">
        <v>334</v>
      </c>
      <c r="M1635" s="702">
        <v>39478</v>
      </c>
      <c r="N1635" s="702">
        <v>44516</v>
      </c>
      <c r="O1635" s="703" t="s">
        <v>338</v>
      </c>
      <c r="P1635" s="20">
        <v>375.44</v>
      </c>
      <c r="Q1635" s="20">
        <v>0</v>
      </c>
      <c r="R1635" s="20">
        <v>0</v>
      </c>
      <c r="S1635" s="20">
        <v>0</v>
      </c>
      <c r="T1635" s="20">
        <v>375.44</v>
      </c>
      <c r="U1635" s="20">
        <v>374.4</v>
      </c>
      <c r="V1635" s="20">
        <v>-1.04</v>
      </c>
      <c r="W1635" s="20">
        <v>-13.55</v>
      </c>
      <c r="X1635" s="20">
        <v>-12.51</v>
      </c>
      <c r="Y1635" s="20">
        <v>0</v>
      </c>
      <c r="Z1635" s="20">
        <v>0</v>
      </c>
      <c r="AA1635" s="20">
        <v>0</v>
      </c>
      <c r="AB1635" s="20">
        <v>361.89</v>
      </c>
      <c r="AC1635" t="s">
        <v>183</v>
      </c>
      <c r="AD1635" t="s">
        <v>290</v>
      </c>
      <c r="AE1635" s="702">
        <f t="shared" si="125"/>
        <v>44348</v>
      </c>
      <c r="AF1635" s="289">
        <v>431.0971698420181</v>
      </c>
      <c r="AG1635">
        <f t="shared" si="126"/>
        <v>360</v>
      </c>
      <c r="AH1635" s="289">
        <f t="shared" si="127"/>
        <v>1.1974921384500503</v>
      </c>
      <c r="AJ1635" s="289">
        <f t="shared" si="128"/>
        <v>18</v>
      </c>
      <c r="AK1635" s="289">
        <f t="shared" si="129"/>
        <v>21.554858492100905</v>
      </c>
    </row>
    <row r="1636" spans="1:37">
      <c r="A1636" s="703" t="s">
        <v>3154</v>
      </c>
      <c r="B1636" s="703" t="s">
        <v>2849</v>
      </c>
      <c r="C1636" s="703" t="s">
        <v>332</v>
      </c>
      <c r="D1636" s="703" t="s">
        <v>334</v>
      </c>
      <c r="E1636" s="703" t="s">
        <v>334</v>
      </c>
      <c r="F1636" s="703" t="s">
        <v>335</v>
      </c>
      <c r="G1636" s="703" t="s">
        <v>3140</v>
      </c>
      <c r="H1636" s="703" t="s">
        <v>334</v>
      </c>
      <c r="I1636" s="703" t="s">
        <v>334</v>
      </c>
      <c r="J1636" s="703" t="s">
        <v>337</v>
      </c>
      <c r="K1636" s="704">
        <v>0</v>
      </c>
      <c r="L1636" s="703" t="s">
        <v>334</v>
      </c>
      <c r="M1636" s="702">
        <v>39478</v>
      </c>
      <c r="N1636" s="702">
        <v>44516</v>
      </c>
      <c r="O1636" s="703" t="s">
        <v>338</v>
      </c>
      <c r="P1636" s="20">
        <v>304.55</v>
      </c>
      <c r="Q1636" s="20">
        <v>0</v>
      </c>
      <c r="R1636" s="20">
        <v>0</v>
      </c>
      <c r="S1636" s="20">
        <v>0</v>
      </c>
      <c r="T1636" s="20">
        <v>304.55</v>
      </c>
      <c r="U1636" s="20">
        <v>303.7</v>
      </c>
      <c r="V1636" s="20">
        <v>-0.85</v>
      </c>
      <c r="W1636" s="20">
        <v>-11</v>
      </c>
      <c r="X1636" s="20">
        <v>-10.15</v>
      </c>
      <c r="Y1636" s="20">
        <v>0</v>
      </c>
      <c r="Z1636" s="20">
        <v>0</v>
      </c>
      <c r="AA1636" s="20">
        <v>0</v>
      </c>
      <c r="AB1636" s="20">
        <v>293.55</v>
      </c>
      <c r="AC1636" t="s">
        <v>183</v>
      </c>
      <c r="AD1636" t="s">
        <v>290</v>
      </c>
      <c r="AE1636" s="702">
        <f t="shared" si="125"/>
        <v>44348</v>
      </c>
      <c r="AF1636" s="289">
        <v>349.698069133248</v>
      </c>
      <c r="AG1636">
        <f t="shared" si="126"/>
        <v>360</v>
      </c>
      <c r="AH1636" s="289">
        <f t="shared" si="127"/>
        <v>0.97138352537013328</v>
      </c>
      <c r="AJ1636" s="289">
        <f t="shared" si="128"/>
        <v>18</v>
      </c>
      <c r="AK1636" s="289">
        <f t="shared" si="129"/>
        <v>17.484903456662398</v>
      </c>
    </row>
    <row r="1637" spans="1:37">
      <c r="A1637" s="703" t="s">
        <v>3155</v>
      </c>
      <c r="B1637" s="703" t="s">
        <v>2849</v>
      </c>
      <c r="C1637" s="703" t="s">
        <v>332</v>
      </c>
      <c r="D1637" s="703" t="s">
        <v>334</v>
      </c>
      <c r="E1637" s="703" t="s">
        <v>334</v>
      </c>
      <c r="F1637" s="703" t="s">
        <v>335</v>
      </c>
      <c r="G1637" s="703" t="s">
        <v>3140</v>
      </c>
      <c r="H1637" s="703" t="s">
        <v>334</v>
      </c>
      <c r="I1637" s="703" t="s">
        <v>334</v>
      </c>
      <c r="J1637" s="703" t="s">
        <v>337</v>
      </c>
      <c r="K1637" s="704">
        <v>0</v>
      </c>
      <c r="L1637" s="703" t="s">
        <v>334</v>
      </c>
      <c r="M1637" s="702">
        <v>39478</v>
      </c>
      <c r="N1637" s="702">
        <v>44516</v>
      </c>
      <c r="O1637" s="703" t="s">
        <v>338</v>
      </c>
      <c r="P1637" s="20">
        <v>1074</v>
      </c>
      <c r="Q1637" s="20">
        <v>0</v>
      </c>
      <c r="R1637" s="20">
        <v>0</v>
      </c>
      <c r="S1637" s="20">
        <v>0</v>
      </c>
      <c r="T1637" s="20">
        <v>1074</v>
      </c>
      <c r="U1637" s="20">
        <v>1071.02</v>
      </c>
      <c r="V1637" s="20">
        <v>-2.98</v>
      </c>
      <c r="W1637" s="20">
        <v>-38.78</v>
      </c>
      <c r="X1637" s="20">
        <v>-35.799999999999997</v>
      </c>
      <c r="Y1637" s="20">
        <v>0</v>
      </c>
      <c r="Z1637" s="20">
        <v>0</v>
      </c>
      <c r="AA1637" s="20">
        <v>0</v>
      </c>
      <c r="AB1637" s="20">
        <v>1035.22</v>
      </c>
      <c r="AC1637" t="s">
        <v>183</v>
      </c>
      <c r="AD1637" t="s">
        <v>290</v>
      </c>
      <c r="AE1637" s="702">
        <f t="shared" si="125"/>
        <v>44348</v>
      </c>
      <c r="AF1637" s="289">
        <v>1233.215321783314</v>
      </c>
      <c r="AG1637">
        <f t="shared" si="126"/>
        <v>360</v>
      </c>
      <c r="AH1637" s="289">
        <f t="shared" si="127"/>
        <v>3.4255981160647613</v>
      </c>
      <c r="AJ1637" s="289">
        <f t="shared" si="128"/>
        <v>18</v>
      </c>
      <c r="AK1637" s="289">
        <f t="shared" si="129"/>
        <v>61.660766089165705</v>
      </c>
    </row>
    <row r="1638" spans="1:37">
      <c r="A1638" s="703" t="s">
        <v>3156</v>
      </c>
      <c r="B1638" s="703" t="s">
        <v>2849</v>
      </c>
      <c r="C1638" s="703" t="s">
        <v>332</v>
      </c>
      <c r="D1638" s="703" t="s">
        <v>334</v>
      </c>
      <c r="E1638" s="703" t="s">
        <v>334</v>
      </c>
      <c r="F1638" s="703" t="s">
        <v>335</v>
      </c>
      <c r="G1638" s="703" t="s">
        <v>3140</v>
      </c>
      <c r="H1638" s="703" t="s">
        <v>334</v>
      </c>
      <c r="I1638" s="703" t="s">
        <v>334</v>
      </c>
      <c r="J1638" s="703" t="s">
        <v>337</v>
      </c>
      <c r="K1638" s="704">
        <v>0</v>
      </c>
      <c r="L1638" s="703" t="s">
        <v>334</v>
      </c>
      <c r="M1638" s="702">
        <v>39478</v>
      </c>
      <c r="N1638" s="702">
        <v>44516</v>
      </c>
      <c r="O1638" s="703" t="s">
        <v>338</v>
      </c>
      <c r="P1638" s="20">
        <v>38.44</v>
      </c>
      <c r="Q1638" s="20">
        <v>0</v>
      </c>
      <c r="R1638" s="20">
        <v>0</v>
      </c>
      <c r="S1638" s="20">
        <v>0</v>
      </c>
      <c r="T1638" s="20">
        <v>38.44</v>
      </c>
      <c r="U1638" s="20">
        <v>38.33</v>
      </c>
      <c r="V1638" s="20">
        <v>-0.11</v>
      </c>
      <c r="W1638" s="20">
        <v>-1.39</v>
      </c>
      <c r="X1638" s="20">
        <v>-1.28</v>
      </c>
      <c r="Y1638" s="20">
        <v>0</v>
      </c>
      <c r="Z1638" s="20">
        <v>0</v>
      </c>
      <c r="AA1638" s="20">
        <v>0</v>
      </c>
      <c r="AB1638" s="20">
        <v>37.049999999999997</v>
      </c>
      <c r="AC1638" t="s">
        <v>183</v>
      </c>
      <c r="AD1638" t="s">
        <v>290</v>
      </c>
      <c r="AE1638" s="702">
        <f t="shared" si="125"/>
        <v>44348</v>
      </c>
      <c r="AF1638" s="289">
        <v>44.138544664199806</v>
      </c>
      <c r="AG1638">
        <f t="shared" si="126"/>
        <v>360</v>
      </c>
      <c r="AH1638" s="289">
        <f t="shared" si="127"/>
        <v>0.12260706851166613</v>
      </c>
      <c r="AJ1638" s="289">
        <f t="shared" si="128"/>
        <v>18</v>
      </c>
      <c r="AK1638" s="289">
        <f t="shared" si="129"/>
        <v>2.2069272332099903</v>
      </c>
    </row>
    <row r="1639" spans="1:37">
      <c r="A1639" s="703" t="s">
        <v>3157</v>
      </c>
      <c r="B1639" s="703" t="s">
        <v>2849</v>
      </c>
      <c r="C1639" s="703" t="s">
        <v>332</v>
      </c>
      <c r="D1639" s="703" t="s">
        <v>334</v>
      </c>
      <c r="E1639" s="703" t="s">
        <v>334</v>
      </c>
      <c r="F1639" s="703" t="s">
        <v>335</v>
      </c>
      <c r="G1639" s="703" t="s">
        <v>3140</v>
      </c>
      <c r="H1639" s="703" t="s">
        <v>334</v>
      </c>
      <c r="I1639" s="703" t="s">
        <v>334</v>
      </c>
      <c r="J1639" s="703" t="s">
        <v>337</v>
      </c>
      <c r="K1639" s="704">
        <v>0</v>
      </c>
      <c r="L1639" s="703" t="s">
        <v>334</v>
      </c>
      <c r="M1639" s="702">
        <v>39478</v>
      </c>
      <c r="N1639" s="702">
        <v>44516</v>
      </c>
      <c r="O1639" s="703" t="s">
        <v>338</v>
      </c>
      <c r="P1639" s="20">
        <v>104.63</v>
      </c>
      <c r="Q1639" s="20">
        <v>0</v>
      </c>
      <c r="R1639" s="20">
        <v>0</v>
      </c>
      <c r="S1639" s="20">
        <v>0</v>
      </c>
      <c r="T1639" s="20">
        <v>104.63</v>
      </c>
      <c r="U1639" s="20">
        <v>104.34</v>
      </c>
      <c r="V1639" s="20">
        <v>-0.28999999999999998</v>
      </c>
      <c r="W1639" s="20">
        <v>-3.78</v>
      </c>
      <c r="X1639" s="20">
        <v>-3.49</v>
      </c>
      <c r="Y1639" s="20">
        <v>0</v>
      </c>
      <c r="Z1639" s="20">
        <v>0</v>
      </c>
      <c r="AA1639" s="20">
        <v>0</v>
      </c>
      <c r="AB1639" s="20">
        <v>100.85</v>
      </c>
      <c r="AC1639" t="s">
        <v>183</v>
      </c>
      <c r="AD1639" t="s">
        <v>290</v>
      </c>
      <c r="AE1639" s="702">
        <f t="shared" si="125"/>
        <v>44348</v>
      </c>
      <c r="AF1639" s="289">
        <v>120.14089303369474</v>
      </c>
      <c r="AG1639">
        <f t="shared" si="126"/>
        <v>360</v>
      </c>
      <c r="AH1639" s="289">
        <f t="shared" si="127"/>
        <v>0.33372470287137429</v>
      </c>
      <c r="AJ1639" s="289">
        <f t="shared" si="128"/>
        <v>18</v>
      </c>
      <c r="AK1639" s="289">
        <f t="shared" si="129"/>
        <v>6.0070446516847369</v>
      </c>
    </row>
    <row r="1640" spans="1:37">
      <c r="A1640" s="703" t="s">
        <v>3158</v>
      </c>
      <c r="B1640" s="703" t="s">
        <v>2849</v>
      </c>
      <c r="C1640" s="703" t="s">
        <v>332</v>
      </c>
      <c r="D1640" s="703" t="s">
        <v>334</v>
      </c>
      <c r="E1640" s="703" t="s">
        <v>334</v>
      </c>
      <c r="F1640" s="703" t="s">
        <v>335</v>
      </c>
      <c r="G1640" s="703" t="s">
        <v>3140</v>
      </c>
      <c r="H1640" s="703" t="s">
        <v>334</v>
      </c>
      <c r="I1640" s="703" t="s">
        <v>334</v>
      </c>
      <c r="J1640" s="703" t="s">
        <v>337</v>
      </c>
      <c r="K1640" s="704">
        <v>0</v>
      </c>
      <c r="L1640" s="703" t="s">
        <v>334</v>
      </c>
      <c r="M1640" s="702">
        <v>39478</v>
      </c>
      <c r="N1640" s="702">
        <v>44516</v>
      </c>
      <c r="O1640" s="703" t="s">
        <v>338</v>
      </c>
      <c r="P1640" s="20">
        <v>1391.16</v>
      </c>
      <c r="Q1640" s="20">
        <v>0</v>
      </c>
      <c r="R1640" s="20">
        <v>0</v>
      </c>
      <c r="S1640" s="20">
        <v>0</v>
      </c>
      <c r="T1640" s="20">
        <v>1391.16</v>
      </c>
      <c r="U1640" s="20">
        <v>1387.3</v>
      </c>
      <c r="V1640" s="20">
        <v>-3.86</v>
      </c>
      <c r="W1640" s="20">
        <v>-50.23</v>
      </c>
      <c r="X1640" s="20">
        <v>-46.37</v>
      </c>
      <c r="Y1640" s="20">
        <v>0</v>
      </c>
      <c r="Z1640" s="20">
        <v>0</v>
      </c>
      <c r="AA1640" s="20">
        <v>0</v>
      </c>
      <c r="AB1640" s="20">
        <v>1340.93</v>
      </c>
      <c r="AC1640" t="s">
        <v>183</v>
      </c>
      <c r="AD1640" t="s">
        <v>290</v>
      </c>
      <c r="AE1640" s="702">
        <f t="shared" si="125"/>
        <v>44348</v>
      </c>
      <c r="AF1640" s="289">
        <v>1597.3927626183197</v>
      </c>
      <c r="AG1640">
        <f t="shared" si="126"/>
        <v>360</v>
      </c>
      <c r="AH1640" s="289">
        <f t="shared" si="127"/>
        <v>4.4372021183842216</v>
      </c>
      <c r="AJ1640" s="289">
        <f t="shared" si="128"/>
        <v>18</v>
      </c>
      <c r="AK1640" s="289">
        <f t="shared" si="129"/>
        <v>79.869638130915988</v>
      </c>
    </row>
    <row r="1641" spans="1:37">
      <c r="A1641" s="703" t="s">
        <v>3159</v>
      </c>
      <c r="B1641" s="703" t="s">
        <v>2849</v>
      </c>
      <c r="C1641" s="703" t="s">
        <v>332</v>
      </c>
      <c r="D1641" s="703" t="s">
        <v>334</v>
      </c>
      <c r="E1641" s="703" t="s">
        <v>334</v>
      </c>
      <c r="F1641" s="703" t="s">
        <v>335</v>
      </c>
      <c r="G1641" s="703" t="s">
        <v>3039</v>
      </c>
      <c r="H1641" s="703" t="s">
        <v>334</v>
      </c>
      <c r="I1641" s="703" t="s">
        <v>334</v>
      </c>
      <c r="J1641" s="703" t="s">
        <v>337</v>
      </c>
      <c r="K1641" s="704">
        <v>0</v>
      </c>
      <c r="L1641" s="703" t="s">
        <v>334</v>
      </c>
      <c r="M1641" s="702">
        <v>42886</v>
      </c>
      <c r="N1641" s="702">
        <v>44516</v>
      </c>
      <c r="O1641" s="703" t="s">
        <v>338</v>
      </c>
      <c r="P1641" s="20">
        <v>1306.6300000000001</v>
      </c>
      <c r="Q1641" s="20">
        <v>0</v>
      </c>
      <c r="R1641" s="20">
        <v>0</v>
      </c>
      <c r="S1641" s="20">
        <v>0</v>
      </c>
      <c r="T1641" s="20">
        <v>1306.6300000000001</v>
      </c>
      <c r="U1641" s="20">
        <v>1303</v>
      </c>
      <c r="V1641" s="20">
        <v>-3.63</v>
      </c>
      <c r="W1641" s="20">
        <v>-47.18</v>
      </c>
      <c r="X1641" s="20">
        <v>-43.55</v>
      </c>
      <c r="Y1641" s="20">
        <v>0</v>
      </c>
      <c r="Z1641" s="20">
        <v>0</v>
      </c>
      <c r="AA1641" s="20">
        <v>0</v>
      </c>
      <c r="AB1641" s="20">
        <v>1259.45</v>
      </c>
      <c r="AC1641" t="s">
        <v>183</v>
      </c>
      <c r="AD1641" t="s">
        <v>290</v>
      </c>
      <c r="AE1641" s="702">
        <f t="shared" si="125"/>
        <v>44348</v>
      </c>
      <c r="AF1641" s="289">
        <v>1500.3315976738659</v>
      </c>
      <c r="AG1641">
        <f t="shared" si="126"/>
        <v>360</v>
      </c>
      <c r="AH1641" s="289">
        <f t="shared" si="127"/>
        <v>4.1675877713162937</v>
      </c>
      <c r="AJ1641" s="289">
        <f t="shared" si="128"/>
        <v>18</v>
      </c>
      <c r="AK1641" s="289">
        <f t="shared" si="129"/>
        <v>75.016579883693282</v>
      </c>
    </row>
    <row r="1642" spans="1:37">
      <c r="A1642" s="703" t="s">
        <v>3160</v>
      </c>
      <c r="B1642" s="703" t="s">
        <v>2849</v>
      </c>
      <c r="C1642" s="703" t="s">
        <v>332</v>
      </c>
      <c r="D1642" s="703" t="s">
        <v>334</v>
      </c>
      <c r="E1642" s="703" t="s">
        <v>334</v>
      </c>
      <c r="F1642" s="703" t="s">
        <v>335</v>
      </c>
      <c r="G1642" s="703" t="s">
        <v>3039</v>
      </c>
      <c r="H1642" s="703" t="s">
        <v>334</v>
      </c>
      <c r="I1642" s="703" t="s">
        <v>334</v>
      </c>
      <c r="J1642" s="703" t="s">
        <v>337</v>
      </c>
      <c r="K1642" s="704">
        <v>0</v>
      </c>
      <c r="L1642" s="703" t="s">
        <v>334</v>
      </c>
      <c r="M1642" s="702">
        <v>42886</v>
      </c>
      <c r="N1642" s="702">
        <v>44516</v>
      </c>
      <c r="O1642" s="703" t="s">
        <v>338</v>
      </c>
      <c r="P1642" s="20">
        <v>32.24</v>
      </c>
      <c r="Q1642" s="20">
        <v>0</v>
      </c>
      <c r="R1642" s="20">
        <v>0</v>
      </c>
      <c r="S1642" s="20">
        <v>0</v>
      </c>
      <c r="T1642" s="20">
        <v>32.24</v>
      </c>
      <c r="U1642" s="20">
        <v>32.15</v>
      </c>
      <c r="V1642" s="20">
        <v>-0.09</v>
      </c>
      <c r="W1642" s="20">
        <v>-1.1599999999999999</v>
      </c>
      <c r="X1642" s="20">
        <v>-1.07</v>
      </c>
      <c r="Y1642" s="20">
        <v>0</v>
      </c>
      <c r="Z1642" s="20">
        <v>0</v>
      </c>
      <c r="AA1642" s="20">
        <v>0</v>
      </c>
      <c r="AB1642" s="20">
        <v>31.08</v>
      </c>
      <c r="AC1642" t="s">
        <v>183</v>
      </c>
      <c r="AD1642" t="s">
        <v>290</v>
      </c>
      <c r="AE1642" s="702">
        <f t="shared" si="125"/>
        <v>44348</v>
      </c>
      <c r="AF1642" s="289">
        <v>37.019424557070813</v>
      </c>
      <c r="AG1642">
        <f t="shared" si="126"/>
        <v>360</v>
      </c>
      <c r="AH1642" s="289">
        <f t="shared" si="127"/>
        <v>0.10283173488075226</v>
      </c>
      <c r="AJ1642" s="289">
        <f t="shared" si="128"/>
        <v>18</v>
      </c>
      <c r="AK1642" s="289">
        <f t="shared" si="129"/>
        <v>1.8509712278535406</v>
      </c>
    </row>
    <row r="1643" spans="1:37">
      <c r="A1643" s="703" t="s">
        <v>3161</v>
      </c>
      <c r="B1643" s="703" t="s">
        <v>2849</v>
      </c>
      <c r="C1643" s="703" t="s">
        <v>332</v>
      </c>
      <c r="D1643" s="703" t="s">
        <v>334</v>
      </c>
      <c r="E1643" s="703" t="s">
        <v>334</v>
      </c>
      <c r="F1643" s="703" t="s">
        <v>335</v>
      </c>
      <c r="G1643" s="703" t="s">
        <v>3039</v>
      </c>
      <c r="H1643" s="703" t="s">
        <v>334</v>
      </c>
      <c r="I1643" s="703" t="s">
        <v>334</v>
      </c>
      <c r="J1643" s="703" t="s">
        <v>337</v>
      </c>
      <c r="K1643" s="704">
        <v>0</v>
      </c>
      <c r="L1643" s="703" t="s">
        <v>334</v>
      </c>
      <c r="M1643" s="702">
        <v>42886</v>
      </c>
      <c r="N1643" s="702">
        <v>44516</v>
      </c>
      <c r="O1643" s="703" t="s">
        <v>338</v>
      </c>
      <c r="P1643" s="20">
        <v>41.87</v>
      </c>
      <c r="Q1643" s="20">
        <v>0</v>
      </c>
      <c r="R1643" s="20">
        <v>0</v>
      </c>
      <c r="S1643" s="20">
        <v>0</v>
      </c>
      <c r="T1643" s="20">
        <v>41.87</v>
      </c>
      <c r="U1643" s="20">
        <v>41.75</v>
      </c>
      <c r="V1643" s="20">
        <v>-0.12</v>
      </c>
      <c r="W1643" s="20">
        <v>-1.52</v>
      </c>
      <c r="X1643" s="20">
        <v>-1.4</v>
      </c>
      <c r="Y1643" s="20">
        <v>0</v>
      </c>
      <c r="Z1643" s="20">
        <v>0</v>
      </c>
      <c r="AA1643" s="20">
        <v>0</v>
      </c>
      <c r="AB1643" s="20">
        <v>40.35</v>
      </c>
      <c r="AC1643" t="s">
        <v>183</v>
      </c>
      <c r="AD1643" t="s">
        <v>290</v>
      </c>
      <c r="AE1643" s="702">
        <f t="shared" si="125"/>
        <v>44348</v>
      </c>
      <c r="AF1643" s="289">
        <v>48.077025626692141</v>
      </c>
      <c r="AG1643">
        <f t="shared" si="126"/>
        <v>360</v>
      </c>
      <c r="AH1643" s="289">
        <f t="shared" si="127"/>
        <v>0.13354729340747817</v>
      </c>
      <c r="AJ1643" s="289">
        <f t="shared" si="128"/>
        <v>18</v>
      </c>
      <c r="AK1643" s="289">
        <f t="shared" si="129"/>
        <v>2.4038512813346071</v>
      </c>
    </row>
    <row r="1644" spans="1:37">
      <c r="A1644" s="703" t="s">
        <v>3162</v>
      </c>
      <c r="B1644" s="703" t="s">
        <v>2849</v>
      </c>
      <c r="C1644" s="703" t="s">
        <v>332</v>
      </c>
      <c r="D1644" s="703" t="s">
        <v>334</v>
      </c>
      <c r="E1644" s="703" t="s">
        <v>334</v>
      </c>
      <c r="F1644" s="703" t="s">
        <v>335</v>
      </c>
      <c r="G1644" s="703" t="s">
        <v>3039</v>
      </c>
      <c r="H1644" s="703" t="s">
        <v>334</v>
      </c>
      <c r="I1644" s="703" t="s">
        <v>334</v>
      </c>
      <c r="J1644" s="703" t="s">
        <v>337</v>
      </c>
      <c r="K1644" s="704">
        <v>0</v>
      </c>
      <c r="L1644" s="703" t="s">
        <v>334</v>
      </c>
      <c r="M1644" s="702">
        <v>42886</v>
      </c>
      <c r="N1644" s="702">
        <v>44516</v>
      </c>
      <c r="O1644" s="703" t="s">
        <v>338</v>
      </c>
      <c r="P1644" s="20">
        <v>374.08</v>
      </c>
      <c r="Q1644" s="20">
        <v>0</v>
      </c>
      <c r="R1644" s="20">
        <v>0</v>
      </c>
      <c r="S1644" s="20">
        <v>0</v>
      </c>
      <c r="T1644" s="20">
        <v>374.08</v>
      </c>
      <c r="U1644" s="20">
        <v>373.04</v>
      </c>
      <c r="V1644" s="20">
        <v>-1.04</v>
      </c>
      <c r="W1644" s="20">
        <v>-13.51</v>
      </c>
      <c r="X1644" s="20">
        <v>-12.47</v>
      </c>
      <c r="Y1644" s="20">
        <v>0</v>
      </c>
      <c r="Z1644" s="20">
        <v>0</v>
      </c>
      <c r="AA1644" s="20">
        <v>0</v>
      </c>
      <c r="AB1644" s="20">
        <v>360.57</v>
      </c>
      <c r="AC1644" t="s">
        <v>183</v>
      </c>
      <c r="AD1644" t="s">
        <v>290</v>
      </c>
      <c r="AE1644" s="702">
        <f t="shared" si="125"/>
        <v>44348</v>
      </c>
      <c r="AF1644" s="289">
        <v>429.53555639916402</v>
      </c>
      <c r="AG1644">
        <f t="shared" si="126"/>
        <v>360</v>
      </c>
      <c r="AH1644" s="289">
        <f t="shared" si="127"/>
        <v>1.1931543233310111</v>
      </c>
      <c r="AJ1644" s="289">
        <f t="shared" si="128"/>
        <v>18</v>
      </c>
      <c r="AK1644" s="289">
        <f t="shared" si="129"/>
        <v>21.476777819958201</v>
      </c>
    </row>
    <row r="1645" spans="1:37">
      <c r="A1645" s="703" t="s">
        <v>3163</v>
      </c>
      <c r="B1645" s="703" t="s">
        <v>2849</v>
      </c>
      <c r="C1645" s="703" t="s">
        <v>332</v>
      </c>
      <c r="D1645" s="703" t="s">
        <v>334</v>
      </c>
      <c r="E1645" s="703" t="s">
        <v>334</v>
      </c>
      <c r="F1645" s="703" t="s">
        <v>335</v>
      </c>
      <c r="G1645" s="703" t="s">
        <v>3039</v>
      </c>
      <c r="H1645" s="703" t="s">
        <v>334</v>
      </c>
      <c r="I1645" s="703" t="s">
        <v>334</v>
      </c>
      <c r="J1645" s="703" t="s">
        <v>337</v>
      </c>
      <c r="K1645" s="704">
        <v>0</v>
      </c>
      <c r="L1645" s="703" t="s">
        <v>334</v>
      </c>
      <c r="M1645" s="702">
        <v>42886</v>
      </c>
      <c r="N1645" s="702">
        <v>44516</v>
      </c>
      <c r="O1645" s="703" t="s">
        <v>338</v>
      </c>
      <c r="P1645" s="20">
        <v>8.4</v>
      </c>
      <c r="Q1645" s="20">
        <v>0</v>
      </c>
      <c r="R1645" s="20">
        <v>0</v>
      </c>
      <c r="S1645" s="20">
        <v>0</v>
      </c>
      <c r="T1645" s="20">
        <v>8.4</v>
      </c>
      <c r="U1645" s="20">
        <v>8.3800000000000008</v>
      </c>
      <c r="V1645" s="20">
        <v>-0.02</v>
      </c>
      <c r="W1645" s="20">
        <v>-0.3</v>
      </c>
      <c r="X1645" s="20">
        <v>-0.28000000000000003</v>
      </c>
      <c r="Y1645" s="20">
        <v>0</v>
      </c>
      <c r="Z1645" s="20">
        <v>0</v>
      </c>
      <c r="AA1645" s="20">
        <v>0</v>
      </c>
      <c r="AB1645" s="20">
        <v>8.1</v>
      </c>
      <c r="AC1645" t="s">
        <v>183</v>
      </c>
      <c r="AD1645" t="s">
        <v>290</v>
      </c>
      <c r="AE1645" s="702">
        <f t="shared" si="125"/>
        <v>44348</v>
      </c>
      <c r="AF1645" s="289">
        <v>9.6452594999812291</v>
      </c>
      <c r="AG1645">
        <f t="shared" si="126"/>
        <v>360</v>
      </c>
      <c r="AH1645" s="289">
        <f t="shared" si="127"/>
        <v>2.6792387499947858E-2</v>
      </c>
      <c r="AJ1645" s="289">
        <f t="shared" si="128"/>
        <v>18</v>
      </c>
      <c r="AK1645" s="289">
        <f t="shared" si="129"/>
        <v>0.48226297499906146</v>
      </c>
    </row>
    <row r="1646" spans="1:37">
      <c r="A1646" s="703" t="s">
        <v>3164</v>
      </c>
      <c r="B1646" s="703" t="s">
        <v>2849</v>
      </c>
      <c r="C1646" s="703" t="s">
        <v>332</v>
      </c>
      <c r="D1646" s="703" t="s">
        <v>334</v>
      </c>
      <c r="E1646" s="703" t="s">
        <v>334</v>
      </c>
      <c r="F1646" s="703" t="s">
        <v>335</v>
      </c>
      <c r="G1646" s="703" t="s">
        <v>3039</v>
      </c>
      <c r="H1646" s="703" t="s">
        <v>334</v>
      </c>
      <c r="I1646" s="703" t="s">
        <v>334</v>
      </c>
      <c r="J1646" s="703" t="s">
        <v>337</v>
      </c>
      <c r="K1646" s="704">
        <v>0</v>
      </c>
      <c r="L1646" s="703" t="s">
        <v>334</v>
      </c>
      <c r="M1646" s="702">
        <v>42886</v>
      </c>
      <c r="N1646" s="702">
        <v>44516</v>
      </c>
      <c r="O1646" s="703" t="s">
        <v>338</v>
      </c>
      <c r="P1646" s="20">
        <v>78.31</v>
      </c>
      <c r="Q1646" s="20">
        <v>0</v>
      </c>
      <c r="R1646" s="20">
        <v>0</v>
      </c>
      <c r="S1646" s="20">
        <v>0</v>
      </c>
      <c r="T1646" s="20">
        <v>78.31</v>
      </c>
      <c r="U1646" s="20">
        <v>78.09</v>
      </c>
      <c r="V1646" s="20">
        <v>-0.22</v>
      </c>
      <c r="W1646" s="20">
        <v>-2.83</v>
      </c>
      <c r="X1646" s="20">
        <v>-2.61</v>
      </c>
      <c r="Y1646" s="20">
        <v>0</v>
      </c>
      <c r="Z1646" s="20">
        <v>0</v>
      </c>
      <c r="AA1646" s="20">
        <v>0</v>
      </c>
      <c r="AB1646" s="20">
        <v>75.48</v>
      </c>
      <c r="AC1646" t="s">
        <v>183</v>
      </c>
      <c r="AD1646" t="s">
        <v>290</v>
      </c>
      <c r="AE1646" s="702">
        <f t="shared" si="125"/>
        <v>44348</v>
      </c>
      <c r="AF1646" s="289">
        <v>89.919079933753565</v>
      </c>
      <c r="AG1646">
        <f t="shared" si="126"/>
        <v>360</v>
      </c>
      <c r="AH1646" s="289">
        <f t="shared" si="127"/>
        <v>0.24977522203820435</v>
      </c>
      <c r="AJ1646" s="289">
        <f t="shared" si="128"/>
        <v>18</v>
      </c>
      <c r="AK1646" s="289">
        <f t="shared" si="129"/>
        <v>4.4959539966876783</v>
      </c>
    </row>
    <row r="1647" spans="1:37">
      <c r="A1647" s="703" t="s">
        <v>3165</v>
      </c>
      <c r="B1647" s="703" t="s">
        <v>2849</v>
      </c>
      <c r="C1647" s="703" t="s">
        <v>332</v>
      </c>
      <c r="D1647" s="703" t="s">
        <v>334</v>
      </c>
      <c r="E1647" s="703" t="s">
        <v>334</v>
      </c>
      <c r="F1647" s="703" t="s">
        <v>335</v>
      </c>
      <c r="G1647" s="703" t="s">
        <v>3039</v>
      </c>
      <c r="H1647" s="703" t="s">
        <v>334</v>
      </c>
      <c r="I1647" s="703" t="s">
        <v>334</v>
      </c>
      <c r="J1647" s="703" t="s">
        <v>337</v>
      </c>
      <c r="K1647" s="704">
        <v>0</v>
      </c>
      <c r="L1647" s="703" t="s">
        <v>334</v>
      </c>
      <c r="M1647" s="702">
        <v>42886</v>
      </c>
      <c r="N1647" s="702">
        <v>44516</v>
      </c>
      <c r="O1647" s="703" t="s">
        <v>338</v>
      </c>
      <c r="P1647" s="20">
        <v>77.989999999999995</v>
      </c>
      <c r="Q1647" s="20">
        <v>0</v>
      </c>
      <c r="R1647" s="20">
        <v>0</v>
      </c>
      <c r="S1647" s="20">
        <v>0</v>
      </c>
      <c r="T1647" s="20">
        <v>77.989999999999995</v>
      </c>
      <c r="U1647" s="20">
        <v>77.77</v>
      </c>
      <c r="V1647" s="20">
        <v>-0.22</v>
      </c>
      <c r="W1647" s="20">
        <v>-2.82</v>
      </c>
      <c r="X1647" s="20">
        <v>-2.6</v>
      </c>
      <c r="Y1647" s="20">
        <v>0</v>
      </c>
      <c r="Z1647" s="20">
        <v>0</v>
      </c>
      <c r="AA1647" s="20">
        <v>0</v>
      </c>
      <c r="AB1647" s="20">
        <v>75.17</v>
      </c>
      <c r="AC1647" t="s">
        <v>183</v>
      </c>
      <c r="AD1647" t="s">
        <v>290</v>
      </c>
      <c r="AE1647" s="702">
        <f t="shared" si="125"/>
        <v>44348</v>
      </c>
      <c r="AF1647" s="289">
        <v>89.551641476611422</v>
      </c>
      <c r="AG1647">
        <f t="shared" si="126"/>
        <v>360</v>
      </c>
      <c r="AH1647" s="289">
        <f t="shared" si="127"/>
        <v>0.24875455965725396</v>
      </c>
      <c r="AJ1647" s="289">
        <f t="shared" si="128"/>
        <v>18</v>
      </c>
      <c r="AK1647" s="289">
        <f t="shared" si="129"/>
        <v>4.4775820738305709</v>
      </c>
    </row>
    <row r="1648" spans="1:37">
      <c r="A1648" s="703" t="s">
        <v>3166</v>
      </c>
      <c r="B1648" s="703" t="s">
        <v>2849</v>
      </c>
      <c r="C1648" s="703" t="s">
        <v>332</v>
      </c>
      <c r="D1648" s="703" t="s">
        <v>334</v>
      </c>
      <c r="E1648" s="703" t="s">
        <v>334</v>
      </c>
      <c r="F1648" s="703" t="s">
        <v>335</v>
      </c>
      <c r="G1648" s="703" t="s">
        <v>3039</v>
      </c>
      <c r="H1648" s="703" t="s">
        <v>334</v>
      </c>
      <c r="I1648" s="703" t="s">
        <v>334</v>
      </c>
      <c r="J1648" s="703" t="s">
        <v>337</v>
      </c>
      <c r="K1648" s="704">
        <v>0</v>
      </c>
      <c r="L1648" s="703" t="s">
        <v>334</v>
      </c>
      <c r="M1648" s="702">
        <v>42886</v>
      </c>
      <c r="N1648" s="702">
        <v>44516</v>
      </c>
      <c r="O1648" s="703" t="s">
        <v>338</v>
      </c>
      <c r="P1648" s="20">
        <v>13.26</v>
      </c>
      <c r="Q1648" s="20">
        <v>0</v>
      </c>
      <c r="R1648" s="20">
        <v>0</v>
      </c>
      <c r="S1648" s="20">
        <v>0</v>
      </c>
      <c r="T1648" s="20">
        <v>13.26</v>
      </c>
      <c r="U1648" s="20">
        <v>13.22</v>
      </c>
      <c r="V1648" s="20">
        <v>-0.04</v>
      </c>
      <c r="W1648" s="20">
        <v>-0.48</v>
      </c>
      <c r="X1648" s="20">
        <v>-0.44</v>
      </c>
      <c r="Y1648" s="20">
        <v>0</v>
      </c>
      <c r="Z1648" s="20">
        <v>0</v>
      </c>
      <c r="AA1648" s="20">
        <v>0</v>
      </c>
      <c r="AB1648" s="20">
        <v>12.78</v>
      </c>
      <c r="AC1648" t="s">
        <v>183</v>
      </c>
      <c r="AD1648" t="s">
        <v>290</v>
      </c>
      <c r="AE1648" s="702">
        <f t="shared" si="125"/>
        <v>44348</v>
      </c>
      <c r="AF1648" s="289">
        <v>15.225731067827509</v>
      </c>
      <c r="AG1648">
        <f t="shared" si="126"/>
        <v>360</v>
      </c>
      <c r="AH1648" s="289">
        <f t="shared" si="127"/>
        <v>4.2293697410631971E-2</v>
      </c>
      <c r="AJ1648" s="289">
        <f t="shared" si="128"/>
        <v>18</v>
      </c>
      <c r="AK1648" s="289">
        <f t="shared" si="129"/>
        <v>0.76128655339137552</v>
      </c>
    </row>
    <row r="1649" spans="1:37">
      <c r="A1649" s="703" t="s">
        <v>3167</v>
      </c>
      <c r="B1649" s="703" t="s">
        <v>2849</v>
      </c>
      <c r="C1649" s="703" t="s">
        <v>332</v>
      </c>
      <c r="D1649" s="703" t="s">
        <v>334</v>
      </c>
      <c r="E1649" s="703" t="s">
        <v>334</v>
      </c>
      <c r="F1649" s="703" t="s">
        <v>335</v>
      </c>
      <c r="G1649" s="703" t="s">
        <v>3039</v>
      </c>
      <c r="H1649" s="703" t="s">
        <v>334</v>
      </c>
      <c r="I1649" s="703" t="s">
        <v>334</v>
      </c>
      <c r="J1649" s="703" t="s">
        <v>337</v>
      </c>
      <c r="K1649" s="704">
        <v>0</v>
      </c>
      <c r="L1649" s="703" t="s">
        <v>334</v>
      </c>
      <c r="M1649" s="702">
        <v>42886</v>
      </c>
      <c r="N1649" s="702">
        <v>44516</v>
      </c>
      <c r="O1649" s="703" t="s">
        <v>338</v>
      </c>
      <c r="P1649" s="20">
        <v>49.95</v>
      </c>
      <c r="Q1649" s="20">
        <v>0</v>
      </c>
      <c r="R1649" s="20">
        <v>0</v>
      </c>
      <c r="S1649" s="20">
        <v>0</v>
      </c>
      <c r="T1649" s="20">
        <v>49.95</v>
      </c>
      <c r="U1649" s="20">
        <v>49.81</v>
      </c>
      <c r="V1649" s="20">
        <v>-0.14000000000000001</v>
      </c>
      <c r="W1649" s="20">
        <v>-1.81</v>
      </c>
      <c r="X1649" s="20">
        <v>-1.67</v>
      </c>
      <c r="Y1649" s="20">
        <v>0</v>
      </c>
      <c r="Z1649" s="20">
        <v>0</v>
      </c>
      <c r="AA1649" s="20">
        <v>0</v>
      </c>
      <c r="AB1649" s="20">
        <v>48.14</v>
      </c>
      <c r="AC1649" t="s">
        <v>183</v>
      </c>
      <c r="AD1649" t="s">
        <v>290</v>
      </c>
      <c r="AE1649" s="702">
        <f t="shared" si="125"/>
        <v>44348</v>
      </c>
      <c r="AF1649" s="289">
        <v>57.354846669531227</v>
      </c>
      <c r="AG1649">
        <f t="shared" si="126"/>
        <v>360</v>
      </c>
      <c r="AH1649" s="289">
        <f t="shared" si="127"/>
        <v>0.15931901852647562</v>
      </c>
      <c r="AJ1649" s="289">
        <f t="shared" si="128"/>
        <v>18</v>
      </c>
      <c r="AK1649" s="289">
        <f t="shared" si="129"/>
        <v>2.8677423334765613</v>
      </c>
    </row>
    <row r="1650" spans="1:37">
      <c r="A1650" s="703" t="s">
        <v>3168</v>
      </c>
      <c r="B1650" s="703" t="s">
        <v>2849</v>
      </c>
      <c r="C1650" s="703" t="s">
        <v>332</v>
      </c>
      <c r="D1650" s="703" t="s">
        <v>334</v>
      </c>
      <c r="E1650" s="703" t="s">
        <v>334</v>
      </c>
      <c r="F1650" s="703" t="s">
        <v>335</v>
      </c>
      <c r="G1650" s="703" t="s">
        <v>3039</v>
      </c>
      <c r="H1650" s="703" t="s">
        <v>334</v>
      </c>
      <c r="I1650" s="703" t="s">
        <v>334</v>
      </c>
      <c r="J1650" s="703" t="s">
        <v>337</v>
      </c>
      <c r="K1650" s="704">
        <v>0</v>
      </c>
      <c r="L1650" s="703" t="s">
        <v>334</v>
      </c>
      <c r="M1650" s="702">
        <v>42886</v>
      </c>
      <c r="N1650" s="702">
        <v>44516</v>
      </c>
      <c r="O1650" s="703" t="s">
        <v>338</v>
      </c>
      <c r="P1650" s="20">
        <v>15.68</v>
      </c>
      <c r="Q1650" s="20">
        <v>0</v>
      </c>
      <c r="R1650" s="20">
        <v>0</v>
      </c>
      <c r="S1650" s="20">
        <v>0</v>
      </c>
      <c r="T1650" s="20">
        <v>15.68</v>
      </c>
      <c r="U1650" s="20">
        <v>15.64</v>
      </c>
      <c r="V1650" s="20">
        <v>-0.04</v>
      </c>
      <c r="W1650" s="20">
        <v>-0.56000000000000005</v>
      </c>
      <c r="X1650" s="20">
        <v>-0.52</v>
      </c>
      <c r="Y1650" s="20">
        <v>0</v>
      </c>
      <c r="Z1650" s="20">
        <v>0</v>
      </c>
      <c r="AA1650" s="20">
        <v>0</v>
      </c>
      <c r="AB1650" s="20">
        <v>15.12</v>
      </c>
      <c r="AC1650" t="s">
        <v>183</v>
      </c>
      <c r="AD1650" t="s">
        <v>290</v>
      </c>
      <c r="AE1650" s="702">
        <f t="shared" si="125"/>
        <v>44348</v>
      </c>
      <c r="AF1650" s="289">
        <v>18.004484399964955</v>
      </c>
      <c r="AG1650">
        <f t="shared" si="126"/>
        <v>360</v>
      </c>
      <c r="AH1650" s="289">
        <f t="shared" si="127"/>
        <v>5.0012456666569317E-2</v>
      </c>
      <c r="AJ1650" s="289">
        <f t="shared" si="128"/>
        <v>18</v>
      </c>
      <c r="AK1650" s="289">
        <f t="shared" si="129"/>
        <v>0.90022421999824775</v>
      </c>
    </row>
    <row r="1651" spans="1:37">
      <c r="A1651" s="703" t="s">
        <v>3169</v>
      </c>
      <c r="B1651" s="703" t="s">
        <v>2849</v>
      </c>
      <c r="C1651" s="703" t="s">
        <v>332</v>
      </c>
      <c r="D1651" s="703" t="s">
        <v>334</v>
      </c>
      <c r="E1651" s="703" t="s">
        <v>334</v>
      </c>
      <c r="F1651" s="703" t="s">
        <v>335</v>
      </c>
      <c r="G1651" s="703" t="s">
        <v>3039</v>
      </c>
      <c r="H1651" s="703" t="s">
        <v>334</v>
      </c>
      <c r="I1651" s="703" t="s">
        <v>334</v>
      </c>
      <c r="J1651" s="703" t="s">
        <v>337</v>
      </c>
      <c r="K1651" s="704">
        <v>0</v>
      </c>
      <c r="L1651" s="703" t="s">
        <v>334</v>
      </c>
      <c r="M1651" s="702">
        <v>42886</v>
      </c>
      <c r="N1651" s="702">
        <v>44516</v>
      </c>
      <c r="O1651" s="703" t="s">
        <v>338</v>
      </c>
      <c r="P1651" s="20">
        <v>19.3</v>
      </c>
      <c r="Q1651" s="20">
        <v>0</v>
      </c>
      <c r="R1651" s="20">
        <v>0</v>
      </c>
      <c r="S1651" s="20">
        <v>0</v>
      </c>
      <c r="T1651" s="20">
        <v>19.3</v>
      </c>
      <c r="U1651" s="20">
        <v>19.25</v>
      </c>
      <c r="V1651" s="20">
        <v>-0.05</v>
      </c>
      <c r="W1651" s="20">
        <v>-0.69</v>
      </c>
      <c r="X1651" s="20">
        <v>-0.64</v>
      </c>
      <c r="Y1651" s="20">
        <v>0</v>
      </c>
      <c r="Z1651" s="20">
        <v>0</v>
      </c>
      <c r="AA1651" s="20">
        <v>0</v>
      </c>
      <c r="AB1651" s="20">
        <v>18.61</v>
      </c>
      <c r="AC1651" t="s">
        <v>183</v>
      </c>
      <c r="AD1651" t="s">
        <v>290</v>
      </c>
      <c r="AE1651" s="702">
        <f t="shared" si="125"/>
        <v>44348</v>
      </c>
      <c r="AF1651" s="289">
        <v>22.161131946385439</v>
      </c>
      <c r="AG1651">
        <f t="shared" si="126"/>
        <v>360</v>
      </c>
      <c r="AH1651" s="289">
        <f t="shared" si="127"/>
        <v>6.155869985107066E-2</v>
      </c>
      <c r="AJ1651" s="289">
        <f t="shared" si="128"/>
        <v>18</v>
      </c>
      <c r="AK1651" s="289">
        <f t="shared" si="129"/>
        <v>1.108056597319272</v>
      </c>
    </row>
    <row r="1652" spans="1:37">
      <c r="A1652" s="703" t="s">
        <v>3170</v>
      </c>
      <c r="B1652" s="703" t="s">
        <v>2849</v>
      </c>
      <c r="C1652" s="703" t="s">
        <v>332</v>
      </c>
      <c r="D1652" s="703" t="s">
        <v>334</v>
      </c>
      <c r="E1652" s="703" t="s">
        <v>334</v>
      </c>
      <c r="F1652" s="703" t="s">
        <v>335</v>
      </c>
      <c r="G1652" s="703" t="s">
        <v>3039</v>
      </c>
      <c r="H1652" s="703" t="s">
        <v>334</v>
      </c>
      <c r="I1652" s="703" t="s">
        <v>334</v>
      </c>
      <c r="J1652" s="703" t="s">
        <v>337</v>
      </c>
      <c r="K1652" s="704">
        <v>0</v>
      </c>
      <c r="L1652" s="703" t="s">
        <v>334</v>
      </c>
      <c r="M1652" s="702">
        <v>42886</v>
      </c>
      <c r="N1652" s="702">
        <v>44516</v>
      </c>
      <c r="O1652" s="703" t="s">
        <v>338</v>
      </c>
      <c r="P1652" s="20">
        <v>48.03</v>
      </c>
      <c r="Q1652" s="20">
        <v>0</v>
      </c>
      <c r="R1652" s="20">
        <v>0</v>
      </c>
      <c r="S1652" s="20">
        <v>0</v>
      </c>
      <c r="T1652" s="20">
        <v>48.03</v>
      </c>
      <c r="U1652" s="20">
        <v>47.9</v>
      </c>
      <c r="V1652" s="20">
        <v>-0.13</v>
      </c>
      <c r="W1652" s="20">
        <v>-1.73</v>
      </c>
      <c r="X1652" s="20">
        <v>-1.6</v>
      </c>
      <c r="Y1652" s="20">
        <v>0</v>
      </c>
      <c r="Z1652" s="20">
        <v>0</v>
      </c>
      <c r="AA1652" s="20">
        <v>0</v>
      </c>
      <c r="AB1652" s="20">
        <v>46.3</v>
      </c>
      <c r="AC1652" t="s">
        <v>183</v>
      </c>
      <c r="AD1652" t="s">
        <v>290</v>
      </c>
      <c r="AE1652" s="702">
        <f t="shared" si="125"/>
        <v>44348</v>
      </c>
      <c r="AF1652" s="289">
        <v>55.150215926678378</v>
      </c>
      <c r="AG1652">
        <f t="shared" si="126"/>
        <v>360</v>
      </c>
      <c r="AH1652" s="289">
        <f t="shared" si="127"/>
        <v>0.15319504424077326</v>
      </c>
      <c r="AJ1652" s="289">
        <f t="shared" si="128"/>
        <v>18</v>
      </c>
      <c r="AK1652" s="289">
        <f t="shared" si="129"/>
        <v>2.7575107963339187</v>
      </c>
    </row>
    <row r="1653" spans="1:37">
      <c r="A1653" s="703" t="s">
        <v>3171</v>
      </c>
      <c r="B1653" s="703" t="s">
        <v>2849</v>
      </c>
      <c r="C1653" s="703" t="s">
        <v>332</v>
      </c>
      <c r="D1653" s="703" t="s">
        <v>334</v>
      </c>
      <c r="E1653" s="703" t="s">
        <v>334</v>
      </c>
      <c r="F1653" s="703" t="s">
        <v>335</v>
      </c>
      <c r="G1653" s="703" t="s">
        <v>3039</v>
      </c>
      <c r="H1653" s="703" t="s">
        <v>334</v>
      </c>
      <c r="I1653" s="703" t="s">
        <v>334</v>
      </c>
      <c r="J1653" s="703" t="s">
        <v>337</v>
      </c>
      <c r="K1653" s="704">
        <v>0</v>
      </c>
      <c r="L1653" s="703" t="s">
        <v>334</v>
      </c>
      <c r="M1653" s="702">
        <v>42886</v>
      </c>
      <c r="N1653" s="702">
        <v>44516</v>
      </c>
      <c r="O1653" s="703" t="s">
        <v>338</v>
      </c>
      <c r="P1653" s="20">
        <v>72.64</v>
      </c>
      <c r="Q1653" s="20">
        <v>0</v>
      </c>
      <c r="R1653" s="20">
        <v>0</v>
      </c>
      <c r="S1653" s="20">
        <v>0</v>
      </c>
      <c r="T1653" s="20">
        <v>72.64</v>
      </c>
      <c r="U1653" s="20">
        <v>72.44</v>
      </c>
      <c r="V1653" s="20">
        <v>-0.2</v>
      </c>
      <c r="W1653" s="20">
        <v>-2.62</v>
      </c>
      <c r="X1653" s="20">
        <v>-2.42</v>
      </c>
      <c r="Y1653" s="20">
        <v>0</v>
      </c>
      <c r="Z1653" s="20">
        <v>0</v>
      </c>
      <c r="AA1653" s="20">
        <v>0</v>
      </c>
      <c r="AB1653" s="20">
        <v>70.02</v>
      </c>
      <c r="AC1653" t="s">
        <v>183</v>
      </c>
      <c r="AD1653" t="s">
        <v>290</v>
      </c>
      <c r="AE1653" s="702">
        <f t="shared" si="125"/>
        <v>44348</v>
      </c>
      <c r="AF1653" s="289">
        <v>83.408529771266231</v>
      </c>
      <c r="AG1653">
        <f t="shared" si="126"/>
        <v>360</v>
      </c>
      <c r="AH1653" s="289">
        <f t="shared" si="127"/>
        <v>0.23169036047573954</v>
      </c>
      <c r="AJ1653" s="289">
        <f t="shared" si="128"/>
        <v>18</v>
      </c>
      <c r="AK1653" s="289">
        <f t="shared" si="129"/>
        <v>4.1704264885633116</v>
      </c>
    </row>
    <row r="1654" spans="1:37">
      <c r="A1654" s="703" t="s">
        <v>3172</v>
      </c>
      <c r="B1654" s="703" t="s">
        <v>2849</v>
      </c>
      <c r="C1654" s="703" t="s">
        <v>332</v>
      </c>
      <c r="D1654" s="703" t="s">
        <v>334</v>
      </c>
      <c r="E1654" s="703" t="s">
        <v>334</v>
      </c>
      <c r="F1654" s="703" t="s">
        <v>335</v>
      </c>
      <c r="G1654" s="703" t="s">
        <v>3039</v>
      </c>
      <c r="H1654" s="703" t="s">
        <v>334</v>
      </c>
      <c r="I1654" s="703" t="s">
        <v>334</v>
      </c>
      <c r="J1654" s="703" t="s">
        <v>337</v>
      </c>
      <c r="K1654" s="704">
        <v>0</v>
      </c>
      <c r="L1654" s="703" t="s">
        <v>334</v>
      </c>
      <c r="M1654" s="702">
        <v>42886</v>
      </c>
      <c r="N1654" s="702">
        <v>44516</v>
      </c>
      <c r="O1654" s="703" t="s">
        <v>338</v>
      </c>
      <c r="P1654" s="20">
        <v>25.78</v>
      </c>
      <c r="Q1654" s="20">
        <v>0</v>
      </c>
      <c r="R1654" s="20">
        <v>0</v>
      </c>
      <c r="S1654" s="20">
        <v>0</v>
      </c>
      <c r="T1654" s="20">
        <v>25.78</v>
      </c>
      <c r="U1654" s="20">
        <v>25.71</v>
      </c>
      <c r="V1654" s="20">
        <v>-7.0000000000000007E-2</v>
      </c>
      <c r="W1654" s="20">
        <v>-0.93</v>
      </c>
      <c r="X1654" s="20">
        <v>-0.86</v>
      </c>
      <c r="Y1654" s="20">
        <v>0</v>
      </c>
      <c r="Z1654" s="20">
        <v>0</v>
      </c>
      <c r="AA1654" s="20">
        <v>0</v>
      </c>
      <c r="AB1654" s="20">
        <v>24.85</v>
      </c>
      <c r="AC1654" t="s">
        <v>183</v>
      </c>
      <c r="AD1654" t="s">
        <v>290</v>
      </c>
      <c r="AE1654" s="702">
        <f t="shared" si="125"/>
        <v>44348</v>
      </c>
      <c r="AF1654" s="289">
        <v>29.601760703513815</v>
      </c>
      <c r="AG1654">
        <f t="shared" si="126"/>
        <v>360</v>
      </c>
      <c r="AH1654" s="289">
        <f t="shared" si="127"/>
        <v>8.2227113065316146E-2</v>
      </c>
      <c r="AJ1654" s="289">
        <f t="shared" si="128"/>
        <v>18</v>
      </c>
      <c r="AK1654" s="289">
        <f t="shared" si="129"/>
        <v>1.4800880351756907</v>
      </c>
    </row>
    <row r="1655" spans="1:37">
      <c r="A1655" s="703" t="s">
        <v>3173</v>
      </c>
      <c r="B1655" s="703" t="s">
        <v>2849</v>
      </c>
      <c r="C1655" s="703" t="s">
        <v>332</v>
      </c>
      <c r="D1655" s="703" t="s">
        <v>334</v>
      </c>
      <c r="E1655" s="703" t="s">
        <v>334</v>
      </c>
      <c r="F1655" s="703" t="s">
        <v>335</v>
      </c>
      <c r="G1655" s="703" t="s">
        <v>3039</v>
      </c>
      <c r="H1655" s="703" t="s">
        <v>334</v>
      </c>
      <c r="I1655" s="703" t="s">
        <v>334</v>
      </c>
      <c r="J1655" s="703" t="s">
        <v>337</v>
      </c>
      <c r="K1655" s="704">
        <v>0</v>
      </c>
      <c r="L1655" s="703" t="s">
        <v>334</v>
      </c>
      <c r="M1655" s="702">
        <v>42886</v>
      </c>
      <c r="N1655" s="702">
        <v>44516</v>
      </c>
      <c r="O1655" s="703" t="s">
        <v>338</v>
      </c>
      <c r="P1655" s="20">
        <v>375.44</v>
      </c>
      <c r="Q1655" s="20">
        <v>0</v>
      </c>
      <c r="R1655" s="20">
        <v>0</v>
      </c>
      <c r="S1655" s="20">
        <v>0</v>
      </c>
      <c r="T1655" s="20">
        <v>375.44</v>
      </c>
      <c r="U1655" s="20">
        <v>374.4</v>
      </c>
      <c r="V1655" s="20">
        <v>-1.04</v>
      </c>
      <c r="W1655" s="20">
        <v>-13.55</v>
      </c>
      <c r="X1655" s="20">
        <v>-12.51</v>
      </c>
      <c r="Y1655" s="20">
        <v>0</v>
      </c>
      <c r="Z1655" s="20">
        <v>0</v>
      </c>
      <c r="AA1655" s="20">
        <v>0</v>
      </c>
      <c r="AB1655" s="20">
        <v>361.89</v>
      </c>
      <c r="AC1655" t="s">
        <v>183</v>
      </c>
      <c r="AD1655" t="s">
        <v>290</v>
      </c>
      <c r="AE1655" s="702">
        <f t="shared" si="125"/>
        <v>44348</v>
      </c>
      <c r="AF1655" s="289">
        <v>431.0971698420181</v>
      </c>
      <c r="AG1655">
        <f t="shared" si="126"/>
        <v>360</v>
      </c>
      <c r="AH1655" s="289">
        <f t="shared" si="127"/>
        <v>1.1974921384500503</v>
      </c>
      <c r="AJ1655" s="289">
        <f t="shared" si="128"/>
        <v>18</v>
      </c>
      <c r="AK1655" s="289">
        <f t="shared" si="129"/>
        <v>21.554858492100905</v>
      </c>
    </row>
    <row r="1656" spans="1:37">
      <c r="A1656" s="703" t="s">
        <v>3174</v>
      </c>
      <c r="B1656" s="703" t="s">
        <v>2849</v>
      </c>
      <c r="C1656" s="703" t="s">
        <v>332</v>
      </c>
      <c r="D1656" s="703" t="s">
        <v>334</v>
      </c>
      <c r="E1656" s="703" t="s">
        <v>334</v>
      </c>
      <c r="F1656" s="703" t="s">
        <v>335</v>
      </c>
      <c r="G1656" s="703" t="s">
        <v>3039</v>
      </c>
      <c r="H1656" s="703" t="s">
        <v>334</v>
      </c>
      <c r="I1656" s="703" t="s">
        <v>334</v>
      </c>
      <c r="J1656" s="703" t="s">
        <v>337</v>
      </c>
      <c r="K1656" s="704">
        <v>0</v>
      </c>
      <c r="L1656" s="703" t="s">
        <v>334</v>
      </c>
      <c r="M1656" s="702">
        <v>42886</v>
      </c>
      <c r="N1656" s="702">
        <v>44516</v>
      </c>
      <c r="O1656" s="703" t="s">
        <v>338</v>
      </c>
      <c r="P1656" s="20">
        <v>202.67</v>
      </c>
      <c r="Q1656" s="20">
        <v>0</v>
      </c>
      <c r="R1656" s="20">
        <v>0</v>
      </c>
      <c r="S1656" s="20">
        <v>0</v>
      </c>
      <c r="T1656" s="20">
        <v>202.67</v>
      </c>
      <c r="U1656" s="20">
        <v>202.11</v>
      </c>
      <c r="V1656" s="20">
        <v>-0.56000000000000005</v>
      </c>
      <c r="W1656" s="20">
        <v>-7.32</v>
      </c>
      <c r="X1656" s="20">
        <v>-6.76</v>
      </c>
      <c r="Y1656" s="20">
        <v>0</v>
      </c>
      <c r="Z1656" s="20">
        <v>0</v>
      </c>
      <c r="AA1656" s="20">
        <v>0</v>
      </c>
      <c r="AB1656" s="20">
        <v>195.35</v>
      </c>
      <c r="AC1656" t="s">
        <v>183</v>
      </c>
      <c r="AD1656" t="s">
        <v>290</v>
      </c>
      <c r="AE1656" s="702">
        <f t="shared" si="125"/>
        <v>44348</v>
      </c>
      <c r="AF1656" s="289">
        <v>232.71485034061848</v>
      </c>
      <c r="AG1656">
        <f t="shared" si="126"/>
        <v>360</v>
      </c>
      <c r="AH1656" s="289">
        <f t="shared" si="127"/>
        <v>0.64643013983505138</v>
      </c>
      <c r="AJ1656" s="289">
        <f t="shared" si="128"/>
        <v>18</v>
      </c>
      <c r="AK1656" s="289">
        <f t="shared" si="129"/>
        <v>11.635742517030925</v>
      </c>
    </row>
    <row r="1657" spans="1:37">
      <c r="A1657" s="703" t="s">
        <v>3175</v>
      </c>
      <c r="B1657" s="703" t="s">
        <v>2849</v>
      </c>
      <c r="C1657" s="703" t="s">
        <v>332</v>
      </c>
      <c r="D1657" s="703" t="s">
        <v>334</v>
      </c>
      <c r="E1657" s="703" t="s">
        <v>334</v>
      </c>
      <c r="F1657" s="703" t="s">
        <v>335</v>
      </c>
      <c r="G1657" s="703" t="s">
        <v>3039</v>
      </c>
      <c r="H1657" s="703" t="s">
        <v>334</v>
      </c>
      <c r="I1657" s="703" t="s">
        <v>334</v>
      </c>
      <c r="J1657" s="703" t="s">
        <v>337</v>
      </c>
      <c r="K1657" s="704">
        <v>0</v>
      </c>
      <c r="L1657" s="703" t="s">
        <v>334</v>
      </c>
      <c r="M1657" s="702">
        <v>42886</v>
      </c>
      <c r="N1657" s="702">
        <v>44516</v>
      </c>
      <c r="O1657" s="703" t="s">
        <v>338</v>
      </c>
      <c r="P1657" s="20">
        <v>9.4700000000000006</v>
      </c>
      <c r="Q1657" s="20">
        <v>0</v>
      </c>
      <c r="R1657" s="20">
        <v>0</v>
      </c>
      <c r="S1657" s="20">
        <v>0</v>
      </c>
      <c r="T1657" s="20">
        <v>9.4700000000000006</v>
      </c>
      <c r="U1657" s="20">
        <v>9.44</v>
      </c>
      <c r="V1657" s="20">
        <v>-0.03</v>
      </c>
      <c r="W1657" s="20">
        <v>-0.35</v>
      </c>
      <c r="X1657" s="20">
        <v>-0.32</v>
      </c>
      <c r="Y1657" s="20">
        <v>0</v>
      </c>
      <c r="Z1657" s="20">
        <v>0</v>
      </c>
      <c r="AA1657" s="20">
        <v>0</v>
      </c>
      <c r="AB1657" s="20">
        <v>9.1199999999999992</v>
      </c>
      <c r="AC1657" t="s">
        <v>183</v>
      </c>
      <c r="AD1657" t="s">
        <v>290</v>
      </c>
      <c r="AE1657" s="702">
        <f t="shared" si="125"/>
        <v>44348</v>
      </c>
      <c r="AF1657" s="289">
        <v>10.873881841050265</v>
      </c>
      <c r="AG1657">
        <f t="shared" si="126"/>
        <v>360</v>
      </c>
      <c r="AH1657" s="289">
        <f t="shared" si="127"/>
        <v>3.0205227336250737E-2</v>
      </c>
      <c r="AJ1657" s="289">
        <f t="shared" si="128"/>
        <v>18</v>
      </c>
      <c r="AK1657" s="289">
        <f t="shared" si="129"/>
        <v>0.54369409205251329</v>
      </c>
    </row>
    <row r="1658" spans="1:37">
      <c r="A1658" s="703" t="s">
        <v>3176</v>
      </c>
      <c r="B1658" s="703" t="s">
        <v>2849</v>
      </c>
      <c r="C1658" s="703" t="s">
        <v>332</v>
      </c>
      <c r="D1658" s="703" t="s">
        <v>334</v>
      </c>
      <c r="E1658" s="703" t="s">
        <v>334</v>
      </c>
      <c r="F1658" s="703" t="s">
        <v>335</v>
      </c>
      <c r="G1658" s="703" t="s">
        <v>3039</v>
      </c>
      <c r="H1658" s="703" t="s">
        <v>334</v>
      </c>
      <c r="I1658" s="703" t="s">
        <v>334</v>
      </c>
      <c r="J1658" s="703" t="s">
        <v>337</v>
      </c>
      <c r="K1658" s="704">
        <v>0</v>
      </c>
      <c r="L1658" s="703" t="s">
        <v>334</v>
      </c>
      <c r="M1658" s="702">
        <v>42886</v>
      </c>
      <c r="N1658" s="702">
        <v>44516</v>
      </c>
      <c r="O1658" s="703" t="s">
        <v>338</v>
      </c>
      <c r="P1658" s="20">
        <v>304.55</v>
      </c>
      <c r="Q1658" s="20">
        <v>0</v>
      </c>
      <c r="R1658" s="20">
        <v>0</v>
      </c>
      <c r="S1658" s="20">
        <v>0</v>
      </c>
      <c r="T1658" s="20">
        <v>304.55</v>
      </c>
      <c r="U1658" s="20">
        <v>303.7</v>
      </c>
      <c r="V1658" s="20">
        <v>-0.85</v>
      </c>
      <c r="W1658" s="20">
        <v>-11</v>
      </c>
      <c r="X1658" s="20">
        <v>-10.15</v>
      </c>
      <c r="Y1658" s="20">
        <v>0</v>
      </c>
      <c r="Z1658" s="20">
        <v>0</v>
      </c>
      <c r="AA1658" s="20">
        <v>0</v>
      </c>
      <c r="AB1658" s="20">
        <v>293.55</v>
      </c>
      <c r="AC1658" t="s">
        <v>183</v>
      </c>
      <c r="AD1658" t="s">
        <v>290</v>
      </c>
      <c r="AE1658" s="702">
        <f t="shared" si="125"/>
        <v>44348</v>
      </c>
      <c r="AF1658" s="289">
        <v>349.698069133248</v>
      </c>
      <c r="AG1658">
        <f t="shared" si="126"/>
        <v>360</v>
      </c>
      <c r="AH1658" s="289">
        <f t="shared" si="127"/>
        <v>0.97138352537013328</v>
      </c>
      <c r="AJ1658" s="289">
        <f t="shared" si="128"/>
        <v>18</v>
      </c>
      <c r="AK1658" s="289">
        <f t="shared" si="129"/>
        <v>17.484903456662398</v>
      </c>
    </row>
    <row r="1659" spans="1:37">
      <c r="A1659" s="703" t="s">
        <v>3177</v>
      </c>
      <c r="B1659" s="703" t="s">
        <v>2849</v>
      </c>
      <c r="C1659" s="703" t="s">
        <v>332</v>
      </c>
      <c r="D1659" s="703" t="s">
        <v>334</v>
      </c>
      <c r="E1659" s="703" t="s">
        <v>334</v>
      </c>
      <c r="F1659" s="703" t="s">
        <v>335</v>
      </c>
      <c r="G1659" s="703" t="s">
        <v>3039</v>
      </c>
      <c r="H1659" s="703" t="s">
        <v>334</v>
      </c>
      <c r="I1659" s="703" t="s">
        <v>334</v>
      </c>
      <c r="J1659" s="703" t="s">
        <v>337</v>
      </c>
      <c r="K1659" s="704">
        <v>0</v>
      </c>
      <c r="L1659" s="703" t="s">
        <v>334</v>
      </c>
      <c r="M1659" s="702">
        <v>42886</v>
      </c>
      <c r="N1659" s="702">
        <v>44516</v>
      </c>
      <c r="O1659" s="703" t="s">
        <v>338</v>
      </c>
      <c r="P1659" s="20">
        <v>1074</v>
      </c>
      <c r="Q1659" s="20">
        <v>0</v>
      </c>
      <c r="R1659" s="20">
        <v>0</v>
      </c>
      <c r="S1659" s="20">
        <v>0</v>
      </c>
      <c r="T1659" s="20">
        <v>1074</v>
      </c>
      <c r="U1659" s="20">
        <v>1071.02</v>
      </c>
      <c r="V1659" s="20">
        <v>-2.98</v>
      </c>
      <c r="W1659" s="20">
        <v>-38.78</v>
      </c>
      <c r="X1659" s="20">
        <v>-35.799999999999997</v>
      </c>
      <c r="Y1659" s="20">
        <v>0</v>
      </c>
      <c r="Z1659" s="20">
        <v>0</v>
      </c>
      <c r="AA1659" s="20">
        <v>0</v>
      </c>
      <c r="AB1659" s="20">
        <v>1035.22</v>
      </c>
      <c r="AC1659" t="s">
        <v>183</v>
      </c>
      <c r="AD1659" t="s">
        <v>290</v>
      </c>
      <c r="AE1659" s="702">
        <f t="shared" si="125"/>
        <v>44348</v>
      </c>
      <c r="AF1659" s="289">
        <v>1233.215321783314</v>
      </c>
      <c r="AG1659">
        <f t="shared" si="126"/>
        <v>360</v>
      </c>
      <c r="AH1659" s="289">
        <f t="shared" si="127"/>
        <v>3.4255981160647613</v>
      </c>
      <c r="AJ1659" s="289">
        <f t="shared" si="128"/>
        <v>18</v>
      </c>
      <c r="AK1659" s="289">
        <f t="shared" si="129"/>
        <v>61.660766089165705</v>
      </c>
    </row>
    <row r="1660" spans="1:37">
      <c r="A1660" s="703" t="s">
        <v>3178</v>
      </c>
      <c r="B1660" s="703" t="s">
        <v>2849</v>
      </c>
      <c r="C1660" s="703" t="s">
        <v>332</v>
      </c>
      <c r="D1660" s="703" t="s">
        <v>334</v>
      </c>
      <c r="E1660" s="703" t="s">
        <v>334</v>
      </c>
      <c r="F1660" s="703" t="s">
        <v>335</v>
      </c>
      <c r="G1660" s="703" t="s">
        <v>3039</v>
      </c>
      <c r="H1660" s="703" t="s">
        <v>334</v>
      </c>
      <c r="I1660" s="703" t="s">
        <v>334</v>
      </c>
      <c r="J1660" s="703" t="s">
        <v>337</v>
      </c>
      <c r="K1660" s="704">
        <v>0</v>
      </c>
      <c r="L1660" s="703" t="s">
        <v>334</v>
      </c>
      <c r="M1660" s="702">
        <v>42886</v>
      </c>
      <c r="N1660" s="702">
        <v>44516</v>
      </c>
      <c r="O1660" s="703" t="s">
        <v>338</v>
      </c>
      <c r="P1660" s="20">
        <v>287.56</v>
      </c>
      <c r="Q1660" s="20">
        <v>0</v>
      </c>
      <c r="R1660" s="20">
        <v>0</v>
      </c>
      <c r="S1660" s="20">
        <v>0</v>
      </c>
      <c r="T1660" s="20">
        <v>287.56</v>
      </c>
      <c r="U1660" s="20">
        <v>286.76</v>
      </c>
      <c r="V1660" s="20">
        <v>-0.8</v>
      </c>
      <c r="W1660" s="20">
        <v>-10.39</v>
      </c>
      <c r="X1660" s="20">
        <v>-9.59</v>
      </c>
      <c r="Y1660" s="20">
        <v>0</v>
      </c>
      <c r="Z1660" s="20">
        <v>0</v>
      </c>
      <c r="AA1660" s="20">
        <v>0</v>
      </c>
      <c r="AB1660" s="20">
        <v>277.17</v>
      </c>
      <c r="AC1660" t="s">
        <v>183</v>
      </c>
      <c r="AD1660" t="s">
        <v>290</v>
      </c>
      <c r="AE1660" s="702">
        <f t="shared" si="125"/>
        <v>44348</v>
      </c>
      <c r="AF1660" s="289">
        <v>330.18938354935739</v>
      </c>
      <c r="AG1660">
        <f t="shared" si="126"/>
        <v>360</v>
      </c>
      <c r="AH1660" s="289">
        <f t="shared" si="127"/>
        <v>0.91719273208154828</v>
      </c>
      <c r="AJ1660" s="289">
        <f t="shared" si="128"/>
        <v>18</v>
      </c>
      <c r="AK1660" s="289">
        <f t="shared" si="129"/>
        <v>16.509469177467871</v>
      </c>
    </row>
    <row r="1661" spans="1:37">
      <c r="A1661" s="703" t="s">
        <v>3179</v>
      </c>
      <c r="B1661" s="703" t="s">
        <v>2849</v>
      </c>
      <c r="C1661" s="703" t="s">
        <v>332</v>
      </c>
      <c r="D1661" s="703" t="s">
        <v>334</v>
      </c>
      <c r="E1661" s="703" t="s">
        <v>334</v>
      </c>
      <c r="F1661" s="703" t="s">
        <v>335</v>
      </c>
      <c r="G1661" s="703" t="s">
        <v>3039</v>
      </c>
      <c r="H1661" s="703" t="s">
        <v>334</v>
      </c>
      <c r="I1661" s="703" t="s">
        <v>334</v>
      </c>
      <c r="J1661" s="703" t="s">
        <v>337</v>
      </c>
      <c r="K1661" s="704">
        <v>0</v>
      </c>
      <c r="L1661" s="703" t="s">
        <v>334</v>
      </c>
      <c r="M1661" s="702">
        <v>42886</v>
      </c>
      <c r="N1661" s="702">
        <v>44516</v>
      </c>
      <c r="O1661" s="703" t="s">
        <v>338</v>
      </c>
      <c r="P1661" s="20">
        <v>765.09</v>
      </c>
      <c r="Q1661" s="20">
        <v>0</v>
      </c>
      <c r="R1661" s="20">
        <v>0</v>
      </c>
      <c r="S1661" s="20">
        <v>0</v>
      </c>
      <c r="T1661" s="20">
        <v>765.09</v>
      </c>
      <c r="U1661" s="20">
        <v>762.96</v>
      </c>
      <c r="V1661" s="20">
        <v>-2.13</v>
      </c>
      <c r="W1661" s="20">
        <v>-27.63</v>
      </c>
      <c r="X1661" s="20">
        <v>-25.5</v>
      </c>
      <c r="Y1661" s="20">
        <v>0</v>
      </c>
      <c r="Z1661" s="20">
        <v>0</v>
      </c>
      <c r="AA1661" s="20">
        <v>0</v>
      </c>
      <c r="AB1661" s="20">
        <v>737.46</v>
      </c>
      <c r="AC1661" t="s">
        <v>183</v>
      </c>
      <c r="AD1661" t="s">
        <v>290</v>
      </c>
      <c r="AE1661" s="702">
        <f t="shared" si="125"/>
        <v>44348</v>
      </c>
      <c r="AF1661" s="289">
        <v>878.51090367150448</v>
      </c>
      <c r="AG1661">
        <f t="shared" si="126"/>
        <v>360</v>
      </c>
      <c r="AH1661" s="289">
        <f t="shared" si="127"/>
        <v>2.4403080657541789</v>
      </c>
      <c r="AJ1661" s="289">
        <f t="shared" si="128"/>
        <v>18</v>
      </c>
      <c r="AK1661" s="289">
        <f t="shared" si="129"/>
        <v>43.925545183575224</v>
      </c>
    </row>
    <row r="1662" spans="1:37">
      <c r="A1662" s="703" t="s">
        <v>3180</v>
      </c>
      <c r="B1662" s="703" t="s">
        <v>2849</v>
      </c>
      <c r="C1662" s="703" t="s">
        <v>332</v>
      </c>
      <c r="D1662" s="703" t="s">
        <v>334</v>
      </c>
      <c r="E1662" s="703" t="s">
        <v>334</v>
      </c>
      <c r="F1662" s="703" t="s">
        <v>335</v>
      </c>
      <c r="G1662" s="703" t="s">
        <v>3039</v>
      </c>
      <c r="H1662" s="703" t="s">
        <v>334</v>
      </c>
      <c r="I1662" s="703" t="s">
        <v>334</v>
      </c>
      <c r="J1662" s="703" t="s">
        <v>337</v>
      </c>
      <c r="K1662" s="704">
        <v>0</v>
      </c>
      <c r="L1662" s="703" t="s">
        <v>334</v>
      </c>
      <c r="M1662" s="702">
        <v>42886</v>
      </c>
      <c r="N1662" s="702">
        <v>44516</v>
      </c>
      <c r="O1662" s="703" t="s">
        <v>338</v>
      </c>
      <c r="P1662" s="20">
        <v>1452.79</v>
      </c>
      <c r="Q1662" s="20">
        <v>0</v>
      </c>
      <c r="R1662" s="20">
        <v>0</v>
      </c>
      <c r="S1662" s="20">
        <v>0</v>
      </c>
      <c r="T1662" s="20">
        <v>1452.79</v>
      </c>
      <c r="U1662" s="20">
        <v>1448.75</v>
      </c>
      <c r="V1662" s="20">
        <v>-4.04</v>
      </c>
      <c r="W1662" s="20">
        <v>-52.47</v>
      </c>
      <c r="X1662" s="20">
        <v>-48.43</v>
      </c>
      <c r="Y1662" s="20">
        <v>0</v>
      </c>
      <c r="Z1662" s="20">
        <v>0</v>
      </c>
      <c r="AA1662" s="20">
        <v>0</v>
      </c>
      <c r="AB1662" s="20">
        <v>1400.32</v>
      </c>
      <c r="AC1662" t="s">
        <v>183</v>
      </c>
      <c r="AD1662" t="s">
        <v>290</v>
      </c>
      <c r="AE1662" s="702">
        <f t="shared" si="125"/>
        <v>44348</v>
      </c>
      <c r="AF1662" s="289">
        <v>1668.1591129735391</v>
      </c>
      <c r="AG1662">
        <f t="shared" si="126"/>
        <v>360</v>
      </c>
      <c r="AH1662" s="289">
        <f t="shared" si="127"/>
        <v>4.6337753138153861</v>
      </c>
      <c r="AJ1662" s="289">
        <f t="shared" si="128"/>
        <v>18</v>
      </c>
      <c r="AK1662" s="289">
        <f t="shared" si="129"/>
        <v>83.407955648676946</v>
      </c>
    </row>
    <row r="1663" spans="1:37">
      <c r="A1663" s="703" t="s">
        <v>3181</v>
      </c>
      <c r="B1663" s="703" t="s">
        <v>2849</v>
      </c>
      <c r="C1663" s="703" t="s">
        <v>332</v>
      </c>
      <c r="D1663" s="703" t="s">
        <v>334</v>
      </c>
      <c r="E1663" s="703" t="s">
        <v>334</v>
      </c>
      <c r="F1663" s="703" t="s">
        <v>335</v>
      </c>
      <c r="G1663" s="703" t="s">
        <v>3039</v>
      </c>
      <c r="H1663" s="703" t="s">
        <v>334</v>
      </c>
      <c r="I1663" s="703" t="s">
        <v>334</v>
      </c>
      <c r="J1663" s="703" t="s">
        <v>337</v>
      </c>
      <c r="K1663" s="704">
        <v>0</v>
      </c>
      <c r="L1663" s="703" t="s">
        <v>334</v>
      </c>
      <c r="M1663" s="702">
        <v>42886</v>
      </c>
      <c r="N1663" s="702">
        <v>44516</v>
      </c>
      <c r="O1663" s="703" t="s">
        <v>338</v>
      </c>
      <c r="P1663" s="20">
        <v>2979.11</v>
      </c>
      <c r="Q1663" s="20">
        <v>0</v>
      </c>
      <c r="R1663" s="20">
        <v>0</v>
      </c>
      <c r="S1663" s="20">
        <v>0</v>
      </c>
      <c r="T1663" s="20">
        <v>2979.11</v>
      </c>
      <c r="U1663" s="20">
        <v>2970.83</v>
      </c>
      <c r="V1663" s="20">
        <v>-8.2799999999999994</v>
      </c>
      <c r="W1663" s="20">
        <v>-107.58</v>
      </c>
      <c r="X1663" s="20">
        <v>-99.3</v>
      </c>
      <c r="Y1663" s="20">
        <v>0</v>
      </c>
      <c r="Z1663" s="20">
        <v>0</v>
      </c>
      <c r="AA1663" s="20">
        <v>0</v>
      </c>
      <c r="AB1663" s="20">
        <v>2871.53</v>
      </c>
      <c r="AC1663" t="s">
        <v>183</v>
      </c>
      <c r="AD1663" t="s">
        <v>290</v>
      </c>
      <c r="AE1663" s="702">
        <f t="shared" si="125"/>
        <v>44348</v>
      </c>
      <c r="AF1663" s="289">
        <v>3420.7486939272708</v>
      </c>
      <c r="AG1663">
        <f t="shared" si="126"/>
        <v>360</v>
      </c>
      <c r="AH1663" s="289">
        <f t="shared" si="127"/>
        <v>9.5020797053535304</v>
      </c>
      <c r="AJ1663" s="289">
        <f t="shared" si="128"/>
        <v>18</v>
      </c>
      <c r="AK1663" s="289">
        <f t="shared" si="129"/>
        <v>171.03743469636356</v>
      </c>
    </row>
    <row r="1664" spans="1:37">
      <c r="A1664" s="703" t="s">
        <v>3182</v>
      </c>
      <c r="B1664" s="703" t="s">
        <v>2849</v>
      </c>
      <c r="C1664" s="703" t="s">
        <v>332</v>
      </c>
      <c r="D1664" s="703" t="s">
        <v>334</v>
      </c>
      <c r="E1664" s="703" t="s">
        <v>334</v>
      </c>
      <c r="F1664" s="703" t="s">
        <v>335</v>
      </c>
      <c r="G1664" s="703" t="s">
        <v>3039</v>
      </c>
      <c r="H1664" s="703" t="s">
        <v>334</v>
      </c>
      <c r="I1664" s="703" t="s">
        <v>334</v>
      </c>
      <c r="J1664" s="703" t="s">
        <v>337</v>
      </c>
      <c r="K1664" s="704">
        <v>0</v>
      </c>
      <c r="L1664" s="703" t="s">
        <v>334</v>
      </c>
      <c r="M1664" s="702">
        <v>42886</v>
      </c>
      <c r="N1664" s="702">
        <v>44516</v>
      </c>
      <c r="O1664" s="703" t="s">
        <v>338</v>
      </c>
      <c r="P1664" s="20">
        <v>7233.62</v>
      </c>
      <c r="Q1664" s="20">
        <v>0</v>
      </c>
      <c r="R1664" s="20">
        <v>0</v>
      </c>
      <c r="S1664" s="20">
        <v>0</v>
      </c>
      <c r="T1664" s="20">
        <v>7233.62</v>
      </c>
      <c r="U1664" s="20">
        <v>7213.53</v>
      </c>
      <c r="V1664" s="20">
        <v>-20.09</v>
      </c>
      <c r="W1664" s="20">
        <v>-261.20999999999998</v>
      </c>
      <c r="X1664" s="20">
        <v>-241.12</v>
      </c>
      <c r="Y1664" s="20">
        <v>0</v>
      </c>
      <c r="Z1664" s="20">
        <v>0</v>
      </c>
      <c r="AA1664" s="20">
        <v>0</v>
      </c>
      <c r="AB1664" s="20">
        <v>6972.41</v>
      </c>
      <c r="AC1664" t="s">
        <v>183</v>
      </c>
      <c r="AD1664" t="s">
        <v>290</v>
      </c>
      <c r="AE1664" s="702">
        <f t="shared" si="125"/>
        <v>44348</v>
      </c>
      <c r="AF1664" s="289">
        <v>8305.969288601691</v>
      </c>
      <c r="AG1664">
        <f t="shared" si="126"/>
        <v>360</v>
      </c>
      <c r="AH1664" s="289">
        <f t="shared" si="127"/>
        <v>23.072136912782476</v>
      </c>
      <c r="AJ1664" s="289">
        <f t="shared" si="128"/>
        <v>18</v>
      </c>
      <c r="AK1664" s="289">
        <f t="shared" si="129"/>
        <v>415.29846443008455</v>
      </c>
    </row>
    <row r="1665" spans="1:37">
      <c r="A1665" s="703" t="s">
        <v>3183</v>
      </c>
      <c r="B1665" s="703" t="s">
        <v>2849</v>
      </c>
      <c r="C1665" s="703" t="s">
        <v>332</v>
      </c>
      <c r="D1665" s="703" t="s">
        <v>334</v>
      </c>
      <c r="E1665" s="703" t="s">
        <v>334</v>
      </c>
      <c r="F1665" s="703" t="s">
        <v>335</v>
      </c>
      <c r="G1665" s="703" t="s">
        <v>3039</v>
      </c>
      <c r="H1665" s="703" t="s">
        <v>334</v>
      </c>
      <c r="I1665" s="703" t="s">
        <v>334</v>
      </c>
      <c r="J1665" s="703" t="s">
        <v>337</v>
      </c>
      <c r="K1665" s="704">
        <v>0</v>
      </c>
      <c r="L1665" s="703" t="s">
        <v>334</v>
      </c>
      <c r="M1665" s="702">
        <v>42886</v>
      </c>
      <c r="N1665" s="702">
        <v>44516</v>
      </c>
      <c r="O1665" s="703" t="s">
        <v>338</v>
      </c>
      <c r="P1665" s="20">
        <v>1080.67</v>
      </c>
      <c r="Q1665" s="20">
        <v>0</v>
      </c>
      <c r="R1665" s="20">
        <v>0</v>
      </c>
      <c r="S1665" s="20">
        <v>0</v>
      </c>
      <c r="T1665" s="20">
        <v>1080.67</v>
      </c>
      <c r="U1665" s="20">
        <v>1077.67</v>
      </c>
      <c r="V1665" s="20">
        <v>-3</v>
      </c>
      <c r="W1665" s="20">
        <v>-39.020000000000003</v>
      </c>
      <c r="X1665" s="20">
        <v>-36.020000000000003</v>
      </c>
      <c r="Y1665" s="20">
        <v>0</v>
      </c>
      <c r="Z1665" s="20">
        <v>0</v>
      </c>
      <c r="AA1665" s="20">
        <v>0</v>
      </c>
      <c r="AB1665" s="20">
        <v>1041.6500000000001</v>
      </c>
      <c r="AC1665" t="s">
        <v>183</v>
      </c>
      <c r="AD1665" t="s">
        <v>290</v>
      </c>
      <c r="AE1665" s="702">
        <f t="shared" si="125"/>
        <v>44348</v>
      </c>
      <c r="AF1665" s="289">
        <v>1240.8741171243707</v>
      </c>
      <c r="AG1665">
        <f t="shared" si="126"/>
        <v>360</v>
      </c>
      <c r="AH1665" s="289">
        <f t="shared" si="127"/>
        <v>3.4468725475676965</v>
      </c>
      <c r="AJ1665" s="289">
        <f t="shared" si="128"/>
        <v>18</v>
      </c>
      <c r="AK1665" s="289">
        <f t="shared" si="129"/>
        <v>62.043705856218537</v>
      </c>
    </row>
    <row r="1666" spans="1:37">
      <c r="A1666" s="703" t="s">
        <v>3184</v>
      </c>
      <c r="B1666" s="703" t="s">
        <v>2849</v>
      </c>
      <c r="C1666" s="703" t="s">
        <v>332</v>
      </c>
      <c r="D1666" s="703" t="s">
        <v>334</v>
      </c>
      <c r="E1666" s="703" t="s">
        <v>334</v>
      </c>
      <c r="F1666" s="703" t="s">
        <v>335</v>
      </c>
      <c r="G1666" s="703" t="s">
        <v>3039</v>
      </c>
      <c r="H1666" s="703" t="s">
        <v>334</v>
      </c>
      <c r="I1666" s="703" t="s">
        <v>334</v>
      </c>
      <c r="J1666" s="703" t="s">
        <v>337</v>
      </c>
      <c r="K1666" s="704">
        <v>0</v>
      </c>
      <c r="L1666" s="703" t="s">
        <v>334</v>
      </c>
      <c r="M1666" s="702">
        <v>42886</v>
      </c>
      <c r="N1666" s="702">
        <v>44516</v>
      </c>
      <c r="O1666" s="703" t="s">
        <v>338</v>
      </c>
      <c r="P1666" s="20">
        <v>78.72</v>
      </c>
      <c r="Q1666" s="20">
        <v>0</v>
      </c>
      <c r="R1666" s="20">
        <v>0</v>
      </c>
      <c r="S1666" s="20">
        <v>0</v>
      </c>
      <c r="T1666" s="20">
        <v>78.72</v>
      </c>
      <c r="U1666" s="20">
        <v>78.5</v>
      </c>
      <c r="V1666" s="20">
        <v>-0.22</v>
      </c>
      <c r="W1666" s="20">
        <v>-2.84</v>
      </c>
      <c r="X1666" s="20">
        <v>-2.62</v>
      </c>
      <c r="Y1666" s="20">
        <v>0</v>
      </c>
      <c r="Z1666" s="20">
        <v>0</v>
      </c>
      <c r="AA1666" s="20">
        <v>0</v>
      </c>
      <c r="AB1666" s="20">
        <v>75.88</v>
      </c>
      <c r="AC1666" t="s">
        <v>183</v>
      </c>
      <c r="AD1666" t="s">
        <v>290</v>
      </c>
      <c r="AE1666" s="702">
        <f t="shared" si="125"/>
        <v>44348</v>
      </c>
      <c r="AF1666" s="289">
        <v>90.389860456966929</v>
      </c>
      <c r="AG1666">
        <f t="shared" si="126"/>
        <v>360</v>
      </c>
      <c r="AH1666" s="289">
        <f t="shared" si="127"/>
        <v>0.25108294571379702</v>
      </c>
      <c r="AJ1666" s="289">
        <f t="shared" si="128"/>
        <v>18</v>
      </c>
      <c r="AK1666" s="289">
        <f t="shared" si="129"/>
        <v>4.5194930228483461</v>
      </c>
    </row>
    <row r="1667" spans="1:37">
      <c r="A1667" s="703" t="s">
        <v>3185</v>
      </c>
      <c r="B1667" s="703" t="s">
        <v>2849</v>
      </c>
      <c r="C1667" s="703" t="s">
        <v>332</v>
      </c>
      <c r="D1667" s="703" t="s">
        <v>334</v>
      </c>
      <c r="E1667" s="703" t="s">
        <v>334</v>
      </c>
      <c r="F1667" s="703" t="s">
        <v>335</v>
      </c>
      <c r="G1667" s="703" t="s">
        <v>3186</v>
      </c>
      <c r="H1667" s="703" t="s">
        <v>334</v>
      </c>
      <c r="I1667" s="703" t="s">
        <v>334</v>
      </c>
      <c r="J1667" s="703" t="s">
        <v>337</v>
      </c>
      <c r="K1667" s="704">
        <v>0</v>
      </c>
      <c r="L1667" s="703" t="s">
        <v>334</v>
      </c>
      <c r="M1667" s="702">
        <v>42886</v>
      </c>
      <c r="N1667" s="702">
        <v>44516</v>
      </c>
      <c r="O1667" s="703" t="s">
        <v>338</v>
      </c>
      <c r="P1667" s="20">
        <v>5.23</v>
      </c>
      <c r="Q1667" s="20">
        <v>0</v>
      </c>
      <c r="R1667" s="20">
        <v>0</v>
      </c>
      <c r="S1667" s="20">
        <v>0</v>
      </c>
      <c r="T1667" s="20">
        <v>5.23</v>
      </c>
      <c r="U1667" s="20">
        <v>5.22</v>
      </c>
      <c r="V1667" s="20">
        <v>-0.01</v>
      </c>
      <c r="W1667" s="20">
        <v>-0.18</v>
      </c>
      <c r="X1667" s="20">
        <v>-0.17</v>
      </c>
      <c r="Y1667" s="20">
        <v>0</v>
      </c>
      <c r="Z1667" s="20">
        <v>0</v>
      </c>
      <c r="AA1667" s="20">
        <v>0</v>
      </c>
      <c r="AB1667" s="20">
        <v>5.05</v>
      </c>
      <c r="AC1667" t="s">
        <v>183</v>
      </c>
      <c r="AD1667" t="s">
        <v>290</v>
      </c>
      <c r="AE1667" s="702">
        <f t="shared" si="125"/>
        <v>44348</v>
      </c>
      <c r="AF1667" s="289">
        <v>6.0053222839168834</v>
      </c>
      <c r="AG1667">
        <f t="shared" si="126"/>
        <v>360</v>
      </c>
      <c r="AH1667" s="289">
        <f t="shared" si="127"/>
        <v>1.6681450788658011E-2</v>
      </c>
      <c r="AJ1667" s="289">
        <f t="shared" si="128"/>
        <v>18</v>
      </c>
      <c r="AK1667" s="289">
        <f t="shared" si="129"/>
        <v>0.3002661141958442</v>
      </c>
    </row>
    <row r="1668" spans="1:37">
      <c r="A1668" s="703" t="s">
        <v>3187</v>
      </c>
      <c r="B1668" s="703" t="s">
        <v>2849</v>
      </c>
      <c r="C1668" s="703" t="s">
        <v>332</v>
      </c>
      <c r="D1668" s="703" t="s">
        <v>334</v>
      </c>
      <c r="E1668" s="703" t="s">
        <v>334</v>
      </c>
      <c r="F1668" s="703" t="s">
        <v>335</v>
      </c>
      <c r="G1668" s="703" t="s">
        <v>3186</v>
      </c>
      <c r="H1668" s="703" t="s">
        <v>334</v>
      </c>
      <c r="I1668" s="703" t="s">
        <v>334</v>
      </c>
      <c r="J1668" s="703" t="s">
        <v>337</v>
      </c>
      <c r="K1668" s="704">
        <v>0</v>
      </c>
      <c r="L1668" s="703" t="s">
        <v>334</v>
      </c>
      <c r="M1668" s="702">
        <v>42886</v>
      </c>
      <c r="N1668" s="702">
        <v>44516</v>
      </c>
      <c r="O1668" s="703" t="s">
        <v>338</v>
      </c>
      <c r="P1668" s="20">
        <v>151.65</v>
      </c>
      <c r="Q1668" s="20">
        <v>0</v>
      </c>
      <c r="R1668" s="20">
        <v>0</v>
      </c>
      <c r="S1668" s="20">
        <v>0</v>
      </c>
      <c r="T1668" s="20">
        <v>151.65</v>
      </c>
      <c r="U1668" s="20">
        <v>151.22999999999999</v>
      </c>
      <c r="V1668" s="20">
        <v>-0.42</v>
      </c>
      <c r="W1668" s="20">
        <v>-5.48</v>
      </c>
      <c r="X1668" s="20">
        <v>-5.0599999999999996</v>
      </c>
      <c r="Y1668" s="20">
        <v>0</v>
      </c>
      <c r="Z1668" s="20">
        <v>0</v>
      </c>
      <c r="AA1668" s="20">
        <v>0</v>
      </c>
      <c r="AB1668" s="20">
        <v>146.16999999999999</v>
      </c>
      <c r="AC1668" t="s">
        <v>183</v>
      </c>
      <c r="AD1668" t="s">
        <v>290</v>
      </c>
      <c r="AE1668" s="702">
        <f t="shared" si="125"/>
        <v>44348</v>
      </c>
      <c r="AF1668" s="289">
        <v>174.13138133001826</v>
      </c>
      <c r="AG1668">
        <f t="shared" si="126"/>
        <v>360</v>
      </c>
      <c r="AH1668" s="289">
        <f t="shared" si="127"/>
        <v>0.48369828147227295</v>
      </c>
      <c r="AJ1668" s="289">
        <f t="shared" si="128"/>
        <v>18</v>
      </c>
      <c r="AK1668" s="289">
        <f t="shared" si="129"/>
        <v>8.7065690665009132</v>
      </c>
    </row>
    <row r="1669" spans="1:37">
      <c r="A1669" s="703" t="s">
        <v>3188</v>
      </c>
      <c r="B1669" s="703" t="s">
        <v>2849</v>
      </c>
      <c r="C1669" s="703" t="s">
        <v>332</v>
      </c>
      <c r="D1669" s="703" t="s">
        <v>334</v>
      </c>
      <c r="E1669" s="703" t="s">
        <v>334</v>
      </c>
      <c r="F1669" s="703" t="s">
        <v>335</v>
      </c>
      <c r="G1669" s="703" t="s">
        <v>3186</v>
      </c>
      <c r="H1669" s="703" t="s">
        <v>334</v>
      </c>
      <c r="I1669" s="703" t="s">
        <v>334</v>
      </c>
      <c r="J1669" s="703" t="s">
        <v>337</v>
      </c>
      <c r="K1669" s="704">
        <v>0</v>
      </c>
      <c r="L1669" s="703" t="s">
        <v>334</v>
      </c>
      <c r="M1669" s="702">
        <v>42886</v>
      </c>
      <c r="N1669" s="702">
        <v>44516</v>
      </c>
      <c r="O1669" s="703" t="s">
        <v>338</v>
      </c>
      <c r="P1669" s="20">
        <v>202.67</v>
      </c>
      <c r="Q1669" s="20">
        <v>0</v>
      </c>
      <c r="R1669" s="20">
        <v>0</v>
      </c>
      <c r="S1669" s="20">
        <v>0</v>
      </c>
      <c r="T1669" s="20">
        <v>202.67</v>
      </c>
      <c r="U1669" s="20">
        <v>202.11</v>
      </c>
      <c r="V1669" s="20">
        <v>-0.56000000000000005</v>
      </c>
      <c r="W1669" s="20">
        <v>-7.32</v>
      </c>
      <c r="X1669" s="20">
        <v>-6.76</v>
      </c>
      <c r="Y1669" s="20">
        <v>0</v>
      </c>
      <c r="Z1669" s="20">
        <v>0</v>
      </c>
      <c r="AA1669" s="20">
        <v>0</v>
      </c>
      <c r="AB1669" s="20">
        <v>195.35</v>
      </c>
      <c r="AC1669" t="s">
        <v>183</v>
      </c>
      <c r="AD1669" t="s">
        <v>290</v>
      </c>
      <c r="AE1669" s="702">
        <f t="shared" si="125"/>
        <v>44348</v>
      </c>
      <c r="AF1669" s="289">
        <v>232.71485034061848</v>
      </c>
      <c r="AG1669">
        <f t="shared" si="126"/>
        <v>360</v>
      </c>
      <c r="AH1669" s="289">
        <f t="shared" si="127"/>
        <v>0.64643013983505138</v>
      </c>
      <c r="AJ1669" s="289">
        <f t="shared" si="128"/>
        <v>18</v>
      </c>
      <c r="AK1669" s="289">
        <f t="shared" si="129"/>
        <v>11.635742517030925</v>
      </c>
    </row>
    <row r="1670" spans="1:37">
      <c r="A1670" s="703" t="s">
        <v>3189</v>
      </c>
      <c r="B1670" s="703" t="s">
        <v>2849</v>
      </c>
      <c r="C1670" s="703" t="s">
        <v>332</v>
      </c>
      <c r="D1670" s="703" t="s">
        <v>334</v>
      </c>
      <c r="E1670" s="703" t="s">
        <v>334</v>
      </c>
      <c r="F1670" s="703" t="s">
        <v>335</v>
      </c>
      <c r="G1670" s="703" t="s">
        <v>3186</v>
      </c>
      <c r="H1670" s="703" t="s">
        <v>334</v>
      </c>
      <c r="I1670" s="703" t="s">
        <v>334</v>
      </c>
      <c r="J1670" s="703" t="s">
        <v>337</v>
      </c>
      <c r="K1670" s="704">
        <v>0</v>
      </c>
      <c r="L1670" s="703" t="s">
        <v>334</v>
      </c>
      <c r="M1670" s="702">
        <v>42886</v>
      </c>
      <c r="N1670" s="702">
        <v>44516</v>
      </c>
      <c r="O1670" s="703" t="s">
        <v>338</v>
      </c>
      <c r="P1670" s="20">
        <v>103.47</v>
      </c>
      <c r="Q1670" s="20">
        <v>0</v>
      </c>
      <c r="R1670" s="20">
        <v>0</v>
      </c>
      <c r="S1670" s="20">
        <v>0</v>
      </c>
      <c r="T1670" s="20">
        <v>103.47</v>
      </c>
      <c r="U1670" s="20">
        <v>103.18</v>
      </c>
      <c r="V1670" s="20">
        <v>-0.28999999999999998</v>
      </c>
      <c r="W1670" s="20">
        <v>-3.74</v>
      </c>
      <c r="X1670" s="20">
        <v>-3.45</v>
      </c>
      <c r="Y1670" s="20">
        <v>0</v>
      </c>
      <c r="Z1670" s="20">
        <v>0</v>
      </c>
      <c r="AA1670" s="20">
        <v>0</v>
      </c>
      <c r="AB1670" s="20">
        <v>99.73</v>
      </c>
      <c r="AC1670" t="s">
        <v>183</v>
      </c>
      <c r="AD1670" t="s">
        <v>290</v>
      </c>
      <c r="AE1670" s="702">
        <f t="shared" si="125"/>
        <v>44348</v>
      </c>
      <c r="AF1670" s="289">
        <v>118.80892862655448</v>
      </c>
      <c r="AG1670">
        <f t="shared" si="126"/>
        <v>360</v>
      </c>
      <c r="AH1670" s="289">
        <f t="shared" si="127"/>
        <v>0.33002480174042909</v>
      </c>
      <c r="AJ1670" s="289">
        <f t="shared" si="128"/>
        <v>18</v>
      </c>
      <c r="AK1670" s="289">
        <f t="shared" si="129"/>
        <v>5.9404464313277234</v>
      </c>
    </row>
    <row r="1671" spans="1:37">
      <c r="A1671" s="703" t="s">
        <v>3190</v>
      </c>
      <c r="B1671" s="703" t="s">
        <v>2849</v>
      </c>
      <c r="C1671" s="703" t="s">
        <v>332</v>
      </c>
      <c r="D1671" s="703" t="s">
        <v>334</v>
      </c>
      <c r="E1671" s="703" t="s">
        <v>334</v>
      </c>
      <c r="F1671" s="703" t="s">
        <v>335</v>
      </c>
      <c r="G1671" s="703" t="s">
        <v>3186</v>
      </c>
      <c r="H1671" s="703" t="s">
        <v>334</v>
      </c>
      <c r="I1671" s="703" t="s">
        <v>334</v>
      </c>
      <c r="J1671" s="703" t="s">
        <v>337</v>
      </c>
      <c r="K1671" s="704">
        <v>0</v>
      </c>
      <c r="L1671" s="703" t="s">
        <v>334</v>
      </c>
      <c r="M1671" s="702">
        <v>42886</v>
      </c>
      <c r="N1671" s="702">
        <v>44516</v>
      </c>
      <c r="O1671" s="703" t="s">
        <v>338</v>
      </c>
      <c r="P1671" s="20">
        <v>197.38</v>
      </c>
      <c r="Q1671" s="20">
        <v>0</v>
      </c>
      <c r="R1671" s="20">
        <v>0</v>
      </c>
      <c r="S1671" s="20">
        <v>0</v>
      </c>
      <c r="T1671" s="20">
        <v>197.38</v>
      </c>
      <c r="U1671" s="20">
        <v>196.83</v>
      </c>
      <c r="V1671" s="20">
        <v>-0.55000000000000004</v>
      </c>
      <c r="W1671" s="20">
        <v>-7.13</v>
      </c>
      <c r="X1671" s="20">
        <v>-6.58</v>
      </c>
      <c r="Y1671" s="20">
        <v>0</v>
      </c>
      <c r="Z1671" s="20">
        <v>0</v>
      </c>
      <c r="AA1671" s="20">
        <v>0</v>
      </c>
      <c r="AB1671" s="20">
        <v>190.25</v>
      </c>
      <c r="AC1671" t="s">
        <v>183</v>
      </c>
      <c r="AD1671" t="s">
        <v>290</v>
      </c>
      <c r="AE1671" s="702">
        <f t="shared" ref="AE1671:AE1734" si="130">IF(N1671&gt;=$AG$5,DATE(YEAR(N1671),6,1),DATE(YEAR(N1671),6,1))</f>
        <v>44348</v>
      </c>
      <c r="AF1671" s="289">
        <v>226.64063334598745</v>
      </c>
      <c r="AG1671">
        <f t="shared" ref="AG1671:AG1734" si="131">+IF(AD1671="intangível",20*12,IF(AD1671="Diferido",120,IF(AD1671="Não vinculados",0,IF(AE1671&lt;=$AG$5,F1671*12,360))))</f>
        <v>360</v>
      </c>
      <c r="AH1671" s="289">
        <f t="shared" ref="AH1671:AH1734" si="132">IF(AG1671=0,0,AF1671/AG1671)</f>
        <v>0.62955731484996513</v>
      </c>
      <c r="AJ1671" s="289">
        <f t="shared" ref="AJ1671:AJ1734" si="133">+IF(AND(YEAR(AE1671)&gt;=2018,YEAR(AE1671)&lt;=2022),IF(DATEDIF(AE1671,$AK$4,"m")&gt;=AG1671,AG1671,DATEDIF(AE1671,$AK$4,"m")),0)</f>
        <v>18</v>
      </c>
      <c r="AK1671" s="289">
        <f t="shared" ref="AK1671:AK1734" si="134">IF(AD1671="Imobilizado",AJ1671*AH1671,0)</f>
        <v>11.332031667299372</v>
      </c>
    </row>
    <row r="1672" spans="1:37">
      <c r="A1672" s="703" t="s">
        <v>3191</v>
      </c>
      <c r="B1672" s="703" t="s">
        <v>2849</v>
      </c>
      <c r="C1672" s="703" t="s">
        <v>332</v>
      </c>
      <c r="D1672" s="703" t="s">
        <v>334</v>
      </c>
      <c r="E1672" s="703" t="s">
        <v>334</v>
      </c>
      <c r="F1672" s="703" t="s">
        <v>335</v>
      </c>
      <c r="G1672" s="703" t="s">
        <v>3186</v>
      </c>
      <c r="H1672" s="703" t="s">
        <v>334</v>
      </c>
      <c r="I1672" s="703" t="s">
        <v>334</v>
      </c>
      <c r="J1672" s="703" t="s">
        <v>337</v>
      </c>
      <c r="K1672" s="704">
        <v>0</v>
      </c>
      <c r="L1672" s="703" t="s">
        <v>334</v>
      </c>
      <c r="M1672" s="702">
        <v>42886</v>
      </c>
      <c r="N1672" s="702">
        <v>44516</v>
      </c>
      <c r="O1672" s="703" t="s">
        <v>338</v>
      </c>
      <c r="P1672" s="20">
        <v>32.24</v>
      </c>
      <c r="Q1672" s="20">
        <v>0</v>
      </c>
      <c r="R1672" s="20">
        <v>0</v>
      </c>
      <c r="S1672" s="20">
        <v>0</v>
      </c>
      <c r="T1672" s="20">
        <v>32.24</v>
      </c>
      <c r="U1672" s="20">
        <v>32.15</v>
      </c>
      <c r="V1672" s="20">
        <v>-0.09</v>
      </c>
      <c r="W1672" s="20">
        <v>-1.1599999999999999</v>
      </c>
      <c r="X1672" s="20">
        <v>-1.07</v>
      </c>
      <c r="Y1672" s="20">
        <v>0</v>
      </c>
      <c r="Z1672" s="20">
        <v>0</v>
      </c>
      <c r="AA1672" s="20">
        <v>0</v>
      </c>
      <c r="AB1672" s="20">
        <v>31.08</v>
      </c>
      <c r="AC1672" t="s">
        <v>183</v>
      </c>
      <c r="AD1672" t="s">
        <v>290</v>
      </c>
      <c r="AE1672" s="702">
        <f t="shared" si="130"/>
        <v>44348</v>
      </c>
      <c r="AF1672" s="289">
        <v>37.019424557070813</v>
      </c>
      <c r="AG1672">
        <f t="shared" si="131"/>
        <v>360</v>
      </c>
      <c r="AH1672" s="289">
        <f t="shared" si="132"/>
        <v>0.10283173488075226</v>
      </c>
      <c r="AJ1672" s="289">
        <f t="shared" si="133"/>
        <v>18</v>
      </c>
      <c r="AK1672" s="289">
        <f t="shared" si="134"/>
        <v>1.8509712278535406</v>
      </c>
    </row>
    <row r="1673" spans="1:37">
      <c r="A1673" s="703" t="s">
        <v>3192</v>
      </c>
      <c r="B1673" s="703" t="s">
        <v>2849</v>
      </c>
      <c r="C1673" s="703" t="s">
        <v>332</v>
      </c>
      <c r="D1673" s="703" t="s">
        <v>334</v>
      </c>
      <c r="E1673" s="703" t="s">
        <v>334</v>
      </c>
      <c r="F1673" s="703" t="s">
        <v>335</v>
      </c>
      <c r="G1673" s="703" t="s">
        <v>3186</v>
      </c>
      <c r="H1673" s="703" t="s">
        <v>334</v>
      </c>
      <c r="I1673" s="703" t="s">
        <v>334</v>
      </c>
      <c r="J1673" s="703" t="s">
        <v>337</v>
      </c>
      <c r="K1673" s="704">
        <v>0</v>
      </c>
      <c r="L1673" s="703" t="s">
        <v>334</v>
      </c>
      <c r="M1673" s="702">
        <v>42886</v>
      </c>
      <c r="N1673" s="702">
        <v>44516</v>
      </c>
      <c r="O1673" s="703" t="s">
        <v>338</v>
      </c>
      <c r="P1673" s="20">
        <v>125.6</v>
      </c>
      <c r="Q1673" s="20">
        <v>0</v>
      </c>
      <c r="R1673" s="20">
        <v>0</v>
      </c>
      <c r="S1673" s="20">
        <v>0</v>
      </c>
      <c r="T1673" s="20">
        <v>125.6</v>
      </c>
      <c r="U1673" s="20">
        <v>125.25</v>
      </c>
      <c r="V1673" s="20">
        <v>-0.35</v>
      </c>
      <c r="W1673" s="20">
        <v>-4.54</v>
      </c>
      <c r="X1673" s="20">
        <v>-4.1900000000000004</v>
      </c>
      <c r="Y1673" s="20">
        <v>0</v>
      </c>
      <c r="Z1673" s="20">
        <v>0</v>
      </c>
      <c r="AA1673" s="20">
        <v>0</v>
      </c>
      <c r="AB1673" s="20">
        <v>121.06</v>
      </c>
      <c r="AC1673" t="s">
        <v>183</v>
      </c>
      <c r="AD1673" t="s">
        <v>290</v>
      </c>
      <c r="AE1673" s="702">
        <f t="shared" si="130"/>
        <v>44348</v>
      </c>
      <c r="AF1673" s="289">
        <v>144.21959442829075</v>
      </c>
      <c r="AG1673">
        <f t="shared" si="131"/>
        <v>360</v>
      </c>
      <c r="AH1673" s="289">
        <f t="shared" si="132"/>
        <v>0.40060998452302987</v>
      </c>
      <c r="AJ1673" s="289">
        <f t="shared" si="133"/>
        <v>18</v>
      </c>
      <c r="AK1673" s="289">
        <f t="shared" si="134"/>
        <v>7.2109797214145379</v>
      </c>
    </row>
    <row r="1674" spans="1:37">
      <c r="A1674" s="703" t="s">
        <v>3193</v>
      </c>
      <c r="B1674" s="703" t="s">
        <v>2849</v>
      </c>
      <c r="C1674" s="703" t="s">
        <v>332</v>
      </c>
      <c r="D1674" s="703" t="s">
        <v>334</v>
      </c>
      <c r="E1674" s="703" t="s">
        <v>334</v>
      </c>
      <c r="F1674" s="703" t="s">
        <v>335</v>
      </c>
      <c r="G1674" s="703" t="s">
        <v>3039</v>
      </c>
      <c r="H1674" s="703" t="s">
        <v>334</v>
      </c>
      <c r="I1674" s="703" t="s">
        <v>334</v>
      </c>
      <c r="J1674" s="703" t="s">
        <v>337</v>
      </c>
      <c r="K1674" s="704">
        <v>0</v>
      </c>
      <c r="L1674" s="703" t="s">
        <v>334</v>
      </c>
      <c r="M1674" s="702">
        <v>42886</v>
      </c>
      <c r="N1674" s="702">
        <v>44516</v>
      </c>
      <c r="O1674" s="703" t="s">
        <v>338</v>
      </c>
      <c r="P1674" s="20">
        <v>99.54</v>
      </c>
      <c r="Q1674" s="20">
        <v>0</v>
      </c>
      <c r="R1674" s="20">
        <v>0</v>
      </c>
      <c r="S1674" s="20">
        <v>0</v>
      </c>
      <c r="T1674" s="20">
        <v>99.54</v>
      </c>
      <c r="U1674" s="20">
        <v>99.26</v>
      </c>
      <c r="V1674" s="20">
        <v>-0.28000000000000003</v>
      </c>
      <c r="W1674" s="20">
        <v>-3.6</v>
      </c>
      <c r="X1674" s="20">
        <v>-3.32</v>
      </c>
      <c r="Y1674" s="20">
        <v>0</v>
      </c>
      <c r="Z1674" s="20">
        <v>0</v>
      </c>
      <c r="AA1674" s="20">
        <v>0</v>
      </c>
      <c r="AB1674" s="20">
        <v>95.94</v>
      </c>
      <c r="AC1674" t="s">
        <v>183</v>
      </c>
      <c r="AD1674" t="s">
        <v>290</v>
      </c>
      <c r="AE1674" s="702">
        <f t="shared" si="130"/>
        <v>44348</v>
      </c>
      <c r="AF1674" s="289">
        <v>114.29632507477756</v>
      </c>
      <c r="AG1674">
        <f t="shared" si="131"/>
        <v>360</v>
      </c>
      <c r="AH1674" s="289">
        <f t="shared" si="132"/>
        <v>0.31748979187438209</v>
      </c>
      <c r="AJ1674" s="289">
        <f t="shared" si="133"/>
        <v>18</v>
      </c>
      <c r="AK1674" s="289">
        <f t="shared" si="134"/>
        <v>5.7148162537388778</v>
      </c>
    </row>
    <row r="1675" spans="1:37">
      <c r="A1675" s="703" t="s">
        <v>3194</v>
      </c>
      <c r="B1675" s="703" t="s">
        <v>2849</v>
      </c>
      <c r="C1675" s="703" t="s">
        <v>332</v>
      </c>
      <c r="D1675" s="703" t="s">
        <v>334</v>
      </c>
      <c r="E1675" s="703" t="s">
        <v>334</v>
      </c>
      <c r="F1675" s="703" t="s">
        <v>335</v>
      </c>
      <c r="G1675" s="703" t="s">
        <v>3039</v>
      </c>
      <c r="H1675" s="703" t="s">
        <v>334</v>
      </c>
      <c r="I1675" s="703" t="s">
        <v>334</v>
      </c>
      <c r="J1675" s="703" t="s">
        <v>337</v>
      </c>
      <c r="K1675" s="704">
        <v>0</v>
      </c>
      <c r="L1675" s="703" t="s">
        <v>334</v>
      </c>
      <c r="M1675" s="702">
        <v>42886</v>
      </c>
      <c r="N1675" s="702">
        <v>44516</v>
      </c>
      <c r="O1675" s="703" t="s">
        <v>338</v>
      </c>
      <c r="P1675" s="20">
        <v>1286.43</v>
      </c>
      <c r="Q1675" s="20">
        <v>0</v>
      </c>
      <c r="R1675" s="20">
        <v>0</v>
      </c>
      <c r="S1675" s="20">
        <v>0</v>
      </c>
      <c r="T1675" s="20">
        <v>1286.43</v>
      </c>
      <c r="U1675" s="20">
        <v>1282.8599999999999</v>
      </c>
      <c r="V1675" s="20">
        <v>-3.57</v>
      </c>
      <c r="W1675" s="20">
        <v>-46.45</v>
      </c>
      <c r="X1675" s="20">
        <v>-42.88</v>
      </c>
      <c r="Y1675" s="20">
        <v>0</v>
      </c>
      <c r="Z1675" s="20">
        <v>0</v>
      </c>
      <c r="AA1675" s="20">
        <v>0</v>
      </c>
      <c r="AB1675" s="20">
        <v>1239.98</v>
      </c>
      <c r="AC1675" t="s">
        <v>183</v>
      </c>
      <c r="AD1675" t="s">
        <v>290</v>
      </c>
      <c r="AE1675" s="702">
        <f t="shared" si="130"/>
        <v>44348</v>
      </c>
      <c r="AF1675" s="289">
        <v>1477.137045066768</v>
      </c>
      <c r="AG1675">
        <f t="shared" si="131"/>
        <v>360</v>
      </c>
      <c r="AH1675" s="289">
        <f t="shared" si="132"/>
        <v>4.1031584585188003</v>
      </c>
      <c r="AJ1675" s="289">
        <f t="shared" si="133"/>
        <v>18</v>
      </c>
      <c r="AK1675" s="289">
        <f t="shared" si="134"/>
        <v>73.856852253338403</v>
      </c>
    </row>
    <row r="1676" spans="1:37">
      <c r="A1676" s="703" t="s">
        <v>3195</v>
      </c>
      <c r="B1676" s="703" t="s">
        <v>2849</v>
      </c>
      <c r="C1676" s="703" t="s">
        <v>332</v>
      </c>
      <c r="D1676" s="703" t="s">
        <v>334</v>
      </c>
      <c r="E1676" s="703" t="s">
        <v>334</v>
      </c>
      <c r="F1676" s="703" t="s">
        <v>335</v>
      </c>
      <c r="G1676" s="703" t="s">
        <v>3039</v>
      </c>
      <c r="H1676" s="703" t="s">
        <v>334</v>
      </c>
      <c r="I1676" s="703" t="s">
        <v>334</v>
      </c>
      <c r="J1676" s="703" t="s">
        <v>337</v>
      </c>
      <c r="K1676" s="704">
        <v>0</v>
      </c>
      <c r="L1676" s="703" t="s">
        <v>334</v>
      </c>
      <c r="M1676" s="702">
        <v>42886</v>
      </c>
      <c r="N1676" s="702">
        <v>44516</v>
      </c>
      <c r="O1676" s="703" t="s">
        <v>338</v>
      </c>
      <c r="P1676" s="20">
        <v>2438.92</v>
      </c>
      <c r="Q1676" s="20">
        <v>0</v>
      </c>
      <c r="R1676" s="20">
        <v>0</v>
      </c>
      <c r="S1676" s="20">
        <v>0</v>
      </c>
      <c r="T1676" s="20">
        <v>2438.92</v>
      </c>
      <c r="U1676" s="20">
        <v>2432.15</v>
      </c>
      <c r="V1676" s="20">
        <v>-6.77</v>
      </c>
      <c r="W1676" s="20">
        <v>-88.07</v>
      </c>
      <c r="X1676" s="20">
        <v>-81.3</v>
      </c>
      <c r="Y1676" s="20">
        <v>0</v>
      </c>
      <c r="Z1676" s="20">
        <v>0</v>
      </c>
      <c r="AA1676" s="20">
        <v>0</v>
      </c>
      <c r="AB1676" s="20">
        <v>2350.85</v>
      </c>
      <c r="AC1676" t="s">
        <v>183</v>
      </c>
      <c r="AD1676" t="s">
        <v>290</v>
      </c>
      <c r="AE1676" s="702">
        <f t="shared" si="130"/>
        <v>44348</v>
      </c>
      <c r="AF1676" s="289">
        <v>2800.478130915978</v>
      </c>
      <c r="AG1676">
        <f t="shared" si="131"/>
        <v>360</v>
      </c>
      <c r="AH1676" s="289">
        <f t="shared" si="132"/>
        <v>7.7791059192110499</v>
      </c>
      <c r="AJ1676" s="289">
        <f t="shared" si="133"/>
        <v>18</v>
      </c>
      <c r="AK1676" s="289">
        <f t="shared" si="134"/>
        <v>140.02390654579889</v>
      </c>
    </row>
    <row r="1677" spans="1:37">
      <c r="A1677" s="703" t="s">
        <v>3196</v>
      </c>
      <c r="B1677" s="703" t="s">
        <v>2849</v>
      </c>
      <c r="C1677" s="703" t="s">
        <v>332</v>
      </c>
      <c r="D1677" s="703" t="s">
        <v>334</v>
      </c>
      <c r="E1677" s="703" t="s">
        <v>334</v>
      </c>
      <c r="F1677" s="703" t="s">
        <v>335</v>
      </c>
      <c r="G1677" s="703" t="s">
        <v>3039</v>
      </c>
      <c r="H1677" s="703" t="s">
        <v>334</v>
      </c>
      <c r="I1677" s="703" t="s">
        <v>334</v>
      </c>
      <c r="J1677" s="703" t="s">
        <v>337</v>
      </c>
      <c r="K1677" s="704">
        <v>0</v>
      </c>
      <c r="L1677" s="703" t="s">
        <v>334</v>
      </c>
      <c r="M1677" s="702">
        <v>42886</v>
      </c>
      <c r="N1677" s="702">
        <v>44516</v>
      </c>
      <c r="O1677" s="703" t="s">
        <v>338</v>
      </c>
      <c r="P1677" s="20">
        <v>52.18</v>
      </c>
      <c r="Q1677" s="20">
        <v>0</v>
      </c>
      <c r="R1677" s="20">
        <v>0</v>
      </c>
      <c r="S1677" s="20">
        <v>0</v>
      </c>
      <c r="T1677" s="20">
        <v>52.18</v>
      </c>
      <c r="U1677" s="20">
        <v>52.04</v>
      </c>
      <c r="V1677" s="20">
        <v>-0.14000000000000001</v>
      </c>
      <c r="W1677" s="20">
        <v>-1.88</v>
      </c>
      <c r="X1677" s="20">
        <v>-1.74</v>
      </c>
      <c r="Y1677" s="20">
        <v>0</v>
      </c>
      <c r="Z1677" s="20">
        <v>0</v>
      </c>
      <c r="AA1677" s="20">
        <v>0</v>
      </c>
      <c r="AB1677" s="20">
        <v>50.3</v>
      </c>
      <c r="AC1677" t="s">
        <v>183</v>
      </c>
      <c r="AD1677" t="s">
        <v>290</v>
      </c>
      <c r="AE1677" s="702">
        <f t="shared" si="130"/>
        <v>44348</v>
      </c>
      <c r="AF1677" s="289">
        <v>59.915433417740523</v>
      </c>
      <c r="AG1677">
        <f t="shared" si="131"/>
        <v>360</v>
      </c>
      <c r="AH1677" s="289">
        <f t="shared" si="132"/>
        <v>0.16643175949372369</v>
      </c>
      <c r="AJ1677" s="289">
        <f t="shared" si="133"/>
        <v>18</v>
      </c>
      <c r="AK1677" s="289">
        <f t="shared" si="134"/>
        <v>2.9957716708870263</v>
      </c>
    </row>
    <row r="1678" spans="1:37">
      <c r="A1678" s="703" t="s">
        <v>3197</v>
      </c>
      <c r="B1678" s="703" t="s">
        <v>2849</v>
      </c>
      <c r="C1678" s="703" t="s">
        <v>332</v>
      </c>
      <c r="D1678" s="703" t="s">
        <v>334</v>
      </c>
      <c r="E1678" s="703" t="s">
        <v>334</v>
      </c>
      <c r="F1678" s="703" t="s">
        <v>335</v>
      </c>
      <c r="G1678" s="703" t="s">
        <v>3039</v>
      </c>
      <c r="H1678" s="703" t="s">
        <v>334</v>
      </c>
      <c r="I1678" s="703" t="s">
        <v>334</v>
      </c>
      <c r="J1678" s="703" t="s">
        <v>337</v>
      </c>
      <c r="K1678" s="704">
        <v>0</v>
      </c>
      <c r="L1678" s="703" t="s">
        <v>334</v>
      </c>
      <c r="M1678" s="702">
        <v>42886</v>
      </c>
      <c r="N1678" s="702">
        <v>44516</v>
      </c>
      <c r="O1678" s="703" t="s">
        <v>338</v>
      </c>
      <c r="P1678" s="20">
        <v>1452.79</v>
      </c>
      <c r="Q1678" s="20">
        <v>0</v>
      </c>
      <c r="R1678" s="20">
        <v>0</v>
      </c>
      <c r="S1678" s="20">
        <v>0</v>
      </c>
      <c r="T1678" s="20">
        <v>1452.79</v>
      </c>
      <c r="U1678" s="20">
        <v>1448.75</v>
      </c>
      <c r="V1678" s="20">
        <v>-4.04</v>
      </c>
      <c r="W1678" s="20">
        <v>-52.47</v>
      </c>
      <c r="X1678" s="20">
        <v>-48.43</v>
      </c>
      <c r="Y1678" s="20">
        <v>0</v>
      </c>
      <c r="Z1678" s="20">
        <v>0</v>
      </c>
      <c r="AA1678" s="20">
        <v>0</v>
      </c>
      <c r="AB1678" s="20">
        <v>1400.32</v>
      </c>
      <c r="AC1678" t="s">
        <v>183</v>
      </c>
      <c r="AD1678" t="s">
        <v>290</v>
      </c>
      <c r="AE1678" s="702">
        <f t="shared" si="130"/>
        <v>44348</v>
      </c>
      <c r="AF1678" s="289">
        <v>1668.1591129735391</v>
      </c>
      <c r="AG1678">
        <f t="shared" si="131"/>
        <v>360</v>
      </c>
      <c r="AH1678" s="289">
        <f t="shared" si="132"/>
        <v>4.6337753138153861</v>
      </c>
      <c r="AJ1678" s="289">
        <f t="shared" si="133"/>
        <v>18</v>
      </c>
      <c r="AK1678" s="289">
        <f t="shared" si="134"/>
        <v>83.407955648676946</v>
      </c>
    </row>
    <row r="1679" spans="1:37">
      <c r="A1679" s="703" t="s">
        <v>3198</v>
      </c>
      <c r="B1679" s="703" t="s">
        <v>2849</v>
      </c>
      <c r="C1679" s="703" t="s">
        <v>332</v>
      </c>
      <c r="D1679" s="703" t="s">
        <v>334</v>
      </c>
      <c r="E1679" s="703" t="s">
        <v>334</v>
      </c>
      <c r="F1679" s="703" t="s">
        <v>335</v>
      </c>
      <c r="G1679" s="703" t="s">
        <v>3071</v>
      </c>
      <c r="H1679" s="703" t="s">
        <v>334</v>
      </c>
      <c r="I1679" s="703" t="s">
        <v>334</v>
      </c>
      <c r="J1679" s="703" t="s">
        <v>337</v>
      </c>
      <c r="K1679" s="704">
        <v>0</v>
      </c>
      <c r="L1679" s="703" t="s">
        <v>334</v>
      </c>
      <c r="M1679" s="702">
        <v>42886</v>
      </c>
      <c r="N1679" s="702">
        <v>44516</v>
      </c>
      <c r="O1679" s="703" t="s">
        <v>338</v>
      </c>
      <c r="P1679" s="20">
        <v>1306.6300000000001</v>
      </c>
      <c r="Q1679" s="20">
        <v>0</v>
      </c>
      <c r="R1679" s="20">
        <v>0</v>
      </c>
      <c r="S1679" s="20">
        <v>0</v>
      </c>
      <c r="T1679" s="20">
        <v>1306.6300000000001</v>
      </c>
      <c r="U1679" s="20">
        <v>1303</v>
      </c>
      <c r="V1679" s="20">
        <v>-3.63</v>
      </c>
      <c r="W1679" s="20">
        <v>-47.18</v>
      </c>
      <c r="X1679" s="20">
        <v>-43.55</v>
      </c>
      <c r="Y1679" s="20">
        <v>0</v>
      </c>
      <c r="Z1679" s="20">
        <v>0</v>
      </c>
      <c r="AA1679" s="20">
        <v>0</v>
      </c>
      <c r="AB1679" s="20">
        <v>1259.45</v>
      </c>
      <c r="AC1679" t="s">
        <v>183</v>
      </c>
      <c r="AD1679" t="s">
        <v>290</v>
      </c>
      <c r="AE1679" s="702">
        <f t="shared" si="130"/>
        <v>44348</v>
      </c>
      <c r="AF1679" s="289">
        <v>1500.3315976738659</v>
      </c>
      <c r="AG1679">
        <f t="shared" si="131"/>
        <v>360</v>
      </c>
      <c r="AH1679" s="289">
        <f t="shared" si="132"/>
        <v>4.1675877713162937</v>
      </c>
      <c r="AJ1679" s="289">
        <f t="shared" si="133"/>
        <v>18</v>
      </c>
      <c r="AK1679" s="289">
        <f t="shared" si="134"/>
        <v>75.016579883693282</v>
      </c>
    </row>
    <row r="1680" spans="1:37">
      <c r="A1680" s="703" t="s">
        <v>3199</v>
      </c>
      <c r="B1680" s="703" t="s">
        <v>2849</v>
      </c>
      <c r="C1680" s="703" t="s">
        <v>332</v>
      </c>
      <c r="D1680" s="703" t="s">
        <v>334</v>
      </c>
      <c r="E1680" s="703" t="s">
        <v>334</v>
      </c>
      <c r="F1680" s="703" t="s">
        <v>335</v>
      </c>
      <c r="G1680" s="703" t="s">
        <v>3071</v>
      </c>
      <c r="H1680" s="703" t="s">
        <v>334</v>
      </c>
      <c r="I1680" s="703" t="s">
        <v>334</v>
      </c>
      <c r="J1680" s="703" t="s">
        <v>337</v>
      </c>
      <c r="K1680" s="704">
        <v>0</v>
      </c>
      <c r="L1680" s="703" t="s">
        <v>334</v>
      </c>
      <c r="M1680" s="702">
        <v>42886</v>
      </c>
      <c r="N1680" s="702">
        <v>44516</v>
      </c>
      <c r="O1680" s="703" t="s">
        <v>338</v>
      </c>
      <c r="P1680" s="20">
        <v>32.24</v>
      </c>
      <c r="Q1680" s="20">
        <v>0</v>
      </c>
      <c r="R1680" s="20">
        <v>0</v>
      </c>
      <c r="S1680" s="20">
        <v>0</v>
      </c>
      <c r="T1680" s="20">
        <v>32.24</v>
      </c>
      <c r="U1680" s="20">
        <v>32.15</v>
      </c>
      <c r="V1680" s="20">
        <v>-0.09</v>
      </c>
      <c r="W1680" s="20">
        <v>-1.1599999999999999</v>
      </c>
      <c r="X1680" s="20">
        <v>-1.07</v>
      </c>
      <c r="Y1680" s="20">
        <v>0</v>
      </c>
      <c r="Z1680" s="20">
        <v>0</v>
      </c>
      <c r="AA1680" s="20">
        <v>0</v>
      </c>
      <c r="AB1680" s="20">
        <v>31.08</v>
      </c>
      <c r="AC1680" t="s">
        <v>183</v>
      </c>
      <c r="AD1680" t="s">
        <v>290</v>
      </c>
      <c r="AE1680" s="702">
        <f t="shared" si="130"/>
        <v>44348</v>
      </c>
      <c r="AF1680" s="289">
        <v>37.019424557070813</v>
      </c>
      <c r="AG1680">
        <f t="shared" si="131"/>
        <v>360</v>
      </c>
      <c r="AH1680" s="289">
        <f t="shared" si="132"/>
        <v>0.10283173488075226</v>
      </c>
      <c r="AJ1680" s="289">
        <f t="shared" si="133"/>
        <v>18</v>
      </c>
      <c r="AK1680" s="289">
        <f t="shared" si="134"/>
        <v>1.8509712278535406</v>
      </c>
    </row>
    <row r="1681" spans="1:37">
      <c r="A1681" s="703" t="s">
        <v>3200</v>
      </c>
      <c r="B1681" s="703" t="s">
        <v>2849</v>
      </c>
      <c r="C1681" s="703" t="s">
        <v>332</v>
      </c>
      <c r="D1681" s="703" t="s">
        <v>334</v>
      </c>
      <c r="E1681" s="703" t="s">
        <v>334</v>
      </c>
      <c r="F1681" s="703" t="s">
        <v>335</v>
      </c>
      <c r="G1681" s="703" t="s">
        <v>3071</v>
      </c>
      <c r="H1681" s="703" t="s">
        <v>334</v>
      </c>
      <c r="I1681" s="703" t="s">
        <v>334</v>
      </c>
      <c r="J1681" s="703" t="s">
        <v>337</v>
      </c>
      <c r="K1681" s="704">
        <v>0</v>
      </c>
      <c r="L1681" s="703" t="s">
        <v>334</v>
      </c>
      <c r="M1681" s="702">
        <v>42886</v>
      </c>
      <c r="N1681" s="702">
        <v>44516</v>
      </c>
      <c r="O1681" s="703" t="s">
        <v>338</v>
      </c>
      <c r="P1681" s="20">
        <v>41.87</v>
      </c>
      <c r="Q1681" s="20">
        <v>0</v>
      </c>
      <c r="R1681" s="20">
        <v>0</v>
      </c>
      <c r="S1681" s="20">
        <v>0</v>
      </c>
      <c r="T1681" s="20">
        <v>41.87</v>
      </c>
      <c r="U1681" s="20">
        <v>41.75</v>
      </c>
      <c r="V1681" s="20">
        <v>-0.12</v>
      </c>
      <c r="W1681" s="20">
        <v>-1.52</v>
      </c>
      <c r="X1681" s="20">
        <v>-1.4</v>
      </c>
      <c r="Y1681" s="20">
        <v>0</v>
      </c>
      <c r="Z1681" s="20">
        <v>0</v>
      </c>
      <c r="AA1681" s="20">
        <v>0</v>
      </c>
      <c r="AB1681" s="20">
        <v>40.35</v>
      </c>
      <c r="AC1681" t="s">
        <v>183</v>
      </c>
      <c r="AD1681" t="s">
        <v>290</v>
      </c>
      <c r="AE1681" s="702">
        <f t="shared" si="130"/>
        <v>44348</v>
      </c>
      <c r="AF1681" s="289">
        <v>48.077025626692141</v>
      </c>
      <c r="AG1681">
        <f t="shared" si="131"/>
        <v>360</v>
      </c>
      <c r="AH1681" s="289">
        <f t="shared" si="132"/>
        <v>0.13354729340747817</v>
      </c>
      <c r="AJ1681" s="289">
        <f t="shared" si="133"/>
        <v>18</v>
      </c>
      <c r="AK1681" s="289">
        <f t="shared" si="134"/>
        <v>2.4038512813346071</v>
      </c>
    </row>
    <row r="1682" spans="1:37">
      <c r="A1682" s="703" t="s">
        <v>3201</v>
      </c>
      <c r="B1682" s="703" t="s">
        <v>2849</v>
      </c>
      <c r="C1682" s="703" t="s">
        <v>332</v>
      </c>
      <c r="D1682" s="703" t="s">
        <v>334</v>
      </c>
      <c r="E1682" s="703" t="s">
        <v>334</v>
      </c>
      <c r="F1682" s="703" t="s">
        <v>335</v>
      </c>
      <c r="G1682" s="703" t="s">
        <v>3071</v>
      </c>
      <c r="H1682" s="703" t="s">
        <v>334</v>
      </c>
      <c r="I1682" s="703" t="s">
        <v>334</v>
      </c>
      <c r="J1682" s="703" t="s">
        <v>337</v>
      </c>
      <c r="K1682" s="704">
        <v>0</v>
      </c>
      <c r="L1682" s="703" t="s">
        <v>334</v>
      </c>
      <c r="M1682" s="702">
        <v>42886</v>
      </c>
      <c r="N1682" s="702">
        <v>44516</v>
      </c>
      <c r="O1682" s="703" t="s">
        <v>338</v>
      </c>
      <c r="P1682" s="20">
        <v>2281.1999999999998</v>
      </c>
      <c r="Q1682" s="20">
        <v>0</v>
      </c>
      <c r="R1682" s="20">
        <v>0</v>
      </c>
      <c r="S1682" s="20">
        <v>0</v>
      </c>
      <c r="T1682" s="20">
        <v>2281.1999999999998</v>
      </c>
      <c r="U1682" s="20">
        <v>2274.86</v>
      </c>
      <c r="V1682" s="20">
        <v>-6.34</v>
      </c>
      <c r="W1682" s="20">
        <v>-82.38</v>
      </c>
      <c r="X1682" s="20">
        <v>-76.040000000000006</v>
      </c>
      <c r="Y1682" s="20">
        <v>0</v>
      </c>
      <c r="Z1682" s="20">
        <v>0</v>
      </c>
      <c r="AA1682" s="20">
        <v>0</v>
      </c>
      <c r="AB1682" s="20">
        <v>2198.8200000000002</v>
      </c>
      <c r="AC1682" t="s">
        <v>183</v>
      </c>
      <c r="AD1682" t="s">
        <v>290</v>
      </c>
      <c r="AE1682" s="702">
        <f t="shared" si="130"/>
        <v>44348</v>
      </c>
      <c r="AF1682" s="289">
        <v>2619.3769013520446</v>
      </c>
      <c r="AG1682">
        <f t="shared" si="131"/>
        <v>360</v>
      </c>
      <c r="AH1682" s="289">
        <f t="shared" si="132"/>
        <v>7.2760469482001238</v>
      </c>
      <c r="AJ1682" s="289">
        <f t="shared" si="133"/>
        <v>18</v>
      </c>
      <c r="AK1682" s="289">
        <f t="shared" si="134"/>
        <v>130.96884506760222</v>
      </c>
    </row>
    <row r="1683" spans="1:37">
      <c r="A1683" s="703" t="s">
        <v>3202</v>
      </c>
      <c r="B1683" s="703" t="s">
        <v>2849</v>
      </c>
      <c r="C1683" s="703" t="s">
        <v>332</v>
      </c>
      <c r="D1683" s="703" t="s">
        <v>334</v>
      </c>
      <c r="E1683" s="703" t="s">
        <v>334</v>
      </c>
      <c r="F1683" s="703" t="s">
        <v>335</v>
      </c>
      <c r="G1683" s="703" t="s">
        <v>3071</v>
      </c>
      <c r="H1683" s="703" t="s">
        <v>334</v>
      </c>
      <c r="I1683" s="703" t="s">
        <v>334</v>
      </c>
      <c r="J1683" s="703" t="s">
        <v>337</v>
      </c>
      <c r="K1683" s="704">
        <v>0</v>
      </c>
      <c r="L1683" s="703" t="s">
        <v>334</v>
      </c>
      <c r="M1683" s="702">
        <v>42886</v>
      </c>
      <c r="N1683" s="702">
        <v>44516</v>
      </c>
      <c r="O1683" s="703" t="s">
        <v>338</v>
      </c>
      <c r="P1683" s="20">
        <v>72.64</v>
      </c>
      <c r="Q1683" s="20">
        <v>0</v>
      </c>
      <c r="R1683" s="20">
        <v>0</v>
      </c>
      <c r="S1683" s="20">
        <v>0</v>
      </c>
      <c r="T1683" s="20">
        <v>72.64</v>
      </c>
      <c r="U1683" s="20">
        <v>72.44</v>
      </c>
      <c r="V1683" s="20">
        <v>-0.2</v>
      </c>
      <c r="W1683" s="20">
        <v>-2.62</v>
      </c>
      <c r="X1683" s="20">
        <v>-2.42</v>
      </c>
      <c r="Y1683" s="20">
        <v>0</v>
      </c>
      <c r="Z1683" s="20">
        <v>0</v>
      </c>
      <c r="AA1683" s="20">
        <v>0</v>
      </c>
      <c r="AB1683" s="20">
        <v>70.02</v>
      </c>
      <c r="AC1683" t="s">
        <v>183</v>
      </c>
      <c r="AD1683" t="s">
        <v>290</v>
      </c>
      <c r="AE1683" s="702">
        <f t="shared" si="130"/>
        <v>44348</v>
      </c>
      <c r="AF1683" s="289">
        <v>83.408529771266231</v>
      </c>
      <c r="AG1683">
        <f t="shared" si="131"/>
        <v>360</v>
      </c>
      <c r="AH1683" s="289">
        <f t="shared" si="132"/>
        <v>0.23169036047573954</v>
      </c>
      <c r="AJ1683" s="289">
        <f t="shared" si="133"/>
        <v>18</v>
      </c>
      <c r="AK1683" s="289">
        <f t="shared" si="134"/>
        <v>4.1704264885633116</v>
      </c>
    </row>
    <row r="1684" spans="1:37">
      <c r="A1684" s="703" t="s">
        <v>3203</v>
      </c>
      <c r="B1684" s="703" t="s">
        <v>2849</v>
      </c>
      <c r="C1684" s="703" t="s">
        <v>332</v>
      </c>
      <c r="D1684" s="703" t="s">
        <v>334</v>
      </c>
      <c r="E1684" s="703" t="s">
        <v>334</v>
      </c>
      <c r="F1684" s="703" t="s">
        <v>335</v>
      </c>
      <c r="G1684" s="703" t="s">
        <v>3071</v>
      </c>
      <c r="H1684" s="703" t="s">
        <v>334</v>
      </c>
      <c r="I1684" s="703" t="s">
        <v>334</v>
      </c>
      <c r="J1684" s="703" t="s">
        <v>337</v>
      </c>
      <c r="K1684" s="704">
        <v>0</v>
      </c>
      <c r="L1684" s="703" t="s">
        <v>334</v>
      </c>
      <c r="M1684" s="702">
        <v>42886</v>
      </c>
      <c r="N1684" s="702">
        <v>44516</v>
      </c>
      <c r="O1684" s="703" t="s">
        <v>338</v>
      </c>
      <c r="P1684" s="20">
        <v>8.4</v>
      </c>
      <c r="Q1684" s="20">
        <v>0</v>
      </c>
      <c r="R1684" s="20">
        <v>0</v>
      </c>
      <c r="S1684" s="20">
        <v>0</v>
      </c>
      <c r="T1684" s="20">
        <v>8.4</v>
      </c>
      <c r="U1684" s="20">
        <v>8.3800000000000008</v>
      </c>
      <c r="V1684" s="20">
        <v>-0.02</v>
      </c>
      <c r="W1684" s="20">
        <v>-0.3</v>
      </c>
      <c r="X1684" s="20">
        <v>-0.28000000000000003</v>
      </c>
      <c r="Y1684" s="20">
        <v>0</v>
      </c>
      <c r="Z1684" s="20">
        <v>0</v>
      </c>
      <c r="AA1684" s="20">
        <v>0</v>
      </c>
      <c r="AB1684" s="20">
        <v>8.1</v>
      </c>
      <c r="AC1684" t="s">
        <v>183</v>
      </c>
      <c r="AD1684" t="s">
        <v>290</v>
      </c>
      <c r="AE1684" s="702">
        <f t="shared" si="130"/>
        <v>44348</v>
      </c>
      <c r="AF1684" s="289">
        <v>9.6452594999812291</v>
      </c>
      <c r="AG1684">
        <f t="shared" si="131"/>
        <v>360</v>
      </c>
      <c r="AH1684" s="289">
        <f t="shared" si="132"/>
        <v>2.6792387499947858E-2</v>
      </c>
      <c r="AJ1684" s="289">
        <f t="shared" si="133"/>
        <v>18</v>
      </c>
      <c r="AK1684" s="289">
        <f t="shared" si="134"/>
        <v>0.48226297499906146</v>
      </c>
    </row>
    <row r="1685" spans="1:37">
      <c r="A1685" s="703" t="s">
        <v>3204</v>
      </c>
      <c r="B1685" s="703" t="s">
        <v>2849</v>
      </c>
      <c r="C1685" s="703" t="s">
        <v>332</v>
      </c>
      <c r="D1685" s="703" t="s">
        <v>334</v>
      </c>
      <c r="E1685" s="703" t="s">
        <v>334</v>
      </c>
      <c r="F1685" s="703" t="s">
        <v>335</v>
      </c>
      <c r="G1685" s="703" t="s">
        <v>3071</v>
      </c>
      <c r="H1685" s="703" t="s">
        <v>334</v>
      </c>
      <c r="I1685" s="703" t="s">
        <v>334</v>
      </c>
      <c r="J1685" s="703" t="s">
        <v>337</v>
      </c>
      <c r="K1685" s="704">
        <v>0</v>
      </c>
      <c r="L1685" s="703" t="s">
        <v>334</v>
      </c>
      <c r="M1685" s="702">
        <v>42886</v>
      </c>
      <c r="N1685" s="702">
        <v>44516</v>
      </c>
      <c r="O1685" s="703" t="s">
        <v>338</v>
      </c>
      <c r="P1685" s="20">
        <v>116.99</v>
      </c>
      <c r="Q1685" s="20">
        <v>0</v>
      </c>
      <c r="R1685" s="20">
        <v>0</v>
      </c>
      <c r="S1685" s="20">
        <v>0</v>
      </c>
      <c r="T1685" s="20">
        <v>116.99</v>
      </c>
      <c r="U1685" s="20">
        <v>116.67</v>
      </c>
      <c r="V1685" s="20">
        <v>-0.32</v>
      </c>
      <c r="W1685" s="20">
        <v>-4.22</v>
      </c>
      <c r="X1685" s="20">
        <v>-3.9</v>
      </c>
      <c r="Y1685" s="20">
        <v>0</v>
      </c>
      <c r="Z1685" s="20">
        <v>0</v>
      </c>
      <c r="AA1685" s="20">
        <v>0</v>
      </c>
      <c r="AB1685" s="20">
        <v>112.77</v>
      </c>
      <c r="AC1685" t="s">
        <v>183</v>
      </c>
      <c r="AD1685" t="s">
        <v>290</v>
      </c>
      <c r="AE1685" s="702">
        <f t="shared" si="130"/>
        <v>44348</v>
      </c>
      <c r="AF1685" s="289">
        <v>134.33320344080997</v>
      </c>
      <c r="AG1685">
        <f t="shared" si="131"/>
        <v>360</v>
      </c>
      <c r="AH1685" s="289">
        <f t="shared" si="132"/>
        <v>0.37314778733558324</v>
      </c>
      <c r="AJ1685" s="289">
        <f t="shared" si="133"/>
        <v>18</v>
      </c>
      <c r="AK1685" s="289">
        <f t="shared" si="134"/>
        <v>6.7166601720404984</v>
      </c>
    </row>
    <row r="1686" spans="1:37">
      <c r="A1686" s="703" t="s">
        <v>3205</v>
      </c>
      <c r="B1686" s="703" t="s">
        <v>2849</v>
      </c>
      <c r="C1686" s="703" t="s">
        <v>332</v>
      </c>
      <c r="D1686" s="703" t="s">
        <v>334</v>
      </c>
      <c r="E1686" s="703" t="s">
        <v>334</v>
      </c>
      <c r="F1686" s="703" t="s">
        <v>335</v>
      </c>
      <c r="G1686" s="703" t="s">
        <v>3071</v>
      </c>
      <c r="H1686" s="703" t="s">
        <v>334</v>
      </c>
      <c r="I1686" s="703" t="s">
        <v>334</v>
      </c>
      <c r="J1686" s="703" t="s">
        <v>337</v>
      </c>
      <c r="K1686" s="704">
        <v>0</v>
      </c>
      <c r="L1686" s="703" t="s">
        <v>334</v>
      </c>
      <c r="M1686" s="702">
        <v>42886</v>
      </c>
      <c r="N1686" s="702">
        <v>44516</v>
      </c>
      <c r="O1686" s="703" t="s">
        <v>338</v>
      </c>
      <c r="P1686" s="20">
        <v>5.22</v>
      </c>
      <c r="Q1686" s="20">
        <v>0</v>
      </c>
      <c r="R1686" s="20">
        <v>0</v>
      </c>
      <c r="S1686" s="20">
        <v>0</v>
      </c>
      <c r="T1686" s="20">
        <v>5.22</v>
      </c>
      <c r="U1686" s="20">
        <v>5.21</v>
      </c>
      <c r="V1686" s="20">
        <v>-0.01</v>
      </c>
      <c r="W1686" s="20">
        <v>-0.18</v>
      </c>
      <c r="X1686" s="20">
        <v>-0.17</v>
      </c>
      <c r="Y1686" s="20">
        <v>0</v>
      </c>
      <c r="Z1686" s="20">
        <v>0</v>
      </c>
      <c r="AA1686" s="20">
        <v>0</v>
      </c>
      <c r="AB1686" s="20">
        <v>5.04</v>
      </c>
      <c r="AC1686" t="s">
        <v>183</v>
      </c>
      <c r="AD1686" t="s">
        <v>290</v>
      </c>
      <c r="AE1686" s="702">
        <f t="shared" si="130"/>
        <v>44348</v>
      </c>
      <c r="AF1686" s="289">
        <v>5.993839832131191</v>
      </c>
      <c r="AG1686">
        <f t="shared" si="131"/>
        <v>360</v>
      </c>
      <c r="AH1686" s="289">
        <f t="shared" si="132"/>
        <v>1.664955508925331E-2</v>
      </c>
      <c r="AJ1686" s="289">
        <f t="shared" si="133"/>
        <v>18</v>
      </c>
      <c r="AK1686" s="289">
        <f t="shared" si="134"/>
        <v>0.29969199160655957</v>
      </c>
    </row>
    <row r="1687" spans="1:37">
      <c r="A1687" s="703" t="s">
        <v>3206</v>
      </c>
      <c r="B1687" s="703" t="s">
        <v>2849</v>
      </c>
      <c r="C1687" s="703" t="s">
        <v>332</v>
      </c>
      <c r="D1687" s="703" t="s">
        <v>334</v>
      </c>
      <c r="E1687" s="703" t="s">
        <v>334</v>
      </c>
      <c r="F1687" s="703" t="s">
        <v>335</v>
      </c>
      <c r="G1687" s="703" t="s">
        <v>3071</v>
      </c>
      <c r="H1687" s="703" t="s">
        <v>334</v>
      </c>
      <c r="I1687" s="703" t="s">
        <v>334</v>
      </c>
      <c r="J1687" s="703" t="s">
        <v>337</v>
      </c>
      <c r="K1687" s="704">
        <v>0</v>
      </c>
      <c r="L1687" s="703" t="s">
        <v>334</v>
      </c>
      <c r="M1687" s="702">
        <v>42886</v>
      </c>
      <c r="N1687" s="702">
        <v>44516</v>
      </c>
      <c r="O1687" s="703" t="s">
        <v>338</v>
      </c>
      <c r="P1687" s="20">
        <v>128.88</v>
      </c>
      <c r="Q1687" s="20">
        <v>0</v>
      </c>
      <c r="R1687" s="20">
        <v>0</v>
      </c>
      <c r="S1687" s="20">
        <v>0</v>
      </c>
      <c r="T1687" s="20">
        <v>128.88</v>
      </c>
      <c r="U1687" s="20">
        <v>128.52000000000001</v>
      </c>
      <c r="V1687" s="20">
        <v>-0.36</v>
      </c>
      <c r="W1687" s="20">
        <v>-4.66</v>
      </c>
      <c r="X1687" s="20">
        <v>-4.3</v>
      </c>
      <c r="Y1687" s="20">
        <v>0</v>
      </c>
      <c r="Z1687" s="20">
        <v>0</v>
      </c>
      <c r="AA1687" s="20">
        <v>0</v>
      </c>
      <c r="AB1687" s="20">
        <v>124.22</v>
      </c>
      <c r="AC1687" t="s">
        <v>183</v>
      </c>
      <c r="AD1687" t="s">
        <v>290</v>
      </c>
      <c r="AE1687" s="702">
        <f t="shared" si="130"/>
        <v>44348</v>
      </c>
      <c r="AF1687" s="289">
        <v>147.98583861399769</v>
      </c>
      <c r="AG1687">
        <f t="shared" si="131"/>
        <v>360</v>
      </c>
      <c r="AH1687" s="289">
        <f t="shared" si="132"/>
        <v>0.41107177392777133</v>
      </c>
      <c r="AJ1687" s="289">
        <f t="shared" si="133"/>
        <v>18</v>
      </c>
      <c r="AK1687" s="289">
        <f t="shared" si="134"/>
        <v>7.3992919306998841</v>
      </c>
    </row>
    <row r="1688" spans="1:37">
      <c r="A1688" s="703" t="s">
        <v>3207</v>
      </c>
      <c r="B1688" s="703" t="s">
        <v>2849</v>
      </c>
      <c r="C1688" s="703" t="s">
        <v>332</v>
      </c>
      <c r="D1688" s="703" t="s">
        <v>334</v>
      </c>
      <c r="E1688" s="703" t="s">
        <v>334</v>
      </c>
      <c r="F1688" s="703" t="s">
        <v>335</v>
      </c>
      <c r="G1688" s="703" t="s">
        <v>3071</v>
      </c>
      <c r="H1688" s="703" t="s">
        <v>334</v>
      </c>
      <c r="I1688" s="703" t="s">
        <v>334</v>
      </c>
      <c r="J1688" s="703" t="s">
        <v>337</v>
      </c>
      <c r="K1688" s="704">
        <v>0</v>
      </c>
      <c r="L1688" s="703" t="s">
        <v>334</v>
      </c>
      <c r="M1688" s="702">
        <v>42886</v>
      </c>
      <c r="N1688" s="702">
        <v>44516</v>
      </c>
      <c r="O1688" s="703" t="s">
        <v>338</v>
      </c>
      <c r="P1688" s="20">
        <v>375.44</v>
      </c>
      <c r="Q1688" s="20">
        <v>0</v>
      </c>
      <c r="R1688" s="20">
        <v>0</v>
      </c>
      <c r="S1688" s="20">
        <v>0</v>
      </c>
      <c r="T1688" s="20">
        <v>375.44</v>
      </c>
      <c r="U1688" s="20">
        <v>374.4</v>
      </c>
      <c r="V1688" s="20">
        <v>-1.04</v>
      </c>
      <c r="W1688" s="20">
        <v>-13.55</v>
      </c>
      <c r="X1688" s="20">
        <v>-12.51</v>
      </c>
      <c r="Y1688" s="20">
        <v>0</v>
      </c>
      <c r="Z1688" s="20">
        <v>0</v>
      </c>
      <c r="AA1688" s="20">
        <v>0</v>
      </c>
      <c r="AB1688" s="20">
        <v>361.89</v>
      </c>
      <c r="AC1688" t="s">
        <v>183</v>
      </c>
      <c r="AD1688" t="s">
        <v>290</v>
      </c>
      <c r="AE1688" s="702">
        <f t="shared" si="130"/>
        <v>44348</v>
      </c>
      <c r="AF1688" s="289">
        <v>431.0971698420181</v>
      </c>
      <c r="AG1688">
        <f t="shared" si="131"/>
        <v>360</v>
      </c>
      <c r="AH1688" s="289">
        <f t="shared" si="132"/>
        <v>1.1974921384500503</v>
      </c>
      <c r="AJ1688" s="289">
        <f t="shared" si="133"/>
        <v>18</v>
      </c>
      <c r="AK1688" s="289">
        <f t="shared" si="134"/>
        <v>21.554858492100905</v>
      </c>
    </row>
    <row r="1689" spans="1:37">
      <c r="A1689" s="703" t="s">
        <v>3208</v>
      </c>
      <c r="B1689" s="703" t="s">
        <v>2849</v>
      </c>
      <c r="C1689" s="703" t="s">
        <v>332</v>
      </c>
      <c r="D1689" s="703" t="s">
        <v>334</v>
      </c>
      <c r="E1689" s="703" t="s">
        <v>334</v>
      </c>
      <c r="F1689" s="703" t="s">
        <v>335</v>
      </c>
      <c r="G1689" s="703" t="s">
        <v>3071</v>
      </c>
      <c r="H1689" s="703" t="s">
        <v>334</v>
      </c>
      <c r="I1689" s="703" t="s">
        <v>334</v>
      </c>
      <c r="J1689" s="703" t="s">
        <v>337</v>
      </c>
      <c r="K1689" s="704">
        <v>0</v>
      </c>
      <c r="L1689" s="703" t="s">
        <v>334</v>
      </c>
      <c r="M1689" s="702">
        <v>42886</v>
      </c>
      <c r="N1689" s="702">
        <v>44516</v>
      </c>
      <c r="O1689" s="703" t="s">
        <v>338</v>
      </c>
      <c r="P1689" s="20">
        <v>202.67</v>
      </c>
      <c r="Q1689" s="20">
        <v>0</v>
      </c>
      <c r="R1689" s="20">
        <v>0</v>
      </c>
      <c r="S1689" s="20">
        <v>0</v>
      </c>
      <c r="T1689" s="20">
        <v>202.67</v>
      </c>
      <c r="U1689" s="20">
        <v>202.11</v>
      </c>
      <c r="V1689" s="20">
        <v>-0.56000000000000005</v>
      </c>
      <c r="W1689" s="20">
        <v>-7.32</v>
      </c>
      <c r="X1689" s="20">
        <v>-6.76</v>
      </c>
      <c r="Y1689" s="20">
        <v>0</v>
      </c>
      <c r="Z1689" s="20">
        <v>0</v>
      </c>
      <c r="AA1689" s="20">
        <v>0</v>
      </c>
      <c r="AB1689" s="20">
        <v>195.35</v>
      </c>
      <c r="AC1689" t="s">
        <v>183</v>
      </c>
      <c r="AD1689" t="s">
        <v>290</v>
      </c>
      <c r="AE1689" s="702">
        <f t="shared" si="130"/>
        <v>44348</v>
      </c>
      <c r="AF1689" s="289">
        <v>232.71485034061848</v>
      </c>
      <c r="AG1689">
        <f t="shared" si="131"/>
        <v>360</v>
      </c>
      <c r="AH1689" s="289">
        <f t="shared" si="132"/>
        <v>0.64643013983505138</v>
      </c>
      <c r="AJ1689" s="289">
        <f t="shared" si="133"/>
        <v>18</v>
      </c>
      <c r="AK1689" s="289">
        <f t="shared" si="134"/>
        <v>11.635742517030925</v>
      </c>
    </row>
    <row r="1690" spans="1:37">
      <c r="A1690" s="703" t="s">
        <v>3209</v>
      </c>
      <c r="B1690" s="703" t="s">
        <v>2849</v>
      </c>
      <c r="C1690" s="703" t="s">
        <v>332</v>
      </c>
      <c r="D1690" s="703" t="s">
        <v>334</v>
      </c>
      <c r="E1690" s="703" t="s">
        <v>334</v>
      </c>
      <c r="F1690" s="703" t="s">
        <v>335</v>
      </c>
      <c r="G1690" s="703" t="s">
        <v>3071</v>
      </c>
      <c r="H1690" s="703" t="s">
        <v>334</v>
      </c>
      <c r="I1690" s="703" t="s">
        <v>334</v>
      </c>
      <c r="J1690" s="703" t="s">
        <v>337</v>
      </c>
      <c r="K1690" s="704">
        <v>0</v>
      </c>
      <c r="L1690" s="703" t="s">
        <v>334</v>
      </c>
      <c r="M1690" s="702">
        <v>42886</v>
      </c>
      <c r="N1690" s="702">
        <v>44516</v>
      </c>
      <c r="O1690" s="703" t="s">
        <v>338</v>
      </c>
      <c r="P1690" s="20">
        <v>47.37</v>
      </c>
      <c r="Q1690" s="20">
        <v>0</v>
      </c>
      <c r="R1690" s="20">
        <v>0</v>
      </c>
      <c r="S1690" s="20">
        <v>0</v>
      </c>
      <c r="T1690" s="20">
        <v>47.37</v>
      </c>
      <c r="U1690" s="20">
        <v>47.24</v>
      </c>
      <c r="V1690" s="20">
        <v>-0.13</v>
      </c>
      <c r="W1690" s="20">
        <v>-1.71</v>
      </c>
      <c r="X1690" s="20">
        <v>-1.58</v>
      </c>
      <c r="Y1690" s="20">
        <v>0</v>
      </c>
      <c r="Z1690" s="20">
        <v>0</v>
      </c>
      <c r="AA1690" s="20">
        <v>0</v>
      </c>
      <c r="AB1690" s="20">
        <v>45.66</v>
      </c>
      <c r="AC1690" t="s">
        <v>183</v>
      </c>
      <c r="AD1690" t="s">
        <v>290</v>
      </c>
      <c r="AE1690" s="702">
        <f t="shared" si="130"/>
        <v>44348</v>
      </c>
      <c r="AF1690" s="289">
        <v>54.392374108822708</v>
      </c>
      <c r="AG1690">
        <f t="shared" si="131"/>
        <v>360</v>
      </c>
      <c r="AH1690" s="289">
        <f t="shared" si="132"/>
        <v>0.15108992808006308</v>
      </c>
      <c r="AJ1690" s="289">
        <f t="shared" si="133"/>
        <v>18</v>
      </c>
      <c r="AK1690" s="289">
        <f t="shared" si="134"/>
        <v>2.7196187054411354</v>
      </c>
    </row>
    <row r="1691" spans="1:37">
      <c r="A1691" s="703" t="s">
        <v>3210</v>
      </c>
      <c r="B1691" s="703" t="s">
        <v>2849</v>
      </c>
      <c r="C1691" s="703" t="s">
        <v>332</v>
      </c>
      <c r="D1691" s="703" t="s">
        <v>334</v>
      </c>
      <c r="E1691" s="703" t="s">
        <v>334</v>
      </c>
      <c r="F1691" s="703" t="s">
        <v>335</v>
      </c>
      <c r="G1691" s="703" t="s">
        <v>3071</v>
      </c>
      <c r="H1691" s="703" t="s">
        <v>334</v>
      </c>
      <c r="I1691" s="703" t="s">
        <v>334</v>
      </c>
      <c r="J1691" s="703" t="s">
        <v>337</v>
      </c>
      <c r="K1691" s="704">
        <v>0</v>
      </c>
      <c r="L1691" s="703" t="s">
        <v>334</v>
      </c>
      <c r="M1691" s="702">
        <v>42886</v>
      </c>
      <c r="N1691" s="702">
        <v>44516</v>
      </c>
      <c r="O1691" s="703" t="s">
        <v>338</v>
      </c>
      <c r="P1691" s="20">
        <v>1074</v>
      </c>
      <c r="Q1691" s="20">
        <v>0</v>
      </c>
      <c r="R1691" s="20">
        <v>0</v>
      </c>
      <c r="S1691" s="20">
        <v>0</v>
      </c>
      <c r="T1691" s="20">
        <v>1074</v>
      </c>
      <c r="U1691" s="20">
        <v>1071.02</v>
      </c>
      <c r="V1691" s="20">
        <v>-2.98</v>
      </c>
      <c r="W1691" s="20">
        <v>-38.78</v>
      </c>
      <c r="X1691" s="20">
        <v>-35.799999999999997</v>
      </c>
      <c r="Y1691" s="20">
        <v>0</v>
      </c>
      <c r="Z1691" s="20">
        <v>0</v>
      </c>
      <c r="AA1691" s="20">
        <v>0</v>
      </c>
      <c r="AB1691" s="20">
        <v>1035.22</v>
      </c>
      <c r="AC1691" t="s">
        <v>183</v>
      </c>
      <c r="AD1691" t="s">
        <v>290</v>
      </c>
      <c r="AE1691" s="702">
        <f t="shared" si="130"/>
        <v>44348</v>
      </c>
      <c r="AF1691" s="289">
        <v>1233.215321783314</v>
      </c>
      <c r="AG1691">
        <f t="shared" si="131"/>
        <v>360</v>
      </c>
      <c r="AH1691" s="289">
        <f t="shared" si="132"/>
        <v>3.4255981160647613</v>
      </c>
      <c r="AJ1691" s="289">
        <f t="shared" si="133"/>
        <v>18</v>
      </c>
      <c r="AK1691" s="289">
        <f t="shared" si="134"/>
        <v>61.660766089165705</v>
      </c>
    </row>
    <row r="1692" spans="1:37">
      <c r="A1692" s="703" t="s">
        <v>3211</v>
      </c>
      <c r="B1692" s="703" t="s">
        <v>2849</v>
      </c>
      <c r="C1692" s="703" t="s">
        <v>332</v>
      </c>
      <c r="D1692" s="703" t="s">
        <v>334</v>
      </c>
      <c r="E1692" s="703" t="s">
        <v>334</v>
      </c>
      <c r="F1692" s="703" t="s">
        <v>335</v>
      </c>
      <c r="G1692" s="703" t="s">
        <v>3071</v>
      </c>
      <c r="H1692" s="703" t="s">
        <v>334</v>
      </c>
      <c r="I1692" s="703" t="s">
        <v>334</v>
      </c>
      <c r="J1692" s="703" t="s">
        <v>337</v>
      </c>
      <c r="K1692" s="704">
        <v>0</v>
      </c>
      <c r="L1692" s="703" t="s">
        <v>334</v>
      </c>
      <c r="M1692" s="702">
        <v>42886</v>
      </c>
      <c r="N1692" s="702">
        <v>44516</v>
      </c>
      <c r="O1692" s="703" t="s">
        <v>338</v>
      </c>
      <c r="P1692" s="20">
        <v>1327.2</v>
      </c>
      <c r="Q1692" s="20">
        <v>0</v>
      </c>
      <c r="R1692" s="20">
        <v>0</v>
      </c>
      <c r="S1692" s="20">
        <v>0</v>
      </c>
      <c r="T1692" s="20">
        <v>1327.2</v>
      </c>
      <c r="U1692" s="20">
        <v>1323.51</v>
      </c>
      <c r="V1692" s="20">
        <v>-3.69</v>
      </c>
      <c r="W1692" s="20">
        <v>-47.93</v>
      </c>
      <c r="X1692" s="20">
        <v>-44.24</v>
      </c>
      <c r="Y1692" s="20">
        <v>0</v>
      </c>
      <c r="Z1692" s="20">
        <v>0</v>
      </c>
      <c r="AA1692" s="20">
        <v>0</v>
      </c>
      <c r="AB1692" s="20">
        <v>1279.27</v>
      </c>
      <c r="AC1692" t="s">
        <v>183</v>
      </c>
      <c r="AD1692" t="s">
        <v>290</v>
      </c>
      <c r="AE1692" s="702">
        <f t="shared" si="130"/>
        <v>44348</v>
      </c>
      <c r="AF1692" s="289">
        <v>1523.951000997034</v>
      </c>
      <c r="AG1692">
        <f t="shared" si="131"/>
        <v>360</v>
      </c>
      <c r="AH1692" s="289">
        <f t="shared" si="132"/>
        <v>4.2331972249917609</v>
      </c>
      <c r="AJ1692" s="289">
        <f t="shared" si="133"/>
        <v>18</v>
      </c>
      <c r="AK1692" s="289">
        <f t="shared" si="134"/>
        <v>76.197550049851699</v>
      </c>
    </row>
    <row r="1693" spans="1:37">
      <c r="A1693" s="703" t="s">
        <v>3212</v>
      </c>
      <c r="B1693" s="703" t="s">
        <v>2849</v>
      </c>
      <c r="C1693" s="703" t="s">
        <v>332</v>
      </c>
      <c r="D1693" s="703" t="s">
        <v>334</v>
      </c>
      <c r="E1693" s="703" t="s">
        <v>334</v>
      </c>
      <c r="F1693" s="703" t="s">
        <v>335</v>
      </c>
      <c r="G1693" s="703" t="s">
        <v>3071</v>
      </c>
      <c r="H1693" s="703" t="s">
        <v>334</v>
      </c>
      <c r="I1693" s="703" t="s">
        <v>334</v>
      </c>
      <c r="J1693" s="703" t="s">
        <v>337</v>
      </c>
      <c r="K1693" s="704">
        <v>0</v>
      </c>
      <c r="L1693" s="703" t="s">
        <v>334</v>
      </c>
      <c r="M1693" s="702">
        <v>42886</v>
      </c>
      <c r="N1693" s="702">
        <v>44516</v>
      </c>
      <c r="O1693" s="703" t="s">
        <v>338</v>
      </c>
      <c r="P1693" s="20">
        <v>221.2</v>
      </c>
      <c r="Q1693" s="20">
        <v>0</v>
      </c>
      <c r="R1693" s="20">
        <v>0</v>
      </c>
      <c r="S1693" s="20">
        <v>0</v>
      </c>
      <c r="T1693" s="20">
        <v>221.2</v>
      </c>
      <c r="U1693" s="20">
        <v>220.59</v>
      </c>
      <c r="V1693" s="20">
        <v>-0.61</v>
      </c>
      <c r="W1693" s="20">
        <v>-7.98</v>
      </c>
      <c r="X1693" s="20">
        <v>-7.37</v>
      </c>
      <c r="Y1693" s="20">
        <v>0</v>
      </c>
      <c r="Z1693" s="20">
        <v>0</v>
      </c>
      <c r="AA1693" s="20">
        <v>0</v>
      </c>
      <c r="AB1693" s="20">
        <v>213.22</v>
      </c>
      <c r="AC1693" t="s">
        <v>183</v>
      </c>
      <c r="AD1693" t="s">
        <v>290</v>
      </c>
      <c r="AE1693" s="702">
        <f t="shared" si="130"/>
        <v>44348</v>
      </c>
      <c r="AF1693" s="289">
        <v>253.99183349950565</v>
      </c>
      <c r="AG1693">
        <f t="shared" si="131"/>
        <v>360</v>
      </c>
      <c r="AH1693" s="289">
        <f t="shared" si="132"/>
        <v>0.70553287083196015</v>
      </c>
      <c r="AJ1693" s="289">
        <f t="shared" si="133"/>
        <v>18</v>
      </c>
      <c r="AK1693" s="289">
        <f t="shared" si="134"/>
        <v>12.699591674975283</v>
      </c>
    </row>
    <row r="1694" spans="1:37">
      <c r="A1694" s="703" t="s">
        <v>3213</v>
      </c>
      <c r="B1694" s="703" t="s">
        <v>2849</v>
      </c>
      <c r="C1694" s="703" t="s">
        <v>332</v>
      </c>
      <c r="D1694" s="703" t="s">
        <v>334</v>
      </c>
      <c r="E1694" s="703" t="s">
        <v>334</v>
      </c>
      <c r="F1694" s="703" t="s">
        <v>335</v>
      </c>
      <c r="G1694" s="703" t="s">
        <v>3071</v>
      </c>
      <c r="H1694" s="703" t="s">
        <v>334</v>
      </c>
      <c r="I1694" s="703" t="s">
        <v>334</v>
      </c>
      <c r="J1694" s="703" t="s">
        <v>337</v>
      </c>
      <c r="K1694" s="704">
        <v>0</v>
      </c>
      <c r="L1694" s="703" t="s">
        <v>334</v>
      </c>
      <c r="M1694" s="702">
        <v>42886</v>
      </c>
      <c r="N1694" s="702">
        <v>44516</v>
      </c>
      <c r="O1694" s="703" t="s">
        <v>338</v>
      </c>
      <c r="P1694" s="20">
        <v>5066.8</v>
      </c>
      <c r="Q1694" s="20">
        <v>0</v>
      </c>
      <c r="R1694" s="20">
        <v>0</v>
      </c>
      <c r="S1694" s="20">
        <v>0</v>
      </c>
      <c r="T1694" s="20">
        <v>5066.8</v>
      </c>
      <c r="U1694" s="20">
        <v>5052.7299999999996</v>
      </c>
      <c r="V1694" s="20">
        <v>-14.07</v>
      </c>
      <c r="W1694" s="20">
        <v>-182.96</v>
      </c>
      <c r="X1694" s="20">
        <v>-168.89</v>
      </c>
      <c r="Y1694" s="20">
        <v>0</v>
      </c>
      <c r="Z1694" s="20">
        <v>0</v>
      </c>
      <c r="AA1694" s="20">
        <v>0</v>
      </c>
      <c r="AB1694" s="20">
        <v>4883.84</v>
      </c>
      <c r="AC1694" t="s">
        <v>183</v>
      </c>
      <c r="AD1694" t="s">
        <v>290</v>
      </c>
      <c r="AE1694" s="702">
        <f t="shared" si="130"/>
        <v>44348</v>
      </c>
      <c r="AF1694" s="289">
        <v>5817.9286707743913</v>
      </c>
      <c r="AG1694">
        <f t="shared" si="131"/>
        <v>360</v>
      </c>
      <c r="AH1694" s="289">
        <f t="shared" si="132"/>
        <v>16.160912974373311</v>
      </c>
      <c r="AJ1694" s="289">
        <f t="shared" si="133"/>
        <v>18</v>
      </c>
      <c r="AK1694" s="289">
        <f t="shared" si="134"/>
        <v>290.89643353871958</v>
      </c>
    </row>
    <row r="1695" spans="1:37">
      <c r="A1695" s="703" t="s">
        <v>3214</v>
      </c>
      <c r="B1695" s="703" t="s">
        <v>2849</v>
      </c>
      <c r="C1695" s="703" t="s">
        <v>332</v>
      </c>
      <c r="D1695" s="703" t="s">
        <v>334</v>
      </c>
      <c r="E1695" s="703" t="s">
        <v>334</v>
      </c>
      <c r="F1695" s="703" t="s">
        <v>335</v>
      </c>
      <c r="G1695" s="703" t="s">
        <v>3071</v>
      </c>
      <c r="H1695" s="703" t="s">
        <v>334</v>
      </c>
      <c r="I1695" s="703" t="s">
        <v>334</v>
      </c>
      <c r="J1695" s="703" t="s">
        <v>337</v>
      </c>
      <c r="K1695" s="704">
        <v>0</v>
      </c>
      <c r="L1695" s="703" t="s">
        <v>334</v>
      </c>
      <c r="M1695" s="702">
        <v>42886</v>
      </c>
      <c r="N1695" s="702">
        <v>44516</v>
      </c>
      <c r="O1695" s="703" t="s">
        <v>338</v>
      </c>
      <c r="P1695" s="20">
        <v>517.51</v>
      </c>
      <c r="Q1695" s="20">
        <v>0</v>
      </c>
      <c r="R1695" s="20">
        <v>0</v>
      </c>
      <c r="S1695" s="20">
        <v>0</v>
      </c>
      <c r="T1695" s="20">
        <v>517.51</v>
      </c>
      <c r="U1695" s="20">
        <v>516.07000000000005</v>
      </c>
      <c r="V1695" s="20">
        <v>-1.44</v>
      </c>
      <c r="W1695" s="20">
        <v>-18.690000000000001</v>
      </c>
      <c r="X1695" s="20">
        <v>-17.25</v>
      </c>
      <c r="Y1695" s="20">
        <v>0</v>
      </c>
      <c r="Z1695" s="20">
        <v>0</v>
      </c>
      <c r="AA1695" s="20">
        <v>0</v>
      </c>
      <c r="AB1695" s="20">
        <v>498.82</v>
      </c>
      <c r="AC1695" t="s">
        <v>183</v>
      </c>
      <c r="AD1695" t="s">
        <v>290</v>
      </c>
      <c r="AE1695" s="702">
        <f t="shared" si="130"/>
        <v>44348</v>
      </c>
      <c r="AF1695" s="289">
        <v>594.22836236134344</v>
      </c>
      <c r="AG1695">
        <f t="shared" si="131"/>
        <v>360</v>
      </c>
      <c r="AH1695" s="289">
        <f t="shared" si="132"/>
        <v>1.6506343398926207</v>
      </c>
      <c r="AJ1695" s="289">
        <f t="shared" si="133"/>
        <v>18</v>
      </c>
      <c r="AK1695" s="289">
        <f t="shared" si="134"/>
        <v>29.711418118067172</v>
      </c>
    </row>
    <row r="1696" spans="1:37">
      <c r="A1696" s="703" t="s">
        <v>3215</v>
      </c>
      <c r="B1696" s="703" t="s">
        <v>2849</v>
      </c>
      <c r="C1696" s="703" t="s">
        <v>332</v>
      </c>
      <c r="D1696" s="703" t="s">
        <v>334</v>
      </c>
      <c r="E1696" s="703" t="s">
        <v>334</v>
      </c>
      <c r="F1696" s="703" t="s">
        <v>335</v>
      </c>
      <c r="G1696" s="703" t="s">
        <v>3071</v>
      </c>
      <c r="H1696" s="703" t="s">
        <v>334</v>
      </c>
      <c r="I1696" s="703" t="s">
        <v>334</v>
      </c>
      <c r="J1696" s="703" t="s">
        <v>337</v>
      </c>
      <c r="K1696" s="704">
        <v>0</v>
      </c>
      <c r="L1696" s="703" t="s">
        <v>334</v>
      </c>
      <c r="M1696" s="702">
        <v>42886</v>
      </c>
      <c r="N1696" s="702">
        <v>44516</v>
      </c>
      <c r="O1696" s="703" t="s">
        <v>338</v>
      </c>
      <c r="P1696" s="20">
        <v>1353.49</v>
      </c>
      <c r="Q1696" s="20">
        <v>0</v>
      </c>
      <c r="R1696" s="20">
        <v>0</v>
      </c>
      <c r="S1696" s="20">
        <v>0</v>
      </c>
      <c r="T1696" s="20">
        <v>1353.49</v>
      </c>
      <c r="U1696" s="20">
        <v>1349.73</v>
      </c>
      <c r="V1696" s="20">
        <v>-3.76</v>
      </c>
      <c r="W1696" s="20">
        <v>-48.88</v>
      </c>
      <c r="X1696" s="20">
        <v>-45.12</v>
      </c>
      <c r="Y1696" s="20">
        <v>0</v>
      </c>
      <c r="Z1696" s="20">
        <v>0</v>
      </c>
      <c r="AA1696" s="20">
        <v>0</v>
      </c>
      <c r="AB1696" s="20">
        <v>1304.6099999999999</v>
      </c>
      <c r="AC1696" t="s">
        <v>183</v>
      </c>
      <c r="AD1696" t="s">
        <v>290</v>
      </c>
      <c r="AE1696" s="702">
        <f t="shared" si="130"/>
        <v>44348</v>
      </c>
      <c r="AF1696" s="289">
        <v>1554.138366741618</v>
      </c>
      <c r="AG1696">
        <f t="shared" si="131"/>
        <v>360</v>
      </c>
      <c r="AH1696" s="289">
        <f t="shared" si="132"/>
        <v>4.3170510187267164</v>
      </c>
      <c r="AJ1696" s="289">
        <f t="shared" si="133"/>
        <v>18</v>
      </c>
      <c r="AK1696" s="289">
        <f t="shared" si="134"/>
        <v>77.706918337080893</v>
      </c>
    </row>
    <row r="1697" spans="1:37">
      <c r="A1697" s="703" t="s">
        <v>3216</v>
      </c>
      <c r="B1697" s="703" t="s">
        <v>2849</v>
      </c>
      <c r="C1697" s="703" t="s">
        <v>332</v>
      </c>
      <c r="D1697" s="703" t="s">
        <v>334</v>
      </c>
      <c r="E1697" s="703" t="s">
        <v>334</v>
      </c>
      <c r="F1697" s="703" t="s">
        <v>335</v>
      </c>
      <c r="G1697" s="703" t="s">
        <v>3071</v>
      </c>
      <c r="H1697" s="703" t="s">
        <v>334</v>
      </c>
      <c r="I1697" s="703" t="s">
        <v>334</v>
      </c>
      <c r="J1697" s="703" t="s">
        <v>337</v>
      </c>
      <c r="K1697" s="704">
        <v>0</v>
      </c>
      <c r="L1697" s="703" t="s">
        <v>334</v>
      </c>
      <c r="M1697" s="702">
        <v>42886</v>
      </c>
      <c r="N1697" s="702">
        <v>44516</v>
      </c>
      <c r="O1697" s="703" t="s">
        <v>338</v>
      </c>
      <c r="P1697" s="20">
        <v>32776.769999999997</v>
      </c>
      <c r="Q1697" s="20">
        <v>0</v>
      </c>
      <c r="R1697" s="20">
        <v>0</v>
      </c>
      <c r="S1697" s="20">
        <v>0</v>
      </c>
      <c r="T1697" s="20">
        <v>32776.769999999997</v>
      </c>
      <c r="U1697" s="20">
        <v>32685.72</v>
      </c>
      <c r="V1697" s="20">
        <v>-91.05</v>
      </c>
      <c r="W1697" s="20">
        <v>-1183.6099999999999</v>
      </c>
      <c r="X1697" s="20">
        <v>-1092.56</v>
      </c>
      <c r="Y1697" s="20">
        <v>0</v>
      </c>
      <c r="Z1697" s="20">
        <v>0</v>
      </c>
      <c r="AA1697" s="20">
        <v>0</v>
      </c>
      <c r="AB1697" s="20">
        <v>31593.16</v>
      </c>
      <c r="AC1697" t="s">
        <v>183</v>
      </c>
      <c r="AD1697" t="s">
        <v>290</v>
      </c>
      <c r="AE1697" s="702">
        <f t="shared" si="130"/>
        <v>44348</v>
      </c>
      <c r="AF1697" s="289">
        <v>37635.768121571382</v>
      </c>
      <c r="AG1697">
        <f t="shared" si="131"/>
        <v>360</v>
      </c>
      <c r="AH1697" s="289">
        <f t="shared" si="132"/>
        <v>104.54380033769829</v>
      </c>
      <c r="AJ1697" s="289">
        <f t="shared" si="133"/>
        <v>18</v>
      </c>
      <c r="AK1697" s="289">
        <f t="shared" si="134"/>
        <v>1881.7884060785691</v>
      </c>
    </row>
    <row r="1698" spans="1:37">
      <c r="A1698" s="703" t="s">
        <v>3217</v>
      </c>
      <c r="B1698" s="703" t="s">
        <v>2849</v>
      </c>
      <c r="C1698" s="703" t="s">
        <v>332</v>
      </c>
      <c r="D1698" s="703" t="s">
        <v>334</v>
      </c>
      <c r="E1698" s="703" t="s">
        <v>334</v>
      </c>
      <c r="F1698" s="703" t="s">
        <v>335</v>
      </c>
      <c r="G1698" s="703" t="s">
        <v>3071</v>
      </c>
      <c r="H1698" s="703" t="s">
        <v>334</v>
      </c>
      <c r="I1698" s="703" t="s">
        <v>334</v>
      </c>
      <c r="J1698" s="703" t="s">
        <v>337</v>
      </c>
      <c r="K1698" s="704">
        <v>0</v>
      </c>
      <c r="L1698" s="703" t="s">
        <v>334</v>
      </c>
      <c r="M1698" s="702">
        <v>42886</v>
      </c>
      <c r="N1698" s="702">
        <v>44516</v>
      </c>
      <c r="O1698" s="703" t="s">
        <v>338</v>
      </c>
      <c r="P1698" s="20">
        <v>1034.82</v>
      </c>
      <c r="Q1698" s="20">
        <v>0</v>
      </c>
      <c r="R1698" s="20">
        <v>0</v>
      </c>
      <c r="S1698" s="20">
        <v>0</v>
      </c>
      <c r="T1698" s="20">
        <v>1034.82</v>
      </c>
      <c r="U1698" s="20">
        <v>1031.95</v>
      </c>
      <c r="V1698" s="20">
        <v>-2.87</v>
      </c>
      <c r="W1698" s="20">
        <v>-37.36</v>
      </c>
      <c r="X1698" s="20">
        <v>-34.49</v>
      </c>
      <c r="Y1698" s="20">
        <v>0</v>
      </c>
      <c r="Z1698" s="20">
        <v>0</v>
      </c>
      <c r="AA1698" s="20">
        <v>0</v>
      </c>
      <c r="AB1698" s="20">
        <v>997.46</v>
      </c>
      <c r="AC1698" t="s">
        <v>183</v>
      </c>
      <c r="AD1698" t="s">
        <v>290</v>
      </c>
      <c r="AE1698" s="702">
        <f t="shared" si="130"/>
        <v>44348</v>
      </c>
      <c r="AF1698" s="289">
        <v>1188.227075686973</v>
      </c>
      <c r="AG1698">
        <f t="shared" si="131"/>
        <v>360</v>
      </c>
      <c r="AH1698" s="289">
        <f t="shared" si="132"/>
        <v>3.300630765797147</v>
      </c>
      <c r="AJ1698" s="289">
        <f t="shared" si="133"/>
        <v>18</v>
      </c>
      <c r="AK1698" s="289">
        <f t="shared" si="134"/>
        <v>59.411353784348648</v>
      </c>
    </row>
    <row r="1699" spans="1:37">
      <c r="A1699" s="703" t="s">
        <v>3218</v>
      </c>
      <c r="B1699" s="703" t="s">
        <v>2849</v>
      </c>
      <c r="C1699" s="703" t="s">
        <v>332</v>
      </c>
      <c r="D1699" s="703" t="s">
        <v>334</v>
      </c>
      <c r="E1699" s="703" t="s">
        <v>334</v>
      </c>
      <c r="F1699" s="703" t="s">
        <v>335</v>
      </c>
      <c r="G1699" s="703" t="s">
        <v>3071</v>
      </c>
      <c r="H1699" s="703" t="s">
        <v>334</v>
      </c>
      <c r="I1699" s="703" t="s">
        <v>334</v>
      </c>
      <c r="J1699" s="703" t="s">
        <v>337</v>
      </c>
      <c r="K1699" s="704">
        <v>0</v>
      </c>
      <c r="L1699" s="703" t="s">
        <v>334</v>
      </c>
      <c r="M1699" s="702">
        <v>42886</v>
      </c>
      <c r="N1699" s="702">
        <v>44516</v>
      </c>
      <c r="O1699" s="703" t="s">
        <v>338</v>
      </c>
      <c r="P1699" s="20">
        <v>320.45</v>
      </c>
      <c r="Q1699" s="20">
        <v>0</v>
      </c>
      <c r="R1699" s="20">
        <v>0</v>
      </c>
      <c r="S1699" s="20">
        <v>0</v>
      </c>
      <c r="T1699" s="20">
        <v>320.45</v>
      </c>
      <c r="U1699" s="20">
        <v>319.56</v>
      </c>
      <c r="V1699" s="20">
        <v>-0.89</v>
      </c>
      <c r="W1699" s="20">
        <v>-11.57</v>
      </c>
      <c r="X1699" s="20">
        <v>-10.68</v>
      </c>
      <c r="Y1699" s="20">
        <v>0</v>
      </c>
      <c r="Z1699" s="20">
        <v>0</v>
      </c>
      <c r="AA1699" s="20">
        <v>0</v>
      </c>
      <c r="AB1699" s="20">
        <v>308.88</v>
      </c>
      <c r="AC1699" t="s">
        <v>183</v>
      </c>
      <c r="AD1699" t="s">
        <v>290</v>
      </c>
      <c r="AE1699" s="702">
        <f t="shared" si="130"/>
        <v>44348</v>
      </c>
      <c r="AF1699" s="289">
        <v>367.95516747249815</v>
      </c>
      <c r="AG1699">
        <f t="shared" si="131"/>
        <v>360</v>
      </c>
      <c r="AH1699" s="289">
        <f t="shared" si="132"/>
        <v>1.0220976874236061</v>
      </c>
      <c r="AJ1699" s="289">
        <f t="shared" si="133"/>
        <v>18</v>
      </c>
      <c r="AK1699" s="289">
        <f t="shared" si="134"/>
        <v>18.39775837362491</v>
      </c>
    </row>
    <row r="1700" spans="1:37">
      <c r="A1700" s="703" t="s">
        <v>3219</v>
      </c>
      <c r="B1700" s="703" t="s">
        <v>2849</v>
      </c>
      <c r="C1700" s="703" t="s">
        <v>332</v>
      </c>
      <c r="D1700" s="703" t="s">
        <v>334</v>
      </c>
      <c r="E1700" s="703" t="s">
        <v>334</v>
      </c>
      <c r="F1700" s="703" t="s">
        <v>335</v>
      </c>
      <c r="G1700" s="703" t="s">
        <v>3071</v>
      </c>
      <c r="H1700" s="703" t="s">
        <v>334</v>
      </c>
      <c r="I1700" s="703" t="s">
        <v>334</v>
      </c>
      <c r="J1700" s="703" t="s">
        <v>337</v>
      </c>
      <c r="K1700" s="704">
        <v>0</v>
      </c>
      <c r="L1700" s="703" t="s">
        <v>334</v>
      </c>
      <c r="M1700" s="702">
        <v>42886</v>
      </c>
      <c r="N1700" s="702">
        <v>44516</v>
      </c>
      <c r="O1700" s="703" t="s">
        <v>338</v>
      </c>
      <c r="P1700" s="20">
        <v>2008.86</v>
      </c>
      <c r="Q1700" s="20">
        <v>0</v>
      </c>
      <c r="R1700" s="20">
        <v>0</v>
      </c>
      <c r="S1700" s="20">
        <v>0</v>
      </c>
      <c r="T1700" s="20">
        <v>2008.86</v>
      </c>
      <c r="U1700" s="20">
        <v>2003.28</v>
      </c>
      <c r="V1700" s="20">
        <v>-5.58</v>
      </c>
      <c r="W1700" s="20">
        <v>-72.540000000000006</v>
      </c>
      <c r="X1700" s="20">
        <v>-66.959999999999994</v>
      </c>
      <c r="Y1700" s="20">
        <v>0</v>
      </c>
      <c r="Z1700" s="20">
        <v>0</v>
      </c>
      <c r="AA1700" s="20">
        <v>0</v>
      </c>
      <c r="AB1700" s="20">
        <v>1936.32</v>
      </c>
      <c r="AC1700" t="s">
        <v>183</v>
      </c>
      <c r="AD1700" t="s">
        <v>290</v>
      </c>
      <c r="AE1700" s="702">
        <f t="shared" si="130"/>
        <v>44348</v>
      </c>
      <c r="AF1700" s="289">
        <v>2306.6638094205105</v>
      </c>
      <c r="AG1700">
        <f t="shared" si="131"/>
        <v>360</v>
      </c>
      <c r="AH1700" s="289">
        <f t="shared" si="132"/>
        <v>6.4073994706125292</v>
      </c>
      <c r="AJ1700" s="289">
        <f t="shared" si="133"/>
        <v>18</v>
      </c>
      <c r="AK1700" s="289">
        <f t="shared" si="134"/>
        <v>115.33319047102553</v>
      </c>
    </row>
    <row r="1701" spans="1:37">
      <c r="A1701" s="703" t="s">
        <v>3220</v>
      </c>
      <c r="B1701" s="703" t="s">
        <v>2849</v>
      </c>
      <c r="C1701" s="703" t="s">
        <v>332</v>
      </c>
      <c r="D1701" s="703" t="s">
        <v>334</v>
      </c>
      <c r="E1701" s="703" t="s">
        <v>334</v>
      </c>
      <c r="F1701" s="703" t="s">
        <v>335</v>
      </c>
      <c r="G1701" s="703" t="s">
        <v>3071</v>
      </c>
      <c r="H1701" s="703" t="s">
        <v>334</v>
      </c>
      <c r="I1701" s="703" t="s">
        <v>334</v>
      </c>
      <c r="J1701" s="703" t="s">
        <v>337</v>
      </c>
      <c r="K1701" s="704">
        <v>0</v>
      </c>
      <c r="L1701" s="703" t="s">
        <v>334</v>
      </c>
      <c r="M1701" s="702">
        <v>42886</v>
      </c>
      <c r="N1701" s="702">
        <v>44516</v>
      </c>
      <c r="O1701" s="703" t="s">
        <v>338</v>
      </c>
      <c r="P1701" s="20">
        <v>79.62</v>
      </c>
      <c r="Q1701" s="20">
        <v>0</v>
      </c>
      <c r="R1701" s="20">
        <v>0</v>
      </c>
      <c r="S1701" s="20">
        <v>0</v>
      </c>
      <c r="T1701" s="20">
        <v>79.62</v>
      </c>
      <c r="U1701" s="20">
        <v>79.400000000000006</v>
      </c>
      <c r="V1701" s="20">
        <v>-0.22</v>
      </c>
      <c r="W1701" s="20">
        <v>-2.87</v>
      </c>
      <c r="X1701" s="20">
        <v>-2.65</v>
      </c>
      <c r="Y1701" s="20">
        <v>0</v>
      </c>
      <c r="Z1701" s="20">
        <v>0</v>
      </c>
      <c r="AA1701" s="20">
        <v>0</v>
      </c>
      <c r="AB1701" s="20">
        <v>76.75</v>
      </c>
      <c r="AC1701" t="s">
        <v>183</v>
      </c>
      <c r="AD1701" t="s">
        <v>290</v>
      </c>
      <c r="AE1701" s="702">
        <f t="shared" si="130"/>
        <v>44348</v>
      </c>
      <c r="AF1701" s="289">
        <v>91.42328111767921</v>
      </c>
      <c r="AG1701">
        <f t="shared" si="131"/>
        <v>360</v>
      </c>
      <c r="AH1701" s="289">
        <f t="shared" si="132"/>
        <v>0.25395355866022001</v>
      </c>
      <c r="AJ1701" s="289">
        <f t="shared" si="133"/>
        <v>18</v>
      </c>
      <c r="AK1701" s="289">
        <f t="shared" si="134"/>
        <v>4.5711640558839601</v>
      </c>
    </row>
    <row r="1702" spans="1:37">
      <c r="A1702" s="703" t="s">
        <v>3221</v>
      </c>
      <c r="B1702" s="703" t="s">
        <v>2849</v>
      </c>
      <c r="C1702" s="703" t="s">
        <v>332</v>
      </c>
      <c r="D1702" s="703" t="s">
        <v>334</v>
      </c>
      <c r="E1702" s="703" t="s">
        <v>334</v>
      </c>
      <c r="F1702" s="703" t="s">
        <v>335</v>
      </c>
      <c r="G1702" s="703" t="s">
        <v>3222</v>
      </c>
      <c r="H1702" s="703" t="s">
        <v>334</v>
      </c>
      <c r="I1702" s="703" t="s">
        <v>334</v>
      </c>
      <c r="J1702" s="703" t="s">
        <v>337</v>
      </c>
      <c r="K1702" s="704">
        <v>0</v>
      </c>
      <c r="L1702" s="703" t="s">
        <v>334</v>
      </c>
      <c r="M1702" s="702">
        <v>42886</v>
      </c>
      <c r="N1702" s="702">
        <v>44516</v>
      </c>
      <c r="O1702" s="703" t="s">
        <v>338</v>
      </c>
      <c r="P1702" s="20">
        <v>165.9</v>
      </c>
      <c r="Q1702" s="20">
        <v>0</v>
      </c>
      <c r="R1702" s="20">
        <v>0</v>
      </c>
      <c r="S1702" s="20">
        <v>0</v>
      </c>
      <c r="T1702" s="20">
        <v>165.9</v>
      </c>
      <c r="U1702" s="20">
        <v>165.44</v>
      </c>
      <c r="V1702" s="20">
        <v>-0.46</v>
      </c>
      <c r="W1702" s="20">
        <v>-5.99</v>
      </c>
      <c r="X1702" s="20">
        <v>-5.53</v>
      </c>
      <c r="Y1702" s="20">
        <v>0</v>
      </c>
      <c r="Z1702" s="20">
        <v>0</v>
      </c>
      <c r="AA1702" s="20">
        <v>0</v>
      </c>
      <c r="AB1702" s="20">
        <v>159.91</v>
      </c>
      <c r="AC1702" t="s">
        <v>183</v>
      </c>
      <c r="AD1702" t="s">
        <v>290</v>
      </c>
      <c r="AE1702" s="702">
        <f t="shared" si="130"/>
        <v>44348</v>
      </c>
      <c r="AF1702" s="289">
        <v>190.49387512462926</v>
      </c>
      <c r="AG1702">
        <f t="shared" si="131"/>
        <v>360</v>
      </c>
      <c r="AH1702" s="289">
        <f t="shared" si="132"/>
        <v>0.52914965312397011</v>
      </c>
      <c r="AJ1702" s="289">
        <f t="shared" si="133"/>
        <v>18</v>
      </c>
      <c r="AK1702" s="289">
        <f t="shared" si="134"/>
        <v>9.5246937562314624</v>
      </c>
    </row>
    <row r="1703" spans="1:37">
      <c r="A1703" s="703" t="s">
        <v>3223</v>
      </c>
      <c r="B1703" s="703" t="s">
        <v>2849</v>
      </c>
      <c r="C1703" s="703" t="s">
        <v>332</v>
      </c>
      <c r="D1703" s="703" t="s">
        <v>334</v>
      </c>
      <c r="E1703" s="703" t="s">
        <v>334</v>
      </c>
      <c r="F1703" s="703" t="s">
        <v>335</v>
      </c>
      <c r="G1703" s="703" t="s">
        <v>3222</v>
      </c>
      <c r="H1703" s="703" t="s">
        <v>334</v>
      </c>
      <c r="I1703" s="703" t="s">
        <v>334</v>
      </c>
      <c r="J1703" s="703" t="s">
        <v>337</v>
      </c>
      <c r="K1703" s="704">
        <v>0</v>
      </c>
      <c r="L1703" s="703" t="s">
        <v>334</v>
      </c>
      <c r="M1703" s="702">
        <v>42886</v>
      </c>
      <c r="N1703" s="702">
        <v>44516</v>
      </c>
      <c r="O1703" s="703" t="s">
        <v>338</v>
      </c>
      <c r="P1703" s="20">
        <v>623.02</v>
      </c>
      <c r="Q1703" s="20">
        <v>0</v>
      </c>
      <c r="R1703" s="20">
        <v>0</v>
      </c>
      <c r="S1703" s="20">
        <v>0</v>
      </c>
      <c r="T1703" s="20">
        <v>623.02</v>
      </c>
      <c r="U1703" s="20">
        <v>621.29</v>
      </c>
      <c r="V1703" s="20">
        <v>-1.73</v>
      </c>
      <c r="W1703" s="20">
        <v>-22.5</v>
      </c>
      <c r="X1703" s="20">
        <v>-20.77</v>
      </c>
      <c r="Y1703" s="20">
        <v>0</v>
      </c>
      <c r="Z1703" s="20">
        <v>0</v>
      </c>
      <c r="AA1703" s="20">
        <v>0</v>
      </c>
      <c r="AB1703" s="20">
        <v>600.52</v>
      </c>
      <c r="AC1703" t="s">
        <v>183</v>
      </c>
      <c r="AD1703" t="s">
        <v>290</v>
      </c>
      <c r="AE1703" s="702">
        <f t="shared" si="130"/>
        <v>44348</v>
      </c>
      <c r="AF1703" s="289">
        <v>715.37971115217908</v>
      </c>
      <c r="AG1703">
        <f t="shared" si="131"/>
        <v>360</v>
      </c>
      <c r="AH1703" s="289">
        <f t="shared" si="132"/>
        <v>1.9871658643116086</v>
      </c>
      <c r="AJ1703" s="289">
        <f t="shared" si="133"/>
        <v>18</v>
      </c>
      <c r="AK1703" s="289">
        <f t="shared" si="134"/>
        <v>35.768985557608957</v>
      </c>
    </row>
    <row r="1704" spans="1:37">
      <c r="A1704" s="703" t="s">
        <v>3224</v>
      </c>
      <c r="B1704" s="703" t="s">
        <v>2849</v>
      </c>
      <c r="C1704" s="703" t="s">
        <v>332</v>
      </c>
      <c r="D1704" s="703" t="s">
        <v>334</v>
      </c>
      <c r="E1704" s="703" t="s">
        <v>334</v>
      </c>
      <c r="F1704" s="703" t="s">
        <v>335</v>
      </c>
      <c r="G1704" s="703" t="s">
        <v>3222</v>
      </c>
      <c r="H1704" s="703" t="s">
        <v>334</v>
      </c>
      <c r="I1704" s="703" t="s">
        <v>334</v>
      </c>
      <c r="J1704" s="703" t="s">
        <v>337</v>
      </c>
      <c r="K1704" s="704">
        <v>0</v>
      </c>
      <c r="L1704" s="703" t="s">
        <v>334</v>
      </c>
      <c r="M1704" s="702">
        <v>42886</v>
      </c>
      <c r="N1704" s="702">
        <v>44516</v>
      </c>
      <c r="O1704" s="703" t="s">
        <v>338</v>
      </c>
      <c r="P1704" s="20">
        <v>39.159999999999997</v>
      </c>
      <c r="Q1704" s="20">
        <v>0</v>
      </c>
      <c r="R1704" s="20">
        <v>0</v>
      </c>
      <c r="S1704" s="20">
        <v>0</v>
      </c>
      <c r="T1704" s="20">
        <v>39.159999999999997</v>
      </c>
      <c r="U1704" s="20">
        <v>39.049999999999997</v>
      </c>
      <c r="V1704" s="20">
        <v>-0.11</v>
      </c>
      <c r="W1704" s="20">
        <v>-1.42</v>
      </c>
      <c r="X1704" s="20">
        <v>-1.31</v>
      </c>
      <c r="Y1704" s="20">
        <v>0</v>
      </c>
      <c r="Z1704" s="20">
        <v>0</v>
      </c>
      <c r="AA1704" s="20">
        <v>0</v>
      </c>
      <c r="AB1704" s="20">
        <v>37.74</v>
      </c>
      <c r="AC1704" t="s">
        <v>183</v>
      </c>
      <c r="AD1704" t="s">
        <v>290</v>
      </c>
      <c r="AE1704" s="702">
        <f t="shared" si="130"/>
        <v>44348</v>
      </c>
      <c r="AF1704" s="289">
        <v>44.965281192769623</v>
      </c>
      <c r="AG1704">
        <f t="shared" si="131"/>
        <v>360</v>
      </c>
      <c r="AH1704" s="289">
        <f t="shared" si="132"/>
        <v>0.12490355886880451</v>
      </c>
      <c r="AJ1704" s="289">
        <f t="shared" si="133"/>
        <v>18</v>
      </c>
      <c r="AK1704" s="289">
        <f t="shared" si="134"/>
        <v>2.2482640596384811</v>
      </c>
    </row>
    <row r="1705" spans="1:37">
      <c r="A1705" s="703" t="s">
        <v>3225</v>
      </c>
      <c r="B1705" s="703" t="s">
        <v>2849</v>
      </c>
      <c r="C1705" s="703" t="s">
        <v>332</v>
      </c>
      <c r="D1705" s="703" t="s">
        <v>334</v>
      </c>
      <c r="E1705" s="703" t="s">
        <v>334</v>
      </c>
      <c r="F1705" s="703" t="s">
        <v>335</v>
      </c>
      <c r="G1705" s="703" t="s">
        <v>3222</v>
      </c>
      <c r="H1705" s="703" t="s">
        <v>334</v>
      </c>
      <c r="I1705" s="703" t="s">
        <v>334</v>
      </c>
      <c r="J1705" s="703" t="s">
        <v>337</v>
      </c>
      <c r="K1705" s="704">
        <v>0</v>
      </c>
      <c r="L1705" s="703" t="s">
        <v>334</v>
      </c>
      <c r="M1705" s="702">
        <v>42886</v>
      </c>
      <c r="N1705" s="702">
        <v>44516</v>
      </c>
      <c r="O1705" s="703" t="s">
        <v>338</v>
      </c>
      <c r="P1705" s="20">
        <v>5.23</v>
      </c>
      <c r="Q1705" s="20">
        <v>0</v>
      </c>
      <c r="R1705" s="20">
        <v>0</v>
      </c>
      <c r="S1705" s="20">
        <v>0</v>
      </c>
      <c r="T1705" s="20">
        <v>5.23</v>
      </c>
      <c r="U1705" s="20">
        <v>5.22</v>
      </c>
      <c r="V1705" s="20">
        <v>-0.01</v>
      </c>
      <c r="W1705" s="20">
        <v>-0.18</v>
      </c>
      <c r="X1705" s="20">
        <v>-0.17</v>
      </c>
      <c r="Y1705" s="20">
        <v>0</v>
      </c>
      <c r="Z1705" s="20">
        <v>0</v>
      </c>
      <c r="AA1705" s="20">
        <v>0</v>
      </c>
      <c r="AB1705" s="20">
        <v>5.05</v>
      </c>
      <c r="AC1705" t="s">
        <v>183</v>
      </c>
      <c r="AD1705" t="s">
        <v>290</v>
      </c>
      <c r="AE1705" s="702">
        <f t="shared" si="130"/>
        <v>44348</v>
      </c>
      <c r="AF1705" s="289">
        <v>6.0053222839168834</v>
      </c>
      <c r="AG1705">
        <f t="shared" si="131"/>
        <v>360</v>
      </c>
      <c r="AH1705" s="289">
        <f t="shared" si="132"/>
        <v>1.6681450788658011E-2</v>
      </c>
      <c r="AJ1705" s="289">
        <f t="shared" si="133"/>
        <v>18</v>
      </c>
      <c r="AK1705" s="289">
        <f t="shared" si="134"/>
        <v>0.3002661141958442</v>
      </c>
    </row>
    <row r="1706" spans="1:37">
      <c r="A1706" s="703" t="s">
        <v>3226</v>
      </c>
      <c r="B1706" s="703" t="s">
        <v>2849</v>
      </c>
      <c r="C1706" s="703" t="s">
        <v>332</v>
      </c>
      <c r="D1706" s="703" t="s">
        <v>334</v>
      </c>
      <c r="E1706" s="703" t="s">
        <v>334</v>
      </c>
      <c r="F1706" s="703" t="s">
        <v>335</v>
      </c>
      <c r="G1706" s="703" t="s">
        <v>3222</v>
      </c>
      <c r="H1706" s="703" t="s">
        <v>334</v>
      </c>
      <c r="I1706" s="703" t="s">
        <v>334</v>
      </c>
      <c r="J1706" s="703" t="s">
        <v>337</v>
      </c>
      <c r="K1706" s="704">
        <v>0</v>
      </c>
      <c r="L1706" s="703" t="s">
        <v>334</v>
      </c>
      <c r="M1706" s="702">
        <v>42886</v>
      </c>
      <c r="N1706" s="702">
        <v>44516</v>
      </c>
      <c r="O1706" s="703" t="s">
        <v>338</v>
      </c>
      <c r="P1706" s="20">
        <v>151.65</v>
      </c>
      <c r="Q1706" s="20">
        <v>0</v>
      </c>
      <c r="R1706" s="20">
        <v>0</v>
      </c>
      <c r="S1706" s="20">
        <v>0</v>
      </c>
      <c r="T1706" s="20">
        <v>151.65</v>
      </c>
      <c r="U1706" s="20">
        <v>151.22999999999999</v>
      </c>
      <c r="V1706" s="20">
        <v>-0.42</v>
      </c>
      <c r="W1706" s="20">
        <v>-5.48</v>
      </c>
      <c r="X1706" s="20">
        <v>-5.0599999999999996</v>
      </c>
      <c r="Y1706" s="20">
        <v>0</v>
      </c>
      <c r="Z1706" s="20">
        <v>0</v>
      </c>
      <c r="AA1706" s="20">
        <v>0</v>
      </c>
      <c r="AB1706" s="20">
        <v>146.16999999999999</v>
      </c>
      <c r="AC1706" t="s">
        <v>183</v>
      </c>
      <c r="AD1706" t="s">
        <v>290</v>
      </c>
      <c r="AE1706" s="702">
        <f t="shared" si="130"/>
        <v>44348</v>
      </c>
      <c r="AF1706" s="289">
        <v>174.13138133001826</v>
      </c>
      <c r="AG1706">
        <f t="shared" si="131"/>
        <v>360</v>
      </c>
      <c r="AH1706" s="289">
        <f t="shared" si="132"/>
        <v>0.48369828147227295</v>
      </c>
      <c r="AJ1706" s="289">
        <f t="shared" si="133"/>
        <v>18</v>
      </c>
      <c r="AK1706" s="289">
        <f t="shared" si="134"/>
        <v>8.7065690665009132</v>
      </c>
    </row>
    <row r="1707" spans="1:37">
      <c r="A1707" s="703" t="s">
        <v>3227</v>
      </c>
      <c r="B1707" s="703" t="s">
        <v>2849</v>
      </c>
      <c r="C1707" s="703" t="s">
        <v>332</v>
      </c>
      <c r="D1707" s="703" t="s">
        <v>334</v>
      </c>
      <c r="E1707" s="703" t="s">
        <v>334</v>
      </c>
      <c r="F1707" s="703" t="s">
        <v>335</v>
      </c>
      <c r="G1707" s="703" t="s">
        <v>3222</v>
      </c>
      <c r="H1707" s="703" t="s">
        <v>334</v>
      </c>
      <c r="I1707" s="703" t="s">
        <v>334</v>
      </c>
      <c r="J1707" s="703" t="s">
        <v>337</v>
      </c>
      <c r="K1707" s="704">
        <v>0</v>
      </c>
      <c r="L1707" s="703" t="s">
        <v>334</v>
      </c>
      <c r="M1707" s="702">
        <v>42886</v>
      </c>
      <c r="N1707" s="702">
        <v>44516</v>
      </c>
      <c r="O1707" s="703" t="s">
        <v>338</v>
      </c>
      <c r="P1707" s="20">
        <v>6.32</v>
      </c>
      <c r="Q1707" s="20">
        <v>0</v>
      </c>
      <c r="R1707" s="20">
        <v>0</v>
      </c>
      <c r="S1707" s="20">
        <v>0</v>
      </c>
      <c r="T1707" s="20">
        <v>6.32</v>
      </c>
      <c r="U1707" s="20">
        <v>6.3</v>
      </c>
      <c r="V1707" s="20">
        <v>-0.02</v>
      </c>
      <c r="W1707" s="20">
        <v>-0.23</v>
      </c>
      <c r="X1707" s="20">
        <v>-0.21</v>
      </c>
      <c r="Y1707" s="20">
        <v>0</v>
      </c>
      <c r="Z1707" s="20">
        <v>0</v>
      </c>
      <c r="AA1707" s="20">
        <v>0</v>
      </c>
      <c r="AB1707" s="20">
        <v>6.09</v>
      </c>
      <c r="AC1707" t="s">
        <v>183</v>
      </c>
      <c r="AD1707" t="s">
        <v>290</v>
      </c>
      <c r="AE1707" s="702">
        <f t="shared" si="130"/>
        <v>44348</v>
      </c>
      <c r="AF1707" s="289">
        <v>7.2569095285573049</v>
      </c>
      <c r="AG1707">
        <f t="shared" si="131"/>
        <v>360</v>
      </c>
      <c r="AH1707" s="289">
        <f t="shared" si="132"/>
        <v>2.0158082023770292E-2</v>
      </c>
      <c r="AJ1707" s="289">
        <f t="shared" si="133"/>
        <v>18</v>
      </c>
      <c r="AK1707" s="289">
        <f t="shared" si="134"/>
        <v>0.36284547642786524</v>
      </c>
    </row>
    <row r="1708" spans="1:37">
      <c r="A1708" s="703" t="s">
        <v>3228</v>
      </c>
      <c r="B1708" s="703" t="s">
        <v>2849</v>
      </c>
      <c r="C1708" s="703" t="s">
        <v>332</v>
      </c>
      <c r="D1708" s="703" t="s">
        <v>334</v>
      </c>
      <c r="E1708" s="703" t="s">
        <v>334</v>
      </c>
      <c r="F1708" s="703" t="s">
        <v>335</v>
      </c>
      <c r="G1708" s="703" t="s">
        <v>3222</v>
      </c>
      <c r="H1708" s="703" t="s">
        <v>334</v>
      </c>
      <c r="I1708" s="703" t="s">
        <v>334</v>
      </c>
      <c r="J1708" s="703" t="s">
        <v>337</v>
      </c>
      <c r="K1708" s="704">
        <v>0</v>
      </c>
      <c r="L1708" s="703" t="s">
        <v>334</v>
      </c>
      <c r="M1708" s="702">
        <v>42886</v>
      </c>
      <c r="N1708" s="702">
        <v>44516</v>
      </c>
      <c r="O1708" s="703" t="s">
        <v>338</v>
      </c>
      <c r="P1708" s="20">
        <v>3.2</v>
      </c>
      <c r="Q1708" s="20">
        <v>0</v>
      </c>
      <c r="R1708" s="20">
        <v>0</v>
      </c>
      <c r="S1708" s="20">
        <v>0</v>
      </c>
      <c r="T1708" s="20">
        <v>3.2</v>
      </c>
      <c r="U1708" s="20">
        <v>3.19</v>
      </c>
      <c r="V1708" s="20">
        <v>-0.01</v>
      </c>
      <c r="W1708" s="20">
        <v>-0.12</v>
      </c>
      <c r="X1708" s="20">
        <v>-0.11</v>
      </c>
      <c r="Y1708" s="20">
        <v>0</v>
      </c>
      <c r="Z1708" s="20">
        <v>0</v>
      </c>
      <c r="AA1708" s="20">
        <v>0</v>
      </c>
      <c r="AB1708" s="20">
        <v>3.08</v>
      </c>
      <c r="AC1708" t="s">
        <v>183</v>
      </c>
      <c r="AD1708" t="s">
        <v>290</v>
      </c>
      <c r="AE1708" s="702">
        <f t="shared" si="130"/>
        <v>44348</v>
      </c>
      <c r="AF1708" s="289">
        <v>3.6743845714214203</v>
      </c>
      <c r="AG1708">
        <f t="shared" si="131"/>
        <v>360</v>
      </c>
      <c r="AH1708" s="289">
        <f t="shared" si="132"/>
        <v>1.0206623809503945E-2</v>
      </c>
      <c r="AJ1708" s="289">
        <f t="shared" si="133"/>
        <v>18</v>
      </c>
      <c r="AK1708" s="289">
        <f t="shared" si="134"/>
        <v>0.18371922857107101</v>
      </c>
    </row>
    <row r="1709" spans="1:37">
      <c r="A1709" s="703" t="s">
        <v>3229</v>
      </c>
      <c r="B1709" s="703" t="s">
        <v>2849</v>
      </c>
      <c r="C1709" s="703" t="s">
        <v>332</v>
      </c>
      <c r="D1709" s="703" t="s">
        <v>334</v>
      </c>
      <c r="E1709" s="703" t="s">
        <v>334</v>
      </c>
      <c r="F1709" s="703" t="s">
        <v>335</v>
      </c>
      <c r="G1709" s="703" t="s">
        <v>3222</v>
      </c>
      <c r="H1709" s="703" t="s">
        <v>334</v>
      </c>
      <c r="I1709" s="703" t="s">
        <v>334</v>
      </c>
      <c r="J1709" s="703" t="s">
        <v>337</v>
      </c>
      <c r="K1709" s="704">
        <v>0</v>
      </c>
      <c r="L1709" s="703" t="s">
        <v>334</v>
      </c>
      <c r="M1709" s="702">
        <v>42886</v>
      </c>
      <c r="N1709" s="702">
        <v>44516</v>
      </c>
      <c r="O1709" s="703" t="s">
        <v>338</v>
      </c>
      <c r="P1709" s="20">
        <v>155.21</v>
      </c>
      <c r="Q1709" s="20">
        <v>0</v>
      </c>
      <c r="R1709" s="20">
        <v>0</v>
      </c>
      <c r="S1709" s="20">
        <v>0</v>
      </c>
      <c r="T1709" s="20">
        <v>155.21</v>
      </c>
      <c r="U1709" s="20">
        <v>154.78</v>
      </c>
      <c r="V1709" s="20">
        <v>-0.43</v>
      </c>
      <c r="W1709" s="20">
        <v>-5.6</v>
      </c>
      <c r="X1709" s="20">
        <v>-5.17</v>
      </c>
      <c r="Y1709" s="20">
        <v>0</v>
      </c>
      <c r="Z1709" s="20">
        <v>0</v>
      </c>
      <c r="AA1709" s="20">
        <v>0</v>
      </c>
      <c r="AB1709" s="20">
        <v>149.61000000000001</v>
      </c>
      <c r="AC1709" t="s">
        <v>183</v>
      </c>
      <c r="AD1709" t="s">
        <v>290</v>
      </c>
      <c r="AE1709" s="702">
        <f t="shared" si="130"/>
        <v>44348</v>
      </c>
      <c r="AF1709" s="289">
        <v>178.21913416572457</v>
      </c>
      <c r="AG1709">
        <f t="shared" si="131"/>
        <v>360</v>
      </c>
      <c r="AH1709" s="289">
        <f t="shared" si="132"/>
        <v>0.49505315046034604</v>
      </c>
      <c r="AJ1709" s="289">
        <f t="shared" si="133"/>
        <v>18</v>
      </c>
      <c r="AK1709" s="289">
        <f t="shared" si="134"/>
        <v>8.9109567082862284</v>
      </c>
    </row>
    <row r="1710" spans="1:37">
      <c r="A1710" s="703" t="s">
        <v>3230</v>
      </c>
      <c r="B1710" s="703" t="s">
        <v>2849</v>
      </c>
      <c r="C1710" s="703" t="s">
        <v>332</v>
      </c>
      <c r="D1710" s="703" t="s">
        <v>334</v>
      </c>
      <c r="E1710" s="703" t="s">
        <v>334</v>
      </c>
      <c r="F1710" s="703" t="s">
        <v>335</v>
      </c>
      <c r="G1710" s="703" t="s">
        <v>3222</v>
      </c>
      <c r="H1710" s="703" t="s">
        <v>334</v>
      </c>
      <c r="I1710" s="703" t="s">
        <v>334</v>
      </c>
      <c r="J1710" s="703" t="s">
        <v>337</v>
      </c>
      <c r="K1710" s="704">
        <v>0</v>
      </c>
      <c r="L1710" s="703" t="s">
        <v>334</v>
      </c>
      <c r="M1710" s="702">
        <v>42886</v>
      </c>
      <c r="N1710" s="702">
        <v>44516</v>
      </c>
      <c r="O1710" s="703" t="s">
        <v>338</v>
      </c>
      <c r="P1710" s="20">
        <v>1126.8900000000001</v>
      </c>
      <c r="Q1710" s="20">
        <v>0</v>
      </c>
      <c r="R1710" s="20">
        <v>0</v>
      </c>
      <c r="S1710" s="20">
        <v>0</v>
      </c>
      <c r="T1710" s="20">
        <v>1126.8900000000001</v>
      </c>
      <c r="U1710" s="20">
        <v>1123.76</v>
      </c>
      <c r="V1710" s="20">
        <v>-3.13</v>
      </c>
      <c r="W1710" s="20">
        <v>-40.69</v>
      </c>
      <c r="X1710" s="20">
        <v>-37.56</v>
      </c>
      <c r="Y1710" s="20">
        <v>0</v>
      </c>
      <c r="Z1710" s="20">
        <v>0</v>
      </c>
      <c r="AA1710" s="20">
        <v>0</v>
      </c>
      <c r="AB1710" s="20">
        <v>1086.2</v>
      </c>
      <c r="AC1710" t="s">
        <v>183</v>
      </c>
      <c r="AD1710" t="s">
        <v>290</v>
      </c>
      <c r="AE1710" s="702">
        <f t="shared" si="130"/>
        <v>44348</v>
      </c>
      <c r="AF1710" s="289">
        <v>1293.9460092778388</v>
      </c>
      <c r="AG1710">
        <f t="shared" si="131"/>
        <v>360</v>
      </c>
      <c r="AH1710" s="289">
        <f t="shared" si="132"/>
        <v>3.594294470216219</v>
      </c>
      <c r="AJ1710" s="289">
        <f t="shared" si="133"/>
        <v>18</v>
      </c>
      <c r="AK1710" s="289">
        <f t="shared" si="134"/>
        <v>64.697300463891935</v>
      </c>
    </row>
    <row r="1711" spans="1:37">
      <c r="A1711" s="703" t="s">
        <v>3231</v>
      </c>
      <c r="B1711" s="703" t="s">
        <v>2849</v>
      </c>
      <c r="C1711" s="703" t="s">
        <v>332</v>
      </c>
      <c r="D1711" s="703" t="s">
        <v>334</v>
      </c>
      <c r="E1711" s="703" t="s">
        <v>334</v>
      </c>
      <c r="F1711" s="703" t="s">
        <v>335</v>
      </c>
      <c r="G1711" s="703" t="s">
        <v>3222</v>
      </c>
      <c r="H1711" s="703" t="s">
        <v>334</v>
      </c>
      <c r="I1711" s="703" t="s">
        <v>334</v>
      </c>
      <c r="J1711" s="703" t="s">
        <v>337</v>
      </c>
      <c r="K1711" s="704">
        <v>0</v>
      </c>
      <c r="L1711" s="703" t="s">
        <v>334</v>
      </c>
      <c r="M1711" s="702">
        <v>42886</v>
      </c>
      <c r="N1711" s="702">
        <v>44516</v>
      </c>
      <c r="O1711" s="703" t="s">
        <v>338</v>
      </c>
      <c r="P1711" s="20">
        <v>347.65</v>
      </c>
      <c r="Q1711" s="20">
        <v>0</v>
      </c>
      <c r="R1711" s="20">
        <v>0</v>
      </c>
      <c r="S1711" s="20">
        <v>0</v>
      </c>
      <c r="T1711" s="20">
        <v>347.65</v>
      </c>
      <c r="U1711" s="20">
        <v>346.68</v>
      </c>
      <c r="V1711" s="20">
        <v>-0.97</v>
      </c>
      <c r="W1711" s="20">
        <v>-12.56</v>
      </c>
      <c r="X1711" s="20">
        <v>-11.59</v>
      </c>
      <c r="Y1711" s="20">
        <v>0</v>
      </c>
      <c r="Z1711" s="20">
        <v>0</v>
      </c>
      <c r="AA1711" s="20">
        <v>0</v>
      </c>
      <c r="AB1711" s="20">
        <v>335.09</v>
      </c>
      <c r="AC1711" t="s">
        <v>183</v>
      </c>
      <c r="AD1711" t="s">
        <v>290</v>
      </c>
      <c r="AE1711" s="702">
        <f t="shared" si="130"/>
        <v>44348</v>
      </c>
      <c r="AF1711" s="289">
        <v>399.18743632958018</v>
      </c>
      <c r="AG1711">
        <f t="shared" si="131"/>
        <v>360</v>
      </c>
      <c r="AH1711" s="289">
        <f t="shared" si="132"/>
        <v>1.1088539898043894</v>
      </c>
      <c r="AJ1711" s="289">
        <f t="shared" si="133"/>
        <v>18</v>
      </c>
      <c r="AK1711" s="289">
        <f t="shared" si="134"/>
        <v>19.95937181647901</v>
      </c>
    </row>
    <row r="1712" spans="1:37">
      <c r="A1712" s="703" t="s">
        <v>3232</v>
      </c>
      <c r="B1712" s="703" t="s">
        <v>2849</v>
      </c>
      <c r="C1712" s="703" t="s">
        <v>332</v>
      </c>
      <c r="D1712" s="703" t="s">
        <v>334</v>
      </c>
      <c r="E1712" s="703" t="s">
        <v>334</v>
      </c>
      <c r="F1712" s="703" t="s">
        <v>335</v>
      </c>
      <c r="G1712" s="703" t="s">
        <v>3222</v>
      </c>
      <c r="H1712" s="703" t="s">
        <v>334</v>
      </c>
      <c r="I1712" s="703" t="s">
        <v>334</v>
      </c>
      <c r="J1712" s="703" t="s">
        <v>337</v>
      </c>
      <c r="K1712" s="704">
        <v>0</v>
      </c>
      <c r="L1712" s="703" t="s">
        <v>334</v>
      </c>
      <c r="M1712" s="702">
        <v>42886</v>
      </c>
      <c r="N1712" s="702">
        <v>44516</v>
      </c>
      <c r="O1712" s="703" t="s">
        <v>338</v>
      </c>
      <c r="P1712" s="20">
        <v>3026.8</v>
      </c>
      <c r="Q1712" s="20">
        <v>0</v>
      </c>
      <c r="R1712" s="20">
        <v>0</v>
      </c>
      <c r="S1712" s="20">
        <v>0</v>
      </c>
      <c r="T1712" s="20">
        <v>3026.8</v>
      </c>
      <c r="U1712" s="20">
        <v>3018.39</v>
      </c>
      <c r="V1712" s="20">
        <v>-8.41</v>
      </c>
      <c r="W1712" s="20">
        <v>-109.3</v>
      </c>
      <c r="X1712" s="20">
        <v>-100.89</v>
      </c>
      <c r="Y1712" s="20">
        <v>0</v>
      </c>
      <c r="Z1712" s="20">
        <v>0</v>
      </c>
      <c r="AA1712" s="20">
        <v>0</v>
      </c>
      <c r="AB1712" s="20">
        <v>2917.5</v>
      </c>
      <c r="AC1712" t="s">
        <v>183</v>
      </c>
      <c r="AD1712" t="s">
        <v>290</v>
      </c>
      <c r="AE1712" s="702">
        <f t="shared" si="130"/>
        <v>44348</v>
      </c>
      <c r="AF1712" s="289">
        <v>3475.5085064932359</v>
      </c>
      <c r="AG1712">
        <f t="shared" si="131"/>
        <v>360</v>
      </c>
      <c r="AH1712" s="289">
        <f t="shared" si="132"/>
        <v>9.6541902958145442</v>
      </c>
      <c r="AJ1712" s="289">
        <f t="shared" si="133"/>
        <v>18</v>
      </c>
      <c r="AK1712" s="289">
        <f t="shared" si="134"/>
        <v>173.7754253246618</v>
      </c>
    </row>
    <row r="1713" spans="1:37">
      <c r="A1713" s="703" t="s">
        <v>3233</v>
      </c>
      <c r="B1713" s="703" t="s">
        <v>2849</v>
      </c>
      <c r="C1713" s="703" t="s">
        <v>332</v>
      </c>
      <c r="D1713" s="703" t="s">
        <v>334</v>
      </c>
      <c r="E1713" s="703" t="s">
        <v>334</v>
      </c>
      <c r="F1713" s="703" t="s">
        <v>335</v>
      </c>
      <c r="G1713" s="703" t="s">
        <v>3222</v>
      </c>
      <c r="H1713" s="703" t="s">
        <v>334</v>
      </c>
      <c r="I1713" s="703" t="s">
        <v>334</v>
      </c>
      <c r="J1713" s="703" t="s">
        <v>337</v>
      </c>
      <c r="K1713" s="704">
        <v>0</v>
      </c>
      <c r="L1713" s="703" t="s">
        <v>334</v>
      </c>
      <c r="M1713" s="702">
        <v>42886</v>
      </c>
      <c r="N1713" s="702">
        <v>44516</v>
      </c>
      <c r="O1713" s="703" t="s">
        <v>338</v>
      </c>
      <c r="P1713" s="20">
        <v>631.82000000000005</v>
      </c>
      <c r="Q1713" s="20">
        <v>0</v>
      </c>
      <c r="R1713" s="20">
        <v>0</v>
      </c>
      <c r="S1713" s="20">
        <v>0</v>
      </c>
      <c r="T1713" s="20">
        <v>631.82000000000005</v>
      </c>
      <c r="U1713" s="20">
        <v>630.05999999999995</v>
      </c>
      <c r="V1713" s="20">
        <v>-1.76</v>
      </c>
      <c r="W1713" s="20">
        <v>-22.82</v>
      </c>
      <c r="X1713" s="20">
        <v>-21.06</v>
      </c>
      <c r="Y1713" s="20">
        <v>0</v>
      </c>
      <c r="Z1713" s="20">
        <v>0</v>
      </c>
      <c r="AA1713" s="20">
        <v>0</v>
      </c>
      <c r="AB1713" s="20">
        <v>609</v>
      </c>
      <c r="AC1713" t="s">
        <v>183</v>
      </c>
      <c r="AD1713" t="s">
        <v>290</v>
      </c>
      <c r="AE1713" s="702">
        <f t="shared" si="130"/>
        <v>44348</v>
      </c>
      <c r="AF1713" s="289">
        <v>725.484268723588</v>
      </c>
      <c r="AG1713">
        <f t="shared" si="131"/>
        <v>360</v>
      </c>
      <c r="AH1713" s="289">
        <f t="shared" si="132"/>
        <v>2.0152340797877444</v>
      </c>
      <c r="AJ1713" s="289">
        <f t="shared" si="133"/>
        <v>18</v>
      </c>
      <c r="AK1713" s="289">
        <f t="shared" si="134"/>
        <v>36.274213436179402</v>
      </c>
    </row>
    <row r="1714" spans="1:37">
      <c r="A1714" s="703" t="s">
        <v>3234</v>
      </c>
      <c r="B1714" s="703" t="s">
        <v>2849</v>
      </c>
      <c r="C1714" s="703" t="s">
        <v>332</v>
      </c>
      <c r="D1714" s="703" t="s">
        <v>334</v>
      </c>
      <c r="E1714" s="703" t="s">
        <v>334</v>
      </c>
      <c r="F1714" s="703" t="s">
        <v>335</v>
      </c>
      <c r="G1714" s="703" t="s">
        <v>3222</v>
      </c>
      <c r="H1714" s="703" t="s">
        <v>334</v>
      </c>
      <c r="I1714" s="703" t="s">
        <v>334</v>
      </c>
      <c r="J1714" s="703" t="s">
        <v>337</v>
      </c>
      <c r="K1714" s="704">
        <v>0</v>
      </c>
      <c r="L1714" s="703" t="s">
        <v>334</v>
      </c>
      <c r="M1714" s="702">
        <v>42886</v>
      </c>
      <c r="N1714" s="702">
        <v>44516</v>
      </c>
      <c r="O1714" s="703" t="s">
        <v>338</v>
      </c>
      <c r="P1714" s="20">
        <v>71.599999999999994</v>
      </c>
      <c r="Q1714" s="20">
        <v>0</v>
      </c>
      <c r="R1714" s="20">
        <v>0</v>
      </c>
      <c r="S1714" s="20">
        <v>0</v>
      </c>
      <c r="T1714" s="20">
        <v>71.599999999999994</v>
      </c>
      <c r="U1714" s="20">
        <v>71.400000000000006</v>
      </c>
      <c r="V1714" s="20">
        <v>-0.2</v>
      </c>
      <c r="W1714" s="20">
        <v>-2.59</v>
      </c>
      <c r="X1714" s="20">
        <v>-2.39</v>
      </c>
      <c r="Y1714" s="20">
        <v>0</v>
      </c>
      <c r="Z1714" s="20">
        <v>0</v>
      </c>
      <c r="AA1714" s="20">
        <v>0</v>
      </c>
      <c r="AB1714" s="20">
        <v>69.010000000000005</v>
      </c>
      <c r="AC1714" t="s">
        <v>183</v>
      </c>
      <c r="AD1714" t="s">
        <v>290</v>
      </c>
      <c r="AE1714" s="702">
        <f t="shared" si="130"/>
        <v>44348</v>
      </c>
      <c r="AF1714" s="289">
        <v>82.214354785554264</v>
      </c>
      <c r="AG1714">
        <f t="shared" si="131"/>
        <v>360</v>
      </c>
      <c r="AH1714" s="289">
        <f t="shared" si="132"/>
        <v>0.22837320773765074</v>
      </c>
      <c r="AJ1714" s="289">
        <f t="shared" si="133"/>
        <v>18</v>
      </c>
      <c r="AK1714" s="289">
        <f t="shared" si="134"/>
        <v>4.110717739277713</v>
      </c>
    </row>
    <row r="1715" spans="1:37">
      <c r="A1715" s="703" t="s">
        <v>3235</v>
      </c>
      <c r="B1715" s="703" t="s">
        <v>2849</v>
      </c>
      <c r="C1715" s="703" t="s">
        <v>332</v>
      </c>
      <c r="D1715" s="703" t="s">
        <v>334</v>
      </c>
      <c r="E1715" s="703" t="s">
        <v>334</v>
      </c>
      <c r="F1715" s="703" t="s">
        <v>335</v>
      </c>
      <c r="G1715" s="703" t="s">
        <v>3222</v>
      </c>
      <c r="H1715" s="703" t="s">
        <v>334</v>
      </c>
      <c r="I1715" s="703" t="s">
        <v>334</v>
      </c>
      <c r="J1715" s="703" t="s">
        <v>337</v>
      </c>
      <c r="K1715" s="704">
        <v>0</v>
      </c>
      <c r="L1715" s="703" t="s">
        <v>334</v>
      </c>
      <c r="M1715" s="702">
        <v>42886</v>
      </c>
      <c r="N1715" s="702">
        <v>44516</v>
      </c>
      <c r="O1715" s="703" t="s">
        <v>338</v>
      </c>
      <c r="P1715" s="20">
        <v>1907.15</v>
      </c>
      <c r="Q1715" s="20">
        <v>0</v>
      </c>
      <c r="R1715" s="20">
        <v>0</v>
      </c>
      <c r="S1715" s="20">
        <v>0</v>
      </c>
      <c r="T1715" s="20">
        <v>1907.15</v>
      </c>
      <c r="U1715" s="20">
        <v>1901.85</v>
      </c>
      <c r="V1715" s="20">
        <v>-5.3</v>
      </c>
      <c r="W1715" s="20">
        <v>-68.87</v>
      </c>
      <c r="X1715" s="20">
        <v>-63.57</v>
      </c>
      <c r="Y1715" s="20">
        <v>0</v>
      </c>
      <c r="Z1715" s="20">
        <v>0</v>
      </c>
      <c r="AA1715" s="20">
        <v>0</v>
      </c>
      <c r="AB1715" s="20">
        <v>1838.28</v>
      </c>
      <c r="AC1715" t="s">
        <v>183</v>
      </c>
      <c r="AD1715" t="s">
        <v>290</v>
      </c>
      <c r="AE1715" s="702">
        <f t="shared" si="130"/>
        <v>44348</v>
      </c>
      <c r="AF1715" s="289">
        <v>2189.875792308238</v>
      </c>
      <c r="AG1715">
        <f t="shared" si="131"/>
        <v>360</v>
      </c>
      <c r="AH1715" s="289">
        <f t="shared" si="132"/>
        <v>6.0829883119673278</v>
      </c>
      <c r="AJ1715" s="289">
        <f t="shared" si="133"/>
        <v>18</v>
      </c>
      <c r="AK1715" s="289">
        <f t="shared" si="134"/>
        <v>109.4937896154119</v>
      </c>
    </row>
    <row r="1716" spans="1:37">
      <c r="A1716" s="703" t="s">
        <v>3236</v>
      </c>
      <c r="B1716" s="703" t="s">
        <v>2849</v>
      </c>
      <c r="C1716" s="703" t="s">
        <v>332</v>
      </c>
      <c r="D1716" s="703" t="s">
        <v>334</v>
      </c>
      <c r="E1716" s="703" t="s">
        <v>334</v>
      </c>
      <c r="F1716" s="703" t="s">
        <v>335</v>
      </c>
      <c r="G1716" s="703" t="s">
        <v>3237</v>
      </c>
      <c r="H1716" s="703" t="s">
        <v>334</v>
      </c>
      <c r="I1716" s="703" t="s">
        <v>334</v>
      </c>
      <c r="J1716" s="703" t="s">
        <v>337</v>
      </c>
      <c r="K1716" s="704">
        <v>0</v>
      </c>
      <c r="L1716" s="703" t="s">
        <v>334</v>
      </c>
      <c r="M1716" s="702">
        <v>39478</v>
      </c>
      <c r="N1716" s="702">
        <v>44516</v>
      </c>
      <c r="O1716" s="703" t="s">
        <v>338</v>
      </c>
      <c r="P1716" s="20">
        <v>188.02</v>
      </c>
      <c r="Q1716" s="20">
        <v>0</v>
      </c>
      <c r="R1716" s="20">
        <v>0</v>
      </c>
      <c r="S1716" s="20">
        <v>0</v>
      </c>
      <c r="T1716" s="20">
        <v>188.02</v>
      </c>
      <c r="U1716" s="20">
        <v>187.5</v>
      </c>
      <c r="V1716" s="20">
        <v>-0.52</v>
      </c>
      <c r="W1716" s="20">
        <v>-6.79</v>
      </c>
      <c r="X1716" s="20">
        <v>-6.27</v>
      </c>
      <c r="Y1716" s="20">
        <v>0</v>
      </c>
      <c r="Z1716" s="20">
        <v>0</v>
      </c>
      <c r="AA1716" s="20">
        <v>0</v>
      </c>
      <c r="AB1716" s="20">
        <v>181.23</v>
      </c>
      <c r="AC1716" t="s">
        <v>183</v>
      </c>
      <c r="AD1716" t="s">
        <v>290</v>
      </c>
      <c r="AE1716" s="702">
        <f t="shared" si="130"/>
        <v>44348</v>
      </c>
      <c r="AF1716" s="289">
        <v>215.89305847457982</v>
      </c>
      <c r="AG1716">
        <f t="shared" si="131"/>
        <v>360</v>
      </c>
      <c r="AH1716" s="289">
        <f t="shared" si="132"/>
        <v>0.59970294020716619</v>
      </c>
      <c r="AJ1716" s="289">
        <f t="shared" si="133"/>
        <v>18</v>
      </c>
      <c r="AK1716" s="289">
        <f t="shared" si="134"/>
        <v>10.794652923728991</v>
      </c>
    </row>
    <row r="1717" spans="1:37">
      <c r="A1717" s="703" t="s">
        <v>3238</v>
      </c>
      <c r="B1717" s="703" t="s">
        <v>2849</v>
      </c>
      <c r="C1717" s="703" t="s">
        <v>332</v>
      </c>
      <c r="D1717" s="703" t="s">
        <v>334</v>
      </c>
      <c r="E1717" s="703" t="s">
        <v>334</v>
      </c>
      <c r="F1717" s="703" t="s">
        <v>335</v>
      </c>
      <c r="G1717" s="703" t="s">
        <v>3237</v>
      </c>
      <c r="H1717" s="703" t="s">
        <v>334</v>
      </c>
      <c r="I1717" s="703" t="s">
        <v>334</v>
      </c>
      <c r="J1717" s="703" t="s">
        <v>337</v>
      </c>
      <c r="K1717" s="704">
        <v>0</v>
      </c>
      <c r="L1717" s="703" t="s">
        <v>334</v>
      </c>
      <c r="M1717" s="702">
        <v>39478</v>
      </c>
      <c r="N1717" s="702">
        <v>44516</v>
      </c>
      <c r="O1717" s="703" t="s">
        <v>338</v>
      </c>
      <c r="P1717" s="20">
        <v>2878.86</v>
      </c>
      <c r="Q1717" s="20">
        <v>0</v>
      </c>
      <c r="R1717" s="20">
        <v>0</v>
      </c>
      <c r="S1717" s="20">
        <v>0</v>
      </c>
      <c r="T1717" s="20">
        <v>2878.86</v>
      </c>
      <c r="U1717" s="20">
        <v>2870.86</v>
      </c>
      <c r="V1717" s="20">
        <v>-8</v>
      </c>
      <c r="W1717" s="20">
        <v>-103.96</v>
      </c>
      <c r="X1717" s="20">
        <v>-95.96</v>
      </c>
      <c r="Y1717" s="20">
        <v>0</v>
      </c>
      <c r="Z1717" s="20">
        <v>0</v>
      </c>
      <c r="AA1717" s="20">
        <v>0</v>
      </c>
      <c r="AB1717" s="20">
        <v>2774.9</v>
      </c>
      <c r="AC1717" t="s">
        <v>183</v>
      </c>
      <c r="AD1717" t="s">
        <v>290</v>
      </c>
      <c r="AE1717" s="702">
        <f t="shared" si="130"/>
        <v>44348</v>
      </c>
      <c r="AF1717" s="289">
        <v>3305.6371147757091</v>
      </c>
      <c r="AG1717">
        <f t="shared" si="131"/>
        <v>360</v>
      </c>
      <c r="AH1717" s="289">
        <f t="shared" si="132"/>
        <v>9.1823253188214142</v>
      </c>
      <c r="AJ1717" s="289">
        <f t="shared" si="133"/>
        <v>18</v>
      </c>
      <c r="AK1717" s="289">
        <f t="shared" si="134"/>
        <v>165.28185573878545</v>
      </c>
    </row>
    <row r="1718" spans="1:37">
      <c r="A1718" s="703" t="s">
        <v>3239</v>
      </c>
      <c r="B1718" s="703" t="s">
        <v>2849</v>
      </c>
      <c r="C1718" s="703" t="s">
        <v>332</v>
      </c>
      <c r="D1718" s="703" t="s">
        <v>334</v>
      </c>
      <c r="E1718" s="703" t="s">
        <v>334</v>
      </c>
      <c r="F1718" s="703" t="s">
        <v>335</v>
      </c>
      <c r="G1718" s="703" t="s">
        <v>3237</v>
      </c>
      <c r="H1718" s="703" t="s">
        <v>334</v>
      </c>
      <c r="I1718" s="703" t="s">
        <v>334</v>
      </c>
      <c r="J1718" s="703" t="s">
        <v>337</v>
      </c>
      <c r="K1718" s="704">
        <v>0</v>
      </c>
      <c r="L1718" s="703" t="s">
        <v>334</v>
      </c>
      <c r="M1718" s="702">
        <v>39478</v>
      </c>
      <c r="N1718" s="702">
        <v>44516</v>
      </c>
      <c r="O1718" s="703" t="s">
        <v>338</v>
      </c>
      <c r="P1718" s="20">
        <v>2246.6</v>
      </c>
      <c r="Q1718" s="20">
        <v>0</v>
      </c>
      <c r="R1718" s="20">
        <v>0</v>
      </c>
      <c r="S1718" s="20">
        <v>0</v>
      </c>
      <c r="T1718" s="20">
        <v>2246.6</v>
      </c>
      <c r="U1718" s="20">
        <v>2240.36</v>
      </c>
      <c r="V1718" s="20">
        <v>-6.24</v>
      </c>
      <c r="W1718" s="20">
        <v>-81.13</v>
      </c>
      <c r="X1718" s="20">
        <v>-74.89</v>
      </c>
      <c r="Y1718" s="20">
        <v>0</v>
      </c>
      <c r="Z1718" s="20">
        <v>0</v>
      </c>
      <c r="AA1718" s="20">
        <v>0</v>
      </c>
      <c r="AB1718" s="20">
        <v>2165.4699999999998</v>
      </c>
      <c r="AC1718" t="s">
        <v>183</v>
      </c>
      <c r="AD1718" t="s">
        <v>290</v>
      </c>
      <c r="AE1718" s="702">
        <f t="shared" si="130"/>
        <v>44348</v>
      </c>
      <c r="AF1718" s="289">
        <v>2579.6476181735507</v>
      </c>
      <c r="AG1718">
        <f t="shared" si="131"/>
        <v>360</v>
      </c>
      <c r="AH1718" s="289">
        <f t="shared" si="132"/>
        <v>7.1656878282598626</v>
      </c>
      <c r="AJ1718" s="289">
        <f t="shared" si="133"/>
        <v>18</v>
      </c>
      <c r="AK1718" s="289">
        <f t="shared" si="134"/>
        <v>128.98238090867753</v>
      </c>
    </row>
    <row r="1719" spans="1:37">
      <c r="A1719" s="703" t="s">
        <v>3240</v>
      </c>
      <c r="B1719" s="703" t="s">
        <v>2849</v>
      </c>
      <c r="C1719" s="703" t="s">
        <v>332</v>
      </c>
      <c r="D1719" s="703" t="s">
        <v>334</v>
      </c>
      <c r="E1719" s="703" t="s">
        <v>334</v>
      </c>
      <c r="F1719" s="703" t="s">
        <v>335</v>
      </c>
      <c r="G1719" s="703" t="s">
        <v>3237</v>
      </c>
      <c r="H1719" s="703" t="s">
        <v>334</v>
      </c>
      <c r="I1719" s="703" t="s">
        <v>334</v>
      </c>
      <c r="J1719" s="703" t="s">
        <v>337</v>
      </c>
      <c r="K1719" s="704">
        <v>0</v>
      </c>
      <c r="L1719" s="703" t="s">
        <v>334</v>
      </c>
      <c r="M1719" s="702">
        <v>39478</v>
      </c>
      <c r="N1719" s="702">
        <v>44516</v>
      </c>
      <c r="O1719" s="703" t="s">
        <v>338</v>
      </c>
      <c r="P1719" s="20">
        <v>3814.48</v>
      </c>
      <c r="Q1719" s="20">
        <v>0</v>
      </c>
      <c r="R1719" s="20">
        <v>0</v>
      </c>
      <c r="S1719" s="20">
        <v>0</v>
      </c>
      <c r="T1719" s="20">
        <v>3814.48</v>
      </c>
      <c r="U1719" s="20">
        <v>3803.88</v>
      </c>
      <c r="V1719" s="20">
        <v>-10.6</v>
      </c>
      <c r="W1719" s="20">
        <v>-137.75</v>
      </c>
      <c r="X1719" s="20">
        <v>-127.15</v>
      </c>
      <c r="Y1719" s="20">
        <v>0</v>
      </c>
      <c r="Z1719" s="20">
        <v>0</v>
      </c>
      <c r="AA1719" s="20">
        <v>0</v>
      </c>
      <c r="AB1719" s="20">
        <v>3676.73</v>
      </c>
      <c r="AC1719" t="s">
        <v>183</v>
      </c>
      <c r="AD1719" t="s">
        <v>290</v>
      </c>
      <c r="AE1719" s="702">
        <f t="shared" si="130"/>
        <v>44348</v>
      </c>
      <c r="AF1719" s="289">
        <v>4379.9582687486181</v>
      </c>
      <c r="AG1719">
        <f t="shared" si="131"/>
        <v>360</v>
      </c>
      <c r="AH1719" s="289">
        <f t="shared" si="132"/>
        <v>12.166550746523939</v>
      </c>
      <c r="AJ1719" s="289">
        <f t="shared" si="133"/>
        <v>18</v>
      </c>
      <c r="AK1719" s="289">
        <f t="shared" si="134"/>
        <v>218.9979134374309</v>
      </c>
    </row>
    <row r="1720" spans="1:37">
      <c r="A1720" s="703" t="s">
        <v>3241</v>
      </c>
      <c r="B1720" s="703" t="s">
        <v>2849</v>
      </c>
      <c r="C1720" s="703" t="s">
        <v>332</v>
      </c>
      <c r="D1720" s="703" t="s">
        <v>334</v>
      </c>
      <c r="E1720" s="703" t="s">
        <v>334</v>
      </c>
      <c r="F1720" s="703" t="s">
        <v>335</v>
      </c>
      <c r="G1720" s="703" t="s">
        <v>3237</v>
      </c>
      <c r="H1720" s="703" t="s">
        <v>334</v>
      </c>
      <c r="I1720" s="703" t="s">
        <v>334</v>
      </c>
      <c r="J1720" s="703" t="s">
        <v>337</v>
      </c>
      <c r="K1720" s="704">
        <v>0</v>
      </c>
      <c r="L1720" s="703" t="s">
        <v>334</v>
      </c>
      <c r="M1720" s="702">
        <v>39478</v>
      </c>
      <c r="N1720" s="702">
        <v>44516</v>
      </c>
      <c r="O1720" s="703" t="s">
        <v>338</v>
      </c>
      <c r="P1720" s="20">
        <v>59.04</v>
      </c>
      <c r="Q1720" s="20">
        <v>0</v>
      </c>
      <c r="R1720" s="20">
        <v>0</v>
      </c>
      <c r="S1720" s="20">
        <v>0</v>
      </c>
      <c r="T1720" s="20">
        <v>59.04</v>
      </c>
      <c r="U1720" s="20">
        <v>58.88</v>
      </c>
      <c r="V1720" s="20">
        <v>-0.16</v>
      </c>
      <c r="W1720" s="20">
        <v>-2.13</v>
      </c>
      <c r="X1720" s="20">
        <v>-1.97</v>
      </c>
      <c r="Y1720" s="20">
        <v>0</v>
      </c>
      <c r="Z1720" s="20">
        <v>0</v>
      </c>
      <c r="AA1720" s="20">
        <v>0</v>
      </c>
      <c r="AB1720" s="20">
        <v>56.91</v>
      </c>
      <c r="AC1720" t="s">
        <v>183</v>
      </c>
      <c r="AD1720" t="s">
        <v>290</v>
      </c>
      <c r="AE1720" s="702">
        <f t="shared" si="130"/>
        <v>44348</v>
      </c>
      <c r="AF1720" s="289">
        <v>67.7923953427252</v>
      </c>
      <c r="AG1720">
        <f t="shared" si="131"/>
        <v>360</v>
      </c>
      <c r="AH1720" s="289">
        <f t="shared" si="132"/>
        <v>0.18831220928534778</v>
      </c>
      <c r="AJ1720" s="289">
        <f t="shared" si="133"/>
        <v>18</v>
      </c>
      <c r="AK1720" s="289">
        <f t="shared" si="134"/>
        <v>3.38961976713626</v>
      </c>
    </row>
    <row r="1721" spans="1:37">
      <c r="A1721" s="703" t="s">
        <v>3242</v>
      </c>
      <c r="B1721" s="703" t="s">
        <v>2849</v>
      </c>
      <c r="C1721" s="703" t="s">
        <v>332</v>
      </c>
      <c r="D1721" s="703" t="s">
        <v>334</v>
      </c>
      <c r="E1721" s="703" t="s">
        <v>334</v>
      </c>
      <c r="F1721" s="703" t="s">
        <v>335</v>
      </c>
      <c r="G1721" s="703" t="s">
        <v>3237</v>
      </c>
      <c r="H1721" s="703" t="s">
        <v>334</v>
      </c>
      <c r="I1721" s="703" t="s">
        <v>334</v>
      </c>
      <c r="J1721" s="703" t="s">
        <v>337</v>
      </c>
      <c r="K1721" s="704">
        <v>0</v>
      </c>
      <c r="L1721" s="703" t="s">
        <v>334</v>
      </c>
      <c r="M1721" s="702">
        <v>39478</v>
      </c>
      <c r="N1721" s="702">
        <v>44516</v>
      </c>
      <c r="O1721" s="703" t="s">
        <v>338</v>
      </c>
      <c r="P1721" s="20">
        <v>1452.79</v>
      </c>
      <c r="Q1721" s="20">
        <v>0</v>
      </c>
      <c r="R1721" s="20">
        <v>0</v>
      </c>
      <c r="S1721" s="20">
        <v>0</v>
      </c>
      <c r="T1721" s="20">
        <v>1452.79</v>
      </c>
      <c r="U1721" s="20">
        <v>1448.75</v>
      </c>
      <c r="V1721" s="20">
        <v>-4.04</v>
      </c>
      <c r="W1721" s="20">
        <v>-52.47</v>
      </c>
      <c r="X1721" s="20">
        <v>-48.43</v>
      </c>
      <c r="Y1721" s="20">
        <v>0</v>
      </c>
      <c r="Z1721" s="20">
        <v>0</v>
      </c>
      <c r="AA1721" s="20">
        <v>0</v>
      </c>
      <c r="AB1721" s="20">
        <v>1400.32</v>
      </c>
      <c r="AC1721" t="s">
        <v>183</v>
      </c>
      <c r="AD1721" t="s">
        <v>290</v>
      </c>
      <c r="AE1721" s="702">
        <f t="shared" si="130"/>
        <v>44348</v>
      </c>
      <c r="AF1721" s="289">
        <v>1668.1591129735391</v>
      </c>
      <c r="AG1721">
        <f t="shared" si="131"/>
        <v>360</v>
      </c>
      <c r="AH1721" s="289">
        <f t="shared" si="132"/>
        <v>4.6337753138153861</v>
      </c>
      <c r="AJ1721" s="289">
        <f t="shared" si="133"/>
        <v>18</v>
      </c>
      <c r="AK1721" s="289">
        <f t="shared" si="134"/>
        <v>83.407955648676946</v>
      </c>
    </row>
    <row r="1722" spans="1:37">
      <c r="A1722" s="703" t="s">
        <v>3243</v>
      </c>
      <c r="B1722" s="703" t="s">
        <v>2849</v>
      </c>
      <c r="C1722" s="703" t="s">
        <v>332</v>
      </c>
      <c r="D1722" s="703" t="s">
        <v>334</v>
      </c>
      <c r="E1722" s="703" t="s">
        <v>334</v>
      </c>
      <c r="F1722" s="703" t="s">
        <v>335</v>
      </c>
      <c r="G1722" s="703" t="s">
        <v>3244</v>
      </c>
      <c r="H1722" s="703" t="s">
        <v>334</v>
      </c>
      <c r="I1722" s="703" t="s">
        <v>334</v>
      </c>
      <c r="J1722" s="703" t="s">
        <v>337</v>
      </c>
      <c r="K1722" s="704">
        <v>0</v>
      </c>
      <c r="L1722" s="703" t="s">
        <v>334</v>
      </c>
      <c r="M1722" s="702">
        <v>39478</v>
      </c>
      <c r="N1722" s="702">
        <v>44516</v>
      </c>
      <c r="O1722" s="703" t="s">
        <v>338</v>
      </c>
      <c r="P1722" s="20">
        <v>6301</v>
      </c>
      <c r="Q1722" s="20">
        <v>0</v>
      </c>
      <c r="R1722" s="20">
        <v>0</v>
      </c>
      <c r="S1722" s="20">
        <v>0</v>
      </c>
      <c r="T1722" s="20">
        <v>6301</v>
      </c>
      <c r="U1722" s="20">
        <v>6300.66</v>
      </c>
      <c r="V1722" s="20">
        <v>-0.34</v>
      </c>
      <c r="W1722" s="20">
        <v>-210.37</v>
      </c>
      <c r="X1722" s="20">
        <v>-210.03</v>
      </c>
      <c r="Y1722" s="20">
        <v>0</v>
      </c>
      <c r="Z1722" s="20">
        <v>0</v>
      </c>
      <c r="AA1722" s="20">
        <v>0</v>
      </c>
      <c r="AB1722" s="20">
        <v>6090.63</v>
      </c>
      <c r="AC1722" t="s">
        <v>183</v>
      </c>
      <c r="AD1722" t="s">
        <v>290</v>
      </c>
      <c r="AE1722" s="702">
        <f t="shared" si="130"/>
        <v>44348</v>
      </c>
      <c r="AF1722" s="289">
        <v>7235.0928701644898</v>
      </c>
      <c r="AG1722">
        <f t="shared" si="131"/>
        <v>360</v>
      </c>
      <c r="AH1722" s="289">
        <f t="shared" si="132"/>
        <v>20.097480194901362</v>
      </c>
      <c r="AJ1722" s="289">
        <f t="shared" si="133"/>
        <v>18</v>
      </c>
      <c r="AK1722" s="289">
        <f t="shared" si="134"/>
        <v>361.75464350822449</v>
      </c>
    </row>
    <row r="1723" spans="1:37">
      <c r="A1723" s="703" t="s">
        <v>3245</v>
      </c>
      <c r="B1723" s="703" t="s">
        <v>2849</v>
      </c>
      <c r="C1723" s="703" t="s">
        <v>332</v>
      </c>
      <c r="D1723" s="703" t="s">
        <v>334</v>
      </c>
      <c r="E1723" s="703" t="s">
        <v>334</v>
      </c>
      <c r="F1723" s="703" t="s">
        <v>335</v>
      </c>
      <c r="G1723" s="703" t="s">
        <v>3244</v>
      </c>
      <c r="H1723" s="703" t="s">
        <v>334</v>
      </c>
      <c r="I1723" s="703" t="s">
        <v>334</v>
      </c>
      <c r="J1723" s="703" t="s">
        <v>337</v>
      </c>
      <c r="K1723" s="704">
        <v>0</v>
      </c>
      <c r="L1723" s="703" t="s">
        <v>334</v>
      </c>
      <c r="M1723" s="702">
        <v>39478</v>
      </c>
      <c r="N1723" s="702">
        <v>44516</v>
      </c>
      <c r="O1723" s="703" t="s">
        <v>338</v>
      </c>
      <c r="P1723" s="20">
        <v>2174.88</v>
      </c>
      <c r="Q1723" s="20">
        <v>0</v>
      </c>
      <c r="R1723" s="20">
        <v>0</v>
      </c>
      <c r="S1723" s="20">
        <v>0</v>
      </c>
      <c r="T1723" s="20">
        <v>2174.88</v>
      </c>
      <c r="U1723" s="20">
        <v>2168.84</v>
      </c>
      <c r="V1723" s="20">
        <v>-6.04</v>
      </c>
      <c r="W1723" s="20">
        <v>-78.540000000000006</v>
      </c>
      <c r="X1723" s="20">
        <v>-72.5</v>
      </c>
      <c r="Y1723" s="20">
        <v>0</v>
      </c>
      <c r="Z1723" s="20">
        <v>0</v>
      </c>
      <c r="AA1723" s="20">
        <v>0</v>
      </c>
      <c r="AB1723" s="20">
        <v>2096.34</v>
      </c>
      <c r="AC1723" t="s">
        <v>183</v>
      </c>
      <c r="AD1723" t="s">
        <v>290</v>
      </c>
      <c r="AE1723" s="702">
        <f t="shared" si="130"/>
        <v>44348</v>
      </c>
      <c r="AF1723" s="289">
        <v>2497.2954739665679</v>
      </c>
      <c r="AG1723">
        <f t="shared" si="131"/>
        <v>360</v>
      </c>
      <c r="AH1723" s="289">
        <f t="shared" si="132"/>
        <v>6.9369318721293549</v>
      </c>
      <c r="AJ1723" s="289">
        <f t="shared" si="133"/>
        <v>18</v>
      </c>
      <c r="AK1723" s="289">
        <f t="shared" si="134"/>
        <v>124.86477369832839</v>
      </c>
    </row>
    <row r="1724" spans="1:37">
      <c r="A1724" s="703" t="s">
        <v>3246</v>
      </c>
      <c r="B1724" s="703" t="s">
        <v>2849</v>
      </c>
      <c r="C1724" s="703" t="s">
        <v>332</v>
      </c>
      <c r="D1724" s="703" t="s">
        <v>334</v>
      </c>
      <c r="E1724" s="703" t="s">
        <v>334</v>
      </c>
      <c r="F1724" s="703" t="s">
        <v>335</v>
      </c>
      <c r="G1724" s="703" t="s">
        <v>3244</v>
      </c>
      <c r="H1724" s="703" t="s">
        <v>334</v>
      </c>
      <c r="I1724" s="703" t="s">
        <v>334</v>
      </c>
      <c r="J1724" s="703" t="s">
        <v>337</v>
      </c>
      <c r="K1724" s="704">
        <v>0</v>
      </c>
      <c r="L1724" s="703" t="s">
        <v>334</v>
      </c>
      <c r="M1724" s="702">
        <v>39478</v>
      </c>
      <c r="N1724" s="702">
        <v>44516</v>
      </c>
      <c r="O1724" s="703" t="s">
        <v>338</v>
      </c>
      <c r="P1724" s="20">
        <v>631.82000000000005</v>
      </c>
      <c r="Q1724" s="20">
        <v>0</v>
      </c>
      <c r="R1724" s="20">
        <v>0</v>
      </c>
      <c r="S1724" s="20">
        <v>0</v>
      </c>
      <c r="T1724" s="20">
        <v>631.82000000000005</v>
      </c>
      <c r="U1724" s="20">
        <v>630.05999999999995</v>
      </c>
      <c r="V1724" s="20">
        <v>-1.76</v>
      </c>
      <c r="W1724" s="20">
        <v>-22.82</v>
      </c>
      <c r="X1724" s="20">
        <v>-21.06</v>
      </c>
      <c r="Y1724" s="20">
        <v>0</v>
      </c>
      <c r="Z1724" s="20">
        <v>0</v>
      </c>
      <c r="AA1724" s="20">
        <v>0</v>
      </c>
      <c r="AB1724" s="20">
        <v>609</v>
      </c>
      <c r="AC1724" t="s">
        <v>183</v>
      </c>
      <c r="AD1724" t="s">
        <v>290</v>
      </c>
      <c r="AE1724" s="702">
        <f t="shared" si="130"/>
        <v>44348</v>
      </c>
      <c r="AF1724" s="289">
        <v>725.484268723588</v>
      </c>
      <c r="AG1724">
        <f t="shared" si="131"/>
        <v>360</v>
      </c>
      <c r="AH1724" s="289">
        <f t="shared" si="132"/>
        <v>2.0152340797877444</v>
      </c>
      <c r="AJ1724" s="289">
        <f t="shared" si="133"/>
        <v>18</v>
      </c>
      <c r="AK1724" s="289">
        <f t="shared" si="134"/>
        <v>36.274213436179402</v>
      </c>
    </row>
    <row r="1725" spans="1:37">
      <c r="A1725" s="703" t="s">
        <v>3247</v>
      </c>
      <c r="B1725" s="703" t="s">
        <v>2849</v>
      </c>
      <c r="C1725" s="703" t="s">
        <v>332</v>
      </c>
      <c r="D1725" s="703" t="s">
        <v>334</v>
      </c>
      <c r="E1725" s="703" t="s">
        <v>334</v>
      </c>
      <c r="F1725" s="703" t="s">
        <v>335</v>
      </c>
      <c r="G1725" s="703" t="s">
        <v>3244</v>
      </c>
      <c r="H1725" s="703" t="s">
        <v>334</v>
      </c>
      <c r="I1725" s="703" t="s">
        <v>334</v>
      </c>
      <c r="J1725" s="703" t="s">
        <v>337</v>
      </c>
      <c r="K1725" s="704">
        <v>0</v>
      </c>
      <c r="L1725" s="703" t="s">
        <v>334</v>
      </c>
      <c r="M1725" s="702">
        <v>39478</v>
      </c>
      <c r="N1725" s="702">
        <v>44516</v>
      </c>
      <c r="O1725" s="703" t="s">
        <v>338</v>
      </c>
      <c r="P1725" s="20">
        <v>36.5</v>
      </c>
      <c r="Q1725" s="20">
        <v>0</v>
      </c>
      <c r="R1725" s="20">
        <v>0</v>
      </c>
      <c r="S1725" s="20">
        <v>0</v>
      </c>
      <c r="T1725" s="20">
        <v>36.5</v>
      </c>
      <c r="U1725" s="20">
        <v>36.4</v>
      </c>
      <c r="V1725" s="20">
        <v>-0.1</v>
      </c>
      <c r="W1725" s="20">
        <v>-1.32</v>
      </c>
      <c r="X1725" s="20">
        <v>-1.22</v>
      </c>
      <c r="Y1725" s="20">
        <v>0</v>
      </c>
      <c r="Z1725" s="20">
        <v>0</v>
      </c>
      <c r="AA1725" s="20">
        <v>0</v>
      </c>
      <c r="AB1725" s="20">
        <v>35.18</v>
      </c>
      <c r="AC1725" t="s">
        <v>183</v>
      </c>
      <c r="AD1725" t="s">
        <v>290</v>
      </c>
      <c r="AE1725" s="702">
        <f t="shared" si="130"/>
        <v>44348</v>
      </c>
      <c r="AF1725" s="289">
        <v>41.910949017775572</v>
      </c>
      <c r="AG1725">
        <f t="shared" si="131"/>
        <v>360</v>
      </c>
      <c r="AH1725" s="289">
        <f t="shared" si="132"/>
        <v>0.11641930282715436</v>
      </c>
      <c r="AJ1725" s="289">
        <f t="shared" si="133"/>
        <v>18</v>
      </c>
      <c r="AK1725" s="289">
        <f t="shared" si="134"/>
        <v>2.0955474508887786</v>
      </c>
    </row>
    <row r="1726" spans="1:37">
      <c r="A1726" s="703" t="s">
        <v>3248</v>
      </c>
      <c r="B1726" s="703" t="s">
        <v>2849</v>
      </c>
      <c r="C1726" s="703" t="s">
        <v>332</v>
      </c>
      <c r="D1726" s="703" t="s">
        <v>334</v>
      </c>
      <c r="E1726" s="703" t="s">
        <v>334</v>
      </c>
      <c r="F1726" s="703" t="s">
        <v>335</v>
      </c>
      <c r="G1726" s="703" t="s">
        <v>3244</v>
      </c>
      <c r="H1726" s="703" t="s">
        <v>334</v>
      </c>
      <c r="I1726" s="703" t="s">
        <v>334</v>
      </c>
      <c r="J1726" s="703" t="s">
        <v>337</v>
      </c>
      <c r="K1726" s="704">
        <v>0</v>
      </c>
      <c r="L1726" s="703" t="s">
        <v>334</v>
      </c>
      <c r="M1726" s="702">
        <v>39478</v>
      </c>
      <c r="N1726" s="702">
        <v>44516</v>
      </c>
      <c r="O1726" s="703" t="s">
        <v>338</v>
      </c>
      <c r="P1726" s="20">
        <v>146.83000000000001</v>
      </c>
      <c r="Q1726" s="20">
        <v>0</v>
      </c>
      <c r="R1726" s="20">
        <v>0</v>
      </c>
      <c r="S1726" s="20">
        <v>0</v>
      </c>
      <c r="T1726" s="20">
        <v>146.83000000000001</v>
      </c>
      <c r="U1726" s="20">
        <v>146.41999999999999</v>
      </c>
      <c r="V1726" s="20">
        <v>-0.41</v>
      </c>
      <c r="W1726" s="20">
        <v>-5.3</v>
      </c>
      <c r="X1726" s="20">
        <v>-4.8899999999999997</v>
      </c>
      <c r="Y1726" s="20">
        <v>0</v>
      </c>
      <c r="Z1726" s="20">
        <v>0</v>
      </c>
      <c r="AA1726" s="20">
        <v>0</v>
      </c>
      <c r="AB1726" s="20">
        <v>141.53</v>
      </c>
      <c r="AC1726" t="s">
        <v>183</v>
      </c>
      <c r="AD1726" t="s">
        <v>290</v>
      </c>
      <c r="AE1726" s="702">
        <f t="shared" si="130"/>
        <v>44348</v>
      </c>
      <c r="AF1726" s="289">
        <v>168.59683956931471</v>
      </c>
      <c r="AG1726">
        <f t="shared" si="131"/>
        <v>360</v>
      </c>
      <c r="AH1726" s="289">
        <f t="shared" si="132"/>
        <v>0.4683245543592075</v>
      </c>
      <c r="AJ1726" s="289">
        <f t="shared" si="133"/>
        <v>18</v>
      </c>
      <c r="AK1726" s="289">
        <f t="shared" si="134"/>
        <v>8.4298419784657348</v>
      </c>
    </row>
    <row r="1727" spans="1:37">
      <c r="A1727" s="703" t="s">
        <v>3249</v>
      </c>
      <c r="B1727" s="703" t="s">
        <v>2849</v>
      </c>
      <c r="C1727" s="703" t="s">
        <v>332</v>
      </c>
      <c r="D1727" s="703" t="s">
        <v>334</v>
      </c>
      <c r="E1727" s="703" t="s">
        <v>334</v>
      </c>
      <c r="F1727" s="703" t="s">
        <v>335</v>
      </c>
      <c r="G1727" s="703" t="s">
        <v>3244</v>
      </c>
      <c r="H1727" s="703" t="s">
        <v>334</v>
      </c>
      <c r="I1727" s="703" t="s">
        <v>334</v>
      </c>
      <c r="J1727" s="703" t="s">
        <v>337</v>
      </c>
      <c r="K1727" s="704">
        <v>0</v>
      </c>
      <c r="L1727" s="703" t="s">
        <v>334</v>
      </c>
      <c r="M1727" s="702">
        <v>39478</v>
      </c>
      <c r="N1727" s="702">
        <v>44516</v>
      </c>
      <c r="O1727" s="703" t="s">
        <v>338</v>
      </c>
      <c r="P1727" s="20">
        <v>35.799999999999997</v>
      </c>
      <c r="Q1727" s="20">
        <v>0</v>
      </c>
      <c r="R1727" s="20">
        <v>0</v>
      </c>
      <c r="S1727" s="20">
        <v>0</v>
      </c>
      <c r="T1727" s="20">
        <v>35.799999999999997</v>
      </c>
      <c r="U1727" s="20">
        <v>35.700000000000003</v>
      </c>
      <c r="V1727" s="20">
        <v>-0.1</v>
      </c>
      <c r="W1727" s="20">
        <v>-1.29</v>
      </c>
      <c r="X1727" s="20">
        <v>-1.19</v>
      </c>
      <c r="Y1727" s="20">
        <v>0</v>
      </c>
      <c r="Z1727" s="20">
        <v>0</v>
      </c>
      <c r="AA1727" s="20">
        <v>0</v>
      </c>
      <c r="AB1727" s="20">
        <v>34.51</v>
      </c>
      <c r="AC1727" t="s">
        <v>183</v>
      </c>
      <c r="AD1727" t="s">
        <v>290</v>
      </c>
      <c r="AE1727" s="702">
        <f t="shared" si="130"/>
        <v>44348</v>
      </c>
      <c r="AF1727" s="289">
        <v>41.107177392777132</v>
      </c>
      <c r="AG1727">
        <f t="shared" si="131"/>
        <v>360</v>
      </c>
      <c r="AH1727" s="289">
        <f t="shared" si="132"/>
        <v>0.11418660386882537</v>
      </c>
      <c r="AJ1727" s="289">
        <f t="shared" si="133"/>
        <v>18</v>
      </c>
      <c r="AK1727" s="289">
        <f t="shared" si="134"/>
        <v>2.0553588696388565</v>
      </c>
    </row>
    <row r="1728" spans="1:37">
      <c r="A1728" s="703" t="s">
        <v>3250</v>
      </c>
      <c r="B1728" s="703" t="s">
        <v>2849</v>
      </c>
      <c r="C1728" s="703" t="s">
        <v>332</v>
      </c>
      <c r="D1728" s="703" t="s">
        <v>334</v>
      </c>
      <c r="E1728" s="703" t="s">
        <v>334</v>
      </c>
      <c r="F1728" s="703" t="s">
        <v>335</v>
      </c>
      <c r="G1728" s="703" t="s">
        <v>3244</v>
      </c>
      <c r="H1728" s="703" t="s">
        <v>334</v>
      </c>
      <c r="I1728" s="703" t="s">
        <v>334</v>
      </c>
      <c r="J1728" s="703" t="s">
        <v>337</v>
      </c>
      <c r="K1728" s="704">
        <v>0</v>
      </c>
      <c r="L1728" s="703" t="s">
        <v>334</v>
      </c>
      <c r="M1728" s="702">
        <v>39478</v>
      </c>
      <c r="N1728" s="702">
        <v>44516</v>
      </c>
      <c r="O1728" s="703" t="s">
        <v>338</v>
      </c>
      <c r="P1728" s="20">
        <v>1907.15</v>
      </c>
      <c r="Q1728" s="20">
        <v>0</v>
      </c>
      <c r="R1728" s="20">
        <v>0</v>
      </c>
      <c r="S1728" s="20">
        <v>0</v>
      </c>
      <c r="T1728" s="20">
        <v>1907.15</v>
      </c>
      <c r="U1728" s="20">
        <v>1901.85</v>
      </c>
      <c r="V1728" s="20">
        <v>-5.3</v>
      </c>
      <c r="W1728" s="20">
        <v>-68.87</v>
      </c>
      <c r="X1728" s="20">
        <v>-63.57</v>
      </c>
      <c r="Y1728" s="20">
        <v>0</v>
      </c>
      <c r="Z1728" s="20">
        <v>0</v>
      </c>
      <c r="AA1728" s="20">
        <v>0</v>
      </c>
      <c r="AB1728" s="20">
        <v>1838.28</v>
      </c>
      <c r="AC1728" t="s">
        <v>183</v>
      </c>
      <c r="AD1728" t="s">
        <v>290</v>
      </c>
      <c r="AE1728" s="702">
        <f t="shared" si="130"/>
        <v>44348</v>
      </c>
      <c r="AF1728" s="289">
        <v>2189.875792308238</v>
      </c>
      <c r="AG1728">
        <f t="shared" si="131"/>
        <v>360</v>
      </c>
      <c r="AH1728" s="289">
        <f t="shared" si="132"/>
        <v>6.0829883119673278</v>
      </c>
      <c r="AJ1728" s="289">
        <f t="shared" si="133"/>
        <v>18</v>
      </c>
      <c r="AK1728" s="289">
        <f t="shared" si="134"/>
        <v>109.4937896154119</v>
      </c>
    </row>
    <row r="1729" spans="1:37">
      <c r="A1729" s="703" t="s">
        <v>3251</v>
      </c>
      <c r="B1729" s="703" t="s">
        <v>2849</v>
      </c>
      <c r="C1729" s="703" t="s">
        <v>332</v>
      </c>
      <c r="D1729" s="703" t="s">
        <v>334</v>
      </c>
      <c r="E1729" s="703" t="s">
        <v>334</v>
      </c>
      <c r="F1729" s="703" t="s">
        <v>335</v>
      </c>
      <c r="G1729" s="703" t="s">
        <v>3244</v>
      </c>
      <c r="H1729" s="703" t="s">
        <v>334</v>
      </c>
      <c r="I1729" s="703" t="s">
        <v>334</v>
      </c>
      <c r="J1729" s="703" t="s">
        <v>337</v>
      </c>
      <c r="K1729" s="704">
        <v>0</v>
      </c>
      <c r="L1729" s="703" t="s">
        <v>334</v>
      </c>
      <c r="M1729" s="702">
        <v>39478</v>
      </c>
      <c r="N1729" s="702">
        <v>44516</v>
      </c>
      <c r="O1729" s="703" t="s">
        <v>338</v>
      </c>
      <c r="P1729" s="20">
        <v>623.02</v>
      </c>
      <c r="Q1729" s="20">
        <v>0</v>
      </c>
      <c r="R1729" s="20">
        <v>0</v>
      </c>
      <c r="S1729" s="20">
        <v>0</v>
      </c>
      <c r="T1729" s="20">
        <v>623.02</v>
      </c>
      <c r="U1729" s="20">
        <v>621.29</v>
      </c>
      <c r="V1729" s="20">
        <v>-1.73</v>
      </c>
      <c r="W1729" s="20">
        <v>-22.5</v>
      </c>
      <c r="X1729" s="20">
        <v>-20.77</v>
      </c>
      <c r="Y1729" s="20">
        <v>0</v>
      </c>
      <c r="Z1729" s="20">
        <v>0</v>
      </c>
      <c r="AA1729" s="20">
        <v>0</v>
      </c>
      <c r="AB1729" s="20">
        <v>600.52</v>
      </c>
      <c r="AC1729" t="s">
        <v>183</v>
      </c>
      <c r="AD1729" t="s">
        <v>290</v>
      </c>
      <c r="AE1729" s="702">
        <f t="shared" si="130"/>
        <v>44348</v>
      </c>
      <c r="AF1729" s="289">
        <v>715.37971115217908</v>
      </c>
      <c r="AG1729">
        <f t="shared" si="131"/>
        <v>360</v>
      </c>
      <c r="AH1729" s="289">
        <f t="shared" si="132"/>
        <v>1.9871658643116086</v>
      </c>
      <c r="AJ1729" s="289">
        <f t="shared" si="133"/>
        <v>18</v>
      </c>
      <c r="AK1729" s="289">
        <f t="shared" si="134"/>
        <v>35.768985557608957</v>
      </c>
    </row>
    <row r="1730" spans="1:37">
      <c r="A1730" s="703" t="s">
        <v>3252</v>
      </c>
      <c r="B1730" s="703" t="s">
        <v>2849</v>
      </c>
      <c r="C1730" s="703" t="s">
        <v>332</v>
      </c>
      <c r="D1730" s="703" t="s">
        <v>334</v>
      </c>
      <c r="E1730" s="703" t="s">
        <v>334</v>
      </c>
      <c r="F1730" s="703" t="s">
        <v>335</v>
      </c>
      <c r="G1730" s="703" t="s">
        <v>3244</v>
      </c>
      <c r="H1730" s="703" t="s">
        <v>334</v>
      </c>
      <c r="I1730" s="703" t="s">
        <v>334</v>
      </c>
      <c r="J1730" s="703" t="s">
        <v>337</v>
      </c>
      <c r="K1730" s="704">
        <v>0</v>
      </c>
      <c r="L1730" s="703" t="s">
        <v>334</v>
      </c>
      <c r="M1730" s="702">
        <v>39478</v>
      </c>
      <c r="N1730" s="702">
        <v>44516</v>
      </c>
      <c r="O1730" s="703" t="s">
        <v>338</v>
      </c>
      <c r="P1730" s="20">
        <v>32.229999999999997</v>
      </c>
      <c r="Q1730" s="20">
        <v>0</v>
      </c>
      <c r="R1730" s="20">
        <v>0</v>
      </c>
      <c r="S1730" s="20">
        <v>0</v>
      </c>
      <c r="T1730" s="20">
        <v>32.229999999999997</v>
      </c>
      <c r="U1730" s="20">
        <v>32.14</v>
      </c>
      <c r="V1730" s="20">
        <v>-0.09</v>
      </c>
      <c r="W1730" s="20">
        <v>-1.1599999999999999</v>
      </c>
      <c r="X1730" s="20">
        <v>-1.07</v>
      </c>
      <c r="Y1730" s="20">
        <v>0</v>
      </c>
      <c r="Z1730" s="20">
        <v>0</v>
      </c>
      <c r="AA1730" s="20">
        <v>0</v>
      </c>
      <c r="AB1730" s="20">
        <v>31.07</v>
      </c>
      <c r="AC1730" t="s">
        <v>183</v>
      </c>
      <c r="AD1730" t="s">
        <v>290</v>
      </c>
      <c r="AE1730" s="702">
        <f t="shared" si="130"/>
        <v>44348</v>
      </c>
      <c r="AF1730" s="289">
        <v>37.007942105285117</v>
      </c>
      <c r="AG1730">
        <f t="shared" si="131"/>
        <v>360</v>
      </c>
      <c r="AH1730" s="289">
        <f t="shared" si="132"/>
        <v>0.10279983918134755</v>
      </c>
      <c r="AJ1730" s="289">
        <f t="shared" si="133"/>
        <v>18</v>
      </c>
      <c r="AK1730" s="289">
        <f t="shared" si="134"/>
        <v>1.850397105264256</v>
      </c>
    </row>
    <row r="1731" spans="1:37">
      <c r="A1731" s="703" t="s">
        <v>3253</v>
      </c>
      <c r="B1731" s="703" t="s">
        <v>2849</v>
      </c>
      <c r="C1731" s="703" t="s">
        <v>332</v>
      </c>
      <c r="D1731" s="703" t="s">
        <v>334</v>
      </c>
      <c r="E1731" s="703" t="s">
        <v>334</v>
      </c>
      <c r="F1731" s="703" t="s">
        <v>335</v>
      </c>
      <c r="G1731" s="703" t="s">
        <v>3244</v>
      </c>
      <c r="H1731" s="703" t="s">
        <v>334</v>
      </c>
      <c r="I1731" s="703" t="s">
        <v>334</v>
      </c>
      <c r="J1731" s="703" t="s">
        <v>337</v>
      </c>
      <c r="K1731" s="704">
        <v>0</v>
      </c>
      <c r="L1731" s="703" t="s">
        <v>334</v>
      </c>
      <c r="M1731" s="702">
        <v>39478</v>
      </c>
      <c r="N1731" s="702">
        <v>44516</v>
      </c>
      <c r="O1731" s="703" t="s">
        <v>338</v>
      </c>
      <c r="P1731" s="20">
        <v>125.6</v>
      </c>
      <c r="Q1731" s="20">
        <v>0</v>
      </c>
      <c r="R1731" s="20">
        <v>0</v>
      </c>
      <c r="S1731" s="20">
        <v>0</v>
      </c>
      <c r="T1731" s="20">
        <v>125.6</v>
      </c>
      <c r="U1731" s="20">
        <v>125.25</v>
      </c>
      <c r="V1731" s="20">
        <v>-0.35</v>
      </c>
      <c r="W1731" s="20">
        <v>-4.54</v>
      </c>
      <c r="X1731" s="20">
        <v>-4.1900000000000004</v>
      </c>
      <c r="Y1731" s="20">
        <v>0</v>
      </c>
      <c r="Z1731" s="20">
        <v>0</v>
      </c>
      <c r="AA1731" s="20">
        <v>0</v>
      </c>
      <c r="AB1731" s="20">
        <v>121.06</v>
      </c>
      <c r="AC1731" t="s">
        <v>183</v>
      </c>
      <c r="AD1731" t="s">
        <v>290</v>
      </c>
      <c r="AE1731" s="702">
        <f t="shared" si="130"/>
        <v>44348</v>
      </c>
      <c r="AF1731" s="289">
        <v>144.21959442829075</v>
      </c>
      <c r="AG1731">
        <f t="shared" si="131"/>
        <v>360</v>
      </c>
      <c r="AH1731" s="289">
        <f t="shared" si="132"/>
        <v>0.40060998452302987</v>
      </c>
      <c r="AJ1731" s="289">
        <f t="shared" si="133"/>
        <v>18</v>
      </c>
      <c r="AK1731" s="289">
        <f t="shared" si="134"/>
        <v>7.2109797214145379</v>
      </c>
    </row>
    <row r="1732" spans="1:37">
      <c r="A1732" s="703" t="s">
        <v>3254</v>
      </c>
      <c r="B1732" s="703" t="s">
        <v>2849</v>
      </c>
      <c r="C1732" s="703" t="s">
        <v>332</v>
      </c>
      <c r="D1732" s="703" t="s">
        <v>334</v>
      </c>
      <c r="E1732" s="703" t="s">
        <v>334</v>
      </c>
      <c r="F1732" s="703" t="s">
        <v>335</v>
      </c>
      <c r="G1732" s="703" t="s">
        <v>3244</v>
      </c>
      <c r="H1732" s="703" t="s">
        <v>334</v>
      </c>
      <c r="I1732" s="703" t="s">
        <v>334</v>
      </c>
      <c r="J1732" s="703" t="s">
        <v>337</v>
      </c>
      <c r="K1732" s="704">
        <v>0</v>
      </c>
      <c r="L1732" s="703" t="s">
        <v>334</v>
      </c>
      <c r="M1732" s="702">
        <v>39478</v>
      </c>
      <c r="N1732" s="702">
        <v>44516</v>
      </c>
      <c r="O1732" s="703" t="s">
        <v>338</v>
      </c>
      <c r="P1732" s="20">
        <v>155.21</v>
      </c>
      <c r="Q1732" s="20">
        <v>0</v>
      </c>
      <c r="R1732" s="20">
        <v>0</v>
      </c>
      <c r="S1732" s="20">
        <v>0</v>
      </c>
      <c r="T1732" s="20">
        <v>155.21</v>
      </c>
      <c r="U1732" s="20">
        <v>154.78</v>
      </c>
      <c r="V1732" s="20">
        <v>-0.43</v>
      </c>
      <c r="W1732" s="20">
        <v>-5.6</v>
      </c>
      <c r="X1732" s="20">
        <v>-5.17</v>
      </c>
      <c r="Y1732" s="20">
        <v>0</v>
      </c>
      <c r="Z1732" s="20">
        <v>0</v>
      </c>
      <c r="AA1732" s="20">
        <v>0</v>
      </c>
      <c r="AB1732" s="20">
        <v>149.61000000000001</v>
      </c>
      <c r="AC1732" t="s">
        <v>183</v>
      </c>
      <c r="AD1732" t="s">
        <v>290</v>
      </c>
      <c r="AE1732" s="702">
        <f t="shared" si="130"/>
        <v>44348</v>
      </c>
      <c r="AF1732" s="289">
        <v>178.21913416572457</v>
      </c>
      <c r="AG1732">
        <f t="shared" si="131"/>
        <v>360</v>
      </c>
      <c r="AH1732" s="289">
        <f t="shared" si="132"/>
        <v>0.49505315046034604</v>
      </c>
      <c r="AJ1732" s="289">
        <f t="shared" si="133"/>
        <v>18</v>
      </c>
      <c r="AK1732" s="289">
        <f t="shared" si="134"/>
        <v>8.9109567082862284</v>
      </c>
    </row>
    <row r="1733" spans="1:37">
      <c r="A1733" s="703" t="s">
        <v>3255</v>
      </c>
      <c r="B1733" s="703" t="s">
        <v>2849</v>
      </c>
      <c r="C1733" s="703" t="s">
        <v>332</v>
      </c>
      <c r="D1733" s="703" t="s">
        <v>334</v>
      </c>
      <c r="E1733" s="703" t="s">
        <v>334</v>
      </c>
      <c r="F1733" s="703" t="s">
        <v>335</v>
      </c>
      <c r="G1733" s="703" t="s">
        <v>3244</v>
      </c>
      <c r="H1733" s="703" t="s">
        <v>334</v>
      </c>
      <c r="I1733" s="703" t="s">
        <v>334</v>
      </c>
      <c r="J1733" s="703" t="s">
        <v>337</v>
      </c>
      <c r="K1733" s="704">
        <v>0</v>
      </c>
      <c r="L1733" s="703" t="s">
        <v>334</v>
      </c>
      <c r="M1733" s="702">
        <v>39478</v>
      </c>
      <c r="N1733" s="702">
        <v>44516</v>
      </c>
      <c r="O1733" s="703" t="s">
        <v>338</v>
      </c>
      <c r="P1733" s="20">
        <v>5.23</v>
      </c>
      <c r="Q1733" s="20">
        <v>0</v>
      </c>
      <c r="R1733" s="20">
        <v>0</v>
      </c>
      <c r="S1733" s="20">
        <v>0</v>
      </c>
      <c r="T1733" s="20">
        <v>5.23</v>
      </c>
      <c r="U1733" s="20">
        <v>5.22</v>
      </c>
      <c r="V1733" s="20">
        <v>-0.01</v>
      </c>
      <c r="W1733" s="20">
        <v>-0.18</v>
      </c>
      <c r="X1733" s="20">
        <v>-0.17</v>
      </c>
      <c r="Y1733" s="20">
        <v>0</v>
      </c>
      <c r="Z1733" s="20">
        <v>0</v>
      </c>
      <c r="AA1733" s="20">
        <v>0</v>
      </c>
      <c r="AB1733" s="20">
        <v>5.05</v>
      </c>
      <c r="AC1733" t="s">
        <v>183</v>
      </c>
      <c r="AD1733" t="s">
        <v>290</v>
      </c>
      <c r="AE1733" s="702">
        <f t="shared" si="130"/>
        <v>44348</v>
      </c>
      <c r="AF1733" s="289">
        <v>6.0053222839168834</v>
      </c>
      <c r="AG1733">
        <f t="shared" si="131"/>
        <v>360</v>
      </c>
      <c r="AH1733" s="289">
        <f t="shared" si="132"/>
        <v>1.6681450788658011E-2</v>
      </c>
      <c r="AJ1733" s="289">
        <f t="shared" si="133"/>
        <v>18</v>
      </c>
      <c r="AK1733" s="289">
        <f t="shared" si="134"/>
        <v>0.3002661141958442</v>
      </c>
    </row>
    <row r="1734" spans="1:37">
      <c r="A1734" s="703" t="s">
        <v>3256</v>
      </c>
      <c r="B1734" s="703" t="s">
        <v>2849</v>
      </c>
      <c r="C1734" s="703" t="s">
        <v>332</v>
      </c>
      <c r="D1734" s="703" t="s">
        <v>334</v>
      </c>
      <c r="E1734" s="703" t="s">
        <v>334</v>
      </c>
      <c r="F1734" s="703" t="s">
        <v>335</v>
      </c>
      <c r="G1734" s="703" t="s">
        <v>3244</v>
      </c>
      <c r="H1734" s="703" t="s">
        <v>334</v>
      </c>
      <c r="I1734" s="703" t="s">
        <v>334</v>
      </c>
      <c r="J1734" s="703" t="s">
        <v>337</v>
      </c>
      <c r="K1734" s="704">
        <v>0</v>
      </c>
      <c r="L1734" s="703" t="s">
        <v>334</v>
      </c>
      <c r="M1734" s="702">
        <v>39478</v>
      </c>
      <c r="N1734" s="702">
        <v>44516</v>
      </c>
      <c r="O1734" s="703" t="s">
        <v>338</v>
      </c>
      <c r="P1734" s="20">
        <v>31.77</v>
      </c>
      <c r="Q1734" s="20">
        <v>0</v>
      </c>
      <c r="R1734" s="20">
        <v>0</v>
      </c>
      <c r="S1734" s="20">
        <v>0</v>
      </c>
      <c r="T1734" s="20">
        <v>31.77</v>
      </c>
      <c r="U1734" s="20">
        <v>31.68</v>
      </c>
      <c r="V1734" s="20">
        <v>-0.09</v>
      </c>
      <c r="W1734" s="20">
        <v>-1.1499999999999999</v>
      </c>
      <c r="X1734" s="20">
        <v>-1.06</v>
      </c>
      <c r="Y1734" s="20">
        <v>0</v>
      </c>
      <c r="Z1734" s="20">
        <v>0</v>
      </c>
      <c r="AA1734" s="20">
        <v>0</v>
      </c>
      <c r="AB1734" s="20">
        <v>30.62</v>
      </c>
      <c r="AC1734" t="s">
        <v>183</v>
      </c>
      <c r="AD1734" t="s">
        <v>290</v>
      </c>
      <c r="AE1734" s="702">
        <f t="shared" si="130"/>
        <v>44348</v>
      </c>
      <c r="AF1734" s="289">
        <v>36.479749323143288</v>
      </c>
      <c r="AG1734">
        <f t="shared" si="131"/>
        <v>360</v>
      </c>
      <c r="AH1734" s="289">
        <f t="shared" si="132"/>
        <v>0.10133263700873135</v>
      </c>
      <c r="AJ1734" s="289">
        <f t="shared" si="133"/>
        <v>18</v>
      </c>
      <c r="AK1734" s="289">
        <f t="shared" si="134"/>
        <v>1.8239874661571642</v>
      </c>
    </row>
    <row r="1735" spans="1:37">
      <c r="A1735" s="703" t="s">
        <v>3257</v>
      </c>
      <c r="B1735" s="703" t="s">
        <v>2849</v>
      </c>
      <c r="C1735" s="703" t="s">
        <v>332</v>
      </c>
      <c r="D1735" s="703" t="s">
        <v>334</v>
      </c>
      <c r="E1735" s="703" t="s">
        <v>334</v>
      </c>
      <c r="F1735" s="703" t="s">
        <v>335</v>
      </c>
      <c r="G1735" s="703" t="s">
        <v>3244</v>
      </c>
      <c r="H1735" s="703" t="s">
        <v>334</v>
      </c>
      <c r="I1735" s="703" t="s">
        <v>334</v>
      </c>
      <c r="J1735" s="703" t="s">
        <v>337</v>
      </c>
      <c r="K1735" s="704">
        <v>0</v>
      </c>
      <c r="L1735" s="703" t="s">
        <v>334</v>
      </c>
      <c r="M1735" s="702">
        <v>39478</v>
      </c>
      <c r="N1735" s="702">
        <v>44516</v>
      </c>
      <c r="O1735" s="703" t="s">
        <v>338</v>
      </c>
      <c r="P1735" s="20">
        <v>151.63999999999999</v>
      </c>
      <c r="Q1735" s="20">
        <v>0</v>
      </c>
      <c r="R1735" s="20">
        <v>0</v>
      </c>
      <c r="S1735" s="20">
        <v>0</v>
      </c>
      <c r="T1735" s="20">
        <v>151.63999999999999</v>
      </c>
      <c r="U1735" s="20">
        <v>151.22</v>
      </c>
      <c r="V1735" s="20">
        <v>-0.42</v>
      </c>
      <c r="W1735" s="20">
        <v>-5.47</v>
      </c>
      <c r="X1735" s="20">
        <v>-5.05</v>
      </c>
      <c r="Y1735" s="20">
        <v>0</v>
      </c>
      <c r="Z1735" s="20">
        <v>0</v>
      </c>
      <c r="AA1735" s="20">
        <v>0</v>
      </c>
      <c r="AB1735" s="20">
        <v>146.16999999999999</v>
      </c>
      <c r="AC1735" t="s">
        <v>183</v>
      </c>
      <c r="AD1735" t="s">
        <v>290</v>
      </c>
      <c r="AE1735" s="702">
        <f t="shared" ref="AE1735:AE1798" si="135">IF(N1735&gt;=$AG$5,DATE(YEAR(N1735),6,1),DATE(YEAR(N1735),6,1))</f>
        <v>44348</v>
      </c>
      <c r="AF1735" s="289">
        <v>174.11989887823253</v>
      </c>
      <c r="AG1735">
        <f t="shared" ref="AG1735:AG1798" si="136">+IF(AD1735="intangível",20*12,IF(AD1735="Diferido",120,IF(AD1735="Não vinculados",0,IF(AE1735&lt;=$AG$5,F1735*12,360))))</f>
        <v>360</v>
      </c>
      <c r="AH1735" s="289">
        <f t="shared" ref="AH1735:AH1798" si="137">IF(AG1735=0,0,AF1735/AG1735)</f>
        <v>0.48366638577286813</v>
      </c>
      <c r="AJ1735" s="289">
        <f t="shared" ref="AJ1735:AJ1798" si="138">+IF(AND(YEAR(AE1735)&gt;=2018,YEAR(AE1735)&lt;=2022),IF(DATEDIF(AE1735,$AK$4,"m")&gt;=AG1735,AG1735,DATEDIF(AE1735,$AK$4,"m")),0)</f>
        <v>18</v>
      </c>
      <c r="AK1735" s="289">
        <f t="shared" ref="AK1735:AK1798" si="139">IF(AD1735="Imobilizado",AJ1735*AH1735,0)</f>
        <v>8.7059949439116266</v>
      </c>
    </row>
    <row r="1736" spans="1:37">
      <c r="A1736" s="703" t="s">
        <v>3258</v>
      </c>
      <c r="B1736" s="703" t="s">
        <v>2849</v>
      </c>
      <c r="C1736" s="703" t="s">
        <v>332</v>
      </c>
      <c r="D1736" s="703" t="s">
        <v>334</v>
      </c>
      <c r="E1736" s="703" t="s">
        <v>334</v>
      </c>
      <c r="F1736" s="703" t="s">
        <v>335</v>
      </c>
      <c r="G1736" s="703" t="s">
        <v>3259</v>
      </c>
      <c r="H1736" s="703" t="s">
        <v>334</v>
      </c>
      <c r="I1736" s="703" t="s">
        <v>334</v>
      </c>
      <c r="J1736" s="703" t="s">
        <v>337</v>
      </c>
      <c r="K1736" s="704">
        <v>0</v>
      </c>
      <c r="L1736" s="703" t="s">
        <v>334</v>
      </c>
      <c r="M1736" s="702">
        <v>42886</v>
      </c>
      <c r="N1736" s="702">
        <v>44516</v>
      </c>
      <c r="O1736" s="703" t="s">
        <v>338</v>
      </c>
      <c r="P1736" s="20">
        <v>38435.440000000002</v>
      </c>
      <c r="Q1736" s="20">
        <v>0</v>
      </c>
      <c r="R1736" s="20">
        <v>0</v>
      </c>
      <c r="S1736" s="20">
        <v>0</v>
      </c>
      <c r="T1736" s="20">
        <v>38435.440000000002</v>
      </c>
      <c r="U1736" s="20">
        <v>38435.33</v>
      </c>
      <c r="V1736" s="20">
        <v>-0.11</v>
      </c>
      <c r="W1736" s="20">
        <v>-1281.29</v>
      </c>
      <c r="X1736" s="20">
        <v>-1281.18</v>
      </c>
      <c r="Y1736" s="20">
        <v>0</v>
      </c>
      <c r="Z1736" s="20">
        <v>0</v>
      </c>
      <c r="AA1736" s="20">
        <v>0</v>
      </c>
      <c r="AB1736" s="20">
        <v>37154.15</v>
      </c>
      <c r="AC1736" t="s">
        <v>183</v>
      </c>
      <c r="AD1736" t="s">
        <v>290</v>
      </c>
      <c r="AE1736" s="702">
        <f t="shared" si="135"/>
        <v>44348</v>
      </c>
      <c r="AF1736" s="289">
        <v>44133.308666185534</v>
      </c>
      <c r="AG1736">
        <f t="shared" si="136"/>
        <v>360</v>
      </c>
      <c r="AH1736" s="289">
        <f t="shared" si="137"/>
        <v>122.59252407273759</v>
      </c>
      <c r="AJ1736" s="289">
        <f t="shared" si="138"/>
        <v>18</v>
      </c>
      <c r="AK1736" s="289">
        <f t="shared" si="139"/>
        <v>2206.6654333092765</v>
      </c>
    </row>
    <row r="1737" spans="1:37">
      <c r="A1737" s="703" t="s">
        <v>3260</v>
      </c>
      <c r="B1737" s="703" t="s">
        <v>2849</v>
      </c>
      <c r="C1737" s="703" t="s">
        <v>332</v>
      </c>
      <c r="D1737" s="703" t="s">
        <v>334</v>
      </c>
      <c r="E1737" s="703" t="s">
        <v>334</v>
      </c>
      <c r="F1737" s="703" t="s">
        <v>335</v>
      </c>
      <c r="G1737" s="703" t="s">
        <v>3259</v>
      </c>
      <c r="H1737" s="703" t="s">
        <v>334</v>
      </c>
      <c r="I1737" s="703" t="s">
        <v>334</v>
      </c>
      <c r="J1737" s="703" t="s">
        <v>337</v>
      </c>
      <c r="K1737" s="704">
        <v>0</v>
      </c>
      <c r="L1737" s="703" t="s">
        <v>334</v>
      </c>
      <c r="M1737" s="702">
        <v>42886</v>
      </c>
      <c r="N1737" s="702">
        <v>44516</v>
      </c>
      <c r="O1737" s="703" t="s">
        <v>338</v>
      </c>
      <c r="P1737" s="20">
        <v>47.66</v>
      </c>
      <c r="Q1737" s="20">
        <v>0</v>
      </c>
      <c r="R1737" s="20">
        <v>0</v>
      </c>
      <c r="S1737" s="20">
        <v>0</v>
      </c>
      <c r="T1737" s="20">
        <v>47.66</v>
      </c>
      <c r="U1737" s="20">
        <v>47.53</v>
      </c>
      <c r="V1737" s="20">
        <v>-0.13</v>
      </c>
      <c r="W1737" s="20">
        <v>-1.72</v>
      </c>
      <c r="X1737" s="20">
        <v>-1.59</v>
      </c>
      <c r="Y1737" s="20">
        <v>0</v>
      </c>
      <c r="Z1737" s="20">
        <v>0</v>
      </c>
      <c r="AA1737" s="20">
        <v>0</v>
      </c>
      <c r="AB1737" s="20">
        <v>45.94</v>
      </c>
      <c r="AC1737" t="s">
        <v>183</v>
      </c>
      <c r="AD1737" t="s">
        <v>290</v>
      </c>
      <c r="AE1737" s="702">
        <f t="shared" si="135"/>
        <v>44348</v>
      </c>
      <c r="AF1737" s="289">
        <v>54.725365210607769</v>
      </c>
      <c r="AG1737">
        <f t="shared" si="136"/>
        <v>360</v>
      </c>
      <c r="AH1737" s="289">
        <f t="shared" si="137"/>
        <v>0.15201490336279935</v>
      </c>
      <c r="AJ1737" s="289">
        <f t="shared" si="138"/>
        <v>18</v>
      </c>
      <c r="AK1737" s="289">
        <f t="shared" si="139"/>
        <v>2.7362682605303883</v>
      </c>
    </row>
    <row r="1738" spans="1:37">
      <c r="A1738" s="703" t="s">
        <v>3261</v>
      </c>
      <c r="B1738" s="703" t="s">
        <v>2849</v>
      </c>
      <c r="C1738" s="703" t="s">
        <v>332</v>
      </c>
      <c r="D1738" s="703" t="s">
        <v>334</v>
      </c>
      <c r="E1738" s="703" t="s">
        <v>334</v>
      </c>
      <c r="F1738" s="703" t="s">
        <v>335</v>
      </c>
      <c r="G1738" s="703" t="s">
        <v>3259</v>
      </c>
      <c r="H1738" s="703" t="s">
        <v>334</v>
      </c>
      <c r="I1738" s="703" t="s">
        <v>334</v>
      </c>
      <c r="J1738" s="703" t="s">
        <v>337</v>
      </c>
      <c r="K1738" s="704">
        <v>0</v>
      </c>
      <c r="L1738" s="703" t="s">
        <v>334</v>
      </c>
      <c r="M1738" s="702">
        <v>42886</v>
      </c>
      <c r="N1738" s="702">
        <v>44516</v>
      </c>
      <c r="O1738" s="703" t="s">
        <v>338</v>
      </c>
      <c r="P1738" s="20">
        <v>31.58</v>
      </c>
      <c r="Q1738" s="20">
        <v>0</v>
      </c>
      <c r="R1738" s="20">
        <v>0</v>
      </c>
      <c r="S1738" s="20">
        <v>0</v>
      </c>
      <c r="T1738" s="20">
        <v>31.58</v>
      </c>
      <c r="U1738" s="20">
        <v>31.49</v>
      </c>
      <c r="V1738" s="20">
        <v>-0.09</v>
      </c>
      <c r="W1738" s="20">
        <v>-1.1399999999999999</v>
      </c>
      <c r="X1738" s="20">
        <v>-1.05</v>
      </c>
      <c r="Y1738" s="20">
        <v>0</v>
      </c>
      <c r="Z1738" s="20">
        <v>0</v>
      </c>
      <c r="AA1738" s="20">
        <v>0</v>
      </c>
      <c r="AB1738" s="20">
        <v>30.44</v>
      </c>
      <c r="AC1738" t="s">
        <v>183</v>
      </c>
      <c r="AD1738" t="s">
        <v>290</v>
      </c>
      <c r="AE1738" s="702">
        <f t="shared" si="135"/>
        <v>44348</v>
      </c>
      <c r="AF1738" s="289">
        <v>36.261582739215136</v>
      </c>
      <c r="AG1738">
        <f t="shared" si="136"/>
        <v>360</v>
      </c>
      <c r="AH1738" s="289">
        <f t="shared" si="137"/>
        <v>0.10072661872004204</v>
      </c>
      <c r="AJ1738" s="289">
        <f t="shared" si="138"/>
        <v>18</v>
      </c>
      <c r="AK1738" s="289">
        <f t="shared" si="139"/>
        <v>1.8130791369607568</v>
      </c>
    </row>
    <row r="1739" spans="1:37">
      <c r="A1739" s="703" t="s">
        <v>3262</v>
      </c>
      <c r="B1739" s="703" t="s">
        <v>2849</v>
      </c>
      <c r="C1739" s="703" t="s">
        <v>332</v>
      </c>
      <c r="D1739" s="703" t="s">
        <v>334</v>
      </c>
      <c r="E1739" s="703" t="s">
        <v>334</v>
      </c>
      <c r="F1739" s="703" t="s">
        <v>335</v>
      </c>
      <c r="G1739" s="703" t="s">
        <v>3259</v>
      </c>
      <c r="H1739" s="703" t="s">
        <v>334</v>
      </c>
      <c r="I1739" s="703" t="s">
        <v>334</v>
      </c>
      <c r="J1739" s="703" t="s">
        <v>337</v>
      </c>
      <c r="K1739" s="704">
        <v>0</v>
      </c>
      <c r="L1739" s="703" t="s">
        <v>334</v>
      </c>
      <c r="M1739" s="702">
        <v>42886</v>
      </c>
      <c r="N1739" s="702">
        <v>44516</v>
      </c>
      <c r="O1739" s="703" t="s">
        <v>338</v>
      </c>
      <c r="P1739" s="20">
        <v>206.94</v>
      </c>
      <c r="Q1739" s="20">
        <v>0</v>
      </c>
      <c r="R1739" s="20">
        <v>0</v>
      </c>
      <c r="S1739" s="20">
        <v>0</v>
      </c>
      <c r="T1739" s="20">
        <v>206.94</v>
      </c>
      <c r="U1739" s="20">
        <v>206.37</v>
      </c>
      <c r="V1739" s="20">
        <v>-0.56999999999999995</v>
      </c>
      <c r="W1739" s="20">
        <v>-7.47</v>
      </c>
      <c r="X1739" s="20">
        <v>-6.9</v>
      </c>
      <c r="Y1739" s="20">
        <v>0</v>
      </c>
      <c r="Z1739" s="20">
        <v>0</v>
      </c>
      <c r="AA1739" s="20">
        <v>0</v>
      </c>
      <c r="AB1739" s="20">
        <v>199.47</v>
      </c>
      <c r="AC1739" t="s">
        <v>183</v>
      </c>
      <c r="AD1739" t="s">
        <v>290</v>
      </c>
      <c r="AE1739" s="702">
        <f t="shared" si="135"/>
        <v>44348</v>
      </c>
      <c r="AF1739" s="289">
        <v>237.61785725310895</v>
      </c>
      <c r="AG1739">
        <f t="shared" si="136"/>
        <v>360</v>
      </c>
      <c r="AH1739" s="289">
        <f t="shared" si="137"/>
        <v>0.66004960348085817</v>
      </c>
      <c r="AJ1739" s="289">
        <f t="shared" si="138"/>
        <v>18</v>
      </c>
      <c r="AK1739" s="289">
        <f t="shared" si="139"/>
        <v>11.880892862655447</v>
      </c>
    </row>
    <row r="1740" spans="1:37">
      <c r="A1740" s="703" t="s">
        <v>3263</v>
      </c>
      <c r="B1740" s="703" t="s">
        <v>2849</v>
      </c>
      <c r="C1740" s="703" t="s">
        <v>332</v>
      </c>
      <c r="D1740" s="703" t="s">
        <v>334</v>
      </c>
      <c r="E1740" s="703" t="s">
        <v>334</v>
      </c>
      <c r="F1740" s="703" t="s">
        <v>335</v>
      </c>
      <c r="G1740" s="703" t="s">
        <v>3259</v>
      </c>
      <c r="H1740" s="703" t="s">
        <v>334</v>
      </c>
      <c r="I1740" s="703" t="s">
        <v>334</v>
      </c>
      <c r="J1740" s="703" t="s">
        <v>337</v>
      </c>
      <c r="K1740" s="704">
        <v>0</v>
      </c>
      <c r="L1740" s="703" t="s">
        <v>334</v>
      </c>
      <c r="M1740" s="702">
        <v>42886</v>
      </c>
      <c r="N1740" s="702">
        <v>44516</v>
      </c>
      <c r="O1740" s="703" t="s">
        <v>338</v>
      </c>
      <c r="P1740" s="20">
        <v>666.48</v>
      </c>
      <c r="Q1740" s="20">
        <v>0</v>
      </c>
      <c r="R1740" s="20">
        <v>0</v>
      </c>
      <c r="S1740" s="20">
        <v>0</v>
      </c>
      <c r="T1740" s="20">
        <v>666.48</v>
      </c>
      <c r="U1740" s="20">
        <v>664.63</v>
      </c>
      <c r="V1740" s="20">
        <v>-1.85</v>
      </c>
      <c r="W1740" s="20">
        <v>-24.07</v>
      </c>
      <c r="X1740" s="20">
        <v>-22.22</v>
      </c>
      <c r="Y1740" s="20">
        <v>0</v>
      </c>
      <c r="Z1740" s="20">
        <v>0</v>
      </c>
      <c r="AA1740" s="20">
        <v>0</v>
      </c>
      <c r="AB1740" s="20">
        <v>642.41</v>
      </c>
      <c r="AC1740" t="s">
        <v>183</v>
      </c>
      <c r="AD1740" t="s">
        <v>290</v>
      </c>
      <c r="AE1740" s="702">
        <f t="shared" si="135"/>
        <v>44348</v>
      </c>
      <c r="AF1740" s="289">
        <v>765.28244661279621</v>
      </c>
      <c r="AG1740">
        <f t="shared" si="136"/>
        <v>360</v>
      </c>
      <c r="AH1740" s="289">
        <f t="shared" si="137"/>
        <v>2.1257845739244341</v>
      </c>
      <c r="AJ1740" s="289">
        <f t="shared" si="138"/>
        <v>18</v>
      </c>
      <c r="AK1740" s="289">
        <f t="shared" si="139"/>
        <v>38.264122330639815</v>
      </c>
    </row>
    <row r="1741" spans="1:37">
      <c r="A1741" s="703" t="s">
        <v>3264</v>
      </c>
      <c r="B1741" s="703" t="s">
        <v>2849</v>
      </c>
      <c r="C1741" s="703" t="s">
        <v>332</v>
      </c>
      <c r="D1741" s="703" t="s">
        <v>334</v>
      </c>
      <c r="E1741" s="703" t="s">
        <v>334</v>
      </c>
      <c r="F1741" s="703" t="s">
        <v>335</v>
      </c>
      <c r="G1741" s="703" t="s">
        <v>3259</v>
      </c>
      <c r="H1741" s="703" t="s">
        <v>334</v>
      </c>
      <c r="I1741" s="703" t="s">
        <v>334</v>
      </c>
      <c r="J1741" s="703" t="s">
        <v>337</v>
      </c>
      <c r="K1741" s="704">
        <v>0</v>
      </c>
      <c r="L1741" s="703" t="s">
        <v>334</v>
      </c>
      <c r="M1741" s="702">
        <v>42886</v>
      </c>
      <c r="N1741" s="702">
        <v>44516</v>
      </c>
      <c r="O1741" s="703" t="s">
        <v>338</v>
      </c>
      <c r="P1741" s="20">
        <v>135</v>
      </c>
      <c r="Q1741" s="20">
        <v>0</v>
      </c>
      <c r="R1741" s="20">
        <v>0</v>
      </c>
      <c r="S1741" s="20">
        <v>0</v>
      </c>
      <c r="T1741" s="20">
        <v>135</v>
      </c>
      <c r="U1741" s="20">
        <v>134.62</v>
      </c>
      <c r="V1741" s="20">
        <v>-0.38</v>
      </c>
      <c r="W1741" s="20">
        <v>-4.88</v>
      </c>
      <c r="X1741" s="20">
        <v>-4.5</v>
      </c>
      <c r="Y1741" s="20">
        <v>0</v>
      </c>
      <c r="Z1741" s="20">
        <v>0</v>
      </c>
      <c r="AA1741" s="20">
        <v>0</v>
      </c>
      <c r="AB1741" s="20">
        <v>130.12</v>
      </c>
      <c r="AC1741" t="s">
        <v>183</v>
      </c>
      <c r="AD1741" t="s">
        <v>290</v>
      </c>
      <c r="AE1741" s="702">
        <f t="shared" si="135"/>
        <v>44348</v>
      </c>
      <c r="AF1741" s="289">
        <v>155.01309910684114</v>
      </c>
      <c r="AG1741">
        <f t="shared" si="136"/>
        <v>360</v>
      </c>
      <c r="AH1741" s="289">
        <f t="shared" si="137"/>
        <v>0.43059194196344763</v>
      </c>
      <c r="AJ1741" s="289">
        <f t="shared" si="138"/>
        <v>18</v>
      </c>
      <c r="AK1741" s="289">
        <f t="shared" si="139"/>
        <v>7.750654955342057</v>
      </c>
    </row>
    <row r="1742" spans="1:37">
      <c r="A1742" s="703" t="s">
        <v>3265</v>
      </c>
      <c r="B1742" s="703" t="s">
        <v>2849</v>
      </c>
      <c r="C1742" s="703" t="s">
        <v>332</v>
      </c>
      <c r="D1742" s="703" t="s">
        <v>334</v>
      </c>
      <c r="E1742" s="703" t="s">
        <v>334</v>
      </c>
      <c r="F1742" s="703" t="s">
        <v>335</v>
      </c>
      <c r="G1742" s="703" t="s">
        <v>3259</v>
      </c>
      <c r="H1742" s="703" t="s">
        <v>334</v>
      </c>
      <c r="I1742" s="703" t="s">
        <v>334</v>
      </c>
      <c r="J1742" s="703" t="s">
        <v>337</v>
      </c>
      <c r="K1742" s="704">
        <v>0</v>
      </c>
      <c r="L1742" s="703" t="s">
        <v>334</v>
      </c>
      <c r="M1742" s="702">
        <v>42886</v>
      </c>
      <c r="N1742" s="702">
        <v>44516</v>
      </c>
      <c r="O1742" s="703" t="s">
        <v>338</v>
      </c>
      <c r="P1742" s="20">
        <v>663.6</v>
      </c>
      <c r="Q1742" s="20">
        <v>0</v>
      </c>
      <c r="R1742" s="20">
        <v>0</v>
      </c>
      <c r="S1742" s="20">
        <v>0</v>
      </c>
      <c r="T1742" s="20">
        <v>663.6</v>
      </c>
      <c r="U1742" s="20">
        <v>661.76</v>
      </c>
      <c r="V1742" s="20">
        <v>-1.84</v>
      </c>
      <c r="W1742" s="20">
        <v>-23.96</v>
      </c>
      <c r="X1742" s="20">
        <v>-22.12</v>
      </c>
      <c r="Y1742" s="20">
        <v>0</v>
      </c>
      <c r="Z1742" s="20">
        <v>0</v>
      </c>
      <c r="AA1742" s="20">
        <v>0</v>
      </c>
      <c r="AB1742" s="20">
        <v>639.64</v>
      </c>
      <c r="AC1742" t="s">
        <v>183</v>
      </c>
      <c r="AD1742" t="s">
        <v>290</v>
      </c>
      <c r="AE1742" s="702">
        <f t="shared" si="135"/>
        <v>44348</v>
      </c>
      <c r="AF1742" s="289">
        <v>761.97550049851702</v>
      </c>
      <c r="AG1742">
        <f t="shared" si="136"/>
        <v>360</v>
      </c>
      <c r="AH1742" s="289">
        <f t="shared" si="137"/>
        <v>2.1165986124958804</v>
      </c>
      <c r="AJ1742" s="289">
        <f t="shared" si="138"/>
        <v>18</v>
      </c>
      <c r="AK1742" s="289">
        <f t="shared" si="139"/>
        <v>38.09877502492585</v>
      </c>
    </row>
    <row r="1743" spans="1:37">
      <c r="A1743" s="703" t="s">
        <v>3266</v>
      </c>
      <c r="B1743" s="703" t="s">
        <v>2849</v>
      </c>
      <c r="C1743" s="703" t="s">
        <v>332</v>
      </c>
      <c r="D1743" s="703" t="s">
        <v>334</v>
      </c>
      <c r="E1743" s="703" t="s">
        <v>334</v>
      </c>
      <c r="F1743" s="703" t="s">
        <v>335</v>
      </c>
      <c r="G1743" s="703" t="s">
        <v>3259</v>
      </c>
      <c r="H1743" s="703" t="s">
        <v>334</v>
      </c>
      <c r="I1743" s="703" t="s">
        <v>334</v>
      </c>
      <c r="J1743" s="703" t="s">
        <v>337</v>
      </c>
      <c r="K1743" s="704">
        <v>0</v>
      </c>
      <c r="L1743" s="703" t="s">
        <v>334</v>
      </c>
      <c r="M1743" s="702">
        <v>42886</v>
      </c>
      <c r="N1743" s="702">
        <v>44516</v>
      </c>
      <c r="O1743" s="703" t="s">
        <v>338</v>
      </c>
      <c r="P1743" s="20">
        <v>1815.99</v>
      </c>
      <c r="Q1743" s="20">
        <v>0</v>
      </c>
      <c r="R1743" s="20">
        <v>0</v>
      </c>
      <c r="S1743" s="20">
        <v>0</v>
      </c>
      <c r="T1743" s="20">
        <v>1815.99</v>
      </c>
      <c r="U1743" s="20">
        <v>1810.95</v>
      </c>
      <c r="V1743" s="20">
        <v>-5.04</v>
      </c>
      <c r="W1743" s="20">
        <v>-65.569999999999993</v>
      </c>
      <c r="X1743" s="20">
        <v>-60.53</v>
      </c>
      <c r="Y1743" s="20">
        <v>0</v>
      </c>
      <c r="Z1743" s="20">
        <v>0</v>
      </c>
      <c r="AA1743" s="20">
        <v>0</v>
      </c>
      <c r="AB1743" s="20">
        <v>1750.42</v>
      </c>
      <c r="AC1743" t="s">
        <v>183</v>
      </c>
      <c r="AD1743" t="s">
        <v>290</v>
      </c>
      <c r="AE1743" s="702">
        <f t="shared" si="135"/>
        <v>44348</v>
      </c>
      <c r="AF1743" s="289">
        <v>2085.2017618298701</v>
      </c>
      <c r="AG1743">
        <f t="shared" si="136"/>
        <v>360</v>
      </c>
      <c r="AH1743" s="289">
        <f t="shared" si="137"/>
        <v>5.7922271161940833</v>
      </c>
      <c r="AJ1743" s="289">
        <f t="shared" si="138"/>
        <v>18</v>
      </c>
      <c r="AK1743" s="289">
        <f t="shared" si="139"/>
        <v>104.2600880914935</v>
      </c>
    </row>
    <row r="1744" spans="1:37">
      <c r="A1744" s="703" t="s">
        <v>3267</v>
      </c>
      <c r="B1744" s="703" t="s">
        <v>2849</v>
      </c>
      <c r="C1744" s="703" t="s">
        <v>332</v>
      </c>
      <c r="D1744" s="703" t="s">
        <v>334</v>
      </c>
      <c r="E1744" s="703" t="s">
        <v>334</v>
      </c>
      <c r="F1744" s="703" t="s">
        <v>335</v>
      </c>
      <c r="G1744" s="703" t="s">
        <v>3259</v>
      </c>
      <c r="H1744" s="703" t="s">
        <v>334</v>
      </c>
      <c r="I1744" s="703" t="s">
        <v>334</v>
      </c>
      <c r="J1744" s="703" t="s">
        <v>337</v>
      </c>
      <c r="K1744" s="704">
        <v>0</v>
      </c>
      <c r="L1744" s="703" t="s">
        <v>334</v>
      </c>
      <c r="M1744" s="702">
        <v>42886</v>
      </c>
      <c r="N1744" s="702">
        <v>44516</v>
      </c>
      <c r="O1744" s="703" t="s">
        <v>338</v>
      </c>
      <c r="P1744" s="20">
        <v>959.62</v>
      </c>
      <c r="Q1744" s="20">
        <v>0</v>
      </c>
      <c r="R1744" s="20">
        <v>0</v>
      </c>
      <c r="S1744" s="20">
        <v>0</v>
      </c>
      <c r="T1744" s="20">
        <v>959.62</v>
      </c>
      <c r="U1744" s="20">
        <v>956.95</v>
      </c>
      <c r="V1744" s="20">
        <v>-2.67</v>
      </c>
      <c r="W1744" s="20">
        <v>-34.659999999999997</v>
      </c>
      <c r="X1744" s="20">
        <v>-31.99</v>
      </c>
      <c r="Y1744" s="20">
        <v>0</v>
      </c>
      <c r="Z1744" s="20">
        <v>0</v>
      </c>
      <c r="AA1744" s="20">
        <v>0</v>
      </c>
      <c r="AB1744" s="20">
        <v>924.96</v>
      </c>
      <c r="AC1744" t="s">
        <v>183</v>
      </c>
      <c r="AD1744" t="s">
        <v>290</v>
      </c>
      <c r="AE1744" s="702">
        <f t="shared" si="135"/>
        <v>44348</v>
      </c>
      <c r="AF1744" s="289">
        <v>1101.8790382585698</v>
      </c>
      <c r="AG1744">
        <f t="shared" si="136"/>
        <v>360</v>
      </c>
      <c r="AH1744" s="289">
        <f t="shared" si="137"/>
        <v>3.0607751062738049</v>
      </c>
      <c r="AJ1744" s="289">
        <f t="shared" si="138"/>
        <v>18</v>
      </c>
      <c r="AK1744" s="289">
        <f t="shared" si="139"/>
        <v>55.093951912928489</v>
      </c>
    </row>
    <row r="1745" spans="1:37">
      <c r="A1745" s="703" t="s">
        <v>3268</v>
      </c>
      <c r="B1745" s="703" t="s">
        <v>2849</v>
      </c>
      <c r="C1745" s="703" t="s">
        <v>332</v>
      </c>
      <c r="D1745" s="703" t="s">
        <v>334</v>
      </c>
      <c r="E1745" s="703" t="s">
        <v>334</v>
      </c>
      <c r="F1745" s="703" t="s">
        <v>335</v>
      </c>
      <c r="G1745" s="703" t="s">
        <v>3259</v>
      </c>
      <c r="H1745" s="703" t="s">
        <v>334</v>
      </c>
      <c r="I1745" s="703" t="s">
        <v>334</v>
      </c>
      <c r="J1745" s="703" t="s">
        <v>337</v>
      </c>
      <c r="K1745" s="704">
        <v>0</v>
      </c>
      <c r="L1745" s="703" t="s">
        <v>334</v>
      </c>
      <c r="M1745" s="702">
        <v>42886</v>
      </c>
      <c r="N1745" s="702">
        <v>44516</v>
      </c>
      <c r="O1745" s="703" t="s">
        <v>338</v>
      </c>
      <c r="P1745" s="20">
        <v>5842.99</v>
      </c>
      <c r="Q1745" s="20">
        <v>0</v>
      </c>
      <c r="R1745" s="20">
        <v>0</v>
      </c>
      <c r="S1745" s="20">
        <v>0</v>
      </c>
      <c r="T1745" s="20">
        <v>5842.99</v>
      </c>
      <c r="U1745" s="20">
        <v>5826.76</v>
      </c>
      <c r="V1745" s="20">
        <v>-16.23</v>
      </c>
      <c r="W1745" s="20">
        <v>-211</v>
      </c>
      <c r="X1745" s="20">
        <v>-194.77</v>
      </c>
      <c r="Y1745" s="20">
        <v>0</v>
      </c>
      <c r="Z1745" s="20">
        <v>0</v>
      </c>
      <c r="AA1745" s="20">
        <v>0</v>
      </c>
      <c r="AB1745" s="20">
        <v>5631.99</v>
      </c>
      <c r="AC1745" t="s">
        <v>183</v>
      </c>
      <c r="AD1745" t="s">
        <v>290</v>
      </c>
      <c r="AE1745" s="702">
        <f t="shared" si="135"/>
        <v>44348</v>
      </c>
      <c r="AF1745" s="289">
        <v>6709.1850959280127</v>
      </c>
      <c r="AG1745">
        <f t="shared" si="136"/>
        <v>360</v>
      </c>
      <c r="AH1745" s="289">
        <f t="shared" si="137"/>
        <v>18.636625266466702</v>
      </c>
      <c r="AJ1745" s="289">
        <f t="shared" si="138"/>
        <v>18</v>
      </c>
      <c r="AK1745" s="289">
        <f t="shared" si="139"/>
        <v>335.45925479640061</v>
      </c>
    </row>
    <row r="1746" spans="1:37">
      <c r="A1746" s="703" t="s">
        <v>3269</v>
      </c>
      <c r="B1746" s="703" t="s">
        <v>2849</v>
      </c>
      <c r="C1746" s="703" t="s">
        <v>332</v>
      </c>
      <c r="D1746" s="703" t="s">
        <v>334</v>
      </c>
      <c r="E1746" s="703" t="s">
        <v>334</v>
      </c>
      <c r="F1746" s="703" t="s">
        <v>335</v>
      </c>
      <c r="G1746" s="703" t="s">
        <v>3259</v>
      </c>
      <c r="H1746" s="703" t="s">
        <v>334</v>
      </c>
      <c r="I1746" s="703" t="s">
        <v>334</v>
      </c>
      <c r="J1746" s="703" t="s">
        <v>337</v>
      </c>
      <c r="K1746" s="704">
        <v>0</v>
      </c>
      <c r="L1746" s="703" t="s">
        <v>334</v>
      </c>
      <c r="M1746" s="702">
        <v>42886</v>
      </c>
      <c r="N1746" s="702">
        <v>44516</v>
      </c>
      <c r="O1746" s="703" t="s">
        <v>338</v>
      </c>
      <c r="P1746" s="20">
        <v>9177.81</v>
      </c>
      <c r="Q1746" s="20">
        <v>0</v>
      </c>
      <c r="R1746" s="20">
        <v>0</v>
      </c>
      <c r="S1746" s="20">
        <v>0</v>
      </c>
      <c r="T1746" s="20">
        <v>9177.81</v>
      </c>
      <c r="U1746" s="20">
        <v>9152.32</v>
      </c>
      <c r="V1746" s="20">
        <v>-25.49</v>
      </c>
      <c r="W1746" s="20">
        <v>-331.42</v>
      </c>
      <c r="X1746" s="20">
        <v>-305.93</v>
      </c>
      <c r="Y1746" s="20">
        <v>0</v>
      </c>
      <c r="Z1746" s="20">
        <v>0</v>
      </c>
      <c r="AA1746" s="20">
        <v>0</v>
      </c>
      <c r="AB1746" s="20">
        <v>8846.39</v>
      </c>
      <c r="AC1746" t="s">
        <v>183</v>
      </c>
      <c r="AD1746" t="s">
        <v>290</v>
      </c>
      <c r="AE1746" s="702">
        <f t="shared" si="135"/>
        <v>44348</v>
      </c>
      <c r="AF1746" s="289">
        <v>10538.37608232413</v>
      </c>
      <c r="AG1746">
        <f t="shared" si="136"/>
        <v>360</v>
      </c>
      <c r="AH1746" s="289">
        <f t="shared" si="137"/>
        <v>29.273266895344804</v>
      </c>
      <c r="AJ1746" s="289">
        <f t="shared" si="138"/>
        <v>18</v>
      </c>
      <c r="AK1746" s="289">
        <f t="shared" si="139"/>
        <v>526.9188041162065</v>
      </c>
    </row>
    <row r="1747" spans="1:37">
      <c r="A1747" s="703" t="s">
        <v>3270</v>
      </c>
      <c r="B1747" s="703" t="s">
        <v>2849</v>
      </c>
      <c r="C1747" s="703" t="s">
        <v>332</v>
      </c>
      <c r="D1747" s="703" t="s">
        <v>334</v>
      </c>
      <c r="E1747" s="703" t="s">
        <v>334</v>
      </c>
      <c r="F1747" s="703" t="s">
        <v>335</v>
      </c>
      <c r="G1747" s="703" t="s">
        <v>3259</v>
      </c>
      <c r="H1747" s="703" t="s">
        <v>334</v>
      </c>
      <c r="I1747" s="703" t="s">
        <v>334</v>
      </c>
      <c r="J1747" s="703" t="s">
        <v>337</v>
      </c>
      <c r="K1747" s="704">
        <v>0</v>
      </c>
      <c r="L1747" s="703" t="s">
        <v>334</v>
      </c>
      <c r="M1747" s="702">
        <v>42886</v>
      </c>
      <c r="N1747" s="702">
        <v>44516</v>
      </c>
      <c r="O1747" s="703" t="s">
        <v>338</v>
      </c>
      <c r="P1747" s="20">
        <v>301.08</v>
      </c>
      <c r="Q1747" s="20">
        <v>0</v>
      </c>
      <c r="R1747" s="20">
        <v>0</v>
      </c>
      <c r="S1747" s="20">
        <v>0</v>
      </c>
      <c r="T1747" s="20">
        <v>301.08</v>
      </c>
      <c r="U1747" s="20">
        <v>300.24</v>
      </c>
      <c r="V1747" s="20">
        <v>-0.84</v>
      </c>
      <c r="W1747" s="20">
        <v>-10.88</v>
      </c>
      <c r="X1747" s="20">
        <v>-10.039999999999999</v>
      </c>
      <c r="Y1747" s="20">
        <v>0</v>
      </c>
      <c r="Z1747" s="20">
        <v>0</v>
      </c>
      <c r="AA1747" s="20">
        <v>0</v>
      </c>
      <c r="AB1747" s="20">
        <v>290.2</v>
      </c>
      <c r="AC1747" t="s">
        <v>183</v>
      </c>
      <c r="AD1747" t="s">
        <v>290</v>
      </c>
      <c r="AE1747" s="702">
        <f t="shared" si="135"/>
        <v>44348</v>
      </c>
      <c r="AF1747" s="289">
        <v>345.71365836361286</v>
      </c>
      <c r="AG1747">
        <f t="shared" si="136"/>
        <v>360</v>
      </c>
      <c r="AH1747" s="289">
        <f t="shared" si="137"/>
        <v>0.96031571767670243</v>
      </c>
      <c r="AJ1747" s="289">
        <f t="shared" si="138"/>
        <v>18</v>
      </c>
      <c r="AK1747" s="289">
        <f t="shared" si="139"/>
        <v>17.285682918180644</v>
      </c>
    </row>
    <row r="1748" spans="1:37">
      <c r="A1748" s="703" t="s">
        <v>3271</v>
      </c>
      <c r="B1748" s="703" t="s">
        <v>2849</v>
      </c>
      <c r="C1748" s="703" t="s">
        <v>332</v>
      </c>
      <c r="D1748" s="703" t="s">
        <v>334</v>
      </c>
      <c r="E1748" s="703" t="s">
        <v>334</v>
      </c>
      <c r="F1748" s="703" t="s">
        <v>335</v>
      </c>
      <c r="G1748" s="703" t="s">
        <v>3259</v>
      </c>
      <c r="H1748" s="703" t="s">
        <v>334</v>
      </c>
      <c r="I1748" s="703" t="s">
        <v>334</v>
      </c>
      <c r="J1748" s="703" t="s">
        <v>337</v>
      </c>
      <c r="K1748" s="704">
        <v>0</v>
      </c>
      <c r="L1748" s="703" t="s">
        <v>334</v>
      </c>
      <c r="M1748" s="702">
        <v>42886</v>
      </c>
      <c r="N1748" s="702">
        <v>44516</v>
      </c>
      <c r="O1748" s="703" t="s">
        <v>338</v>
      </c>
      <c r="P1748" s="20">
        <v>705.85</v>
      </c>
      <c r="Q1748" s="20">
        <v>0</v>
      </c>
      <c r="R1748" s="20">
        <v>0</v>
      </c>
      <c r="S1748" s="20">
        <v>0</v>
      </c>
      <c r="T1748" s="20">
        <v>705.85</v>
      </c>
      <c r="U1748" s="20">
        <v>703.89</v>
      </c>
      <c r="V1748" s="20">
        <v>-1.96</v>
      </c>
      <c r="W1748" s="20">
        <v>-25.49</v>
      </c>
      <c r="X1748" s="20">
        <v>-23.53</v>
      </c>
      <c r="Y1748" s="20">
        <v>0</v>
      </c>
      <c r="Z1748" s="20">
        <v>0</v>
      </c>
      <c r="AA1748" s="20">
        <v>0</v>
      </c>
      <c r="AB1748" s="20">
        <v>680.36</v>
      </c>
      <c r="AC1748" t="s">
        <v>183</v>
      </c>
      <c r="AD1748" t="s">
        <v>290</v>
      </c>
      <c r="AE1748" s="702">
        <f t="shared" si="135"/>
        <v>44348</v>
      </c>
      <c r="AF1748" s="289">
        <v>810.4888592930655</v>
      </c>
      <c r="AG1748">
        <f t="shared" si="136"/>
        <v>360</v>
      </c>
      <c r="AH1748" s="289">
        <f t="shared" si="137"/>
        <v>2.2513579424807375</v>
      </c>
      <c r="AJ1748" s="289">
        <f t="shared" si="138"/>
        <v>18</v>
      </c>
      <c r="AK1748" s="289">
        <f t="shared" si="139"/>
        <v>40.524442964653275</v>
      </c>
    </row>
    <row r="1749" spans="1:37">
      <c r="A1749" s="703" t="s">
        <v>3272</v>
      </c>
      <c r="B1749" s="703" t="s">
        <v>2849</v>
      </c>
      <c r="C1749" s="703" t="s">
        <v>332</v>
      </c>
      <c r="D1749" s="703" t="s">
        <v>334</v>
      </c>
      <c r="E1749" s="703" t="s">
        <v>334</v>
      </c>
      <c r="F1749" s="703" t="s">
        <v>335</v>
      </c>
      <c r="G1749" s="703" t="s">
        <v>3273</v>
      </c>
      <c r="H1749" s="703" t="s">
        <v>334</v>
      </c>
      <c r="I1749" s="703" t="s">
        <v>334</v>
      </c>
      <c r="J1749" s="703" t="s">
        <v>337</v>
      </c>
      <c r="K1749" s="704">
        <v>0</v>
      </c>
      <c r="L1749" s="703" t="s">
        <v>334</v>
      </c>
      <c r="M1749" s="702">
        <v>39478</v>
      </c>
      <c r="N1749" s="702">
        <v>44516</v>
      </c>
      <c r="O1749" s="703" t="s">
        <v>338</v>
      </c>
      <c r="P1749" s="20">
        <v>486.64</v>
      </c>
      <c r="Q1749" s="20">
        <v>0</v>
      </c>
      <c r="R1749" s="20">
        <v>0</v>
      </c>
      <c r="S1749" s="20">
        <v>0</v>
      </c>
      <c r="T1749" s="20">
        <v>486.64</v>
      </c>
      <c r="U1749" s="20">
        <v>485.29</v>
      </c>
      <c r="V1749" s="20">
        <v>-1.35</v>
      </c>
      <c r="W1749" s="20">
        <v>-17.57</v>
      </c>
      <c r="X1749" s="20">
        <v>-16.22</v>
      </c>
      <c r="Y1749" s="20">
        <v>0</v>
      </c>
      <c r="Z1749" s="20">
        <v>0</v>
      </c>
      <c r="AA1749" s="20">
        <v>0</v>
      </c>
      <c r="AB1749" s="20">
        <v>469.07</v>
      </c>
      <c r="AC1749" t="s">
        <v>183</v>
      </c>
      <c r="AD1749" t="s">
        <v>290</v>
      </c>
      <c r="AE1749" s="702">
        <f t="shared" si="135"/>
        <v>44348</v>
      </c>
      <c r="AF1749" s="289">
        <v>558.78203369891241</v>
      </c>
      <c r="AG1749">
        <f t="shared" si="136"/>
        <v>360</v>
      </c>
      <c r="AH1749" s="289">
        <f t="shared" si="137"/>
        <v>1.5521723158303122</v>
      </c>
      <c r="AJ1749" s="289">
        <f t="shared" si="138"/>
        <v>18</v>
      </c>
      <c r="AK1749" s="289">
        <f t="shared" si="139"/>
        <v>27.939101684945619</v>
      </c>
    </row>
    <row r="1750" spans="1:37">
      <c r="A1750" s="703" t="s">
        <v>3274</v>
      </c>
      <c r="B1750" s="703" t="s">
        <v>2849</v>
      </c>
      <c r="C1750" s="703" t="s">
        <v>332</v>
      </c>
      <c r="D1750" s="703" t="s">
        <v>334</v>
      </c>
      <c r="E1750" s="703" t="s">
        <v>334</v>
      </c>
      <c r="F1750" s="703" t="s">
        <v>335</v>
      </c>
      <c r="G1750" s="703" t="s">
        <v>3273</v>
      </c>
      <c r="H1750" s="703" t="s">
        <v>334</v>
      </c>
      <c r="I1750" s="703" t="s">
        <v>334</v>
      </c>
      <c r="J1750" s="703" t="s">
        <v>337</v>
      </c>
      <c r="K1750" s="704">
        <v>0</v>
      </c>
      <c r="L1750" s="703" t="s">
        <v>334</v>
      </c>
      <c r="M1750" s="702">
        <v>39478</v>
      </c>
      <c r="N1750" s="702">
        <v>44516</v>
      </c>
      <c r="O1750" s="703" t="s">
        <v>338</v>
      </c>
      <c r="P1750" s="20">
        <v>9789.76</v>
      </c>
      <c r="Q1750" s="20">
        <v>0</v>
      </c>
      <c r="R1750" s="20">
        <v>0</v>
      </c>
      <c r="S1750" s="20">
        <v>0</v>
      </c>
      <c r="T1750" s="20">
        <v>9789.76</v>
      </c>
      <c r="U1750" s="20">
        <v>9762.57</v>
      </c>
      <c r="V1750" s="20">
        <v>-27.19</v>
      </c>
      <c r="W1750" s="20">
        <v>-353.52</v>
      </c>
      <c r="X1750" s="20">
        <v>-326.33</v>
      </c>
      <c r="Y1750" s="20">
        <v>0</v>
      </c>
      <c r="Z1750" s="20">
        <v>0</v>
      </c>
      <c r="AA1750" s="20">
        <v>0</v>
      </c>
      <c r="AB1750" s="20">
        <v>9436.24</v>
      </c>
      <c r="AC1750" t="s">
        <v>183</v>
      </c>
      <c r="AD1750" t="s">
        <v>290</v>
      </c>
      <c r="AE1750" s="702">
        <f t="shared" si="135"/>
        <v>44348</v>
      </c>
      <c r="AF1750" s="289">
        <v>11241.044719349551</v>
      </c>
      <c r="AG1750">
        <f t="shared" si="136"/>
        <v>360</v>
      </c>
      <c r="AH1750" s="289">
        <f t="shared" si="137"/>
        <v>31.22512422041542</v>
      </c>
      <c r="AJ1750" s="289">
        <f t="shared" si="138"/>
        <v>18</v>
      </c>
      <c r="AK1750" s="289">
        <f t="shared" si="139"/>
        <v>562.0522359674776</v>
      </c>
    </row>
    <row r="1751" spans="1:37">
      <c r="A1751" s="703" t="s">
        <v>3275</v>
      </c>
      <c r="B1751" s="703" t="s">
        <v>2849</v>
      </c>
      <c r="C1751" s="703" t="s">
        <v>332</v>
      </c>
      <c r="D1751" s="703" t="s">
        <v>334</v>
      </c>
      <c r="E1751" s="703" t="s">
        <v>334</v>
      </c>
      <c r="F1751" s="703" t="s">
        <v>335</v>
      </c>
      <c r="G1751" s="703" t="s">
        <v>3273</v>
      </c>
      <c r="H1751" s="703" t="s">
        <v>334</v>
      </c>
      <c r="I1751" s="703" t="s">
        <v>334</v>
      </c>
      <c r="J1751" s="703" t="s">
        <v>337</v>
      </c>
      <c r="K1751" s="704">
        <v>0</v>
      </c>
      <c r="L1751" s="703" t="s">
        <v>334</v>
      </c>
      <c r="M1751" s="702">
        <v>39478</v>
      </c>
      <c r="N1751" s="702">
        <v>44516</v>
      </c>
      <c r="O1751" s="703" t="s">
        <v>338</v>
      </c>
      <c r="P1751" s="20">
        <v>80.28</v>
      </c>
      <c r="Q1751" s="20">
        <v>0</v>
      </c>
      <c r="R1751" s="20">
        <v>0</v>
      </c>
      <c r="S1751" s="20">
        <v>0</v>
      </c>
      <c r="T1751" s="20">
        <v>80.28</v>
      </c>
      <c r="U1751" s="20">
        <v>80.06</v>
      </c>
      <c r="V1751" s="20">
        <v>-0.22</v>
      </c>
      <c r="W1751" s="20">
        <v>-2.9</v>
      </c>
      <c r="X1751" s="20">
        <v>-2.68</v>
      </c>
      <c r="Y1751" s="20">
        <v>0</v>
      </c>
      <c r="Z1751" s="20">
        <v>0</v>
      </c>
      <c r="AA1751" s="20">
        <v>0</v>
      </c>
      <c r="AB1751" s="20">
        <v>77.38</v>
      </c>
      <c r="AC1751" t="s">
        <v>183</v>
      </c>
      <c r="AD1751" t="s">
        <v>290</v>
      </c>
      <c r="AE1751" s="702">
        <f t="shared" si="135"/>
        <v>44348</v>
      </c>
      <c r="AF1751" s="289">
        <v>92.181122935534873</v>
      </c>
      <c r="AG1751">
        <f t="shared" si="136"/>
        <v>360</v>
      </c>
      <c r="AH1751" s="289">
        <f t="shared" si="137"/>
        <v>0.2560586748209302</v>
      </c>
      <c r="AJ1751" s="289">
        <f t="shared" si="138"/>
        <v>18</v>
      </c>
      <c r="AK1751" s="289">
        <f t="shared" si="139"/>
        <v>4.6090561467767435</v>
      </c>
    </row>
    <row r="1752" spans="1:37">
      <c r="A1752" s="703" t="s">
        <v>3276</v>
      </c>
      <c r="B1752" s="703" t="s">
        <v>2849</v>
      </c>
      <c r="C1752" s="703" t="s">
        <v>332</v>
      </c>
      <c r="D1752" s="703" t="s">
        <v>334</v>
      </c>
      <c r="E1752" s="703" t="s">
        <v>334</v>
      </c>
      <c r="F1752" s="703" t="s">
        <v>335</v>
      </c>
      <c r="G1752" s="703" t="s">
        <v>3273</v>
      </c>
      <c r="H1752" s="703" t="s">
        <v>334</v>
      </c>
      <c r="I1752" s="703" t="s">
        <v>334</v>
      </c>
      <c r="J1752" s="703" t="s">
        <v>337</v>
      </c>
      <c r="K1752" s="704">
        <v>0</v>
      </c>
      <c r="L1752" s="703" t="s">
        <v>334</v>
      </c>
      <c r="M1752" s="702">
        <v>39478</v>
      </c>
      <c r="N1752" s="702">
        <v>44516</v>
      </c>
      <c r="O1752" s="703" t="s">
        <v>338</v>
      </c>
      <c r="P1752" s="20">
        <v>6399.46</v>
      </c>
      <c r="Q1752" s="20">
        <v>0</v>
      </c>
      <c r="R1752" s="20">
        <v>0</v>
      </c>
      <c r="S1752" s="20">
        <v>0</v>
      </c>
      <c r="T1752" s="20">
        <v>6399.46</v>
      </c>
      <c r="U1752" s="20">
        <v>6381.68</v>
      </c>
      <c r="V1752" s="20">
        <v>-17.78</v>
      </c>
      <c r="W1752" s="20">
        <v>-231.1</v>
      </c>
      <c r="X1752" s="20">
        <v>-213.32</v>
      </c>
      <c r="Y1752" s="20">
        <v>0</v>
      </c>
      <c r="Z1752" s="20">
        <v>0</v>
      </c>
      <c r="AA1752" s="20">
        <v>0</v>
      </c>
      <c r="AB1752" s="20">
        <v>6168.36</v>
      </c>
      <c r="AC1752" t="s">
        <v>183</v>
      </c>
      <c r="AD1752" t="s">
        <v>290</v>
      </c>
      <c r="AE1752" s="702">
        <f t="shared" si="135"/>
        <v>44348</v>
      </c>
      <c r="AF1752" s="289">
        <v>7348.1490904464126</v>
      </c>
      <c r="AG1752">
        <f t="shared" si="136"/>
        <v>360</v>
      </c>
      <c r="AH1752" s="289">
        <f t="shared" si="137"/>
        <v>20.411525251240036</v>
      </c>
      <c r="AJ1752" s="289">
        <f t="shared" si="138"/>
        <v>18</v>
      </c>
      <c r="AK1752" s="289">
        <f t="shared" si="139"/>
        <v>367.40745452232068</v>
      </c>
    </row>
    <row r="1753" spans="1:37">
      <c r="A1753" s="703" t="s">
        <v>3277</v>
      </c>
      <c r="B1753" s="703" t="s">
        <v>2849</v>
      </c>
      <c r="C1753" s="703" t="s">
        <v>332</v>
      </c>
      <c r="D1753" s="703" t="s">
        <v>334</v>
      </c>
      <c r="E1753" s="703" t="s">
        <v>334</v>
      </c>
      <c r="F1753" s="703" t="s">
        <v>335</v>
      </c>
      <c r="G1753" s="703" t="s">
        <v>3273</v>
      </c>
      <c r="H1753" s="703" t="s">
        <v>334</v>
      </c>
      <c r="I1753" s="703" t="s">
        <v>334</v>
      </c>
      <c r="J1753" s="703" t="s">
        <v>337</v>
      </c>
      <c r="K1753" s="704">
        <v>0</v>
      </c>
      <c r="L1753" s="703" t="s">
        <v>334</v>
      </c>
      <c r="M1753" s="702">
        <v>39478</v>
      </c>
      <c r="N1753" s="702">
        <v>44516</v>
      </c>
      <c r="O1753" s="703" t="s">
        <v>338</v>
      </c>
      <c r="P1753" s="20">
        <v>4050.61</v>
      </c>
      <c r="Q1753" s="20">
        <v>0</v>
      </c>
      <c r="R1753" s="20">
        <v>0</v>
      </c>
      <c r="S1753" s="20">
        <v>0</v>
      </c>
      <c r="T1753" s="20">
        <v>4050.61</v>
      </c>
      <c r="U1753" s="20">
        <v>4039.36</v>
      </c>
      <c r="V1753" s="20">
        <v>-11.25</v>
      </c>
      <c r="W1753" s="20">
        <v>-146.27000000000001</v>
      </c>
      <c r="X1753" s="20">
        <v>-135.02000000000001</v>
      </c>
      <c r="Y1753" s="20">
        <v>0</v>
      </c>
      <c r="Z1753" s="20">
        <v>0</v>
      </c>
      <c r="AA1753" s="20">
        <v>0</v>
      </c>
      <c r="AB1753" s="20">
        <v>3904.34</v>
      </c>
      <c r="AC1753" t="s">
        <v>183</v>
      </c>
      <c r="AD1753" t="s">
        <v>290</v>
      </c>
      <c r="AE1753" s="702">
        <f t="shared" si="135"/>
        <v>44348</v>
      </c>
      <c r="AF1753" s="289">
        <v>4651.0934027641615</v>
      </c>
      <c r="AG1753">
        <f t="shared" si="136"/>
        <v>360</v>
      </c>
      <c r="AH1753" s="289">
        <f t="shared" si="137"/>
        <v>12.919703896567116</v>
      </c>
      <c r="AJ1753" s="289">
        <f t="shared" si="138"/>
        <v>18</v>
      </c>
      <c r="AK1753" s="289">
        <f t="shared" si="139"/>
        <v>232.55467013820808</v>
      </c>
    </row>
    <row r="1754" spans="1:37">
      <c r="A1754" s="703" t="s">
        <v>3278</v>
      </c>
      <c r="B1754" s="703" t="s">
        <v>2849</v>
      </c>
      <c r="C1754" s="703" t="s">
        <v>332</v>
      </c>
      <c r="D1754" s="703" t="s">
        <v>334</v>
      </c>
      <c r="E1754" s="703" t="s">
        <v>334</v>
      </c>
      <c r="F1754" s="703" t="s">
        <v>335</v>
      </c>
      <c r="G1754" s="703" t="s">
        <v>3273</v>
      </c>
      <c r="H1754" s="703" t="s">
        <v>334</v>
      </c>
      <c r="I1754" s="703" t="s">
        <v>334</v>
      </c>
      <c r="J1754" s="703" t="s">
        <v>337</v>
      </c>
      <c r="K1754" s="704">
        <v>0</v>
      </c>
      <c r="L1754" s="703" t="s">
        <v>334</v>
      </c>
      <c r="M1754" s="702">
        <v>39478</v>
      </c>
      <c r="N1754" s="702">
        <v>44516</v>
      </c>
      <c r="O1754" s="703" t="s">
        <v>338</v>
      </c>
      <c r="P1754" s="20">
        <v>118.08</v>
      </c>
      <c r="Q1754" s="20">
        <v>0</v>
      </c>
      <c r="R1754" s="20">
        <v>0</v>
      </c>
      <c r="S1754" s="20">
        <v>0</v>
      </c>
      <c r="T1754" s="20">
        <v>118.08</v>
      </c>
      <c r="U1754" s="20">
        <v>117.75</v>
      </c>
      <c r="V1754" s="20">
        <v>-0.33</v>
      </c>
      <c r="W1754" s="20">
        <v>-4.2699999999999996</v>
      </c>
      <c r="X1754" s="20">
        <v>-3.94</v>
      </c>
      <c r="Y1754" s="20">
        <v>0</v>
      </c>
      <c r="Z1754" s="20">
        <v>0</v>
      </c>
      <c r="AA1754" s="20">
        <v>0</v>
      </c>
      <c r="AB1754" s="20">
        <v>113.81</v>
      </c>
      <c r="AC1754" t="s">
        <v>183</v>
      </c>
      <c r="AD1754" t="s">
        <v>290</v>
      </c>
      <c r="AE1754" s="702">
        <f t="shared" si="135"/>
        <v>44348</v>
      </c>
      <c r="AF1754" s="289">
        <v>135.5847906854504</v>
      </c>
      <c r="AG1754">
        <f t="shared" si="136"/>
        <v>360</v>
      </c>
      <c r="AH1754" s="289">
        <f t="shared" si="137"/>
        <v>0.37662441857069556</v>
      </c>
      <c r="AJ1754" s="289">
        <f t="shared" si="138"/>
        <v>18</v>
      </c>
      <c r="AK1754" s="289">
        <f t="shared" si="139"/>
        <v>6.77923953427252</v>
      </c>
    </row>
    <row r="1755" spans="1:37">
      <c r="A1755" s="703" t="s">
        <v>3279</v>
      </c>
      <c r="B1755" s="703" t="s">
        <v>2849</v>
      </c>
      <c r="C1755" s="703" t="s">
        <v>332</v>
      </c>
      <c r="D1755" s="703" t="s">
        <v>334</v>
      </c>
      <c r="E1755" s="703" t="s">
        <v>334</v>
      </c>
      <c r="F1755" s="703" t="s">
        <v>335</v>
      </c>
      <c r="G1755" s="703" t="s">
        <v>3273</v>
      </c>
      <c r="H1755" s="703" t="s">
        <v>334</v>
      </c>
      <c r="I1755" s="703" t="s">
        <v>334</v>
      </c>
      <c r="J1755" s="703" t="s">
        <v>337</v>
      </c>
      <c r="K1755" s="704">
        <v>0</v>
      </c>
      <c r="L1755" s="703" t="s">
        <v>334</v>
      </c>
      <c r="M1755" s="702">
        <v>39478</v>
      </c>
      <c r="N1755" s="702">
        <v>44516</v>
      </c>
      <c r="O1755" s="703" t="s">
        <v>338</v>
      </c>
      <c r="P1755" s="20">
        <v>1452.79</v>
      </c>
      <c r="Q1755" s="20">
        <v>0</v>
      </c>
      <c r="R1755" s="20">
        <v>0</v>
      </c>
      <c r="S1755" s="20">
        <v>0</v>
      </c>
      <c r="T1755" s="20">
        <v>1452.79</v>
      </c>
      <c r="U1755" s="20">
        <v>1448.75</v>
      </c>
      <c r="V1755" s="20">
        <v>-4.04</v>
      </c>
      <c r="W1755" s="20">
        <v>-52.47</v>
      </c>
      <c r="X1755" s="20">
        <v>-48.43</v>
      </c>
      <c r="Y1755" s="20">
        <v>0</v>
      </c>
      <c r="Z1755" s="20">
        <v>0</v>
      </c>
      <c r="AA1755" s="20">
        <v>0</v>
      </c>
      <c r="AB1755" s="20">
        <v>1400.32</v>
      </c>
      <c r="AC1755" t="s">
        <v>183</v>
      </c>
      <c r="AD1755" t="s">
        <v>290</v>
      </c>
      <c r="AE1755" s="702">
        <f t="shared" si="135"/>
        <v>44348</v>
      </c>
      <c r="AF1755" s="289">
        <v>1668.1591129735391</v>
      </c>
      <c r="AG1755">
        <f t="shared" si="136"/>
        <v>360</v>
      </c>
      <c r="AH1755" s="289">
        <f t="shared" si="137"/>
        <v>4.6337753138153861</v>
      </c>
      <c r="AJ1755" s="289">
        <f t="shared" si="138"/>
        <v>18</v>
      </c>
      <c r="AK1755" s="289">
        <f t="shared" si="139"/>
        <v>83.407955648676946</v>
      </c>
    </row>
    <row r="1756" spans="1:37">
      <c r="A1756" s="703" t="s">
        <v>3280</v>
      </c>
      <c r="B1756" s="703" t="s">
        <v>2849</v>
      </c>
      <c r="C1756" s="703" t="s">
        <v>332</v>
      </c>
      <c r="D1756" s="703" t="s">
        <v>334</v>
      </c>
      <c r="E1756" s="703" t="s">
        <v>334</v>
      </c>
      <c r="F1756" s="703" t="s">
        <v>335</v>
      </c>
      <c r="G1756" s="703" t="s">
        <v>3281</v>
      </c>
      <c r="H1756" s="703" t="s">
        <v>334</v>
      </c>
      <c r="I1756" s="703" t="s">
        <v>334</v>
      </c>
      <c r="J1756" s="703" t="s">
        <v>337</v>
      </c>
      <c r="K1756" s="704">
        <v>0</v>
      </c>
      <c r="L1756" s="703" t="s">
        <v>334</v>
      </c>
      <c r="M1756" s="702">
        <v>39478</v>
      </c>
      <c r="N1756" s="702">
        <v>44516</v>
      </c>
      <c r="O1756" s="703" t="s">
        <v>338</v>
      </c>
      <c r="P1756" s="20">
        <v>5304.6</v>
      </c>
      <c r="Q1756" s="20">
        <v>0</v>
      </c>
      <c r="R1756" s="20">
        <v>0</v>
      </c>
      <c r="S1756" s="20">
        <v>0</v>
      </c>
      <c r="T1756" s="20">
        <v>5304.6</v>
      </c>
      <c r="U1756" s="20">
        <v>5304.32</v>
      </c>
      <c r="V1756" s="20">
        <v>-0.28000000000000003</v>
      </c>
      <c r="W1756" s="20">
        <v>-177.1</v>
      </c>
      <c r="X1756" s="20">
        <v>-176.82</v>
      </c>
      <c r="Y1756" s="20">
        <v>0</v>
      </c>
      <c r="Z1756" s="20">
        <v>0</v>
      </c>
      <c r="AA1756" s="20">
        <v>0</v>
      </c>
      <c r="AB1756" s="20">
        <v>5127.5</v>
      </c>
      <c r="AC1756" t="s">
        <v>183</v>
      </c>
      <c r="AD1756" t="s">
        <v>290</v>
      </c>
      <c r="AE1756" s="702">
        <f t="shared" si="135"/>
        <v>44348</v>
      </c>
      <c r="AF1756" s="289">
        <v>6090.9813742381457</v>
      </c>
      <c r="AG1756">
        <f t="shared" si="136"/>
        <v>360</v>
      </c>
      <c r="AH1756" s="289">
        <f t="shared" si="137"/>
        <v>16.919392706217071</v>
      </c>
      <c r="AJ1756" s="289">
        <f t="shared" si="138"/>
        <v>18</v>
      </c>
      <c r="AK1756" s="289">
        <f t="shared" si="139"/>
        <v>304.5490687119073</v>
      </c>
    </row>
    <row r="1757" spans="1:37">
      <c r="A1757" s="703" t="s">
        <v>3282</v>
      </c>
      <c r="B1757" s="703" t="s">
        <v>2849</v>
      </c>
      <c r="C1757" s="703" t="s">
        <v>332</v>
      </c>
      <c r="D1757" s="703" t="s">
        <v>334</v>
      </c>
      <c r="E1757" s="703" t="s">
        <v>334</v>
      </c>
      <c r="F1757" s="703" t="s">
        <v>335</v>
      </c>
      <c r="G1757" s="703" t="s">
        <v>3281</v>
      </c>
      <c r="H1757" s="703" t="s">
        <v>334</v>
      </c>
      <c r="I1757" s="703" t="s">
        <v>334</v>
      </c>
      <c r="J1757" s="703" t="s">
        <v>337</v>
      </c>
      <c r="K1757" s="704">
        <v>0</v>
      </c>
      <c r="L1757" s="703" t="s">
        <v>334</v>
      </c>
      <c r="M1757" s="702">
        <v>39478</v>
      </c>
      <c r="N1757" s="702">
        <v>44516</v>
      </c>
      <c r="O1757" s="703" t="s">
        <v>338</v>
      </c>
      <c r="P1757" s="20">
        <v>273.47000000000003</v>
      </c>
      <c r="Q1757" s="20">
        <v>0</v>
      </c>
      <c r="R1757" s="20">
        <v>0</v>
      </c>
      <c r="S1757" s="20">
        <v>0</v>
      </c>
      <c r="T1757" s="20">
        <v>273.47000000000003</v>
      </c>
      <c r="U1757" s="20">
        <v>272.70999999999998</v>
      </c>
      <c r="V1757" s="20">
        <v>-0.76</v>
      </c>
      <c r="W1757" s="20">
        <v>-9.8800000000000008</v>
      </c>
      <c r="X1757" s="20">
        <v>-9.1199999999999992</v>
      </c>
      <c r="Y1757" s="20">
        <v>0</v>
      </c>
      <c r="Z1757" s="20">
        <v>0</v>
      </c>
      <c r="AA1757" s="20">
        <v>0</v>
      </c>
      <c r="AB1757" s="20">
        <v>263.58999999999997</v>
      </c>
      <c r="AC1757" t="s">
        <v>183</v>
      </c>
      <c r="AD1757" t="s">
        <v>290</v>
      </c>
      <c r="AE1757" s="702">
        <f t="shared" si="135"/>
        <v>44348</v>
      </c>
      <c r="AF1757" s="289">
        <v>314.01060898331741</v>
      </c>
      <c r="AG1757">
        <f t="shared" si="136"/>
        <v>360</v>
      </c>
      <c r="AH1757" s="289">
        <f t="shared" si="137"/>
        <v>0.87225169162032612</v>
      </c>
      <c r="AJ1757" s="289">
        <f t="shared" si="138"/>
        <v>18</v>
      </c>
      <c r="AK1757" s="289">
        <f t="shared" si="139"/>
        <v>15.700530449165869</v>
      </c>
    </row>
    <row r="1758" spans="1:37">
      <c r="A1758" s="703" t="s">
        <v>3283</v>
      </c>
      <c r="B1758" s="703" t="s">
        <v>2849</v>
      </c>
      <c r="C1758" s="703" t="s">
        <v>332</v>
      </c>
      <c r="D1758" s="703" t="s">
        <v>334</v>
      </c>
      <c r="E1758" s="703" t="s">
        <v>334</v>
      </c>
      <c r="F1758" s="703" t="s">
        <v>335</v>
      </c>
      <c r="G1758" s="703" t="s">
        <v>3281</v>
      </c>
      <c r="H1758" s="703" t="s">
        <v>334</v>
      </c>
      <c r="I1758" s="703" t="s">
        <v>334</v>
      </c>
      <c r="J1758" s="703" t="s">
        <v>337</v>
      </c>
      <c r="K1758" s="704">
        <v>0</v>
      </c>
      <c r="L1758" s="703" t="s">
        <v>334</v>
      </c>
      <c r="M1758" s="702">
        <v>39478</v>
      </c>
      <c r="N1758" s="702">
        <v>44516</v>
      </c>
      <c r="O1758" s="703" t="s">
        <v>338</v>
      </c>
      <c r="P1758" s="20">
        <v>32.24</v>
      </c>
      <c r="Q1758" s="20">
        <v>0</v>
      </c>
      <c r="R1758" s="20">
        <v>0</v>
      </c>
      <c r="S1758" s="20">
        <v>0</v>
      </c>
      <c r="T1758" s="20">
        <v>32.24</v>
      </c>
      <c r="U1758" s="20">
        <v>32.15</v>
      </c>
      <c r="V1758" s="20">
        <v>-0.09</v>
      </c>
      <c r="W1758" s="20">
        <v>-1.1599999999999999</v>
      </c>
      <c r="X1758" s="20">
        <v>-1.07</v>
      </c>
      <c r="Y1758" s="20">
        <v>0</v>
      </c>
      <c r="Z1758" s="20">
        <v>0</v>
      </c>
      <c r="AA1758" s="20">
        <v>0</v>
      </c>
      <c r="AB1758" s="20">
        <v>31.08</v>
      </c>
      <c r="AC1758" t="s">
        <v>183</v>
      </c>
      <c r="AD1758" t="s">
        <v>290</v>
      </c>
      <c r="AE1758" s="702">
        <f t="shared" si="135"/>
        <v>44348</v>
      </c>
      <c r="AF1758" s="289">
        <v>37.019424557070813</v>
      </c>
      <c r="AG1758">
        <f t="shared" si="136"/>
        <v>360</v>
      </c>
      <c r="AH1758" s="289">
        <f t="shared" si="137"/>
        <v>0.10283173488075226</v>
      </c>
      <c r="AJ1758" s="289">
        <f t="shared" si="138"/>
        <v>18</v>
      </c>
      <c r="AK1758" s="289">
        <f t="shared" si="139"/>
        <v>1.8509712278535406</v>
      </c>
    </row>
    <row r="1759" spans="1:37">
      <c r="A1759" s="703" t="s">
        <v>3284</v>
      </c>
      <c r="B1759" s="703" t="s">
        <v>2849</v>
      </c>
      <c r="C1759" s="703" t="s">
        <v>332</v>
      </c>
      <c r="D1759" s="703" t="s">
        <v>334</v>
      </c>
      <c r="E1759" s="703" t="s">
        <v>334</v>
      </c>
      <c r="F1759" s="703" t="s">
        <v>335</v>
      </c>
      <c r="G1759" s="703" t="s">
        <v>3281</v>
      </c>
      <c r="H1759" s="703" t="s">
        <v>334</v>
      </c>
      <c r="I1759" s="703" t="s">
        <v>334</v>
      </c>
      <c r="J1759" s="703" t="s">
        <v>337</v>
      </c>
      <c r="K1759" s="704">
        <v>0</v>
      </c>
      <c r="L1759" s="703" t="s">
        <v>334</v>
      </c>
      <c r="M1759" s="702">
        <v>39478</v>
      </c>
      <c r="N1759" s="702">
        <v>44516</v>
      </c>
      <c r="O1759" s="703" t="s">
        <v>338</v>
      </c>
      <c r="P1759" s="20">
        <v>83.73</v>
      </c>
      <c r="Q1759" s="20">
        <v>0</v>
      </c>
      <c r="R1759" s="20">
        <v>0</v>
      </c>
      <c r="S1759" s="20">
        <v>0</v>
      </c>
      <c r="T1759" s="20">
        <v>83.73</v>
      </c>
      <c r="U1759" s="20">
        <v>83.5</v>
      </c>
      <c r="V1759" s="20">
        <v>-0.23</v>
      </c>
      <c r="W1759" s="20">
        <v>-3.02</v>
      </c>
      <c r="X1759" s="20">
        <v>-2.79</v>
      </c>
      <c r="Y1759" s="20">
        <v>0</v>
      </c>
      <c r="Z1759" s="20">
        <v>0</v>
      </c>
      <c r="AA1759" s="20">
        <v>0</v>
      </c>
      <c r="AB1759" s="20">
        <v>80.709999999999994</v>
      </c>
      <c r="AC1759" t="s">
        <v>183</v>
      </c>
      <c r="AD1759" t="s">
        <v>290</v>
      </c>
      <c r="AE1759" s="702">
        <f t="shared" si="135"/>
        <v>44348</v>
      </c>
      <c r="AF1759" s="289">
        <v>96.1425688015986</v>
      </c>
      <c r="AG1759">
        <f t="shared" si="136"/>
        <v>360</v>
      </c>
      <c r="AH1759" s="289">
        <f t="shared" si="137"/>
        <v>0.26706269111555164</v>
      </c>
      <c r="AJ1759" s="289">
        <f t="shared" si="138"/>
        <v>18</v>
      </c>
      <c r="AK1759" s="289">
        <f t="shared" si="139"/>
        <v>4.8071284400799295</v>
      </c>
    </row>
    <row r="1760" spans="1:37">
      <c r="A1760" s="703" t="s">
        <v>3285</v>
      </c>
      <c r="B1760" s="703" t="s">
        <v>2849</v>
      </c>
      <c r="C1760" s="703" t="s">
        <v>332</v>
      </c>
      <c r="D1760" s="703" t="s">
        <v>334</v>
      </c>
      <c r="E1760" s="703" t="s">
        <v>334</v>
      </c>
      <c r="F1760" s="703" t="s">
        <v>335</v>
      </c>
      <c r="G1760" s="703" t="s">
        <v>3281</v>
      </c>
      <c r="H1760" s="703" t="s">
        <v>334</v>
      </c>
      <c r="I1760" s="703" t="s">
        <v>334</v>
      </c>
      <c r="J1760" s="703" t="s">
        <v>337</v>
      </c>
      <c r="K1760" s="704">
        <v>0</v>
      </c>
      <c r="L1760" s="703" t="s">
        <v>334</v>
      </c>
      <c r="M1760" s="702">
        <v>39478</v>
      </c>
      <c r="N1760" s="702">
        <v>44516</v>
      </c>
      <c r="O1760" s="703" t="s">
        <v>338</v>
      </c>
      <c r="P1760" s="20">
        <v>5.22</v>
      </c>
      <c r="Q1760" s="20">
        <v>0</v>
      </c>
      <c r="R1760" s="20">
        <v>0</v>
      </c>
      <c r="S1760" s="20">
        <v>0</v>
      </c>
      <c r="T1760" s="20">
        <v>5.22</v>
      </c>
      <c r="U1760" s="20">
        <v>5.21</v>
      </c>
      <c r="V1760" s="20">
        <v>-0.01</v>
      </c>
      <c r="W1760" s="20">
        <v>-0.18</v>
      </c>
      <c r="X1760" s="20">
        <v>-0.17</v>
      </c>
      <c r="Y1760" s="20">
        <v>0</v>
      </c>
      <c r="Z1760" s="20">
        <v>0</v>
      </c>
      <c r="AA1760" s="20">
        <v>0</v>
      </c>
      <c r="AB1760" s="20">
        <v>5.04</v>
      </c>
      <c r="AC1760" t="s">
        <v>183</v>
      </c>
      <c r="AD1760" t="s">
        <v>290</v>
      </c>
      <c r="AE1760" s="702">
        <f t="shared" si="135"/>
        <v>44348</v>
      </c>
      <c r="AF1760" s="289">
        <v>5.993839832131191</v>
      </c>
      <c r="AG1760">
        <f t="shared" si="136"/>
        <v>360</v>
      </c>
      <c r="AH1760" s="289">
        <f t="shared" si="137"/>
        <v>1.664955508925331E-2</v>
      </c>
      <c r="AJ1760" s="289">
        <f t="shared" si="138"/>
        <v>18</v>
      </c>
      <c r="AK1760" s="289">
        <f t="shared" si="139"/>
        <v>0.29969199160655957</v>
      </c>
    </row>
    <row r="1761" spans="1:37">
      <c r="A1761" s="703" t="s">
        <v>3286</v>
      </c>
      <c r="B1761" s="703" t="s">
        <v>2849</v>
      </c>
      <c r="C1761" s="703" t="s">
        <v>332</v>
      </c>
      <c r="D1761" s="703" t="s">
        <v>334</v>
      </c>
      <c r="E1761" s="703" t="s">
        <v>334</v>
      </c>
      <c r="F1761" s="703" t="s">
        <v>335</v>
      </c>
      <c r="G1761" s="703" t="s">
        <v>3281</v>
      </c>
      <c r="H1761" s="703" t="s">
        <v>334</v>
      </c>
      <c r="I1761" s="703" t="s">
        <v>334</v>
      </c>
      <c r="J1761" s="703" t="s">
        <v>337</v>
      </c>
      <c r="K1761" s="704">
        <v>0</v>
      </c>
      <c r="L1761" s="703" t="s">
        <v>334</v>
      </c>
      <c r="M1761" s="702">
        <v>39478</v>
      </c>
      <c r="N1761" s="702">
        <v>44516</v>
      </c>
      <c r="O1761" s="703" t="s">
        <v>338</v>
      </c>
      <c r="P1761" s="20">
        <v>15.89</v>
      </c>
      <c r="Q1761" s="20">
        <v>0</v>
      </c>
      <c r="R1761" s="20">
        <v>0</v>
      </c>
      <c r="S1761" s="20">
        <v>0</v>
      </c>
      <c r="T1761" s="20">
        <v>15.89</v>
      </c>
      <c r="U1761" s="20">
        <v>15.85</v>
      </c>
      <c r="V1761" s="20">
        <v>-0.04</v>
      </c>
      <c r="W1761" s="20">
        <v>-0.56999999999999995</v>
      </c>
      <c r="X1761" s="20">
        <v>-0.53</v>
      </c>
      <c r="Y1761" s="20">
        <v>0</v>
      </c>
      <c r="Z1761" s="20">
        <v>0</v>
      </c>
      <c r="AA1761" s="20">
        <v>0</v>
      </c>
      <c r="AB1761" s="20">
        <v>15.32</v>
      </c>
      <c r="AC1761" t="s">
        <v>183</v>
      </c>
      <c r="AD1761" t="s">
        <v>290</v>
      </c>
      <c r="AE1761" s="702">
        <f t="shared" si="135"/>
        <v>44348</v>
      </c>
      <c r="AF1761" s="289">
        <v>18.245615887464488</v>
      </c>
      <c r="AG1761">
        <f t="shared" si="136"/>
        <v>360</v>
      </c>
      <c r="AH1761" s="289">
        <f t="shared" si="137"/>
        <v>5.0682266354068022E-2</v>
      </c>
      <c r="AJ1761" s="289">
        <f t="shared" si="138"/>
        <v>18</v>
      </c>
      <c r="AK1761" s="289">
        <f t="shared" si="139"/>
        <v>0.9122807943732244</v>
      </c>
    </row>
    <row r="1762" spans="1:37">
      <c r="A1762" s="703" t="s">
        <v>3287</v>
      </c>
      <c r="B1762" s="703" t="s">
        <v>2849</v>
      </c>
      <c r="C1762" s="703" t="s">
        <v>332</v>
      </c>
      <c r="D1762" s="703" t="s">
        <v>334</v>
      </c>
      <c r="E1762" s="703" t="s">
        <v>334</v>
      </c>
      <c r="F1762" s="703" t="s">
        <v>335</v>
      </c>
      <c r="G1762" s="703" t="s">
        <v>3281</v>
      </c>
      <c r="H1762" s="703" t="s">
        <v>334</v>
      </c>
      <c r="I1762" s="703" t="s">
        <v>334</v>
      </c>
      <c r="J1762" s="703" t="s">
        <v>337</v>
      </c>
      <c r="K1762" s="704">
        <v>0</v>
      </c>
      <c r="L1762" s="703" t="s">
        <v>334</v>
      </c>
      <c r="M1762" s="702">
        <v>39478</v>
      </c>
      <c r="N1762" s="702">
        <v>44516</v>
      </c>
      <c r="O1762" s="703" t="s">
        <v>338</v>
      </c>
      <c r="P1762" s="20">
        <v>129.34</v>
      </c>
      <c r="Q1762" s="20">
        <v>0</v>
      </c>
      <c r="R1762" s="20">
        <v>0</v>
      </c>
      <c r="S1762" s="20">
        <v>0</v>
      </c>
      <c r="T1762" s="20">
        <v>129.34</v>
      </c>
      <c r="U1762" s="20">
        <v>128.97999999999999</v>
      </c>
      <c r="V1762" s="20">
        <v>-0.36</v>
      </c>
      <c r="W1762" s="20">
        <v>-4.67</v>
      </c>
      <c r="X1762" s="20">
        <v>-4.3099999999999996</v>
      </c>
      <c r="Y1762" s="20">
        <v>0</v>
      </c>
      <c r="Z1762" s="20">
        <v>0</v>
      </c>
      <c r="AA1762" s="20">
        <v>0</v>
      </c>
      <c r="AB1762" s="20">
        <v>124.67</v>
      </c>
      <c r="AC1762" t="s">
        <v>183</v>
      </c>
      <c r="AD1762" t="s">
        <v>290</v>
      </c>
      <c r="AE1762" s="702">
        <f t="shared" si="135"/>
        <v>44348</v>
      </c>
      <c r="AF1762" s="289">
        <v>148.5140313961395</v>
      </c>
      <c r="AG1762">
        <f t="shared" si="136"/>
        <v>360</v>
      </c>
      <c r="AH1762" s="289">
        <f t="shared" si="137"/>
        <v>0.41253897610038748</v>
      </c>
      <c r="AJ1762" s="289">
        <f t="shared" si="138"/>
        <v>18</v>
      </c>
      <c r="AK1762" s="289">
        <f t="shared" si="139"/>
        <v>7.425701569806975</v>
      </c>
    </row>
    <row r="1763" spans="1:37">
      <c r="A1763" s="703" t="s">
        <v>3288</v>
      </c>
      <c r="B1763" s="703" t="s">
        <v>2849</v>
      </c>
      <c r="C1763" s="703" t="s">
        <v>332</v>
      </c>
      <c r="D1763" s="703" t="s">
        <v>334</v>
      </c>
      <c r="E1763" s="703" t="s">
        <v>334</v>
      </c>
      <c r="F1763" s="703" t="s">
        <v>335</v>
      </c>
      <c r="G1763" s="703" t="s">
        <v>3281</v>
      </c>
      <c r="H1763" s="703" t="s">
        <v>334</v>
      </c>
      <c r="I1763" s="703" t="s">
        <v>334</v>
      </c>
      <c r="J1763" s="703" t="s">
        <v>337</v>
      </c>
      <c r="K1763" s="704">
        <v>0</v>
      </c>
      <c r="L1763" s="703" t="s">
        <v>334</v>
      </c>
      <c r="M1763" s="702">
        <v>39478</v>
      </c>
      <c r="N1763" s="702">
        <v>44516</v>
      </c>
      <c r="O1763" s="703" t="s">
        <v>338</v>
      </c>
      <c r="P1763" s="20">
        <v>672.64</v>
      </c>
      <c r="Q1763" s="20">
        <v>0</v>
      </c>
      <c r="R1763" s="20">
        <v>0</v>
      </c>
      <c r="S1763" s="20">
        <v>0</v>
      </c>
      <c r="T1763" s="20">
        <v>672.64</v>
      </c>
      <c r="U1763" s="20">
        <v>670.77</v>
      </c>
      <c r="V1763" s="20">
        <v>-1.87</v>
      </c>
      <c r="W1763" s="20">
        <v>-24.29</v>
      </c>
      <c r="X1763" s="20">
        <v>-22.42</v>
      </c>
      <c r="Y1763" s="20">
        <v>0</v>
      </c>
      <c r="Z1763" s="20">
        <v>0</v>
      </c>
      <c r="AA1763" s="20">
        <v>0</v>
      </c>
      <c r="AB1763" s="20">
        <v>648.35</v>
      </c>
      <c r="AC1763" t="s">
        <v>183</v>
      </c>
      <c r="AD1763" t="s">
        <v>290</v>
      </c>
      <c r="AE1763" s="702">
        <f t="shared" si="135"/>
        <v>44348</v>
      </c>
      <c r="AF1763" s="289">
        <v>772.35563691278253</v>
      </c>
      <c r="AG1763">
        <f t="shared" si="136"/>
        <v>360</v>
      </c>
      <c r="AH1763" s="289">
        <f t="shared" si="137"/>
        <v>2.1454323247577292</v>
      </c>
      <c r="AJ1763" s="289">
        <f t="shared" si="138"/>
        <v>18</v>
      </c>
      <c r="AK1763" s="289">
        <f t="shared" si="139"/>
        <v>38.617781845639122</v>
      </c>
    </row>
    <row r="1764" spans="1:37">
      <c r="A1764" s="703" t="s">
        <v>3289</v>
      </c>
      <c r="B1764" s="703" t="s">
        <v>2849</v>
      </c>
      <c r="C1764" s="703" t="s">
        <v>332</v>
      </c>
      <c r="D1764" s="703" t="s">
        <v>334</v>
      </c>
      <c r="E1764" s="703" t="s">
        <v>334</v>
      </c>
      <c r="F1764" s="703" t="s">
        <v>335</v>
      </c>
      <c r="G1764" s="703" t="s">
        <v>3281</v>
      </c>
      <c r="H1764" s="703" t="s">
        <v>334</v>
      </c>
      <c r="I1764" s="703" t="s">
        <v>334</v>
      </c>
      <c r="J1764" s="703" t="s">
        <v>337</v>
      </c>
      <c r="K1764" s="704">
        <v>0</v>
      </c>
      <c r="L1764" s="703" t="s">
        <v>334</v>
      </c>
      <c r="M1764" s="702">
        <v>39478</v>
      </c>
      <c r="N1764" s="702">
        <v>44516</v>
      </c>
      <c r="O1764" s="703" t="s">
        <v>338</v>
      </c>
      <c r="P1764" s="20">
        <v>32.590000000000003</v>
      </c>
      <c r="Q1764" s="20">
        <v>0</v>
      </c>
      <c r="R1764" s="20">
        <v>0</v>
      </c>
      <c r="S1764" s="20">
        <v>0</v>
      </c>
      <c r="T1764" s="20">
        <v>32.590000000000003</v>
      </c>
      <c r="U1764" s="20">
        <v>32.5</v>
      </c>
      <c r="V1764" s="20">
        <v>-0.09</v>
      </c>
      <c r="W1764" s="20">
        <v>-1.18</v>
      </c>
      <c r="X1764" s="20">
        <v>-1.0900000000000001</v>
      </c>
      <c r="Y1764" s="20">
        <v>0</v>
      </c>
      <c r="Z1764" s="20">
        <v>0</v>
      </c>
      <c r="AA1764" s="20">
        <v>0</v>
      </c>
      <c r="AB1764" s="20">
        <v>31.41</v>
      </c>
      <c r="AC1764" t="s">
        <v>183</v>
      </c>
      <c r="AD1764" t="s">
        <v>290</v>
      </c>
      <c r="AE1764" s="702">
        <f t="shared" si="135"/>
        <v>44348</v>
      </c>
      <c r="AF1764" s="289">
        <v>37.421310369570023</v>
      </c>
      <c r="AG1764">
        <f t="shared" si="136"/>
        <v>360</v>
      </c>
      <c r="AH1764" s="289">
        <f t="shared" si="137"/>
        <v>0.10394808435991673</v>
      </c>
      <c r="AJ1764" s="289">
        <f t="shared" si="138"/>
        <v>18</v>
      </c>
      <c r="AK1764" s="289">
        <f t="shared" si="139"/>
        <v>1.8710655184785012</v>
      </c>
    </row>
    <row r="1765" spans="1:37">
      <c r="A1765" s="703" t="s">
        <v>3290</v>
      </c>
      <c r="B1765" s="703" t="s">
        <v>2849</v>
      </c>
      <c r="C1765" s="703" t="s">
        <v>332</v>
      </c>
      <c r="D1765" s="703" t="s">
        <v>334</v>
      </c>
      <c r="E1765" s="703" t="s">
        <v>334</v>
      </c>
      <c r="F1765" s="703" t="s">
        <v>335</v>
      </c>
      <c r="G1765" s="703" t="s">
        <v>3281</v>
      </c>
      <c r="H1765" s="703" t="s">
        <v>334</v>
      </c>
      <c r="I1765" s="703" t="s">
        <v>334</v>
      </c>
      <c r="J1765" s="703" t="s">
        <v>337</v>
      </c>
      <c r="K1765" s="704">
        <v>0</v>
      </c>
      <c r="L1765" s="703" t="s">
        <v>334</v>
      </c>
      <c r="M1765" s="702">
        <v>39478</v>
      </c>
      <c r="N1765" s="702">
        <v>44516</v>
      </c>
      <c r="O1765" s="703" t="s">
        <v>338</v>
      </c>
      <c r="P1765" s="20">
        <v>1854.16</v>
      </c>
      <c r="Q1765" s="20">
        <v>0</v>
      </c>
      <c r="R1765" s="20">
        <v>0</v>
      </c>
      <c r="S1765" s="20">
        <v>0</v>
      </c>
      <c r="T1765" s="20">
        <v>1854.16</v>
      </c>
      <c r="U1765" s="20">
        <v>1849.01</v>
      </c>
      <c r="V1765" s="20">
        <v>-5.15</v>
      </c>
      <c r="W1765" s="20">
        <v>-66.959999999999994</v>
      </c>
      <c r="X1765" s="20">
        <v>-61.81</v>
      </c>
      <c r="Y1765" s="20">
        <v>0</v>
      </c>
      <c r="Z1765" s="20">
        <v>0</v>
      </c>
      <c r="AA1765" s="20">
        <v>0</v>
      </c>
      <c r="AB1765" s="20">
        <v>1787.2</v>
      </c>
      <c r="AC1765" t="s">
        <v>183</v>
      </c>
      <c r="AD1765" t="s">
        <v>290</v>
      </c>
      <c r="AE1765" s="702">
        <f t="shared" si="135"/>
        <v>44348</v>
      </c>
      <c r="AF1765" s="289">
        <v>2129.0302802958563</v>
      </c>
      <c r="AG1765">
        <f t="shared" si="136"/>
        <v>360</v>
      </c>
      <c r="AH1765" s="289">
        <f t="shared" si="137"/>
        <v>5.913973000821823</v>
      </c>
      <c r="AJ1765" s="289">
        <f t="shared" si="138"/>
        <v>18</v>
      </c>
      <c r="AK1765" s="289">
        <f t="shared" si="139"/>
        <v>106.45151401479282</v>
      </c>
    </row>
    <row r="1766" spans="1:37">
      <c r="A1766" s="703" t="s">
        <v>3291</v>
      </c>
      <c r="B1766" s="703" t="s">
        <v>2849</v>
      </c>
      <c r="C1766" s="703" t="s">
        <v>332</v>
      </c>
      <c r="D1766" s="703" t="s">
        <v>334</v>
      </c>
      <c r="E1766" s="703" t="s">
        <v>334</v>
      </c>
      <c r="F1766" s="703" t="s">
        <v>335</v>
      </c>
      <c r="G1766" s="703" t="s">
        <v>3281</v>
      </c>
      <c r="H1766" s="703" t="s">
        <v>334</v>
      </c>
      <c r="I1766" s="703" t="s">
        <v>334</v>
      </c>
      <c r="J1766" s="703" t="s">
        <v>337</v>
      </c>
      <c r="K1766" s="704">
        <v>0</v>
      </c>
      <c r="L1766" s="703" t="s">
        <v>334</v>
      </c>
      <c r="M1766" s="702">
        <v>39478</v>
      </c>
      <c r="N1766" s="702">
        <v>44516</v>
      </c>
      <c r="O1766" s="703" t="s">
        <v>338</v>
      </c>
      <c r="P1766" s="20">
        <v>631.82000000000005</v>
      </c>
      <c r="Q1766" s="20">
        <v>0</v>
      </c>
      <c r="R1766" s="20">
        <v>0</v>
      </c>
      <c r="S1766" s="20">
        <v>0</v>
      </c>
      <c r="T1766" s="20">
        <v>631.82000000000005</v>
      </c>
      <c r="U1766" s="20">
        <v>630.05999999999995</v>
      </c>
      <c r="V1766" s="20">
        <v>-1.76</v>
      </c>
      <c r="W1766" s="20">
        <v>-22.82</v>
      </c>
      <c r="X1766" s="20">
        <v>-21.06</v>
      </c>
      <c r="Y1766" s="20">
        <v>0</v>
      </c>
      <c r="Z1766" s="20">
        <v>0</v>
      </c>
      <c r="AA1766" s="20">
        <v>0</v>
      </c>
      <c r="AB1766" s="20">
        <v>609</v>
      </c>
      <c r="AC1766" t="s">
        <v>183</v>
      </c>
      <c r="AD1766" t="s">
        <v>290</v>
      </c>
      <c r="AE1766" s="702">
        <f t="shared" si="135"/>
        <v>44348</v>
      </c>
      <c r="AF1766" s="289">
        <v>725.484268723588</v>
      </c>
      <c r="AG1766">
        <f t="shared" si="136"/>
        <v>360</v>
      </c>
      <c r="AH1766" s="289">
        <f t="shared" si="137"/>
        <v>2.0152340797877444</v>
      </c>
      <c r="AJ1766" s="289">
        <f t="shared" si="138"/>
        <v>18</v>
      </c>
      <c r="AK1766" s="289">
        <f t="shared" si="139"/>
        <v>36.274213436179402</v>
      </c>
    </row>
    <row r="1767" spans="1:37">
      <c r="A1767" s="703" t="s">
        <v>3292</v>
      </c>
      <c r="B1767" s="703" t="s">
        <v>2849</v>
      </c>
      <c r="C1767" s="703" t="s">
        <v>332</v>
      </c>
      <c r="D1767" s="703" t="s">
        <v>334</v>
      </c>
      <c r="E1767" s="703" t="s">
        <v>334</v>
      </c>
      <c r="F1767" s="703" t="s">
        <v>335</v>
      </c>
      <c r="G1767" s="703" t="s">
        <v>3281</v>
      </c>
      <c r="H1767" s="703" t="s">
        <v>334</v>
      </c>
      <c r="I1767" s="703" t="s">
        <v>334</v>
      </c>
      <c r="J1767" s="703" t="s">
        <v>337</v>
      </c>
      <c r="K1767" s="704">
        <v>0</v>
      </c>
      <c r="L1767" s="703" t="s">
        <v>334</v>
      </c>
      <c r="M1767" s="702">
        <v>39478</v>
      </c>
      <c r="N1767" s="702">
        <v>44516</v>
      </c>
      <c r="O1767" s="703" t="s">
        <v>338</v>
      </c>
      <c r="P1767" s="20">
        <v>53.7</v>
      </c>
      <c r="Q1767" s="20">
        <v>0</v>
      </c>
      <c r="R1767" s="20">
        <v>0</v>
      </c>
      <c r="S1767" s="20">
        <v>0</v>
      </c>
      <c r="T1767" s="20">
        <v>53.7</v>
      </c>
      <c r="U1767" s="20">
        <v>53.55</v>
      </c>
      <c r="V1767" s="20">
        <v>-0.15</v>
      </c>
      <c r="W1767" s="20">
        <v>-1.94</v>
      </c>
      <c r="X1767" s="20">
        <v>-1.79</v>
      </c>
      <c r="Y1767" s="20">
        <v>0</v>
      </c>
      <c r="Z1767" s="20">
        <v>0</v>
      </c>
      <c r="AA1767" s="20">
        <v>0</v>
      </c>
      <c r="AB1767" s="20">
        <v>51.76</v>
      </c>
      <c r="AC1767" t="s">
        <v>183</v>
      </c>
      <c r="AD1767" t="s">
        <v>290</v>
      </c>
      <c r="AE1767" s="702">
        <f t="shared" si="135"/>
        <v>44348</v>
      </c>
      <c r="AF1767" s="289">
        <v>61.660766089165705</v>
      </c>
      <c r="AG1767">
        <f t="shared" si="136"/>
        <v>360</v>
      </c>
      <c r="AH1767" s="289">
        <f t="shared" si="137"/>
        <v>0.17127990580323807</v>
      </c>
      <c r="AJ1767" s="289">
        <f t="shared" si="138"/>
        <v>18</v>
      </c>
      <c r="AK1767" s="289">
        <f t="shared" si="139"/>
        <v>3.0830383044582854</v>
      </c>
    </row>
    <row r="1768" spans="1:37">
      <c r="A1768" s="703" t="s">
        <v>3293</v>
      </c>
      <c r="B1768" s="703" t="s">
        <v>2849</v>
      </c>
      <c r="C1768" s="703" t="s">
        <v>332</v>
      </c>
      <c r="D1768" s="703" t="s">
        <v>334</v>
      </c>
      <c r="E1768" s="703" t="s">
        <v>334</v>
      </c>
      <c r="F1768" s="703" t="s">
        <v>335</v>
      </c>
      <c r="G1768" s="703" t="s">
        <v>3281</v>
      </c>
      <c r="H1768" s="703" t="s">
        <v>334</v>
      </c>
      <c r="I1768" s="703" t="s">
        <v>334</v>
      </c>
      <c r="J1768" s="703" t="s">
        <v>337</v>
      </c>
      <c r="K1768" s="704">
        <v>0</v>
      </c>
      <c r="L1768" s="703" t="s">
        <v>334</v>
      </c>
      <c r="M1768" s="702">
        <v>39478</v>
      </c>
      <c r="N1768" s="702">
        <v>44516</v>
      </c>
      <c r="O1768" s="703" t="s">
        <v>338</v>
      </c>
      <c r="P1768" s="20">
        <v>1320.72</v>
      </c>
      <c r="Q1768" s="20">
        <v>0</v>
      </c>
      <c r="R1768" s="20">
        <v>0</v>
      </c>
      <c r="S1768" s="20">
        <v>0</v>
      </c>
      <c r="T1768" s="20">
        <v>1320.72</v>
      </c>
      <c r="U1768" s="20">
        <v>1317.05</v>
      </c>
      <c r="V1768" s="20">
        <v>-3.67</v>
      </c>
      <c r="W1768" s="20">
        <v>-47.69</v>
      </c>
      <c r="X1768" s="20">
        <v>-44.02</v>
      </c>
      <c r="Y1768" s="20">
        <v>0</v>
      </c>
      <c r="Z1768" s="20">
        <v>0</v>
      </c>
      <c r="AA1768" s="20">
        <v>0</v>
      </c>
      <c r="AB1768" s="20">
        <v>1273.03</v>
      </c>
      <c r="AC1768" t="s">
        <v>183</v>
      </c>
      <c r="AD1768" t="s">
        <v>290</v>
      </c>
      <c r="AE1768" s="702">
        <f t="shared" si="135"/>
        <v>44348</v>
      </c>
      <c r="AF1768" s="289">
        <v>1516.5103722399056</v>
      </c>
      <c r="AG1768">
        <f t="shared" si="136"/>
        <v>360</v>
      </c>
      <c r="AH1768" s="289">
        <f t="shared" si="137"/>
        <v>4.2125288117775153</v>
      </c>
      <c r="AJ1768" s="289">
        <f t="shared" si="138"/>
        <v>18</v>
      </c>
      <c r="AK1768" s="289">
        <f t="shared" si="139"/>
        <v>75.825518611995278</v>
      </c>
    </row>
    <row r="1769" spans="1:37">
      <c r="A1769" s="703" t="s">
        <v>3294</v>
      </c>
      <c r="B1769" s="703" t="s">
        <v>2849</v>
      </c>
      <c r="C1769" s="703" t="s">
        <v>332</v>
      </c>
      <c r="D1769" s="703" t="s">
        <v>334</v>
      </c>
      <c r="E1769" s="703" t="s">
        <v>334</v>
      </c>
      <c r="F1769" s="703" t="s">
        <v>335</v>
      </c>
      <c r="G1769" s="703" t="s">
        <v>3295</v>
      </c>
      <c r="H1769" s="703" t="s">
        <v>334</v>
      </c>
      <c r="I1769" s="703" t="s">
        <v>334</v>
      </c>
      <c r="J1769" s="703" t="s">
        <v>337</v>
      </c>
      <c r="K1769" s="704">
        <v>0</v>
      </c>
      <c r="L1769" s="703" t="s">
        <v>334</v>
      </c>
      <c r="M1769" s="702">
        <v>42886</v>
      </c>
      <c r="N1769" s="702">
        <v>44516</v>
      </c>
      <c r="O1769" s="703" t="s">
        <v>338</v>
      </c>
      <c r="P1769" s="20">
        <v>121.66</v>
      </c>
      <c r="Q1769" s="20">
        <v>0</v>
      </c>
      <c r="R1769" s="20">
        <v>0</v>
      </c>
      <c r="S1769" s="20">
        <v>0</v>
      </c>
      <c r="T1769" s="20">
        <v>121.66</v>
      </c>
      <c r="U1769" s="20">
        <v>121.32</v>
      </c>
      <c r="V1769" s="20">
        <v>-0.34</v>
      </c>
      <c r="W1769" s="20">
        <v>-4.4000000000000004</v>
      </c>
      <c r="X1769" s="20">
        <v>-4.0599999999999996</v>
      </c>
      <c r="Y1769" s="20">
        <v>0</v>
      </c>
      <c r="Z1769" s="20">
        <v>0</v>
      </c>
      <c r="AA1769" s="20">
        <v>0</v>
      </c>
      <c r="AB1769" s="20">
        <v>117.26</v>
      </c>
      <c r="AC1769" t="s">
        <v>183</v>
      </c>
      <c r="AD1769" t="s">
        <v>290</v>
      </c>
      <c r="AE1769" s="702">
        <f t="shared" si="135"/>
        <v>44348</v>
      </c>
      <c r="AF1769" s="289">
        <v>139.6955084247281</v>
      </c>
      <c r="AG1769">
        <f t="shared" si="136"/>
        <v>360</v>
      </c>
      <c r="AH1769" s="289">
        <f t="shared" si="137"/>
        <v>0.38804307895757806</v>
      </c>
      <c r="AJ1769" s="289">
        <f t="shared" si="138"/>
        <v>18</v>
      </c>
      <c r="AK1769" s="289">
        <f t="shared" si="139"/>
        <v>6.9847754212364048</v>
      </c>
    </row>
    <row r="1770" spans="1:37">
      <c r="A1770" s="703" t="s">
        <v>3296</v>
      </c>
      <c r="B1770" s="703" t="s">
        <v>2849</v>
      </c>
      <c r="C1770" s="703" t="s">
        <v>332</v>
      </c>
      <c r="D1770" s="703" t="s">
        <v>334</v>
      </c>
      <c r="E1770" s="703" t="s">
        <v>334</v>
      </c>
      <c r="F1770" s="703" t="s">
        <v>335</v>
      </c>
      <c r="G1770" s="703" t="s">
        <v>3295</v>
      </c>
      <c r="H1770" s="703" t="s">
        <v>334</v>
      </c>
      <c r="I1770" s="703" t="s">
        <v>334</v>
      </c>
      <c r="J1770" s="703" t="s">
        <v>337</v>
      </c>
      <c r="K1770" s="704">
        <v>0</v>
      </c>
      <c r="L1770" s="703" t="s">
        <v>334</v>
      </c>
      <c r="M1770" s="702">
        <v>42886</v>
      </c>
      <c r="N1770" s="702">
        <v>44516</v>
      </c>
      <c r="O1770" s="703" t="s">
        <v>338</v>
      </c>
      <c r="P1770" s="20">
        <v>1003.8</v>
      </c>
      <c r="Q1770" s="20">
        <v>0</v>
      </c>
      <c r="R1770" s="20">
        <v>0</v>
      </c>
      <c r="S1770" s="20">
        <v>0</v>
      </c>
      <c r="T1770" s="20">
        <v>1003.8</v>
      </c>
      <c r="U1770" s="20">
        <v>1001.01</v>
      </c>
      <c r="V1770" s="20">
        <v>-2.79</v>
      </c>
      <c r="W1770" s="20">
        <v>-36.25</v>
      </c>
      <c r="X1770" s="20">
        <v>-33.46</v>
      </c>
      <c r="Y1770" s="20">
        <v>0</v>
      </c>
      <c r="Z1770" s="20">
        <v>0</v>
      </c>
      <c r="AA1770" s="20">
        <v>0</v>
      </c>
      <c r="AB1770" s="20">
        <v>967.55</v>
      </c>
      <c r="AC1770" t="s">
        <v>183</v>
      </c>
      <c r="AD1770" t="s">
        <v>290</v>
      </c>
      <c r="AE1770" s="702">
        <f t="shared" si="135"/>
        <v>44348</v>
      </c>
      <c r="AF1770" s="289">
        <v>1152.6085102477566</v>
      </c>
      <c r="AG1770">
        <f t="shared" si="136"/>
        <v>360</v>
      </c>
      <c r="AH1770" s="289">
        <f t="shared" si="137"/>
        <v>3.2016903062437683</v>
      </c>
      <c r="AJ1770" s="289">
        <f t="shared" si="138"/>
        <v>18</v>
      </c>
      <c r="AK1770" s="289">
        <f t="shared" si="139"/>
        <v>57.630425512387831</v>
      </c>
    </row>
    <row r="1771" spans="1:37">
      <c r="A1771" s="703" t="s">
        <v>3297</v>
      </c>
      <c r="B1771" s="703" t="s">
        <v>2849</v>
      </c>
      <c r="C1771" s="703" t="s">
        <v>332</v>
      </c>
      <c r="D1771" s="703" t="s">
        <v>334</v>
      </c>
      <c r="E1771" s="703" t="s">
        <v>334</v>
      </c>
      <c r="F1771" s="703" t="s">
        <v>335</v>
      </c>
      <c r="G1771" s="703" t="s">
        <v>3295</v>
      </c>
      <c r="H1771" s="703" t="s">
        <v>334</v>
      </c>
      <c r="I1771" s="703" t="s">
        <v>334</v>
      </c>
      <c r="J1771" s="703" t="s">
        <v>337</v>
      </c>
      <c r="K1771" s="704">
        <v>0</v>
      </c>
      <c r="L1771" s="703" t="s">
        <v>334</v>
      </c>
      <c r="M1771" s="702">
        <v>42886</v>
      </c>
      <c r="N1771" s="702">
        <v>44516</v>
      </c>
      <c r="O1771" s="703" t="s">
        <v>338</v>
      </c>
      <c r="P1771" s="20">
        <v>2425.39</v>
      </c>
      <c r="Q1771" s="20">
        <v>0</v>
      </c>
      <c r="R1771" s="20">
        <v>0</v>
      </c>
      <c r="S1771" s="20">
        <v>0</v>
      </c>
      <c r="T1771" s="20">
        <v>2425.39</v>
      </c>
      <c r="U1771" s="20">
        <v>2418.65</v>
      </c>
      <c r="V1771" s="20">
        <v>-6.74</v>
      </c>
      <c r="W1771" s="20">
        <v>-87.59</v>
      </c>
      <c r="X1771" s="20">
        <v>-80.849999999999994</v>
      </c>
      <c r="Y1771" s="20">
        <v>0</v>
      </c>
      <c r="Z1771" s="20">
        <v>0</v>
      </c>
      <c r="AA1771" s="20">
        <v>0</v>
      </c>
      <c r="AB1771" s="20">
        <v>2337.8000000000002</v>
      </c>
      <c r="AC1771" t="s">
        <v>183</v>
      </c>
      <c r="AD1771" t="s">
        <v>290</v>
      </c>
      <c r="AE1771" s="702">
        <f t="shared" si="135"/>
        <v>44348</v>
      </c>
      <c r="AF1771" s="289">
        <v>2784.9423736499366</v>
      </c>
      <c r="AG1771">
        <f t="shared" si="136"/>
        <v>360</v>
      </c>
      <c r="AH1771" s="289">
        <f t="shared" si="137"/>
        <v>7.7359510379164904</v>
      </c>
      <c r="AJ1771" s="289">
        <f t="shared" si="138"/>
        <v>18</v>
      </c>
      <c r="AK1771" s="289">
        <f t="shared" si="139"/>
        <v>139.24711868249682</v>
      </c>
    </row>
    <row r="1772" spans="1:37">
      <c r="A1772" s="703" t="s">
        <v>3298</v>
      </c>
      <c r="B1772" s="703" t="s">
        <v>2849</v>
      </c>
      <c r="C1772" s="703" t="s">
        <v>332</v>
      </c>
      <c r="D1772" s="703" t="s">
        <v>334</v>
      </c>
      <c r="E1772" s="703" t="s">
        <v>334</v>
      </c>
      <c r="F1772" s="703" t="s">
        <v>335</v>
      </c>
      <c r="G1772" s="703" t="s">
        <v>3295</v>
      </c>
      <c r="H1772" s="703" t="s">
        <v>334</v>
      </c>
      <c r="I1772" s="703" t="s">
        <v>334</v>
      </c>
      <c r="J1772" s="703" t="s">
        <v>337</v>
      </c>
      <c r="K1772" s="704">
        <v>0</v>
      </c>
      <c r="L1772" s="703" t="s">
        <v>334</v>
      </c>
      <c r="M1772" s="702">
        <v>42886</v>
      </c>
      <c r="N1772" s="702">
        <v>44516</v>
      </c>
      <c r="O1772" s="703" t="s">
        <v>338</v>
      </c>
      <c r="P1772" s="20">
        <v>39.36</v>
      </c>
      <c r="Q1772" s="20">
        <v>0</v>
      </c>
      <c r="R1772" s="20">
        <v>0</v>
      </c>
      <c r="S1772" s="20">
        <v>0</v>
      </c>
      <c r="T1772" s="20">
        <v>39.36</v>
      </c>
      <c r="U1772" s="20">
        <v>39.25</v>
      </c>
      <c r="V1772" s="20">
        <v>-0.11</v>
      </c>
      <c r="W1772" s="20">
        <v>-1.42</v>
      </c>
      <c r="X1772" s="20">
        <v>-1.31</v>
      </c>
      <c r="Y1772" s="20">
        <v>0</v>
      </c>
      <c r="Z1772" s="20">
        <v>0</v>
      </c>
      <c r="AA1772" s="20">
        <v>0</v>
      </c>
      <c r="AB1772" s="20">
        <v>37.94</v>
      </c>
      <c r="AC1772" t="s">
        <v>183</v>
      </c>
      <c r="AD1772" t="s">
        <v>290</v>
      </c>
      <c r="AE1772" s="702">
        <f t="shared" si="135"/>
        <v>44348</v>
      </c>
      <c r="AF1772" s="289">
        <v>45.194930228483464</v>
      </c>
      <c r="AG1772">
        <f t="shared" si="136"/>
        <v>360</v>
      </c>
      <c r="AH1772" s="289">
        <f t="shared" si="137"/>
        <v>0.12554147285689851</v>
      </c>
      <c r="AJ1772" s="289">
        <f t="shared" si="138"/>
        <v>18</v>
      </c>
      <c r="AK1772" s="289">
        <f t="shared" si="139"/>
        <v>2.259746511424173</v>
      </c>
    </row>
    <row r="1773" spans="1:37">
      <c r="A1773" s="703" t="s">
        <v>3299</v>
      </c>
      <c r="B1773" s="703" t="s">
        <v>2849</v>
      </c>
      <c r="C1773" s="703" t="s">
        <v>332</v>
      </c>
      <c r="D1773" s="703" t="s">
        <v>334</v>
      </c>
      <c r="E1773" s="703" t="s">
        <v>334</v>
      </c>
      <c r="F1773" s="703" t="s">
        <v>335</v>
      </c>
      <c r="G1773" s="703" t="s">
        <v>3295</v>
      </c>
      <c r="H1773" s="703" t="s">
        <v>334</v>
      </c>
      <c r="I1773" s="703" t="s">
        <v>334</v>
      </c>
      <c r="J1773" s="703" t="s">
        <v>337</v>
      </c>
      <c r="K1773" s="704">
        <v>0</v>
      </c>
      <c r="L1773" s="703" t="s">
        <v>334</v>
      </c>
      <c r="M1773" s="702">
        <v>42886</v>
      </c>
      <c r="N1773" s="702">
        <v>44516</v>
      </c>
      <c r="O1773" s="703" t="s">
        <v>338</v>
      </c>
      <c r="P1773" s="20">
        <v>1452.79</v>
      </c>
      <c r="Q1773" s="20">
        <v>0</v>
      </c>
      <c r="R1773" s="20">
        <v>0</v>
      </c>
      <c r="S1773" s="20">
        <v>0</v>
      </c>
      <c r="T1773" s="20">
        <v>1452.79</v>
      </c>
      <c r="U1773" s="20">
        <v>1448.75</v>
      </c>
      <c r="V1773" s="20">
        <v>-4.04</v>
      </c>
      <c r="W1773" s="20">
        <v>-52.47</v>
      </c>
      <c r="X1773" s="20">
        <v>-48.43</v>
      </c>
      <c r="Y1773" s="20">
        <v>0</v>
      </c>
      <c r="Z1773" s="20">
        <v>0</v>
      </c>
      <c r="AA1773" s="20">
        <v>0</v>
      </c>
      <c r="AB1773" s="20">
        <v>1400.32</v>
      </c>
      <c r="AC1773" t="s">
        <v>183</v>
      </c>
      <c r="AD1773" t="s">
        <v>290</v>
      </c>
      <c r="AE1773" s="702">
        <f t="shared" si="135"/>
        <v>44348</v>
      </c>
      <c r="AF1773" s="289">
        <v>1668.1591129735391</v>
      </c>
      <c r="AG1773">
        <f t="shared" si="136"/>
        <v>360</v>
      </c>
      <c r="AH1773" s="289">
        <f t="shared" si="137"/>
        <v>4.6337753138153861</v>
      </c>
      <c r="AJ1773" s="289">
        <f t="shared" si="138"/>
        <v>18</v>
      </c>
      <c r="AK1773" s="289">
        <f t="shared" si="139"/>
        <v>83.407955648676946</v>
      </c>
    </row>
    <row r="1774" spans="1:37">
      <c r="A1774" s="703" t="s">
        <v>3300</v>
      </c>
      <c r="B1774" s="703" t="s">
        <v>2849</v>
      </c>
      <c r="C1774" s="703" t="s">
        <v>390</v>
      </c>
      <c r="D1774" s="703" t="s">
        <v>334</v>
      </c>
      <c r="E1774" s="703" t="s">
        <v>334</v>
      </c>
      <c r="F1774" s="703" t="s">
        <v>335</v>
      </c>
      <c r="G1774" s="703" t="s">
        <v>3301</v>
      </c>
      <c r="H1774" s="703" t="s">
        <v>334</v>
      </c>
      <c r="I1774" s="703" t="s">
        <v>334</v>
      </c>
      <c r="J1774" s="703" t="s">
        <v>337</v>
      </c>
      <c r="K1774" s="704">
        <v>0</v>
      </c>
      <c r="L1774" s="703" t="s">
        <v>334</v>
      </c>
      <c r="M1774" s="702">
        <v>42886</v>
      </c>
      <c r="N1774" s="702">
        <v>44516</v>
      </c>
      <c r="O1774" s="703" t="s">
        <v>338</v>
      </c>
      <c r="P1774" s="20">
        <v>484.98</v>
      </c>
      <c r="Q1774" s="20">
        <v>0</v>
      </c>
      <c r="R1774" s="20">
        <v>0</v>
      </c>
      <c r="S1774" s="20">
        <v>0</v>
      </c>
      <c r="T1774" s="20">
        <v>484.98</v>
      </c>
      <c r="U1774" s="20">
        <v>483.63</v>
      </c>
      <c r="V1774" s="20">
        <v>-1.35</v>
      </c>
      <c r="W1774" s="20">
        <v>-17.52</v>
      </c>
      <c r="X1774" s="20">
        <v>-16.170000000000002</v>
      </c>
      <c r="Y1774" s="20">
        <v>0</v>
      </c>
      <c r="Z1774" s="20">
        <v>0</v>
      </c>
      <c r="AA1774" s="20">
        <v>0</v>
      </c>
      <c r="AB1774" s="20">
        <v>467.46</v>
      </c>
      <c r="AC1774" t="s">
        <v>188</v>
      </c>
      <c r="AD1774" t="s">
        <v>290</v>
      </c>
      <c r="AE1774" s="702">
        <f t="shared" si="135"/>
        <v>44348</v>
      </c>
      <c r="AF1774" s="289">
        <v>556.87594670248757</v>
      </c>
      <c r="AG1774">
        <f t="shared" si="136"/>
        <v>360</v>
      </c>
      <c r="AH1774" s="289">
        <f t="shared" si="137"/>
        <v>1.5468776297291322</v>
      </c>
      <c r="AJ1774" s="289">
        <f t="shared" si="138"/>
        <v>18</v>
      </c>
      <c r="AK1774" s="289">
        <f t="shared" si="139"/>
        <v>27.843797335124378</v>
      </c>
    </row>
    <row r="1775" spans="1:37">
      <c r="A1775" s="703" t="s">
        <v>3302</v>
      </c>
      <c r="B1775" s="703" t="s">
        <v>2849</v>
      </c>
      <c r="C1775" s="703" t="s">
        <v>390</v>
      </c>
      <c r="D1775" s="703" t="s">
        <v>334</v>
      </c>
      <c r="E1775" s="703" t="s">
        <v>334</v>
      </c>
      <c r="F1775" s="703" t="s">
        <v>335</v>
      </c>
      <c r="G1775" s="703" t="s">
        <v>3301</v>
      </c>
      <c r="H1775" s="703" t="s">
        <v>334</v>
      </c>
      <c r="I1775" s="703" t="s">
        <v>334</v>
      </c>
      <c r="J1775" s="703" t="s">
        <v>337</v>
      </c>
      <c r="K1775" s="704">
        <v>0</v>
      </c>
      <c r="L1775" s="703" t="s">
        <v>334</v>
      </c>
      <c r="M1775" s="702">
        <v>42886</v>
      </c>
      <c r="N1775" s="702">
        <v>44516</v>
      </c>
      <c r="O1775" s="703" t="s">
        <v>338</v>
      </c>
      <c r="P1775" s="20">
        <v>595.54999999999995</v>
      </c>
      <c r="Q1775" s="20">
        <v>0</v>
      </c>
      <c r="R1775" s="20">
        <v>0</v>
      </c>
      <c r="S1775" s="20">
        <v>0</v>
      </c>
      <c r="T1775" s="20">
        <v>595.54999999999995</v>
      </c>
      <c r="U1775" s="20">
        <v>593.9</v>
      </c>
      <c r="V1775" s="20">
        <v>-1.65</v>
      </c>
      <c r="W1775" s="20">
        <v>-21.5</v>
      </c>
      <c r="X1775" s="20">
        <v>-19.850000000000001</v>
      </c>
      <c r="Y1775" s="20">
        <v>0</v>
      </c>
      <c r="Z1775" s="20">
        <v>0</v>
      </c>
      <c r="AA1775" s="20">
        <v>0</v>
      </c>
      <c r="AB1775" s="20">
        <v>574.04999999999995</v>
      </c>
      <c r="AC1775" t="s">
        <v>188</v>
      </c>
      <c r="AD1775" t="s">
        <v>290</v>
      </c>
      <c r="AE1775" s="702">
        <f t="shared" si="135"/>
        <v>44348</v>
      </c>
      <c r="AF1775" s="289">
        <v>683.8374160968832</v>
      </c>
      <c r="AG1775">
        <f t="shared" si="136"/>
        <v>360</v>
      </c>
      <c r="AH1775" s="289">
        <f t="shared" si="137"/>
        <v>1.8995483780468978</v>
      </c>
      <c r="AJ1775" s="289">
        <f t="shared" si="138"/>
        <v>18</v>
      </c>
      <c r="AK1775" s="289">
        <f t="shared" si="139"/>
        <v>34.191870804844157</v>
      </c>
    </row>
    <row r="1776" spans="1:37">
      <c r="A1776" s="703" t="s">
        <v>3303</v>
      </c>
      <c r="B1776" s="703" t="s">
        <v>2849</v>
      </c>
      <c r="C1776" s="703" t="s">
        <v>390</v>
      </c>
      <c r="D1776" s="703" t="s">
        <v>334</v>
      </c>
      <c r="E1776" s="703" t="s">
        <v>334</v>
      </c>
      <c r="F1776" s="703" t="s">
        <v>335</v>
      </c>
      <c r="G1776" s="703" t="s">
        <v>3301</v>
      </c>
      <c r="H1776" s="703" t="s">
        <v>334</v>
      </c>
      <c r="I1776" s="703" t="s">
        <v>334</v>
      </c>
      <c r="J1776" s="703" t="s">
        <v>337</v>
      </c>
      <c r="K1776" s="704">
        <v>0</v>
      </c>
      <c r="L1776" s="703" t="s">
        <v>334</v>
      </c>
      <c r="M1776" s="702">
        <v>42886</v>
      </c>
      <c r="N1776" s="702">
        <v>44516</v>
      </c>
      <c r="O1776" s="703" t="s">
        <v>338</v>
      </c>
      <c r="P1776" s="20">
        <v>473.3</v>
      </c>
      <c r="Q1776" s="20">
        <v>0</v>
      </c>
      <c r="R1776" s="20">
        <v>0</v>
      </c>
      <c r="S1776" s="20">
        <v>0</v>
      </c>
      <c r="T1776" s="20">
        <v>473.3</v>
      </c>
      <c r="U1776" s="20">
        <v>471.99</v>
      </c>
      <c r="V1776" s="20">
        <v>-1.31</v>
      </c>
      <c r="W1776" s="20">
        <v>-17.09</v>
      </c>
      <c r="X1776" s="20">
        <v>-15.78</v>
      </c>
      <c r="Y1776" s="20">
        <v>0</v>
      </c>
      <c r="Z1776" s="20">
        <v>0</v>
      </c>
      <c r="AA1776" s="20">
        <v>0</v>
      </c>
      <c r="AB1776" s="20">
        <v>456.21</v>
      </c>
      <c r="AC1776" t="s">
        <v>188</v>
      </c>
      <c r="AD1776" t="s">
        <v>290</v>
      </c>
      <c r="AE1776" s="702">
        <f t="shared" si="135"/>
        <v>44348</v>
      </c>
      <c r="AF1776" s="289">
        <v>543.46444301679935</v>
      </c>
      <c r="AG1776">
        <f t="shared" si="136"/>
        <v>360</v>
      </c>
      <c r="AH1776" s="289">
        <f t="shared" si="137"/>
        <v>1.5096234528244425</v>
      </c>
      <c r="AJ1776" s="289">
        <f t="shared" si="138"/>
        <v>18</v>
      </c>
      <c r="AK1776" s="289">
        <f t="shared" si="139"/>
        <v>27.173222150839965</v>
      </c>
    </row>
    <row r="1777" spans="1:37">
      <c r="A1777" s="703" t="s">
        <v>3304</v>
      </c>
      <c r="B1777" s="703" t="s">
        <v>2849</v>
      </c>
      <c r="C1777" s="703" t="s">
        <v>390</v>
      </c>
      <c r="D1777" s="703" t="s">
        <v>334</v>
      </c>
      <c r="E1777" s="703" t="s">
        <v>334</v>
      </c>
      <c r="F1777" s="703" t="s">
        <v>335</v>
      </c>
      <c r="G1777" s="703" t="s">
        <v>3301</v>
      </c>
      <c r="H1777" s="703" t="s">
        <v>334</v>
      </c>
      <c r="I1777" s="703" t="s">
        <v>334</v>
      </c>
      <c r="J1777" s="703" t="s">
        <v>337</v>
      </c>
      <c r="K1777" s="704">
        <v>0</v>
      </c>
      <c r="L1777" s="703" t="s">
        <v>334</v>
      </c>
      <c r="M1777" s="702">
        <v>42886</v>
      </c>
      <c r="N1777" s="702">
        <v>44516</v>
      </c>
      <c r="O1777" s="703" t="s">
        <v>338</v>
      </c>
      <c r="P1777" s="20">
        <v>485.98</v>
      </c>
      <c r="Q1777" s="20">
        <v>0</v>
      </c>
      <c r="R1777" s="20">
        <v>0</v>
      </c>
      <c r="S1777" s="20">
        <v>0</v>
      </c>
      <c r="T1777" s="20">
        <v>485.98</v>
      </c>
      <c r="U1777" s="20">
        <v>484.63</v>
      </c>
      <c r="V1777" s="20">
        <v>-1.35</v>
      </c>
      <c r="W1777" s="20">
        <v>-17.55</v>
      </c>
      <c r="X1777" s="20">
        <v>-16.2</v>
      </c>
      <c r="Y1777" s="20">
        <v>0</v>
      </c>
      <c r="Z1777" s="20">
        <v>0</v>
      </c>
      <c r="AA1777" s="20">
        <v>0</v>
      </c>
      <c r="AB1777" s="20">
        <v>468.43</v>
      </c>
      <c r="AC1777" t="s">
        <v>188</v>
      </c>
      <c r="AD1777" t="s">
        <v>290</v>
      </c>
      <c r="AE1777" s="702">
        <f t="shared" si="135"/>
        <v>44348</v>
      </c>
      <c r="AF1777" s="289">
        <v>558.02419188105671</v>
      </c>
      <c r="AG1777">
        <f t="shared" si="136"/>
        <v>360</v>
      </c>
      <c r="AH1777" s="289">
        <f t="shared" si="137"/>
        <v>1.550067199669602</v>
      </c>
      <c r="AJ1777" s="289">
        <f t="shared" si="138"/>
        <v>18</v>
      </c>
      <c r="AK1777" s="289">
        <f t="shared" si="139"/>
        <v>27.901209594052837</v>
      </c>
    </row>
    <row r="1778" spans="1:37">
      <c r="A1778" s="703" t="s">
        <v>3305</v>
      </c>
      <c r="B1778" s="703" t="s">
        <v>2849</v>
      </c>
      <c r="C1778" s="703" t="s">
        <v>390</v>
      </c>
      <c r="D1778" s="703" t="s">
        <v>334</v>
      </c>
      <c r="E1778" s="703" t="s">
        <v>334</v>
      </c>
      <c r="F1778" s="703" t="s">
        <v>335</v>
      </c>
      <c r="G1778" s="703" t="s">
        <v>3301</v>
      </c>
      <c r="H1778" s="703" t="s">
        <v>334</v>
      </c>
      <c r="I1778" s="703" t="s">
        <v>334</v>
      </c>
      <c r="J1778" s="703" t="s">
        <v>337</v>
      </c>
      <c r="K1778" s="704">
        <v>0</v>
      </c>
      <c r="L1778" s="703" t="s">
        <v>334</v>
      </c>
      <c r="M1778" s="702">
        <v>42886</v>
      </c>
      <c r="N1778" s="702">
        <v>44516</v>
      </c>
      <c r="O1778" s="703" t="s">
        <v>338</v>
      </c>
      <c r="P1778" s="20">
        <v>572.53</v>
      </c>
      <c r="Q1778" s="20">
        <v>0</v>
      </c>
      <c r="R1778" s="20">
        <v>0</v>
      </c>
      <c r="S1778" s="20">
        <v>0</v>
      </c>
      <c r="T1778" s="20">
        <v>572.53</v>
      </c>
      <c r="U1778" s="20">
        <v>570.94000000000005</v>
      </c>
      <c r="V1778" s="20">
        <v>-1.59</v>
      </c>
      <c r="W1778" s="20">
        <v>-20.67</v>
      </c>
      <c r="X1778" s="20">
        <v>-19.079999999999998</v>
      </c>
      <c r="Y1778" s="20">
        <v>0</v>
      </c>
      <c r="Z1778" s="20">
        <v>0</v>
      </c>
      <c r="AA1778" s="20">
        <v>0</v>
      </c>
      <c r="AB1778" s="20">
        <v>551.86</v>
      </c>
      <c r="AC1778" t="s">
        <v>188</v>
      </c>
      <c r="AD1778" t="s">
        <v>290</v>
      </c>
      <c r="AE1778" s="702">
        <f t="shared" si="135"/>
        <v>44348</v>
      </c>
      <c r="AF1778" s="289">
        <v>657.40481208622043</v>
      </c>
      <c r="AG1778">
        <f t="shared" si="136"/>
        <v>360</v>
      </c>
      <c r="AH1778" s="289">
        <f t="shared" si="137"/>
        <v>1.826124478017279</v>
      </c>
      <c r="AJ1778" s="289">
        <f t="shared" si="138"/>
        <v>18</v>
      </c>
      <c r="AK1778" s="289">
        <f t="shared" si="139"/>
        <v>32.870240604311022</v>
      </c>
    </row>
    <row r="1779" spans="1:37">
      <c r="A1779" s="703" t="s">
        <v>3306</v>
      </c>
      <c r="B1779" s="703" t="s">
        <v>2849</v>
      </c>
      <c r="C1779" s="703" t="s">
        <v>390</v>
      </c>
      <c r="D1779" s="703" t="s">
        <v>334</v>
      </c>
      <c r="E1779" s="703" t="s">
        <v>334</v>
      </c>
      <c r="F1779" s="703" t="s">
        <v>335</v>
      </c>
      <c r="G1779" s="703" t="s">
        <v>3301</v>
      </c>
      <c r="H1779" s="703" t="s">
        <v>334</v>
      </c>
      <c r="I1779" s="703" t="s">
        <v>334</v>
      </c>
      <c r="J1779" s="703" t="s">
        <v>337</v>
      </c>
      <c r="K1779" s="704">
        <v>0</v>
      </c>
      <c r="L1779" s="703" t="s">
        <v>334</v>
      </c>
      <c r="M1779" s="702">
        <v>42886</v>
      </c>
      <c r="N1779" s="702">
        <v>44516</v>
      </c>
      <c r="O1779" s="703" t="s">
        <v>338</v>
      </c>
      <c r="P1779" s="20">
        <v>192.9</v>
      </c>
      <c r="Q1779" s="20">
        <v>0</v>
      </c>
      <c r="R1779" s="20">
        <v>0</v>
      </c>
      <c r="S1779" s="20">
        <v>0</v>
      </c>
      <c r="T1779" s="20">
        <v>192.9</v>
      </c>
      <c r="U1779" s="20">
        <v>192.36</v>
      </c>
      <c r="V1779" s="20">
        <v>-0.54</v>
      </c>
      <c r="W1779" s="20">
        <v>-6.97</v>
      </c>
      <c r="X1779" s="20">
        <v>-6.43</v>
      </c>
      <c r="Y1779" s="20">
        <v>0</v>
      </c>
      <c r="Z1779" s="20">
        <v>0</v>
      </c>
      <c r="AA1779" s="20">
        <v>0</v>
      </c>
      <c r="AB1779" s="20">
        <v>185.93</v>
      </c>
      <c r="AC1779" t="s">
        <v>188</v>
      </c>
      <c r="AD1779" t="s">
        <v>290</v>
      </c>
      <c r="AE1779" s="702">
        <f t="shared" si="135"/>
        <v>44348</v>
      </c>
      <c r="AF1779" s="289">
        <v>221.49649494599748</v>
      </c>
      <c r="AG1779">
        <f t="shared" si="136"/>
        <v>360</v>
      </c>
      <c r="AH1779" s="289">
        <f t="shared" si="137"/>
        <v>0.6152680415166597</v>
      </c>
      <c r="AJ1779" s="289">
        <f t="shared" si="138"/>
        <v>18</v>
      </c>
      <c r="AK1779" s="289">
        <f t="shared" si="139"/>
        <v>11.074824747299875</v>
      </c>
    </row>
    <row r="1780" spans="1:37">
      <c r="A1780" s="703" t="s">
        <v>3307</v>
      </c>
      <c r="B1780" s="703" t="s">
        <v>2849</v>
      </c>
      <c r="C1780" s="703" t="s">
        <v>390</v>
      </c>
      <c r="D1780" s="703" t="s">
        <v>334</v>
      </c>
      <c r="E1780" s="703" t="s">
        <v>334</v>
      </c>
      <c r="F1780" s="703" t="s">
        <v>335</v>
      </c>
      <c r="G1780" s="703" t="s">
        <v>3301</v>
      </c>
      <c r="H1780" s="703" t="s">
        <v>334</v>
      </c>
      <c r="I1780" s="703" t="s">
        <v>334</v>
      </c>
      <c r="J1780" s="703" t="s">
        <v>337</v>
      </c>
      <c r="K1780" s="704">
        <v>0</v>
      </c>
      <c r="L1780" s="703" t="s">
        <v>334</v>
      </c>
      <c r="M1780" s="702">
        <v>42886</v>
      </c>
      <c r="N1780" s="702">
        <v>44516</v>
      </c>
      <c r="O1780" s="703" t="s">
        <v>338</v>
      </c>
      <c r="P1780" s="20">
        <v>169.82</v>
      </c>
      <c r="Q1780" s="20">
        <v>0</v>
      </c>
      <c r="R1780" s="20">
        <v>0</v>
      </c>
      <c r="S1780" s="20">
        <v>0</v>
      </c>
      <c r="T1780" s="20">
        <v>169.82</v>
      </c>
      <c r="U1780" s="20">
        <v>169.35</v>
      </c>
      <c r="V1780" s="20">
        <v>-0.47</v>
      </c>
      <c r="W1780" s="20">
        <v>-6.13</v>
      </c>
      <c r="X1780" s="20">
        <v>-5.66</v>
      </c>
      <c r="Y1780" s="20">
        <v>0</v>
      </c>
      <c r="Z1780" s="20">
        <v>0</v>
      </c>
      <c r="AA1780" s="20">
        <v>0</v>
      </c>
      <c r="AB1780" s="20">
        <v>163.69</v>
      </c>
      <c r="AC1780" t="s">
        <v>188</v>
      </c>
      <c r="AD1780" t="s">
        <v>290</v>
      </c>
      <c r="AE1780" s="702">
        <f t="shared" si="135"/>
        <v>44348</v>
      </c>
      <c r="AF1780" s="289">
        <v>194.99499622462048</v>
      </c>
      <c r="AG1780">
        <f t="shared" si="136"/>
        <v>360</v>
      </c>
      <c r="AH1780" s="289">
        <f t="shared" si="137"/>
        <v>0.5416527672906124</v>
      </c>
      <c r="AJ1780" s="289">
        <f t="shared" si="138"/>
        <v>18</v>
      </c>
      <c r="AK1780" s="289">
        <f t="shared" si="139"/>
        <v>9.7497498112310232</v>
      </c>
    </row>
    <row r="1781" spans="1:37">
      <c r="A1781" s="703" t="s">
        <v>3308</v>
      </c>
      <c r="B1781" s="703" t="s">
        <v>2849</v>
      </c>
      <c r="C1781" s="703" t="s">
        <v>390</v>
      </c>
      <c r="D1781" s="703" t="s">
        <v>334</v>
      </c>
      <c r="E1781" s="703" t="s">
        <v>334</v>
      </c>
      <c r="F1781" s="703" t="s">
        <v>335</v>
      </c>
      <c r="G1781" s="703" t="s">
        <v>3301</v>
      </c>
      <c r="H1781" s="703" t="s">
        <v>334</v>
      </c>
      <c r="I1781" s="703" t="s">
        <v>334</v>
      </c>
      <c r="J1781" s="703" t="s">
        <v>337</v>
      </c>
      <c r="K1781" s="704">
        <v>0</v>
      </c>
      <c r="L1781" s="703" t="s">
        <v>334</v>
      </c>
      <c r="M1781" s="702">
        <v>42886</v>
      </c>
      <c r="N1781" s="702">
        <v>44516</v>
      </c>
      <c r="O1781" s="703" t="s">
        <v>338</v>
      </c>
      <c r="P1781" s="20">
        <v>58.8</v>
      </c>
      <c r="Q1781" s="20">
        <v>0</v>
      </c>
      <c r="R1781" s="20">
        <v>0</v>
      </c>
      <c r="S1781" s="20">
        <v>0</v>
      </c>
      <c r="T1781" s="20">
        <v>58.8</v>
      </c>
      <c r="U1781" s="20">
        <v>58.64</v>
      </c>
      <c r="V1781" s="20">
        <v>-0.16</v>
      </c>
      <c r="W1781" s="20">
        <v>-2.12</v>
      </c>
      <c r="X1781" s="20">
        <v>-1.96</v>
      </c>
      <c r="Y1781" s="20">
        <v>0</v>
      </c>
      <c r="Z1781" s="20">
        <v>0</v>
      </c>
      <c r="AA1781" s="20">
        <v>0</v>
      </c>
      <c r="AB1781" s="20">
        <v>56.68</v>
      </c>
      <c r="AC1781" t="s">
        <v>188</v>
      </c>
      <c r="AD1781" t="s">
        <v>290</v>
      </c>
      <c r="AE1781" s="702">
        <f t="shared" si="135"/>
        <v>44348</v>
      </c>
      <c r="AF1781" s="289">
        <v>67.516816499868597</v>
      </c>
      <c r="AG1781">
        <f t="shared" si="136"/>
        <v>360</v>
      </c>
      <c r="AH1781" s="289">
        <f t="shared" si="137"/>
        <v>0.187546712499635</v>
      </c>
      <c r="AJ1781" s="289">
        <f t="shared" si="138"/>
        <v>18</v>
      </c>
      <c r="AK1781" s="289">
        <f t="shared" si="139"/>
        <v>3.3758408249934302</v>
      </c>
    </row>
    <row r="1782" spans="1:37">
      <c r="A1782" s="703" t="s">
        <v>3309</v>
      </c>
      <c r="B1782" s="703" t="s">
        <v>2849</v>
      </c>
      <c r="C1782" s="703" t="s">
        <v>390</v>
      </c>
      <c r="D1782" s="703" t="s">
        <v>334</v>
      </c>
      <c r="E1782" s="703" t="s">
        <v>334</v>
      </c>
      <c r="F1782" s="703" t="s">
        <v>335</v>
      </c>
      <c r="G1782" s="703" t="s">
        <v>3301</v>
      </c>
      <c r="H1782" s="703" t="s">
        <v>334</v>
      </c>
      <c r="I1782" s="703" t="s">
        <v>334</v>
      </c>
      <c r="J1782" s="703" t="s">
        <v>337</v>
      </c>
      <c r="K1782" s="704">
        <v>0</v>
      </c>
      <c r="L1782" s="703" t="s">
        <v>334</v>
      </c>
      <c r="M1782" s="702">
        <v>42886</v>
      </c>
      <c r="N1782" s="702">
        <v>44516</v>
      </c>
      <c r="O1782" s="703" t="s">
        <v>338</v>
      </c>
      <c r="P1782" s="20">
        <v>109.67</v>
      </c>
      <c r="Q1782" s="20">
        <v>0</v>
      </c>
      <c r="R1782" s="20">
        <v>0</v>
      </c>
      <c r="S1782" s="20">
        <v>0</v>
      </c>
      <c r="T1782" s="20">
        <v>109.67</v>
      </c>
      <c r="U1782" s="20">
        <v>109.37</v>
      </c>
      <c r="V1782" s="20">
        <v>-0.3</v>
      </c>
      <c r="W1782" s="20">
        <v>-3.96</v>
      </c>
      <c r="X1782" s="20">
        <v>-3.66</v>
      </c>
      <c r="Y1782" s="20">
        <v>0</v>
      </c>
      <c r="Z1782" s="20">
        <v>0</v>
      </c>
      <c r="AA1782" s="20">
        <v>0</v>
      </c>
      <c r="AB1782" s="20">
        <v>105.71</v>
      </c>
      <c r="AC1782" t="s">
        <v>188</v>
      </c>
      <c r="AD1782" t="s">
        <v>290</v>
      </c>
      <c r="AE1782" s="702">
        <f t="shared" si="135"/>
        <v>44348</v>
      </c>
      <c r="AF1782" s="289">
        <v>125.92804873368348</v>
      </c>
      <c r="AG1782">
        <f t="shared" si="136"/>
        <v>360</v>
      </c>
      <c r="AH1782" s="289">
        <f t="shared" si="137"/>
        <v>0.34980013537134302</v>
      </c>
      <c r="AJ1782" s="289">
        <f t="shared" si="138"/>
        <v>18</v>
      </c>
      <c r="AK1782" s="289">
        <f t="shared" si="139"/>
        <v>6.2964024366841747</v>
      </c>
    </row>
    <row r="1783" spans="1:37">
      <c r="A1783" s="703" t="s">
        <v>3310</v>
      </c>
      <c r="B1783" s="703" t="s">
        <v>2849</v>
      </c>
      <c r="C1783" s="703" t="s">
        <v>390</v>
      </c>
      <c r="D1783" s="703" t="s">
        <v>334</v>
      </c>
      <c r="E1783" s="703" t="s">
        <v>334</v>
      </c>
      <c r="F1783" s="703" t="s">
        <v>335</v>
      </c>
      <c r="G1783" s="703" t="s">
        <v>3301</v>
      </c>
      <c r="H1783" s="703" t="s">
        <v>334</v>
      </c>
      <c r="I1783" s="703" t="s">
        <v>334</v>
      </c>
      <c r="J1783" s="703" t="s">
        <v>337</v>
      </c>
      <c r="K1783" s="704">
        <v>0</v>
      </c>
      <c r="L1783" s="703" t="s">
        <v>334</v>
      </c>
      <c r="M1783" s="702">
        <v>42886</v>
      </c>
      <c r="N1783" s="702">
        <v>44516</v>
      </c>
      <c r="O1783" s="703" t="s">
        <v>338</v>
      </c>
      <c r="P1783" s="20">
        <v>20.99</v>
      </c>
      <c r="Q1783" s="20">
        <v>0</v>
      </c>
      <c r="R1783" s="20">
        <v>0</v>
      </c>
      <c r="S1783" s="20">
        <v>0</v>
      </c>
      <c r="T1783" s="20">
        <v>20.99</v>
      </c>
      <c r="U1783" s="20">
        <v>20.93</v>
      </c>
      <c r="V1783" s="20">
        <v>-0.06</v>
      </c>
      <c r="W1783" s="20">
        <v>-0.76</v>
      </c>
      <c r="X1783" s="20">
        <v>-0.7</v>
      </c>
      <c r="Y1783" s="20">
        <v>0</v>
      </c>
      <c r="Z1783" s="20">
        <v>0</v>
      </c>
      <c r="AA1783" s="20">
        <v>0</v>
      </c>
      <c r="AB1783" s="20">
        <v>20.23</v>
      </c>
      <c r="AC1783" t="s">
        <v>188</v>
      </c>
      <c r="AD1783" t="s">
        <v>290</v>
      </c>
      <c r="AE1783" s="702">
        <f t="shared" si="135"/>
        <v>44348</v>
      </c>
      <c r="AF1783" s="289">
        <v>24.101666298167373</v>
      </c>
      <c r="AG1783">
        <f t="shared" si="136"/>
        <v>360</v>
      </c>
      <c r="AH1783" s="289">
        <f t="shared" si="137"/>
        <v>6.6949073050464922E-2</v>
      </c>
      <c r="AJ1783" s="289">
        <f t="shared" si="138"/>
        <v>18</v>
      </c>
      <c r="AK1783" s="289">
        <f t="shared" si="139"/>
        <v>1.2050833149083686</v>
      </c>
    </row>
    <row r="1784" spans="1:37">
      <c r="A1784" s="703" t="s">
        <v>3311</v>
      </c>
      <c r="B1784" s="703" t="s">
        <v>2849</v>
      </c>
      <c r="C1784" s="703" t="s">
        <v>390</v>
      </c>
      <c r="D1784" s="703" t="s">
        <v>334</v>
      </c>
      <c r="E1784" s="703" t="s">
        <v>334</v>
      </c>
      <c r="F1784" s="703" t="s">
        <v>335</v>
      </c>
      <c r="G1784" s="703" t="s">
        <v>3301</v>
      </c>
      <c r="H1784" s="703" t="s">
        <v>334</v>
      </c>
      <c r="I1784" s="703" t="s">
        <v>334</v>
      </c>
      <c r="J1784" s="703" t="s">
        <v>337</v>
      </c>
      <c r="K1784" s="704">
        <v>0</v>
      </c>
      <c r="L1784" s="703" t="s">
        <v>334</v>
      </c>
      <c r="M1784" s="702">
        <v>42886</v>
      </c>
      <c r="N1784" s="702">
        <v>44516</v>
      </c>
      <c r="O1784" s="703" t="s">
        <v>338</v>
      </c>
      <c r="P1784" s="20">
        <v>54.14</v>
      </c>
      <c r="Q1784" s="20">
        <v>0</v>
      </c>
      <c r="R1784" s="20">
        <v>0</v>
      </c>
      <c r="S1784" s="20">
        <v>0</v>
      </c>
      <c r="T1784" s="20">
        <v>54.14</v>
      </c>
      <c r="U1784" s="20">
        <v>53.99</v>
      </c>
      <c r="V1784" s="20">
        <v>-0.15</v>
      </c>
      <c r="W1784" s="20">
        <v>-1.95</v>
      </c>
      <c r="X1784" s="20">
        <v>-1.8</v>
      </c>
      <c r="Y1784" s="20">
        <v>0</v>
      </c>
      <c r="Z1784" s="20">
        <v>0</v>
      </c>
      <c r="AA1784" s="20">
        <v>0</v>
      </c>
      <c r="AB1784" s="20">
        <v>52.19</v>
      </c>
      <c r="AC1784" t="s">
        <v>188</v>
      </c>
      <c r="AD1784" t="s">
        <v>290</v>
      </c>
      <c r="AE1784" s="702">
        <f t="shared" si="135"/>
        <v>44348</v>
      </c>
      <c r="AF1784" s="289">
        <v>62.165993967736149</v>
      </c>
      <c r="AG1784">
        <f t="shared" si="136"/>
        <v>360</v>
      </c>
      <c r="AH1784" s="289">
        <f t="shared" si="137"/>
        <v>0.17268331657704486</v>
      </c>
      <c r="AJ1784" s="289">
        <f t="shared" si="138"/>
        <v>18</v>
      </c>
      <c r="AK1784" s="289">
        <f t="shared" si="139"/>
        <v>3.1082996983868076</v>
      </c>
    </row>
    <row r="1785" spans="1:37">
      <c r="A1785" s="703" t="s">
        <v>3312</v>
      </c>
      <c r="B1785" s="703" t="s">
        <v>2849</v>
      </c>
      <c r="C1785" s="703" t="s">
        <v>390</v>
      </c>
      <c r="D1785" s="703" t="s">
        <v>334</v>
      </c>
      <c r="E1785" s="703" t="s">
        <v>334</v>
      </c>
      <c r="F1785" s="703" t="s">
        <v>335</v>
      </c>
      <c r="G1785" s="703" t="s">
        <v>3301</v>
      </c>
      <c r="H1785" s="703" t="s">
        <v>334</v>
      </c>
      <c r="I1785" s="703" t="s">
        <v>334</v>
      </c>
      <c r="J1785" s="703" t="s">
        <v>337</v>
      </c>
      <c r="K1785" s="704">
        <v>0</v>
      </c>
      <c r="L1785" s="703" t="s">
        <v>334</v>
      </c>
      <c r="M1785" s="702">
        <v>42886</v>
      </c>
      <c r="N1785" s="702">
        <v>44516</v>
      </c>
      <c r="O1785" s="703" t="s">
        <v>338</v>
      </c>
      <c r="P1785" s="20">
        <v>485.57</v>
      </c>
      <c r="Q1785" s="20">
        <v>0</v>
      </c>
      <c r="R1785" s="20">
        <v>0</v>
      </c>
      <c r="S1785" s="20">
        <v>0</v>
      </c>
      <c r="T1785" s="20">
        <v>485.57</v>
      </c>
      <c r="U1785" s="20">
        <v>484.22</v>
      </c>
      <c r="V1785" s="20">
        <v>-1.35</v>
      </c>
      <c r="W1785" s="20">
        <v>-17.54</v>
      </c>
      <c r="X1785" s="20">
        <v>-16.190000000000001</v>
      </c>
      <c r="Y1785" s="20">
        <v>0</v>
      </c>
      <c r="Z1785" s="20">
        <v>0</v>
      </c>
      <c r="AA1785" s="20">
        <v>0</v>
      </c>
      <c r="AB1785" s="20">
        <v>468.03</v>
      </c>
      <c r="AC1785" t="s">
        <v>188</v>
      </c>
      <c r="AD1785" t="s">
        <v>290</v>
      </c>
      <c r="AE1785" s="702">
        <f t="shared" si="135"/>
        <v>44348</v>
      </c>
      <c r="AF1785" s="289">
        <v>557.5534113578434</v>
      </c>
      <c r="AG1785">
        <f t="shared" si="136"/>
        <v>360</v>
      </c>
      <c r="AH1785" s="289">
        <f t="shared" si="137"/>
        <v>1.5487594759940095</v>
      </c>
      <c r="AJ1785" s="289">
        <f t="shared" si="138"/>
        <v>18</v>
      </c>
      <c r="AK1785" s="289">
        <f t="shared" si="139"/>
        <v>27.877670567892171</v>
      </c>
    </row>
    <row r="1786" spans="1:37">
      <c r="A1786" s="703" t="s">
        <v>3313</v>
      </c>
      <c r="B1786" s="703" t="s">
        <v>2849</v>
      </c>
      <c r="C1786" s="703" t="s">
        <v>390</v>
      </c>
      <c r="D1786" s="703" t="s">
        <v>334</v>
      </c>
      <c r="E1786" s="703" t="s">
        <v>334</v>
      </c>
      <c r="F1786" s="703" t="s">
        <v>335</v>
      </c>
      <c r="G1786" s="703" t="s">
        <v>3301</v>
      </c>
      <c r="H1786" s="703" t="s">
        <v>334</v>
      </c>
      <c r="I1786" s="703" t="s">
        <v>334</v>
      </c>
      <c r="J1786" s="703" t="s">
        <v>337</v>
      </c>
      <c r="K1786" s="704">
        <v>0</v>
      </c>
      <c r="L1786" s="703" t="s">
        <v>334</v>
      </c>
      <c r="M1786" s="702">
        <v>42886</v>
      </c>
      <c r="N1786" s="702">
        <v>44516</v>
      </c>
      <c r="O1786" s="703" t="s">
        <v>338</v>
      </c>
      <c r="P1786" s="20">
        <v>97.89</v>
      </c>
      <c r="Q1786" s="20">
        <v>0</v>
      </c>
      <c r="R1786" s="20">
        <v>0</v>
      </c>
      <c r="S1786" s="20">
        <v>0</v>
      </c>
      <c r="T1786" s="20">
        <v>97.89</v>
      </c>
      <c r="U1786" s="20">
        <v>97.62</v>
      </c>
      <c r="V1786" s="20">
        <v>-0.27</v>
      </c>
      <c r="W1786" s="20">
        <v>-3.53</v>
      </c>
      <c r="X1786" s="20">
        <v>-3.26</v>
      </c>
      <c r="Y1786" s="20">
        <v>0</v>
      </c>
      <c r="Z1786" s="20">
        <v>0</v>
      </c>
      <c r="AA1786" s="20">
        <v>0</v>
      </c>
      <c r="AB1786" s="20">
        <v>94.36</v>
      </c>
      <c r="AC1786" t="s">
        <v>188</v>
      </c>
      <c r="AD1786" t="s">
        <v>290</v>
      </c>
      <c r="AE1786" s="702">
        <f t="shared" si="135"/>
        <v>44348</v>
      </c>
      <c r="AF1786" s="289">
        <v>112.40172053013838</v>
      </c>
      <c r="AG1786">
        <f t="shared" si="136"/>
        <v>360</v>
      </c>
      <c r="AH1786" s="289">
        <f t="shared" si="137"/>
        <v>0.31222700147260662</v>
      </c>
      <c r="AJ1786" s="289">
        <f t="shared" si="138"/>
        <v>18</v>
      </c>
      <c r="AK1786" s="289">
        <f t="shared" si="139"/>
        <v>5.620086026506919</v>
      </c>
    </row>
    <row r="1787" spans="1:37">
      <c r="A1787" s="703" t="s">
        <v>3314</v>
      </c>
      <c r="B1787" s="703" t="s">
        <v>2849</v>
      </c>
      <c r="C1787" s="703" t="s">
        <v>390</v>
      </c>
      <c r="D1787" s="703" t="s">
        <v>334</v>
      </c>
      <c r="E1787" s="703" t="s">
        <v>334</v>
      </c>
      <c r="F1787" s="703" t="s">
        <v>335</v>
      </c>
      <c r="G1787" s="703" t="s">
        <v>3301</v>
      </c>
      <c r="H1787" s="703" t="s">
        <v>334</v>
      </c>
      <c r="I1787" s="703" t="s">
        <v>334</v>
      </c>
      <c r="J1787" s="703" t="s">
        <v>337</v>
      </c>
      <c r="K1787" s="704">
        <v>0</v>
      </c>
      <c r="L1787" s="703" t="s">
        <v>334</v>
      </c>
      <c r="M1787" s="702">
        <v>42886</v>
      </c>
      <c r="N1787" s="702">
        <v>44516</v>
      </c>
      <c r="O1787" s="703" t="s">
        <v>338</v>
      </c>
      <c r="P1787" s="20">
        <v>79.709999999999994</v>
      </c>
      <c r="Q1787" s="20">
        <v>0</v>
      </c>
      <c r="R1787" s="20">
        <v>0</v>
      </c>
      <c r="S1787" s="20">
        <v>0</v>
      </c>
      <c r="T1787" s="20">
        <v>79.709999999999994</v>
      </c>
      <c r="U1787" s="20">
        <v>79.489999999999995</v>
      </c>
      <c r="V1787" s="20">
        <v>-0.22</v>
      </c>
      <c r="W1787" s="20">
        <v>-2.88</v>
      </c>
      <c r="X1787" s="20">
        <v>-2.66</v>
      </c>
      <c r="Y1787" s="20">
        <v>0</v>
      </c>
      <c r="Z1787" s="20">
        <v>0</v>
      </c>
      <c r="AA1787" s="20">
        <v>0</v>
      </c>
      <c r="AB1787" s="20">
        <v>76.83</v>
      </c>
      <c r="AC1787" t="s">
        <v>188</v>
      </c>
      <c r="AD1787" t="s">
        <v>290</v>
      </c>
      <c r="AE1787" s="702">
        <f t="shared" si="135"/>
        <v>44348</v>
      </c>
      <c r="AF1787" s="289">
        <v>91.526623183750431</v>
      </c>
      <c r="AG1787">
        <f t="shared" si="136"/>
        <v>360</v>
      </c>
      <c r="AH1787" s="289">
        <f t="shared" si="137"/>
        <v>0.2542406199548623</v>
      </c>
      <c r="AJ1787" s="289">
        <f t="shared" si="138"/>
        <v>18</v>
      </c>
      <c r="AK1787" s="289">
        <f t="shared" si="139"/>
        <v>4.5763311591875215</v>
      </c>
    </row>
    <row r="1788" spans="1:37">
      <c r="A1788" s="703" t="s">
        <v>3315</v>
      </c>
      <c r="B1788" s="703" t="s">
        <v>2849</v>
      </c>
      <c r="C1788" s="703" t="s">
        <v>390</v>
      </c>
      <c r="D1788" s="703" t="s">
        <v>334</v>
      </c>
      <c r="E1788" s="703" t="s">
        <v>334</v>
      </c>
      <c r="F1788" s="703" t="s">
        <v>335</v>
      </c>
      <c r="G1788" s="703" t="s">
        <v>3301</v>
      </c>
      <c r="H1788" s="703" t="s">
        <v>334</v>
      </c>
      <c r="I1788" s="703" t="s">
        <v>334</v>
      </c>
      <c r="J1788" s="703" t="s">
        <v>337</v>
      </c>
      <c r="K1788" s="704">
        <v>0</v>
      </c>
      <c r="L1788" s="703" t="s">
        <v>334</v>
      </c>
      <c r="M1788" s="702">
        <v>42886</v>
      </c>
      <c r="N1788" s="702">
        <v>44516</v>
      </c>
      <c r="O1788" s="703" t="s">
        <v>338</v>
      </c>
      <c r="P1788" s="20">
        <v>79.430000000000007</v>
      </c>
      <c r="Q1788" s="20">
        <v>0</v>
      </c>
      <c r="R1788" s="20">
        <v>0</v>
      </c>
      <c r="S1788" s="20">
        <v>0</v>
      </c>
      <c r="T1788" s="20">
        <v>79.430000000000007</v>
      </c>
      <c r="U1788" s="20">
        <v>79.209999999999994</v>
      </c>
      <c r="V1788" s="20">
        <v>-0.22</v>
      </c>
      <c r="W1788" s="20">
        <v>-2.87</v>
      </c>
      <c r="X1788" s="20">
        <v>-2.65</v>
      </c>
      <c r="Y1788" s="20">
        <v>0</v>
      </c>
      <c r="Z1788" s="20">
        <v>0</v>
      </c>
      <c r="AA1788" s="20">
        <v>0</v>
      </c>
      <c r="AB1788" s="20">
        <v>76.56</v>
      </c>
      <c r="AC1788" t="s">
        <v>188</v>
      </c>
      <c r="AD1788" t="s">
        <v>290</v>
      </c>
      <c r="AE1788" s="702">
        <f t="shared" si="135"/>
        <v>44348</v>
      </c>
      <c r="AF1788" s="289">
        <v>91.205114533751072</v>
      </c>
      <c r="AG1788">
        <f t="shared" si="136"/>
        <v>360</v>
      </c>
      <c r="AH1788" s="289">
        <f t="shared" si="137"/>
        <v>0.25334754037153073</v>
      </c>
      <c r="AJ1788" s="289">
        <f t="shared" si="138"/>
        <v>18</v>
      </c>
      <c r="AK1788" s="289">
        <f t="shared" si="139"/>
        <v>4.5602557266875534</v>
      </c>
    </row>
    <row r="1789" spans="1:37">
      <c r="A1789" s="703" t="s">
        <v>3316</v>
      </c>
      <c r="B1789" s="703" t="s">
        <v>2849</v>
      </c>
      <c r="C1789" s="703" t="s">
        <v>390</v>
      </c>
      <c r="D1789" s="703" t="s">
        <v>334</v>
      </c>
      <c r="E1789" s="703" t="s">
        <v>334</v>
      </c>
      <c r="F1789" s="703" t="s">
        <v>335</v>
      </c>
      <c r="G1789" s="703" t="s">
        <v>3301</v>
      </c>
      <c r="H1789" s="703" t="s">
        <v>334</v>
      </c>
      <c r="I1789" s="703" t="s">
        <v>334</v>
      </c>
      <c r="J1789" s="703" t="s">
        <v>337</v>
      </c>
      <c r="K1789" s="704">
        <v>0</v>
      </c>
      <c r="L1789" s="703" t="s">
        <v>334</v>
      </c>
      <c r="M1789" s="702">
        <v>42886</v>
      </c>
      <c r="N1789" s="702">
        <v>44516</v>
      </c>
      <c r="O1789" s="703" t="s">
        <v>338</v>
      </c>
      <c r="P1789" s="20">
        <v>187.43</v>
      </c>
      <c r="Q1789" s="20">
        <v>0</v>
      </c>
      <c r="R1789" s="20">
        <v>0</v>
      </c>
      <c r="S1789" s="20">
        <v>0</v>
      </c>
      <c r="T1789" s="20">
        <v>187.43</v>
      </c>
      <c r="U1789" s="20">
        <v>186.91</v>
      </c>
      <c r="V1789" s="20">
        <v>-0.52</v>
      </c>
      <c r="W1789" s="20">
        <v>-6.77</v>
      </c>
      <c r="X1789" s="20">
        <v>-6.25</v>
      </c>
      <c r="Y1789" s="20">
        <v>0</v>
      </c>
      <c r="Z1789" s="20">
        <v>0</v>
      </c>
      <c r="AA1789" s="20">
        <v>0</v>
      </c>
      <c r="AB1789" s="20">
        <v>180.66</v>
      </c>
      <c r="AC1789" t="s">
        <v>188</v>
      </c>
      <c r="AD1789" t="s">
        <v>290</v>
      </c>
      <c r="AE1789" s="702">
        <f t="shared" si="135"/>
        <v>44348</v>
      </c>
      <c r="AF1789" s="289">
        <v>215.21559381922398</v>
      </c>
      <c r="AG1789">
        <f t="shared" si="136"/>
        <v>360</v>
      </c>
      <c r="AH1789" s="289">
        <f t="shared" si="137"/>
        <v>0.59782109394228888</v>
      </c>
      <c r="AJ1789" s="289">
        <f t="shared" si="138"/>
        <v>18</v>
      </c>
      <c r="AK1789" s="289">
        <f t="shared" si="139"/>
        <v>10.760779690961201</v>
      </c>
    </row>
    <row r="1790" spans="1:37">
      <c r="A1790" s="703" t="s">
        <v>3317</v>
      </c>
      <c r="B1790" s="703" t="s">
        <v>2849</v>
      </c>
      <c r="C1790" s="703" t="s">
        <v>390</v>
      </c>
      <c r="D1790" s="703" t="s">
        <v>334</v>
      </c>
      <c r="E1790" s="703" t="s">
        <v>334</v>
      </c>
      <c r="F1790" s="703" t="s">
        <v>335</v>
      </c>
      <c r="G1790" s="703" t="s">
        <v>3301</v>
      </c>
      <c r="H1790" s="703" t="s">
        <v>334</v>
      </c>
      <c r="I1790" s="703" t="s">
        <v>334</v>
      </c>
      <c r="J1790" s="703" t="s">
        <v>337</v>
      </c>
      <c r="K1790" s="704">
        <v>0</v>
      </c>
      <c r="L1790" s="703" t="s">
        <v>334</v>
      </c>
      <c r="M1790" s="702">
        <v>42886</v>
      </c>
      <c r="N1790" s="702">
        <v>44516</v>
      </c>
      <c r="O1790" s="703" t="s">
        <v>338</v>
      </c>
      <c r="P1790" s="20">
        <v>882.42</v>
      </c>
      <c r="Q1790" s="20">
        <v>0</v>
      </c>
      <c r="R1790" s="20">
        <v>0</v>
      </c>
      <c r="S1790" s="20">
        <v>0</v>
      </c>
      <c r="T1790" s="20">
        <v>882.42</v>
      </c>
      <c r="U1790" s="20">
        <v>879.97</v>
      </c>
      <c r="V1790" s="20">
        <v>-2.4500000000000002</v>
      </c>
      <c r="W1790" s="20">
        <v>-31.86</v>
      </c>
      <c r="X1790" s="20">
        <v>-29.41</v>
      </c>
      <c r="Y1790" s="20">
        <v>0</v>
      </c>
      <c r="Z1790" s="20">
        <v>0</v>
      </c>
      <c r="AA1790" s="20">
        <v>0</v>
      </c>
      <c r="AB1790" s="20">
        <v>850.56</v>
      </c>
      <c r="AC1790" t="s">
        <v>188</v>
      </c>
      <c r="AD1790" t="s">
        <v>290</v>
      </c>
      <c r="AE1790" s="702">
        <f t="shared" si="135"/>
        <v>44348</v>
      </c>
      <c r="AF1790" s="289">
        <v>1013.234510473028</v>
      </c>
      <c r="AG1790">
        <f t="shared" si="136"/>
        <v>360</v>
      </c>
      <c r="AH1790" s="289">
        <f t="shared" si="137"/>
        <v>2.8145403068695223</v>
      </c>
      <c r="AJ1790" s="289">
        <f t="shared" si="138"/>
        <v>18</v>
      </c>
      <c r="AK1790" s="289">
        <f t="shared" si="139"/>
        <v>50.661725523651398</v>
      </c>
    </row>
    <row r="1791" spans="1:37">
      <c r="A1791" s="703" t="s">
        <v>3318</v>
      </c>
      <c r="B1791" s="703" t="s">
        <v>2849</v>
      </c>
      <c r="C1791" s="703" t="s">
        <v>390</v>
      </c>
      <c r="D1791" s="703" t="s">
        <v>334</v>
      </c>
      <c r="E1791" s="703" t="s">
        <v>334</v>
      </c>
      <c r="F1791" s="703" t="s">
        <v>335</v>
      </c>
      <c r="G1791" s="703" t="s">
        <v>3301</v>
      </c>
      <c r="H1791" s="703" t="s">
        <v>334</v>
      </c>
      <c r="I1791" s="703" t="s">
        <v>334</v>
      </c>
      <c r="J1791" s="703" t="s">
        <v>337</v>
      </c>
      <c r="K1791" s="704">
        <v>0</v>
      </c>
      <c r="L1791" s="703" t="s">
        <v>334</v>
      </c>
      <c r="M1791" s="702">
        <v>42886</v>
      </c>
      <c r="N1791" s="702">
        <v>44516</v>
      </c>
      <c r="O1791" s="703" t="s">
        <v>338</v>
      </c>
      <c r="P1791" s="20">
        <v>161.51</v>
      </c>
      <c r="Q1791" s="20">
        <v>0</v>
      </c>
      <c r="R1791" s="20">
        <v>0</v>
      </c>
      <c r="S1791" s="20">
        <v>0</v>
      </c>
      <c r="T1791" s="20">
        <v>161.51</v>
      </c>
      <c r="U1791" s="20">
        <v>161.06</v>
      </c>
      <c r="V1791" s="20">
        <v>-0.45</v>
      </c>
      <c r="W1791" s="20">
        <v>-5.83</v>
      </c>
      <c r="X1791" s="20">
        <v>-5.38</v>
      </c>
      <c r="Y1791" s="20">
        <v>0</v>
      </c>
      <c r="Z1791" s="20">
        <v>0</v>
      </c>
      <c r="AA1791" s="20">
        <v>0</v>
      </c>
      <c r="AB1791" s="20">
        <v>155.68</v>
      </c>
      <c r="AC1791" t="s">
        <v>188</v>
      </c>
      <c r="AD1791" t="s">
        <v>290</v>
      </c>
      <c r="AE1791" s="702">
        <f t="shared" si="135"/>
        <v>44348</v>
      </c>
      <c r="AF1791" s="289">
        <v>185.45307879071046</v>
      </c>
      <c r="AG1791">
        <f t="shared" si="136"/>
        <v>360</v>
      </c>
      <c r="AH1791" s="289">
        <f t="shared" si="137"/>
        <v>0.51514744108530686</v>
      </c>
      <c r="AJ1791" s="289">
        <f t="shared" si="138"/>
        <v>18</v>
      </c>
      <c r="AK1791" s="289">
        <f t="shared" si="139"/>
        <v>9.2726539395355232</v>
      </c>
    </row>
    <row r="1792" spans="1:37">
      <c r="A1792" s="703" t="s">
        <v>3319</v>
      </c>
      <c r="B1792" s="703" t="s">
        <v>2849</v>
      </c>
      <c r="C1792" s="703" t="s">
        <v>390</v>
      </c>
      <c r="D1792" s="703" t="s">
        <v>334</v>
      </c>
      <c r="E1792" s="703" t="s">
        <v>334</v>
      </c>
      <c r="F1792" s="703" t="s">
        <v>335</v>
      </c>
      <c r="G1792" s="703" t="s">
        <v>3301</v>
      </c>
      <c r="H1792" s="703" t="s">
        <v>334</v>
      </c>
      <c r="I1792" s="703" t="s">
        <v>334</v>
      </c>
      <c r="J1792" s="703" t="s">
        <v>337</v>
      </c>
      <c r="K1792" s="704">
        <v>0</v>
      </c>
      <c r="L1792" s="703" t="s">
        <v>334</v>
      </c>
      <c r="M1792" s="702">
        <v>42886</v>
      </c>
      <c r="N1792" s="702">
        <v>44516</v>
      </c>
      <c r="O1792" s="703" t="s">
        <v>338</v>
      </c>
      <c r="P1792" s="20">
        <v>446.35</v>
      </c>
      <c r="Q1792" s="20">
        <v>0</v>
      </c>
      <c r="R1792" s="20">
        <v>0</v>
      </c>
      <c r="S1792" s="20">
        <v>0</v>
      </c>
      <c r="T1792" s="20">
        <v>446.35</v>
      </c>
      <c r="U1792" s="20">
        <v>445.11</v>
      </c>
      <c r="V1792" s="20">
        <v>-1.24</v>
      </c>
      <c r="W1792" s="20">
        <v>-16.12</v>
      </c>
      <c r="X1792" s="20">
        <v>-14.88</v>
      </c>
      <c r="Y1792" s="20">
        <v>0</v>
      </c>
      <c r="Z1792" s="20">
        <v>0</v>
      </c>
      <c r="AA1792" s="20">
        <v>0</v>
      </c>
      <c r="AB1792" s="20">
        <v>430.23</v>
      </c>
      <c r="AC1792" t="s">
        <v>188</v>
      </c>
      <c r="AD1792" t="s">
        <v>290</v>
      </c>
      <c r="AE1792" s="702">
        <f t="shared" si="135"/>
        <v>44348</v>
      </c>
      <c r="AF1792" s="289">
        <v>512.51923545435966</v>
      </c>
      <c r="AG1792">
        <f t="shared" si="136"/>
        <v>360</v>
      </c>
      <c r="AH1792" s="289">
        <f t="shared" si="137"/>
        <v>1.4236645429287769</v>
      </c>
      <c r="AJ1792" s="289">
        <f t="shared" si="138"/>
        <v>18</v>
      </c>
      <c r="AK1792" s="289">
        <f t="shared" si="139"/>
        <v>25.625961772717982</v>
      </c>
    </row>
    <row r="1793" spans="1:37">
      <c r="A1793" s="703" t="s">
        <v>3320</v>
      </c>
      <c r="B1793" s="703" t="s">
        <v>2849</v>
      </c>
      <c r="C1793" s="703" t="s">
        <v>390</v>
      </c>
      <c r="D1793" s="703" t="s">
        <v>334</v>
      </c>
      <c r="E1793" s="703" t="s">
        <v>334</v>
      </c>
      <c r="F1793" s="703" t="s">
        <v>335</v>
      </c>
      <c r="G1793" s="703" t="s">
        <v>3301</v>
      </c>
      <c r="H1793" s="703" t="s">
        <v>334</v>
      </c>
      <c r="I1793" s="703" t="s">
        <v>334</v>
      </c>
      <c r="J1793" s="703" t="s">
        <v>337</v>
      </c>
      <c r="K1793" s="704">
        <v>0</v>
      </c>
      <c r="L1793" s="703" t="s">
        <v>334</v>
      </c>
      <c r="M1793" s="702">
        <v>42886</v>
      </c>
      <c r="N1793" s="702">
        <v>44516</v>
      </c>
      <c r="O1793" s="703" t="s">
        <v>338</v>
      </c>
      <c r="P1793" s="20">
        <v>1473.01</v>
      </c>
      <c r="Q1793" s="20">
        <v>0</v>
      </c>
      <c r="R1793" s="20">
        <v>0</v>
      </c>
      <c r="S1793" s="20">
        <v>0</v>
      </c>
      <c r="T1793" s="20">
        <v>1473.01</v>
      </c>
      <c r="U1793" s="20">
        <v>1468.92</v>
      </c>
      <c r="V1793" s="20">
        <v>-4.09</v>
      </c>
      <c r="W1793" s="20">
        <v>-53.19</v>
      </c>
      <c r="X1793" s="20">
        <v>-49.1</v>
      </c>
      <c r="Y1793" s="20">
        <v>0</v>
      </c>
      <c r="Z1793" s="20">
        <v>0</v>
      </c>
      <c r="AA1793" s="20">
        <v>0</v>
      </c>
      <c r="AB1793" s="20">
        <v>1419.82</v>
      </c>
      <c r="AC1793" t="s">
        <v>188</v>
      </c>
      <c r="AD1793" t="s">
        <v>290</v>
      </c>
      <c r="AE1793" s="702">
        <f t="shared" si="135"/>
        <v>44348</v>
      </c>
      <c r="AF1793" s="289">
        <v>1691.3766304842081</v>
      </c>
      <c r="AG1793">
        <f t="shared" si="136"/>
        <v>360</v>
      </c>
      <c r="AH1793" s="289">
        <f t="shared" si="137"/>
        <v>4.6982684180116889</v>
      </c>
      <c r="AJ1793" s="289">
        <f t="shared" si="138"/>
        <v>18</v>
      </c>
      <c r="AK1793" s="289">
        <f t="shared" si="139"/>
        <v>84.568831524210395</v>
      </c>
    </row>
    <row r="1794" spans="1:37">
      <c r="A1794" s="703" t="s">
        <v>3321</v>
      </c>
      <c r="B1794" s="703" t="s">
        <v>2849</v>
      </c>
      <c r="C1794" s="703" t="s">
        <v>390</v>
      </c>
      <c r="D1794" s="703" t="s">
        <v>334</v>
      </c>
      <c r="E1794" s="703" t="s">
        <v>334</v>
      </c>
      <c r="F1794" s="703" t="s">
        <v>335</v>
      </c>
      <c r="G1794" s="703" t="s">
        <v>3301</v>
      </c>
      <c r="H1794" s="703" t="s">
        <v>334</v>
      </c>
      <c r="I1794" s="703" t="s">
        <v>334</v>
      </c>
      <c r="J1794" s="703" t="s">
        <v>337</v>
      </c>
      <c r="K1794" s="704">
        <v>0</v>
      </c>
      <c r="L1794" s="703" t="s">
        <v>334</v>
      </c>
      <c r="M1794" s="702">
        <v>42886</v>
      </c>
      <c r="N1794" s="702">
        <v>44516</v>
      </c>
      <c r="O1794" s="703" t="s">
        <v>338</v>
      </c>
      <c r="P1794" s="20">
        <v>306.49</v>
      </c>
      <c r="Q1794" s="20">
        <v>0</v>
      </c>
      <c r="R1794" s="20">
        <v>0</v>
      </c>
      <c r="S1794" s="20">
        <v>0</v>
      </c>
      <c r="T1794" s="20">
        <v>306.49</v>
      </c>
      <c r="U1794" s="20">
        <v>305.64</v>
      </c>
      <c r="V1794" s="20">
        <v>-0.85</v>
      </c>
      <c r="W1794" s="20">
        <v>-11.07</v>
      </c>
      <c r="X1794" s="20">
        <v>-10.220000000000001</v>
      </c>
      <c r="Y1794" s="20">
        <v>0</v>
      </c>
      <c r="Z1794" s="20">
        <v>0</v>
      </c>
      <c r="AA1794" s="20">
        <v>0</v>
      </c>
      <c r="AB1794" s="20">
        <v>295.42</v>
      </c>
      <c r="AC1794" t="s">
        <v>188</v>
      </c>
      <c r="AD1794" t="s">
        <v>290</v>
      </c>
      <c r="AE1794" s="702">
        <f t="shared" si="135"/>
        <v>44348</v>
      </c>
      <c r="AF1794" s="289">
        <v>351.92566477967216</v>
      </c>
      <c r="AG1794">
        <f t="shared" si="136"/>
        <v>360</v>
      </c>
      <c r="AH1794" s="289">
        <f t="shared" si="137"/>
        <v>0.97757129105464491</v>
      </c>
      <c r="AJ1794" s="289">
        <f t="shared" si="138"/>
        <v>18</v>
      </c>
      <c r="AK1794" s="289">
        <f t="shared" si="139"/>
        <v>17.596283238983609</v>
      </c>
    </row>
    <row r="1795" spans="1:37">
      <c r="A1795" s="703" t="s">
        <v>3322</v>
      </c>
      <c r="B1795" s="703" t="s">
        <v>2849</v>
      </c>
      <c r="C1795" s="703" t="s">
        <v>390</v>
      </c>
      <c r="D1795" s="703" t="s">
        <v>334</v>
      </c>
      <c r="E1795" s="703" t="s">
        <v>334</v>
      </c>
      <c r="F1795" s="703" t="s">
        <v>335</v>
      </c>
      <c r="G1795" s="703" t="s">
        <v>3301</v>
      </c>
      <c r="H1795" s="703" t="s">
        <v>334</v>
      </c>
      <c r="I1795" s="703" t="s">
        <v>334</v>
      </c>
      <c r="J1795" s="703" t="s">
        <v>337</v>
      </c>
      <c r="K1795" s="704">
        <v>0</v>
      </c>
      <c r="L1795" s="703" t="s">
        <v>334</v>
      </c>
      <c r="M1795" s="702">
        <v>42886</v>
      </c>
      <c r="N1795" s="702">
        <v>44516</v>
      </c>
      <c r="O1795" s="703" t="s">
        <v>338</v>
      </c>
      <c r="P1795" s="20">
        <v>4.2</v>
      </c>
      <c r="Q1795" s="20">
        <v>0</v>
      </c>
      <c r="R1795" s="20">
        <v>0</v>
      </c>
      <c r="S1795" s="20">
        <v>0</v>
      </c>
      <c r="T1795" s="20">
        <v>4.2</v>
      </c>
      <c r="U1795" s="20">
        <v>4.1900000000000004</v>
      </c>
      <c r="V1795" s="20">
        <v>-0.01</v>
      </c>
      <c r="W1795" s="20">
        <v>-0.15</v>
      </c>
      <c r="X1795" s="20">
        <v>-0.14000000000000001</v>
      </c>
      <c r="Y1795" s="20">
        <v>0</v>
      </c>
      <c r="Z1795" s="20">
        <v>0</v>
      </c>
      <c r="AA1795" s="20">
        <v>0</v>
      </c>
      <c r="AB1795" s="20">
        <v>4.05</v>
      </c>
      <c r="AC1795" t="s">
        <v>188</v>
      </c>
      <c r="AD1795" t="s">
        <v>290</v>
      </c>
      <c r="AE1795" s="702">
        <f t="shared" si="135"/>
        <v>44348</v>
      </c>
      <c r="AF1795" s="289">
        <v>4.8226297499906146</v>
      </c>
      <c r="AG1795">
        <f t="shared" si="136"/>
        <v>360</v>
      </c>
      <c r="AH1795" s="289">
        <f t="shared" si="137"/>
        <v>1.3396193749973929E-2</v>
      </c>
      <c r="AJ1795" s="289">
        <f t="shared" si="138"/>
        <v>18</v>
      </c>
      <c r="AK1795" s="289">
        <f t="shared" si="139"/>
        <v>0.24113148749953073</v>
      </c>
    </row>
    <row r="1796" spans="1:37">
      <c r="A1796" s="703" t="s">
        <v>3323</v>
      </c>
      <c r="B1796" s="703" t="s">
        <v>2849</v>
      </c>
      <c r="C1796" s="703" t="s">
        <v>390</v>
      </c>
      <c r="D1796" s="703" t="s">
        <v>334</v>
      </c>
      <c r="E1796" s="703" t="s">
        <v>334</v>
      </c>
      <c r="F1796" s="703" t="s">
        <v>335</v>
      </c>
      <c r="G1796" s="703" t="s">
        <v>3301</v>
      </c>
      <c r="H1796" s="703" t="s">
        <v>334</v>
      </c>
      <c r="I1796" s="703" t="s">
        <v>334</v>
      </c>
      <c r="J1796" s="703" t="s">
        <v>337</v>
      </c>
      <c r="K1796" s="704">
        <v>0</v>
      </c>
      <c r="L1796" s="703" t="s">
        <v>334</v>
      </c>
      <c r="M1796" s="702">
        <v>42886</v>
      </c>
      <c r="N1796" s="702">
        <v>44516</v>
      </c>
      <c r="O1796" s="703" t="s">
        <v>338</v>
      </c>
      <c r="P1796" s="20">
        <v>14.18</v>
      </c>
      <c r="Q1796" s="20">
        <v>0</v>
      </c>
      <c r="R1796" s="20">
        <v>0</v>
      </c>
      <c r="S1796" s="20">
        <v>0</v>
      </c>
      <c r="T1796" s="20">
        <v>14.18</v>
      </c>
      <c r="U1796" s="20">
        <v>14.14</v>
      </c>
      <c r="V1796" s="20">
        <v>-0.04</v>
      </c>
      <c r="W1796" s="20">
        <v>-0.51</v>
      </c>
      <c r="X1796" s="20">
        <v>-0.47</v>
      </c>
      <c r="Y1796" s="20">
        <v>0</v>
      </c>
      <c r="Z1796" s="20">
        <v>0</v>
      </c>
      <c r="AA1796" s="20">
        <v>0</v>
      </c>
      <c r="AB1796" s="20">
        <v>13.67</v>
      </c>
      <c r="AC1796" t="s">
        <v>188</v>
      </c>
      <c r="AD1796" t="s">
        <v>290</v>
      </c>
      <c r="AE1796" s="702">
        <f t="shared" si="135"/>
        <v>44348</v>
      </c>
      <c r="AF1796" s="289">
        <v>16.282116632111165</v>
      </c>
      <c r="AG1796">
        <f t="shared" si="136"/>
        <v>360</v>
      </c>
      <c r="AH1796" s="289">
        <f t="shared" si="137"/>
        <v>4.522810175586435E-2</v>
      </c>
      <c r="AJ1796" s="289">
        <f t="shared" si="138"/>
        <v>18</v>
      </c>
      <c r="AK1796" s="289">
        <f t="shared" si="139"/>
        <v>0.81410583160555827</v>
      </c>
    </row>
    <row r="1797" spans="1:37">
      <c r="A1797" s="703" t="s">
        <v>3324</v>
      </c>
      <c r="B1797" s="703" t="s">
        <v>2849</v>
      </c>
      <c r="C1797" s="703" t="s">
        <v>390</v>
      </c>
      <c r="D1797" s="703" t="s">
        <v>334</v>
      </c>
      <c r="E1797" s="703" t="s">
        <v>334</v>
      </c>
      <c r="F1797" s="703" t="s">
        <v>335</v>
      </c>
      <c r="G1797" s="703" t="s">
        <v>3301</v>
      </c>
      <c r="H1797" s="703" t="s">
        <v>334</v>
      </c>
      <c r="I1797" s="703" t="s">
        <v>334</v>
      </c>
      <c r="J1797" s="703" t="s">
        <v>337</v>
      </c>
      <c r="K1797" s="704">
        <v>0</v>
      </c>
      <c r="L1797" s="703" t="s">
        <v>334</v>
      </c>
      <c r="M1797" s="702">
        <v>42886</v>
      </c>
      <c r="N1797" s="702">
        <v>44516</v>
      </c>
      <c r="O1797" s="703" t="s">
        <v>338</v>
      </c>
      <c r="P1797" s="20">
        <v>792.13</v>
      </c>
      <c r="Q1797" s="20">
        <v>0</v>
      </c>
      <c r="R1797" s="20">
        <v>0</v>
      </c>
      <c r="S1797" s="20">
        <v>0</v>
      </c>
      <c r="T1797" s="20">
        <v>792.13</v>
      </c>
      <c r="U1797" s="20">
        <v>789.93</v>
      </c>
      <c r="V1797" s="20">
        <v>-2.2000000000000002</v>
      </c>
      <c r="W1797" s="20">
        <v>-28.6</v>
      </c>
      <c r="X1797" s="20">
        <v>-26.4</v>
      </c>
      <c r="Y1797" s="20">
        <v>0</v>
      </c>
      <c r="Z1797" s="20">
        <v>0</v>
      </c>
      <c r="AA1797" s="20">
        <v>0</v>
      </c>
      <c r="AB1797" s="20">
        <v>763.53</v>
      </c>
      <c r="AC1797" t="s">
        <v>188</v>
      </c>
      <c r="AD1797" t="s">
        <v>290</v>
      </c>
      <c r="AE1797" s="702">
        <f t="shared" si="135"/>
        <v>44348</v>
      </c>
      <c r="AF1797" s="289">
        <v>909.55945330001543</v>
      </c>
      <c r="AG1797">
        <f t="shared" si="136"/>
        <v>360</v>
      </c>
      <c r="AH1797" s="289">
        <f t="shared" si="137"/>
        <v>2.5265540369444874</v>
      </c>
      <c r="AJ1797" s="289">
        <f t="shared" si="138"/>
        <v>18</v>
      </c>
      <c r="AK1797" s="289">
        <f t="shared" si="139"/>
        <v>45.477972665000777</v>
      </c>
    </row>
    <row r="1798" spans="1:37">
      <c r="A1798" s="703" t="s">
        <v>3325</v>
      </c>
      <c r="B1798" s="703" t="s">
        <v>2849</v>
      </c>
      <c r="C1798" s="703" t="s">
        <v>390</v>
      </c>
      <c r="D1798" s="703" t="s">
        <v>334</v>
      </c>
      <c r="E1798" s="703" t="s">
        <v>334</v>
      </c>
      <c r="F1798" s="703" t="s">
        <v>335</v>
      </c>
      <c r="G1798" s="703" t="s">
        <v>3301</v>
      </c>
      <c r="H1798" s="703" t="s">
        <v>334</v>
      </c>
      <c r="I1798" s="703" t="s">
        <v>334</v>
      </c>
      <c r="J1798" s="703" t="s">
        <v>337</v>
      </c>
      <c r="K1798" s="704">
        <v>0</v>
      </c>
      <c r="L1798" s="703" t="s">
        <v>334</v>
      </c>
      <c r="M1798" s="702">
        <v>42886</v>
      </c>
      <c r="N1798" s="702">
        <v>44516</v>
      </c>
      <c r="O1798" s="703" t="s">
        <v>338</v>
      </c>
      <c r="P1798" s="20">
        <v>1227.32</v>
      </c>
      <c r="Q1798" s="20">
        <v>0</v>
      </c>
      <c r="R1798" s="20">
        <v>0</v>
      </c>
      <c r="S1798" s="20">
        <v>0</v>
      </c>
      <c r="T1798" s="20">
        <v>1227.32</v>
      </c>
      <c r="U1798" s="20">
        <v>1223.9100000000001</v>
      </c>
      <c r="V1798" s="20">
        <v>-3.41</v>
      </c>
      <c r="W1798" s="20">
        <v>-44.32</v>
      </c>
      <c r="X1798" s="20">
        <v>-40.909999999999997</v>
      </c>
      <c r="Y1798" s="20">
        <v>0</v>
      </c>
      <c r="Z1798" s="20">
        <v>0</v>
      </c>
      <c r="AA1798" s="20">
        <v>0</v>
      </c>
      <c r="AB1798" s="20">
        <v>1183</v>
      </c>
      <c r="AC1798" t="s">
        <v>188</v>
      </c>
      <c r="AD1798" t="s">
        <v>290</v>
      </c>
      <c r="AE1798" s="702">
        <f t="shared" si="135"/>
        <v>44348</v>
      </c>
      <c r="AF1798" s="289">
        <v>1409.2642725615428</v>
      </c>
      <c r="AG1798">
        <f t="shared" si="136"/>
        <v>360</v>
      </c>
      <c r="AH1798" s="289">
        <f t="shared" si="137"/>
        <v>3.914622979337619</v>
      </c>
      <c r="AJ1798" s="289">
        <f t="shared" si="138"/>
        <v>18</v>
      </c>
      <c r="AK1798" s="289">
        <f t="shared" si="139"/>
        <v>70.463213628077142</v>
      </c>
    </row>
    <row r="1799" spans="1:37">
      <c r="A1799" s="703" t="s">
        <v>3326</v>
      </c>
      <c r="B1799" s="703" t="s">
        <v>2849</v>
      </c>
      <c r="C1799" s="703" t="s">
        <v>390</v>
      </c>
      <c r="D1799" s="703" t="s">
        <v>334</v>
      </c>
      <c r="E1799" s="703" t="s">
        <v>334</v>
      </c>
      <c r="F1799" s="703" t="s">
        <v>335</v>
      </c>
      <c r="G1799" s="703" t="s">
        <v>3301</v>
      </c>
      <c r="H1799" s="703" t="s">
        <v>334</v>
      </c>
      <c r="I1799" s="703" t="s">
        <v>334</v>
      </c>
      <c r="J1799" s="703" t="s">
        <v>337</v>
      </c>
      <c r="K1799" s="704">
        <v>0</v>
      </c>
      <c r="L1799" s="703" t="s">
        <v>334</v>
      </c>
      <c r="M1799" s="702">
        <v>42886</v>
      </c>
      <c r="N1799" s="702">
        <v>44516</v>
      </c>
      <c r="O1799" s="703" t="s">
        <v>338</v>
      </c>
      <c r="P1799" s="20">
        <v>1584.25</v>
      </c>
      <c r="Q1799" s="20">
        <v>0</v>
      </c>
      <c r="R1799" s="20">
        <v>0</v>
      </c>
      <c r="S1799" s="20">
        <v>0</v>
      </c>
      <c r="T1799" s="20">
        <v>1584.25</v>
      </c>
      <c r="U1799" s="20">
        <v>1579.85</v>
      </c>
      <c r="V1799" s="20">
        <v>-4.4000000000000004</v>
      </c>
      <c r="W1799" s="20">
        <v>-57.21</v>
      </c>
      <c r="X1799" s="20">
        <v>-52.81</v>
      </c>
      <c r="Y1799" s="20">
        <v>0</v>
      </c>
      <c r="Z1799" s="20">
        <v>0</v>
      </c>
      <c r="AA1799" s="20">
        <v>0</v>
      </c>
      <c r="AB1799" s="20">
        <v>1527.04</v>
      </c>
      <c r="AC1799" t="s">
        <v>188</v>
      </c>
      <c r="AD1799" t="s">
        <v>290</v>
      </c>
      <c r="AE1799" s="702">
        <f t="shared" ref="AE1799:AE1862" si="140">IF(N1799&gt;=$AG$5,DATE(YEAR(N1799),6,1),DATE(YEAR(N1799),6,1))</f>
        <v>44348</v>
      </c>
      <c r="AF1799" s="289">
        <v>1819.1074241482452</v>
      </c>
      <c r="AG1799">
        <f t="shared" ref="AG1799:AG1862" si="141">+IF(AD1799="intangível",20*12,IF(AD1799="Diferido",120,IF(AD1799="Não vinculados",0,IF(AE1799&lt;=$AG$5,F1799*12,360))))</f>
        <v>360</v>
      </c>
      <c r="AH1799" s="289">
        <f t="shared" ref="AH1799:AH1862" si="142">IF(AG1799=0,0,AF1799/AG1799)</f>
        <v>5.0530761781895697</v>
      </c>
      <c r="AJ1799" s="289">
        <f t="shared" ref="AJ1799:AJ1862" si="143">+IF(AND(YEAR(AE1799)&gt;=2018,YEAR(AE1799)&lt;=2022),IF(DATEDIF(AE1799,$AK$4,"m")&gt;=AG1799,AG1799,DATEDIF(AE1799,$AK$4,"m")),0)</f>
        <v>18</v>
      </c>
      <c r="AK1799" s="289">
        <f t="shared" ref="AK1799:AK1862" si="144">IF(AD1799="Imobilizado",AJ1799*AH1799,0)</f>
        <v>90.955371207412256</v>
      </c>
    </row>
    <row r="1800" spans="1:37">
      <c r="A1800" s="703" t="s">
        <v>3327</v>
      </c>
      <c r="B1800" s="703" t="s">
        <v>2849</v>
      </c>
      <c r="C1800" s="703" t="s">
        <v>390</v>
      </c>
      <c r="D1800" s="703" t="s">
        <v>334</v>
      </c>
      <c r="E1800" s="703" t="s">
        <v>334</v>
      </c>
      <c r="F1800" s="703" t="s">
        <v>335</v>
      </c>
      <c r="G1800" s="703" t="s">
        <v>3301</v>
      </c>
      <c r="H1800" s="703" t="s">
        <v>334</v>
      </c>
      <c r="I1800" s="703" t="s">
        <v>334</v>
      </c>
      <c r="J1800" s="703" t="s">
        <v>337</v>
      </c>
      <c r="K1800" s="704">
        <v>0</v>
      </c>
      <c r="L1800" s="703" t="s">
        <v>334</v>
      </c>
      <c r="M1800" s="702">
        <v>42886</v>
      </c>
      <c r="N1800" s="702">
        <v>44516</v>
      </c>
      <c r="O1800" s="703" t="s">
        <v>338</v>
      </c>
      <c r="P1800" s="20">
        <v>2928.81</v>
      </c>
      <c r="Q1800" s="20">
        <v>0</v>
      </c>
      <c r="R1800" s="20">
        <v>0</v>
      </c>
      <c r="S1800" s="20">
        <v>0</v>
      </c>
      <c r="T1800" s="20">
        <v>2928.81</v>
      </c>
      <c r="U1800" s="20">
        <v>2920.67</v>
      </c>
      <c r="V1800" s="20">
        <v>-8.14</v>
      </c>
      <c r="W1800" s="20">
        <v>-105.77</v>
      </c>
      <c r="X1800" s="20">
        <v>-97.63</v>
      </c>
      <c r="Y1800" s="20">
        <v>0</v>
      </c>
      <c r="Z1800" s="20">
        <v>0</v>
      </c>
      <c r="AA1800" s="20">
        <v>0</v>
      </c>
      <c r="AB1800" s="20">
        <v>2823.04</v>
      </c>
      <c r="AC1800" t="s">
        <v>188</v>
      </c>
      <c r="AD1800" t="s">
        <v>290</v>
      </c>
      <c r="AE1800" s="702">
        <f t="shared" si="140"/>
        <v>44348</v>
      </c>
      <c r="AF1800" s="289">
        <v>3362.9919614452401</v>
      </c>
      <c r="AG1800">
        <f t="shared" si="141"/>
        <v>360</v>
      </c>
      <c r="AH1800" s="289">
        <f t="shared" si="142"/>
        <v>9.3416443373478888</v>
      </c>
      <c r="AJ1800" s="289">
        <f t="shared" si="143"/>
        <v>18</v>
      </c>
      <c r="AK1800" s="289">
        <f t="shared" si="144"/>
        <v>168.14959807226199</v>
      </c>
    </row>
    <row r="1801" spans="1:37">
      <c r="A1801" s="703" t="s">
        <v>3328</v>
      </c>
      <c r="B1801" s="703" t="s">
        <v>2849</v>
      </c>
      <c r="C1801" s="703" t="s">
        <v>390</v>
      </c>
      <c r="D1801" s="703" t="s">
        <v>334</v>
      </c>
      <c r="E1801" s="703" t="s">
        <v>334</v>
      </c>
      <c r="F1801" s="703" t="s">
        <v>335</v>
      </c>
      <c r="G1801" s="703" t="s">
        <v>3301</v>
      </c>
      <c r="H1801" s="703" t="s">
        <v>334</v>
      </c>
      <c r="I1801" s="703" t="s">
        <v>334</v>
      </c>
      <c r="J1801" s="703" t="s">
        <v>337</v>
      </c>
      <c r="K1801" s="704">
        <v>0</v>
      </c>
      <c r="L1801" s="703" t="s">
        <v>334</v>
      </c>
      <c r="M1801" s="702">
        <v>42886</v>
      </c>
      <c r="N1801" s="702">
        <v>44516</v>
      </c>
      <c r="O1801" s="703" t="s">
        <v>338</v>
      </c>
      <c r="P1801" s="20">
        <v>29.4</v>
      </c>
      <c r="Q1801" s="20">
        <v>0</v>
      </c>
      <c r="R1801" s="20">
        <v>0</v>
      </c>
      <c r="S1801" s="20">
        <v>0</v>
      </c>
      <c r="T1801" s="20">
        <v>29.4</v>
      </c>
      <c r="U1801" s="20">
        <v>29.32</v>
      </c>
      <c r="V1801" s="20">
        <v>-0.08</v>
      </c>
      <c r="W1801" s="20">
        <v>-1.06</v>
      </c>
      <c r="X1801" s="20">
        <v>-0.98</v>
      </c>
      <c r="Y1801" s="20">
        <v>0</v>
      </c>
      <c r="Z1801" s="20">
        <v>0</v>
      </c>
      <c r="AA1801" s="20">
        <v>0</v>
      </c>
      <c r="AB1801" s="20">
        <v>28.34</v>
      </c>
      <c r="AC1801" t="s">
        <v>188</v>
      </c>
      <c r="AD1801" t="s">
        <v>290</v>
      </c>
      <c r="AE1801" s="702">
        <f t="shared" si="140"/>
        <v>44348</v>
      </c>
      <c r="AF1801" s="289">
        <v>33.758408249934298</v>
      </c>
      <c r="AG1801">
        <f t="shared" si="141"/>
        <v>360</v>
      </c>
      <c r="AH1801" s="289">
        <f t="shared" si="142"/>
        <v>9.3773356249817502E-2</v>
      </c>
      <c r="AJ1801" s="289">
        <f t="shared" si="143"/>
        <v>18</v>
      </c>
      <c r="AK1801" s="289">
        <f t="shared" si="144"/>
        <v>1.6879204124967151</v>
      </c>
    </row>
    <row r="1802" spans="1:37">
      <c r="A1802" s="703" t="s">
        <v>3329</v>
      </c>
      <c r="B1802" s="703" t="s">
        <v>2849</v>
      </c>
      <c r="C1802" s="703" t="s">
        <v>390</v>
      </c>
      <c r="D1802" s="703" t="s">
        <v>334</v>
      </c>
      <c r="E1802" s="703" t="s">
        <v>334</v>
      </c>
      <c r="F1802" s="703" t="s">
        <v>335</v>
      </c>
      <c r="G1802" s="703" t="s">
        <v>3301</v>
      </c>
      <c r="H1802" s="703" t="s">
        <v>334</v>
      </c>
      <c r="I1802" s="703" t="s">
        <v>334</v>
      </c>
      <c r="J1802" s="703" t="s">
        <v>337</v>
      </c>
      <c r="K1802" s="704">
        <v>0</v>
      </c>
      <c r="L1802" s="703" t="s">
        <v>334</v>
      </c>
      <c r="M1802" s="702">
        <v>42886</v>
      </c>
      <c r="N1802" s="702">
        <v>44516</v>
      </c>
      <c r="O1802" s="703" t="s">
        <v>338</v>
      </c>
      <c r="P1802" s="20">
        <v>73.11</v>
      </c>
      <c r="Q1802" s="20">
        <v>0</v>
      </c>
      <c r="R1802" s="20">
        <v>0</v>
      </c>
      <c r="S1802" s="20">
        <v>0</v>
      </c>
      <c r="T1802" s="20">
        <v>73.11</v>
      </c>
      <c r="U1802" s="20">
        <v>72.91</v>
      </c>
      <c r="V1802" s="20">
        <v>-0.2</v>
      </c>
      <c r="W1802" s="20">
        <v>-2.64</v>
      </c>
      <c r="X1802" s="20">
        <v>-2.44</v>
      </c>
      <c r="Y1802" s="20">
        <v>0</v>
      </c>
      <c r="Z1802" s="20">
        <v>0</v>
      </c>
      <c r="AA1802" s="20">
        <v>0</v>
      </c>
      <c r="AB1802" s="20">
        <v>70.47</v>
      </c>
      <c r="AC1802" t="s">
        <v>188</v>
      </c>
      <c r="AD1802" t="s">
        <v>290</v>
      </c>
      <c r="AE1802" s="702">
        <f t="shared" si="140"/>
        <v>44348</v>
      </c>
      <c r="AF1802" s="289">
        <v>83.948205005193756</v>
      </c>
      <c r="AG1802">
        <f t="shared" si="141"/>
        <v>360</v>
      </c>
      <c r="AH1802" s="289">
        <f t="shared" si="142"/>
        <v>0.23318945834776045</v>
      </c>
      <c r="AJ1802" s="289">
        <f t="shared" si="143"/>
        <v>18</v>
      </c>
      <c r="AK1802" s="289">
        <f t="shared" si="144"/>
        <v>4.1974102502596882</v>
      </c>
    </row>
    <row r="1803" spans="1:37">
      <c r="A1803" s="703" t="s">
        <v>3330</v>
      </c>
      <c r="B1803" s="703" t="s">
        <v>2849</v>
      </c>
      <c r="C1803" s="703" t="s">
        <v>390</v>
      </c>
      <c r="D1803" s="703" t="s">
        <v>334</v>
      </c>
      <c r="E1803" s="703" t="s">
        <v>334</v>
      </c>
      <c r="F1803" s="703" t="s">
        <v>335</v>
      </c>
      <c r="G1803" s="703" t="s">
        <v>3301</v>
      </c>
      <c r="H1803" s="703" t="s">
        <v>334</v>
      </c>
      <c r="I1803" s="703" t="s">
        <v>334</v>
      </c>
      <c r="J1803" s="703" t="s">
        <v>337</v>
      </c>
      <c r="K1803" s="704">
        <v>0</v>
      </c>
      <c r="L1803" s="703" t="s">
        <v>334</v>
      </c>
      <c r="M1803" s="702">
        <v>42886</v>
      </c>
      <c r="N1803" s="702">
        <v>44516</v>
      </c>
      <c r="O1803" s="703" t="s">
        <v>338</v>
      </c>
      <c r="P1803" s="20">
        <v>332.31</v>
      </c>
      <c r="Q1803" s="20">
        <v>0</v>
      </c>
      <c r="R1803" s="20">
        <v>0</v>
      </c>
      <c r="S1803" s="20">
        <v>0</v>
      </c>
      <c r="T1803" s="20">
        <v>332.31</v>
      </c>
      <c r="U1803" s="20">
        <v>331.39</v>
      </c>
      <c r="V1803" s="20">
        <v>-0.92</v>
      </c>
      <c r="W1803" s="20">
        <v>-12</v>
      </c>
      <c r="X1803" s="20">
        <v>-11.08</v>
      </c>
      <c r="Y1803" s="20">
        <v>0</v>
      </c>
      <c r="Z1803" s="20">
        <v>0</v>
      </c>
      <c r="AA1803" s="20">
        <v>0</v>
      </c>
      <c r="AB1803" s="20">
        <v>320.31</v>
      </c>
      <c r="AC1803" t="s">
        <v>188</v>
      </c>
      <c r="AD1803" t="s">
        <v>290</v>
      </c>
      <c r="AE1803" s="702">
        <f t="shared" si="140"/>
        <v>44348</v>
      </c>
      <c r="AF1803" s="289">
        <v>381.57335529032878</v>
      </c>
      <c r="AG1803">
        <f t="shared" si="141"/>
        <v>360</v>
      </c>
      <c r="AH1803" s="289">
        <f t="shared" si="142"/>
        <v>1.0599259869175799</v>
      </c>
      <c r="AJ1803" s="289">
        <f t="shared" si="143"/>
        <v>18</v>
      </c>
      <c r="AK1803" s="289">
        <f t="shared" si="144"/>
        <v>19.078667764516439</v>
      </c>
    </row>
    <row r="1804" spans="1:37">
      <c r="A1804" s="703" t="s">
        <v>3331</v>
      </c>
      <c r="B1804" s="703" t="s">
        <v>2849</v>
      </c>
      <c r="C1804" s="703" t="s">
        <v>390</v>
      </c>
      <c r="D1804" s="703" t="s">
        <v>334</v>
      </c>
      <c r="E1804" s="703" t="s">
        <v>334</v>
      </c>
      <c r="F1804" s="703" t="s">
        <v>335</v>
      </c>
      <c r="G1804" s="703" t="s">
        <v>3301</v>
      </c>
      <c r="H1804" s="703" t="s">
        <v>334</v>
      </c>
      <c r="I1804" s="703" t="s">
        <v>334</v>
      </c>
      <c r="J1804" s="703" t="s">
        <v>337</v>
      </c>
      <c r="K1804" s="704">
        <v>0</v>
      </c>
      <c r="L1804" s="703" t="s">
        <v>334</v>
      </c>
      <c r="M1804" s="702">
        <v>42886</v>
      </c>
      <c r="N1804" s="702">
        <v>44516</v>
      </c>
      <c r="O1804" s="703" t="s">
        <v>338</v>
      </c>
      <c r="P1804" s="20">
        <v>48.03</v>
      </c>
      <c r="Q1804" s="20">
        <v>0</v>
      </c>
      <c r="R1804" s="20">
        <v>0</v>
      </c>
      <c r="S1804" s="20">
        <v>0</v>
      </c>
      <c r="T1804" s="20">
        <v>48.03</v>
      </c>
      <c r="U1804" s="20">
        <v>47.9</v>
      </c>
      <c r="V1804" s="20">
        <v>-0.13</v>
      </c>
      <c r="W1804" s="20">
        <v>-1.73</v>
      </c>
      <c r="X1804" s="20">
        <v>-1.6</v>
      </c>
      <c r="Y1804" s="20">
        <v>0</v>
      </c>
      <c r="Z1804" s="20">
        <v>0</v>
      </c>
      <c r="AA1804" s="20">
        <v>0</v>
      </c>
      <c r="AB1804" s="20">
        <v>46.3</v>
      </c>
      <c r="AC1804" t="s">
        <v>188</v>
      </c>
      <c r="AD1804" t="s">
        <v>290</v>
      </c>
      <c r="AE1804" s="702">
        <f t="shared" si="140"/>
        <v>44348</v>
      </c>
      <c r="AF1804" s="289">
        <v>55.150215926678378</v>
      </c>
      <c r="AG1804">
        <f t="shared" si="141"/>
        <v>360</v>
      </c>
      <c r="AH1804" s="289">
        <f t="shared" si="142"/>
        <v>0.15319504424077326</v>
      </c>
      <c r="AJ1804" s="289">
        <f t="shared" si="143"/>
        <v>18</v>
      </c>
      <c r="AK1804" s="289">
        <f t="shared" si="144"/>
        <v>2.7575107963339187</v>
      </c>
    </row>
    <row r="1805" spans="1:37">
      <c r="A1805" s="703" t="s">
        <v>3332</v>
      </c>
      <c r="B1805" s="703" t="s">
        <v>2849</v>
      </c>
      <c r="C1805" s="703" t="s">
        <v>390</v>
      </c>
      <c r="D1805" s="703" t="s">
        <v>334</v>
      </c>
      <c r="E1805" s="703" t="s">
        <v>334</v>
      </c>
      <c r="F1805" s="703" t="s">
        <v>335</v>
      </c>
      <c r="G1805" s="703" t="s">
        <v>3301</v>
      </c>
      <c r="H1805" s="703" t="s">
        <v>334</v>
      </c>
      <c r="I1805" s="703" t="s">
        <v>334</v>
      </c>
      <c r="J1805" s="703" t="s">
        <v>337</v>
      </c>
      <c r="K1805" s="704">
        <v>0</v>
      </c>
      <c r="L1805" s="703" t="s">
        <v>334</v>
      </c>
      <c r="M1805" s="702">
        <v>42886</v>
      </c>
      <c r="N1805" s="702">
        <v>44516</v>
      </c>
      <c r="O1805" s="703" t="s">
        <v>338</v>
      </c>
      <c r="P1805" s="20">
        <v>16.79</v>
      </c>
      <c r="Q1805" s="20">
        <v>0</v>
      </c>
      <c r="R1805" s="20">
        <v>0</v>
      </c>
      <c r="S1805" s="20">
        <v>0</v>
      </c>
      <c r="T1805" s="20">
        <v>16.79</v>
      </c>
      <c r="U1805" s="20">
        <v>16.739999999999998</v>
      </c>
      <c r="V1805" s="20">
        <v>-0.05</v>
      </c>
      <c r="W1805" s="20">
        <v>-0.61</v>
      </c>
      <c r="X1805" s="20">
        <v>-0.56000000000000005</v>
      </c>
      <c r="Y1805" s="20">
        <v>0</v>
      </c>
      <c r="Z1805" s="20">
        <v>0</v>
      </c>
      <c r="AA1805" s="20">
        <v>0</v>
      </c>
      <c r="AB1805" s="20">
        <v>16.18</v>
      </c>
      <c r="AC1805" t="s">
        <v>188</v>
      </c>
      <c r="AD1805" t="s">
        <v>290</v>
      </c>
      <c r="AE1805" s="702">
        <f t="shared" si="140"/>
        <v>44348</v>
      </c>
      <c r="AF1805" s="289">
        <v>19.279036548176762</v>
      </c>
      <c r="AG1805">
        <f t="shared" si="141"/>
        <v>360</v>
      </c>
      <c r="AH1805" s="289">
        <f t="shared" si="142"/>
        <v>5.3552879300491005E-2</v>
      </c>
      <c r="AJ1805" s="289">
        <f t="shared" si="143"/>
        <v>18</v>
      </c>
      <c r="AK1805" s="289">
        <f t="shared" si="144"/>
        <v>0.96395182740883811</v>
      </c>
    </row>
    <row r="1806" spans="1:37">
      <c r="A1806" s="703" t="s">
        <v>3333</v>
      </c>
      <c r="B1806" s="703" t="s">
        <v>2849</v>
      </c>
      <c r="C1806" s="703" t="s">
        <v>390</v>
      </c>
      <c r="D1806" s="703" t="s">
        <v>334</v>
      </c>
      <c r="E1806" s="703" t="s">
        <v>334</v>
      </c>
      <c r="F1806" s="703" t="s">
        <v>335</v>
      </c>
      <c r="G1806" s="703" t="s">
        <v>3301</v>
      </c>
      <c r="H1806" s="703" t="s">
        <v>334</v>
      </c>
      <c r="I1806" s="703" t="s">
        <v>334</v>
      </c>
      <c r="J1806" s="703" t="s">
        <v>337</v>
      </c>
      <c r="K1806" s="704">
        <v>0</v>
      </c>
      <c r="L1806" s="703" t="s">
        <v>334</v>
      </c>
      <c r="M1806" s="702">
        <v>42886</v>
      </c>
      <c r="N1806" s="702">
        <v>44516</v>
      </c>
      <c r="O1806" s="703" t="s">
        <v>338</v>
      </c>
      <c r="P1806" s="20">
        <v>338.33</v>
      </c>
      <c r="Q1806" s="20">
        <v>0</v>
      </c>
      <c r="R1806" s="20">
        <v>0</v>
      </c>
      <c r="S1806" s="20">
        <v>0</v>
      </c>
      <c r="T1806" s="20">
        <v>338.33</v>
      </c>
      <c r="U1806" s="20">
        <v>337.39</v>
      </c>
      <c r="V1806" s="20">
        <v>-0.94</v>
      </c>
      <c r="W1806" s="20">
        <v>-12.22</v>
      </c>
      <c r="X1806" s="20">
        <v>-11.28</v>
      </c>
      <c r="Y1806" s="20">
        <v>0</v>
      </c>
      <c r="Z1806" s="20">
        <v>0</v>
      </c>
      <c r="AA1806" s="20">
        <v>0</v>
      </c>
      <c r="AB1806" s="20">
        <v>326.11</v>
      </c>
      <c r="AC1806" t="s">
        <v>188</v>
      </c>
      <c r="AD1806" t="s">
        <v>290</v>
      </c>
      <c r="AE1806" s="702">
        <f t="shared" si="140"/>
        <v>44348</v>
      </c>
      <c r="AF1806" s="289">
        <v>388.48579126531524</v>
      </c>
      <c r="AG1806">
        <f t="shared" si="141"/>
        <v>360</v>
      </c>
      <c r="AH1806" s="289">
        <f t="shared" si="142"/>
        <v>1.079127197959209</v>
      </c>
      <c r="AJ1806" s="289">
        <f t="shared" si="143"/>
        <v>18</v>
      </c>
      <c r="AK1806" s="289">
        <f t="shared" si="144"/>
        <v>19.424289563265763</v>
      </c>
    </row>
    <row r="1807" spans="1:37">
      <c r="A1807" s="703" t="s">
        <v>3334</v>
      </c>
      <c r="B1807" s="703" t="s">
        <v>2849</v>
      </c>
      <c r="C1807" s="703" t="s">
        <v>390</v>
      </c>
      <c r="D1807" s="703" t="s">
        <v>334</v>
      </c>
      <c r="E1807" s="703" t="s">
        <v>334</v>
      </c>
      <c r="F1807" s="703" t="s">
        <v>335</v>
      </c>
      <c r="G1807" s="703" t="s">
        <v>3301</v>
      </c>
      <c r="H1807" s="703" t="s">
        <v>334</v>
      </c>
      <c r="I1807" s="703" t="s">
        <v>334</v>
      </c>
      <c r="J1807" s="703" t="s">
        <v>337</v>
      </c>
      <c r="K1807" s="704">
        <v>0</v>
      </c>
      <c r="L1807" s="703" t="s">
        <v>334</v>
      </c>
      <c r="M1807" s="702">
        <v>42886</v>
      </c>
      <c r="N1807" s="702">
        <v>44516</v>
      </c>
      <c r="O1807" s="703" t="s">
        <v>338</v>
      </c>
      <c r="P1807" s="20">
        <v>3.38</v>
      </c>
      <c r="Q1807" s="20">
        <v>0</v>
      </c>
      <c r="R1807" s="20">
        <v>0</v>
      </c>
      <c r="S1807" s="20">
        <v>0</v>
      </c>
      <c r="T1807" s="20">
        <v>3.38</v>
      </c>
      <c r="U1807" s="20">
        <v>3.37</v>
      </c>
      <c r="V1807" s="20">
        <v>-0.01</v>
      </c>
      <c r="W1807" s="20">
        <v>-0.12</v>
      </c>
      <c r="X1807" s="20">
        <v>-0.11</v>
      </c>
      <c r="Y1807" s="20">
        <v>0</v>
      </c>
      <c r="Z1807" s="20">
        <v>0</v>
      </c>
      <c r="AA1807" s="20">
        <v>0</v>
      </c>
      <c r="AB1807" s="20">
        <v>3.26</v>
      </c>
      <c r="AC1807" t="s">
        <v>188</v>
      </c>
      <c r="AD1807" t="s">
        <v>290</v>
      </c>
      <c r="AE1807" s="702">
        <f t="shared" si="140"/>
        <v>44348</v>
      </c>
      <c r="AF1807" s="289">
        <v>3.8810687035638747</v>
      </c>
      <c r="AG1807">
        <f t="shared" si="141"/>
        <v>360</v>
      </c>
      <c r="AH1807" s="289">
        <f t="shared" si="142"/>
        <v>1.0780746398788541E-2</v>
      </c>
      <c r="AJ1807" s="289">
        <f t="shared" si="143"/>
        <v>18</v>
      </c>
      <c r="AK1807" s="289">
        <f t="shared" si="144"/>
        <v>0.19405343517819373</v>
      </c>
    </row>
    <row r="1808" spans="1:37">
      <c r="A1808" s="703" t="s">
        <v>3335</v>
      </c>
      <c r="B1808" s="703" t="s">
        <v>2849</v>
      </c>
      <c r="C1808" s="703" t="s">
        <v>390</v>
      </c>
      <c r="D1808" s="703" t="s">
        <v>334</v>
      </c>
      <c r="E1808" s="703" t="s">
        <v>334</v>
      </c>
      <c r="F1808" s="703" t="s">
        <v>335</v>
      </c>
      <c r="G1808" s="703" t="s">
        <v>3301</v>
      </c>
      <c r="H1808" s="703" t="s">
        <v>334</v>
      </c>
      <c r="I1808" s="703" t="s">
        <v>334</v>
      </c>
      <c r="J1808" s="703" t="s">
        <v>337</v>
      </c>
      <c r="K1808" s="704">
        <v>0</v>
      </c>
      <c r="L1808" s="703" t="s">
        <v>334</v>
      </c>
      <c r="M1808" s="702">
        <v>42886</v>
      </c>
      <c r="N1808" s="702">
        <v>44516</v>
      </c>
      <c r="O1808" s="703" t="s">
        <v>338</v>
      </c>
      <c r="P1808" s="20">
        <v>145.29</v>
      </c>
      <c r="Q1808" s="20">
        <v>0</v>
      </c>
      <c r="R1808" s="20">
        <v>0</v>
      </c>
      <c r="S1808" s="20">
        <v>0</v>
      </c>
      <c r="T1808" s="20">
        <v>145.29</v>
      </c>
      <c r="U1808" s="20">
        <v>144.88999999999999</v>
      </c>
      <c r="V1808" s="20">
        <v>-0.4</v>
      </c>
      <c r="W1808" s="20">
        <v>-5.24</v>
      </c>
      <c r="X1808" s="20">
        <v>-4.84</v>
      </c>
      <c r="Y1808" s="20">
        <v>0</v>
      </c>
      <c r="Z1808" s="20">
        <v>0</v>
      </c>
      <c r="AA1808" s="20">
        <v>0</v>
      </c>
      <c r="AB1808" s="20">
        <v>140.05000000000001</v>
      </c>
      <c r="AC1808" t="s">
        <v>188</v>
      </c>
      <c r="AD1808" t="s">
        <v>290</v>
      </c>
      <c r="AE1808" s="702">
        <f t="shared" si="140"/>
        <v>44348</v>
      </c>
      <c r="AF1808" s="289">
        <v>166.82854199431816</v>
      </c>
      <c r="AG1808">
        <f t="shared" si="141"/>
        <v>360</v>
      </c>
      <c r="AH1808" s="289">
        <f t="shared" si="142"/>
        <v>0.46341261665088379</v>
      </c>
      <c r="AJ1808" s="289">
        <f t="shared" si="143"/>
        <v>18</v>
      </c>
      <c r="AK1808" s="289">
        <f t="shared" si="144"/>
        <v>8.3414270997159079</v>
      </c>
    </row>
    <row r="1809" spans="1:37">
      <c r="A1809" s="703" t="s">
        <v>3336</v>
      </c>
      <c r="B1809" s="703" t="s">
        <v>2849</v>
      </c>
      <c r="C1809" s="703" t="s">
        <v>390</v>
      </c>
      <c r="D1809" s="703" t="s">
        <v>334</v>
      </c>
      <c r="E1809" s="703" t="s">
        <v>334</v>
      </c>
      <c r="F1809" s="703" t="s">
        <v>335</v>
      </c>
      <c r="G1809" s="703" t="s">
        <v>3301</v>
      </c>
      <c r="H1809" s="703" t="s">
        <v>334</v>
      </c>
      <c r="I1809" s="703" t="s">
        <v>334</v>
      </c>
      <c r="J1809" s="703" t="s">
        <v>337</v>
      </c>
      <c r="K1809" s="704">
        <v>0</v>
      </c>
      <c r="L1809" s="703" t="s">
        <v>334</v>
      </c>
      <c r="M1809" s="702">
        <v>42886</v>
      </c>
      <c r="N1809" s="702">
        <v>44516</v>
      </c>
      <c r="O1809" s="703" t="s">
        <v>338</v>
      </c>
      <c r="P1809" s="20">
        <v>750.89</v>
      </c>
      <c r="Q1809" s="20">
        <v>0</v>
      </c>
      <c r="R1809" s="20">
        <v>0</v>
      </c>
      <c r="S1809" s="20">
        <v>0</v>
      </c>
      <c r="T1809" s="20">
        <v>750.89</v>
      </c>
      <c r="U1809" s="20">
        <v>748.8</v>
      </c>
      <c r="V1809" s="20">
        <v>-2.09</v>
      </c>
      <c r="W1809" s="20">
        <v>-27.12</v>
      </c>
      <c r="X1809" s="20">
        <v>-25.03</v>
      </c>
      <c r="Y1809" s="20">
        <v>0</v>
      </c>
      <c r="Z1809" s="20">
        <v>0</v>
      </c>
      <c r="AA1809" s="20">
        <v>0</v>
      </c>
      <c r="AB1809" s="20">
        <v>723.77</v>
      </c>
      <c r="AC1809" t="s">
        <v>188</v>
      </c>
      <c r="AD1809" t="s">
        <v>290</v>
      </c>
      <c r="AE1809" s="702">
        <f t="shared" si="140"/>
        <v>44348</v>
      </c>
      <c r="AF1809" s="289">
        <v>862.2058221358219</v>
      </c>
      <c r="AG1809">
        <f t="shared" si="141"/>
        <v>360</v>
      </c>
      <c r="AH1809" s="289">
        <f t="shared" si="142"/>
        <v>2.3950161725995054</v>
      </c>
      <c r="AJ1809" s="289">
        <f t="shared" si="143"/>
        <v>18</v>
      </c>
      <c r="AK1809" s="289">
        <f t="shared" si="144"/>
        <v>43.110291106791095</v>
      </c>
    </row>
    <row r="1810" spans="1:37">
      <c r="A1810" s="703" t="s">
        <v>3337</v>
      </c>
      <c r="B1810" s="703" t="s">
        <v>2849</v>
      </c>
      <c r="C1810" s="703" t="s">
        <v>390</v>
      </c>
      <c r="D1810" s="703" t="s">
        <v>334</v>
      </c>
      <c r="E1810" s="703" t="s">
        <v>334</v>
      </c>
      <c r="F1810" s="703" t="s">
        <v>335</v>
      </c>
      <c r="G1810" s="703" t="s">
        <v>3301</v>
      </c>
      <c r="H1810" s="703" t="s">
        <v>334</v>
      </c>
      <c r="I1810" s="703" t="s">
        <v>334</v>
      </c>
      <c r="J1810" s="703" t="s">
        <v>337</v>
      </c>
      <c r="K1810" s="704">
        <v>0</v>
      </c>
      <c r="L1810" s="703" t="s">
        <v>334</v>
      </c>
      <c r="M1810" s="702">
        <v>42886</v>
      </c>
      <c r="N1810" s="702">
        <v>44516</v>
      </c>
      <c r="O1810" s="703" t="s">
        <v>338</v>
      </c>
      <c r="P1810" s="20">
        <v>202.67</v>
      </c>
      <c r="Q1810" s="20">
        <v>0</v>
      </c>
      <c r="R1810" s="20">
        <v>0</v>
      </c>
      <c r="S1810" s="20">
        <v>0</v>
      </c>
      <c r="T1810" s="20">
        <v>202.67</v>
      </c>
      <c r="U1810" s="20">
        <v>202.11</v>
      </c>
      <c r="V1810" s="20">
        <v>-0.56000000000000005</v>
      </c>
      <c r="W1810" s="20">
        <v>-7.32</v>
      </c>
      <c r="X1810" s="20">
        <v>-6.76</v>
      </c>
      <c r="Y1810" s="20">
        <v>0</v>
      </c>
      <c r="Z1810" s="20">
        <v>0</v>
      </c>
      <c r="AA1810" s="20">
        <v>0</v>
      </c>
      <c r="AB1810" s="20">
        <v>195.35</v>
      </c>
      <c r="AC1810" t="s">
        <v>188</v>
      </c>
      <c r="AD1810" t="s">
        <v>290</v>
      </c>
      <c r="AE1810" s="702">
        <f t="shared" si="140"/>
        <v>44348</v>
      </c>
      <c r="AF1810" s="289">
        <v>232.71485034061848</v>
      </c>
      <c r="AG1810">
        <f t="shared" si="141"/>
        <v>360</v>
      </c>
      <c r="AH1810" s="289">
        <f t="shared" si="142"/>
        <v>0.64643013983505138</v>
      </c>
      <c r="AJ1810" s="289">
        <f t="shared" si="143"/>
        <v>18</v>
      </c>
      <c r="AK1810" s="289">
        <f t="shared" si="144"/>
        <v>11.635742517030925</v>
      </c>
    </row>
    <row r="1811" spans="1:37">
      <c r="A1811" s="703" t="s">
        <v>3338</v>
      </c>
      <c r="B1811" s="703" t="s">
        <v>2849</v>
      </c>
      <c r="C1811" s="703" t="s">
        <v>390</v>
      </c>
      <c r="D1811" s="703" t="s">
        <v>334</v>
      </c>
      <c r="E1811" s="703" t="s">
        <v>334</v>
      </c>
      <c r="F1811" s="703" t="s">
        <v>335</v>
      </c>
      <c r="G1811" s="703" t="s">
        <v>3301</v>
      </c>
      <c r="H1811" s="703" t="s">
        <v>334</v>
      </c>
      <c r="I1811" s="703" t="s">
        <v>334</v>
      </c>
      <c r="J1811" s="703" t="s">
        <v>337</v>
      </c>
      <c r="K1811" s="704">
        <v>0</v>
      </c>
      <c r="L1811" s="703" t="s">
        <v>334</v>
      </c>
      <c r="M1811" s="702">
        <v>42886</v>
      </c>
      <c r="N1811" s="702">
        <v>44516</v>
      </c>
      <c r="O1811" s="703" t="s">
        <v>338</v>
      </c>
      <c r="P1811" s="20">
        <v>2148</v>
      </c>
      <c r="Q1811" s="20">
        <v>0</v>
      </c>
      <c r="R1811" s="20">
        <v>0</v>
      </c>
      <c r="S1811" s="20">
        <v>0</v>
      </c>
      <c r="T1811" s="20">
        <v>2148</v>
      </c>
      <c r="U1811" s="20">
        <v>2142.0300000000002</v>
      </c>
      <c r="V1811" s="20">
        <v>-5.97</v>
      </c>
      <c r="W1811" s="20">
        <v>-77.569999999999993</v>
      </c>
      <c r="X1811" s="20">
        <v>-71.599999999999994</v>
      </c>
      <c r="Y1811" s="20">
        <v>0</v>
      </c>
      <c r="Z1811" s="20">
        <v>0</v>
      </c>
      <c r="AA1811" s="20">
        <v>0</v>
      </c>
      <c r="AB1811" s="20">
        <v>2070.4299999999998</v>
      </c>
      <c r="AC1811" t="s">
        <v>188</v>
      </c>
      <c r="AD1811" t="s">
        <v>290</v>
      </c>
      <c r="AE1811" s="702">
        <f t="shared" si="140"/>
        <v>44348</v>
      </c>
      <c r="AF1811" s="289">
        <v>2466.4306435666281</v>
      </c>
      <c r="AG1811">
        <f t="shared" si="141"/>
        <v>360</v>
      </c>
      <c r="AH1811" s="289">
        <f t="shared" si="142"/>
        <v>6.8511962321295226</v>
      </c>
      <c r="AJ1811" s="289">
        <f t="shared" si="143"/>
        <v>18</v>
      </c>
      <c r="AK1811" s="289">
        <f t="shared" si="144"/>
        <v>123.32153217833141</v>
      </c>
    </row>
    <row r="1812" spans="1:37">
      <c r="A1812" s="703" t="s">
        <v>3339</v>
      </c>
      <c r="B1812" s="703" t="s">
        <v>2849</v>
      </c>
      <c r="C1812" s="703" t="s">
        <v>390</v>
      </c>
      <c r="D1812" s="703" t="s">
        <v>334</v>
      </c>
      <c r="E1812" s="703" t="s">
        <v>334</v>
      </c>
      <c r="F1812" s="703" t="s">
        <v>335</v>
      </c>
      <c r="G1812" s="703" t="s">
        <v>3301</v>
      </c>
      <c r="H1812" s="703" t="s">
        <v>334</v>
      </c>
      <c r="I1812" s="703" t="s">
        <v>334</v>
      </c>
      <c r="J1812" s="703" t="s">
        <v>337</v>
      </c>
      <c r="K1812" s="704">
        <v>0</v>
      </c>
      <c r="L1812" s="703" t="s">
        <v>334</v>
      </c>
      <c r="M1812" s="702">
        <v>42886</v>
      </c>
      <c r="N1812" s="702">
        <v>44516</v>
      </c>
      <c r="O1812" s="703" t="s">
        <v>338</v>
      </c>
      <c r="P1812" s="20">
        <v>562.63</v>
      </c>
      <c r="Q1812" s="20">
        <v>0</v>
      </c>
      <c r="R1812" s="20">
        <v>0</v>
      </c>
      <c r="S1812" s="20">
        <v>0</v>
      </c>
      <c r="T1812" s="20">
        <v>562.63</v>
      </c>
      <c r="U1812" s="20">
        <v>561.07000000000005</v>
      </c>
      <c r="V1812" s="20">
        <v>-1.56</v>
      </c>
      <c r="W1812" s="20">
        <v>-20.309999999999999</v>
      </c>
      <c r="X1812" s="20">
        <v>-18.75</v>
      </c>
      <c r="Y1812" s="20">
        <v>0</v>
      </c>
      <c r="Z1812" s="20">
        <v>0</v>
      </c>
      <c r="AA1812" s="20">
        <v>0</v>
      </c>
      <c r="AB1812" s="20">
        <v>542.32000000000005</v>
      </c>
      <c r="AC1812" t="s">
        <v>188</v>
      </c>
      <c r="AD1812" t="s">
        <v>290</v>
      </c>
      <c r="AE1812" s="702">
        <f t="shared" si="140"/>
        <v>44348</v>
      </c>
      <c r="AF1812" s="289">
        <v>646.03718481838541</v>
      </c>
      <c r="AG1812">
        <f t="shared" si="141"/>
        <v>360</v>
      </c>
      <c r="AH1812" s="289">
        <f t="shared" si="142"/>
        <v>1.7945477356066262</v>
      </c>
      <c r="AJ1812" s="289">
        <f t="shared" si="143"/>
        <v>18</v>
      </c>
      <c r="AK1812" s="289">
        <f t="shared" si="144"/>
        <v>32.301859240919271</v>
      </c>
    </row>
    <row r="1813" spans="1:37">
      <c r="A1813" s="703" t="s">
        <v>3340</v>
      </c>
      <c r="B1813" s="703" t="s">
        <v>2849</v>
      </c>
      <c r="C1813" s="703" t="s">
        <v>390</v>
      </c>
      <c r="D1813" s="703" t="s">
        <v>334</v>
      </c>
      <c r="E1813" s="703" t="s">
        <v>334</v>
      </c>
      <c r="F1813" s="703" t="s">
        <v>335</v>
      </c>
      <c r="G1813" s="703" t="s">
        <v>3301</v>
      </c>
      <c r="H1813" s="703" t="s">
        <v>334</v>
      </c>
      <c r="I1813" s="703" t="s">
        <v>334</v>
      </c>
      <c r="J1813" s="703" t="s">
        <v>337</v>
      </c>
      <c r="K1813" s="704">
        <v>0</v>
      </c>
      <c r="L1813" s="703" t="s">
        <v>334</v>
      </c>
      <c r="M1813" s="702">
        <v>42886</v>
      </c>
      <c r="N1813" s="702">
        <v>44516</v>
      </c>
      <c r="O1813" s="703" t="s">
        <v>338</v>
      </c>
      <c r="P1813" s="20">
        <v>25964.49</v>
      </c>
      <c r="Q1813" s="20">
        <v>0</v>
      </c>
      <c r="R1813" s="20">
        <v>0</v>
      </c>
      <c r="S1813" s="20">
        <v>0</v>
      </c>
      <c r="T1813" s="20">
        <v>25964.49</v>
      </c>
      <c r="U1813" s="20">
        <v>25892.37</v>
      </c>
      <c r="V1813" s="20">
        <v>-72.12</v>
      </c>
      <c r="W1813" s="20">
        <v>-937.6</v>
      </c>
      <c r="X1813" s="20">
        <v>-865.48</v>
      </c>
      <c r="Y1813" s="20">
        <v>0</v>
      </c>
      <c r="Z1813" s="20">
        <v>0</v>
      </c>
      <c r="AA1813" s="20">
        <v>0</v>
      </c>
      <c r="AB1813" s="20">
        <v>25026.89</v>
      </c>
      <c r="AC1813" t="s">
        <v>188</v>
      </c>
      <c r="AD1813" t="s">
        <v>290</v>
      </c>
      <c r="AE1813" s="702">
        <f t="shared" si="140"/>
        <v>44348</v>
      </c>
      <c r="AF1813" s="289">
        <v>29813.600456508048</v>
      </c>
      <c r="AG1813">
        <f t="shared" si="141"/>
        <v>360</v>
      </c>
      <c r="AH1813" s="289">
        <f t="shared" si="142"/>
        <v>82.815556823633472</v>
      </c>
      <c r="AJ1813" s="289">
        <f t="shared" si="143"/>
        <v>18</v>
      </c>
      <c r="AK1813" s="289">
        <f t="shared" si="144"/>
        <v>1490.6800228254024</v>
      </c>
    </row>
    <row r="1814" spans="1:37">
      <c r="A1814" s="703" t="s">
        <v>3341</v>
      </c>
      <c r="B1814" s="703" t="s">
        <v>2849</v>
      </c>
      <c r="C1814" s="703" t="s">
        <v>390</v>
      </c>
      <c r="D1814" s="703" t="s">
        <v>334</v>
      </c>
      <c r="E1814" s="703" t="s">
        <v>334</v>
      </c>
      <c r="F1814" s="703" t="s">
        <v>335</v>
      </c>
      <c r="G1814" s="703" t="s">
        <v>3301</v>
      </c>
      <c r="H1814" s="703" t="s">
        <v>334</v>
      </c>
      <c r="I1814" s="703" t="s">
        <v>334</v>
      </c>
      <c r="J1814" s="703" t="s">
        <v>337</v>
      </c>
      <c r="K1814" s="704">
        <v>0</v>
      </c>
      <c r="L1814" s="703" t="s">
        <v>334</v>
      </c>
      <c r="M1814" s="702">
        <v>42886</v>
      </c>
      <c r="N1814" s="702">
        <v>44516</v>
      </c>
      <c r="O1814" s="703" t="s">
        <v>338</v>
      </c>
      <c r="P1814" s="20">
        <v>204.88</v>
      </c>
      <c r="Q1814" s="20">
        <v>0</v>
      </c>
      <c r="R1814" s="20">
        <v>0</v>
      </c>
      <c r="S1814" s="20">
        <v>0</v>
      </c>
      <c r="T1814" s="20">
        <v>204.88</v>
      </c>
      <c r="U1814" s="20">
        <v>204.31</v>
      </c>
      <c r="V1814" s="20">
        <v>-0.56999999999999995</v>
      </c>
      <c r="W1814" s="20">
        <v>-7.4</v>
      </c>
      <c r="X1814" s="20">
        <v>-6.83</v>
      </c>
      <c r="Y1814" s="20">
        <v>0</v>
      </c>
      <c r="Z1814" s="20">
        <v>0</v>
      </c>
      <c r="AA1814" s="20">
        <v>0</v>
      </c>
      <c r="AB1814" s="20">
        <v>197.48</v>
      </c>
      <c r="AC1814" t="s">
        <v>188</v>
      </c>
      <c r="AD1814" t="s">
        <v>290</v>
      </c>
      <c r="AE1814" s="702">
        <f t="shared" si="140"/>
        <v>44348</v>
      </c>
      <c r="AF1814" s="289">
        <v>235.25247218525641</v>
      </c>
      <c r="AG1814">
        <f t="shared" si="141"/>
        <v>360</v>
      </c>
      <c r="AH1814" s="289">
        <f t="shared" si="142"/>
        <v>0.65347908940348998</v>
      </c>
      <c r="AJ1814" s="289">
        <f t="shared" si="143"/>
        <v>18</v>
      </c>
      <c r="AK1814" s="289">
        <f t="shared" si="144"/>
        <v>11.762623609262819</v>
      </c>
    </row>
    <row r="1815" spans="1:37">
      <c r="A1815" s="703" t="s">
        <v>3342</v>
      </c>
      <c r="B1815" s="703" t="s">
        <v>2849</v>
      </c>
      <c r="C1815" s="703" t="s">
        <v>390</v>
      </c>
      <c r="D1815" s="703" t="s">
        <v>334</v>
      </c>
      <c r="E1815" s="703" t="s">
        <v>334</v>
      </c>
      <c r="F1815" s="703" t="s">
        <v>335</v>
      </c>
      <c r="G1815" s="703" t="s">
        <v>3301</v>
      </c>
      <c r="H1815" s="703" t="s">
        <v>334</v>
      </c>
      <c r="I1815" s="703" t="s">
        <v>334</v>
      </c>
      <c r="J1815" s="703" t="s">
        <v>337</v>
      </c>
      <c r="K1815" s="704">
        <v>0</v>
      </c>
      <c r="L1815" s="703" t="s">
        <v>334</v>
      </c>
      <c r="M1815" s="702">
        <v>42886</v>
      </c>
      <c r="N1815" s="702">
        <v>44516</v>
      </c>
      <c r="O1815" s="703" t="s">
        <v>338</v>
      </c>
      <c r="P1815" s="20">
        <v>601.27</v>
      </c>
      <c r="Q1815" s="20">
        <v>0</v>
      </c>
      <c r="R1815" s="20">
        <v>0</v>
      </c>
      <c r="S1815" s="20">
        <v>0</v>
      </c>
      <c r="T1815" s="20">
        <v>601.27</v>
      </c>
      <c r="U1815" s="20">
        <v>599.6</v>
      </c>
      <c r="V1815" s="20">
        <v>-1.67</v>
      </c>
      <c r="W1815" s="20">
        <v>-21.71</v>
      </c>
      <c r="X1815" s="20">
        <v>-20.04</v>
      </c>
      <c r="Y1815" s="20">
        <v>0</v>
      </c>
      <c r="Z1815" s="20">
        <v>0</v>
      </c>
      <c r="AA1815" s="20">
        <v>0</v>
      </c>
      <c r="AB1815" s="20">
        <v>579.55999999999995</v>
      </c>
      <c r="AC1815" t="s">
        <v>188</v>
      </c>
      <c r="AD1815" t="s">
        <v>290</v>
      </c>
      <c r="AE1815" s="702">
        <f t="shared" si="140"/>
        <v>44348</v>
      </c>
      <c r="AF1815" s="289">
        <v>690.40537851829902</v>
      </c>
      <c r="AG1815">
        <f t="shared" si="141"/>
        <v>360</v>
      </c>
      <c r="AH1815" s="289">
        <f t="shared" si="142"/>
        <v>1.9177927181063861</v>
      </c>
      <c r="AJ1815" s="289">
        <f t="shared" si="143"/>
        <v>18</v>
      </c>
      <c r="AK1815" s="289">
        <f t="shared" si="144"/>
        <v>34.520268925914948</v>
      </c>
    </row>
    <row r="1816" spans="1:37">
      <c r="A1816" s="703" t="s">
        <v>3343</v>
      </c>
      <c r="B1816" s="703" t="s">
        <v>2849</v>
      </c>
      <c r="C1816" s="703" t="s">
        <v>390</v>
      </c>
      <c r="D1816" s="703" t="s">
        <v>334</v>
      </c>
      <c r="E1816" s="703" t="s">
        <v>334</v>
      </c>
      <c r="F1816" s="703" t="s">
        <v>335</v>
      </c>
      <c r="G1816" s="703" t="s">
        <v>3301</v>
      </c>
      <c r="H1816" s="703" t="s">
        <v>334</v>
      </c>
      <c r="I1816" s="703" t="s">
        <v>334</v>
      </c>
      <c r="J1816" s="703" t="s">
        <v>337</v>
      </c>
      <c r="K1816" s="704">
        <v>0</v>
      </c>
      <c r="L1816" s="703" t="s">
        <v>334</v>
      </c>
      <c r="M1816" s="702">
        <v>42886</v>
      </c>
      <c r="N1816" s="702">
        <v>44516</v>
      </c>
      <c r="O1816" s="703" t="s">
        <v>338</v>
      </c>
      <c r="P1816" s="20">
        <v>86.85</v>
      </c>
      <c r="Q1816" s="20">
        <v>0</v>
      </c>
      <c r="R1816" s="20">
        <v>0</v>
      </c>
      <c r="S1816" s="20">
        <v>0</v>
      </c>
      <c r="T1816" s="20">
        <v>86.85</v>
      </c>
      <c r="U1816" s="20">
        <v>86.61</v>
      </c>
      <c r="V1816" s="20">
        <v>-0.24</v>
      </c>
      <c r="W1816" s="20">
        <v>-3.14</v>
      </c>
      <c r="X1816" s="20">
        <v>-2.9</v>
      </c>
      <c r="Y1816" s="20">
        <v>0</v>
      </c>
      <c r="Z1816" s="20">
        <v>0</v>
      </c>
      <c r="AA1816" s="20">
        <v>0</v>
      </c>
      <c r="AB1816" s="20">
        <v>83.71</v>
      </c>
      <c r="AC1816" t="s">
        <v>188</v>
      </c>
      <c r="AD1816" t="s">
        <v>290</v>
      </c>
      <c r="AE1816" s="702">
        <f t="shared" si="140"/>
        <v>44348</v>
      </c>
      <c r="AF1816" s="289">
        <v>99.725093758734459</v>
      </c>
      <c r="AG1816">
        <f t="shared" si="141"/>
        <v>360</v>
      </c>
      <c r="AH1816" s="289">
        <f t="shared" si="142"/>
        <v>0.27701414932981794</v>
      </c>
      <c r="AJ1816" s="289">
        <f t="shared" si="143"/>
        <v>18</v>
      </c>
      <c r="AK1816" s="289">
        <f t="shared" si="144"/>
        <v>4.9862546879367233</v>
      </c>
    </row>
    <row r="1817" spans="1:37">
      <c r="A1817" s="703" t="s">
        <v>3344</v>
      </c>
      <c r="B1817" s="703" t="s">
        <v>2849</v>
      </c>
      <c r="C1817" s="703" t="s">
        <v>390</v>
      </c>
      <c r="D1817" s="703" t="s">
        <v>334</v>
      </c>
      <c r="E1817" s="703" t="s">
        <v>334</v>
      </c>
      <c r="F1817" s="703" t="s">
        <v>335</v>
      </c>
      <c r="G1817" s="703" t="s">
        <v>3301</v>
      </c>
      <c r="H1817" s="703" t="s">
        <v>334</v>
      </c>
      <c r="I1817" s="703" t="s">
        <v>334</v>
      </c>
      <c r="J1817" s="703" t="s">
        <v>337</v>
      </c>
      <c r="K1817" s="704">
        <v>0</v>
      </c>
      <c r="L1817" s="703" t="s">
        <v>334</v>
      </c>
      <c r="M1817" s="702">
        <v>42886</v>
      </c>
      <c r="N1817" s="702">
        <v>44516</v>
      </c>
      <c r="O1817" s="703" t="s">
        <v>338</v>
      </c>
      <c r="P1817" s="20">
        <v>1726.56</v>
      </c>
      <c r="Q1817" s="20">
        <v>0</v>
      </c>
      <c r="R1817" s="20">
        <v>0</v>
      </c>
      <c r="S1817" s="20">
        <v>0</v>
      </c>
      <c r="T1817" s="20">
        <v>1726.56</v>
      </c>
      <c r="U1817" s="20">
        <v>1721.76</v>
      </c>
      <c r="V1817" s="20">
        <v>-4.8</v>
      </c>
      <c r="W1817" s="20">
        <v>-62.35</v>
      </c>
      <c r="X1817" s="20">
        <v>-57.55</v>
      </c>
      <c r="Y1817" s="20">
        <v>0</v>
      </c>
      <c r="Z1817" s="20">
        <v>0</v>
      </c>
      <c r="AA1817" s="20">
        <v>0</v>
      </c>
      <c r="AB1817" s="20">
        <v>1664.21</v>
      </c>
      <c r="AC1817" t="s">
        <v>188</v>
      </c>
      <c r="AD1817" t="s">
        <v>290</v>
      </c>
      <c r="AE1817" s="702">
        <f t="shared" si="140"/>
        <v>44348</v>
      </c>
      <c r="AF1817" s="289">
        <v>1982.514195510427</v>
      </c>
      <c r="AG1817">
        <f t="shared" si="141"/>
        <v>360</v>
      </c>
      <c r="AH1817" s="289">
        <f t="shared" si="142"/>
        <v>5.5069838764178529</v>
      </c>
      <c r="AJ1817" s="289">
        <f t="shared" si="143"/>
        <v>18</v>
      </c>
      <c r="AK1817" s="289">
        <f t="shared" si="144"/>
        <v>99.125709775521358</v>
      </c>
    </row>
    <row r="1818" spans="1:37">
      <c r="A1818" s="703" t="s">
        <v>3345</v>
      </c>
      <c r="B1818" s="703" t="s">
        <v>2849</v>
      </c>
      <c r="C1818" s="703" t="s">
        <v>390</v>
      </c>
      <c r="D1818" s="703" t="s">
        <v>334</v>
      </c>
      <c r="E1818" s="703" t="s">
        <v>334</v>
      </c>
      <c r="F1818" s="703" t="s">
        <v>335</v>
      </c>
      <c r="G1818" s="703" t="s">
        <v>3301</v>
      </c>
      <c r="H1818" s="703" t="s">
        <v>334</v>
      </c>
      <c r="I1818" s="703" t="s">
        <v>334</v>
      </c>
      <c r="J1818" s="703" t="s">
        <v>337</v>
      </c>
      <c r="K1818" s="704">
        <v>0</v>
      </c>
      <c r="L1818" s="703" t="s">
        <v>334</v>
      </c>
      <c r="M1818" s="702">
        <v>42886</v>
      </c>
      <c r="N1818" s="702">
        <v>44516</v>
      </c>
      <c r="O1818" s="703" t="s">
        <v>338</v>
      </c>
      <c r="P1818" s="20">
        <v>750.49</v>
      </c>
      <c r="Q1818" s="20">
        <v>0</v>
      </c>
      <c r="R1818" s="20">
        <v>0</v>
      </c>
      <c r="S1818" s="20">
        <v>0</v>
      </c>
      <c r="T1818" s="20">
        <v>750.49</v>
      </c>
      <c r="U1818" s="20">
        <v>748.41</v>
      </c>
      <c r="V1818" s="20">
        <v>-2.08</v>
      </c>
      <c r="W1818" s="20">
        <v>-27.1</v>
      </c>
      <c r="X1818" s="20">
        <v>-25.02</v>
      </c>
      <c r="Y1818" s="20">
        <v>0</v>
      </c>
      <c r="Z1818" s="20">
        <v>0</v>
      </c>
      <c r="AA1818" s="20">
        <v>0</v>
      </c>
      <c r="AB1818" s="20">
        <v>723.39</v>
      </c>
      <c r="AC1818" t="s">
        <v>188</v>
      </c>
      <c r="AD1818" t="s">
        <v>290</v>
      </c>
      <c r="AE1818" s="702">
        <f t="shared" si="140"/>
        <v>44348</v>
      </c>
      <c r="AF1818" s="289">
        <v>861.74652406439418</v>
      </c>
      <c r="AG1818">
        <f t="shared" si="141"/>
        <v>360</v>
      </c>
      <c r="AH1818" s="289">
        <f t="shared" si="142"/>
        <v>2.3937403446233172</v>
      </c>
      <c r="AJ1818" s="289">
        <f t="shared" si="143"/>
        <v>18</v>
      </c>
      <c r="AK1818" s="289">
        <f t="shared" si="144"/>
        <v>43.08732620321971</v>
      </c>
    </row>
    <row r="1819" spans="1:37">
      <c r="A1819" s="703" t="s">
        <v>3346</v>
      </c>
      <c r="B1819" s="703" t="s">
        <v>2849</v>
      </c>
      <c r="C1819" s="703" t="s">
        <v>390</v>
      </c>
      <c r="D1819" s="703" t="s">
        <v>334</v>
      </c>
      <c r="E1819" s="703" t="s">
        <v>334</v>
      </c>
      <c r="F1819" s="703" t="s">
        <v>335</v>
      </c>
      <c r="G1819" s="703" t="s">
        <v>3301</v>
      </c>
      <c r="H1819" s="703" t="s">
        <v>334</v>
      </c>
      <c r="I1819" s="703" t="s">
        <v>334</v>
      </c>
      <c r="J1819" s="703" t="s">
        <v>337</v>
      </c>
      <c r="K1819" s="704">
        <v>0</v>
      </c>
      <c r="L1819" s="703" t="s">
        <v>334</v>
      </c>
      <c r="M1819" s="702">
        <v>42886</v>
      </c>
      <c r="N1819" s="702">
        <v>44516</v>
      </c>
      <c r="O1819" s="703" t="s">
        <v>338</v>
      </c>
      <c r="P1819" s="20">
        <v>1582</v>
      </c>
      <c r="Q1819" s="20">
        <v>0</v>
      </c>
      <c r="R1819" s="20">
        <v>0</v>
      </c>
      <c r="S1819" s="20">
        <v>0</v>
      </c>
      <c r="T1819" s="20">
        <v>1582</v>
      </c>
      <c r="U1819" s="20">
        <v>1577.61</v>
      </c>
      <c r="V1819" s="20">
        <v>-4.3899999999999997</v>
      </c>
      <c r="W1819" s="20">
        <v>-57.12</v>
      </c>
      <c r="X1819" s="20">
        <v>-52.73</v>
      </c>
      <c r="Y1819" s="20">
        <v>0</v>
      </c>
      <c r="Z1819" s="20">
        <v>0</v>
      </c>
      <c r="AA1819" s="20">
        <v>0</v>
      </c>
      <c r="AB1819" s="20">
        <v>1524.88</v>
      </c>
      <c r="AC1819" t="s">
        <v>188</v>
      </c>
      <c r="AD1819" t="s">
        <v>290</v>
      </c>
      <c r="AE1819" s="702">
        <f t="shared" si="140"/>
        <v>44348</v>
      </c>
      <c r="AF1819" s="289">
        <v>1816.5238724964645</v>
      </c>
      <c r="AG1819">
        <f t="shared" si="141"/>
        <v>360</v>
      </c>
      <c r="AH1819" s="289">
        <f t="shared" si="142"/>
        <v>5.0458996458235124</v>
      </c>
      <c r="AJ1819" s="289">
        <f t="shared" si="143"/>
        <v>18</v>
      </c>
      <c r="AK1819" s="289">
        <f t="shared" si="144"/>
        <v>90.826193624823219</v>
      </c>
    </row>
    <row r="1820" spans="1:37">
      <c r="A1820" s="703" t="s">
        <v>3347</v>
      </c>
      <c r="B1820" s="703" t="s">
        <v>2849</v>
      </c>
      <c r="C1820" s="703" t="s">
        <v>390</v>
      </c>
      <c r="D1820" s="703" t="s">
        <v>334</v>
      </c>
      <c r="E1820" s="703" t="s">
        <v>334</v>
      </c>
      <c r="F1820" s="703" t="s">
        <v>335</v>
      </c>
      <c r="G1820" s="703" t="s">
        <v>3301</v>
      </c>
      <c r="H1820" s="703" t="s">
        <v>334</v>
      </c>
      <c r="I1820" s="703" t="s">
        <v>334</v>
      </c>
      <c r="J1820" s="703" t="s">
        <v>337</v>
      </c>
      <c r="K1820" s="704">
        <v>0</v>
      </c>
      <c r="L1820" s="703" t="s">
        <v>334</v>
      </c>
      <c r="M1820" s="702">
        <v>42886</v>
      </c>
      <c r="N1820" s="702">
        <v>44516</v>
      </c>
      <c r="O1820" s="703" t="s">
        <v>338</v>
      </c>
      <c r="P1820" s="20">
        <v>1308.52</v>
      </c>
      <c r="Q1820" s="20">
        <v>0</v>
      </c>
      <c r="R1820" s="20">
        <v>0</v>
      </c>
      <c r="S1820" s="20">
        <v>0</v>
      </c>
      <c r="T1820" s="20">
        <v>1308.52</v>
      </c>
      <c r="U1820" s="20">
        <v>1304.8900000000001</v>
      </c>
      <c r="V1820" s="20">
        <v>-3.63</v>
      </c>
      <c r="W1820" s="20">
        <v>-47.25</v>
      </c>
      <c r="X1820" s="20">
        <v>-43.62</v>
      </c>
      <c r="Y1820" s="20">
        <v>0</v>
      </c>
      <c r="Z1820" s="20">
        <v>0</v>
      </c>
      <c r="AA1820" s="20">
        <v>0</v>
      </c>
      <c r="AB1820" s="20">
        <v>1261.27</v>
      </c>
      <c r="AC1820" t="s">
        <v>188</v>
      </c>
      <c r="AD1820" t="s">
        <v>290</v>
      </c>
      <c r="AE1820" s="702">
        <f t="shared" si="140"/>
        <v>44348</v>
      </c>
      <c r="AF1820" s="289">
        <v>1502.5017810613613</v>
      </c>
      <c r="AG1820">
        <f t="shared" si="141"/>
        <v>360</v>
      </c>
      <c r="AH1820" s="289">
        <f t="shared" si="142"/>
        <v>4.1736160585037814</v>
      </c>
      <c r="AJ1820" s="289">
        <f t="shared" si="143"/>
        <v>18</v>
      </c>
      <c r="AK1820" s="289">
        <f t="shared" si="144"/>
        <v>75.125089053068066</v>
      </c>
    </row>
    <row r="1821" spans="1:37">
      <c r="A1821" s="703" t="s">
        <v>3348</v>
      </c>
      <c r="B1821" s="703" t="s">
        <v>2849</v>
      </c>
      <c r="C1821" s="703" t="s">
        <v>390</v>
      </c>
      <c r="D1821" s="703" t="s">
        <v>334</v>
      </c>
      <c r="E1821" s="703" t="s">
        <v>334</v>
      </c>
      <c r="F1821" s="703" t="s">
        <v>335</v>
      </c>
      <c r="G1821" s="703" t="s">
        <v>3301</v>
      </c>
      <c r="H1821" s="703" t="s">
        <v>334</v>
      </c>
      <c r="I1821" s="703" t="s">
        <v>334</v>
      </c>
      <c r="J1821" s="703" t="s">
        <v>337</v>
      </c>
      <c r="K1821" s="704">
        <v>0</v>
      </c>
      <c r="L1821" s="703" t="s">
        <v>334</v>
      </c>
      <c r="M1821" s="702">
        <v>42886</v>
      </c>
      <c r="N1821" s="702">
        <v>44516</v>
      </c>
      <c r="O1821" s="703" t="s">
        <v>338</v>
      </c>
      <c r="P1821" s="20">
        <v>3.38</v>
      </c>
      <c r="Q1821" s="20">
        <v>0</v>
      </c>
      <c r="R1821" s="20">
        <v>0</v>
      </c>
      <c r="S1821" s="20">
        <v>0</v>
      </c>
      <c r="T1821" s="20">
        <v>3.38</v>
      </c>
      <c r="U1821" s="20">
        <v>3.37</v>
      </c>
      <c r="V1821" s="20">
        <v>-0.01</v>
      </c>
      <c r="W1821" s="20">
        <v>-0.12</v>
      </c>
      <c r="X1821" s="20">
        <v>-0.11</v>
      </c>
      <c r="Y1821" s="20">
        <v>0</v>
      </c>
      <c r="Z1821" s="20">
        <v>0</v>
      </c>
      <c r="AA1821" s="20">
        <v>0</v>
      </c>
      <c r="AB1821" s="20">
        <v>3.26</v>
      </c>
      <c r="AC1821" t="s">
        <v>188</v>
      </c>
      <c r="AD1821" t="s">
        <v>290</v>
      </c>
      <c r="AE1821" s="702">
        <f t="shared" si="140"/>
        <v>44348</v>
      </c>
      <c r="AF1821" s="289">
        <v>3.8810687035638747</v>
      </c>
      <c r="AG1821">
        <f t="shared" si="141"/>
        <v>360</v>
      </c>
      <c r="AH1821" s="289">
        <f t="shared" si="142"/>
        <v>1.0780746398788541E-2</v>
      </c>
      <c r="AJ1821" s="289">
        <f t="shared" si="143"/>
        <v>18</v>
      </c>
      <c r="AK1821" s="289">
        <f t="shared" si="144"/>
        <v>0.19405343517819373</v>
      </c>
    </row>
    <row r="1822" spans="1:37">
      <c r="A1822" s="703" t="s">
        <v>3349</v>
      </c>
      <c r="B1822" s="703" t="s">
        <v>2849</v>
      </c>
      <c r="C1822" s="703" t="s">
        <v>390</v>
      </c>
      <c r="D1822" s="703" t="s">
        <v>334</v>
      </c>
      <c r="E1822" s="703" t="s">
        <v>334</v>
      </c>
      <c r="F1822" s="703" t="s">
        <v>335</v>
      </c>
      <c r="G1822" s="703" t="s">
        <v>3301</v>
      </c>
      <c r="H1822" s="703" t="s">
        <v>334</v>
      </c>
      <c r="I1822" s="703" t="s">
        <v>334</v>
      </c>
      <c r="J1822" s="703" t="s">
        <v>337</v>
      </c>
      <c r="K1822" s="704">
        <v>0</v>
      </c>
      <c r="L1822" s="703" t="s">
        <v>334</v>
      </c>
      <c r="M1822" s="702">
        <v>42886</v>
      </c>
      <c r="N1822" s="702">
        <v>44516</v>
      </c>
      <c r="O1822" s="703" t="s">
        <v>338</v>
      </c>
      <c r="P1822" s="20">
        <v>72.64</v>
      </c>
      <c r="Q1822" s="20">
        <v>0</v>
      </c>
      <c r="R1822" s="20">
        <v>0</v>
      </c>
      <c r="S1822" s="20">
        <v>0</v>
      </c>
      <c r="T1822" s="20">
        <v>72.64</v>
      </c>
      <c r="U1822" s="20">
        <v>72.44</v>
      </c>
      <c r="V1822" s="20">
        <v>-0.2</v>
      </c>
      <c r="W1822" s="20">
        <v>-2.62</v>
      </c>
      <c r="X1822" s="20">
        <v>-2.42</v>
      </c>
      <c r="Y1822" s="20">
        <v>0</v>
      </c>
      <c r="Z1822" s="20">
        <v>0</v>
      </c>
      <c r="AA1822" s="20">
        <v>0</v>
      </c>
      <c r="AB1822" s="20">
        <v>70.02</v>
      </c>
      <c r="AC1822" t="s">
        <v>188</v>
      </c>
      <c r="AD1822" t="s">
        <v>290</v>
      </c>
      <c r="AE1822" s="702">
        <f t="shared" si="140"/>
        <v>44348</v>
      </c>
      <c r="AF1822" s="289">
        <v>83.408529771266231</v>
      </c>
      <c r="AG1822">
        <f t="shared" si="141"/>
        <v>360</v>
      </c>
      <c r="AH1822" s="289">
        <f t="shared" si="142"/>
        <v>0.23169036047573954</v>
      </c>
      <c r="AJ1822" s="289">
        <f t="shared" si="143"/>
        <v>18</v>
      </c>
      <c r="AK1822" s="289">
        <f t="shared" si="144"/>
        <v>4.1704264885633116</v>
      </c>
    </row>
    <row r="1823" spans="1:37">
      <c r="A1823" s="703" t="s">
        <v>3350</v>
      </c>
      <c r="B1823" s="703" t="s">
        <v>2849</v>
      </c>
      <c r="C1823" s="703" t="s">
        <v>390</v>
      </c>
      <c r="D1823" s="703" t="s">
        <v>334</v>
      </c>
      <c r="E1823" s="703" t="s">
        <v>334</v>
      </c>
      <c r="F1823" s="703" t="s">
        <v>335</v>
      </c>
      <c r="G1823" s="703" t="s">
        <v>3301</v>
      </c>
      <c r="H1823" s="703" t="s">
        <v>334</v>
      </c>
      <c r="I1823" s="703" t="s">
        <v>334</v>
      </c>
      <c r="J1823" s="703" t="s">
        <v>337</v>
      </c>
      <c r="K1823" s="704">
        <v>0</v>
      </c>
      <c r="L1823" s="703" t="s">
        <v>334</v>
      </c>
      <c r="M1823" s="702">
        <v>42886</v>
      </c>
      <c r="N1823" s="702">
        <v>44516</v>
      </c>
      <c r="O1823" s="703" t="s">
        <v>338</v>
      </c>
      <c r="P1823" s="20">
        <v>8.4</v>
      </c>
      <c r="Q1823" s="20">
        <v>0</v>
      </c>
      <c r="R1823" s="20">
        <v>0</v>
      </c>
      <c r="S1823" s="20">
        <v>0</v>
      </c>
      <c r="T1823" s="20">
        <v>8.4</v>
      </c>
      <c r="U1823" s="20">
        <v>8.3800000000000008</v>
      </c>
      <c r="V1823" s="20">
        <v>-0.02</v>
      </c>
      <c r="W1823" s="20">
        <v>-0.3</v>
      </c>
      <c r="X1823" s="20">
        <v>-0.28000000000000003</v>
      </c>
      <c r="Y1823" s="20">
        <v>0</v>
      </c>
      <c r="Z1823" s="20">
        <v>0</v>
      </c>
      <c r="AA1823" s="20">
        <v>0</v>
      </c>
      <c r="AB1823" s="20">
        <v>8.1</v>
      </c>
      <c r="AC1823" t="s">
        <v>188</v>
      </c>
      <c r="AD1823" t="s">
        <v>290</v>
      </c>
      <c r="AE1823" s="702">
        <f t="shared" si="140"/>
        <v>44348</v>
      </c>
      <c r="AF1823" s="289">
        <v>9.6452594999812291</v>
      </c>
      <c r="AG1823">
        <f t="shared" si="141"/>
        <v>360</v>
      </c>
      <c r="AH1823" s="289">
        <f t="shared" si="142"/>
        <v>2.6792387499947858E-2</v>
      </c>
      <c r="AJ1823" s="289">
        <f t="shared" si="143"/>
        <v>18</v>
      </c>
      <c r="AK1823" s="289">
        <f t="shared" si="144"/>
        <v>0.48226297499906146</v>
      </c>
    </row>
    <row r="1824" spans="1:37">
      <c r="A1824" s="703" t="s">
        <v>3351</v>
      </c>
      <c r="B1824" s="703" t="s">
        <v>2849</v>
      </c>
      <c r="C1824" s="703" t="s">
        <v>390</v>
      </c>
      <c r="D1824" s="703" t="s">
        <v>334</v>
      </c>
      <c r="E1824" s="703" t="s">
        <v>334</v>
      </c>
      <c r="F1824" s="703" t="s">
        <v>335</v>
      </c>
      <c r="G1824" s="703" t="s">
        <v>3301</v>
      </c>
      <c r="H1824" s="703" t="s">
        <v>334</v>
      </c>
      <c r="I1824" s="703" t="s">
        <v>334</v>
      </c>
      <c r="J1824" s="703" t="s">
        <v>337</v>
      </c>
      <c r="K1824" s="704">
        <v>0</v>
      </c>
      <c r="L1824" s="703" t="s">
        <v>334</v>
      </c>
      <c r="M1824" s="702">
        <v>42886</v>
      </c>
      <c r="N1824" s="702">
        <v>44516</v>
      </c>
      <c r="O1824" s="703" t="s">
        <v>338</v>
      </c>
      <c r="P1824" s="20">
        <v>169.16</v>
      </c>
      <c r="Q1824" s="20">
        <v>0</v>
      </c>
      <c r="R1824" s="20">
        <v>0</v>
      </c>
      <c r="S1824" s="20">
        <v>0</v>
      </c>
      <c r="T1824" s="20">
        <v>169.16</v>
      </c>
      <c r="U1824" s="20">
        <v>168.69</v>
      </c>
      <c r="V1824" s="20">
        <v>-0.47</v>
      </c>
      <c r="W1824" s="20">
        <v>-6.11</v>
      </c>
      <c r="X1824" s="20">
        <v>-5.64</v>
      </c>
      <c r="Y1824" s="20">
        <v>0</v>
      </c>
      <c r="Z1824" s="20">
        <v>0</v>
      </c>
      <c r="AA1824" s="20">
        <v>0</v>
      </c>
      <c r="AB1824" s="20">
        <v>163.05000000000001</v>
      </c>
      <c r="AC1824" t="s">
        <v>188</v>
      </c>
      <c r="AD1824" t="s">
        <v>290</v>
      </c>
      <c r="AE1824" s="702">
        <f t="shared" si="140"/>
        <v>44348</v>
      </c>
      <c r="AF1824" s="289">
        <v>194.2371544067648</v>
      </c>
      <c r="AG1824">
        <f t="shared" si="141"/>
        <v>360</v>
      </c>
      <c r="AH1824" s="289">
        <f t="shared" si="142"/>
        <v>0.53954765112990222</v>
      </c>
      <c r="AJ1824" s="289">
        <f t="shared" si="143"/>
        <v>18</v>
      </c>
      <c r="AK1824" s="289">
        <f t="shared" si="144"/>
        <v>9.7118577203382408</v>
      </c>
    </row>
    <row r="1825" spans="1:37">
      <c r="A1825" s="703" t="s">
        <v>3352</v>
      </c>
      <c r="B1825" s="703" t="s">
        <v>2849</v>
      </c>
      <c r="C1825" s="703" t="s">
        <v>390</v>
      </c>
      <c r="D1825" s="703" t="s">
        <v>334</v>
      </c>
      <c r="E1825" s="703" t="s">
        <v>334</v>
      </c>
      <c r="F1825" s="703" t="s">
        <v>335</v>
      </c>
      <c r="G1825" s="703" t="s">
        <v>3301</v>
      </c>
      <c r="H1825" s="703" t="s">
        <v>334</v>
      </c>
      <c r="I1825" s="703" t="s">
        <v>334</v>
      </c>
      <c r="J1825" s="703" t="s">
        <v>337</v>
      </c>
      <c r="K1825" s="704">
        <v>0</v>
      </c>
      <c r="L1825" s="703" t="s">
        <v>334</v>
      </c>
      <c r="M1825" s="702">
        <v>42886</v>
      </c>
      <c r="N1825" s="702">
        <v>44516</v>
      </c>
      <c r="O1825" s="703" t="s">
        <v>338</v>
      </c>
      <c r="P1825" s="20">
        <v>375.44</v>
      </c>
      <c r="Q1825" s="20">
        <v>0</v>
      </c>
      <c r="R1825" s="20">
        <v>0</v>
      </c>
      <c r="S1825" s="20">
        <v>0</v>
      </c>
      <c r="T1825" s="20">
        <v>375.44</v>
      </c>
      <c r="U1825" s="20">
        <v>374.4</v>
      </c>
      <c r="V1825" s="20">
        <v>-1.04</v>
      </c>
      <c r="W1825" s="20">
        <v>-13.55</v>
      </c>
      <c r="X1825" s="20">
        <v>-12.51</v>
      </c>
      <c r="Y1825" s="20">
        <v>0</v>
      </c>
      <c r="Z1825" s="20">
        <v>0</v>
      </c>
      <c r="AA1825" s="20">
        <v>0</v>
      </c>
      <c r="AB1825" s="20">
        <v>361.89</v>
      </c>
      <c r="AC1825" t="s">
        <v>188</v>
      </c>
      <c r="AD1825" t="s">
        <v>290</v>
      </c>
      <c r="AE1825" s="702">
        <f t="shared" si="140"/>
        <v>44348</v>
      </c>
      <c r="AF1825" s="289">
        <v>431.0971698420181</v>
      </c>
      <c r="AG1825">
        <f t="shared" si="141"/>
        <v>360</v>
      </c>
      <c r="AH1825" s="289">
        <f t="shared" si="142"/>
        <v>1.1974921384500503</v>
      </c>
      <c r="AJ1825" s="289">
        <f t="shared" si="143"/>
        <v>18</v>
      </c>
      <c r="AK1825" s="289">
        <f t="shared" si="144"/>
        <v>21.554858492100905</v>
      </c>
    </row>
    <row r="1826" spans="1:37">
      <c r="A1826" s="703" t="s">
        <v>3353</v>
      </c>
      <c r="B1826" s="703" t="s">
        <v>2849</v>
      </c>
      <c r="C1826" s="703" t="s">
        <v>390</v>
      </c>
      <c r="D1826" s="703" t="s">
        <v>334</v>
      </c>
      <c r="E1826" s="703" t="s">
        <v>334</v>
      </c>
      <c r="F1826" s="703" t="s">
        <v>335</v>
      </c>
      <c r="G1826" s="703" t="s">
        <v>3301</v>
      </c>
      <c r="H1826" s="703" t="s">
        <v>334</v>
      </c>
      <c r="I1826" s="703" t="s">
        <v>334</v>
      </c>
      <c r="J1826" s="703" t="s">
        <v>337</v>
      </c>
      <c r="K1826" s="704">
        <v>0</v>
      </c>
      <c r="L1826" s="703" t="s">
        <v>334</v>
      </c>
      <c r="M1826" s="702">
        <v>42886</v>
      </c>
      <c r="N1826" s="702">
        <v>44516</v>
      </c>
      <c r="O1826" s="703" t="s">
        <v>338</v>
      </c>
      <c r="P1826" s="20">
        <v>1074</v>
      </c>
      <c r="Q1826" s="20">
        <v>0</v>
      </c>
      <c r="R1826" s="20">
        <v>0</v>
      </c>
      <c r="S1826" s="20">
        <v>0</v>
      </c>
      <c r="T1826" s="20">
        <v>1074</v>
      </c>
      <c r="U1826" s="20">
        <v>1071.02</v>
      </c>
      <c r="V1826" s="20">
        <v>-2.98</v>
      </c>
      <c r="W1826" s="20">
        <v>-38.78</v>
      </c>
      <c r="X1826" s="20">
        <v>-35.799999999999997</v>
      </c>
      <c r="Y1826" s="20">
        <v>0</v>
      </c>
      <c r="Z1826" s="20">
        <v>0</v>
      </c>
      <c r="AA1826" s="20">
        <v>0</v>
      </c>
      <c r="AB1826" s="20">
        <v>1035.22</v>
      </c>
      <c r="AC1826" t="s">
        <v>188</v>
      </c>
      <c r="AD1826" t="s">
        <v>290</v>
      </c>
      <c r="AE1826" s="702">
        <f t="shared" si="140"/>
        <v>44348</v>
      </c>
      <c r="AF1826" s="289">
        <v>1233.215321783314</v>
      </c>
      <c r="AG1826">
        <f t="shared" si="141"/>
        <v>360</v>
      </c>
      <c r="AH1826" s="289">
        <f t="shared" si="142"/>
        <v>3.4255981160647613</v>
      </c>
      <c r="AJ1826" s="289">
        <f t="shared" si="143"/>
        <v>18</v>
      </c>
      <c r="AK1826" s="289">
        <f t="shared" si="144"/>
        <v>61.660766089165705</v>
      </c>
    </row>
    <row r="1827" spans="1:37">
      <c r="A1827" s="703" t="s">
        <v>3354</v>
      </c>
      <c r="B1827" s="703" t="s">
        <v>2849</v>
      </c>
      <c r="C1827" s="703" t="s">
        <v>390</v>
      </c>
      <c r="D1827" s="703" t="s">
        <v>334</v>
      </c>
      <c r="E1827" s="703" t="s">
        <v>334</v>
      </c>
      <c r="F1827" s="703" t="s">
        <v>335</v>
      </c>
      <c r="G1827" s="703" t="s">
        <v>3301</v>
      </c>
      <c r="H1827" s="703" t="s">
        <v>334</v>
      </c>
      <c r="I1827" s="703" t="s">
        <v>334</v>
      </c>
      <c r="J1827" s="703" t="s">
        <v>337</v>
      </c>
      <c r="K1827" s="704">
        <v>0</v>
      </c>
      <c r="L1827" s="703" t="s">
        <v>334</v>
      </c>
      <c r="M1827" s="702">
        <v>42886</v>
      </c>
      <c r="N1827" s="702">
        <v>44516</v>
      </c>
      <c r="O1827" s="703" t="s">
        <v>338</v>
      </c>
      <c r="P1827" s="20">
        <v>1308.8900000000001</v>
      </c>
      <c r="Q1827" s="20">
        <v>0</v>
      </c>
      <c r="R1827" s="20">
        <v>0</v>
      </c>
      <c r="S1827" s="20">
        <v>0</v>
      </c>
      <c r="T1827" s="20">
        <v>1308.8900000000001</v>
      </c>
      <c r="U1827" s="20">
        <v>1305.25</v>
      </c>
      <c r="V1827" s="20">
        <v>-3.64</v>
      </c>
      <c r="W1827" s="20">
        <v>-47.27</v>
      </c>
      <c r="X1827" s="20">
        <v>-43.63</v>
      </c>
      <c r="Y1827" s="20">
        <v>0</v>
      </c>
      <c r="Z1827" s="20">
        <v>0</v>
      </c>
      <c r="AA1827" s="20">
        <v>0</v>
      </c>
      <c r="AB1827" s="20">
        <v>1261.6199999999999</v>
      </c>
      <c r="AC1827" t="s">
        <v>188</v>
      </c>
      <c r="AD1827" t="s">
        <v>290</v>
      </c>
      <c r="AE1827" s="702">
        <f t="shared" si="140"/>
        <v>44348</v>
      </c>
      <c r="AF1827" s="289">
        <v>1502.926631777432</v>
      </c>
      <c r="AG1827">
        <f t="shared" si="141"/>
        <v>360</v>
      </c>
      <c r="AH1827" s="289">
        <f t="shared" si="142"/>
        <v>4.1747961993817553</v>
      </c>
      <c r="AJ1827" s="289">
        <f t="shared" si="143"/>
        <v>18</v>
      </c>
      <c r="AK1827" s="289">
        <f t="shared" si="144"/>
        <v>75.14633158887159</v>
      </c>
    </row>
    <row r="1828" spans="1:37">
      <c r="A1828" s="703" t="s">
        <v>3355</v>
      </c>
      <c r="B1828" s="703" t="s">
        <v>2849</v>
      </c>
      <c r="C1828" s="703" t="s">
        <v>390</v>
      </c>
      <c r="D1828" s="703" t="s">
        <v>334</v>
      </c>
      <c r="E1828" s="703" t="s">
        <v>334</v>
      </c>
      <c r="F1828" s="703" t="s">
        <v>335</v>
      </c>
      <c r="G1828" s="703" t="s">
        <v>3301</v>
      </c>
      <c r="H1828" s="703" t="s">
        <v>334</v>
      </c>
      <c r="I1828" s="703" t="s">
        <v>334</v>
      </c>
      <c r="J1828" s="703" t="s">
        <v>337</v>
      </c>
      <c r="K1828" s="704">
        <v>0</v>
      </c>
      <c r="L1828" s="703" t="s">
        <v>334</v>
      </c>
      <c r="M1828" s="702">
        <v>42886</v>
      </c>
      <c r="N1828" s="702">
        <v>44516</v>
      </c>
      <c r="O1828" s="703" t="s">
        <v>338</v>
      </c>
      <c r="P1828" s="20">
        <v>109.67</v>
      </c>
      <c r="Q1828" s="20">
        <v>0</v>
      </c>
      <c r="R1828" s="20">
        <v>0</v>
      </c>
      <c r="S1828" s="20">
        <v>0</v>
      </c>
      <c r="T1828" s="20">
        <v>109.67</v>
      </c>
      <c r="U1828" s="20">
        <v>109.37</v>
      </c>
      <c r="V1828" s="20">
        <v>-0.3</v>
      </c>
      <c r="W1828" s="20">
        <v>-3.96</v>
      </c>
      <c r="X1828" s="20">
        <v>-3.66</v>
      </c>
      <c r="Y1828" s="20">
        <v>0</v>
      </c>
      <c r="Z1828" s="20">
        <v>0</v>
      </c>
      <c r="AA1828" s="20">
        <v>0</v>
      </c>
      <c r="AB1828" s="20">
        <v>105.71</v>
      </c>
      <c r="AC1828" t="s">
        <v>188</v>
      </c>
      <c r="AD1828" t="s">
        <v>290</v>
      </c>
      <c r="AE1828" s="702">
        <f t="shared" si="140"/>
        <v>44348</v>
      </c>
      <c r="AF1828" s="289">
        <v>125.92804873368348</v>
      </c>
      <c r="AG1828">
        <f t="shared" si="141"/>
        <v>360</v>
      </c>
      <c r="AH1828" s="289">
        <f t="shared" si="142"/>
        <v>0.34980013537134302</v>
      </c>
      <c r="AJ1828" s="289">
        <f t="shared" si="143"/>
        <v>18</v>
      </c>
      <c r="AK1828" s="289">
        <f t="shared" si="144"/>
        <v>6.2964024366841747</v>
      </c>
    </row>
    <row r="1829" spans="1:37">
      <c r="A1829" s="703" t="s">
        <v>3356</v>
      </c>
      <c r="B1829" s="703" t="s">
        <v>2849</v>
      </c>
      <c r="C1829" s="703" t="s">
        <v>390</v>
      </c>
      <c r="D1829" s="703" t="s">
        <v>334</v>
      </c>
      <c r="E1829" s="703" t="s">
        <v>334</v>
      </c>
      <c r="F1829" s="703" t="s">
        <v>335</v>
      </c>
      <c r="G1829" s="703" t="s">
        <v>3301</v>
      </c>
      <c r="H1829" s="703" t="s">
        <v>334</v>
      </c>
      <c r="I1829" s="703" t="s">
        <v>334</v>
      </c>
      <c r="J1829" s="703" t="s">
        <v>337</v>
      </c>
      <c r="K1829" s="704">
        <v>0</v>
      </c>
      <c r="L1829" s="703" t="s">
        <v>334</v>
      </c>
      <c r="M1829" s="702">
        <v>42886</v>
      </c>
      <c r="N1829" s="702">
        <v>44516</v>
      </c>
      <c r="O1829" s="703" t="s">
        <v>338</v>
      </c>
      <c r="P1829" s="20">
        <v>19.78</v>
      </c>
      <c r="Q1829" s="20">
        <v>0</v>
      </c>
      <c r="R1829" s="20">
        <v>0</v>
      </c>
      <c r="S1829" s="20">
        <v>0</v>
      </c>
      <c r="T1829" s="20">
        <v>19.78</v>
      </c>
      <c r="U1829" s="20">
        <v>19.73</v>
      </c>
      <c r="V1829" s="20">
        <v>-0.05</v>
      </c>
      <c r="W1829" s="20">
        <v>-0.71</v>
      </c>
      <c r="X1829" s="20">
        <v>-0.66</v>
      </c>
      <c r="Y1829" s="20">
        <v>0</v>
      </c>
      <c r="Z1829" s="20">
        <v>0</v>
      </c>
      <c r="AA1829" s="20">
        <v>0</v>
      </c>
      <c r="AB1829" s="20">
        <v>19.07</v>
      </c>
      <c r="AC1829" t="s">
        <v>188</v>
      </c>
      <c r="AD1829" t="s">
        <v>290</v>
      </c>
      <c r="AE1829" s="702">
        <f t="shared" si="140"/>
        <v>44348</v>
      </c>
      <c r="AF1829" s="289">
        <v>22.712289632098653</v>
      </c>
      <c r="AG1829">
        <f t="shared" si="141"/>
        <v>360</v>
      </c>
      <c r="AH1829" s="289">
        <f t="shared" si="142"/>
        <v>6.3089693422496262E-2</v>
      </c>
      <c r="AJ1829" s="289">
        <f t="shared" si="143"/>
        <v>18</v>
      </c>
      <c r="AK1829" s="289">
        <f t="shared" si="144"/>
        <v>1.1356144816049327</v>
      </c>
    </row>
    <row r="1830" spans="1:37">
      <c r="A1830" s="703" t="s">
        <v>3357</v>
      </c>
      <c r="B1830" s="703" t="s">
        <v>2849</v>
      </c>
      <c r="C1830" s="703" t="s">
        <v>390</v>
      </c>
      <c r="D1830" s="703" t="s">
        <v>334</v>
      </c>
      <c r="E1830" s="703" t="s">
        <v>334</v>
      </c>
      <c r="F1830" s="703" t="s">
        <v>335</v>
      </c>
      <c r="G1830" s="703" t="s">
        <v>3301</v>
      </c>
      <c r="H1830" s="703" t="s">
        <v>334</v>
      </c>
      <c r="I1830" s="703" t="s">
        <v>334</v>
      </c>
      <c r="J1830" s="703" t="s">
        <v>337</v>
      </c>
      <c r="K1830" s="704">
        <v>0</v>
      </c>
      <c r="L1830" s="703" t="s">
        <v>334</v>
      </c>
      <c r="M1830" s="702">
        <v>42886</v>
      </c>
      <c r="N1830" s="702">
        <v>44516</v>
      </c>
      <c r="O1830" s="703" t="s">
        <v>338</v>
      </c>
      <c r="P1830" s="20">
        <v>103.59</v>
      </c>
      <c r="Q1830" s="20">
        <v>0</v>
      </c>
      <c r="R1830" s="20">
        <v>0</v>
      </c>
      <c r="S1830" s="20">
        <v>0</v>
      </c>
      <c r="T1830" s="20">
        <v>103.59</v>
      </c>
      <c r="U1830" s="20">
        <v>103.3</v>
      </c>
      <c r="V1830" s="20">
        <v>-0.28999999999999998</v>
      </c>
      <c r="W1830" s="20">
        <v>-3.74</v>
      </c>
      <c r="X1830" s="20">
        <v>-3.45</v>
      </c>
      <c r="Y1830" s="20">
        <v>0</v>
      </c>
      <c r="Z1830" s="20">
        <v>0</v>
      </c>
      <c r="AA1830" s="20">
        <v>0</v>
      </c>
      <c r="AB1830" s="20">
        <v>99.85</v>
      </c>
      <c r="AC1830" t="s">
        <v>188</v>
      </c>
      <c r="AD1830" t="s">
        <v>290</v>
      </c>
      <c r="AE1830" s="702">
        <f t="shared" si="140"/>
        <v>44348</v>
      </c>
      <c r="AF1830" s="289">
        <v>118.94671804798278</v>
      </c>
      <c r="AG1830">
        <f t="shared" si="141"/>
        <v>360</v>
      </c>
      <c r="AH1830" s="289">
        <f t="shared" si="142"/>
        <v>0.33040755013328549</v>
      </c>
      <c r="AJ1830" s="289">
        <f t="shared" si="143"/>
        <v>18</v>
      </c>
      <c r="AK1830" s="289">
        <f t="shared" si="144"/>
        <v>5.9473359023991392</v>
      </c>
    </row>
    <row r="1831" spans="1:37">
      <c r="A1831" s="703" t="s">
        <v>3358</v>
      </c>
      <c r="B1831" s="703" t="s">
        <v>2849</v>
      </c>
      <c r="C1831" s="703" t="s">
        <v>390</v>
      </c>
      <c r="D1831" s="703" t="s">
        <v>334</v>
      </c>
      <c r="E1831" s="703" t="s">
        <v>334</v>
      </c>
      <c r="F1831" s="703" t="s">
        <v>335</v>
      </c>
      <c r="G1831" s="703" t="s">
        <v>3301</v>
      </c>
      <c r="H1831" s="703" t="s">
        <v>334</v>
      </c>
      <c r="I1831" s="703" t="s">
        <v>334</v>
      </c>
      <c r="J1831" s="703" t="s">
        <v>337</v>
      </c>
      <c r="K1831" s="704">
        <v>0</v>
      </c>
      <c r="L1831" s="703" t="s">
        <v>334</v>
      </c>
      <c r="M1831" s="702">
        <v>42886</v>
      </c>
      <c r="N1831" s="702">
        <v>44516</v>
      </c>
      <c r="O1831" s="703" t="s">
        <v>338</v>
      </c>
      <c r="P1831" s="20">
        <v>8.4</v>
      </c>
      <c r="Q1831" s="20">
        <v>0</v>
      </c>
      <c r="R1831" s="20">
        <v>0</v>
      </c>
      <c r="S1831" s="20">
        <v>0</v>
      </c>
      <c r="T1831" s="20">
        <v>8.4</v>
      </c>
      <c r="U1831" s="20">
        <v>8.3800000000000008</v>
      </c>
      <c r="V1831" s="20">
        <v>-0.02</v>
      </c>
      <c r="W1831" s="20">
        <v>-0.3</v>
      </c>
      <c r="X1831" s="20">
        <v>-0.28000000000000003</v>
      </c>
      <c r="Y1831" s="20">
        <v>0</v>
      </c>
      <c r="Z1831" s="20">
        <v>0</v>
      </c>
      <c r="AA1831" s="20">
        <v>0</v>
      </c>
      <c r="AB1831" s="20">
        <v>8.1</v>
      </c>
      <c r="AC1831" t="s">
        <v>188</v>
      </c>
      <c r="AD1831" t="s">
        <v>290</v>
      </c>
      <c r="AE1831" s="702">
        <f t="shared" si="140"/>
        <v>44348</v>
      </c>
      <c r="AF1831" s="289">
        <v>9.6452594999812291</v>
      </c>
      <c r="AG1831">
        <f t="shared" si="141"/>
        <v>360</v>
      </c>
      <c r="AH1831" s="289">
        <f t="shared" si="142"/>
        <v>2.6792387499947858E-2</v>
      </c>
      <c r="AJ1831" s="289">
        <f t="shared" si="143"/>
        <v>18</v>
      </c>
      <c r="AK1831" s="289">
        <f t="shared" si="144"/>
        <v>0.48226297499906146</v>
      </c>
    </row>
    <row r="1832" spans="1:37">
      <c r="A1832" s="703" t="s">
        <v>3359</v>
      </c>
      <c r="B1832" s="703" t="s">
        <v>2849</v>
      </c>
      <c r="C1832" s="703" t="s">
        <v>390</v>
      </c>
      <c r="D1832" s="703" t="s">
        <v>334</v>
      </c>
      <c r="E1832" s="703" t="s">
        <v>334</v>
      </c>
      <c r="F1832" s="703" t="s">
        <v>335</v>
      </c>
      <c r="G1832" s="703" t="s">
        <v>3301</v>
      </c>
      <c r="H1832" s="703" t="s">
        <v>334</v>
      </c>
      <c r="I1832" s="703" t="s">
        <v>334</v>
      </c>
      <c r="J1832" s="703" t="s">
        <v>337</v>
      </c>
      <c r="K1832" s="704">
        <v>0</v>
      </c>
      <c r="L1832" s="703" t="s">
        <v>334</v>
      </c>
      <c r="M1832" s="702">
        <v>42886</v>
      </c>
      <c r="N1832" s="702">
        <v>44516</v>
      </c>
      <c r="O1832" s="703" t="s">
        <v>338</v>
      </c>
      <c r="P1832" s="20">
        <v>21.65</v>
      </c>
      <c r="Q1832" s="20">
        <v>0</v>
      </c>
      <c r="R1832" s="20">
        <v>0</v>
      </c>
      <c r="S1832" s="20">
        <v>0</v>
      </c>
      <c r="T1832" s="20">
        <v>21.65</v>
      </c>
      <c r="U1832" s="20">
        <v>21.59</v>
      </c>
      <c r="V1832" s="20">
        <v>-0.06</v>
      </c>
      <c r="W1832" s="20">
        <v>-0.78</v>
      </c>
      <c r="X1832" s="20">
        <v>-0.72</v>
      </c>
      <c r="Y1832" s="20">
        <v>0</v>
      </c>
      <c r="Z1832" s="20">
        <v>0</v>
      </c>
      <c r="AA1832" s="20">
        <v>0</v>
      </c>
      <c r="AB1832" s="20">
        <v>20.87</v>
      </c>
      <c r="AC1832" t="s">
        <v>188</v>
      </c>
      <c r="AD1832" t="s">
        <v>290</v>
      </c>
      <c r="AE1832" s="702">
        <f t="shared" si="140"/>
        <v>44348</v>
      </c>
      <c r="AF1832" s="289">
        <v>24.85950811602304</v>
      </c>
      <c r="AG1832">
        <f t="shared" si="141"/>
        <v>360</v>
      </c>
      <c r="AH1832" s="289">
        <f t="shared" si="142"/>
        <v>6.9054189211175107E-2</v>
      </c>
      <c r="AJ1832" s="289">
        <f t="shared" si="143"/>
        <v>18</v>
      </c>
      <c r="AK1832" s="289">
        <f t="shared" si="144"/>
        <v>1.242975405801152</v>
      </c>
    </row>
    <row r="1833" spans="1:37">
      <c r="A1833" s="703" t="s">
        <v>3360</v>
      </c>
      <c r="B1833" s="703" t="s">
        <v>2849</v>
      </c>
      <c r="C1833" s="703" t="s">
        <v>390</v>
      </c>
      <c r="D1833" s="703" t="s">
        <v>334</v>
      </c>
      <c r="E1833" s="703" t="s">
        <v>334</v>
      </c>
      <c r="F1833" s="703" t="s">
        <v>335</v>
      </c>
      <c r="G1833" s="703" t="s">
        <v>3301</v>
      </c>
      <c r="H1833" s="703" t="s">
        <v>334</v>
      </c>
      <c r="I1833" s="703" t="s">
        <v>334</v>
      </c>
      <c r="J1833" s="703" t="s">
        <v>337</v>
      </c>
      <c r="K1833" s="704">
        <v>0</v>
      </c>
      <c r="L1833" s="703" t="s">
        <v>334</v>
      </c>
      <c r="M1833" s="702">
        <v>42886</v>
      </c>
      <c r="N1833" s="702">
        <v>44516</v>
      </c>
      <c r="O1833" s="703" t="s">
        <v>338</v>
      </c>
      <c r="P1833" s="20">
        <v>240.09</v>
      </c>
      <c r="Q1833" s="20">
        <v>0</v>
      </c>
      <c r="R1833" s="20">
        <v>0</v>
      </c>
      <c r="S1833" s="20">
        <v>0</v>
      </c>
      <c r="T1833" s="20">
        <v>240.09</v>
      </c>
      <c r="U1833" s="20">
        <v>239.42</v>
      </c>
      <c r="V1833" s="20">
        <v>-0.67</v>
      </c>
      <c r="W1833" s="20">
        <v>-8.67</v>
      </c>
      <c r="X1833" s="20">
        <v>-8</v>
      </c>
      <c r="Y1833" s="20">
        <v>0</v>
      </c>
      <c r="Z1833" s="20">
        <v>0</v>
      </c>
      <c r="AA1833" s="20">
        <v>0</v>
      </c>
      <c r="AB1833" s="20">
        <v>231.42</v>
      </c>
      <c r="AC1833" t="s">
        <v>188</v>
      </c>
      <c r="AD1833" t="s">
        <v>290</v>
      </c>
      <c r="AE1833" s="702">
        <f t="shared" si="140"/>
        <v>44348</v>
      </c>
      <c r="AF1833" s="289">
        <v>275.68218492267772</v>
      </c>
      <c r="AG1833">
        <f t="shared" si="141"/>
        <v>360</v>
      </c>
      <c r="AH1833" s="289">
        <f t="shared" si="142"/>
        <v>0.76578384700743807</v>
      </c>
      <c r="AJ1833" s="289">
        <f t="shared" si="143"/>
        <v>18</v>
      </c>
      <c r="AK1833" s="289">
        <f t="shared" si="144"/>
        <v>13.784109246133886</v>
      </c>
    </row>
    <row r="1834" spans="1:37">
      <c r="A1834" s="703" t="s">
        <v>3361</v>
      </c>
      <c r="B1834" s="703" t="s">
        <v>2849</v>
      </c>
      <c r="C1834" s="703" t="s">
        <v>390</v>
      </c>
      <c r="D1834" s="703" t="s">
        <v>334</v>
      </c>
      <c r="E1834" s="703" t="s">
        <v>334</v>
      </c>
      <c r="F1834" s="703" t="s">
        <v>335</v>
      </c>
      <c r="G1834" s="703" t="s">
        <v>3301</v>
      </c>
      <c r="H1834" s="703" t="s">
        <v>334</v>
      </c>
      <c r="I1834" s="703" t="s">
        <v>334</v>
      </c>
      <c r="J1834" s="703" t="s">
        <v>337</v>
      </c>
      <c r="K1834" s="704">
        <v>0</v>
      </c>
      <c r="L1834" s="703" t="s">
        <v>334</v>
      </c>
      <c r="M1834" s="702">
        <v>42886</v>
      </c>
      <c r="N1834" s="702">
        <v>44516</v>
      </c>
      <c r="O1834" s="703" t="s">
        <v>338</v>
      </c>
      <c r="P1834" s="20">
        <v>48.94</v>
      </c>
      <c r="Q1834" s="20">
        <v>0</v>
      </c>
      <c r="R1834" s="20">
        <v>0</v>
      </c>
      <c r="S1834" s="20">
        <v>0</v>
      </c>
      <c r="T1834" s="20">
        <v>48.94</v>
      </c>
      <c r="U1834" s="20">
        <v>48.8</v>
      </c>
      <c r="V1834" s="20">
        <v>-0.14000000000000001</v>
      </c>
      <c r="W1834" s="20">
        <v>-1.77</v>
      </c>
      <c r="X1834" s="20">
        <v>-1.63</v>
      </c>
      <c r="Y1834" s="20">
        <v>0</v>
      </c>
      <c r="Z1834" s="20">
        <v>0</v>
      </c>
      <c r="AA1834" s="20">
        <v>0</v>
      </c>
      <c r="AB1834" s="20">
        <v>47.17</v>
      </c>
      <c r="AC1834" t="s">
        <v>188</v>
      </c>
      <c r="AD1834" t="s">
        <v>290</v>
      </c>
      <c r="AE1834" s="702">
        <f t="shared" si="140"/>
        <v>44348</v>
      </c>
      <c r="AF1834" s="289">
        <v>56.19511903917634</v>
      </c>
      <c r="AG1834">
        <f t="shared" si="141"/>
        <v>360</v>
      </c>
      <c r="AH1834" s="289">
        <f t="shared" si="142"/>
        <v>0.15609755288660093</v>
      </c>
      <c r="AJ1834" s="289">
        <f t="shared" si="143"/>
        <v>18</v>
      </c>
      <c r="AK1834" s="289">
        <f t="shared" si="144"/>
        <v>2.8097559519588167</v>
      </c>
    </row>
    <row r="1835" spans="1:37">
      <c r="A1835" s="703" t="s">
        <v>3362</v>
      </c>
      <c r="B1835" s="703" t="s">
        <v>2849</v>
      </c>
      <c r="C1835" s="703" t="s">
        <v>390</v>
      </c>
      <c r="D1835" s="703" t="s">
        <v>334</v>
      </c>
      <c r="E1835" s="703" t="s">
        <v>334</v>
      </c>
      <c r="F1835" s="703" t="s">
        <v>335</v>
      </c>
      <c r="G1835" s="703" t="s">
        <v>3301</v>
      </c>
      <c r="H1835" s="703" t="s">
        <v>334</v>
      </c>
      <c r="I1835" s="703" t="s">
        <v>334</v>
      </c>
      <c r="J1835" s="703" t="s">
        <v>337</v>
      </c>
      <c r="K1835" s="704">
        <v>0</v>
      </c>
      <c r="L1835" s="703" t="s">
        <v>334</v>
      </c>
      <c r="M1835" s="702">
        <v>42886</v>
      </c>
      <c r="N1835" s="702">
        <v>44516</v>
      </c>
      <c r="O1835" s="703" t="s">
        <v>338</v>
      </c>
      <c r="P1835" s="20">
        <v>42.51</v>
      </c>
      <c r="Q1835" s="20">
        <v>0</v>
      </c>
      <c r="R1835" s="20">
        <v>0</v>
      </c>
      <c r="S1835" s="20">
        <v>0</v>
      </c>
      <c r="T1835" s="20">
        <v>42.51</v>
      </c>
      <c r="U1835" s="20">
        <v>42.39</v>
      </c>
      <c r="V1835" s="20">
        <v>-0.12</v>
      </c>
      <c r="W1835" s="20">
        <v>-1.54</v>
      </c>
      <c r="X1835" s="20">
        <v>-1.42</v>
      </c>
      <c r="Y1835" s="20">
        <v>0</v>
      </c>
      <c r="Z1835" s="20">
        <v>0</v>
      </c>
      <c r="AA1835" s="20">
        <v>0</v>
      </c>
      <c r="AB1835" s="20">
        <v>40.97</v>
      </c>
      <c r="AC1835" t="s">
        <v>188</v>
      </c>
      <c r="AD1835" t="s">
        <v>290</v>
      </c>
      <c r="AE1835" s="702">
        <f t="shared" si="140"/>
        <v>44348</v>
      </c>
      <c r="AF1835" s="289">
        <v>48.811902540976426</v>
      </c>
      <c r="AG1835">
        <f t="shared" si="141"/>
        <v>360</v>
      </c>
      <c r="AH1835" s="289">
        <f t="shared" si="142"/>
        <v>0.13558861816937895</v>
      </c>
      <c r="AJ1835" s="289">
        <f t="shared" si="143"/>
        <v>18</v>
      </c>
      <c r="AK1835" s="289">
        <f t="shared" si="144"/>
        <v>2.4405951270488213</v>
      </c>
    </row>
    <row r="1836" spans="1:37">
      <c r="A1836" s="703" t="s">
        <v>3363</v>
      </c>
      <c r="B1836" s="703" t="s">
        <v>2849</v>
      </c>
      <c r="C1836" s="703" t="s">
        <v>390</v>
      </c>
      <c r="D1836" s="703" t="s">
        <v>334</v>
      </c>
      <c r="E1836" s="703" t="s">
        <v>334</v>
      </c>
      <c r="F1836" s="703" t="s">
        <v>335</v>
      </c>
      <c r="G1836" s="703" t="s">
        <v>3301</v>
      </c>
      <c r="H1836" s="703" t="s">
        <v>334</v>
      </c>
      <c r="I1836" s="703" t="s">
        <v>334</v>
      </c>
      <c r="J1836" s="703" t="s">
        <v>337</v>
      </c>
      <c r="K1836" s="704">
        <v>0</v>
      </c>
      <c r="L1836" s="703" t="s">
        <v>334</v>
      </c>
      <c r="M1836" s="702">
        <v>42886</v>
      </c>
      <c r="N1836" s="702">
        <v>44516</v>
      </c>
      <c r="O1836" s="703" t="s">
        <v>338</v>
      </c>
      <c r="P1836" s="20">
        <v>6.76</v>
      </c>
      <c r="Q1836" s="20">
        <v>0</v>
      </c>
      <c r="R1836" s="20">
        <v>0</v>
      </c>
      <c r="S1836" s="20">
        <v>0</v>
      </c>
      <c r="T1836" s="20">
        <v>6.76</v>
      </c>
      <c r="U1836" s="20">
        <v>6.74</v>
      </c>
      <c r="V1836" s="20">
        <v>-0.02</v>
      </c>
      <c r="W1836" s="20">
        <v>-0.25</v>
      </c>
      <c r="X1836" s="20">
        <v>-0.23</v>
      </c>
      <c r="Y1836" s="20">
        <v>0</v>
      </c>
      <c r="Z1836" s="20">
        <v>0</v>
      </c>
      <c r="AA1836" s="20">
        <v>0</v>
      </c>
      <c r="AB1836" s="20">
        <v>6.51</v>
      </c>
      <c r="AC1836" t="s">
        <v>188</v>
      </c>
      <c r="AD1836" t="s">
        <v>290</v>
      </c>
      <c r="AE1836" s="702">
        <f t="shared" si="140"/>
        <v>44348</v>
      </c>
      <c r="AF1836" s="289">
        <v>7.7621374071277494</v>
      </c>
      <c r="AG1836">
        <f t="shared" si="141"/>
        <v>360</v>
      </c>
      <c r="AH1836" s="289">
        <f t="shared" si="142"/>
        <v>2.1561492797577082E-2</v>
      </c>
      <c r="AJ1836" s="289">
        <f t="shared" si="143"/>
        <v>18</v>
      </c>
      <c r="AK1836" s="289">
        <f t="shared" si="144"/>
        <v>0.38810687035638747</v>
      </c>
    </row>
    <row r="1837" spans="1:37">
      <c r="A1837" s="703" t="s">
        <v>3364</v>
      </c>
      <c r="B1837" s="703" t="s">
        <v>2849</v>
      </c>
      <c r="C1837" s="703" t="s">
        <v>390</v>
      </c>
      <c r="D1837" s="703" t="s">
        <v>334</v>
      </c>
      <c r="E1837" s="703" t="s">
        <v>334</v>
      </c>
      <c r="F1837" s="703" t="s">
        <v>335</v>
      </c>
      <c r="G1837" s="703" t="s">
        <v>3301</v>
      </c>
      <c r="H1837" s="703" t="s">
        <v>334</v>
      </c>
      <c r="I1837" s="703" t="s">
        <v>334</v>
      </c>
      <c r="J1837" s="703" t="s">
        <v>337</v>
      </c>
      <c r="K1837" s="704">
        <v>0</v>
      </c>
      <c r="L1837" s="703" t="s">
        <v>334</v>
      </c>
      <c r="M1837" s="702">
        <v>42886</v>
      </c>
      <c r="N1837" s="702">
        <v>44516</v>
      </c>
      <c r="O1837" s="703" t="s">
        <v>338</v>
      </c>
      <c r="P1837" s="20">
        <v>62.67</v>
      </c>
      <c r="Q1837" s="20">
        <v>0</v>
      </c>
      <c r="R1837" s="20">
        <v>0</v>
      </c>
      <c r="S1837" s="20">
        <v>0</v>
      </c>
      <c r="T1837" s="20">
        <v>62.67</v>
      </c>
      <c r="U1837" s="20">
        <v>62.5</v>
      </c>
      <c r="V1837" s="20">
        <v>-0.17</v>
      </c>
      <c r="W1837" s="20">
        <v>-2.2599999999999998</v>
      </c>
      <c r="X1837" s="20">
        <v>-2.09</v>
      </c>
      <c r="Y1837" s="20">
        <v>0</v>
      </c>
      <c r="Z1837" s="20">
        <v>0</v>
      </c>
      <c r="AA1837" s="20">
        <v>0</v>
      </c>
      <c r="AB1837" s="20">
        <v>60.41</v>
      </c>
      <c r="AC1837" t="s">
        <v>188</v>
      </c>
      <c r="AD1837" t="s">
        <v>290</v>
      </c>
      <c r="AE1837" s="702">
        <f t="shared" si="140"/>
        <v>44348</v>
      </c>
      <c r="AF1837" s="289">
        <v>71.960525340931369</v>
      </c>
      <c r="AG1837">
        <f t="shared" si="141"/>
        <v>360</v>
      </c>
      <c r="AH1837" s="289">
        <f t="shared" si="142"/>
        <v>0.1998903481692538</v>
      </c>
      <c r="AJ1837" s="289">
        <f t="shared" si="143"/>
        <v>18</v>
      </c>
      <c r="AK1837" s="289">
        <f t="shared" si="144"/>
        <v>3.5980262670465684</v>
      </c>
    </row>
    <row r="1838" spans="1:37">
      <c r="A1838" s="703" t="s">
        <v>3365</v>
      </c>
      <c r="B1838" s="703" t="s">
        <v>2849</v>
      </c>
      <c r="C1838" s="703" t="s">
        <v>390</v>
      </c>
      <c r="D1838" s="703" t="s">
        <v>334</v>
      </c>
      <c r="E1838" s="703" t="s">
        <v>334</v>
      </c>
      <c r="F1838" s="703" t="s">
        <v>335</v>
      </c>
      <c r="G1838" s="703" t="s">
        <v>3301</v>
      </c>
      <c r="H1838" s="703" t="s">
        <v>334</v>
      </c>
      <c r="I1838" s="703" t="s">
        <v>334</v>
      </c>
      <c r="J1838" s="703" t="s">
        <v>337</v>
      </c>
      <c r="K1838" s="704">
        <v>0</v>
      </c>
      <c r="L1838" s="703" t="s">
        <v>334</v>
      </c>
      <c r="M1838" s="702">
        <v>42886</v>
      </c>
      <c r="N1838" s="702">
        <v>44516</v>
      </c>
      <c r="O1838" s="703" t="s">
        <v>338</v>
      </c>
      <c r="P1838" s="20">
        <v>74.099999999999994</v>
      </c>
      <c r="Q1838" s="20">
        <v>0</v>
      </c>
      <c r="R1838" s="20">
        <v>0</v>
      </c>
      <c r="S1838" s="20">
        <v>0</v>
      </c>
      <c r="T1838" s="20">
        <v>74.099999999999994</v>
      </c>
      <c r="U1838" s="20">
        <v>73.89</v>
      </c>
      <c r="V1838" s="20">
        <v>-0.21</v>
      </c>
      <c r="W1838" s="20">
        <v>-2.68</v>
      </c>
      <c r="X1838" s="20">
        <v>-2.4700000000000002</v>
      </c>
      <c r="Y1838" s="20">
        <v>0</v>
      </c>
      <c r="Z1838" s="20">
        <v>0</v>
      </c>
      <c r="AA1838" s="20">
        <v>0</v>
      </c>
      <c r="AB1838" s="20">
        <v>71.42</v>
      </c>
      <c r="AC1838" t="s">
        <v>188</v>
      </c>
      <c r="AD1838" t="s">
        <v>290</v>
      </c>
      <c r="AE1838" s="702">
        <f t="shared" si="140"/>
        <v>44348</v>
      </c>
      <c r="AF1838" s="289">
        <v>85.084967731977258</v>
      </c>
      <c r="AG1838">
        <f t="shared" si="141"/>
        <v>360</v>
      </c>
      <c r="AH1838" s="289">
        <f t="shared" si="142"/>
        <v>0.23634713258882573</v>
      </c>
      <c r="AJ1838" s="289">
        <f t="shared" si="143"/>
        <v>18</v>
      </c>
      <c r="AK1838" s="289">
        <f t="shared" si="144"/>
        <v>4.2542483865988627</v>
      </c>
    </row>
    <row r="1839" spans="1:37">
      <c r="A1839" s="703" t="s">
        <v>3366</v>
      </c>
      <c r="B1839" s="703" t="s">
        <v>2849</v>
      </c>
      <c r="C1839" s="703" t="s">
        <v>390</v>
      </c>
      <c r="D1839" s="703" t="s">
        <v>334</v>
      </c>
      <c r="E1839" s="703" t="s">
        <v>334</v>
      </c>
      <c r="F1839" s="703" t="s">
        <v>335</v>
      </c>
      <c r="G1839" s="703" t="s">
        <v>3301</v>
      </c>
      <c r="H1839" s="703" t="s">
        <v>334</v>
      </c>
      <c r="I1839" s="703" t="s">
        <v>334</v>
      </c>
      <c r="J1839" s="703" t="s">
        <v>337</v>
      </c>
      <c r="K1839" s="704">
        <v>0</v>
      </c>
      <c r="L1839" s="703" t="s">
        <v>334</v>
      </c>
      <c r="M1839" s="702">
        <v>42886</v>
      </c>
      <c r="N1839" s="702">
        <v>44516</v>
      </c>
      <c r="O1839" s="703" t="s">
        <v>338</v>
      </c>
      <c r="P1839" s="20">
        <v>303.29000000000002</v>
      </c>
      <c r="Q1839" s="20">
        <v>0</v>
      </c>
      <c r="R1839" s="20">
        <v>0</v>
      </c>
      <c r="S1839" s="20">
        <v>0</v>
      </c>
      <c r="T1839" s="20">
        <v>303.29000000000002</v>
      </c>
      <c r="U1839" s="20">
        <v>302.45</v>
      </c>
      <c r="V1839" s="20">
        <v>-0.84</v>
      </c>
      <c r="W1839" s="20">
        <v>-10.95</v>
      </c>
      <c r="X1839" s="20">
        <v>-10.11</v>
      </c>
      <c r="Y1839" s="20">
        <v>0</v>
      </c>
      <c r="Z1839" s="20">
        <v>0</v>
      </c>
      <c r="AA1839" s="20">
        <v>0</v>
      </c>
      <c r="AB1839" s="20">
        <v>292.33999999999997</v>
      </c>
      <c r="AC1839" t="s">
        <v>188</v>
      </c>
      <c r="AD1839" t="s">
        <v>290</v>
      </c>
      <c r="AE1839" s="702">
        <f t="shared" si="140"/>
        <v>44348</v>
      </c>
      <c r="AF1839" s="289">
        <v>348.25128020825076</v>
      </c>
      <c r="AG1839">
        <f t="shared" si="141"/>
        <v>360</v>
      </c>
      <c r="AH1839" s="289">
        <f t="shared" si="142"/>
        <v>0.96736466724514103</v>
      </c>
      <c r="AJ1839" s="289">
        <f t="shared" si="143"/>
        <v>18</v>
      </c>
      <c r="AK1839" s="289">
        <f t="shared" si="144"/>
        <v>17.412564010412538</v>
      </c>
    </row>
    <row r="1840" spans="1:37">
      <c r="A1840" s="703" t="s">
        <v>3367</v>
      </c>
      <c r="B1840" s="703" t="s">
        <v>2849</v>
      </c>
      <c r="C1840" s="703" t="s">
        <v>390</v>
      </c>
      <c r="D1840" s="703" t="s">
        <v>334</v>
      </c>
      <c r="E1840" s="703" t="s">
        <v>334</v>
      </c>
      <c r="F1840" s="703" t="s">
        <v>335</v>
      </c>
      <c r="G1840" s="703" t="s">
        <v>3301</v>
      </c>
      <c r="H1840" s="703" t="s">
        <v>334</v>
      </c>
      <c r="I1840" s="703" t="s">
        <v>334</v>
      </c>
      <c r="J1840" s="703" t="s">
        <v>337</v>
      </c>
      <c r="K1840" s="704">
        <v>0</v>
      </c>
      <c r="L1840" s="703" t="s">
        <v>334</v>
      </c>
      <c r="M1840" s="702">
        <v>42886</v>
      </c>
      <c r="N1840" s="702">
        <v>44516</v>
      </c>
      <c r="O1840" s="703" t="s">
        <v>338</v>
      </c>
      <c r="P1840" s="20">
        <v>64.61</v>
      </c>
      <c r="Q1840" s="20">
        <v>0</v>
      </c>
      <c r="R1840" s="20">
        <v>0</v>
      </c>
      <c r="S1840" s="20">
        <v>0</v>
      </c>
      <c r="T1840" s="20">
        <v>64.61</v>
      </c>
      <c r="U1840" s="20">
        <v>64.430000000000007</v>
      </c>
      <c r="V1840" s="20">
        <v>-0.18</v>
      </c>
      <c r="W1840" s="20">
        <v>-2.33</v>
      </c>
      <c r="X1840" s="20">
        <v>-2.15</v>
      </c>
      <c r="Y1840" s="20">
        <v>0</v>
      </c>
      <c r="Z1840" s="20">
        <v>0</v>
      </c>
      <c r="AA1840" s="20">
        <v>0</v>
      </c>
      <c r="AB1840" s="20">
        <v>62.28</v>
      </c>
      <c r="AC1840" t="s">
        <v>188</v>
      </c>
      <c r="AD1840" t="s">
        <v>290</v>
      </c>
      <c r="AE1840" s="702">
        <f t="shared" si="140"/>
        <v>44348</v>
      </c>
      <c r="AF1840" s="289">
        <v>74.188120987355603</v>
      </c>
      <c r="AG1840">
        <f t="shared" si="141"/>
        <v>360</v>
      </c>
      <c r="AH1840" s="289">
        <f t="shared" si="142"/>
        <v>0.20607811385376557</v>
      </c>
      <c r="AJ1840" s="289">
        <f t="shared" si="143"/>
        <v>18</v>
      </c>
      <c r="AK1840" s="289">
        <f t="shared" si="144"/>
        <v>3.7094060493677801</v>
      </c>
    </row>
    <row r="1841" spans="1:37">
      <c r="A1841" s="703" t="s">
        <v>3368</v>
      </c>
      <c r="B1841" s="703" t="s">
        <v>2849</v>
      </c>
      <c r="C1841" s="703" t="s">
        <v>390</v>
      </c>
      <c r="D1841" s="703" t="s">
        <v>334</v>
      </c>
      <c r="E1841" s="703" t="s">
        <v>334</v>
      </c>
      <c r="F1841" s="703" t="s">
        <v>335</v>
      </c>
      <c r="G1841" s="703" t="s">
        <v>3301</v>
      </c>
      <c r="H1841" s="703" t="s">
        <v>334</v>
      </c>
      <c r="I1841" s="703" t="s">
        <v>334</v>
      </c>
      <c r="J1841" s="703" t="s">
        <v>337</v>
      </c>
      <c r="K1841" s="704">
        <v>0</v>
      </c>
      <c r="L1841" s="703" t="s">
        <v>334</v>
      </c>
      <c r="M1841" s="702">
        <v>42886</v>
      </c>
      <c r="N1841" s="702">
        <v>44516</v>
      </c>
      <c r="O1841" s="703" t="s">
        <v>338</v>
      </c>
      <c r="P1841" s="20">
        <v>178.54</v>
      </c>
      <c r="Q1841" s="20">
        <v>0</v>
      </c>
      <c r="R1841" s="20">
        <v>0</v>
      </c>
      <c r="S1841" s="20">
        <v>0</v>
      </c>
      <c r="T1841" s="20">
        <v>178.54</v>
      </c>
      <c r="U1841" s="20">
        <v>178.04</v>
      </c>
      <c r="V1841" s="20">
        <v>-0.5</v>
      </c>
      <c r="W1841" s="20">
        <v>-6.45</v>
      </c>
      <c r="X1841" s="20">
        <v>-5.95</v>
      </c>
      <c r="Y1841" s="20">
        <v>0</v>
      </c>
      <c r="Z1841" s="20">
        <v>0</v>
      </c>
      <c r="AA1841" s="20">
        <v>0</v>
      </c>
      <c r="AB1841" s="20">
        <v>172.09</v>
      </c>
      <c r="AC1841" t="s">
        <v>188</v>
      </c>
      <c r="AD1841" t="s">
        <v>290</v>
      </c>
      <c r="AE1841" s="702">
        <f t="shared" si="140"/>
        <v>44348</v>
      </c>
      <c r="AF1841" s="289">
        <v>205.00769418174383</v>
      </c>
      <c r="AG1841">
        <f t="shared" si="141"/>
        <v>360</v>
      </c>
      <c r="AH1841" s="289">
        <f t="shared" si="142"/>
        <v>0.56946581717151068</v>
      </c>
      <c r="AJ1841" s="289">
        <f t="shared" si="143"/>
        <v>18</v>
      </c>
      <c r="AK1841" s="289">
        <f t="shared" si="144"/>
        <v>10.250384709087193</v>
      </c>
    </row>
    <row r="1842" spans="1:37">
      <c r="A1842" s="703" t="s">
        <v>3369</v>
      </c>
      <c r="B1842" s="703" t="s">
        <v>2849</v>
      </c>
      <c r="C1842" s="703" t="s">
        <v>390</v>
      </c>
      <c r="D1842" s="703" t="s">
        <v>334</v>
      </c>
      <c r="E1842" s="703" t="s">
        <v>334</v>
      </c>
      <c r="F1842" s="703" t="s">
        <v>335</v>
      </c>
      <c r="G1842" s="703" t="s">
        <v>3301</v>
      </c>
      <c r="H1842" s="703" t="s">
        <v>334</v>
      </c>
      <c r="I1842" s="703" t="s">
        <v>334</v>
      </c>
      <c r="J1842" s="703" t="s">
        <v>337</v>
      </c>
      <c r="K1842" s="704">
        <v>0</v>
      </c>
      <c r="L1842" s="703" t="s">
        <v>334</v>
      </c>
      <c r="M1842" s="702">
        <v>42886</v>
      </c>
      <c r="N1842" s="702">
        <v>44516</v>
      </c>
      <c r="O1842" s="703" t="s">
        <v>338</v>
      </c>
      <c r="P1842" s="20">
        <v>29.4</v>
      </c>
      <c r="Q1842" s="20">
        <v>0</v>
      </c>
      <c r="R1842" s="20">
        <v>0</v>
      </c>
      <c r="S1842" s="20">
        <v>0</v>
      </c>
      <c r="T1842" s="20">
        <v>29.4</v>
      </c>
      <c r="U1842" s="20">
        <v>29.32</v>
      </c>
      <c r="V1842" s="20">
        <v>-0.08</v>
      </c>
      <c r="W1842" s="20">
        <v>-1.06</v>
      </c>
      <c r="X1842" s="20">
        <v>-0.98</v>
      </c>
      <c r="Y1842" s="20">
        <v>0</v>
      </c>
      <c r="Z1842" s="20">
        <v>0</v>
      </c>
      <c r="AA1842" s="20">
        <v>0</v>
      </c>
      <c r="AB1842" s="20">
        <v>28.34</v>
      </c>
      <c r="AC1842" t="s">
        <v>188</v>
      </c>
      <c r="AD1842" t="s">
        <v>290</v>
      </c>
      <c r="AE1842" s="702">
        <f t="shared" si="140"/>
        <v>44348</v>
      </c>
      <c r="AF1842" s="289">
        <v>33.758408249934298</v>
      </c>
      <c r="AG1842">
        <f t="shared" si="141"/>
        <v>360</v>
      </c>
      <c r="AH1842" s="289">
        <f t="shared" si="142"/>
        <v>9.3773356249817502E-2</v>
      </c>
      <c r="AJ1842" s="289">
        <f t="shared" si="143"/>
        <v>18</v>
      </c>
      <c r="AK1842" s="289">
        <f t="shared" si="144"/>
        <v>1.6879204124967151</v>
      </c>
    </row>
    <row r="1843" spans="1:37">
      <c r="A1843" s="703" t="s">
        <v>3370</v>
      </c>
      <c r="B1843" s="703" t="s">
        <v>2849</v>
      </c>
      <c r="C1843" s="703" t="s">
        <v>390</v>
      </c>
      <c r="D1843" s="703" t="s">
        <v>334</v>
      </c>
      <c r="E1843" s="703" t="s">
        <v>334</v>
      </c>
      <c r="F1843" s="703" t="s">
        <v>335</v>
      </c>
      <c r="G1843" s="703" t="s">
        <v>3301</v>
      </c>
      <c r="H1843" s="703" t="s">
        <v>334</v>
      </c>
      <c r="I1843" s="703" t="s">
        <v>334</v>
      </c>
      <c r="J1843" s="703" t="s">
        <v>337</v>
      </c>
      <c r="K1843" s="704">
        <v>0</v>
      </c>
      <c r="L1843" s="703" t="s">
        <v>334</v>
      </c>
      <c r="M1843" s="702">
        <v>42886</v>
      </c>
      <c r="N1843" s="702">
        <v>44516</v>
      </c>
      <c r="O1843" s="703" t="s">
        <v>338</v>
      </c>
      <c r="P1843" s="20">
        <v>73.11</v>
      </c>
      <c r="Q1843" s="20">
        <v>0</v>
      </c>
      <c r="R1843" s="20">
        <v>0</v>
      </c>
      <c r="S1843" s="20">
        <v>0</v>
      </c>
      <c r="T1843" s="20">
        <v>73.11</v>
      </c>
      <c r="U1843" s="20">
        <v>72.91</v>
      </c>
      <c r="V1843" s="20">
        <v>-0.2</v>
      </c>
      <c r="W1843" s="20">
        <v>-2.64</v>
      </c>
      <c r="X1843" s="20">
        <v>-2.44</v>
      </c>
      <c r="Y1843" s="20">
        <v>0</v>
      </c>
      <c r="Z1843" s="20">
        <v>0</v>
      </c>
      <c r="AA1843" s="20">
        <v>0</v>
      </c>
      <c r="AB1843" s="20">
        <v>70.47</v>
      </c>
      <c r="AC1843" t="s">
        <v>188</v>
      </c>
      <c r="AD1843" t="s">
        <v>290</v>
      </c>
      <c r="AE1843" s="702">
        <f t="shared" si="140"/>
        <v>44348</v>
      </c>
      <c r="AF1843" s="289">
        <v>83.948205005193756</v>
      </c>
      <c r="AG1843">
        <f t="shared" si="141"/>
        <v>360</v>
      </c>
      <c r="AH1843" s="289">
        <f t="shared" si="142"/>
        <v>0.23318945834776045</v>
      </c>
      <c r="AJ1843" s="289">
        <f t="shared" si="143"/>
        <v>18</v>
      </c>
      <c r="AK1843" s="289">
        <f t="shared" si="144"/>
        <v>4.1974102502596882</v>
      </c>
    </row>
    <row r="1844" spans="1:37">
      <c r="A1844" s="703" t="s">
        <v>3371</v>
      </c>
      <c r="B1844" s="703" t="s">
        <v>2849</v>
      </c>
      <c r="C1844" s="703" t="s">
        <v>390</v>
      </c>
      <c r="D1844" s="703" t="s">
        <v>334</v>
      </c>
      <c r="E1844" s="703" t="s">
        <v>334</v>
      </c>
      <c r="F1844" s="703" t="s">
        <v>335</v>
      </c>
      <c r="G1844" s="703" t="s">
        <v>3301</v>
      </c>
      <c r="H1844" s="703" t="s">
        <v>334</v>
      </c>
      <c r="I1844" s="703" t="s">
        <v>334</v>
      </c>
      <c r="J1844" s="703" t="s">
        <v>337</v>
      </c>
      <c r="K1844" s="704">
        <v>0</v>
      </c>
      <c r="L1844" s="703" t="s">
        <v>334</v>
      </c>
      <c r="M1844" s="702">
        <v>42886</v>
      </c>
      <c r="N1844" s="702">
        <v>44516</v>
      </c>
      <c r="O1844" s="703" t="s">
        <v>338</v>
      </c>
      <c r="P1844" s="20">
        <v>484.98</v>
      </c>
      <c r="Q1844" s="20">
        <v>0</v>
      </c>
      <c r="R1844" s="20">
        <v>0</v>
      </c>
      <c r="S1844" s="20">
        <v>0</v>
      </c>
      <c r="T1844" s="20">
        <v>484.98</v>
      </c>
      <c r="U1844" s="20">
        <v>483.63</v>
      </c>
      <c r="V1844" s="20">
        <v>-1.35</v>
      </c>
      <c r="W1844" s="20">
        <v>-17.52</v>
      </c>
      <c r="X1844" s="20">
        <v>-16.170000000000002</v>
      </c>
      <c r="Y1844" s="20">
        <v>0</v>
      </c>
      <c r="Z1844" s="20">
        <v>0</v>
      </c>
      <c r="AA1844" s="20">
        <v>0</v>
      </c>
      <c r="AB1844" s="20">
        <v>467.46</v>
      </c>
      <c r="AC1844" t="s">
        <v>188</v>
      </c>
      <c r="AD1844" t="s">
        <v>290</v>
      </c>
      <c r="AE1844" s="702">
        <f t="shared" si="140"/>
        <v>44348</v>
      </c>
      <c r="AF1844" s="289">
        <v>556.87594670248757</v>
      </c>
      <c r="AG1844">
        <f t="shared" si="141"/>
        <v>360</v>
      </c>
      <c r="AH1844" s="289">
        <f t="shared" si="142"/>
        <v>1.5468776297291322</v>
      </c>
      <c r="AJ1844" s="289">
        <f t="shared" si="143"/>
        <v>18</v>
      </c>
      <c r="AK1844" s="289">
        <f t="shared" si="144"/>
        <v>27.843797335124378</v>
      </c>
    </row>
    <row r="1845" spans="1:37">
      <c r="A1845" s="703" t="s">
        <v>3372</v>
      </c>
      <c r="B1845" s="703" t="s">
        <v>2849</v>
      </c>
      <c r="C1845" s="703" t="s">
        <v>390</v>
      </c>
      <c r="D1845" s="703" t="s">
        <v>334</v>
      </c>
      <c r="E1845" s="703" t="s">
        <v>334</v>
      </c>
      <c r="F1845" s="703" t="s">
        <v>335</v>
      </c>
      <c r="G1845" s="703" t="s">
        <v>3301</v>
      </c>
      <c r="H1845" s="703" t="s">
        <v>334</v>
      </c>
      <c r="I1845" s="703" t="s">
        <v>334</v>
      </c>
      <c r="J1845" s="703" t="s">
        <v>337</v>
      </c>
      <c r="K1845" s="704">
        <v>0</v>
      </c>
      <c r="L1845" s="703" t="s">
        <v>334</v>
      </c>
      <c r="M1845" s="702">
        <v>42886</v>
      </c>
      <c r="N1845" s="702">
        <v>44516</v>
      </c>
      <c r="O1845" s="703" t="s">
        <v>338</v>
      </c>
      <c r="P1845" s="20">
        <v>2899.85</v>
      </c>
      <c r="Q1845" s="20">
        <v>0</v>
      </c>
      <c r="R1845" s="20">
        <v>0</v>
      </c>
      <c r="S1845" s="20">
        <v>0</v>
      </c>
      <c r="T1845" s="20">
        <v>2899.85</v>
      </c>
      <c r="U1845" s="20">
        <v>2891.79</v>
      </c>
      <c r="V1845" s="20">
        <v>-8.06</v>
      </c>
      <c r="W1845" s="20">
        <v>-104.72</v>
      </c>
      <c r="X1845" s="20">
        <v>-96.66</v>
      </c>
      <c r="Y1845" s="20">
        <v>0</v>
      </c>
      <c r="Z1845" s="20">
        <v>0</v>
      </c>
      <c r="AA1845" s="20">
        <v>0</v>
      </c>
      <c r="AB1845" s="20">
        <v>2795.13</v>
      </c>
      <c r="AC1845" t="s">
        <v>188</v>
      </c>
      <c r="AD1845" t="s">
        <v>290</v>
      </c>
      <c r="AE1845" s="702">
        <f t="shared" si="140"/>
        <v>44348</v>
      </c>
      <c r="AF1845" s="289">
        <v>3329.7387810738765</v>
      </c>
      <c r="AG1845">
        <f t="shared" si="141"/>
        <v>360</v>
      </c>
      <c r="AH1845" s="289">
        <f t="shared" si="142"/>
        <v>9.2492743918718787</v>
      </c>
      <c r="AJ1845" s="289">
        <f t="shared" si="143"/>
        <v>18</v>
      </c>
      <c r="AK1845" s="289">
        <f t="shared" si="144"/>
        <v>166.48693905369382</v>
      </c>
    </row>
    <row r="1846" spans="1:37">
      <c r="A1846" s="703" t="s">
        <v>3373</v>
      </c>
      <c r="B1846" s="703" t="s">
        <v>2849</v>
      </c>
      <c r="C1846" s="703" t="s">
        <v>390</v>
      </c>
      <c r="D1846" s="703" t="s">
        <v>334</v>
      </c>
      <c r="E1846" s="703" t="s">
        <v>334</v>
      </c>
      <c r="F1846" s="703" t="s">
        <v>335</v>
      </c>
      <c r="G1846" s="703" t="s">
        <v>3301</v>
      </c>
      <c r="H1846" s="703" t="s">
        <v>334</v>
      </c>
      <c r="I1846" s="703" t="s">
        <v>334</v>
      </c>
      <c r="J1846" s="703" t="s">
        <v>337</v>
      </c>
      <c r="K1846" s="704">
        <v>0</v>
      </c>
      <c r="L1846" s="703" t="s">
        <v>334</v>
      </c>
      <c r="M1846" s="702">
        <v>42886</v>
      </c>
      <c r="N1846" s="702">
        <v>44516</v>
      </c>
      <c r="O1846" s="703" t="s">
        <v>338</v>
      </c>
      <c r="P1846" s="20">
        <v>671.11</v>
      </c>
      <c r="Q1846" s="20">
        <v>0</v>
      </c>
      <c r="R1846" s="20">
        <v>0</v>
      </c>
      <c r="S1846" s="20">
        <v>0</v>
      </c>
      <c r="T1846" s="20">
        <v>671.11</v>
      </c>
      <c r="U1846" s="20">
        <v>669.25</v>
      </c>
      <c r="V1846" s="20">
        <v>-1.86</v>
      </c>
      <c r="W1846" s="20">
        <v>-24.23</v>
      </c>
      <c r="X1846" s="20">
        <v>-22.37</v>
      </c>
      <c r="Y1846" s="20">
        <v>0</v>
      </c>
      <c r="Z1846" s="20">
        <v>0</v>
      </c>
      <c r="AA1846" s="20">
        <v>0</v>
      </c>
      <c r="AB1846" s="20">
        <v>646.88</v>
      </c>
      <c r="AC1846" t="s">
        <v>188</v>
      </c>
      <c r="AD1846" t="s">
        <v>290</v>
      </c>
      <c r="AE1846" s="702">
        <f t="shared" si="140"/>
        <v>44348</v>
      </c>
      <c r="AF1846" s="289">
        <v>770.59882178957162</v>
      </c>
      <c r="AG1846">
        <f t="shared" si="141"/>
        <v>360</v>
      </c>
      <c r="AH1846" s="289">
        <f t="shared" si="142"/>
        <v>2.1405522827488102</v>
      </c>
      <c r="AJ1846" s="289">
        <f t="shared" si="143"/>
        <v>18</v>
      </c>
      <c r="AK1846" s="289">
        <f t="shared" si="144"/>
        <v>38.529941089478584</v>
      </c>
    </row>
    <row r="1847" spans="1:37">
      <c r="A1847" s="703" t="s">
        <v>3374</v>
      </c>
      <c r="B1847" s="703" t="s">
        <v>2849</v>
      </c>
      <c r="C1847" s="703" t="s">
        <v>390</v>
      </c>
      <c r="D1847" s="703" t="s">
        <v>334</v>
      </c>
      <c r="E1847" s="703" t="s">
        <v>334</v>
      </c>
      <c r="F1847" s="703" t="s">
        <v>335</v>
      </c>
      <c r="G1847" s="703" t="s">
        <v>3301</v>
      </c>
      <c r="H1847" s="703" t="s">
        <v>334</v>
      </c>
      <c r="I1847" s="703" t="s">
        <v>334</v>
      </c>
      <c r="J1847" s="703" t="s">
        <v>337</v>
      </c>
      <c r="K1847" s="704">
        <v>0</v>
      </c>
      <c r="L1847" s="703" t="s">
        <v>334</v>
      </c>
      <c r="M1847" s="702">
        <v>42886</v>
      </c>
      <c r="N1847" s="702">
        <v>44516</v>
      </c>
      <c r="O1847" s="703" t="s">
        <v>338</v>
      </c>
      <c r="P1847" s="20">
        <v>176.96</v>
      </c>
      <c r="Q1847" s="20">
        <v>0</v>
      </c>
      <c r="R1847" s="20">
        <v>0</v>
      </c>
      <c r="S1847" s="20">
        <v>0</v>
      </c>
      <c r="T1847" s="20">
        <v>176.96</v>
      </c>
      <c r="U1847" s="20">
        <v>176.47</v>
      </c>
      <c r="V1847" s="20">
        <v>-0.49</v>
      </c>
      <c r="W1847" s="20">
        <v>-6.39</v>
      </c>
      <c r="X1847" s="20">
        <v>-5.9</v>
      </c>
      <c r="Y1847" s="20">
        <v>0</v>
      </c>
      <c r="Z1847" s="20">
        <v>0</v>
      </c>
      <c r="AA1847" s="20">
        <v>0</v>
      </c>
      <c r="AB1847" s="20">
        <v>170.57</v>
      </c>
      <c r="AC1847" t="s">
        <v>188</v>
      </c>
      <c r="AD1847" t="s">
        <v>290</v>
      </c>
      <c r="AE1847" s="702">
        <f t="shared" si="140"/>
        <v>44348</v>
      </c>
      <c r="AF1847" s="289">
        <v>203.19346679960455</v>
      </c>
      <c r="AG1847">
        <f t="shared" si="141"/>
        <v>360</v>
      </c>
      <c r="AH1847" s="289">
        <f t="shared" si="142"/>
        <v>0.56442629666556821</v>
      </c>
      <c r="AJ1847" s="289">
        <f t="shared" si="143"/>
        <v>18</v>
      </c>
      <c r="AK1847" s="289">
        <f t="shared" si="144"/>
        <v>10.159673339980227</v>
      </c>
    </row>
    <row r="1848" spans="1:37">
      <c r="A1848" s="703" t="s">
        <v>3375</v>
      </c>
      <c r="B1848" s="703" t="s">
        <v>2849</v>
      </c>
      <c r="C1848" s="703" t="s">
        <v>390</v>
      </c>
      <c r="D1848" s="703" t="s">
        <v>334</v>
      </c>
      <c r="E1848" s="703" t="s">
        <v>334</v>
      </c>
      <c r="F1848" s="703" t="s">
        <v>335</v>
      </c>
      <c r="G1848" s="703" t="s">
        <v>3301</v>
      </c>
      <c r="H1848" s="703" t="s">
        <v>334</v>
      </c>
      <c r="I1848" s="703" t="s">
        <v>334</v>
      </c>
      <c r="J1848" s="703" t="s">
        <v>337</v>
      </c>
      <c r="K1848" s="704">
        <v>0</v>
      </c>
      <c r="L1848" s="703" t="s">
        <v>334</v>
      </c>
      <c r="M1848" s="702">
        <v>42886</v>
      </c>
      <c r="N1848" s="702">
        <v>44516</v>
      </c>
      <c r="O1848" s="703" t="s">
        <v>338</v>
      </c>
      <c r="P1848" s="20">
        <v>298.62</v>
      </c>
      <c r="Q1848" s="20">
        <v>0</v>
      </c>
      <c r="R1848" s="20">
        <v>0</v>
      </c>
      <c r="S1848" s="20">
        <v>0</v>
      </c>
      <c r="T1848" s="20">
        <v>298.62</v>
      </c>
      <c r="U1848" s="20">
        <v>297.79000000000002</v>
      </c>
      <c r="V1848" s="20">
        <v>-0.83</v>
      </c>
      <c r="W1848" s="20">
        <v>-10.78</v>
      </c>
      <c r="X1848" s="20">
        <v>-9.9499999999999993</v>
      </c>
      <c r="Y1848" s="20">
        <v>0</v>
      </c>
      <c r="Z1848" s="20">
        <v>0</v>
      </c>
      <c r="AA1848" s="20">
        <v>0</v>
      </c>
      <c r="AB1848" s="20">
        <v>287.83999999999997</v>
      </c>
      <c r="AC1848" t="s">
        <v>188</v>
      </c>
      <c r="AD1848" t="s">
        <v>290</v>
      </c>
      <c r="AE1848" s="702">
        <f t="shared" si="140"/>
        <v>44348</v>
      </c>
      <c r="AF1848" s="289">
        <v>342.88897522433263</v>
      </c>
      <c r="AG1848">
        <f t="shared" si="141"/>
        <v>360</v>
      </c>
      <c r="AH1848" s="289">
        <f t="shared" si="142"/>
        <v>0.95246937562314615</v>
      </c>
      <c r="AJ1848" s="289">
        <f t="shared" si="143"/>
        <v>18</v>
      </c>
      <c r="AK1848" s="289">
        <f t="shared" si="144"/>
        <v>17.14444876121663</v>
      </c>
    </row>
    <row r="1849" spans="1:37">
      <c r="A1849" s="703" t="s">
        <v>3376</v>
      </c>
      <c r="B1849" s="703" t="s">
        <v>2849</v>
      </c>
      <c r="C1849" s="703" t="s">
        <v>390</v>
      </c>
      <c r="D1849" s="703" t="s">
        <v>334</v>
      </c>
      <c r="E1849" s="703" t="s">
        <v>334</v>
      </c>
      <c r="F1849" s="703" t="s">
        <v>335</v>
      </c>
      <c r="G1849" s="703" t="s">
        <v>3301</v>
      </c>
      <c r="H1849" s="703" t="s">
        <v>334</v>
      </c>
      <c r="I1849" s="703" t="s">
        <v>334</v>
      </c>
      <c r="J1849" s="703" t="s">
        <v>337</v>
      </c>
      <c r="K1849" s="704">
        <v>0</v>
      </c>
      <c r="L1849" s="703" t="s">
        <v>334</v>
      </c>
      <c r="M1849" s="702">
        <v>42886</v>
      </c>
      <c r="N1849" s="702">
        <v>44516</v>
      </c>
      <c r="O1849" s="703" t="s">
        <v>338</v>
      </c>
      <c r="P1849" s="20">
        <v>829.5</v>
      </c>
      <c r="Q1849" s="20">
        <v>0</v>
      </c>
      <c r="R1849" s="20">
        <v>0</v>
      </c>
      <c r="S1849" s="20">
        <v>0</v>
      </c>
      <c r="T1849" s="20">
        <v>829.5</v>
      </c>
      <c r="U1849" s="20">
        <v>827.2</v>
      </c>
      <c r="V1849" s="20">
        <v>-2.2999999999999998</v>
      </c>
      <c r="W1849" s="20">
        <v>-29.95</v>
      </c>
      <c r="X1849" s="20">
        <v>-27.65</v>
      </c>
      <c r="Y1849" s="20">
        <v>0</v>
      </c>
      <c r="Z1849" s="20">
        <v>0</v>
      </c>
      <c r="AA1849" s="20">
        <v>0</v>
      </c>
      <c r="AB1849" s="20">
        <v>799.55</v>
      </c>
      <c r="AC1849" t="s">
        <v>188</v>
      </c>
      <c r="AD1849" t="s">
        <v>290</v>
      </c>
      <c r="AE1849" s="702">
        <f t="shared" si="140"/>
        <v>44348</v>
      </c>
      <c r="AF1849" s="289">
        <v>952.46937562314622</v>
      </c>
      <c r="AG1849">
        <f t="shared" si="141"/>
        <v>360</v>
      </c>
      <c r="AH1849" s="289">
        <f t="shared" si="142"/>
        <v>2.6457482656198508</v>
      </c>
      <c r="AJ1849" s="289">
        <f t="shared" si="143"/>
        <v>18</v>
      </c>
      <c r="AK1849" s="289">
        <f t="shared" si="144"/>
        <v>47.623468781157314</v>
      </c>
    </row>
    <row r="1850" spans="1:37">
      <c r="A1850" s="703" t="s">
        <v>3377</v>
      </c>
      <c r="B1850" s="703" t="s">
        <v>2849</v>
      </c>
      <c r="C1850" s="703" t="s">
        <v>390</v>
      </c>
      <c r="D1850" s="703" t="s">
        <v>334</v>
      </c>
      <c r="E1850" s="703" t="s">
        <v>334</v>
      </c>
      <c r="F1850" s="703" t="s">
        <v>335</v>
      </c>
      <c r="G1850" s="703" t="s">
        <v>3301</v>
      </c>
      <c r="H1850" s="703" t="s">
        <v>334</v>
      </c>
      <c r="I1850" s="703" t="s">
        <v>334</v>
      </c>
      <c r="J1850" s="703" t="s">
        <v>337</v>
      </c>
      <c r="K1850" s="704">
        <v>0</v>
      </c>
      <c r="L1850" s="703" t="s">
        <v>334</v>
      </c>
      <c r="M1850" s="702">
        <v>42886</v>
      </c>
      <c r="N1850" s="702">
        <v>44516</v>
      </c>
      <c r="O1850" s="703" t="s">
        <v>338</v>
      </c>
      <c r="P1850" s="20">
        <v>1327.2</v>
      </c>
      <c r="Q1850" s="20">
        <v>0</v>
      </c>
      <c r="R1850" s="20">
        <v>0</v>
      </c>
      <c r="S1850" s="20">
        <v>0</v>
      </c>
      <c r="T1850" s="20">
        <v>1327.2</v>
      </c>
      <c r="U1850" s="20">
        <v>1323.51</v>
      </c>
      <c r="V1850" s="20">
        <v>-3.69</v>
      </c>
      <c r="W1850" s="20">
        <v>-47.93</v>
      </c>
      <c r="X1850" s="20">
        <v>-44.24</v>
      </c>
      <c r="Y1850" s="20">
        <v>0</v>
      </c>
      <c r="Z1850" s="20">
        <v>0</v>
      </c>
      <c r="AA1850" s="20">
        <v>0</v>
      </c>
      <c r="AB1850" s="20">
        <v>1279.27</v>
      </c>
      <c r="AC1850" t="s">
        <v>188</v>
      </c>
      <c r="AD1850" t="s">
        <v>290</v>
      </c>
      <c r="AE1850" s="702">
        <f t="shared" si="140"/>
        <v>44348</v>
      </c>
      <c r="AF1850" s="289">
        <v>1523.951000997034</v>
      </c>
      <c r="AG1850">
        <f t="shared" si="141"/>
        <v>360</v>
      </c>
      <c r="AH1850" s="289">
        <f t="shared" si="142"/>
        <v>4.2331972249917609</v>
      </c>
      <c r="AJ1850" s="289">
        <f t="shared" si="143"/>
        <v>18</v>
      </c>
      <c r="AK1850" s="289">
        <f t="shared" si="144"/>
        <v>76.197550049851699</v>
      </c>
    </row>
    <row r="1851" spans="1:37">
      <c r="A1851" s="703" t="s">
        <v>3378</v>
      </c>
      <c r="B1851" s="703" t="s">
        <v>2849</v>
      </c>
      <c r="C1851" s="703" t="s">
        <v>390</v>
      </c>
      <c r="D1851" s="703" t="s">
        <v>334</v>
      </c>
      <c r="E1851" s="703" t="s">
        <v>334</v>
      </c>
      <c r="F1851" s="703" t="s">
        <v>335</v>
      </c>
      <c r="G1851" s="703" t="s">
        <v>3301</v>
      </c>
      <c r="H1851" s="703" t="s">
        <v>334</v>
      </c>
      <c r="I1851" s="703" t="s">
        <v>334</v>
      </c>
      <c r="J1851" s="703" t="s">
        <v>337</v>
      </c>
      <c r="K1851" s="704">
        <v>0</v>
      </c>
      <c r="L1851" s="703" t="s">
        <v>334</v>
      </c>
      <c r="M1851" s="702">
        <v>42886</v>
      </c>
      <c r="N1851" s="702">
        <v>44516</v>
      </c>
      <c r="O1851" s="703" t="s">
        <v>338</v>
      </c>
      <c r="P1851" s="20">
        <v>108.77</v>
      </c>
      <c r="Q1851" s="20">
        <v>0</v>
      </c>
      <c r="R1851" s="20">
        <v>0</v>
      </c>
      <c r="S1851" s="20">
        <v>0</v>
      </c>
      <c r="T1851" s="20">
        <v>108.77</v>
      </c>
      <c r="U1851" s="20">
        <v>108.47</v>
      </c>
      <c r="V1851" s="20">
        <v>-0.3</v>
      </c>
      <c r="W1851" s="20">
        <v>-3.93</v>
      </c>
      <c r="X1851" s="20">
        <v>-3.63</v>
      </c>
      <c r="Y1851" s="20">
        <v>0</v>
      </c>
      <c r="Z1851" s="20">
        <v>0</v>
      </c>
      <c r="AA1851" s="20">
        <v>0</v>
      </c>
      <c r="AB1851" s="20">
        <v>104.84</v>
      </c>
      <c r="AC1851" t="s">
        <v>188</v>
      </c>
      <c r="AD1851" t="s">
        <v>290</v>
      </c>
      <c r="AE1851" s="702">
        <f t="shared" si="140"/>
        <v>44348</v>
      </c>
      <c r="AF1851" s="289">
        <v>124.8946280729712</v>
      </c>
      <c r="AG1851">
        <f t="shared" si="141"/>
        <v>360</v>
      </c>
      <c r="AH1851" s="289">
        <f t="shared" si="142"/>
        <v>0.34692952242491998</v>
      </c>
      <c r="AJ1851" s="289">
        <f t="shared" si="143"/>
        <v>18</v>
      </c>
      <c r="AK1851" s="289">
        <f t="shared" si="144"/>
        <v>6.2447314036485597</v>
      </c>
    </row>
    <row r="1852" spans="1:37">
      <c r="A1852" s="703" t="s">
        <v>3379</v>
      </c>
      <c r="B1852" s="703" t="s">
        <v>2849</v>
      </c>
      <c r="C1852" s="703" t="s">
        <v>390</v>
      </c>
      <c r="D1852" s="703" t="s">
        <v>334</v>
      </c>
      <c r="E1852" s="703" t="s">
        <v>334</v>
      </c>
      <c r="F1852" s="703" t="s">
        <v>335</v>
      </c>
      <c r="G1852" s="703" t="s">
        <v>3301</v>
      </c>
      <c r="H1852" s="703" t="s">
        <v>334</v>
      </c>
      <c r="I1852" s="703" t="s">
        <v>334</v>
      </c>
      <c r="J1852" s="703" t="s">
        <v>337</v>
      </c>
      <c r="K1852" s="704">
        <v>0</v>
      </c>
      <c r="L1852" s="703" t="s">
        <v>334</v>
      </c>
      <c r="M1852" s="702">
        <v>42886</v>
      </c>
      <c r="N1852" s="702">
        <v>44516</v>
      </c>
      <c r="O1852" s="703" t="s">
        <v>338</v>
      </c>
      <c r="P1852" s="20">
        <v>1037.05</v>
      </c>
      <c r="Q1852" s="20">
        <v>0</v>
      </c>
      <c r="R1852" s="20">
        <v>0</v>
      </c>
      <c r="S1852" s="20">
        <v>0</v>
      </c>
      <c r="T1852" s="20">
        <v>1037.05</v>
      </c>
      <c r="U1852" s="20">
        <v>1034.17</v>
      </c>
      <c r="V1852" s="20">
        <v>-2.88</v>
      </c>
      <c r="W1852" s="20">
        <v>-37.450000000000003</v>
      </c>
      <c r="X1852" s="20">
        <v>-34.57</v>
      </c>
      <c r="Y1852" s="20">
        <v>0</v>
      </c>
      <c r="Z1852" s="20">
        <v>0</v>
      </c>
      <c r="AA1852" s="20">
        <v>0</v>
      </c>
      <c r="AB1852" s="20">
        <v>999.6</v>
      </c>
      <c r="AC1852" t="s">
        <v>188</v>
      </c>
      <c r="AD1852" t="s">
        <v>290</v>
      </c>
      <c r="AE1852" s="702">
        <f t="shared" si="140"/>
        <v>44348</v>
      </c>
      <c r="AF1852" s="289">
        <v>1190.7876624351823</v>
      </c>
      <c r="AG1852">
        <f t="shared" si="141"/>
        <v>360</v>
      </c>
      <c r="AH1852" s="289">
        <f t="shared" si="142"/>
        <v>3.3077435067643952</v>
      </c>
      <c r="AJ1852" s="289">
        <f t="shared" si="143"/>
        <v>18</v>
      </c>
      <c r="AK1852" s="289">
        <f t="shared" si="144"/>
        <v>59.539383121759116</v>
      </c>
    </row>
    <row r="1853" spans="1:37">
      <c r="A1853" s="703" t="s">
        <v>3380</v>
      </c>
      <c r="B1853" s="703" t="s">
        <v>2849</v>
      </c>
      <c r="C1853" s="703" t="s">
        <v>390</v>
      </c>
      <c r="D1853" s="703" t="s">
        <v>334</v>
      </c>
      <c r="E1853" s="703" t="s">
        <v>334</v>
      </c>
      <c r="F1853" s="703" t="s">
        <v>335</v>
      </c>
      <c r="G1853" s="703" t="s">
        <v>3301</v>
      </c>
      <c r="H1853" s="703" t="s">
        <v>334</v>
      </c>
      <c r="I1853" s="703" t="s">
        <v>334</v>
      </c>
      <c r="J1853" s="703" t="s">
        <v>337</v>
      </c>
      <c r="K1853" s="704">
        <v>0</v>
      </c>
      <c r="L1853" s="703" t="s">
        <v>334</v>
      </c>
      <c r="M1853" s="702">
        <v>42886</v>
      </c>
      <c r="N1853" s="702">
        <v>44516</v>
      </c>
      <c r="O1853" s="703" t="s">
        <v>338</v>
      </c>
      <c r="P1853" s="20">
        <v>878.68</v>
      </c>
      <c r="Q1853" s="20">
        <v>0</v>
      </c>
      <c r="R1853" s="20">
        <v>0</v>
      </c>
      <c r="S1853" s="20">
        <v>0</v>
      </c>
      <c r="T1853" s="20">
        <v>878.68</v>
      </c>
      <c r="U1853" s="20">
        <v>876.24</v>
      </c>
      <c r="V1853" s="20">
        <v>-2.44</v>
      </c>
      <c r="W1853" s="20">
        <v>-31.73</v>
      </c>
      <c r="X1853" s="20">
        <v>-29.29</v>
      </c>
      <c r="Y1853" s="20">
        <v>0</v>
      </c>
      <c r="Z1853" s="20">
        <v>0</v>
      </c>
      <c r="AA1853" s="20">
        <v>0</v>
      </c>
      <c r="AB1853" s="20">
        <v>846.95</v>
      </c>
      <c r="AC1853" t="s">
        <v>188</v>
      </c>
      <c r="AD1853" t="s">
        <v>290</v>
      </c>
      <c r="AE1853" s="702">
        <f t="shared" si="140"/>
        <v>44348</v>
      </c>
      <c r="AF1853" s="289">
        <v>1008.9400735051792</v>
      </c>
      <c r="AG1853">
        <f t="shared" si="141"/>
        <v>360</v>
      </c>
      <c r="AH1853" s="289">
        <f t="shared" si="142"/>
        <v>2.8026113152921641</v>
      </c>
      <c r="AJ1853" s="289">
        <f t="shared" si="143"/>
        <v>18</v>
      </c>
      <c r="AK1853" s="289">
        <f t="shared" si="144"/>
        <v>50.447003675258955</v>
      </c>
    </row>
    <row r="1854" spans="1:37">
      <c r="A1854" s="703" t="s">
        <v>3381</v>
      </c>
      <c r="B1854" s="703" t="s">
        <v>2849</v>
      </c>
      <c r="C1854" s="703" t="s">
        <v>390</v>
      </c>
      <c r="D1854" s="703" t="s">
        <v>334</v>
      </c>
      <c r="E1854" s="703" t="s">
        <v>334</v>
      </c>
      <c r="F1854" s="703" t="s">
        <v>335</v>
      </c>
      <c r="G1854" s="703" t="s">
        <v>3301</v>
      </c>
      <c r="H1854" s="703" t="s">
        <v>334</v>
      </c>
      <c r="I1854" s="703" t="s">
        <v>334</v>
      </c>
      <c r="J1854" s="703" t="s">
        <v>337</v>
      </c>
      <c r="K1854" s="704">
        <v>0</v>
      </c>
      <c r="L1854" s="703" t="s">
        <v>334</v>
      </c>
      <c r="M1854" s="702">
        <v>42886</v>
      </c>
      <c r="N1854" s="702">
        <v>44516</v>
      </c>
      <c r="O1854" s="703" t="s">
        <v>338</v>
      </c>
      <c r="P1854" s="20">
        <v>978.58</v>
      </c>
      <c r="Q1854" s="20">
        <v>0</v>
      </c>
      <c r="R1854" s="20">
        <v>0</v>
      </c>
      <c r="S1854" s="20">
        <v>0</v>
      </c>
      <c r="T1854" s="20">
        <v>978.58</v>
      </c>
      <c r="U1854" s="20">
        <v>975.86</v>
      </c>
      <c r="V1854" s="20">
        <v>-2.72</v>
      </c>
      <c r="W1854" s="20">
        <v>-35.340000000000003</v>
      </c>
      <c r="X1854" s="20">
        <v>-32.619999999999997</v>
      </c>
      <c r="Y1854" s="20">
        <v>0</v>
      </c>
      <c r="Z1854" s="20">
        <v>0</v>
      </c>
      <c r="AA1854" s="20">
        <v>0</v>
      </c>
      <c r="AB1854" s="20">
        <v>943.24</v>
      </c>
      <c r="AC1854" t="s">
        <v>188</v>
      </c>
      <c r="AD1854" t="s">
        <v>290</v>
      </c>
      <c r="AE1854" s="702">
        <f t="shared" si="140"/>
        <v>44348</v>
      </c>
      <c r="AF1854" s="289">
        <v>1123.6497668442416</v>
      </c>
      <c r="AG1854">
        <f t="shared" si="141"/>
        <v>360</v>
      </c>
      <c r="AH1854" s="289">
        <f t="shared" si="142"/>
        <v>3.1212493523451155</v>
      </c>
      <c r="AJ1854" s="289">
        <f t="shared" si="143"/>
        <v>18</v>
      </c>
      <c r="AK1854" s="289">
        <f t="shared" si="144"/>
        <v>56.182488342212082</v>
      </c>
    </row>
    <row r="1855" spans="1:37">
      <c r="A1855" s="703" t="s">
        <v>3382</v>
      </c>
      <c r="B1855" s="703" t="s">
        <v>2849</v>
      </c>
      <c r="C1855" s="703" t="s">
        <v>390</v>
      </c>
      <c r="D1855" s="703" t="s">
        <v>334</v>
      </c>
      <c r="E1855" s="703" t="s">
        <v>334</v>
      </c>
      <c r="F1855" s="703" t="s">
        <v>335</v>
      </c>
      <c r="G1855" s="703" t="s">
        <v>3301</v>
      </c>
      <c r="H1855" s="703" t="s">
        <v>334</v>
      </c>
      <c r="I1855" s="703" t="s">
        <v>334</v>
      </c>
      <c r="J1855" s="703" t="s">
        <v>337</v>
      </c>
      <c r="K1855" s="704">
        <v>0</v>
      </c>
      <c r="L1855" s="703" t="s">
        <v>334</v>
      </c>
      <c r="M1855" s="702">
        <v>42886</v>
      </c>
      <c r="N1855" s="702">
        <v>44516</v>
      </c>
      <c r="O1855" s="703" t="s">
        <v>338</v>
      </c>
      <c r="P1855" s="20">
        <v>573.51</v>
      </c>
      <c r="Q1855" s="20">
        <v>0</v>
      </c>
      <c r="R1855" s="20">
        <v>0</v>
      </c>
      <c r="S1855" s="20">
        <v>0</v>
      </c>
      <c r="T1855" s="20">
        <v>573.51</v>
      </c>
      <c r="U1855" s="20">
        <v>571.91999999999996</v>
      </c>
      <c r="V1855" s="20">
        <v>-1.59</v>
      </c>
      <c r="W1855" s="20">
        <v>-20.71</v>
      </c>
      <c r="X1855" s="20">
        <v>-19.12</v>
      </c>
      <c r="Y1855" s="20">
        <v>0</v>
      </c>
      <c r="Z1855" s="20">
        <v>0</v>
      </c>
      <c r="AA1855" s="20">
        <v>0</v>
      </c>
      <c r="AB1855" s="20">
        <v>552.79999999999995</v>
      </c>
      <c r="AC1855" t="s">
        <v>188</v>
      </c>
      <c r="AD1855" t="s">
        <v>290</v>
      </c>
      <c r="AE1855" s="702">
        <f t="shared" si="140"/>
        <v>44348</v>
      </c>
      <c r="AF1855" s="289">
        <v>658.53009236121829</v>
      </c>
      <c r="AG1855">
        <f t="shared" si="141"/>
        <v>360</v>
      </c>
      <c r="AH1855" s="289">
        <f t="shared" si="142"/>
        <v>1.8292502565589397</v>
      </c>
      <c r="AJ1855" s="289">
        <f t="shared" si="143"/>
        <v>18</v>
      </c>
      <c r="AK1855" s="289">
        <f t="shared" si="144"/>
        <v>32.926504618060918</v>
      </c>
    </row>
    <row r="1856" spans="1:37">
      <c r="A1856" s="703" t="s">
        <v>3383</v>
      </c>
      <c r="B1856" s="703" t="s">
        <v>2849</v>
      </c>
      <c r="C1856" s="703" t="s">
        <v>390</v>
      </c>
      <c r="D1856" s="703" t="s">
        <v>334</v>
      </c>
      <c r="E1856" s="703" t="s">
        <v>334</v>
      </c>
      <c r="F1856" s="703" t="s">
        <v>335</v>
      </c>
      <c r="G1856" s="703" t="s">
        <v>3301</v>
      </c>
      <c r="H1856" s="703" t="s">
        <v>334</v>
      </c>
      <c r="I1856" s="703" t="s">
        <v>334</v>
      </c>
      <c r="J1856" s="703" t="s">
        <v>337</v>
      </c>
      <c r="K1856" s="704">
        <v>0</v>
      </c>
      <c r="L1856" s="703" t="s">
        <v>334</v>
      </c>
      <c r="M1856" s="702">
        <v>42886</v>
      </c>
      <c r="N1856" s="702">
        <v>44516</v>
      </c>
      <c r="O1856" s="703" t="s">
        <v>338</v>
      </c>
      <c r="P1856" s="20">
        <v>100.27</v>
      </c>
      <c r="Q1856" s="20">
        <v>0</v>
      </c>
      <c r="R1856" s="20">
        <v>0</v>
      </c>
      <c r="S1856" s="20">
        <v>0</v>
      </c>
      <c r="T1856" s="20">
        <v>100.27</v>
      </c>
      <c r="U1856" s="20">
        <v>99.99</v>
      </c>
      <c r="V1856" s="20">
        <v>-0.28000000000000003</v>
      </c>
      <c r="W1856" s="20">
        <v>-3.62</v>
      </c>
      <c r="X1856" s="20">
        <v>-3.34</v>
      </c>
      <c r="Y1856" s="20">
        <v>0</v>
      </c>
      <c r="Z1856" s="20">
        <v>0</v>
      </c>
      <c r="AA1856" s="20">
        <v>0</v>
      </c>
      <c r="AB1856" s="20">
        <v>96.65</v>
      </c>
      <c r="AC1856" t="s">
        <v>188</v>
      </c>
      <c r="AD1856" t="s">
        <v>290</v>
      </c>
      <c r="AE1856" s="702">
        <f t="shared" si="140"/>
        <v>44348</v>
      </c>
      <c r="AF1856" s="289">
        <v>115.13454405513305</v>
      </c>
      <c r="AG1856">
        <f t="shared" si="141"/>
        <v>360</v>
      </c>
      <c r="AH1856" s="289">
        <f t="shared" si="142"/>
        <v>0.31981817793092515</v>
      </c>
      <c r="AJ1856" s="289">
        <f t="shared" si="143"/>
        <v>18</v>
      </c>
      <c r="AK1856" s="289">
        <f t="shared" si="144"/>
        <v>5.756727202756653</v>
      </c>
    </row>
    <row r="1857" spans="1:37">
      <c r="A1857" s="703" t="s">
        <v>3384</v>
      </c>
      <c r="B1857" s="703" t="s">
        <v>2849</v>
      </c>
      <c r="C1857" s="703" t="s">
        <v>390</v>
      </c>
      <c r="D1857" s="703" t="s">
        <v>334</v>
      </c>
      <c r="E1857" s="703" t="s">
        <v>334</v>
      </c>
      <c r="F1857" s="703" t="s">
        <v>335</v>
      </c>
      <c r="G1857" s="703" t="s">
        <v>3301</v>
      </c>
      <c r="H1857" s="703" t="s">
        <v>334</v>
      </c>
      <c r="I1857" s="703" t="s">
        <v>334</v>
      </c>
      <c r="J1857" s="703" t="s">
        <v>337</v>
      </c>
      <c r="K1857" s="704">
        <v>0</v>
      </c>
      <c r="L1857" s="703" t="s">
        <v>334</v>
      </c>
      <c r="M1857" s="702">
        <v>42886</v>
      </c>
      <c r="N1857" s="702">
        <v>44516</v>
      </c>
      <c r="O1857" s="703" t="s">
        <v>338</v>
      </c>
      <c r="P1857" s="20">
        <v>400.4</v>
      </c>
      <c r="Q1857" s="20">
        <v>0</v>
      </c>
      <c r="R1857" s="20">
        <v>0</v>
      </c>
      <c r="S1857" s="20">
        <v>0</v>
      </c>
      <c r="T1857" s="20">
        <v>400.4</v>
      </c>
      <c r="U1857" s="20">
        <v>399.29</v>
      </c>
      <c r="V1857" s="20">
        <v>-1.1100000000000001</v>
      </c>
      <c r="W1857" s="20">
        <v>-14.46</v>
      </c>
      <c r="X1857" s="20">
        <v>-13.35</v>
      </c>
      <c r="Y1857" s="20">
        <v>0</v>
      </c>
      <c r="Z1857" s="20">
        <v>0</v>
      </c>
      <c r="AA1857" s="20">
        <v>0</v>
      </c>
      <c r="AB1857" s="20">
        <v>385.94</v>
      </c>
      <c r="AC1857" t="s">
        <v>188</v>
      </c>
      <c r="AD1857" t="s">
        <v>290</v>
      </c>
      <c r="AE1857" s="702">
        <f t="shared" si="140"/>
        <v>44348</v>
      </c>
      <c r="AF1857" s="289">
        <v>459.75736949910515</v>
      </c>
      <c r="AG1857">
        <f t="shared" si="141"/>
        <v>360</v>
      </c>
      <c r="AH1857" s="289">
        <f t="shared" si="142"/>
        <v>1.2771038041641809</v>
      </c>
      <c r="AJ1857" s="289">
        <f t="shared" si="143"/>
        <v>18</v>
      </c>
      <c r="AK1857" s="289">
        <f t="shared" si="144"/>
        <v>22.987868474955256</v>
      </c>
    </row>
    <row r="1858" spans="1:37">
      <c r="A1858" s="703" t="s">
        <v>3385</v>
      </c>
      <c r="B1858" s="703" t="s">
        <v>2849</v>
      </c>
      <c r="C1858" s="703" t="s">
        <v>390</v>
      </c>
      <c r="D1858" s="703" t="s">
        <v>334</v>
      </c>
      <c r="E1858" s="703" t="s">
        <v>334</v>
      </c>
      <c r="F1858" s="703" t="s">
        <v>335</v>
      </c>
      <c r="G1858" s="703" t="s">
        <v>3301</v>
      </c>
      <c r="H1858" s="703" t="s">
        <v>334</v>
      </c>
      <c r="I1858" s="703" t="s">
        <v>334</v>
      </c>
      <c r="J1858" s="703" t="s">
        <v>337</v>
      </c>
      <c r="K1858" s="704">
        <v>0</v>
      </c>
      <c r="L1858" s="703" t="s">
        <v>334</v>
      </c>
      <c r="M1858" s="702">
        <v>42886</v>
      </c>
      <c r="N1858" s="702">
        <v>44516</v>
      </c>
      <c r="O1858" s="703" t="s">
        <v>338</v>
      </c>
      <c r="P1858" s="20">
        <v>3281.83</v>
      </c>
      <c r="Q1858" s="20">
        <v>0</v>
      </c>
      <c r="R1858" s="20">
        <v>0</v>
      </c>
      <c r="S1858" s="20">
        <v>0</v>
      </c>
      <c r="T1858" s="20">
        <v>3281.83</v>
      </c>
      <c r="U1858" s="20">
        <v>3272.71</v>
      </c>
      <c r="V1858" s="20">
        <v>-9.1199999999999992</v>
      </c>
      <c r="W1858" s="20">
        <v>-118.51</v>
      </c>
      <c r="X1858" s="20">
        <v>-109.39</v>
      </c>
      <c r="Y1858" s="20">
        <v>0</v>
      </c>
      <c r="Z1858" s="20">
        <v>0</v>
      </c>
      <c r="AA1858" s="20">
        <v>0</v>
      </c>
      <c r="AB1858" s="20">
        <v>3163.32</v>
      </c>
      <c r="AC1858" t="s">
        <v>188</v>
      </c>
      <c r="AD1858" t="s">
        <v>290</v>
      </c>
      <c r="AE1858" s="702">
        <f t="shared" si="140"/>
        <v>44348</v>
      </c>
      <c r="AF1858" s="289">
        <v>3768.3454743837369</v>
      </c>
      <c r="AG1858">
        <f t="shared" si="141"/>
        <v>360</v>
      </c>
      <c r="AH1858" s="289">
        <f t="shared" si="142"/>
        <v>10.467626317732602</v>
      </c>
      <c r="AJ1858" s="289">
        <f t="shared" si="143"/>
        <v>18</v>
      </c>
      <c r="AK1858" s="289">
        <f t="shared" si="144"/>
        <v>188.41727371918682</v>
      </c>
    </row>
    <row r="1859" spans="1:37">
      <c r="A1859" s="703" t="s">
        <v>3386</v>
      </c>
      <c r="B1859" s="703" t="s">
        <v>2849</v>
      </c>
      <c r="C1859" s="703" t="s">
        <v>390</v>
      </c>
      <c r="D1859" s="703" t="s">
        <v>334</v>
      </c>
      <c r="E1859" s="703" t="s">
        <v>334</v>
      </c>
      <c r="F1859" s="703" t="s">
        <v>335</v>
      </c>
      <c r="G1859" s="703" t="s">
        <v>3301</v>
      </c>
      <c r="H1859" s="703" t="s">
        <v>334</v>
      </c>
      <c r="I1859" s="703" t="s">
        <v>334</v>
      </c>
      <c r="J1859" s="703" t="s">
        <v>337</v>
      </c>
      <c r="K1859" s="704">
        <v>0</v>
      </c>
      <c r="L1859" s="703" t="s">
        <v>334</v>
      </c>
      <c r="M1859" s="702">
        <v>42886</v>
      </c>
      <c r="N1859" s="702">
        <v>44516</v>
      </c>
      <c r="O1859" s="703" t="s">
        <v>338</v>
      </c>
      <c r="P1859" s="20">
        <v>1064.48</v>
      </c>
      <c r="Q1859" s="20">
        <v>0</v>
      </c>
      <c r="R1859" s="20">
        <v>0</v>
      </c>
      <c r="S1859" s="20">
        <v>0</v>
      </c>
      <c r="T1859" s="20">
        <v>1064.48</v>
      </c>
      <c r="U1859" s="20">
        <v>1061.52</v>
      </c>
      <c r="V1859" s="20">
        <v>-2.96</v>
      </c>
      <c r="W1859" s="20">
        <v>-38.44</v>
      </c>
      <c r="X1859" s="20">
        <v>-35.479999999999997</v>
      </c>
      <c r="Y1859" s="20">
        <v>0</v>
      </c>
      <c r="Z1859" s="20">
        <v>0</v>
      </c>
      <c r="AA1859" s="20">
        <v>0</v>
      </c>
      <c r="AB1859" s="20">
        <v>1026.04</v>
      </c>
      <c r="AC1859" t="s">
        <v>188</v>
      </c>
      <c r="AD1859" t="s">
        <v>290</v>
      </c>
      <c r="AE1859" s="702">
        <f t="shared" si="140"/>
        <v>44348</v>
      </c>
      <c r="AF1859" s="289">
        <v>1222.2840276833354</v>
      </c>
      <c r="AG1859">
        <f t="shared" si="141"/>
        <v>360</v>
      </c>
      <c r="AH1859" s="289">
        <f t="shared" si="142"/>
        <v>3.3952334102314872</v>
      </c>
      <c r="AJ1859" s="289">
        <f t="shared" si="143"/>
        <v>18</v>
      </c>
      <c r="AK1859" s="289">
        <f t="shared" si="144"/>
        <v>61.114201384166769</v>
      </c>
    </row>
    <row r="1860" spans="1:37">
      <c r="A1860" s="703" t="s">
        <v>3387</v>
      </c>
      <c r="B1860" s="703" t="s">
        <v>2849</v>
      </c>
      <c r="C1860" s="703" t="s">
        <v>390</v>
      </c>
      <c r="D1860" s="703" t="s">
        <v>334</v>
      </c>
      <c r="E1860" s="703" t="s">
        <v>334</v>
      </c>
      <c r="F1860" s="703" t="s">
        <v>335</v>
      </c>
      <c r="G1860" s="703" t="s">
        <v>3301</v>
      </c>
      <c r="H1860" s="703" t="s">
        <v>334</v>
      </c>
      <c r="I1860" s="703" t="s">
        <v>334</v>
      </c>
      <c r="J1860" s="703" t="s">
        <v>337</v>
      </c>
      <c r="K1860" s="704">
        <v>0</v>
      </c>
      <c r="L1860" s="703" t="s">
        <v>334</v>
      </c>
      <c r="M1860" s="702">
        <v>42886</v>
      </c>
      <c r="N1860" s="702">
        <v>44516</v>
      </c>
      <c r="O1860" s="703" t="s">
        <v>338</v>
      </c>
      <c r="P1860" s="20">
        <v>5429.12</v>
      </c>
      <c r="Q1860" s="20">
        <v>0</v>
      </c>
      <c r="R1860" s="20">
        <v>0</v>
      </c>
      <c r="S1860" s="20">
        <v>0</v>
      </c>
      <c r="T1860" s="20">
        <v>5429.12</v>
      </c>
      <c r="U1860" s="20">
        <v>5414.04</v>
      </c>
      <c r="V1860" s="20">
        <v>-15.08</v>
      </c>
      <c r="W1860" s="20">
        <v>-196.05</v>
      </c>
      <c r="X1860" s="20">
        <v>-180.97</v>
      </c>
      <c r="Y1860" s="20">
        <v>0</v>
      </c>
      <c r="Z1860" s="20">
        <v>0</v>
      </c>
      <c r="AA1860" s="20">
        <v>0</v>
      </c>
      <c r="AB1860" s="20">
        <v>5233.07</v>
      </c>
      <c r="AC1860" t="s">
        <v>188</v>
      </c>
      <c r="AD1860" t="s">
        <v>290</v>
      </c>
      <c r="AE1860" s="702">
        <f t="shared" si="140"/>
        <v>44348</v>
      </c>
      <c r="AF1860" s="289">
        <v>6233.9608638735808</v>
      </c>
      <c r="AG1860">
        <f t="shared" si="141"/>
        <v>360</v>
      </c>
      <c r="AH1860" s="289">
        <f t="shared" si="142"/>
        <v>17.316557955204392</v>
      </c>
      <c r="AJ1860" s="289">
        <f t="shared" si="143"/>
        <v>18</v>
      </c>
      <c r="AK1860" s="289">
        <f t="shared" si="144"/>
        <v>311.69804319367904</v>
      </c>
    </row>
    <row r="1861" spans="1:37">
      <c r="A1861" s="703" t="s">
        <v>3388</v>
      </c>
      <c r="B1861" s="703" t="s">
        <v>2849</v>
      </c>
      <c r="C1861" s="703" t="s">
        <v>390</v>
      </c>
      <c r="D1861" s="703" t="s">
        <v>334</v>
      </c>
      <c r="E1861" s="703" t="s">
        <v>334</v>
      </c>
      <c r="F1861" s="703" t="s">
        <v>335</v>
      </c>
      <c r="G1861" s="703" t="s">
        <v>3301</v>
      </c>
      <c r="H1861" s="703" t="s">
        <v>334</v>
      </c>
      <c r="I1861" s="703" t="s">
        <v>334</v>
      </c>
      <c r="J1861" s="703" t="s">
        <v>337</v>
      </c>
      <c r="K1861" s="704">
        <v>0</v>
      </c>
      <c r="L1861" s="703" t="s">
        <v>334</v>
      </c>
      <c r="M1861" s="702">
        <v>42886</v>
      </c>
      <c r="N1861" s="702">
        <v>44516</v>
      </c>
      <c r="O1861" s="703" t="s">
        <v>338</v>
      </c>
      <c r="P1861" s="20">
        <v>269.08</v>
      </c>
      <c r="Q1861" s="20">
        <v>0</v>
      </c>
      <c r="R1861" s="20">
        <v>0</v>
      </c>
      <c r="S1861" s="20">
        <v>0</v>
      </c>
      <c r="T1861" s="20">
        <v>269.08</v>
      </c>
      <c r="U1861" s="20">
        <v>268.33</v>
      </c>
      <c r="V1861" s="20">
        <v>-0.75</v>
      </c>
      <c r="W1861" s="20">
        <v>-9.7200000000000006</v>
      </c>
      <c r="X1861" s="20">
        <v>-8.9700000000000006</v>
      </c>
      <c r="Y1861" s="20">
        <v>0</v>
      </c>
      <c r="Z1861" s="20">
        <v>0</v>
      </c>
      <c r="AA1861" s="20">
        <v>0</v>
      </c>
      <c r="AB1861" s="20">
        <v>259.36</v>
      </c>
      <c r="AC1861" t="s">
        <v>188</v>
      </c>
      <c r="AD1861" t="s">
        <v>290</v>
      </c>
      <c r="AE1861" s="702">
        <f t="shared" si="140"/>
        <v>44348</v>
      </c>
      <c r="AF1861" s="289">
        <v>308.96981264939859</v>
      </c>
      <c r="AG1861">
        <f t="shared" si="141"/>
        <v>360</v>
      </c>
      <c r="AH1861" s="289">
        <f t="shared" si="142"/>
        <v>0.85824947958166276</v>
      </c>
      <c r="AJ1861" s="289">
        <f t="shared" si="143"/>
        <v>18</v>
      </c>
      <c r="AK1861" s="289">
        <f t="shared" si="144"/>
        <v>15.44849063246993</v>
      </c>
    </row>
    <row r="1862" spans="1:37">
      <c r="A1862" s="703" t="s">
        <v>3389</v>
      </c>
      <c r="B1862" s="703" t="s">
        <v>2849</v>
      </c>
      <c r="C1862" s="703" t="s">
        <v>390</v>
      </c>
      <c r="D1862" s="703" t="s">
        <v>334</v>
      </c>
      <c r="E1862" s="703" t="s">
        <v>334</v>
      </c>
      <c r="F1862" s="703" t="s">
        <v>335</v>
      </c>
      <c r="G1862" s="703" t="s">
        <v>3301</v>
      </c>
      <c r="H1862" s="703" t="s">
        <v>334</v>
      </c>
      <c r="I1862" s="703" t="s">
        <v>334</v>
      </c>
      <c r="J1862" s="703" t="s">
        <v>337</v>
      </c>
      <c r="K1862" s="704">
        <v>0</v>
      </c>
      <c r="L1862" s="703" t="s">
        <v>334</v>
      </c>
      <c r="M1862" s="702">
        <v>42886</v>
      </c>
      <c r="N1862" s="702">
        <v>44516</v>
      </c>
      <c r="O1862" s="703" t="s">
        <v>338</v>
      </c>
      <c r="P1862" s="20">
        <v>9195.57</v>
      </c>
      <c r="Q1862" s="20">
        <v>0</v>
      </c>
      <c r="R1862" s="20">
        <v>0</v>
      </c>
      <c r="S1862" s="20">
        <v>0</v>
      </c>
      <c r="T1862" s="20">
        <v>9195.57</v>
      </c>
      <c r="U1862" s="20">
        <v>9170.0300000000007</v>
      </c>
      <c r="V1862" s="20">
        <v>-25.54</v>
      </c>
      <c r="W1862" s="20">
        <v>-332.06</v>
      </c>
      <c r="X1862" s="20">
        <v>-306.52</v>
      </c>
      <c r="Y1862" s="20">
        <v>0</v>
      </c>
      <c r="Z1862" s="20">
        <v>0</v>
      </c>
      <c r="AA1862" s="20">
        <v>0</v>
      </c>
      <c r="AB1862" s="20">
        <v>8863.51</v>
      </c>
      <c r="AC1862" t="s">
        <v>188</v>
      </c>
      <c r="AD1862" t="s">
        <v>290</v>
      </c>
      <c r="AE1862" s="702">
        <f t="shared" si="140"/>
        <v>44348</v>
      </c>
      <c r="AF1862" s="289">
        <v>10558.768916695521</v>
      </c>
      <c r="AG1862">
        <f t="shared" si="141"/>
        <v>360</v>
      </c>
      <c r="AH1862" s="289">
        <f t="shared" si="142"/>
        <v>29.329913657487559</v>
      </c>
      <c r="AJ1862" s="289">
        <f t="shared" si="143"/>
        <v>18</v>
      </c>
      <c r="AK1862" s="289">
        <f t="shared" si="144"/>
        <v>527.93844583477608</v>
      </c>
    </row>
    <row r="1863" spans="1:37">
      <c r="A1863" s="703" t="s">
        <v>3390</v>
      </c>
      <c r="B1863" s="703" t="s">
        <v>2849</v>
      </c>
      <c r="C1863" s="703" t="s">
        <v>390</v>
      </c>
      <c r="D1863" s="703" t="s">
        <v>334</v>
      </c>
      <c r="E1863" s="703" t="s">
        <v>334</v>
      </c>
      <c r="F1863" s="703" t="s">
        <v>335</v>
      </c>
      <c r="G1863" s="703" t="s">
        <v>3301</v>
      </c>
      <c r="H1863" s="703" t="s">
        <v>334</v>
      </c>
      <c r="I1863" s="703" t="s">
        <v>334</v>
      </c>
      <c r="J1863" s="703" t="s">
        <v>337</v>
      </c>
      <c r="K1863" s="704">
        <v>0</v>
      </c>
      <c r="L1863" s="703" t="s">
        <v>334</v>
      </c>
      <c r="M1863" s="702">
        <v>42886</v>
      </c>
      <c r="N1863" s="702">
        <v>44516</v>
      </c>
      <c r="O1863" s="703" t="s">
        <v>338</v>
      </c>
      <c r="P1863" s="20">
        <v>1628.88</v>
      </c>
      <c r="Q1863" s="20">
        <v>0</v>
      </c>
      <c r="R1863" s="20">
        <v>0</v>
      </c>
      <c r="S1863" s="20">
        <v>0</v>
      </c>
      <c r="T1863" s="20">
        <v>1628.88</v>
      </c>
      <c r="U1863" s="20">
        <v>1624.36</v>
      </c>
      <c r="V1863" s="20">
        <v>-4.5199999999999996</v>
      </c>
      <c r="W1863" s="20">
        <v>-58.82</v>
      </c>
      <c r="X1863" s="20">
        <v>-54.3</v>
      </c>
      <c r="Y1863" s="20">
        <v>0</v>
      </c>
      <c r="Z1863" s="20">
        <v>0</v>
      </c>
      <c r="AA1863" s="20">
        <v>0</v>
      </c>
      <c r="AB1863" s="20">
        <v>1570.06</v>
      </c>
      <c r="AC1863" t="s">
        <v>188</v>
      </c>
      <c r="AD1863" t="s">
        <v>290</v>
      </c>
      <c r="AE1863" s="702">
        <f t="shared" ref="AE1863:AE1926" si="145">IF(N1863&gt;=$AG$5,DATE(YEAR(N1863),6,1),DATE(YEAR(N1863),6,1))</f>
        <v>44348</v>
      </c>
      <c r="AF1863" s="289">
        <v>1870.3536064677885</v>
      </c>
      <c r="AG1863">
        <f t="shared" ref="AG1863:AG1926" si="146">+IF(AD1863="intangível",20*12,IF(AD1863="Diferido",120,IF(AD1863="Não vinculados",0,IF(AE1863&lt;=$AG$5,F1863*12,360))))</f>
        <v>360</v>
      </c>
      <c r="AH1863" s="289">
        <f t="shared" ref="AH1863:AH1926" si="147">IF(AG1863=0,0,AF1863/AG1863)</f>
        <v>5.1954266846327455</v>
      </c>
      <c r="AJ1863" s="289">
        <f t="shared" ref="AJ1863:AJ1926" si="148">+IF(AND(YEAR(AE1863)&gt;=2018,YEAR(AE1863)&lt;=2022),IF(DATEDIF(AE1863,$AK$4,"m")&gt;=AG1863,AG1863,DATEDIF(AE1863,$AK$4,"m")),0)</f>
        <v>18</v>
      </c>
      <c r="AK1863" s="289">
        <f t="shared" ref="AK1863:AK1926" si="149">IF(AD1863="Imobilizado",AJ1863*AH1863,0)</f>
        <v>93.517680323389413</v>
      </c>
    </row>
    <row r="1864" spans="1:37">
      <c r="A1864" s="703" t="s">
        <v>3391</v>
      </c>
      <c r="B1864" s="703" t="s">
        <v>2849</v>
      </c>
      <c r="C1864" s="703" t="s">
        <v>390</v>
      </c>
      <c r="D1864" s="703" t="s">
        <v>334</v>
      </c>
      <c r="E1864" s="703" t="s">
        <v>334</v>
      </c>
      <c r="F1864" s="703" t="s">
        <v>335</v>
      </c>
      <c r="G1864" s="703" t="s">
        <v>3301</v>
      </c>
      <c r="H1864" s="703" t="s">
        <v>334</v>
      </c>
      <c r="I1864" s="703" t="s">
        <v>334</v>
      </c>
      <c r="J1864" s="703" t="s">
        <v>337</v>
      </c>
      <c r="K1864" s="704">
        <v>0</v>
      </c>
      <c r="L1864" s="703" t="s">
        <v>334</v>
      </c>
      <c r="M1864" s="702">
        <v>42886</v>
      </c>
      <c r="N1864" s="702">
        <v>44516</v>
      </c>
      <c r="O1864" s="703" t="s">
        <v>338</v>
      </c>
      <c r="P1864" s="20">
        <v>65.349999999999994</v>
      </c>
      <c r="Q1864" s="20">
        <v>0</v>
      </c>
      <c r="R1864" s="20">
        <v>0</v>
      </c>
      <c r="S1864" s="20">
        <v>0</v>
      </c>
      <c r="T1864" s="20">
        <v>65.349999999999994</v>
      </c>
      <c r="U1864" s="20">
        <v>65.17</v>
      </c>
      <c r="V1864" s="20">
        <v>-0.18</v>
      </c>
      <c r="W1864" s="20">
        <v>-2.36</v>
      </c>
      <c r="X1864" s="20">
        <v>-2.1800000000000002</v>
      </c>
      <c r="Y1864" s="20">
        <v>0</v>
      </c>
      <c r="Z1864" s="20">
        <v>0</v>
      </c>
      <c r="AA1864" s="20">
        <v>0</v>
      </c>
      <c r="AB1864" s="20">
        <v>62.99</v>
      </c>
      <c r="AC1864" t="s">
        <v>188</v>
      </c>
      <c r="AD1864" t="s">
        <v>290</v>
      </c>
      <c r="AE1864" s="702">
        <f t="shared" si="145"/>
        <v>44348</v>
      </c>
      <c r="AF1864" s="289">
        <v>75.037822419496806</v>
      </c>
      <c r="AG1864">
        <f t="shared" si="146"/>
        <v>360</v>
      </c>
      <c r="AH1864" s="289">
        <f t="shared" si="147"/>
        <v>0.20843839560971336</v>
      </c>
      <c r="AJ1864" s="289">
        <f t="shared" si="148"/>
        <v>18</v>
      </c>
      <c r="AK1864" s="289">
        <f t="shared" si="149"/>
        <v>3.7518911209748405</v>
      </c>
    </row>
    <row r="1865" spans="1:37">
      <c r="A1865" s="703" t="s">
        <v>3392</v>
      </c>
      <c r="B1865" s="703" t="s">
        <v>2849</v>
      </c>
      <c r="C1865" s="703" t="s">
        <v>390</v>
      </c>
      <c r="D1865" s="703" t="s">
        <v>334</v>
      </c>
      <c r="E1865" s="703" t="s">
        <v>334</v>
      </c>
      <c r="F1865" s="703" t="s">
        <v>335</v>
      </c>
      <c r="G1865" s="703" t="s">
        <v>3301</v>
      </c>
      <c r="H1865" s="703" t="s">
        <v>334</v>
      </c>
      <c r="I1865" s="703" t="s">
        <v>334</v>
      </c>
      <c r="J1865" s="703" t="s">
        <v>337</v>
      </c>
      <c r="K1865" s="704">
        <v>0</v>
      </c>
      <c r="L1865" s="703" t="s">
        <v>334</v>
      </c>
      <c r="M1865" s="702">
        <v>42886</v>
      </c>
      <c r="N1865" s="702">
        <v>44516</v>
      </c>
      <c r="O1865" s="703" t="s">
        <v>338</v>
      </c>
      <c r="P1865" s="20">
        <v>25449</v>
      </c>
      <c r="Q1865" s="20">
        <v>0</v>
      </c>
      <c r="R1865" s="20">
        <v>0</v>
      </c>
      <c r="S1865" s="20">
        <v>0</v>
      </c>
      <c r="T1865" s="20">
        <v>25449</v>
      </c>
      <c r="U1865" s="20">
        <v>25378.31</v>
      </c>
      <c r="V1865" s="20">
        <v>-70.69</v>
      </c>
      <c r="W1865" s="20">
        <v>-918.99</v>
      </c>
      <c r="X1865" s="20">
        <v>-848.3</v>
      </c>
      <c r="Y1865" s="20">
        <v>0</v>
      </c>
      <c r="Z1865" s="20">
        <v>0</v>
      </c>
      <c r="AA1865" s="20">
        <v>0</v>
      </c>
      <c r="AB1865" s="20">
        <v>24530.01</v>
      </c>
      <c r="AC1865" t="s">
        <v>188</v>
      </c>
      <c r="AD1865" t="s">
        <v>290</v>
      </c>
      <c r="AE1865" s="702">
        <f t="shared" si="145"/>
        <v>44348</v>
      </c>
      <c r="AF1865" s="289">
        <v>29221.691549407409</v>
      </c>
      <c r="AG1865">
        <f t="shared" si="146"/>
        <v>360</v>
      </c>
      <c r="AH1865" s="289">
        <f t="shared" si="147"/>
        <v>81.171365415020574</v>
      </c>
      <c r="AJ1865" s="289">
        <f t="shared" si="148"/>
        <v>18</v>
      </c>
      <c r="AK1865" s="289">
        <f t="shared" si="149"/>
        <v>1461.0845774703703</v>
      </c>
    </row>
    <row r="1866" spans="1:37">
      <c r="A1866" s="703" t="s">
        <v>3393</v>
      </c>
      <c r="B1866" s="703" t="s">
        <v>2849</v>
      </c>
      <c r="C1866" s="703" t="s">
        <v>390</v>
      </c>
      <c r="D1866" s="703" t="s">
        <v>334</v>
      </c>
      <c r="E1866" s="703" t="s">
        <v>334</v>
      </c>
      <c r="F1866" s="703" t="s">
        <v>335</v>
      </c>
      <c r="G1866" s="703" t="s">
        <v>3301</v>
      </c>
      <c r="H1866" s="703" t="s">
        <v>334</v>
      </c>
      <c r="I1866" s="703" t="s">
        <v>334</v>
      </c>
      <c r="J1866" s="703" t="s">
        <v>337</v>
      </c>
      <c r="K1866" s="704">
        <v>0</v>
      </c>
      <c r="L1866" s="703" t="s">
        <v>334</v>
      </c>
      <c r="M1866" s="702">
        <v>42886</v>
      </c>
      <c r="N1866" s="702">
        <v>44516</v>
      </c>
      <c r="O1866" s="703" t="s">
        <v>338</v>
      </c>
      <c r="P1866" s="20">
        <v>2883</v>
      </c>
      <c r="Q1866" s="20">
        <v>0</v>
      </c>
      <c r="R1866" s="20">
        <v>0</v>
      </c>
      <c r="S1866" s="20">
        <v>0</v>
      </c>
      <c r="T1866" s="20">
        <v>2883</v>
      </c>
      <c r="U1866" s="20">
        <v>2874.99</v>
      </c>
      <c r="V1866" s="20">
        <v>-8.01</v>
      </c>
      <c r="W1866" s="20">
        <v>-104.11</v>
      </c>
      <c r="X1866" s="20">
        <v>-96.1</v>
      </c>
      <c r="Y1866" s="20">
        <v>0</v>
      </c>
      <c r="Z1866" s="20">
        <v>0</v>
      </c>
      <c r="AA1866" s="20">
        <v>0</v>
      </c>
      <c r="AB1866" s="20">
        <v>2778.89</v>
      </c>
      <c r="AC1866" t="s">
        <v>188</v>
      </c>
      <c r="AD1866" t="s">
        <v>290</v>
      </c>
      <c r="AE1866" s="702">
        <f t="shared" si="145"/>
        <v>44348</v>
      </c>
      <c r="AF1866" s="289">
        <v>3310.3908498149854</v>
      </c>
      <c r="AG1866">
        <f t="shared" si="146"/>
        <v>360</v>
      </c>
      <c r="AH1866" s="289">
        <f t="shared" si="147"/>
        <v>9.1955301383749593</v>
      </c>
      <c r="AJ1866" s="289">
        <f t="shared" si="148"/>
        <v>18</v>
      </c>
      <c r="AK1866" s="289">
        <f t="shared" si="149"/>
        <v>165.51954249074927</v>
      </c>
    </row>
    <row r="1867" spans="1:37">
      <c r="A1867" s="703" t="s">
        <v>3394</v>
      </c>
      <c r="B1867" s="703" t="s">
        <v>2849</v>
      </c>
      <c r="C1867" s="703" t="s">
        <v>390</v>
      </c>
      <c r="D1867" s="703" t="s">
        <v>334</v>
      </c>
      <c r="E1867" s="703" t="s">
        <v>334</v>
      </c>
      <c r="F1867" s="703" t="s">
        <v>335</v>
      </c>
      <c r="G1867" s="703" t="s">
        <v>3301</v>
      </c>
      <c r="H1867" s="703" t="s">
        <v>334</v>
      </c>
      <c r="I1867" s="703" t="s">
        <v>334</v>
      </c>
      <c r="J1867" s="703" t="s">
        <v>337</v>
      </c>
      <c r="K1867" s="704">
        <v>0</v>
      </c>
      <c r="L1867" s="703" t="s">
        <v>334</v>
      </c>
      <c r="M1867" s="702">
        <v>42886</v>
      </c>
      <c r="N1867" s="702">
        <v>44516</v>
      </c>
      <c r="O1867" s="703" t="s">
        <v>338</v>
      </c>
      <c r="P1867" s="20">
        <v>770.72</v>
      </c>
      <c r="Q1867" s="20">
        <v>0</v>
      </c>
      <c r="R1867" s="20">
        <v>0</v>
      </c>
      <c r="S1867" s="20">
        <v>0</v>
      </c>
      <c r="T1867" s="20">
        <v>770.72</v>
      </c>
      <c r="U1867" s="20">
        <v>768.58</v>
      </c>
      <c r="V1867" s="20">
        <v>-2.14</v>
      </c>
      <c r="W1867" s="20">
        <v>-27.83</v>
      </c>
      <c r="X1867" s="20">
        <v>-25.69</v>
      </c>
      <c r="Y1867" s="20">
        <v>0</v>
      </c>
      <c r="Z1867" s="20">
        <v>0</v>
      </c>
      <c r="AA1867" s="20">
        <v>0</v>
      </c>
      <c r="AB1867" s="20">
        <v>742.89</v>
      </c>
      <c r="AC1867" t="s">
        <v>188</v>
      </c>
      <c r="AD1867" t="s">
        <v>290</v>
      </c>
      <c r="AE1867" s="702">
        <f t="shared" si="145"/>
        <v>44348</v>
      </c>
      <c r="AF1867" s="289">
        <v>884.97552402684903</v>
      </c>
      <c r="AG1867">
        <f t="shared" si="146"/>
        <v>360</v>
      </c>
      <c r="AH1867" s="289">
        <f t="shared" si="147"/>
        <v>2.4582653445190252</v>
      </c>
      <c r="AJ1867" s="289">
        <f t="shared" si="148"/>
        <v>18</v>
      </c>
      <c r="AK1867" s="289">
        <f t="shared" si="149"/>
        <v>44.248776201342451</v>
      </c>
    </row>
    <row r="1868" spans="1:37">
      <c r="A1868" s="703" t="s">
        <v>3395</v>
      </c>
      <c r="B1868" s="703" t="s">
        <v>2849</v>
      </c>
      <c r="C1868" s="703" t="s">
        <v>390</v>
      </c>
      <c r="D1868" s="703" t="s">
        <v>334</v>
      </c>
      <c r="E1868" s="703" t="s">
        <v>334</v>
      </c>
      <c r="F1868" s="703" t="s">
        <v>335</v>
      </c>
      <c r="G1868" s="703" t="s">
        <v>3301</v>
      </c>
      <c r="H1868" s="703" t="s">
        <v>334</v>
      </c>
      <c r="I1868" s="703" t="s">
        <v>334</v>
      </c>
      <c r="J1868" s="703" t="s">
        <v>337</v>
      </c>
      <c r="K1868" s="704">
        <v>0</v>
      </c>
      <c r="L1868" s="703" t="s">
        <v>334</v>
      </c>
      <c r="M1868" s="702">
        <v>42886</v>
      </c>
      <c r="N1868" s="702">
        <v>44516</v>
      </c>
      <c r="O1868" s="703" t="s">
        <v>338</v>
      </c>
      <c r="P1868" s="20">
        <v>40752.33</v>
      </c>
      <c r="Q1868" s="20">
        <v>0</v>
      </c>
      <c r="R1868" s="20">
        <v>0</v>
      </c>
      <c r="S1868" s="20">
        <v>0</v>
      </c>
      <c r="T1868" s="20">
        <v>40752.33</v>
      </c>
      <c r="U1868" s="20">
        <v>40639.129999999997</v>
      </c>
      <c r="V1868" s="20">
        <v>-113.2</v>
      </c>
      <c r="W1868" s="20">
        <v>-1471.61</v>
      </c>
      <c r="X1868" s="20">
        <v>-1358.41</v>
      </c>
      <c r="Y1868" s="20">
        <v>0</v>
      </c>
      <c r="Z1868" s="20">
        <v>0</v>
      </c>
      <c r="AA1868" s="20">
        <v>0</v>
      </c>
      <c r="AB1868" s="20">
        <v>39280.720000000001</v>
      </c>
      <c r="AC1868" t="s">
        <v>188</v>
      </c>
      <c r="AD1868" t="s">
        <v>290</v>
      </c>
      <c r="AE1868" s="702">
        <f t="shared" si="145"/>
        <v>44348</v>
      </c>
      <c r="AF1868" s="289">
        <v>46793.66643796071</v>
      </c>
      <c r="AG1868">
        <f t="shared" si="146"/>
        <v>360</v>
      </c>
      <c r="AH1868" s="289">
        <f t="shared" si="147"/>
        <v>129.98240677211308</v>
      </c>
      <c r="AJ1868" s="289">
        <f t="shared" si="148"/>
        <v>18</v>
      </c>
      <c r="AK1868" s="289">
        <f t="shared" si="149"/>
        <v>2339.6833218980355</v>
      </c>
    </row>
    <row r="1869" spans="1:37">
      <c r="A1869" s="703" t="s">
        <v>3396</v>
      </c>
      <c r="B1869" s="703" t="s">
        <v>2849</v>
      </c>
      <c r="C1869" s="703" t="s">
        <v>390</v>
      </c>
      <c r="D1869" s="703" t="s">
        <v>334</v>
      </c>
      <c r="E1869" s="703" t="s">
        <v>334</v>
      </c>
      <c r="F1869" s="703" t="s">
        <v>335</v>
      </c>
      <c r="G1869" s="703" t="s">
        <v>3301</v>
      </c>
      <c r="H1869" s="703" t="s">
        <v>334</v>
      </c>
      <c r="I1869" s="703" t="s">
        <v>334</v>
      </c>
      <c r="J1869" s="703" t="s">
        <v>337</v>
      </c>
      <c r="K1869" s="704">
        <v>0</v>
      </c>
      <c r="L1869" s="703" t="s">
        <v>334</v>
      </c>
      <c r="M1869" s="702">
        <v>42886</v>
      </c>
      <c r="N1869" s="702">
        <v>44516</v>
      </c>
      <c r="O1869" s="703" t="s">
        <v>338</v>
      </c>
      <c r="P1869" s="20">
        <v>322.89999999999998</v>
      </c>
      <c r="Q1869" s="20">
        <v>0</v>
      </c>
      <c r="R1869" s="20">
        <v>0</v>
      </c>
      <c r="S1869" s="20">
        <v>0</v>
      </c>
      <c r="T1869" s="20">
        <v>322.89999999999998</v>
      </c>
      <c r="U1869" s="20">
        <v>322</v>
      </c>
      <c r="V1869" s="20">
        <v>-0.9</v>
      </c>
      <c r="W1869" s="20">
        <v>-11.66</v>
      </c>
      <c r="X1869" s="20">
        <v>-10.76</v>
      </c>
      <c r="Y1869" s="20">
        <v>0</v>
      </c>
      <c r="Z1869" s="20">
        <v>0</v>
      </c>
      <c r="AA1869" s="20">
        <v>0</v>
      </c>
      <c r="AB1869" s="20">
        <v>311.24</v>
      </c>
      <c r="AC1869" t="s">
        <v>188</v>
      </c>
      <c r="AD1869" t="s">
        <v>290</v>
      </c>
      <c r="AE1869" s="702">
        <f t="shared" si="145"/>
        <v>44348</v>
      </c>
      <c r="AF1869" s="289">
        <v>370.76836815999263</v>
      </c>
      <c r="AG1869">
        <f t="shared" si="146"/>
        <v>360</v>
      </c>
      <c r="AH1869" s="289">
        <f t="shared" si="147"/>
        <v>1.0299121337777573</v>
      </c>
      <c r="AJ1869" s="289">
        <f t="shared" si="148"/>
        <v>18</v>
      </c>
      <c r="AK1869" s="289">
        <f t="shared" si="149"/>
        <v>18.538418407999629</v>
      </c>
    </row>
    <row r="1870" spans="1:37">
      <c r="A1870" s="703" t="s">
        <v>3397</v>
      </c>
      <c r="B1870" s="703" t="s">
        <v>2849</v>
      </c>
      <c r="C1870" s="703" t="s">
        <v>390</v>
      </c>
      <c r="D1870" s="703" t="s">
        <v>334</v>
      </c>
      <c r="E1870" s="703" t="s">
        <v>334</v>
      </c>
      <c r="F1870" s="703" t="s">
        <v>335</v>
      </c>
      <c r="G1870" s="703" t="s">
        <v>3301</v>
      </c>
      <c r="H1870" s="703" t="s">
        <v>334</v>
      </c>
      <c r="I1870" s="703" t="s">
        <v>334</v>
      </c>
      <c r="J1870" s="703" t="s">
        <v>337</v>
      </c>
      <c r="K1870" s="704">
        <v>0</v>
      </c>
      <c r="L1870" s="703" t="s">
        <v>334</v>
      </c>
      <c r="M1870" s="702">
        <v>42886</v>
      </c>
      <c r="N1870" s="702">
        <v>44516</v>
      </c>
      <c r="O1870" s="703" t="s">
        <v>338</v>
      </c>
      <c r="P1870" s="20">
        <v>13577.66</v>
      </c>
      <c r="Q1870" s="20">
        <v>0</v>
      </c>
      <c r="R1870" s="20">
        <v>0</v>
      </c>
      <c r="S1870" s="20">
        <v>0</v>
      </c>
      <c r="T1870" s="20">
        <v>13577.66</v>
      </c>
      <c r="U1870" s="20">
        <v>13539.94</v>
      </c>
      <c r="V1870" s="20">
        <v>-37.72</v>
      </c>
      <c r="W1870" s="20">
        <v>-490.31</v>
      </c>
      <c r="X1870" s="20">
        <v>-452.59</v>
      </c>
      <c r="Y1870" s="20">
        <v>0</v>
      </c>
      <c r="Z1870" s="20">
        <v>0</v>
      </c>
      <c r="AA1870" s="20">
        <v>0</v>
      </c>
      <c r="AB1870" s="20">
        <v>13087.35</v>
      </c>
      <c r="AC1870" t="s">
        <v>188</v>
      </c>
      <c r="AD1870" t="s">
        <v>290</v>
      </c>
      <c r="AE1870" s="702">
        <f t="shared" si="145"/>
        <v>44348</v>
      </c>
      <c r="AF1870" s="289">
        <v>15590.4826312518</v>
      </c>
      <c r="AG1870">
        <f t="shared" si="146"/>
        <v>360</v>
      </c>
      <c r="AH1870" s="289">
        <f t="shared" si="147"/>
        <v>43.306896197921667</v>
      </c>
      <c r="AJ1870" s="289">
        <f t="shared" si="148"/>
        <v>18</v>
      </c>
      <c r="AK1870" s="289">
        <f t="shared" si="149"/>
        <v>779.52413156259001</v>
      </c>
    </row>
    <row r="1871" spans="1:37">
      <c r="A1871" s="703" t="s">
        <v>3398</v>
      </c>
      <c r="B1871" s="703" t="s">
        <v>2849</v>
      </c>
      <c r="C1871" s="703" t="s">
        <v>390</v>
      </c>
      <c r="D1871" s="703" t="s">
        <v>334</v>
      </c>
      <c r="E1871" s="703" t="s">
        <v>334</v>
      </c>
      <c r="F1871" s="703" t="s">
        <v>335</v>
      </c>
      <c r="G1871" s="703" t="s">
        <v>3301</v>
      </c>
      <c r="H1871" s="703" t="s">
        <v>334</v>
      </c>
      <c r="I1871" s="703" t="s">
        <v>334</v>
      </c>
      <c r="J1871" s="703" t="s">
        <v>337</v>
      </c>
      <c r="K1871" s="704">
        <v>0</v>
      </c>
      <c r="L1871" s="703" t="s">
        <v>334</v>
      </c>
      <c r="M1871" s="702">
        <v>42886</v>
      </c>
      <c r="N1871" s="702">
        <v>44516</v>
      </c>
      <c r="O1871" s="703" t="s">
        <v>338</v>
      </c>
      <c r="P1871" s="20">
        <v>575.12</v>
      </c>
      <c r="Q1871" s="20">
        <v>0</v>
      </c>
      <c r="R1871" s="20">
        <v>0</v>
      </c>
      <c r="S1871" s="20">
        <v>0</v>
      </c>
      <c r="T1871" s="20">
        <v>575.12</v>
      </c>
      <c r="U1871" s="20">
        <v>573.52</v>
      </c>
      <c r="V1871" s="20">
        <v>-1.6</v>
      </c>
      <c r="W1871" s="20">
        <v>-20.77</v>
      </c>
      <c r="X1871" s="20">
        <v>-19.170000000000002</v>
      </c>
      <c r="Y1871" s="20">
        <v>0</v>
      </c>
      <c r="Z1871" s="20">
        <v>0</v>
      </c>
      <c r="AA1871" s="20">
        <v>0</v>
      </c>
      <c r="AB1871" s="20">
        <v>554.35</v>
      </c>
      <c r="AC1871" t="s">
        <v>188</v>
      </c>
      <c r="AD1871" t="s">
        <v>290</v>
      </c>
      <c r="AE1871" s="702">
        <f t="shared" si="145"/>
        <v>44348</v>
      </c>
      <c r="AF1871" s="289">
        <v>660.37876709871477</v>
      </c>
      <c r="AG1871">
        <f t="shared" si="146"/>
        <v>360</v>
      </c>
      <c r="AH1871" s="289">
        <f t="shared" si="147"/>
        <v>1.8343854641630966</v>
      </c>
      <c r="AJ1871" s="289">
        <f t="shared" si="148"/>
        <v>18</v>
      </c>
      <c r="AK1871" s="289">
        <f t="shared" si="149"/>
        <v>33.018938354935742</v>
      </c>
    </row>
    <row r="1872" spans="1:37">
      <c r="A1872" s="703" t="s">
        <v>3399</v>
      </c>
      <c r="B1872" s="703" t="s">
        <v>2849</v>
      </c>
      <c r="C1872" s="703" t="s">
        <v>390</v>
      </c>
      <c r="D1872" s="703" t="s">
        <v>334</v>
      </c>
      <c r="E1872" s="703" t="s">
        <v>334</v>
      </c>
      <c r="F1872" s="703" t="s">
        <v>335</v>
      </c>
      <c r="G1872" s="703" t="s">
        <v>3301</v>
      </c>
      <c r="H1872" s="703" t="s">
        <v>334</v>
      </c>
      <c r="I1872" s="703" t="s">
        <v>334</v>
      </c>
      <c r="J1872" s="703" t="s">
        <v>337</v>
      </c>
      <c r="K1872" s="704">
        <v>0</v>
      </c>
      <c r="L1872" s="703" t="s">
        <v>334</v>
      </c>
      <c r="M1872" s="702">
        <v>42886</v>
      </c>
      <c r="N1872" s="702">
        <v>44516</v>
      </c>
      <c r="O1872" s="703" t="s">
        <v>338</v>
      </c>
      <c r="P1872" s="20">
        <v>707.84</v>
      </c>
      <c r="Q1872" s="20">
        <v>0</v>
      </c>
      <c r="R1872" s="20">
        <v>0</v>
      </c>
      <c r="S1872" s="20">
        <v>0</v>
      </c>
      <c r="T1872" s="20">
        <v>707.84</v>
      </c>
      <c r="U1872" s="20">
        <v>705.87</v>
      </c>
      <c r="V1872" s="20">
        <v>-1.97</v>
      </c>
      <c r="W1872" s="20">
        <v>-25.56</v>
      </c>
      <c r="X1872" s="20">
        <v>-23.59</v>
      </c>
      <c r="Y1872" s="20">
        <v>0</v>
      </c>
      <c r="Z1872" s="20">
        <v>0</v>
      </c>
      <c r="AA1872" s="20">
        <v>0</v>
      </c>
      <c r="AB1872" s="20">
        <v>682.28</v>
      </c>
      <c r="AC1872" t="s">
        <v>188</v>
      </c>
      <c r="AD1872" t="s">
        <v>290</v>
      </c>
      <c r="AE1872" s="702">
        <f t="shared" si="145"/>
        <v>44348</v>
      </c>
      <c r="AF1872" s="289">
        <v>812.7738671984182</v>
      </c>
      <c r="AG1872">
        <f t="shared" si="146"/>
        <v>360</v>
      </c>
      <c r="AH1872" s="289">
        <f t="shared" si="147"/>
        <v>2.2577051866622728</v>
      </c>
      <c r="AJ1872" s="289">
        <f t="shared" si="148"/>
        <v>18</v>
      </c>
      <c r="AK1872" s="289">
        <f t="shared" si="149"/>
        <v>40.638693359920907</v>
      </c>
    </row>
    <row r="1873" spans="1:37">
      <c r="A1873" s="703" t="s">
        <v>3400</v>
      </c>
      <c r="B1873" s="703" t="s">
        <v>2849</v>
      </c>
      <c r="C1873" s="703" t="s">
        <v>390</v>
      </c>
      <c r="D1873" s="703" t="s">
        <v>334</v>
      </c>
      <c r="E1873" s="703" t="s">
        <v>334</v>
      </c>
      <c r="F1873" s="703" t="s">
        <v>335</v>
      </c>
      <c r="G1873" s="703" t="s">
        <v>3301</v>
      </c>
      <c r="H1873" s="703" t="s">
        <v>334</v>
      </c>
      <c r="I1873" s="703" t="s">
        <v>334</v>
      </c>
      <c r="J1873" s="703" t="s">
        <v>337</v>
      </c>
      <c r="K1873" s="704">
        <v>0</v>
      </c>
      <c r="L1873" s="703" t="s">
        <v>334</v>
      </c>
      <c r="M1873" s="702">
        <v>42886</v>
      </c>
      <c r="N1873" s="702">
        <v>44516</v>
      </c>
      <c r="O1873" s="703" t="s">
        <v>338</v>
      </c>
      <c r="P1873" s="20">
        <v>66.36</v>
      </c>
      <c r="Q1873" s="20">
        <v>0</v>
      </c>
      <c r="R1873" s="20">
        <v>0</v>
      </c>
      <c r="S1873" s="20">
        <v>0</v>
      </c>
      <c r="T1873" s="20">
        <v>66.36</v>
      </c>
      <c r="U1873" s="20">
        <v>66.180000000000007</v>
      </c>
      <c r="V1873" s="20">
        <v>-0.18</v>
      </c>
      <c r="W1873" s="20">
        <v>-2.39</v>
      </c>
      <c r="X1873" s="20">
        <v>-2.21</v>
      </c>
      <c r="Y1873" s="20">
        <v>0</v>
      </c>
      <c r="Z1873" s="20">
        <v>0</v>
      </c>
      <c r="AA1873" s="20">
        <v>0</v>
      </c>
      <c r="AB1873" s="20">
        <v>63.97</v>
      </c>
      <c r="AC1873" t="s">
        <v>188</v>
      </c>
      <c r="AD1873" t="s">
        <v>290</v>
      </c>
      <c r="AE1873" s="702">
        <f t="shared" si="145"/>
        <v>44348</v>
      </c>
      <c r="AF1873" s="289">
        <v>76.197550049851699</v>
      </c>
      <c r="AG1873">
        <f t="shared" si="146"/>
        <v>360</v>
      </c>
      <c r="AH1873" s="289">
        <f t="shared" si="147"/>
        <v>0.21165986124958805</v>
      </c>
      <c r="AJ1873" s="289">
        <f t="shared" si="148"/>
        <v>18</v>
      </c>
      <c r="AK1873" s="289">
        <f t="shared" si="149"/>
        <v>3.8098775024925851</v>
      </c>
    </row>
    <row r="1874" spans="1:37">
      <c r="A1874" s="703" t="s">
        <v>3401</v>
      </c>
      <c r="B1874" s="703" t="s">
        <v>2849</v>
      </c>
      <c r="C1874" s="703" t="s">
        <v>390</v>
      </c>
      <c r="D1874" s="703" t="s">
        <v>334</v>
      </c>
      <c r="E1874" s="703" t="s">
        <v>334</v>
      </c>
      <c r="F1874" s="703" t="s">
        <v>335</v>
      </c>
      <c r="G1874" s="703" t="s">
        <v>3301</v>
      </c>
      <c r="H1874" s="703" t="s">
        <v>334</v>
      </c>
      <c r="I1874" s="703" t="s">
        <v>334</v>
      </c>
      <c r="J1874" s="703" t="s">
        <v>337</v>
      </c>
      <c r="K1874" s="704">
        <v>0</v>
      </c>
      <c r="L1874" s="703" t="s">
        <v>334</v>
      </c>
      <c r="M1874" s="702">
        <v>42886</v>
      </c>
      <c r="N1874" s="702">
        <v>44516</v>
      </c>
      <c r="O1874" s="703" t="s">
        <v>338</v>
      </c>
      <c r="P1874" s="20">
        <v>99.54</v>
      </c>
      <c r="Q1874" s="20">
        <v>0</v>
      </c>
      <c r="R1874" s="20">
        <v>0</v>
      </c>
      <c r="S1874" s="20">
        <v>0</v>
      </c>
      <c r="T1874" s="20">
        <v>99.54</v>
      </c>
      <c r="U1874" s="20">
        <v>99.26</v>
      </c>
      <c r="V1874" s="20">
        <v>-0.28000000000000003</v>
      </c>
      <c r="W1874" s="20">
        <v>-3.6</v>
      </c>
      <c r="X1874" s="20">
        <v>-3.32</v>
      </c>
      <c r="Y1874" s="20">
        <v>0</v>
      </c>
      <c r="Z1874" s="20">
        <v>0</v>
      </c>
      <c r="AA1874" s="20">
        <v>0</v>
      </c>
      <c r="AB1874" s="20">
        <v>95.94</v>
      </c>
      <c r="AC1874" t="s">
        <v>188</v>
      </c>
      <c r="AD1874" t="s">
        <v>290</v>
      </c>
      <c r="AE1874" s="702">
        <f t="shared" si="145"/>
        <v>44348</v>
      </c>
      <c r="AF1874" s="289">
        <v>114.29632507477756</v>
      </c>
      <c r="AG1874">
        <f t="shared" si="146"/>
        <v>360</v>
      </c>
      <c r="AH1874" s="289">
        <f t="shared" si="147"/>
        <v>0.31748979187438209</v>
      </c>
      <c r="AJ1874" s="289">
        <f t="shared" si="148"/>
        <v>18</v>
      </c>
      <c r="AK1874" s="289">
        <f t="shared" si="149"/>
        <v>5.7148162537388778</v>
      </c>
    </row>
    <row r="1875" spans="1:37">
      <c r="A1875" s="703" t="s">
        <v>3402</v>
      </c>
      <c r="B1875" s="703" t="s">
        <v>2849</v>
      </c>
      <c r="C1875" s="703" t="s">
        <v>390</v>
      </c>
      <c r="D1875" s="703" t="s">
        <v>334</v>
      </c>
      <c r="E1875" s="703" t="s">
        <v>334</v>
      </c>
      <c r="F1875" s="703" t="s">
        <v>335</v>
      </c>
      <c r="G1875" s="703" t="s">
        <v>3301</v>
      </c>
      <c r="H1875" s="703" t="s">
        <v>334</v>
      </c>
      <c r="I1875" s="703" t="s">
        <v>334</v>
      </c>
      <c r="J1875" s="703" t="s">
        <v>337</v>
      </c>
      <c r="K1875" s="704">
        <v>0</v>
      </c>
      <c r="L1875" s="703" t="s">
        <v>334</v>
      </c>
      <c r="M1875" s="702">
        <v>42886</v>
      </c>
      <c r="N1875" s="702">
        <v>44516</v>
      </c>
      <c r="O1875" s="703" t="s">
        <v>338</v>
      </c>
      <c r="P1875" s="20">
        <v>26061.439999999999</v>
      </c>
      <c r="Q1875" s="20">
        <v>0</v>
      </c>
      <c r="R1875" s="20">
        <v>0</v>
      </c>
      <c r="S1875" s="20">
        <v>0</v>
      </c>
      <c r="T1875" s="20">
        <v>26061.439999999999</v>
      </c>
      <c r="U1875" s="20">
        <v>25989.05</v>
      </c>
      <c r="V1875" s="20">
        <v>-72.39</v>
      </c>
      <c r="W1875" s="20">
        <v>-941.1</v>
      </c>
      <c r="X1875" s="20">
        <v>-868.71</v>
      </c>
      <c r="Y1875" s="20">
        <v>0</v>
      </c>
      <c r="Z1875" s="20">
        <v>0</v>
      </c>
      <c r="AA1875" s="20">
        <v>0</v>
      </c>
      <c r="AB1875" s="20">
        <v>25120.34</v>
      </c>
      <c r="AC1875" t="s">
        <v>188</v>
      </c>
      <c r="AD1875" t="s">
        <v>290</v>
      </c>
      <c r="AE1875" s="702">
        <f t="shared" si="145"/>
        <v>44348</v>
      </c>
      <c r="AF1875" s="289">
        <v>29924.922826570328</v>
      </c>
      <c r="AG1875">
        <f t="shared" si="146"/>
        <v>360</v>
      </c>
      <c r="AH1875" s="289">
        <f t="shared" si="147"/>
        <v>83.124785629362023</v>
      </c>
      <c r="AJ1875" s="289">
        <f t="shared" si="148"/>
        <v>18</v>
      </c>
      <c r="AK1875" s="289">
        <f t="shared" si="149"/>
        <v>1496.2461413285164</v>
      </c>
    </row>
    <row r="1876" spans="1:37">
      <c r="A1876" s="703" t="s">
        <v>3403</v>
      </c>
      <c r="B1876" s="703" t="s">
        <v>2849</v>
      </c>
      <c r="C1876" s="703" t="s">
        <v>390</v>
      </c>
      <c r="D1876" s="703" t="s">
        <v>334</v>
      </c>
      <c r="E1876" s="703" t="s">
        <v>334</v>
      </c>
      <c r="F1876" s="703" t="s">
        <v>335</v>
      </c>
      <c r="G1876" s="703" t="s">
        <v>3301</v>
      </c>
      <c r="H1876" s="703" t="s">
        <v>334</v>
      </c>
      <c r="I1876" s="703" t="s">
        <v>334</v>
      </c>
      <c r="J1876" s="703" t="s">
        <v>337</v>
      </c>
      <c r="K1876" s="704">
        <v>0</v>
      </c>
      <c r="L1876" s="703" t="s">
        <v>334</v>
      </c>
      <c r="M1876" s="702">
        <v>42886</v>
      </c>
      <c r="N1876" s="702">
        <v>44516</v>
      </c>
      <c r="O1876" s="703" t="s">
        <v>338</v>
      </c>
      <c r="P1876" s="20">
        <v>2918.15</v>
      </c>
      <c r="Q1876" s="20">
        <v>0</v>
      </c>
      <c r="R1876" s="20">
        <v>0</v>
      </c>
      <c r="S1876" s="20">
        <v>0</v>
      </c>
      <c r="T1876" s="20">
        <v>2918.15</v>
      </c>
      <c r="U1876" s="20">
        <v>2910.04</v>
      </c>
      <c r="V1876" s="20">
        <v>-8.11</v>
      </c>
      <c r="W1876" s="20">
        <v>-105.38</v>
      </c>
      <c r="X1876" s="20">
        <v>-97.27</v>
      </c>
      <c r="Y1876" s="20">
        <v>0</v>
      </c>
      <c r="Z1876" s="20">
        <v>0</v>
      </c>
      <c r="AA1876" s="20">
        <v>0</v>
      </c>
      <c r="AB1876" s="20">
        <v>2812.77</v>
      </c>
      <c r="AC1876" t="s">
        <v>188</v>
      </c>
      <c r="AD1876" t="s">
        <v>290</v>
      </c>
      <c r="AE1876" s="702">
        <f t="shared" si="145"/>
        <v>44348</v>
      </c>
      <c r="AF1876" s="289">
        <v>3350.7516678416928</v>
      </c>
      <c r="AG1876">
        <f t="shared" si="146"/>
        <v>360</v>
      </c>
      <c r="AH1876" s="289">
        <f t="shared" si="147"/>
        <v>9.3076435217824791</v>
      </c>
      <c r="AJ1876" s="289">
        <f t="shared" si="148"/>
        <v>18</v>
      </c>
      <c r="AK1876" s="289">
        <f t="shared" si="149"/>
        <v>167.53758339208463</v>
      </c>
    </row>
    <row r="1877" spans="1:37">
      <c r="A1877" s="703" t="s">
        <v>3404</v>
      </c>
      <c r="B1877" s="703" t="s">
        <v>2849</v>
      </c>
      <c r="C1877" s="703" t="s">
        <v>390</v>
      </c>
      <c r="D1877" s="703" t="s">
        <v>334</v>
      </c>
      <c r="E1877" s="703" t="s">
        <v>334</v>
      </c>
      <c r="F1877" s="703" t="s">
        <v>335</v>
      </c>
      <c r="G1877" s="703" t="s">
        <v>3301</v>
      </c>
      <c r="H1877" s="703" t="s">
        <v>334</v>
      </c>
      <c r="I1877" s="703" t="s">
        <v>334</v>
      </c>
      <c r="J1877" s="703" t="s">
        <v>337</v>
      </c>
      <c r="K1877" s="704">
        <v>0</v>
      </c>
      <c r="L1877" s="703" t="s">
        <v>334</v>
      </c>
      <c r="M1877" s="702">
        <v>42886</v>
      </c>
      <c r="N1877" s="702">
        <v>44516</v>
      </c>
      <c r="O1877" s="703" t="s">
        <v>338</v>
      </c>
      <c r="P1877" s="20">
        <v>29371.279999999999</v>
      </c>
      <c r="Q1877" s="20">
        <v>0</v>
      </c>
      <c r="R1877" s="20">
        <v>0</v>
      </c>
      <c r="S1877" s="20">
        <v>0</v>
      </c>
      <c r="T1877" s="20">
        <v>29371.279999999999</v>
      </c>
      <c r="U1877" s="20">
        <v>29289.69</v>
      </c>
      <c r="V1877" s="20">
        <v>-81.59</v>
      </c>
      <c r="W1877" s="20">
        <v>-1060.6300000000001</v>
      </c>
      <c r="X1877" s="20">
        <v>-979.04</v>
      </c>
      <c r="Y1877" s="20">
        <v>0</v>
      </c>
      <c r="Z1877" s="20">
        <v>0</v>
      </c>
      <c r="AA1877" s="20">
        <v>0</v>
      </c>
      <c r="AB1877" s="20">
        <v>28310.65</v>
      </c>
      <c r="AC1877" t="s">
        <v>188</v>
      </c>
      <c r="AD1877" t="s">
        <v>290</v>
      </c>
      <c r="AE1877" s="702">
        <f t="shared" si="145"/>
        <v>44348</v>
      </c>
      <c r="AF1877" s="289">
        <v>33725.430648405789</v>
      </c>
      <c r="AG1877">
        <f t="shared" si="146"/>
        <v>360</v>
      </c>
      <c r="AH1877" s="289">
        <f t="shared" si="147"/>
        <v>93.681751801127191</v>
      </c>
      <c r="AJ1877" s="289">
        <f t="shared" si="148"/>
        <v>18</v>
      </c>
      <c r="AK1877" s="289">
        <f t="shared" si="149"/>
        <v>1686.2715324202895</v>
      </c>
    </row>
    <row r="1878" spans="1:37">
      <c r="A1878" s="703" t="s">
        <v>3405</v>
      </c>
      <c r="B1878" s="703" t="s">
        <v>2849</v>
      </c>
      <c r="C1878" s="703" t="s">
        <v>390</v>
      </c>
      <c r="D1878" s="703" t="s">
        <v>334</v>
      </c>
      <c r="E1878" s="703" t="s">
        <v>334</v>
      </c>
      <c r="F1878" s="703" t="s">
        <v>335</v>
      </c>
      <c r="G1878" s="703" t="s">
        <v>3301</v>
      </c>
      <c r="H1878" s="703" t="s">
        <v>334</v>
      </c>
      <c r="I1878" s="703" t="s">
        <v>334</v>
      </c>
      <c r="J1878" s="703" t="s">
        <v>337</v>
      </c>
      <c r="K1878" s="704">
        <v>0</v>
      </c>
      <c r="L1878" s="703" t="s">
        <v>334</v>
      </c>
      <c r="M1878" s="702">
        <v>42886</v>
      </c>
      <c r="N1878" s="702">
        <v>44516</v>
      </c>
      <c r="O1878" s="703" t="s">
        <v>338</v>
      </c>
      <c r="P1878" s="20">
        <v>57.66</v>
      </c>
      <c r="Q1878" s="20">
        <v>0</v>
      </c>
      <c r="R1878" s="20">
        <v>0</v>
      </c>
      <c r="S1878" s="20">
        <v>0</v>
      </c>
      <c r="T1878" s="20">
        <v>57.66</v>
      </c>
      <c r="U1878" s="20">
        <v>57.5</v>
      </c>
      <c r="V1878" s="20">
        <v>-0.16</v>
      </c>
      <c r="W1878" s="20">
        <v>-2.08</v>
      </c>
      <c r="X1878" s="20">
        <v>-1.92</v>
      </c>
      <c r="Y1878" s="20">
        <v>0</v>
      </c>
      <c r="Z1878" s="20">
        <v>0</v>
      </c>
      <c r="AA1878" s="20">
        <v>0</v>
      </c>
      <c r="AB1878" s="20">
        <v>55.58</v>
      </c>
      <c r="AC1878" t="s">
        <v>188</v>
      </c>
      <c r="AD1878" t="s">
        <v>290</v>
      </c>
      <c r="AE1878" s="702">
        <f t="shared" si="145"/>
        <v>44348</v>
      </c>
      <c r="AF1878" s="289">
        <v>66.207816996299712</v>
      </c>
      <c r="AG1878">
        <f t="shared" si="146"/>
        <v>360</v>
      </c>
      <c r="AH1878" s="289">
        <f t="shared" si="147"/>
        <v>0.18391060276749921</v>
      </c>
      <c r="AJ1878" s="289">
        <f t="shared" si="148"/>
        <v>18</v>
      </c>
      <c r="AK1878" s="289">
        <f t="shared" si="149"/>
        <v>3.3103908498149859</v>
      </c>
    </row>
    <row r="1879" spans="1:37">
      <c r="A1879" s="703" t="s">
        <v>3406</v>
      </c>
      <c r="B1879" s="703" t="s">
        <v>2849</v>
      </c>
      <c r="C1879" s="703" t="s">
        <v>390</v>
      </c>
      <c r="D1879" s="703" t="s">
        <v>334</v>
      </c>
      <c r="E1879" s="703" t="s">
        <v>334</v>
      </c>
      <c r="F1879" s="703" t="s">
        <v>335</v>
      </c>
      <c r="G1879" s="703" t="s">
        <v>3301</v>
      </c>
      <c r="H1879" s="703" t="s">
        <v>334</v>
      </c>
      <c r="I1879" s="703" t="s">
        <v>334</v>
      </c>
      <c r="J1879" s="703" t="s">
        <v>337</v>
      </c>
      <c r="K1879" s="704">
        <v>0</v>
      </c>
      <c r="L1879" s="703" t="s">
        <v>334</v>
      </c>
      <c r="M1879" s="702">
        <v>42886</v>
      </c>
      <c r="N1879" s="702">
        <v>44516</v>
      </c>
      <c r="O1879" s="703" t="s">
        <v>338</v>
      </c>
      <c r="P1879" s="20">
        <v>2510.9699999999998</v>
      </c>
      <c r="Q1879" s="20">
        <v>0</v>
      </c>
      <c r="R1879" s="20">
        <v>0</v>
      </c>
      <c r="S1879" s="20">
        <v>0</v>
      </c>
      <c r="T1879" s="20">
        <v>2510.9699999999998</v>
      </c>
      <c r="U1879" s="20">
        <v>2504</v>
      </c>
      <c r="V1879" s="20">
        <v>-6.97</v>
      </c>
      <c r="W1879" s="20">
        <v>-90.67</v>
      </c>
      <c r="X1879" s="20">
        <v>-83.7</v>
      </c>
      <c r="Y1879" s="20">
        <v>0</v>
      </c>
      <c r="Z1879" s="20">
        <v>0</v>
      </c>
      <c r="AA1879" s="20">
        <v>0</v>
      </c>
      <c r="AB1879" s="20">
        <v>2420.3000000000002</v>
      </c>
      <c r="AC1879" t="s">
        <v>188</v>
      </c>
      <c r="AD1879" t="s">
        <v>290</v>
      </c>
      <c r="AE1879" s="702">
        <f t="shared" si="145"/>
        <v>44348</v>
      </c>
      <c r="AF1879" s="289">
        <v>2883.209196031888</v>
      </c>
      <c r="AG1879">
        <f t="shared" si="146"/>
        <v>360</v>
      </c>
      <c r="AH1879" s="289">
        <f t="shared" si="147"/>
        <v>8.0089144334219107</v>
      </c>
      <c r="AJ1879" s="289">
        <f t="shared" si="148"/>
        <v>18</v>
      </c>
      <c r="AK1879" s="289">
        <f t="shared" si="149"/>
        <v>144.16045980159438</v>
      </c>
    </row>
    <row r="1880" spans="1:37">
      <c r="A1880" s="703" t="s">
        <v>3407</v>
      </c>
      <c r="B1880" s="703" t="s">
        <v>2849</v>
      </c>
      <c r="C1880" s="703" t="s">
        <v>390</v>
      </c>
      <c r="D1880" s="703" t="s">
        <v>334</v>
      </c>
      <c r="E1880" s="703" t="s">
        <v>334</v>
      </c>
      <c r="F1880" s="703" t="s">
        <v>335</v>
      </c>
      <c r="G1880" s="703" t="s">
        <v>3301</v>
      </c>
      <c r="H1880" s="703" t="s">
        <v>334</v>
      </c>
      <c r="I1880" s="703" t="s">
        <v>334</v>
      </c>
      <c r="J1880" s="703" t="s">
        <v>337</v>
      </c>
      <c r="K1880" s="704">
        <v>0</v>
      </c>
      <c r="L1880" s="703" t="s">
        <v>334</v>
      </c>
      <c r="M1880" s="702">
        <v>42886</v>
      </c>
      <c r="N1880" s="702">
        <v>44516</v>
      </c>
      <c r="O1880" s="703" t="s">
        <v>338</v>
      </c>
      <c r="P1880" s="20">
        <v>1034.82</v>
      </c>
      <c r="Q1880" s="20">
        <v>0</v>
      </c>
      <c r="R1880" s="20">
        <v>0</v>
      </c>
      <c r="S1880" s="20">
        <v>0</v>
      </c>
      <c r="T1880" s="20">
        <v>1034.82</v>
      </c>
      <c r="U1880" s="20">
        <v>1031.95</v>
      </c>
      <c r="V1880" s="20">
        <v>-2.87</v>
      </c>
      <c r="W1880" s="20">
        <v>-37.36</v>
      </c>
      <c r="X1880" s="20">
        <v>-34.49</v>
      </c>
      <c r="Y1880" s="20">
        <v>0</v>
      </c>
      <c r="Z1880" s="20">
        <v>0</v>
      </c>
      <c r="AA1880" s="20">
        <v>0</v>
      </c>
      <c r="AB1880" s="20">
        <v>997.46</v>
      </c>
      <c r="AC1880" t="s">
        <v>188</v>
      </c>
      <c r="AD1880" t="s">
        <v>290</v>
      </c>
      <c r="AE1880" s="702">
        <f t="shared" si="145"/>
        <v>44348</v>
      </c>
      <c r="AF1880" s="289">
        <v>1188.227075686973</v>
      </c>
      <c r="AG1880">
        <f t="shared" si="146"/>
        <v>360</v>
      </c>
      <c r="AH1880" s="289">
        <f t="shared" si="147"/>
        <v>3.300630765797147</v>
      </c>
      <c r="AJ1880" s="289">
        <f t="shared" si="148"/>
        <v>18</v>
      </c>
      <c r="AK1880" s="289">
        <f t="shared" si="149"/>
        <v>59.411353784348648</v>
      </c>
    </row>
    <row r="1881" spans="1:37">
      <c r="A1881" s="703" t="s">
        <v>3408</v>
      </c>
      <c r="B1881" s="703" t="s">
        <v>2849</v>
      </c>
      <c r="C1881" s="703" t="s">
        <v>390</v>
      </c>
      <c r="D1881" s="703" t="s">
        <v>334</v>
      </c>
      <c r="E1881" s="703" t="s">
        <v>334</v>
      </c>
      <c r="F1881" s="703" t="s">
        <v>335</v>
      </c>
      <c r="G1881" s="703" t="s">
        <v>3301</v>
      </c>
      <c r="H1881" s="703" t="s">
        <v>334</v>
      </c>
      <c r="I1881" s="703" t="s">
        <v>334</v>
      </c>
      <c r="J1881" s="703" t="s">
        <v>337</v>
      </c>
      <c r="K1881" s="704">
        <v>0</v>
      </c>
      <c r="L1881" s="703" t="s">
        <v>334</v>
      </c>
      <c r="M1881" s="702">
        <v>42886</v>
      </c>
      <c r="N1881" s="702">
        <v>44516</v>
      </c>
      <c r="O1881" s="703" t="s">
        <v>338</v>
      </c>
      <c r="P1881" s="20">
        <v>2103.7800000000002</v>
      </c>
      <c r="Q1881" s="20">
        <v>0</v>
      </c>
      <c r="R1881" s="20">
        <v>0</v>
      </c>
      <c r="S1881" s="20">
        <v>0</v>
      </c>
      <c r="T1881" s="20">
        <v>2103.7800000000002</v>
      </c>
      <c r="U1881" s="20">
        <v>2097.94</v>
      </c>
      <c r="V1881" s="20">
        <v>-5.84</v>
      </c>
      <c r="W1881" s="20">
        <v>-75.97</v>
      </c>
      <c r="X1881" s="20">
        <v>-70.13</v>
      </c>
      <c r="Y1881" s="20">
        <v>0</v>
      </c>
      <c r="Z1881" s="20">
        <v>0</v>
      </c>
      <c r="AA1881" s="20">
        <v>0</v>
      </c>
      <c r="AB1881" s="20">
        <v>2027.81</v>
      </c>
      <c r="AC1881" t="s">
        <v>188</v>
      </c>
      <c r="AD1881" t="s">
        <v>290</v>
      </c>
      <c r="AE1881" s="702">
        <f t="shared" si="145"/>
        <v>44348</v>
      </c>
      <c r="AF1881" s="289">
        <v>2415.6552417702983</v>
      </c>
      <c r="AG1881">
        <f t="shared" si="146"/>
        <v>360</v>
      </c>
      <c r="AH1881" s="289">
        <f t="shared" si="147"/>
        <v>6.7101534493619397</v>
      </c>
      <c r="AJ1881" s="289">
        <f t="shared" si="148"/>
        <v>18</v>
      </c>
      <c r="AK1881" s="289">
        <f t="shared" si="149"/>
        <v>120.78276208851491</v>
      </c>
    </row>
    <row r="1882" spans="1:37">
      <c r="A1882" s="703" t="s">
        <v>3409</v>
      </c>
      <c r="B1882" s="703" t="s">
        <v>2849</v>
      </c>
      <c r="C1882" s="703" t="s">
        <v>390</v>
      </c>
      <c r="D1882" s="703" t="s">
        <v>334</v>
      </c>
      <c r="E1882" s="703" t="s">
        <v>334</v>
      </c>
      <c r="F1882" s="703" t="s">
        <v>335</v>
      </c>
      <c r="G1882" s="703" t="s">
        <v>3301</v>
      </c>
      <c r="H1882" s="703" t="s">
        <v>334</v>
      </c>
      <c r="I1882" s="703" t="s">
        <v>334</v>
      </c>
      <c r="J1882" s="703" t="s">
        <v>337</v>
      </c>
      <c r="K1882" s="704">
        <v>0</v>
      </c>
      <c r="L1882" s="703" t="s">
        <v>334</v>
      </c>
      <c r="M1882" s="702">
        <v>42886</v>
      </c>
      <c r="N1882" s="702">
        <v>44516</v>
      </c>
      <c r="O1882" s="703" t="s">
        <v>338</v>
      </c>
      <c r="P1882" s="20">
        <v>1034.82</v>
      </c>
      <c r="Q1882" s="20">
        <v>0</v>
      </c>
      <c r="R1882" s="20">
        <v>0</v>
      </c>
      <c r="S1882" s="20">
        <v>0</v>
      </c>
      <c r="T1882" s="20">
        <v>1034.82</v>
      </c>
      <c r="U1882" s="20">
        <v>1031.95</v>
      </c>
      <c r="V1882" s="20">
        <v>-2.87</v>
      </c>
      <c r="W1882" s="20">
        <v>-37.36</v>
      </c>
      <c r="X1882" s="20">
        <v>-34.49</v>
      </c>
      <c r="Y1882" s="20">
        <v>0</v>
      </c>
      <c r="Z1882" s="20">
        <v>0</v>
      </c>
      <c r="AA1882" s="20">
        <v>0</v>
      </c>
      <c r="AB1882" s="20">
        <v>997.46</v>
      </c>
      <c r="AC1882" t="s">
        <v>188</v>
      </c>
      <c r="AD1882" t="s">
        <v>290</v>
      </c>
      <c r="AE1882" s="702">
        <f t="shared" si="145"/>
        <v>44348</v>
      </c>
      <c r="AF1882" s="289">
        <v>1188.227075686973</v>
      </c>
      <c r="AG1882">
        <f t="shared" si="146"/>
        <v>360</v>
      </c>
      <c r="AH1882" s="289">
        <f t="shared" si="147"/>
        <v>3.300630765797147</v>
      </c>
      <c r="AJ1882" s="289">
        <f t="shared" si="148"/>
        <v>18</v>
      </c>
      <c r="AK1882" s="289">
        <f t="shared" si="149"/>
        <v>59.411353784348648</v>
      </c>
    </row>
    <row r="1883" spans="1:37">
      <c r="A1883" s="703" t="s">
        <v>3410</v>
      </c>
      <c r="B1883" s="703" t="s">
        <v>2849</v>
      </c>
      <c r="C1883" s="703" t="s">
        <v>390</v>
      </c>
      <c r="D1883" s="703" t="s">
        <v>334</v>
      </c>
      <c r="E1883" s="703" t="s">
        <v>334</v>
      </c>
      <c r="F1883" s="703" t="s">
        <v>335</v>
      </c>
      <c r="G1883" s="703" t="s">
        <v>3301</v>
      </c>
      <c r="H1883" s="703" t="s">
        <v>334</v>
      </c>
      <c r="I1883" s="703" t="s">
        <v>334</v>
      </c>
      <c r="J1883" s="703" t="s">
        <v>337</v>
      </c>
      <c r="K1883" s="704">
        <v>0</v>
      </c>
      <c r="L1883" s="703" t="s">
        <v>334</v>
      </c>
      <c r="M1883" s="702">
        <v>42886</v>
      </c>
      <c r="N1883" s="702">
        <v>44516</v>
      </c>
      <c r="O1883" s="703" t="s">
        <v>338</v>
      </c>
      <c r="P1883" s="20">
        <v>458.81</v>
      </c>
      <c r="Q1883" s="20">
        <v>0</v>
      </c>
      <c r="R1883" s="20">
        <v>0</v>
      </c>
      <c r="S1883" s="20">
        <v>0</v>
      </c>
      <c r="T1883" s="20">
        <v>458.81</v>
      </c>
      <c r="U1883" s="20">
        <v>457.54</v>
      </c>
      <c r="V1883" s="20">
        <v>-1.27</v>
      </c>
      <c r="W1883" s="20">
        <v>-16.559999999999999</v>
      </c>
      <c r="X1883" s="20">
        <v>-15.29</v>
      </c>
      <c r="Y1883" s="20">
        <v>0</v>
      </c>
      <c r="Z1883" s="20">
        <v>0</v>
      </c>
      <c r="AA1883" s="20">
        <v>0</v>
      </c>
      <c r="AB1883" s="20">
        <v>442.25</v>
      </c>
      <c r="AC1883" t="s">
        <v>188</v>
      </c>
      <c r="AD1883" t="s">
        <v>290</v>
      </c>
      <c r="AE1883" s="702">
        <f t="shared" si="145"/>
        <v>44348</v>
      </c>
      <c r="AF1883" s="289">
        <v>526.82637037933182</v>
      </c>
      <c r="AG1883">
        <f t="shared" si="146"/>
        <v>360</v>
      </c>
      <c r="AH1883" s="289">
        <f t="shared" si="147"/>
        <v>1.4634065843870327</v>
      </c>
      <c r="AJ1883" s="289">
        <f t="shared" si="148"/>
        <v>18</v>
      </c>
      <c r="AK1883" s="289">
        <f t="shared" si="149"/>
        <v>26.341318518966588</v>
      </c>
    </row>
    <row r="1884" spans="1:37">
      <c r="A1884" s="703" t="s">
        <v>3411</v>
      </c>
      <c r="B1884" s="703" t="s">
        <v>2849</v>
      </c>
      <c r="C1884" s="703" t="s">
        <v>390</v>
      </c>
      <c r="D1884" s="703" t="s">
        <v>334</v>
      </c>
      <c r="E1884" s="703" t="s">
        <v>334</v>
      </c>
      <c r="F1884" s="703" t="s">
        <v>335</v>
      </c>
      <c r="G1884" s="703" t="s">
        <v>3301</v>
      </c>
      <c r="H1884" s="703" t="s">
        <v>334</v>
      </c>
      <c r="I1884" s="703" t="s">
        <v>334</v>
      </c>
      <c r="J1884" s="703" t="s">
        <v>337</v>
      </c>
      <c r="K1884" s="704">
        <v>0</v>
      </c>
      <c r="L1884" s="703" t="s">
        <v>334</v>
      </c>
      <c r="M1884" s="702">
        <v>42886</v>
      </c>
      <c r="N1884" s="702">
        <v>44516</v>
      </c>
      <c r="O1884" s="703" t="s">
        <v>338</v>
      </c>
      <c r="P1884" s="20">
        <v>3312.43</v>
      </c>
      <c r="Q1884" s="20">
        <v>0</v>
      </c>
      <c r="R1884" s="20">
        <v>0</v>
      </c>
      <c r="S1884" s="20">
        <v>0</v>
      </c>
      <c r="T1884" s="20">
        <v>3312.43</v>
      </c>
      <c r="U1884" s="20">
        <v>3303.23</v>
      </c>
      <c r="V1884" s="20">
        <v>-9.1999999999999993</v>
      </c>
      <c r="W1884" s="20">
        <v>-119.61</v>
      </c>
      <c r="X1884" s="20">
        <v>-110.41</v>
      </c>
      <c r="Y1884" s="20">
        <v>0</v>
      </c>
      <c r="Z1884" s="20">
        <v>0</v>
      </c>
      <c r="AA1884" s="20">
        <v>0</v>
      </c>
      <c r="AB1884" s="20">
        <v>3192.82</v>
      </c>
      <c r="AC1884" t="s">
        <v>188</v>
      </c>
      <c r="AD1884" t="s">
        <v>290</v>
      </c>
      <c r="AE1884" s="702">
        <f t="shared" si="145"/>
        <v>44348</v>
      </c>
      <c r="AF1884" s="289">
        <v>3803.4817768479543</v>
      </c>
      <c r="AG1884">
        <f t="shared" si="146"/>
        <v>360</v>
      </c>
      <c r="AH1884" s="289">
        <f t="shared" si="147"/>
        <v>10.565227157910984</v>
      </c>
      <c r="AJ1884" s="289">
        <f t="shared" si="148"/>
        <v>18</v>
      </c>
      <c r="AK1884" s="289">
        <f t="shared" si="149"/>
        <v>190.17408884239771</v>
      </c>
    </row>
    <row r="1885" spans="1:37">
      <c r="A1885" s="703" t="s">
        <v>3412</v>
      </c>
      <c r="B1885" s="703" t="s">
        <v>2849</v>
      </c>
      <c r="C1885" s="703" t="s">
        <v>390</v>
      </c>
      <c r="D1885" s="703" t="s">
        <v>334</v>
      </c>
      <c r="E1885" s="703" t="s">
        <v>334</v>
      </c>
      <c r="F1885" s="703" t="s">
        <v>335</v>
      </c>
      <c r="G1885" s="703" t="s">
        <v>3301</v>
      </c>
      <c r="H1885" s="703" t="s">
        <v>334</v>
      </c>
      <c r="I1885" s="703" t="s">
        <v>334</v>
      </c>
      <c r="J1885" s="703" t="s">
        <v>337</v>
      </c>
      <c r="K1885" s="704">
        <v>0</v>
      </c>
      <c r="L1885" s="703" t="s">
        <v>334</v>
      </c>
      <c r="M1885" s="702">
        <v>42886</v>
      </c>
      <c r="N1885" s="702">
        <v>44516</v>
      </c>
      <c r="O1885" s="703" t="s">
        <v>338</v>
      </c>
      <c r="P1885" s="20">
        <v>6272.45</v>
      </c>
      <c r="Q1885" s="20">
        <v>0</v>
      </c>
      <c r="R1885" s="20">
        <v>0</v>
      </c>
      <c r="S1885" s="20">
        <v>0</v>
      </c>
      <c r="T1885" s="20">
        <v>6272.45</v>
      </c>
      <c r="U1885" s="20">
        <v>6255.03</v>
      </c>
      <c r="V1885" s="20">
        <v>-17.420000000000002</v>
      </c>
      <c r="W1885" s="20">
        <v>-226.5</v>
      </c>
      <c r="X1885" s="20">
        <v>-209.08</v>
      </c>
      <c r="Y1885" s="20">
        <v>0</v>
      </c>
      <c r="Z1885" s="20">
        <v>0</v>
      </c>
      <c r="AA1885" s="20">
        <v>0</v>
      </c>
      <c r="AB1885" s="20">
        <v>6045.95</v>
      </c>
      <c r="AC1885" t="s">
        <v>188</v>
      </c>
      <c r="AD1885" t="s">
        <v>290</v>
      </c>
      <c r="AE1885" s="702">
        <f t="shared" si="145"/>
        <v>44348</v>
      </c>
      <c r="AF1885" s="289">
        <v>7202.3104703163399</v>
      </c>
      <c r="AG1885">
        <f t="shared" si="146"/>
        <v>360</v>
      </c>
      <c r="AH1885" s="289">
        <f t="shared" si="147"/>
        <v>20.006417973100945</v>
      </c>
      <c r="AJ1885" s="289">
        <f t="shared" si="148"/>
        <v>18</v>
      </c>
      <c r="AK1885" s="289">
        <f t="shared" si="149"/>
        <v>360.11552351581702</v>
      </c>
    </row>
    <row r="1886" spans="1:37">
      <c r="A1886" s="703" t="s">
        <v>3413</v>
      </c>
      <c r="B1886" s="703" t="s">
        <v>2849</v>
      </c>
      <c r="C1886" s="703" t="s">
        <v>390</v>
      </c>
      <c r="D1886" s="703" t="s">
        <v>334</v>
      </c>
      <c r="E1886" s="703" t="s">
        <v>334</v>
      </c>
      <c r="F1886" s="703" t="s">
        <v>335</v>
      </c>
      <c r="G1886" s="703" t="s">
        <v>3301</v>
      </c>
      <c r="H1886" s="703" t="s">
        <v>334</v>
      </c>
      <c r="I1886" s="703" t="s">
        <v>334</v>
      </c>
      <c r="J1886" s="703" t="s">
        <v>337</v>
      </c>
      <c r="K1886" s="704">
        <v>0</v>
      </c>
      <c r="L1886" s="703" t="s">
        <v>334</v>
      </c>
      <c r="M1886" s="702">
        <v>42886</v>
      </c>
      <c r="N1886" s="702">
        <v>44516</v>
      </c>
      <c r="O1886" s="703" t="s">
        <v>338</v>
      </c>
      <c r="P1886" s="20">
        <v>3.97</v>
      </c>
      <c r="Q1886" s="20">
        <v>0</v>
      </c>
      <c r="R1886" s="20">
        <v>0</v>
      </c>
      <c r="S1886" s="20">
        <v>0</v>
      </c>
      <c r="T1886" s="20">
        <v>3.97</v>
      </c>
      <c r="U1886" s="20">
        <v>3.96</v>
      </c>
      <c r="V1886" s="20">
        <v>-0.01</v>
      </c>
      <c r="W1886" s="20">
        <v>-0.14000000000000001</v>
      </c>
      <c r="X1886" s="20">
        <v>-0.13</v>
      </c>
      <c r="Y1886" s="20">
        <v>0</v>
      </c>
      <c r="Z1886" s="20">
        <v>0</v>
      </c>
      <c r="AA1886" s="20">
        <v>0</v>
      </c>
      <c r="AB1886" s="20">
        <v>3.83</v>
      </c>
      <c r="AC1886" t="s">
        <v>188</v>
      </c>
      <c r="AD1886" t="s">
        <v>290</v>
      </c>
      <c r="AE1886" s="702">
        <f t="shared" si="145"/>
        <v>44348</v>
      </c>
      <c r="AF1886" s="289">
        <v>4.558533358919699</v>
      </c>
      <c r="AG1886">
        <f t="shared" si="146"/>
        <v>360</v>
      </c>
      <c r="AH1886" s="289">
        <f t="shared" si="147"/>
        <v>1.2662592663665831E-2</v>
      </c>
      <c r="AJ1886" s="289">
        <f t="shared" si="148"/>
        <v>18</v>
      </c>
      <c r="AK1886" s="289">
        <f t="shared" si="149"/>
        <v>0.22792666794598496</v>
      </c>
    </row>
    <row r="1887" spans="1:37">
      <c r="A1887" s="703" t="s">
        <v>3414</v>
      </c>
      <c r="B1887" s="703" t="s">
        <v>2849</v>
      </c>
      <c r="C1887" s="703" t="s">
        <v>390</v>
      </c>
      <c r="D1887" s="703" t="s">
        <v>334</v>
      </c>
      <c r="E1887" s="703" t="s">
        <v>334</v>
      </c>
      <c r="F1887" s="703" t="s">
        <v>335</v>
      </c>
      <c r="G1887" s="703" t="s">
        <v>3415</v>
      </c>
      <c r="H1887" s="703" t="s">
        <v>334</v>
      </c>
      <c r="I1887" s="703" t="s">
        <v>334</v>
      </c>
      <c r="J1887" s="703" t="s">
        <v>337</v>
      </c>
      <c r="K1887" s="704">
        <v>0</v>
      </c>
      <c r="L1887" s="703" t="s">
        <v>334</v>
      </c>
      <c r="M1887" s="702">
        <v>43251</v>
      </c>
      <c r="N1887" s="702">
        <v>44516</v>
      </c>
      <c r="O1887" s="703" t="s">
        <v>338</v>
      </c>
      <c r="P1887" s="20">
        <v>15713.8</v>
      </c>
      <c r="Q1887" s="20">
        <v>0</v>
      </c>
      <c r="R1887" s="20">
        <v>0</v>
      </c>
      <c r="S1887" s="20">
        <v>0</v>
      </c>
      <c r="T1887" s="20">
        <v>15713.8</v>
      </c>
      <c r="U1887" s="20">
        <v>15712.45</v>
      </c>
      <c r="V1887" s="20">
        <v>-1.35</v>
      </c>
      <c r="W1887" s="20">
        <v>-525.14</v>
      </c>
      <c r="X1887" s="20">
        <v>-523.79</v>
      </c>
      <c r="Y1887" s="20">
        <v>0</v>
      </c>
      <c r="Z1887" s="20">
        <v>0</v>
      </c>
      <c r="AA1887" s="20">
        <v>0</v>
      </c>
      <c r="AB1887" s="20">
        <v>15188.66</v>
      </c>
      <c r="AC1887" t="s">
        <v>188</v>
      </c>
      <c r="AD1887" t="s">
        <v>290</v>
      </c>
      <c r="AE1887" s="702">
        <f t="shared" si="145"/>
        <v>44348</v>
      </c>
      <c r="AF1887" s="289">
        <v>18043.295087000595</v>
      </c>
      <c r="AG1887">
        <f t="shared" si="146"/>
        <v>360</v>
      </c>
      <c r="AH1887" s="289">
        <f t="shared" si="147"/>
        <v>50.12026413055721</v>
      </c>
      <c r="AJ1887" s="289">
        <f t="shared" si="148"/>
        <v>18</v>
      </c>
      <c r="AK1887" s="289">
        <f t="shared" si="149"/>
        <v>902.16475435002974</v>
      </c>
    </row>
    <row r="1888" spans="1:37">
      <c r="A1888" s="703" t="s">
        <v>3416</v>
      </c>
      <c r="B1888" s="703" t="s">
        <v>2849</v>
      </c>
      <c r="C1888" s="703" t="s">
        <v>390</v>
      </c>
      <c r="D1888" s="703" t="s">
        <v>334</v>
      </c>
      <c r="E1888" s="703" t="s">
        <v>334</v>
      </c>
      <c r="F1888" s="703" t="s">
        <v>335</v>
      </c>
      <c r="G1888" s="703" t="s">
        <v>3415</v>
      </c>
      <c r="H1888" s="703" t="s">
        <v>334</v>
      </c>
      <c r="I1888" s="703" t="s">
        <v>334</v>
      </c>
      <c r="J1888" s="703" t="s">
        <v>337</v>
      </c>
      <c r="K1888" s="704">
        <v>0</v>
      </c>
      <c r="L1888" s="703" t="s">
        <v>334</v>
      </c>
      <c r="M1888" s="702">
        <v>43251</v>
      </c>
      <c r="N1888" s="702">
        <v>44516</v>
      </c>
      <c r="O1888" s="703" t="s">
        <v>338</v>
      </c>
      <c r="P1888" s="20">
        <v>572.53</v>
      </c>
      <c r="Q1888" s="20">
        <v>0</v>
      </c>
      <c r="R1888" s="20">
        <v>0</v>
      </c>
      <c r="S1888" s="20">
        <v>0</v>
      </c>
      <c r="T1888" s="20">
        <v>572.53</v>
      </c>
      <c r="U1888" s="20">
        <v>570.94000000000005</v>
      </c>
      <c r="V1888" s="20">
        <v>-1.59</v>
      </c>
      <c r="W1888" s="20">
        <v>-20.67</v>
      </c>
      <c r="X1888" s="20">
        <v>-19.079999999999998</v>
      </c>
      <c r="Y1888" s="20">
        <v>0</v>
      </c>
      <c r="Z1888" s="20">
        <v>0</v>
      </c>
      <c r="AA1888" s="20">
        <v>0</v>
      </c>
      <c r="AB1888" s="20">
        <v>551.86</v>
      </c>
      <c r="AC1888" t="s">
        <v>188</v>
      </c>
      <c r="AD1888" t="s">
        <v>290</v>
      </c>
      <c r="AE1888" s="702">
        <f t="shared" si="145"/>
        <v>44348</v>
      </c>
      <c r="AF1888" s="289">
        <v>657.40481208622043</v>
      </c>
      <c r="AG1888">
        <f t="shared" si="146"/>
        <v>360</v>
      </c>
      <c r="AH1888" s="289">
        <f t="shared" si="147"/>
        <v>1.826124478017279</v>
      </c>
      <c r="AJ1888" s="289">
        <f t="shared" si="148"/>
        <v>18</v>
      </c>
      <c r="AK1888" s="289">
        <f t="shared" si="149"/>
        <v>32.870240604311022</v>
      </c>
    </row>
    <row r="1889" spans="1:37">
      <c r="A1889" s="703" t="s">
        <v>3417</v>
      </c>
      <c r="B1889" s="703" t="s">
        <v>2849</v>
      </c>
      <c r="C1889" s="703" t="s">
        <v>390</v>
      </c>
      <c r="D1889" s="703" t="s">
        <v>334</v>
      </c>
      <c r="E1889" s="703" t="s">
        <v>334</v>
      </c>
      <c r="F1889" s="703" t="s">
        <v>335</v>
      </c>
      <c r="G1889" s="703" t="s">
        <v>3415</v>
      </c>
      <c r="H1889" s="703" t="s">
        <v>334</v>
      </c>
      <c r="I1889" s="703" t="s">
        <v>334</v>
      </c>
      <c r="J1889" s="703" t="s">
        <v>337</v>
      </c>
      <c r="K1889" s="704">
        <v>0</v>
      </c>
      <c r="L1889" s="703" t="s">
        <v>334</v>
      </c>
      <c r="M1889" s="702">
        <v>43251</v>
      </c>
      <c r="N1889" s="702">
        <v>44516</v>
      </c>
      <c r="O1889" s="703" t="s">
        <v>338</v>
      </c>
      <c r="P1889" s="20">
        <v>280.58</v>
      </c>
      <c r="Q1889" s="20">
        <v>0</v>
      </c>
      <c r="R1889" s="20">
        <v>0</v>
      </c>
      <c r="S1889" s="20">
        <v>0</v>
      </c>
      <c r="T1889" s="20">
        <v>280.58</v>
      </c>
      <c r="U1889" s="20">
        <v>279.8</v>
      </c>
      <c r="V1889" s="20">
        <v>-0.78</v>
      </c>
      <c r="W1889" s="20">
        <v>-10.130000000000001</v>
      </c>
      <c r="X1889" s="20">
        <v>-9.35</v>
      </c>
      <c r="Y1889" s="20">
        <v>0</v>
      </c>
      <c r="Z1889" s="20">
        <v>0</v>
      </c>
      <c r="AA1889" s="20">
        <v>0</v>
      </c>
      <c r="AB1889" s="20">
        <v>270.45</v>
      </c>
      <c r="AC1889" t="s">
        <v>188</v>
      </c>
      <c r="AD1889" t="s">
        <v>290</v>
      </c>
      <c r="AE1889" s="702">
        <f t="shared" si="145"/>
        <v>44348</v>
      </c>
      <c r="AF1889" s="289">
        <v>322.17463220294434</v>
      </c>
      <c r="AG1889">
        <f t="shared" si="146"/>
        <v>360</v>
      </c>
      <c r="AH1889" s="289">
        <f t="shared" si="147"/>
        <v>0.89492953389706764</v>
      </c>
      <c r="AJ1889" s="289">
        <f t="shared" si="148"/>
        <v>18</v>
      </c>
      <c r="AK1889" s="289">
        <f t="shared" si="149"/>
        <v>16.108731610147217</v>
      </c>
    </row>
    <row r="1890" spans="1:37">
      <c r="A1890" s="703" t="s">
        <v>3418</v>
      </c>
      <c r="B1890" s="703" t="s">
        <v>2849</v>
      </c>
      <c r="C1890" s="703" t="s">
        <v>390</v>
      </c>
      <c r="D1890" s="703" t="s">
        <v>334</v>
      </c>
      <c r="E1890" s="703" t="s">
        <v>334</v>
      </c>
      <c r="F1890" s="703" t="s">
        <v>335</v>
      </c>
      <c r="G1890" s="703" t="s">
        <v>3415</v>
      </c>
      <c r="H1890" s="703" t="s">
        <v>334</v>
      </c>
      <c r="I1890" s="703" t="s">
        <v>334</v>
      </c>
      <c r="J1890" s="703" t="s">
        <v>337</v>
      </c>
      <c r="K1890" s="704">
        <v>0</v>
      </c>
      <c r="L1890" s="703" t="s">
        <v>334</v>
      </c>
      <c r="M1890" s="702">
        <v>43251</v>
      </c>
      <c r="N1890" s="702">
        <v>44516</v>
      </c>
      <c r="O1890" s="703" t="s">
        <v>338</v>
      </c>
      <c r="P1890" s="20">
        <v>452.86</v>
      </c>
      <c r="Q1890" s="20">
        <v>0</v>
      </c>
      <c r="R1890" s="20">
        <v>0</v>
      </c>
      <c r="S1890" s="20">
        <v>0</v>
      </c>
      <c r="T1890" s="20">
        <v>452.86</v>
      </c>
      <c r="U1890" s="20">
        <v>451.6</v>
      </c>
      <c r="V1890" s="20">
        <v>-1.26</v>
      </c>
      <c r="W1890" s="20">
        <v>-16.36</v>
      </c>
      <c r="X1890" s="20">
        <v>-15.1</v>
      </c>
      <c r="Y1890" s="20">
        <v>0</v>
      </c>
      <c r="Z1890" s="20">
        <v>0</v>
      </c>
      <c r="AA1890" s="20">
        <v>0</v>
      </c>
      <c r="AB1890" s="20">
        <v>436.5</v>
      </c>
      <c r="AC1890" t="s">
        <v>188</v>
      </c>
      <c r="AD1890" t="s">
        <v>290</v>
      </c>
      <c r="AE1890" s="702">
        <f t="shared" si="145"/>
        <v>44348</v>
      </c>
      <c r="AF1890" s="289">
        <v>519.99431156684511</v>
      </c>
      <c r="AG1890">
        <f t="shared" si="146"/>
        <v>360</v>
      </c>
      <c r="AH1890" s="289">
        <f t="shared" si="147"/>
        <v>1.4444286432412363</v>
      </c>
      <c r="AJ1890" s="289">
        <f t="shared" si="148"/>
        <v>18</v>
      </c>
      <c r="AK1890" s="289">
        <f t="shared" si="149"/>
        <v>25.999715578342254</v>
      </c>
    </row>
    <row r="1891" spans="1:37">
      <c r="A1891" s="703" t="s">
        <v>3419</v>
      </c>
      <c r="B1891" s="703" t="s">
        <v>2849</v>
      </c>
      <c r="C1891" s="703" t="s">
        <v>390</v>
      </c>
      <c r="D1891" s="703" t="s">
        <v>334</v>
      </c>
      <c r="E1891" s="703" t="s">
        <v>334</v>
      </c>
      <c r="F1891" s="703" t="s">
        <v>335</v>
      </c>
      <c r="G1891" s="703" t="s">
        <v>3420</v>
      </c>
      <c r="H1891" s="703" t="s">
        <v>334</v>
      </c>
      <c r="I1891" s="703" t="s">
        <v>334</v>
      </c>
      <c r="J1891" s="703" t="s">
        <v>337</v>
      </c>
      <c r="K1891" s="704">
        <v>0</v>
      </c>
      <c r="L1891" s="703" t="s">
        <v>334</v>
      </c>
      <c r="M1891" s="702">
        <v>43251</v>
      </c>
      <c r="N1891" s="702">
        <v>44516</v>
      </c>
      <c r="O1891" s="703" t="s">
        <v>338</v>
      </c>
      <c r="P1891" s="20">
        <v>4.2</v>
      </c>
      <c r="Q1891" s="20">
        <v>0</v>
      </c>
      <c r="R1891" s="20">
        <v>0</v>
      </c>
      <c r="S1891" s="20">
        <v>0</v>
      </c>
      <c r="T1891" s="20">
        <v>4.2</v>
      </c>
      <c r="U1891" s="20">
        <v>4.1900000000000004</v>
      </c>
      <c r="V1891" s="20">
        <v>-0.01</v>
      </c>
      <c r="W1891" s="20">
        <v>-0.15</v>
      </c>
      <c r="X1891" s="20">
        <v>-0.14000000000000001</v>
      </c>
      <c r="Y1891" s="20">
        <v>0</v>
      </c>
      <c r="Z1891" s="20">
        <v>0</v>
      </c>
      <c r="AA1891" s="20">
        <v>0</v>
      </c>
      <c r="AB1891" s="20">
        <v>4.05</v>
      </c>
      <c r="AC1891" t="s">
        <v>188</v>
      </c>
      <c r="AD1891" t="s">
        <v>290</v>
      </c>
      <c r="AE1891" s="702">
        <f t="shared" si="145"/>
        <v>44348</v>
      </c>
      <c r="AF1891" s="289">
        <v>4.8226297499906146</v>
      </c>
      <c r="AG1891">
        <f t="shared" si="146"/>
        <v>360</v>
      </c>
      <c r="AH1891" s="289">
        <f t="shared" si="147"/>
        <v>1.3396193749973929E-2</v>
      </c>
      <c r="AJ1891" s="289">
        <f t="shared" si="148"/>
        <v>18</v>
      </c>
      <c r="AK1891" s="289">
        <f t="shared" si="149"/>
        <v>0.24113148749953073</v>
      </c>
    </row>
    <row r="1892" spans="1:37">
      <c r="A1892" s="703" t="s">
        <v>3421</v>
      </c>
      <c r="B1892" s="703" t="s">
        <v>2849</v>
      </c>
      <c r="C1892" s="703" t="s">
        <v>390</v>
      </c>
      <c r="D1892" s="703" t="s">
        <v>334</v>
      </c>
      <c r="E1892" s="703" t="s">
        <v>334</v>
      </c>
      <c r="F1892" s="703" t="s">
        <v>335</v>
      </c>
      <c r="G1892" s="703" t="s">
        <v>3420</v>
      </c>
      <c r="H1892" s="703" t="s">
        <v>334</v>
      </c>
      <c r="I1892" s="703" t="s">
        <v>334</v>
      </c>
      <c r="J1892" s="703" t="s">
        <v>337</v>
      </c>
      <c r="K1892" s="704">
        <v>0</v>
      </c>
      <c r="L1892" s="703" t="s">
        <v>334</v>
      </c>
      <c r="M1892" s="702">
        <v>43251</v>
      </c>
      <c r="N1892" s="702">
        <v>44516</v>
      </c>
      <c r="O1892" s="703" t="s">
        <v>338</v>
      </c>
      <c r="P1892" s="20">
        <v>9.49</v>
      </c>
      <c r="Q1892" s="20">
        <v>0</v>
      </c>
      <c r="R1892" s="20">
        <v>0</v>
      </c>
      <c r="S1892" s="20">
        <v>0</v>
      </c>
      <c r="T1892" s="20">
        <v>9.49</v>
      </c>
      <c r="U1892" s="20">
        <v>9.4600000000000009</v>
      </c>
      <c r="V1892" s="20">
        <v>-0.03</v>
      </c>
      <c r="W1892" s="20">
        <v>-0.35</v>
      </c>
      <c r="X1892" s="20">
        <v>-0.32</v>
      </c>
      <c r="Y1892" s="20">
        <v>0</v>
      </c>
      <c r="Z1892" s="20">
        <v>0</v>
      </c>
      <c r="AA1892" s="20">
        <v>0</v>
      </c>
      <c r="AB1892" s="20">
        <v>9.14</v>
      </c>
      <c r="AC1892" t="s">
        <v>188</v>
      </c>
      <c r="AD1892" t="s">
        <v>290</v>
      </c>
      <c r="AE1892" s="702">
        <f t="shared" si="145"/>
        <v>44348</v>
      </c>
      <c r="AF1892" s="289">
        <v>10.89684674462165</v>
      </c>
      <c r="AG1892">
        <f t="shared" si="146"/>
        <v>360</v>
      </c>
      <c r="AH1892" s="289">
        <f t="shared" si="147"/>
        <v>3.0269018735060139E-2</v>
      </c>
      <c r="AJ1892" s="289">
        <f t="shared" si="148"/>
        <v>18</v>
      </c>
      <c r="AK1892" s="289">
        <f t="shared" si="149"/>
        <v>0.54484233723108255</v>
      </c>
    </row>
    <row r="1893" spans="1:37">
      <c r="A1893" s="703" t="s">
        <v>3422</v>
      </c>
      <c r="B1893" s="703" t="s">
        <v>2849</v>
      </c>
      <c r="C1893" s="703" t="s">
        <v>390</v>
      </c>
      <c r="D1893" s="703" t="s">
        <v>334</v>
      </c>
      <c r="E1893" s="703" t="s">
        <v>334</v>
      </c>
      <c r="F1893" s="703" t="s">
        <v>335</v>
      </c>
      <c r="G1893" s="703" t="s">
        <v>3420</v>
      </c>
      <c r="H1893" s="703" t="s">
        <v>334</v>
      </c>
      <c r="I1893" s="703" t="s">
        <v>334</v>
      </c>
      <c r="J1893" s="703" t="s">
        <v>337</v>
      </c>
      <c r="K1893" s="704">
        <v>0</v>
      </c>
      <c r="L1893" s="703" t="s">
        <v>334</v>
      </c>
      <c r="M1893" s="702">
        <v>43251</v>
      </c>
      <c r="N1893" s="702">
        <v>44516</v>
      </c>
      <c r="O1893" s="703" t="s">
        <v>338</v>
      </c>
      <c r="P1893" s="20">
        <v>5.23</v>
      </c>
      <c r="Q1893" s="20">
        <v>0</v>
      </c>
      <c r="R1893" s="20">
        <v>0</v>
      </c>
      <c r="S1893" s="20">
        <v>0</v>
      </c>
      <c r="T1893" s="20">
        <v>5.23</v>
      </c>
      <c r="U1893" s="20">
        <v>5.22</v>
      </c>
      <c r="V1893" s="20">
        <v>-0.01</v>
      </c>
      <c r="W1893" s="20">
        <v>-0.18</v>
      </c>
      <c r="X1893" s="20">
        <v>-0.17</v>
      </c>
      <c r="Y1893" s="20">
        <v>0</v>
      </c>
      <c r="Z1893" s="20">
        <v>0</v>
      </c>
      <c r="AA1893" s="20">
        <v>0</v>
      </c>
      <c r="AB1893" s="20">
        <v>5.05</v>
      </c>
      <c r="AC1893" t="s">
        <v>188</v>
      </c>
      <c r="AD1893" t="s">
        <v>290</v>
      </c>
      <c r="AE1893" s="702">
        <f t="shared" si="145"/>
        <v>44348</v>
      </c>
      <c r="AF1893" s="289">
        <v>6.0053222839168834</v>
      </c>
      <c r="AG1893">
        <f t="shared" si="146"/>
        <v>360</v>
      </c>
      <c r="AH1893" s="289">
        <f t="shared" si="147"/>
        <v>1.6681450788658011E-2</v>
      </c>
      <c r="AJ1893" s="289">
        <f t="shared" si="148"/>
        <v>18</v>
      </c>
      <c r="AK1893" s="289">
        <f t="shared" si="149"/>
        <v>0.3002661141958442</v>
      </c>
    </row>
    <row r="1894" spans="1:37">
      <c r="A1894" s="703" t="s">
        <v>3423</v>
      </c>
      <c r="B1894" s="703" t="s">
        <v>2849</v>
      </c>
      <c r="C1894" s="703" t="s">
        <v>390</v>
      </c>
      <c r="D1894" s="703" t="s">
        <v>334</v>
      </c>
      <c r="E1894" s="703" t="s">
        <v>334</v>
      </c>
      <c r="F1894" s="703" t="s">
        <v>335</v>
      </c>
      <c r="G1894" s="703" t="s">
        <v>3420</v>
      </c>
      <c r="H1894" s="703" t="s">
        <v>334</v>
      </c>
      <c r="I1894" s="703" t="s">
        <v>334</v>
      </c>
      <c r="J1894" s="703" t="s">
        <v>337</v>
      </c>
      <c r="K1894" s="704">
        <v>0</v>
      </c>
      <c r="L1894" s="703" t="s">
        <v>334</v>
      </c>
      <c r="M1894" s="702">
        <v>43251</v>
      </c>
      <c r="N1894" s="702">
        <v>44516</v>
      </c>
      <c r="O1894" s="703" t="s">
        <v>338</v>
      </c>
      <c r="P1894" s="20">
        <v>37.049999999999997</v>
      </c>
      <c r="Q1894" s="20">
        <v>0</v>
      </c>
      <c r="R1894" s="20">
        <v>0</v>
      </c>
      <c r="S1894" s="20">
        <v>0</v>
      </c>
      <c r="T1894" s="20">
        <v>37.049999999999997</v>
      </c>
      <c r="U1894" s="20">
        <v>36.950000000000003</v>
      </c>
      <c r="V1894" s="20">
        <v>-0.1</v>
      </c>
      <c r="W1894" s="20">
        <v>-1.34</v>
      </c>
      <c r="X1894" s="20">
        <v>-1.24</v>
      </c>
      <c r="Y1894" s="20">
        <v>0</v>
      </c>
      <c r="Z1894" s="20">
        <v>0</v>
      </c>
      <c r="AA1894" s="20">
        <v>0</v>
      </c>
      <c r="AB1894" s="20">
        <v>35.71</v>
      </c>
      <c r="AC1894" t="s">
        <v>188</v>
      </c>
      <c r="AD1894" t="s">
        <v>290</v>
      </c>
      <c r="AE1894" s="702">
        <f t="shared" si="145"/>
        <v>44348</v>
      </c>
      <c r="AF1894" s="289">
        <v>42.542483865988629</v>
      </c>
      <c r="AG1894">
        <f t="shared" si="146"/>
        <v>360</v>
      </c>
      <c r="AH1894" s="289">
        <f t="shared" si="147"/>
        <v>0.11817356629441286</v>
      </c>
      <c r="AJ1894" s="289">
        <f t="shared" si="148"/>
        <v>18</v>
      </c>
      <c r="AK1894" s="289">
        <f t="shared" si="149"/>
        <v>2.1271241932994314</v>
      </c>
    </row>
    <row r="1895" spans="1:37">
      <c r="A1895" s="703" t="s">
        <v>3424</v>
      </c>
      <c r="B1895" s="703" t="s">
        <v>2849</v>
      </c>
      <c r="C1895" s="703" t="s">
        <v>390</v>
      </c>
      <c r="D1895" s="703" t="s">
        <v>334</v>
      </c>
      <c r="E1895" s="703" t="s">
        <v>334</v>
      </c>
      <c r="F1895" s="703" t="s">
        <v>335</v>
      </c>
      <c r="G1895" s="703" t="s">
        <v>3420</v>
      </c>
      <c r="H1895" s="703" t="s">
        <v>334</v>
      </c>
      <c r="I1895" s="703" t="s">
        <v>334</v>
      </c>
      <c r="J1895" s="703" t="s">
        <v>337</v>
      </c>
      <c r="K1895" s="704">
        <v>0</v>
      </c>
      <c r="L1895" s="703" t="s">
        <v>334</v>
      </c>
      <c r="M1895" s="702">
        <v>43251</v>
      </c>
      <c r="N1895" s="702">
        <v>44516</v>
      </c>
      <c r="O1895" s="703" t="s">
        <v>338</v>
      </c>
      <c r="P1895" s="20">
        <v>9.49</v>
      </c>
      <c r="Q1895" s="20">
        <v>0</v>
      </c>
      <c r="R1895" s="20">
        <v>0</v>
      </c>
      <c r="S1895" s="20">
        <v>0</v>
      </c>
      <c r="T1895" s="20">
        <v>9.49</v>
      </c>
      <c r="U1895" s="20">
        <v>9.4600000000000009</v>
      </c>
      <c r="V1895" s="20">
        <v>-0.03</v>
      </c>
      <c r="W1895" s="20">
        <v>-0.35</v>
      </c>
      <c r="X1895" s="20">
        <v>-0.32</v>
      </c>
      <c r="Y1895" s="20">
        <v>0</v>
      </c>
      <c r="Z1895" s="20">
        <v>0</v>
      </c>
      <c r="AA1895" s="20">
        <v>0</v>
      </c>
      <c r="AB1895" s="20">
        <v>9.14</v>
      </c>
      <c r="AC1895" t="s">
        <v>188</v>
      </c>
      <c r="AD1895" t="s">
        <v>290</v>
      </c>
      <c r="AE1895" s="702">
        <f t="shared" si="145"/>
        <v>44348</v>
      </c>
      <c r="AF1895" s="289">
        <v>10.89684674462165</v>
      </c>
      <c r="AG1895">
        <f t="shared" si="146"/>
        <v>360</v>
      </c>
      <c r="AH1895" s="289">
        <f t="shared" si="147"/>
        <v>3.0269018735060139E-2</v>
      </c>
      <c r="AJ1895" s="289">
        <f t="shared" si="148"/>
        <v>18</v>
      </c>
      <c r="AK1895" s="289">
        <f t="shared" si="149"/>
        <v>0.54484233723108255</v>
      </c>
    </row>
    <row r="1896" spans="1:37">
      <c r="A1896" s="703" t="s">
        <v>3425</v>
      </c>
      <c r="B1896" s="703" t="s">
        <v>2849</v>
      </c>
      <c r="C1896" s="703" t="s">
        <v>390</v>
      </c>
      <c r="D1896" s="703" t="s">
        <v>334</v>
      </c>
      <c r="E1896" s="703" t="s">
        <v>334</v>
      </c>
      <c r="F1896" s="703" t="s">
        <v>335</v>
      </c>
      <c r="G1896" s="703" t="s">
        <v>3420</v>
      </c>
      <c r="H1896" s="703" t="s">
        <v>334</v>
      </c>
      <c r="I1896" s="703" t="s">
        <v>334</v>
      </c>
      <c r="J1896" s="703" t="s">
        <v>337</v>
      </c>
      <c r="K1896" s="704">
        <v>0</v>
      </c>
      <c r="L1896" s="703" t="s">
        <v>334</v>
      </c>
      <c r="M1896" s="702">
        <v>43251</v>
      </c>
      <c r="N1896" s="702">
        <v>44516</v>
      </c>
      <c r="O1896" s="703" t="s">
        <v>338</v>
      </c>
      <c r="P1896" s="20">
        <v>5.23</v>
      </c>
      <c r="Q1896" s="20">
        <v>0</v>
      </c>
      <c r="R1896" s="20">
        <v>0</v>
      </c>
      <c r="S1896" s="20">
        <v>0</v>
      </c>
      <c r="T1896" s="20">
        <v>5.23</v>
      </c>
      <c r="U1896" s="20">
        <v>5.22</v>
      </c>
      <c r="V1896" s="20">
        <v>-0.01</v>
      </c>
      <c r="W1896" s="20">
        <v>-0.18</v>
      </c>
      <c r="X1896" s="20">
        <v>-0.17</v>
      </c>
      <c r="Y1896" s="20">
        <v>0</v>
      </c>
      <c r="Z1896" s="20">
        <v>0</v>
      </c>
      <c r="AA1896" s="20">
        <v>0</v>
      </c>
      <c r="AB1896" s="20">
        <v>5.05</v>
      </c>
      <c r="AC1896" t="s">
        <v>188</v>
      </c>
      <c r="AD1896" t="s">
        <v>290</v>
      </c>
      <c r="AE1896" s="702">
        <f t="shared" si="145"/>
        <v>44348</v>
      </c>
      <c r="AF1896" s="289">
        <v>6.0053222839168834</v>
      </c>
      <c r="AG1896">
        <f t="shared" si="146"/>
        <v>360</v>
      </c>
      <c r="AH1896" s="289">
        <f t="shared" si="147"/>
        <v>1.6681450788658011E-2</v>
      </c>
      <c r="AJ1896" s="289">
        <f t="shared" si="148"/>
        <v>18</v>
      </c>
      <c r="AK1896" s="289">
        <f t="shared" si="149"/>
        <v>0.3002661141958442</v>
      </c>
    </row>
    <row r="1897" spans="1:37">
      <c r="A1897" s="703" t="s">
        <v>3426</v>
      </c>
      <c r="B1897" s="703" t="s">
        <v>2849</v>
      </c>
      <c r="C1897" s="703" t="s">
        <v>390</v>
      </c>
      <c r="D1897" s="703" t="s">
        <v>334</v>
      </c>
      <c r="E1897" s="703" t="s">
        <v>334</v>
      </c>
      <c r="F1897" s="703" t="s">
        <v>335</v>
      </c>
      <c r="G1897" s="703" t="s">
        <v>3420</v>
      </c>
      <c r="H1897" s="703" t="s">
        <v>334</v>
      </c>
      <c r="I1897" s="703" t="s">
        <v>334</v>
      </c>
      <c r="J1897" s="703" t="s">
        <v>337</v>
      </c>
      <c r="K1897" s="704">
        <v>0</v>
      </c>
      <c r="L1897" s="703" t="s">
        <v>334</v>
      </c>
      <c r="M1897" s="702">
        <v>43251</v>
      </c>
      <c r="N1897" s="702">
        <v>44516</v>
      </c>
      <c r="O1897" s="703" t="s">
        <v>338</v>
      </c>
      <c r="P1897" s="20">
        <v>37.049999999999997</v>
      </c>
      <c r="Q1897" s="20">
        <v>0</v>
      </c>
      <c r="R1897" s="20">
        <v>0</v>
      </c>
      <c r="S1897" s="20">
        <v>0</v>
      </c>
      <c r="T1897" s="20">
        <v>37.049999999999997</v>
      </c>
      <c r="U1897" s="20">
        <v>36.950000000000003</v>
      </c>
      <c r="V1897" s="20">
        <v>-0.1</v>
      </c>
      <c r="W1897" s="20">
        <v>-1.34</v>
      </c>
      <c r="X1897" s="20">
        <v>-1.24</v>
      </c>
      <c r="Y1897" s="20">
        <v>0</v>
      </c>
      <c r="Z1897" s="20">
        <v>0</v>
      </c>
      <c r="AA1897" s="20">
        <v>0</v>
      </c>
      <c r="AB1897" s="20">
        <v>35.71</v>
      </c>
      <c r="AC1897" t="s">
        <v>188</v>
      </c>
      <c r="AD1897" t="s">
        <v>290</v>
      </c>
      <c r="AE1897" s="702">
        <f t="shared" si="145"/>
        <v>44348</v>
      </c>
      <c r="AF1897" s="289">
        <v>42.542483865988629</v>
      </c>
      <c r="AG1897">
        <f t="shared" si="146"/>
        <v>360</v>
      </c>
      <c r="AH1897" s="289">
        <f t="shared" si="147"/>
        <v>0.11817356629441286</v>
      </c>
      <c r="AJ1897" s="289">
        <f t="shared" si="148"/>
        <v>18</v>
      </c>
      <c r="AK1897" s="289">
        <f t="shared" si="149"/>
        <v>2.1271241932994314</v>
      </c>
    </row>
    <row r="1898" spans="1:37">
      <c r="A1898" s="703" t="s">
        <v>3427</v>
      </c>
      <c r="B1898" s="703" t="s">
        <v>2849</v>
      </c>
      <c r="C1898" s="703" t="s">
        <v>390</v>
      </c>
      <c r="D1898" s="703" t="s">
        <v>334</v>
      </c>
      <c r="E1898" s="703" t="s">
        <v>334</v>
      </c>
      <c r="F1898" s="703" t="s">
        <v>335</v>
      </c>
      <c r="G1898" s="703" t="s">
        <v>3420</v>
      </c>
      <c r="H1898" s="703" t="s">
        <v>334</v>
      </c>
      <c r="I1898" s="703" t="s">
        <v>334</v>
      </c>
      <c r="J1898" s="703" t="s">
        <v>337</v>
      </c>
      <c r="K1898" s="704">
        <v>0</v>
      </c>
      <c r="L1898" s="703" t="s">
        <v>334</v>
      </c>
      <c r="M1898" s="702">
        <v>43251</v>
      </c>
      <c r="N1898" s="702">
        <v>44516</v>
      </c>
      <c r="O1898" s="703" t="s">
        <v>338</v>
      </c>
      <c r="P1898" s="20">
        <v>187.05</v>
      </c>
      <c r="Q1898" s="20">
        <v>0</v>
      </c>
      <c r="R1898" s="20">
        <v>0</v>
      </c>
      <c r="S1898" s="20">
        <v>0</v>
      </c>
      <c r="T1898" s="20">
        <v>187.05</v>
      </c>
      <c r="U1898" s="20">
        <v>186.53</v>
      </c>
      <c r="V1898" s="20">
        <v>-0.52</v>
      </c>
      <c r="W1898" s="20">
        <v>-6.76</v>
      </c>
      <c r="X1898" s="20">
        <v>-6.24</v>
      </c>
      <c r="Y1898" s="20">
        <v>0</v>
      </c>
      <c r="Z1898" s="20">
        <v>0</v>
      </c>
      <c r="AA1898" s="20">
        <v>0</v>
      </c>
      <c r="AB1898" s="20">
        <v>180.29</v>
      </c>
      <c r="AC1898" t="s">
        <v>188</v>
      </c>
      <c r="AD1898" t="s">
        <v>290</v>
      </c>
      <c r="AE1898" s="702">
        <f t="shared" si="145"/>
        <v>44348</v>
      </c>
      <c r="AF1898" s="289">
        <v>214.77926065136768</v>
      </c>
      <c r="AG1898">
        <f t="shared" si="146"/>
        <v>360</v>
      </c>
      <c r="AH1898" s="289">
        <f t="shared" si="147"/>
        <v>0.59660905736491021</v>
      </c>
      <c r="AJ1898" s="289">
        <f t="shared" si="148"/>
        <v>18</v>
      </c>
      <c r="AK1898" s="289">
        <f t="shared" si="149"/>
        <v>10.738963032568384</v>
      </c>
    </row>
    <row r="1899" spans="1:37">
      <c r="A1899" s="703" t="s">
        <v>3428</v>
      </c>
      <c r="B1899" s="703" t="s">
        <v>2849</v>
      </c>
      <c r="C1899" s="703" t="s">
        <v>390</v>
      </c>
      <c r="D1899" s="703" t="s">
        <v>334</v>
      </c>
      <c r="E1899" s="703" t="s">
        <v>334</v>
      </c>
      <c r="F1899" s="703" t="s">
        <v>335</v>
      </c>
      <c r="G1899" s="703" t="s">
        <v>3429</v>
      </c>
      <c r="H1899" s="703" t="s">
        <v>334</v>
      </c>
      <c r="I1899" s="703" t="s">
        <v>334</v>
      </c>
      <c r="J1899" s="703" t="s">
        <v>337</v>
      </c>
      <c r="K1899" s="704">
        <v>0</v>
      </c>
      <c r="L1899" s="703" t="s">
        <v>334</v>
      </c>
      <c r="M1899" s="702">
        <v>43251</v>
      </c>
      <c r="N1899" s="702">
        <v>44516</v>
      </c>
      <c r="O1899" s="703" t="s">
        <v>338</v>
      </c>
      <c r="P1899" s="20">
        <v>1090.48</v>
      </c>
      <c r="Q1899" s="20">
        <v>0</v>
      </c>
      <c r="R1899" s="20">
        <v>0</v>
      </c>
      <c r="S1899" s="20">
        <v>0</v>
      </c>
      <c r="T1899" s="20">
        <v>1090.48</v>
      </c>
      <c r="U1899" s="20">
        <v>1087.45</v>
      </c>
      <c r="V1899" s="20">
        <v>-3.03</v>
      </c>
      <c r="W1899" s="20">
        <v>-39.380000000000003</v>
      </c>
      <c r="X1899" s="20">
        <v>-36.35</v>
      </c>
      <c r="Y1899" s="20">
        <v>0</v>
      </c>
      <c r="Z1899" s="20">
        <v>0</v>
      </c>
      <c r="AA1899" s="20">
        <v>0</v>
      </c>
      <c r="AB1899" s="20">
        <v>1051.0999999999999</v>
      </c>
      <c r="AC1899" t="s">
        <v>188</v>
      </c>
      <c r="AD1899" t="s">
        <v>290</v>
      </c>
      <c r="AE1899" s="702">
        <f t="shared" si="145"/>
        <v>44348</v>
      </c>
      <c r="AF1899" s="289">
        <v>1252.1384023261344</v>
      </c>
      <c r="AG1899">
        <f t="shared" si="146"/>
        <v>360</v>
      </c>
      <c r="AH1899" s="289">
        <f t="shared" si="147"/>
        <v>3.4781622286837068</v>
      </c>
      <c r="AJ1899" s="289">
        <f t="shared" si="148"/>
        <v>18</v>
      </c>
      <c r="AK1899" s="289">
        <f t="shared" si="149"/>
        <v>62.606920116306725</v>
      </c>
    </row>
    <row r="1900" spans="1:37">
      <c r="A1900" s="703" t="s">
        <v>3430</v>
      </c>
      <c r="B1900" s="703" t="s">
        <v>2849</v>
      </c>
      <c r="C1900" s="703" t="s">
        <v>390</v>
      </c>
      <c r="D1900" s="703" t="s">
        <v>334</v>
      </c>
      <c r="E1900" s="703" t="s">
        <v>334</v>
      </c>
      <c r="F1900" s="703" t="s">
        <v>335</v>
      </c>
      <c r="G1900" s="703" t="s">
        <v>3429</v>
      </c>
      <c r="H1900" s="703" t="s">
        <v>334</v>
      </c>
      <c r="I1900" s="703" t="s">
        <v>334</v>
      </c>
      <c r="J1900" s="703" t="s">
        <v>337</v>
      </c>
      <c r="K1900" s="704">
        <v>0</v>
      </c>
      <c r="L1900" s="703" t="s">
        <v>334</v>
      </c>
      <c r="M1900" s="702">
        <v>43251</v>
      </c>
      <c r="N1900" s="702">
        <v>44516</v>
      </c>
      <c r="O1900" s="703" t="s">
        <v>338</v>
      </c>
      <c r="P1900" s="20">
        <v>119.57</v>
      </c>
      <c r="Q1900" s="20">
        <v>0</v>
      </c>
      <c r="R1900" s="20">
        <v>0</v>
      </c>
      <c r="S1900" s="20">
        <v>0</v>
      </c>
      <c r="T1900" s="20">
        <v>119.57</v>
      </c>
      <c r="U1900" s="20">
        <v>119.24</v>
      </c>
      <c r="V1900" s="20">
        <v>-0.33</v>
      </c>
      <c r="W1900" s="20">
        <v>-4.32</v>
      </c>
      <c r="X1900" s="20">
        <v>-3.99</v>
      </c>
      <c r="Y1900" s="20">
        <v>0</v>
      </c>
      <c r="Z1900" s="20">
        <v>0</v>
      </c>
      <c r="AA1900" s="20">
        <v>0</v>
      </c>
      <c r="AB1900" s="20">
        <v>115.25</v>
      </c>
      <c r="AC1900" t="s">
        <v>188</v>
      </c>
      <c r="AD1900" t="s">
        <v>290</v>
      </c>
      <c r="AE1900" s="702">
        <f t="shared" si="145"/>
        <v>44348</v>
      </c>
      <c r="AF1900" s="289">
        <v>137.2956760015185</v>
      </c>
      <c r="AG1900">
        <f t="shared" si="146"/>
        <v>360</v>
      </c>
      <c r="AH1900" s="289">
        <f t="shared" si="147"/>
        <v>0.38137687778199586</v>
      </c>
      <c r="AJ1900" s="289">
        <f t="shared" si="148"/>
        <v>18</v>
      </c>
      <c r="AK1900" s="289">
        <f t="shared" si="149"/>
        <v>6.8647838000759256</v>
      </c>
    </row>
    <row r="1901" spans="1:37">
      <c r="A1901" s="703" t="s">
        <v>3431</v>
      </c>
      <c r="B1901" s="703" t="s">
        <v>2849</v>
      </c>
      <c r="C1901" s="703" t="s">
        <v>390</v>
      </c>
      <c r="D1901" s="703" t="s">
        <v>334</v>
      </c>
      <c r="E1901" s="703" t="s">
        <v>334</v>
      </c>
      <c r="F1901" s="703" t="s">
        <v>335</v>
      </c>
      <c r="G1901" s="703" t="s">
        <v>3429</v>
      </c>
      <c r="H1901" s="703" t="s">
        <v>334</v>
      </c>
      <c r="I1901" s="703" t="s">
        <v>334</v>
      </c>
      <c r="J1901" s="703" t="s">
        <v>337</v>
      </c>
      <c r="K1901" s="704">
        <v>0</v>
      </c>
      <c r="L1901" s="703" t="s">
        <v>334</v>
      </c>
      <c r="M1901" s="702">
        <v>43251</v>
      </c>
      <c r="N1901" s="702">
        <v>44516</v>
      </c>
      <c r="O1901" s="703" t="s">
        <v>338</v>
      </c>
      <c r="P1901" s="20">
        <v>144.74</v>
      </c>
      <c r="Q1901" s="20">
        <v>0</v>
      </c>
      <c r="R1901" s="20">
        <v>0</v>
      </c>
      <c r="S1901" s="20">
        <v>0</v>
      </c>
      <c r="T1901" s="20">
        <v>144.74</v>
      </c>
      <c r="U1901" s="20">
        <v>144.34</v>
      </c>
      <c r="V1901" s="20">
        <v>-0.4</v>
      </c>
      <c r="W1901" s="20">
        <v>-5.22</v>
      </c>
      <c r="X1901" s="20">
        <v>-4.82</v>
      </c>
      <c r="Y1901" s="20">
        <v>0</v>
      </c>
      <c r="Z1901" s="20">
        <v>0</v>
      </c>
      <c r="AA1901" s="20">
        <v>0</v>
      </c>
      <c r="AB1901" s="20">
        <v>139.52000000000001</v>
      </c>
      <c r="AC1901" t="s">
        <v>188</v>
      </c>
      <c r="AD1901" t="s">
        <v>290</v>
      </c>
      <c r="AE1901" s="702">
        <f t="shared" si="145"/>
        <v>44348</v>
      </c>
      <c r="AF1901" s="289">
        <v>166.19700714610511</v>
      </c>
      <c r="AG1901">
        <f t="shared" si="146"/>
        <v>360</v>
      </c>
      <c r="AH1901" s="289">
        <f t="shared" si="147"/>
        <v>0.4616583531836253</v>
      </c>
      <c r="AJ1901" s="289">
        <f t="shared" si="148"/>
        <v>18</v>
      </c>
      <c r="AK1901" s="289">
        <f t="shared" si="149"/>
        <v>8.3098503573052547</v>
      </c>
    </row>
    <row r="1902" spans="1:37">
      <c r="A1902" s="703" t="s">
        <v>3432</v>
      </c>
      <c r="B1902" s="703" t="s">
        <v>2849</v>
      </c>
      <c r="C1902" s="703" t="s">
        <v>390</v>
      </c>
      <c r="D1902" s="703" t="s">
        <v>334</v>
      </c>
      <c r="E1902" s="703" t="s">
        <v>334</v>
      </c>
      <c r="F1902" s="703" t="s">
        <v>335</v>
      </c>
      <c r="G1902" s="703" t="s">
        <v>3433</v>
      </c>
      <c r="H1902" s="703" t="s">
        <v>334</v>
      </c>
      <c r="I1902" s="703" t="s">
        <v>334</v>
      </c>
      <c r="J1902" s="703" t="s">
        <v>337</v>
      </c>
      <c r="K1902" s="704">
        <v>0</v>
      </c>
      <c r="L1902" s="703" t="s">
        <v>334</v>
      </c>
      <c r="M1902" s="702">
        <v>43251</v>
      </c>
      <c r="N1902" s="702">
        <v>44516</v>
      </c>
      <c r="O1902" s="703" t="s">
        <v>338</v>
      </c>
      <c r="P1902" s="20">
        <v>138.58000000000001</v>
      </c>
      <c r="Q1902" s="20">
        <v>0</v>
      </c>
      <c r="R1902" s="20">
        <v>0</v>
      </c>
      <c r="S1902" s="20">
        <v>0</v>
      </c>
      <c r="T1902" s="20">
        <v>138.58000000000001</v>
      </c>
      <c r="U1902" s="20">
        <v>138.19999999999999</v>
      </c>
      <c r="V1902" s="20">
        <v>-0.38</v>
      </c>
      <c r="W1902" s="20">
        <v>-5</v>
      </c>
      <c r="X1902" s="20">
        <v>-4.62</v>
      </c>
      <c r="Y1902" s="20">
        <v>0</v>
      </c>
      <c r="Z1902" s="20">
        <v>0</v>
      </c>
      <c r="AA1902" s="20">
        <v>0</v>
      </c>
      <c r="AB1902" s="20">
        <v>133.58000000000001</v>
      </c>
      <c r="AC1902" t="s">
        <v>188</v>
      </c>
      <c r="AD1902" t="s">
        <v>290</v>
      </c>
      <c r="AE1902" s="702">
        <f t="shared" si="145"/>
        <v>44348</v>
      </c>
      <c r="AF1902" s="289">
        <v>159.1238168461189</v>
      </c>
      <c r="AG1902">
        <f t="shared" si="146"/>
        <v>360</v>
      </c>
      <c r="AH1902" s="289">
        <f t="shared" si="147"/>
        <v>0.44201060235033029</v>
      </c>
      <c r="AJ1902" s="289">
        <f t="shared" si="148"/>
        <v>18</v>
      </c>
      <c r="AK1902" s="289">
        <f t="shared" si="149"/>
        <v>7.9561908423059453</v>
      </c>
    </row>
    <row r="1903" spans="1:37">
      <c r="A1903" s="703" t="s">
        <v>3434</v>
      </c>
      <c r="B1903" s="703" t="s">
        <v>2849</v>
      </c>
      <c r="C1903" s="703" t="s">
        <v>390</v>
      </c>
      <c r="D1903" s="703" t="s">
        <v>334</v>
      </c>
      <c r="E1903" s="703" t="s">
        <v>334</v>
      </c>
      <c r="F1903" s="703" t="s">
        <v>335</v>
      </c>
      <c r="G1903" s="703" t="s">
        <v>3433</v>
      </c>
      <c r="H1903" s="703" t="s">
        <v>334</v>
      </c>
      <c r="I1903" s="703" t="s">
        <v>334</v>
      </c>
      <c r="J1903" s="703" t="s">
        <v>337</v>
      </c>
      <c r="K1903" s="704">
        <v>0</v>
      </c>
      <c r="L1903" s="703" t="s">
        <v>334</v>
      </c>
      <c r="M1903" s="702">
        <v>43251</v>
      </c>
      <c r="N1903" s="702">
        <v>44516</v>
      </c>
      <c r="O1903" s="703" t="s">
        <v>338</v>
      </c>
      <c r="P1903" s="20">
        <v>32.24</v>
      </c>
      <c r="Q1903" s="20">
        <v>0</v>
      </c>
      <c r="R1903" s="20">
        <v>0</v>
      </c>
      <c r="S1903" s="20">
        <v>0</v>
      </c>
      <c r="T1903" s="20">
        <v>32.24</v>
      </c>
      <c r="U1903" s="20">
        <v>32.15</v>
      </c>
      <c r="V1903" s="20">
        <v>-0.09</v>
      </c>
      <c r="W1903" s="20">
        <v>-1.1599999999999999</v>
      </c>
      <c r="X1903" s="20">
        <v>-1.07</v>
      </c>
      <c r="Y1903" s="20">
        <v>0</v>
      </c>
      <c r="Z1903" s="20">
        <v>0</v>
      </c>
      <c r="AA1903" s="20">
        <v>0</v>
      </c>
      <c r="AB1903" s="20">
        <v>31.08</v>
      </c>
      <c r="AC1903" t="s">
        <v>188</v>
      </c>
      <c r="AD1903" t="s">
        <v>290</v>
      </c>
      <c r="AE1903" s="702">
        <f t="shared" si="145"/>
        <v>44348</v>
      </c>
      <c r="AF1903" s="289">
        <v>37.019424557070813</v>
      </c>
      <c r="AG1903">
        <f t="shared" si="146"/>
        <v>360</v>
      </c>
      <c r="AH1903" s="289">
        <f t="shared" si="147"/>
        <v>0.10283173488075226</v>
      </c>
      <c r="AJ1903" s="289">
        <f t="shared" si="148"/>
        <v>18</v>
      </c>
      <c r="AK1903" s="289">
        <f t="shared" si="149"/>
        <v>1.8509712278535406</v>
      </c>
    </row>
    <row r="1904" spans="1:37">
      <c r="A1904" s="703" t="s">
        <v>3435</v>
      </c>
      <c r="B1904" s="703" t="s">
        <v>2849</v>
      </c>
      <c r="C1904" s="703" t="s">
        <v>390</v>
      </c>
      <c r="D1904" s="703" t="s">
        <v>334</v>
      </c>
      <c r="E1904" s="703" t="s">
        <v>334</v>
      </c>
      <c r="F1904" s="703" t="s">
        <v>335</v>
      </c>
      <c r="G1904" s="703" t="s">
        <v>3433</v>
      </c>
      <c r="H1904" s="703" t="s">
        <v>334</v>
      </c>
      <c r="I1904" s="703" t="s">
        <v>334</v>
      </c>
      <c r="J1904" s="703" t="s">
        <v>337</v>
      </c>
      <c r="K1904" s="704">
        <v>0</v>
      </c>
      <c r="L1904" s="703" t="s">
        <v>334</v>
      </c>
      <c r="M1904" s="702">
        <v>43251</v>
      </c>
      <c r="N1904" s="702">
        <v>44516</v>
      </c>
      <c r="O1904" s="703" t="s">
        <v>338</v>
      </c>
      <c r="P1904" s="20">
        <v>41.87</v>
      </c>
      <c r="Q1904" s="20">
        <v>0</v>
      </c>
      <c r="R1904" s="20">
        <v>0</v>
      </c>
      <c r="S1904" s="20">
        <v>0</v>
      </c>
      <c r="T1904" s="20">
        <v>41.87</v>
      </c>
      <c r="U1904" s="20">
        <v>41.75</v>
      </c>
      <c r="V1904" s="20">
        <v>-0.12</v>
      </c>
      <c r="W1904" s="20">
        <v>-1.52</v>
      </c>
      <c r="X1904" s="20">
        <v>-1.4</v>
      </c>
      <c r="Y1904" s="20">
        <v>0</v>
      </c>
      <c r="Z1904" s="20">
        <v>0</v>
      </c>
      <c r="AA1904" s="20">
        <v>0</v>
      </c>
      <c r="AB1904" s="20">
        <v>40.35</v>
      </c>
      <c r="AC1904" t="s">
        <v>188</v>
      </c>
      <c r="AD1904" t="s">
        <v>290</v>
      </c>
      <c r="AE1904" s="702">
        <f t="shared" si="145"/>
        <v>44348</v>
      </c>
      <c r="AF1904" s="289">
        <v>48.077025626692141</v>
      </c>
      <c r="AG1904">
        <f t="shared" si="146"/>
        <v>360</v>
      </c>
      <c r="AH1904" s="289">
        <f t="shared" si="147"/>
        <v>0.13354729340747817</v>
      </c>
      <c r="AJ1904" s="289">
        <f t="shared" si="148"/>
        <v>18</v>
      </c>
      <c r="AK1904" s="289">
        <f t="shared" si="149"/>
        <v>2.4038512813346071</v>
      </c>
    </row>
    <row r="1905" spans="1:37">
      <c r="A1905" s="703" t="s">
        <v>3436</v>
      </c>
      <c r="B1905" s="703" t="s">
        <v>2849</v>
      </c>
      <c r="C1905" s="703" t="s">
        <v>390</v>
      </c>
      <c r="D1905" s="703" t="s">
        <v>334</v>
      </c>
      <c r="E1905" s="703" t="s">
        <v>334</v>
      </c>
      <c r="F1905" s="703" t="s">
        <v>335</v>
      </c>
      <c r="G1905" s="703" t="s">
        <v>3433</v>
      </c>
      <c r="H1905" s="703" t="s">
        <v>334</v>
      </c>
      <c r="I1905" s="703" t="s">
        <v>334</v>
      </c>
      <c r="J1905" s="703" t="s">
        <v>337</v>
      </c>
      <c r="K1905" s="704">
        <v>0</v>
      </c>
      <c r="L1905" s="703" t="s">
        <v>334</v>
      </c>
      <c r="M1905" s="702">
        <v>43251</v>
      </c>
      <c r="N1905" s="702">
        <v>44516</v>
      </c>
      <c r="O1905" s="703" t="s">
        <v>338</v>
      </c>
      <c r="P1905" s="20">
        <v>4.2</v>
      </c>
      <c r="Q1905" s="20">
        <v>0</v>
      </c>
      <c r="R1905" s="20">
        <v>0</v>
      </c>
      <c r="S1905" s="20">
        <v>0</v>
      </c>
      <c r="T1905" s="20">
        <v>4.2</v>
      </c>
      <c r="U1905" s="20">
        <v>4.1900000000000004</v>
      </c>
      <c r="V1905" s="20">
        <v>-0.01</v>
      </c>
      <c r="W1905" s="20">
        <v>-0.15</v>
      </c>
      <c r="X1905" s="20">
        <v>-0.14000000000000001</v>
      </c>
      <c r="Y1905" s="20">
        <v>0</v>
      </c>
      <c r="Z1905" s="20">
        <v>0</v>
      </c>
      <c r="AA1905" s="20">
        <v>0</v>
      </c>
      <c r="AB1905" s="20">
        <v>4.05</v>
      </c>
      <c r="AC1905" t="s">
        <v>188</v>
      </c>
      <c r="AD1905" t="s">
        <v>290</v>
      </c>
      <c r="AE1905" s="702">
        <f t="shared" si="145"/>
        <v>44348</v>
      </c>
      <c r="AF1905" s="289">
        <v>4.8226297499906146</v>
      </c>
      <c r="AG1905">
        <f t="shared" si="146"/>
        <v>360</v>
      </c>
      <c r="AH1905" s="289">
        <f t="shared" si="147"/>
        <v>1.3396193749973929E-2</v>
      </c>
      <c r="AJ1905" s="289">
        <f t="shared" si="148"/>
        <v>18</v>
      </c>
      <c r="AK1905" s="289">
        <f t="shared" si="149"/>
        <v>0.24113148749953073</v>
      </c>
    </row>
    <row r="1906" spans="1:37">
      <c r="A1906" s="703" t="s">
        <v>3437</v>
      </c>
      <c r="B1906" s="703" t="s">
        <v>2849</v>
      </c>
      <c r="C1906" s="703" t="s">
        <v>390</v>
      </c>
      <c r="D1906" s="703" t="s">
        <v>334</v>
      </c>
      <c r="E1906" s="703" t="s">
        <v>334</v>
      </c>
      <c r="F1906" s="703" t="s">
        <v>335</v>
      </c>
      <c r="G1906" s="703" t="s">
        <v>3433</v>
      </c>
      <c r="H1906" s="703" t="s">
        <v>334</v>
      </c>
      <c r="I1906" s="703" t="s">
        <v>334</v>
      </c>
      <c r="J1906" s="703" t="s">
        <v>337</v>
      </c>
      <c r="K1906" s="704">
        <v>0</v>
      </c>
      <c r="L1906" s="703" t="s">
        <v>334</v>
      </c>
      <c r="M1906" s="702">
        <v>43251</v>
      </c>
      <c r="N1906" s="702">
        <v>44516</v>
      </c>
      <c r="O1906" s="703" t="s">
        <v>338</v>
      </c>
      <c r="P1906" s="20">
        <v>9.49</v>
      </c>
      <c r="Q1906" s="20">
        <v>0</v>
      </c>
      <c r="R1906" s="20">
        <v>0</v>
      </c>
      <c r="S1906" s="20">
        <v>0</v>
      </c>
      <c r="T1906" s="20">
        <v>9.49</v>
      </c>
      <c r="U1906" s="20">
        <v>9.4600000000000009</v>
      </c>
      <c r="V1906" s="20">
        <v>-0.03</v>
      </c>
      <c r="W1906" s="20">
        <v>-0.35</v>
      </c>
      <c r="X1906" s="20">
        <v>-0.32</v>
      </c>
      <c r="Y1906" s="20">
        <v>0</v>
      </c>
      <c r="Z1906" s="20">
        <v>0</v>
      </c>
      <c r="AA1906" s="20">
        <v>0</v>
      </c>
      <c r="AB1906" s="20">
        <v>9.14</v>
      </c>
      <c r="AC1906" t="s">
        <v>188</v>
      </c>
      <c r="AD1906" t="s">
        <v>290</v>
      </c>
      <c r="AE1906" s="702">
        <f t="shared" si="145"/>
        <v>44348</v>
      </c>
      <c r="AF1906" s="289">
        <v>10.89684674462165</v>
      </c>
      <c r="AG1906">
        <f t="shared" si="146"/>
        <v>360</v>
      </c>
      <c r="AH1906" s="289">
        <f t="shared" si="147"/>
        <v>3.0269018735060139E-2</v>
      </c>
      <c r="AJ1906" s="289">
        <f t="shared" si="148"/>
        <v>18</v>
      </c>
      <c r="AK1906" s="289">
        <f t="shared" si="149"/>
        <v>0.54484233723108255</v>
      </c>
    </row>
    <row r="1907" spans="1:37">
      <c r="A1907" s="703" t="s">
        <v>3438</v>
      </c>
      <c r="B1907" s="703" t="s">
        <v>2849</v>
      </c>
      <c r="C1907" s="703" t="s">
        <v>390</v>
      </c>
      <c r="D1907" s="703" t="s">
        <v>334</v>
      </c>
      <c r="E1907" s="703" t="s">
        <v>334</v>
      </c>
      <c r="F1907" s="703" t="s">
        <v>335</v>
      </c>
      <c r="G1907" s="703" t="s">
        <v>3433</v>
      </c>
      <c r="H1907" s="703" t="s">
        <v>334</v>
      </c>
      <c r="I1907" s="703" t="s">
        <v>334</v>
      </c>
      <c r="J1907" s="703" t="s">
        <v>337</v>
      </c>
      <c r="K1907" s="704">
        <v>0</v>
      </c>
      <c r="L1907" s="703" t="s">
        <v>334</v>
      </c>
      <c r="M1907" s="702">
        <v>43251</v>
      </c>
      <c r="N1907" s="702">
        <v>44516</v>
      </c>
      <c r="O1907" s="703" t="s">
        <v>338</v>
      </c>
      <c r="P1907" s="20">
        <v>135.52000000000001</v>
      </c>
      <c r="Q1907" s="20">
        <v>0</v>
      </c>
      <c r="R1907" s="20">
        <v>0</v>
      </c>
      <c r="S1907" s="20">
        <v>0</v>
      </c>
      <c r="T1907" s="20">
        <v>135.52000000000001</v>
      </c>
      <c r="U1907" s="20">
        <v>135.13999999999999</v>
      </c>
      <c r="V1907" s="20">
        <v>-0.38</v>
      </c>
      <c r="W1907" s="20">
        <v>-4.9000000000000004</v>
      </c>
      <c r="X1907" s="20">
        <v>-4.5199999999999996</v>
      </c>
      <c r="Y1907" s="20">
        <v>0</v>
      </c>
      <c r="Z1907" s="20">
        <v>0</v>
      </c>
      <c r="AA1907" s="20">
        <v>0</v>
      </c>
      <c r="AB1907" s="20">
        <v>130.62</v>
      </c>
      <c r="AC1907" t="s">
        <v>188</v>
      </c>
      <c r="AD1907" t="s">
        <v>290</v>
      </c>
      <c r="AE1907" s="702">
        <f t="shared" si="145"/>
        <v>44348</v>
      </c>
      <c r="AF1907" s="289">
        <v>155.61018659969713</v>
      </c>
      <c r="AG1907">
        <f t="shared" si="146"/>
        <v>360</v>
      </c>
      <c r="AH1907" s="289">
        <f t="shared" si="147"/>
        <v>0.43225051833249201</v>
      </c>
      <c r="AJ1907" s="289">
        <f t="shared" si="148"/>
        <v>18</v>
      </c>
      <c r="AK1907" s="289">
        <f t="shared" si="149"/>
        <v>7.7805093299848558</v>
      </c>
    </row>
    <row r="1908" spans="1:37">
      <c r="A1908" s="703" t="s">
        <v>3439</v>
      </c>
      <c r="B1908" s="703" t="s">
        <v>2849</v>
      </c>
      <c r="C1908" s="703" t="s">
        <v>390</v>
      </c>
      <c r="D1908" s="703" t="s">
        <v>334</v>
      </c>
      <c r="E1908" s="703" t="s">
        <v>334</v>
      </c>
      <c r="F1908" s="703" t="s">
        <v>335</v>
      </c>
      <c r="G1908" s="703" t="s">
        <v>3433</v>
      </c>
      <c r="H1908" s="703" t="s">
        <v>334</v>
      </c>
      <c r="I1908" s="703" t="s">
        <v>334</v>
      </c>
      <c r="J1908" s="703" t="s">
        <v>337</v>
      </c>
      <c r="K1908" s="704">
        <v>0</v>
      </c>
      <c r="L1908" s="703" t="s">
        <v>334</v>
      </c>
      <c r="M1908" s="702">
        <v>43251</v>
      </c>
      <c r="N1908" s="702">
        <v>44516</v>
      </c>
      <c r="O1908" s="703" t="s">
        <v>338</v>
      </c>
      <c r="P1908" s="20">
        <v>39.159999999999997</v>
      </c>
      <c r="Q1908" s="20">
        <v>0</v>
      </c>
      <c r="R1908" s="20">
        <v>0</v>
      </c>
      <c r="S1908" s="20">
        <v>0</v>
      </c>
      <c r="T1908" s="20">
        <v>39.159999999999997</v>
      </c>
      <c r="U1908" s="20">
        <v>39.049999999999997</v>
      </c>
      <c r="V1908" s="20">
        <v>-0.11</v>
      </c>
      <c r="W1908" s="20">
        <v>-1.42</v>
      </c>
      <c r="X1908" s="20">
        <v>-1.31</v>
      </c>
      <c r="Y1908" s="20">
        <v>0</v>
      </c>
      <c r="Z1908" s="20">
        <v>0</v>
      </c>
      <c r="AA1908" s="20">
        <v>0</v>
      </c>
      <c r="AB1908" s="20">
        <v>37.74</v>
      </c>
      <c r="AC1908" t="s">
        <v>188</v>
      </c>
      <c r="AD1908" t="s">
        <v>290</v>
      </c>
      <c r="AE1908" s="702">
        <f t="shared" si="145"/>
        <v>44348</v>
      </c>
      <c r="AF1908" s="289">
        <v>44.965281192769623</v>
      </c>
      <c r="AG1908">
        <f t="shared" si="146"/>
        <v>360</v>
      </c>
      <c r="AH1908" s="289">
        <f t="shared" si="147"/>
        <v>0.12490355886880451</v>
      </c>
      <c r="AJ1908" s="289">
        <f t="shared" si="148"/>
        <v>18</v>
      </c>
      <c r="AK1908" s="289">
        <f t="shared" si="149"/>
        <v>2.2482640596384811</v>
      </c>
    </row>
    <row r="1909" spans="1:37">
      <c r="A1909" s="703" t="s">
        <v>3440</v>
      </c>
      <c r="B1909" s="703" t="s">
        <v>2849</v>
      </c>
      <c r="C1909" s="703" t="s">
        <v>390</v>
      </c>
      <c r="D1909" s="703" t="s">
        <v>334</v>
      </c>
      <c r="E1909" s="703" t="s">
        <v>334</v>
      </c>
      <c r="F1909" s="703" t="s">
        <v>335</v>
      </c>
      <c r="G1909" s="703" t="s">
        <v>3433</v>
      </c>
      <c r="H1909" s="703" t="s">
        <v>334</v>
      </c>
      <c r="I1909" s="703" t="s">
        <v>334</v>
      </c>
      <c r="J1909" s="703" t="s">
        <v>337</v>
      </c>
      <c r="K1909" s="704">
        <v>0</v>
      </c>
      <c r="L1909" s="703" t="s">
        <v>334</v>
      </c>
      <c r="M1909" s="702">
        <v>43251</v>
      </c>
      <c r="N1909" s="702">
        <v>44516</v>
      </c>
      <c r="O1909" s="703" t="s">
        <v>338</v>
      </c>
      <c r="P1909" s="20">
        <v>19.89</v>
      </c>
      <c r="Q1909" s="20">
        <v>0</v>
      </c>
      <c r="R1909" s="20">
        <v>0</v>
      </c>
      <c r="S1909" s="20">
        <v>0</v>
      </c>
      <c r="T1909" s="20">
        <v>19.89</v>
      </c>
      <c r="U1909" s="20">
        <v>19.829999999999998</v>
      </c>
      <c r="V1909" s="20">
        <v>-0.06</v>
      </c>
      <c r="W1909" s="20">
        <v>-0.72</v>
      </c>
      <c r="X1909" s="20">
        <v>-0.66</v>
      </c>
      <c r="Y1909" s="20">
        <v>0</v>
      </c>
      <c r="Z1909" s="20">
        <v>0</v>
      </c>
      <c r="AA1909" s="20">
        <v>0</v>
      </c>
      <c r="AB1909" s="20">
        <v>19.170000000000002</v>
      </c>
      <c r="AC1909" t="s">
        <v>188</v>
      </c>
      <c r="AD1909" t="s">
        <v>290</v>
      </c>
      <c r="AE1909" s="702">
        <f t="shared" si="145"/>
        <v>44348</v>
      </c>
      <c r="AF1909" s="289">
        <v>22.838596601741262</v>
      </c>
      <c r="AG1909">
        <f t="shared" si="146"/>
        <v>360</v>
      </c>
      <c r="AH1909" s="289">
        <f t="shared" si="147"/>
        <v>6.3440546115947946E-2</v>
      </c>
      <c r="AJ1909" s="289">
        <f t="shared" si="148"/>
        <v>18</v>
      </c>
      <c r="AK1909" s="289">
        <f t="shared" si="149"/>
        <v>1.1419298300870631</v>
      </c>
    </row>
    <row r="1910" spans="1:37">
      <c r="A1910" s="703" t="s">
        <v>3441</v>
      </c>
      <c r="B1910" s="703" t="s">
        <v>2849</v>
      </c>
      <c r="C1910" s="703" t="s">
        <v>390</v>
      </c>
      <c r="D1910" s="703" t="s">
        <v>334</v>
      </c>
      <c r="E1910" s="703" t="s">
        <v>334</v>
      </c>
      <c r="F1910" s="703" t="s">
        <v>335</v>
      </c>
      <c r="G1910" s="703" t="s">
        <v>3433</v>
      </c>
      <c r="H1910" s="703" t="s">
        <v>334</v>
      </c>
      <c r="I1910" s="703" t="s">
        <v>334</v>
      </c>
      <c r="J1910" s="703" t="s">
        <v>337</v>
      </c>
      <c r="K1910" s="704">
        <v>0</v>
      </c>
      <c r="L1910" s="703" t="s">
        <v>334</v>
      </c>
      <c r="M1910" s="702">
        <v>43251</v>
      </c>
      <c r="N1910" s="702">
        <v>44516</v>
      </c>
      <c r="O1910" s="703" t="s">
        <v>338</v>
      </c>
      <c r="P1910" s="20">
        <v>5.23</v>
      </c>
      <c r="Q1910" s="20">
        <v>0</v>
      </c>
      <c r="R1910" s="20">
        <v>0</v>
      </c>
      <c r="S1910" s="20">
        <v>0</v>
      </c>
      <c r="T1910" s="20">
        <v>5.23</v>
      </c>
      <c r="U1910" s="20">
        <v>5.22</v>
      </c>
      <c r="V1910" s="20">
        <v>-0.01</v>
      </c>
      <c r="W1910" s="20">
        <v>-0.18</v>
      </c>
      <c r="X1910" s="20">
        <v>-0.17</v>
      </c>
      <c r="Y1910" s="20">
        <v>0</v>
      </c>
      <c r="Z1910" s="20">
        <v>0</v>
      </c>
      <c r="AA1910" s="20">
        <v>0</v>
      </c>
      <c r="AB1910" s="20">
        <v>5.05</v>
      </c>
      <c r="AC1910" t="s">
        <v>188</v>
      </c>
      <c r="AD1910" t="s">
        <v>290</v>
      </c>
      <c r="AE1910" s="702">
        <f t="shared" si="145"/>
        <v>44348</v>
      </c>
      <c r="AF1910" s="289">
        <v>6.0053222839168834</v>
      </c>
      <c r="AG1910">
        <f t="shared" si="146"/>
        <v>360</v>
      </c>
      <c r="AH1910" s="289">
        <f t="shared" si="147"/>
        <v>1.6681450788658011E-2</v>
      </c>
      <c r="AJ1910" s="289">
        <f t="shared" si="148"/>
        <v>18</v>
      </c>
      <c r="AK1910" s="289">
        <f t="shared" si="149"/>
        <v>0.3002661141958442</v>
      </c>
    </row>
    <row r="1911" spans="1:37">
      <c r="A1911" s="703" t="s">
        <v>3442</v>
      </c>
      <c r="B1911" s="703" t="s">
        <v>2849</v>
      </c>
      <c r="C1911" s="703" t="s">
        <v>390</v>
      </c>
      <c r="D1911" s="703" t="s">
        <v>334</v>
      </c>
      <c r="E1911" s="703" t="s">
        <v>334</v>
      </c>
      <c r="F1911" s="703" t="s">
        <v>335</v>
      </c>
      <c r="G1911" s="703" t="s">
        <v>3433</v>
      </c>
      <c r="H1911" s="703" t="s">
        <v>334</v>
      </c>
      <c r="I1911" s="703" t="s">
        <v>334</v>
      </c>
      <c r="J1911" s="703" t="s">
        <v>337</v>
      </c>
      <c r="K1911" s="704">
        <v>0</v>
      </c>
      <c r="L1911" s="703" t="s">
        <v>334</v>
      </c>
      <c r="M1911" s="702">
        <v>43251</v>
      </c>
      <c r="N1911" s="702">
        <v>44516</v>
      </c>
      <c r="O1911" s="703" t="s">
        <v>338</v>
      </c>
      <c r="P1911" s="20">
        <v>36.32</v>
      </c>
      <c r="Q1911" s="20">
        <v>0</v>
      </c>
      <c r="R1911" s="20">
        <v>0</v>
      </c>
      <c r="S1911" s="20">
        <v>0</v>
      </c>
      <c r="T1911" s="20">
        <v>36.32</v>
      </c>
      <c r="U1911" s="20">
        <v>36.22</v>
      </c>
      <c r="V1911" s="20">
        <v>-0.1</v>
      </c>
      <c r="W1911" s="20">
        <v>-1.31</v>
      </c>
      <c r="X1911" s="20">
        <v>-1.21</v>
      </c>
      <c r="Y1911" s="20">
        <v>0</v>
      </c>
      <c r="Z1911" s="20">
        <v>0</v>
      </c>
      <c r="AA1911" s="20">
        <v>0</v>
      </c>
      <c r="AB1911" s="20">
        <v>35.01</v>
      </c>
      <c r="AC1911" t="s">
        <v>188</v>
      </c>
      <c r="AD1911" t="s">
        <v>290</v>
      </c>
      <c r="AE1911" s="702">
        <f t="shared" si="145"/>
        <v>44348</v>
      </c>
      <c r="AF1911" s="289">
        <v>41.704264885633116</v>
      </c>
      <c r="AG1911">
        <f t="shared" si="146"/>
        <v>360</v>
      </c>
      <c r="AH1911" s="289">
        <f t="shared" si="147"/>
        <v>0.11584518023786977</v>
      </c>
      <c r="AJ1911" s="289">
        <f t="shared" si="148"/>
        <v>18</v>
      </c>
      <c r="AK1911" s="289">
        <f t="shared" si="149"/>
        <v>2.0852132442816558</v>
      </c>
    </row>
    <row r="1912" spans="1:37">
      <c r="A1912" s="703" t="s">
        <v>3443</v>
      </c>
      <c r="B1912" s="703" t="s">
        <v>2849</v>
      </c>
      <c r="C1912" s="703" t="s">
        <v>390</v>
      </c>
      <c r="D1912" s="703" t="s">
        <v>334</v>
      </c>
      <c r="E1912" s="703" t="s">
        <v>334</v>
      </c>
      <c r="F1912" s="703" t="s">
        <v>335</v>
      </c>
      <c r="G1912" s="703" t="s">
        <v>3433</v>
      </c>
      <c r="H1912" s="703" t="s">
        <v>334</v>
      </c>
      <c r="I1912" s="703" t="s">
        <v>334</v>
      </c>
      <c r="J1912" s="703" t="s">
        <v>337</v>
      </c>
      <c r="K1912" s="704">
        <v>0</v>
      </c>
      <c r="L1912" s="703" t="s">
        <v>334</v>
      </c>
      <c r="M1912" s="702">
        <v>43251</v>
      </c>
      <c r="N1912" s="702">
        <v>44516</v>
      </c>
      <c r="O1912" s="703" t="s">
        <v>338</v>
      </c>
      <c r="P1912" s="20">
        <v>37.049999999999997</v>
      </c>
      <c r="Q1912" s="20">
        <v>0</v>
      </c>
      <c r="R1912" s="20">
        <v>0</v>
      </c>
      <c r="S1912" s="20">
        <v>0</v>
      </c>
      <c r="T1912" s="20">
        <v>37.049999999999997</v>
      </c>
      <c r="U1912" s="20">
        <v>36.950000000000003</v>
      </c>
      <c r="V1912" s="20">
        <v>-0.1</v>
      </c>
      <c r="W1912" s="20">
        <v>-1.34</v>
      </c>
      <c r="X1912" s="20">
        <v>-1.24</v>
      </c>
      <c r="Y1912" s="20">
        <v>0</v>
      </c>
      <c r="Z1912" s="20">
        <v>0</v>
      </c>
      <c r="AA1912" s="20">
        <v>0</v>
      </c>
      <c r="AB1912" s="20">
        <v>35.71</v>
      </c>
      <c r="AC1912" t="s">
        <v>188</v>
      </c>
      <c r="AD1912" t="s">
        <v>290</v>
      </c>
      <c r="AE1912" s="702">
        <f t="shared" si="145"/>
        <v>44348</v>
      </c>
      <c r="AF1912" s="289">
        <v>42.542483865988629</v>
      </c>
      <c r="AG1912">
        <f t="shared" si="146"/>
        <v>360</v>
      </c>
      <c r="AH1912" s="289">
        <f t="shared" si="147"/>
        <v>0.11817356629441286</v>
      </c>
      <c r="AJ1912" s="289">
        <f t="shared" si="148"/>
        <v>18</v>
      </c>
      <c r="AK1912" s="289">
        <f t="shared" si="149"/>
        <v>2.1271241932994314</v>
      </c>
    </row>
    <row r="1913" spans="1:37">
      <c r="A1913" s="703" t="s">
        <v>3444</v>
      </c>
      <c r="B1913" s="703" t="s">
        <v>2849</v>
      </c>
      <c r="C1913" s="703" t="s">
        <v>390</v>
      </c>
      <c r="D1913" s="703" t="s">
        <v>334</v>
      </c>
      <c r="E1913" s="703" t="s">
        <v>334</v>
      </c>
      <c r="F1913" s="703" t="s">
        <v>335</v>
      </c>
      <c r="G1913" s="703" t="s">
        <v>3433</v>
      </c>
      <c r="H1913" s="703" t="s">
        <v>334</v>
      </c>
      <c r="I1913" s="703" t="s">
        <v>334</v>
      </c>
      <c r="J1913" s="703" t="s">
        <v>337</v>
      </c>
      <c r="K1913" s="704">
        <v>0</v>
      </c>
      <c r="L1913" s="703" t="s">
        <v>334</v>
      </c>
      <c r="M1913" s="702">
        <v>43251</v>
      </c>
      <c r="N1913" s="702">
        <v>44516</v>
      </c>
      <c r="O1913" s="703" t="s">
        <v>338</v>
      </c>
      <c r="P1913" s="20">
        <v>151.65</v>
      </c>
      <c r="Q1913" s="20">
        <v>0</v>
      </c>
      <c r="R1913" s="20">
        <v>0</v>
      </c>
      <c r="S1913" s="20">
        <v>0</v>
      </c>
      <c r="T1913" s="20">
        <v>151.65</v>
      </c>
      <c r="U1913" s="20">
        <v>151.22999999999999</v>
      </c>
      <c r="V1913" s="20">
        <v>-0.42</v>
      </c>
      <c r="W1913" s="20">
        <v>-5.48</v>
      </c>
      <c r="X1913" s="20">
        <v>-5.0599999999999996</v>
      </c>
      <c r="Y1913" s="20">
        <v>0</v>
      </c>
      <c r="Z1913" s="20">
        <v>0</v>
      </c>
      <c r="AA1913" s="20">
        <v>0</v>
      </c>
      <c r="AB1913" s="20">
        <v>146.16999999999999</v>
      </c>
      <c r="AC1913" t="s">
        <v>188</v>
      </c>
      <c r="AD1913" t="s">
        <v>290</v>
      </c>
      <c r="AE1913" s="702">
        <f t="shared" si="145"/>
        <v>44348</v>
      </c>
      <c r="AF1913" s="289">
        <v>174.13138133001826</v>
      </c>
      <c r="AG1913">
        <f t="shared" si="146"/>
        <v>360</v>
      </c>
      <c r="AH1913" s="289">
        <f t="shared" si="147"/>
        <v>0.48369828147227295</v>
      </c>
      <c r="AJ1913" s="289">
        <f t="shared" si="148"/>
        <v>18</v>
      </c>
      <c r="AK1913" s="289">
        <f t="shared" si="149"/>
        <v>8.7065690665009132</v>
      </c>
    </row>
    <row r="1914" spans="1:37">
      <c r="A1914" s="703" t="s">
        <v>3445</v>
      </c>
      <c r="B1914" s="703" t="s">
        <v>2849</v>
      </c>
      <c r="C1914" s="703" t="s">
        <v>390</v>
      </c>
      <c r="D1914" s="703" t="s">
        <v>334</v>
      </c>
      <c r="E1914" s="703" t="s">
        <v>334</v>
      </c>
      <c r="F1914" s="703" t="s">
        <v>335</v>
      </c>
      <c r="G1914" s="703" t="s">
        <v>3433</v>
      </c>
      <c r="H1914" s="703" t="s">
        <v>334</v>
      </c>
      <c r="I1914" s="703" t="s">
        <v>334</v>
      </c>
      <c r="J1914" s="703" t="s">
        <v>337</v>
      </c>
      <c r="K1914" s="704">
        <v>0</v>
      </c>
      <c r="L1914" s="703" t="s">
        <v>334</v>
      </c>
      <c r="M1914" s="702">
        <v>43251</v>
      </c>
      <c r="N1914" s="702">
        <v>44516</v>
      </c>
      <c r="O1914" s="703" t="s">
        <v>338</v>
      </c>
      <c r="P1914" s="20">
        <v>87.21</v>
      </c>
      <c r="Q1914" s="20">
        <v>0</v>
      </c>
      <c r="R1914" s="20">
        <v>0</v>
      </c>
      <c r="S1914" s="20">
        <v>0</v>
      </c>
      <c r="T1914" s="20">
        <v>87.21</v>
      </c>
      <c r="U1914" s="20">
        <v>86.97</v>
      </c>
      <c r="V1914" s="20">
        <v>-0.24</v>
      </c>
      <c r="W1914" s="20">
        <v>-3.15</v>
      </c>
      <c r="X1914" s="20">
        <v>-2.91</v>
      </c>
      <c r="Y1914" s="20">
        <v>0</v>
      </c>
      <c r="Z1914" s="20">
        <v>0</v>
      </c>
      <c r="AA1914" s="20">
        <v>0</v>
      </c>
      <c r="AB1914" s="20">
        <v>84.06</v>
      </c>
      <c r="AC1914" t="s">
        <v>188</v>
      </c>
      <c r="AD1914" t="s">
        <v>290</v>
      </c>
      <c r="AE1914" s="702">
        <f t="shared" si="145"/>
        <v>44348</v>
      </c>
      <c r="AF1914" s="289">
        <v>100.13846202301939</v>
      </c>
      <c r="AG1914">
        <f t="shared" si="146"/>
        <v>360</v>
      </c>
      <c r="AH1914" s="289">
        <f t="shared" si="147"/>
        <v>0.2781623945083872</v>
      </c>
      <c r="AJ1914" s="289">
        <f t="shared" si="148"/>
        <v>18</v>
      </c>
      <c r="AK1914" s="289">
        <f t="shared" si="149"/>
        <v>5.0069231011509698</v>
      </c>
    </row>
    <row r="1915" spans="1:37">
      <c r="A1915" s="703" t="s">
        <v>3446</v>
      </c>
      <c r="B1915" s="703" t="s">
        <v>2849</v>
      </c>
      <c r="C1915" s="703" t="s">
        <v>390</v>
      </c>
      <c r="D1915" s="703" t="s">
        <v>334</v>
      </c>
      <c r="E1915" s="703" t="s">
        <v>334</v>
      </c>
      <c r="F1915" s="703" t="s">
        <v>335</v>
      </c>
      <c r="G1915" s="703" t="s">
        <v>3433</v>
      </c>
      <c r="H1915" s="703" t="s">
        <v>334</v>
      </c>
      <c r="I1915" s="703" t="s">
        <v>334</v>
      </c>
      <c r="J1915" s="703" t="s">
        <v>337</v>
      </c>
      <c r="K1915" s="704">
        <v>0</v>
      </c>
      <c r="L1915" s="703" t="s">
        <v>334</v>
      </c>
      <c r="M1915" s="702">
        <v>43251</v>
      </c>
      <c r="N1915" s="702">
        <v>44516</v>
      </c>
      <c r="O1915" s="703" t="s">
        <v>338</v>
      </c>
      <c r="P1915" s="20">
        <v>103.47</v>
      </c>
      <c r="Q1915" s="20">
        <v>0</v>
      </c>
      <c r="R1915" s="20">
        <v>0</v>
      </c>
      <c r="S1915" s="20">
        <v>0</v>
      </c>
      <c r="T1915" s="20">
        <v>103.47</v>
      </c>
      <c r="U1915" s="20">
        <v>103.18</v>
      </c>
      <c r="V1915" s="20">
        <v>-0.28999999999999998</v>
      </c>
      <c r="W1915" s="20">
        <v>-3.74</v>
      </c>
      <c r="X1915" s="20">
        <v>-3.45</v>
      </c>
      <c r="Y1915" s="20">
        <v>0</v>
      </c>
      <c r="Z1915" s="20">
        <v>0</v>
      </c>
      <c r="AA1915" s="20">
        <v>0</v>
      </c>
      <c r="AB1915" s="20">
        <v>99.73</v>
      </c>
      <c r="AC1915" t="s">
        <v>188</v>
      </c>
      <c r="AD1915" t="s">
        <v>290</v>
      </c>
      <c r="AE1915" s="702">
        <f t="shared" si="145"/>
        <v>44348</v>
      </c>
      <c r="AF1915" s="289">
        <v>118.80892862655448</v>
      </c>
      <c r="AG1915">
        <f t="shared" si="146"/>
        <v>360</v>
      </c>
      <c r="AH1915" s="289">
        <f t="shared" si="147"/>
        <v>0.33002480174042909</v>
      </c>
      <c r="AJ1915" s="289">
        <f t="shared" si="148"/>
        <v>18</v>
      </c>
      <c r="AK1915" s="289">
        <f t="shared" si="149"/>
        <v>5.9404464313277234</v>
      </c>
    </row>
    <row r="1916" spans="1:37">
      <c r="A1916" s="703" t="s">
        <v>3447</v>
      </c>
      <c r="B1916" s="703" t="s">
        <v>2849</v>
      </c>
      <c r="C1916" s="703" t="s">
        <v>390</v>
      </c>
      <c r="D1916" s="703" t="s">
        <v>334</v>
      </c>
      <c r="E1916" s="703" t="s">
        <v>334</v>
      </c>
      <c r="F1916" s="703" t="s">
        <v>335</v>
      </c>
      <c r="G1916" s="703" t="s">
        <v>3433</v>
      </c>
      <c r="H1916" s="703" t="s">
        <v>334</v>
      </c>
      <c r="I1916" s="703" t="s">
        <v>334</v>
      </c>
      <c r="J1916" s="703" t="s">
        <v>337</v>
      </c>
      <c r="K1916" s="704">
        <v>0</v>
      </c>
      <c r="L1916" s="703" t="s">
        <v>334</v>
      </c>
      <c r="M1916" s="702">
        <v>43251</v>
      </c>
      <c r="N1916" s="702">
        <v>44516</v>
      </c>
      <c r="O1916" s="703" t="s">
        <v>338</v>
      </c>
      <c r="P1916" s="20">
        <v>66.36</v>
      </c>
      <c r="Q1916" s="20">
        <v>0</v>
      </c>
      <c r="R1916" s="20">
        <v>0</v>
      </c>
      <c r="S1916" s="20">
        <v>0</v>
      </c>
      <c r="T1916" s="20">
        <v>66.36</v>
      </c>
      <c r="U1916" s="20">
        <v>66.180000000000007</v>
      </c>
      <c r="V1916" s="20">
        <v>-0.18</v>
      </c>
      <c r="W1916" s="20">
        <v>-2.39</v>
      </c>
      <c r="X1916" s="20">
        <v>-2.21</v>
      </c>
      <c r="Y1916" s="20">
        <v>0</v>
      </c>
      <c r="Z1916" s="20">
        <v>0</v>
      </c>
      <c r="AA1916" s="20">
        <v>0</v>
      </c>
      <c r="AB1916" s="20">
        <v>63.97</v>
      </c>
      <c r="AC1916" t="s">
        <v>188</v>
      </c>
      <c r="AD1916" t="s">
        <v>290</v>
      </c>
      <c r="AE1916" s="702">
        <f t="shared" si="145"/>
        <v>44348</v>
      </c>
      <c r="AF1916" s="289">
        <v>76.197550049851699</v>
      </c>
      <c r="AG1916">
        <f t="shared" si="146"/>
        <v>360</v>
      </c>
      <c r="AH1916" s="289">
        <f t="shared" si="147"/>
        <v>0.21165986124958805</v>
      </c>
      <c r="AJ1916" s="289">
        <f t="shared" si="148"/>
        <v>18</v>
      </c>
      <c r="AK1916" s="289">
        <f t="shared" si="149"/>
        <v>3.8098775024925851</v>
      </c>
    </row>
    <row r="1917" spans="1:37">
      <c r="A1917" s="703" t="s">
        <v>3448</v>
      </c>
      <c r="B1917" s="703" t="s">
        <v>2849</v>
      </c>
      <c r="C1917" s="703" t="s">
        <v>390</v>
      </c>
      <c r="D1917" s="703" t="s">
        <v>334</v>
      </c>
      <c r="E1917" s="703" t="s">
        <v>334</v>
      </c>
      <c r="F1917" s="703" t="s">
        <v>335</v>
      </c>
      <c r="G1917" s="703" t="s">
        <v>3433</v>
      </c>
      <c r="H1917" s="703" t="s">
        <v>334</v>
      </c>
      <c r="I1917" s="703" t="s">
        <v>334</v>
      </c>
      <c r="J1917" s="703" t="s">
        <v>337</v>
      </c>
      <c r="K1917" s="704">
        <v>0</v>
      </c>
      <c r="L1917" s="703" t="s">
        <v>334</v>
      </c>
      <c r="M1917" s="702">
        <v>43251</v>
      </c>
      <c r="N1917" s="702">
        <v>44516</v>
      </c>
      <c r="O1917" s="703" t="s">
        <v>338</v>
      </c>
      <c r="P1917" s="20">
        <v>246.51</v>
      </c>
      <c r="Q1917" s="20">
        <v>0</v>
      </c>
      <c r="R1917" s="20">
        <v>0</v>
      </c>
      <c r="S1917" s="20">
        <v>0</v>
      </c>
      <c r="T1917" s="20">
        <v>246.51</v>
      </c>
      <c r="U1917" s="20">
        <v>245.83</v>
      </c>
      <c r="V1917" s="20">
        <v>-0.68</v>
      </c>
      <c r="W1917" s="20">
        <v>-8.9</v>
      </c>
      <c r="X1917" s="20">
        <v>-8.2200000000000006</v>
      </c>
      <c r="Y1917" s="20">
        <v>0</v>
      </c>
      <c r="Z1917" s="20">
        <v>0</v>
      </c>
      <c r="AA1917" s="20">
        <v>0</v>
      </c>
      <c r="AB1917" s="20">
        <v>237.61</v>
      </c>
      <c r="AC1917" t="s">
        <v>188</v>
      </c>
      <c r="AD1917" t="s">
        <v>290</v>
      </c>
      <c r="AE1917" s="702">
        <f t="shared" si="145"/>
        <v>44348</v>
      </c>
      <c r="AF1917" s="289">
        <v>283.05391896909191</v>
      </c>
      <c r="AG1917">
        <f t="shared" si="146"/>
        <v>360</v>
      </c>
      <c r="AH1917" s="289">
        <f t="shared" si="147"/>
        <v>0.78626088602525535</v>
      </c>
      <c r="AJ1917" s="289">
        <f t="shared" si="148"/>
        <v>18</v>
      </c>
      <c r="AK1917" s="289">
        <f t="shared" si="149"/>
        <v>14.152695948454596</v>
      </c>
    </row>
    <row r="1918" spans="1:37">
      <c r="A1918" s="703" t="s">
        <v>3449</v>
      </c>
      <c r="B1918" s="703" t="s">
        <v>2849</v>
      </c>
      <c r="C1918" s="703" t="s">
        <v>390</v>
      </c>
      <c r="D1918" s="703" t="s">
        <v>334</v>
      </c>
      <c r="E1918" s="703" t="s">
        <v>334</v>
      </c>
      <c r="F1918" s="703" t="s">
        <v>335</v>
      </c>
      <c r="G1918" s="703" t="s">
        <v>3433</v>
      </c>
      <c r="H1918" s="703" t="s">
        <v>334</v>
      </c>
      <c r="I1918" s="703" t="s">
        <v>334</v>
      </c>
      <c r="J1918" s="703" t="s">
        <v>337</v>
      </c>
      <c r="K1918" s="704">
        <v>0</v>
      </c>
      <c r="L1918" s="703" t="s">
        <v>334</v>
      </c>
      <c r="M1918" s="702">
        <v>43251</v>
      </c>
      <c r="N1918" s="702">
        <v>44516</v>
      </c>
      <c r="O1918" s="703" t="s">
        <v>338</v>
      </c>
      <c r="P1918" s="20">
        <v>187.04</v>
      </c>
      <c r="Q1918" s="20">
        <v>0</v>
      </c>
      <c r="R1918" s="20">
        <v>0</v>
      </c>
      <c r="S1918" s="20">
        <v>0</v>
      </c>
      <c r="T1918" s="20">
        <v>187.04</v>
      </c>
      <c r="U1918" s="20">
        <v>186.52</v>
      </c>
      <c r="V1918" s="20">
        <v>-0.52</v>
      </c>
      <c r="W1918" s="20">
        <v>-6.75</v>
      </c>
      <c r="X1918" s="20">
        <v>-6.23</v>
      </c>
      <c r="Y1918" s="20">
        <v>0</v>
      </c>
      <c r="Z1918" s="20">
        <v>0</v>
      </c>
      <c r="AA1918" s="20">
        <v>0</v>
      </c>
      <c r="AB1918" s="20">
        <v>180.29</v>
      </c>
      <c r="AC1918" t="s">
        <v>188</v>
      </c>
      <c r="AD1918" t="s">
        <v>290</v>
      </c>
      <c r="AE1918" s="702">
        <f t="shared" si="145"/>
        <v>44348</v>
      </c>
      <c r="AF1918" s="289">
        <v>214.76777819958201</v>
      </c>
      <c r="AG1918">
        <f t="shared" si="146"/>
        <v>360</v>
      </c>
      <c r="AH1918" s="289">
        <f t="shared" si="147"/>
        <v>0.59657716166550556</v>
      </c>
      <c r="AJ1918" s="289">
        <f t="shared" si="148"/>
        <v>18</v>
      </c>
      <c r="AK1918" s="289">
        <f t="shared" si="149"/>
        <v>10.738388909979101</v>
      </c>
    </row>
    <row r="1919" spans="1:37">
      <c r="A1919" s="703" t="s">
        <v>3450</v>
      </c>
      <c r="B1919" s="703" t="s">
        <v>2849</v>
      </c>
      <c r="C1919" s="703" t="s">
        <v>390</v>
      </c>
      <c r="D1919" s="703" t="s">
        <v>334</v>
      </c>
      <c r="E1919" s="703" t="s">
        <v>334</v>
      </c>
      <c r="F1919" s="703" t="s">
        <v>335</v>
      </c>
      <c r="G1919" s="703" t="s">
        <v>3433</v>
      </c>
      <c r="H1919" s="703" t="s">
        <v>334</v>
      </c>
      <c r="I1919" s="703" t="s">
        <v>334</v>
      </c>
      <c r="J1919" s="703" t="s">
        <v>337</v>
      </c>
      <c r="K1919" s="704">
        <v>0</v>
      </c>
      <c r="L1919" s="703" t="s">
        <v>334</v>
      </c>
      <c r="M1919" s="702">
        <v>43251</v>
      </c>
      <c r="N1919" s="702">
        <v>44516</v>
      </c>
      <c r="O1919" s="703" t="s">
        <v>338</v>
      </c>
      <c r="P1919" s="20">
        <v>485.98</v>
      </c>
      <c r="Q1919" s="20">
        <v>0</v>
      </c>
      <c r="R1919" s="20">
        <v>0</v>
      </c>
      <c r="S1919" s="20">
        <v>0</v>
      </c>
      <c r="T1919" s="20">
        <v>485.98</v>
      </c>
      <c r="U1919" s="20">
        <v>484.63</v>
      </c>
      <c r="V1919" s="20">
        <v>-1.35</v>
      </c>
      <c r="W1919" s="20">
        <v>-17.55</v>
      </c>
      <c r="X1919" s="20">
        <v>-16.2</v>
      </c>
      <c r="Y1919" s="20">
        <v>0</v>
      </c>
      <c r="Z1919" s="20">
        <v>0</v>
      </c>
      <c r="AA1919" s="20">
        <v>0</v>
      </c>
      <c r="AB1919" s="20">
        <v>468.43</v>
      </c>
      <c r="AC1919" t="s">
        <v>188</v>
      </c>
      <c r="AD1919" t="s">
        <v>290</v>
      </c>
      <c r="AE1919" s="702">
        <f t="shared" si="145"/>
        <v>44348</v>
      </c>
      <c r="AF1919" s="289">
        <v>558.02419188105671</v>
      </c>
      <c r="AG1919">
        <f t="shared" si="146"/>
        <v>360</v>
      </c>
      <c r="AH1919" s="289">
        <f t="shared" si="147"/>
        <v>1.550067199669602</v>
      </c>
      <c r="AJ1919" s="289">
        <f t="shared" si="148"/>
        <v>18</v>
      </c>
      <c r="AK1919" s="289">
        <f t="shared" si="149"/>
        <v>27.901209594052837</v>
      </c>
    </row>
    <row r="1920" spans="1:37">
      <c r="A1920" s="703" t="s">
        <v>3451</v>
      </c>
      <c r="B1920" s="703" t="s">
        <v>2849</v>
      </c>
      <c r="C1920" s="703" t="s">
        <v>390</v>
      </c>
      <c r="D1920" s="703" t="s">
        <v>334</v>
      </c>
      <c r="E1920" s="703" t="s">
        <v>334</v>
      </c>
      <c r="F1920" s="703" t="s">
        <v>335</v>
      </c>
      <c r="G1920" s="703" t="s">
        <v>3433</v>
      </c>
      <c r="H1920" s="703" t="s">
        <v>334</v>
      </c>
      <c r="I1920" s="703" t="s">
        <v>334</v>
      </c>
      <c r="J1920" s="703" t="s">
        <v>337</v>
      </c>
      <c r="K1920" s="704">
        <v>0</v>
      </c>
      <c r="L1920" s="703" t="s">
        <v>334</v>
      </c>
      <c r="M1920" s="702">
        <v>43251</v>
      </c>
      <c r="N1920" s="702">
        <v>44516</v>
      </c>
      <c r="O1920" s="703" t="s">
        <v>338</v>
      </c>
      <c r="P1920" s="20">
        <v>572.53</v>
      </c>
      <c r="Q1920" s="20">
        <v>0</v>
      </c>
      <c r="R1920" s="20">
        <v>0</v>
      </c>
      <c r="S1920" s="20">
        <v>0</v>
      </c>
      <c r="T1920" s="20">
        <v>572.53</v>
      </c>
      <c r="U1920" s="20">
        <v>570.94000000000005</v>
      </c>
      <c r="V1920" s="20">
        <v>-1.59</v>
      </c>
      <c r="W1920" s="20">
        <v>-20.67</v>
      </c>
      <c r="X1920" s="20">
        <v>-19.079999999999998</v>
      </c>
      <c r="Y1920" s="20">
        <v>0</v>
      </c>
      <c r="Z1920" s="20">
        <v>0</v>
      </c>
      <c r="AA1920" s="20">
        <v>0</v>
      </c>
      <c r="AB1920" s="20">
        <v>551.86</v>
      </c>
      <c r="AC1920" t="s">
        <v>188</v>
      </c>
      <c r="AD1920" t="s">
        <v>290</v>
      </c>
      <c r="AE1920" s="702">
        <f t="shared" si="145"/>
        <v>44348</v>
      </c>
      <c r="AF1920" s="289">
        <v>657.40481208622043</v>
      </c>
      <c r="AG1920">
        <f t="shared" si="146"/>
        <v>360</v>
      </c>
      <c r="AH1920" s="289">
        <f t="shared" si="147"/>
        <v>1.826124478017279</v>
      </c>
      <c r="AJ1920" s="289">
        <f t="shared" si="148"/>
        <v>18</v>
      </c>
      <c r="AK1920" s="289">
        <f t="shared" si="149"/>
        <v>32.870240604311022</v>
      </c>
    </row>
    <row r="1921" spans="1:37">
      <c r="A1921" s="703" t="s">
        <v>3452</v>
      </c>
      <c r="B1921" s="703" t="s">
        <v>2849</v>
      </c>
      <c r="C1921" s="703" t="s">
        <v>390</v>
      </c>
      <c r="D1921" s="703" t="s">
        <v>334</v>
      </c>
      <c r="E1921" s="703" t="s">
        <v>334</v>
      </c>
      <c r="F1921" s="703" t="s">
        <v>335</v>
      </c>
      <c r="G1921" s="703" t="s">
        <v>3433</v>
      </c>
      <c r="H1921" s="703" t="s">
        <v>334</v>
      </c>
      <c r="I1921" s="703" t="s">
        <v>334</v>
      </c>
      <c r="J1921" s="703" t="s">
        <v>337</v>
      </c>
      <c r="K1921" s="704">
        <v>0</v>
      </c>
      <c r="L1921" s="703" t="s">
        <v>334</v>
      </c>
      <c r="M1921" s="702">
        <v>43251</v>
      </c>
      <c r="N1921" s="702">
        <v>44516</v>
      </c>
      <c r="O1921" s="703" t="s">
        <v>338</v>
      </c>
      <c r="P1921" s="20">
        <v>105.22</v>
      </c>
      <c r="Q1921" s="20">
        <v>0</v>
      </c>
      <c r="R1921" s="20">
        <v>0</v>
      </c>
      <c r="S1921" s="20">
        <v>0</v>
      </c>
      <c r="T1921" s="20">
        <v>105.22</v>
      </c>
      <c r="U1921" s="20">
        <v>104.93</v>
      </c>
      <c r="V1921" s="20">
        <v>-0.28999999999999998</v>
      </c>
      <c r="W1921" s="20">
        <v>-3.8</v>
      </c>
      <c r="X1921" s="20">
        <v>-3.51</v>
      </c>
      <c r="Y1921" s="20">
        <v>0</v>
      </c>
      <c r="Z1921" s="20">
        <v>0</v>
      </c>
      <c r="AA1921" s="20">
        <v>0</v>
      </c>
      <c r="AB1921" s="20">
        <v>101.42</v>
      </c>
      <c r="AC1921" t="s">
        <v>188</v>
      </c>
      <c r="AD1921" t="s">
        <v>290</v>
      </c>
      <c r="AE1921" s="702">
        <f t="shared" si="145"/>
        <v>44348</v>
      </c>
      <c r="AF1921" s="289">
        <v>120.81835768905056</v>
      </c>
      <c r="AG1921">
        <f t="shared" si="146"/>
        <v>360</v>
      </c>
      <c r="AH1921" s="289">
        <f t="shared" si="147"/>
        <v>0.33560654913625154</v>
      </c>
      <c r="AJ1921" s="289">
        <f t="shared" si="148"/>
        <v>18</v>
      </c>
      <c r="AK1921" s="289">
        <f t="shared" si="149"/>
        <v>6.0409178844525275</v>
      </c>
    </row>
    <row r="1922" spans="1:37">
      <c r="A1922" s="703" t="s">
        <v>3453</v>
      </c>
      <c r="B1922" s="703" t="s">
        <v>2849</v>
      </c>
      <c r="C1922" s="703" t="s">
        <v>390</v>
      </c>
      <c r="D1922" s="703" t="s">
        <v>334</v>
      </c>
      <c r="E1922" s="703" t="s">
        <v>334</v>
      </c>
      <c r="F1922" s="703" t="s">
        <v>335</v>
      </c>
      <c r="G1922" s="703" t="s">
        <v>3433</v>
      </c>
      <c r="H1922" s="703" t="s">
        <v>334</v>
      </c>
      <c r="I1922" s="703" t="s">
        <v>334</v>
      </c>
      <c r="J1922" s="703" t="s">
        <v>337</v>
      </c>
      <c r="K1922" s="704">
        <v>0</v>
      </c>
      <c r="L1922" s="703" t="s">
        <v>334</v>
      </c>
      <c r="M1922" s="702">
        <v>43251</v>
      </c>
      <c r="N1922" s="702">
        <v>44516</v>
      </c>
      <c r="O1922" s="703" t="s">
        <v>338</v>
      </c>
      <c r="P1922" s="20">
        <v>353.8</v>
      </c>
      <c r="Q1922" s="20">
        <v>0</v>
      </c>
      <c r="R1922" s="20">
        <v>0</v>
      </c>
      <c r="S1922" s="20">
        <v>0</v>
      </c>
      <c r="T1922" s="20">
        <v>353.8</v>
      </c>
      <c r="U1922" s="20">
        <v>352.82</v>
      </c>
      <c r="V1922" s="20">
        <v>-0.98</v>
      </c>
      <c r="W1922" s="20">
        <v>-12.77</v>
      </c>
      <c r="X1922" s="20">
        <v>-11.79</v>
      </c>
      <c r="Y1922" s="20">
        <v>0</v>
      </c>
      <c r="Z1922" s="20">
        <v>0</v>
      </c>
      <c r="AA1922" s="20">
        <v>0</v>
      </c>
      <c r="AB1922" s="20">
        <v>341.03</v>
      </c>
      <c r="AC1922" t="s">
        <v>188</v>
      </c>
      <c r="AD1922" t="s">
        <v>290</v>
      </c>
      <c r="AE1922" s="702">
        <f t="shared" si="145"/>
        <v>44348</v>
      </c>
      <c r="AF1922" s="289">
        <v>406.24914417778075</v>
      </c>
      <c r="AG1922">
        <f t="shared" si="146"/>
        <v>360</v>
      </c>
      <c r="AH1922" s="289">
        <f t="shared" si="147"/>
        <v>1.12846984493828</v>
      </c>
      <c r="AJ1922" s="289">
        <f t="shared" si="148"/>
        <v>18</v>
      </c>
      <c r="AK1922" s="289">
        <f t="shared" si="149"/>
        <v>20.31245720888904</v>
      </c>
    </row>
    <row r="1923" spans="1:37">
      <c r="A1923" s="703" t="s">
        <v>3454</v>
      </c>
      <c r="B1923" s="703" t="s">
        <v>2849</v>
      </c>
      <c r="C1923" s="703" t="s">
        <v>390</v>
      </c>
      <c r="D1923" s="703" t="s">
        <v>334</v>
      </c>
      <c r="E1923" s="703" t="s">
        <v>334</v>
      </c>
      <c r="F1923" s="703" t="s">
        <v>335</v>
      </c>
      <c r="G1923" s="703" t="s">
        <v>3455</v>
      </c>
      <c r="H1923" s="703" t="s">
        <v>334</v>
      </c>
      <c r="I1923" s="703" t="s">
        <v>334</v>
      </c>
      <c r="J1923" s="703" t="s">
        <v>337</v>
      </c>
      <c r="K1923" s="704">
        <v>0</v>
      </c>
      <c r="L1923" s="703" t="s">
        <v>334</v>
      </c>
      <c r="M1923" s="702">
        <v>43251</v>
      </c>
      <c r="N1923" s="702">
        <v>44516</v>
      </c>
      <c r="O1923" s="703" t="s">
        <v>338</v>
      </c>
      <c r="P1923" s="20">
        <v>9159.2099999999991</v>
      </c>
      <c r="Q1923" s="20">
        <v>0</v>
      </c>
      <c r="R1923" s="20">
        <v>0</v>
      </c>
      <c r="S1923" s="20">
        <v>0</v>
      </c>
      <c r="T1923" s="20">
        <v>9159.2099999999991</v>
      </c>
      <c r="U1923" s="20">
        <v>9157.86</v>
      </c>
      <c r="V1923" s="20">
        <v>-1.35</v>
      </c>
      <c r="W1923" s="20">
        <v>-306.66000000000003</v>
      </c>
      <c r="X1923" s="20">
        <v>-305.31</v>
      </c>
      <c r="Y1923" s="20">
        <v>0</v>
      </c>
      <c r="Z1923" s="20">
        <v>0</v>
      </c>
      <c r="AA1923" s="20">
        <v>0</v>
      </c>
      <c r="AB1923" s="20">
        <v>8852.5499999999993</v>
      </c>
      <c r="AC1923" t="s">
        <v>188</v>
      </c>
      <c r="AD1923" t="s">
        <v>290</v>
      </c>
      <c r="AE1923" s="702">
        <f t="shared" si="145"/>
        <v>44348</v>
      </c>
      <c r="AF1923" s="289">
        <v>10517.018722002744</v>
      </c>
      <c r="AG1923">
        <f t="shared" si="146"/>
        <v>360</v>
      </c>
      <c r="AH1923" s="289">
        <f t="shared" si="147"/>
        <v>29.213940894452065</v>
      </c>
      <c r="AJ1923" s="289">
        <f t="shared" si="148"/>
        <v>18</v>
      </c>
      <c r="AK1923" s="289">
        <f t="shared" si="149"/>
        <v>525.85093610013723</v>
      </c>
    </row>
    <row r="1924" spans="1:37">
      <c r="A1924" s="703" t="s">
        <v>3456</v>
      </c>
      <c r="B1924" s="703" t="s">
        <v>2849</v>
      </c>
      <c r="C1924" s="703" t="s">
        <v>390</v>
      </c>
      <c r="D1924" s="703" t="s">
        <v>334</v>
      </c>
      <c r="E1924" s="703" t="s">
        <v>334</v>
      </c>
      <c r="F1924" s="703" t="s">
        <v>335</v>
      </c>
      <c r="G1924" s="703" t="s">
        <v>3455</v>
      </c>
      <c r="H1924" s="703" t="s">
        <v>334</v>
      </c>
      <c r="I1924" s="703" t="s">
        <v>334</v>
      </c>
      <c r="J1924" s="703" t="s">
        <v>337</v>
      </c>
      <c r="K1924" s="704">
        <v>0</v>
      </c>
      <c r="L1924" s="703" t="s">
        <v>334</v>
      </c>
      <c r="M1924" s="702">
        <v>43251</v>
      </c>
      <c r="N1924" s="702">
        <v>44516</v>
      </c>
      <c r="O1924" s="703" t="s">
        <v>338</v>
      </c>
      <c r="P1924" s="20">
        <v>3500.85</v>
      </c>
      <c r="Q1924" s="20">
        <v>0</v>
      </c>
      <c r="R1924" s="20">
        <v>0</v>
      </c>
      <c r="S1924" s="20">
        <v>0</v>
      </c>
      <c r="T1924" s="20">
        <v>3500.85</v>
      </c>
      <c r="U1924" s="20">
        <v>3491.13</v>
      </c>
      <c r="V1924" s="20">
        <v>-9.7200000000000006</v>
      </c>
      <c r="W1924" s="20">
        <v>-126.42</v>
      </c>
      <c r="X1924" s="20">
        <v>-116.7</v>
      </c>
      <c r="Y1924" s="20">
        <v>0</v>
      </c>
      <c r="Z1924" s="20">
        <v>0</v>
      </c>
      <c r="AA1924" s="20">
        <v>0</v>
      </c>
      <c r="AB1924" s="20">
        <v>3374.43</v>
      </c>
      <c r="AC1924" t="s">
        <v>188</v>
      </c>
      <c r="AD1924" t="s">
        <v>290</v>
      </c>
      <c r="AE1924" s="702">
        <f t="shared" si="145"/>
        <v>44348</v>
      </c>
      <c r="AF1924" s="289">
        <v>4019.834133393962</v>
      </c>
      <c r="AG1924">
        <f t="shared" si="146"/>
        <v>360</v>
      </c>
      <c r="AH1924" s="289">
        <f t="shared" si="147"/>
        <v>11.166205926094339</v>
      </c>
      <c r="AJ1924" s="289">
        <f t="shared" si="148"/>
        <v>18</v>
      </c>
      <c r="AK1924" s="289">
        <f t="shared" si="149"/>
        <v>200.99170666969809</v>
      </c>
    </row>
    <row r="1925" spans="1:37">
      <c r="A1925" s="703" t="s">
        <v>3457</v>
      </c>
      <c r="B1925" s="703" t="s">
        <v>2849</v>
      </c>
      <c r="C1925" s="703" t="s">
        <v>390</v>
      </c>
      <c r="D1925" s="703" t="s">
        <v>334</v>
      </c>
      <c r="E1925" s="703" t="s">
        <v>334</v>
      </c>
      <c r="F1925" s="703" t="s">
        <v>335</v>
      </c>
      <c r="G1925" s="703" t="s">
        <v>3455</v>
      </c>
      <c r="H1925" s="703" t="s">
        <v>334</v>
      </c>
      <c r="I1925" s="703" t="s">
        <v>334</v>
      </c>
      <c r="J1925" s="703" t="s">
        <v>337</v>
      </c>
      <c r="K1925" s="704">
        <v>0</v>
      </c>
      <c r="L1925" s="703" t="s">
        <v>334</v>
      </c>
      <c r="M1925" s="702">
        <v>43251</v>
      </c>
      <c r="N1925" s="702">
        <v>44516</v>
      </c>
      <c r="O1925" s="703" t="s">
        <v>338</v>
      </c>
      <c r="P1925" s="20">
        <v>95.65</v>
      </c>
      <c r="Q1925" s="20">
        <v>0</v>
      </c>
      <c r="R1925" s="20">
        <v>0</v>
      </c>
      <c r="S1925" s="20">
        <v>0</v>
      </c>
      <c r="T1925" s="20">
        <v>95.65</v>
      </c>
      <c r="U1925" s="20">
        <v>95.38</v>
      </c>
      <c r="V1925" s="20">
        <v>-0.27</v>
      </c>
      <c r="W1925" s="20">
        <v>-3.46</v>
      </c>
      <c r="X1925" s="20">
        <v>-3.19</v>
      </c>
      <c r="Y1925" s="20">
        <v>0</v>
      </c>
      <c r="Z1925" s="20">
        <v>0</v>
      </c>
      <c r="AA1925" s="20">
        <v>0</v>
      </c>
      <c r="AB1925" s="20">
        <v>92.19</v>
      </c>
      <c r="AC1925" t="s">
        <v>188</v>
      </c>
      <c r="AD1925" t="s">
        <v>290</v>
      </c>
      <c r="AE1925" s="702">
        <f t="shared" si="145"/>
        <v>44348</v>
      </c>
      <c r="AF1925" s="289">
        <v>109.82965133014339</v>
      </c>
      <c r="AG1925">
        <f t="shared" si="146"/>
        <v>360</v>
      </c>
      <c r="AH1925" s="289">
        <f t="shared" si="147"/>
        <v>0.30508236480595385</v>
      </c>
      <c r="AJ1925" s="289">
        <f t="shared" si="148"/>
        <v>18</v>
      </c>
      <c r="AK1925" s="289">
        <f t="shared" si="149"/>
        <v>5.4914825665071696</v>
      </c>
    </row>
    <row r="1926" spans="1:37">
      <c r="A1926" s="703" t="s">
        <v>3458</v>
      </c>
      <c r="B1926" s="703" t="s">
        <v>2849</v>
      </c>
      <c r="C1926" s="703" t="s">
        <v>390</v>
      </c>
      <c r="D1926" s="703" t="s">
        <v>334</v>
      </c>
      <c r="E1926" s="703" t="s">
        <v>334</v>
      </c>
      <c r="F1926" s="703" t="s">
        <v>335</v>
      </c>
      <c r="G1926" s="703" t="s">
        <v>3455</v>
      </c>
      <c r="H1926" s="703" t="s">
        <v>334</v>
      </c>
      <c r="I1926" s="703" t="s">
        <v>334</v>
      </c>
      <c r="J1926" s="703" t="s">
        <v>337</v>
      </c>
      <c r="K1926" s="704">
        <v>0</v>
      </c>
      <c r="L1926" s="703" t="s">
        <v>334</v>
      </c>
      <c r="M1926" s="702">
        <v>43251</v>
      </c>
      <c r="N1926" s="702">
        <v>44516</v>
      </c>
      <c r="O1926" s="703" t="s">
        <v>338</v>
      </c>
      <c r="P1926" s="20">
        <v>102.93</v>
      </c>
      <c r="Q1926" s="20">
        <v>0</v>
      </c>
      <c r="R1926" s="20">
        <v>0</v>
      </c>
      <c r="S1926" s="20">
        <v>0</v>
      </c>
      <c r="T1926" s="20">
        <v>102.93</v>
      </c>
      <c r="U1926" s="20">
        <v>102.64</v>
      </c>
      <c r="V1926" s="20">
        <v>-0.28999999999999998</v>
      </c>
      <c r="W1926" s="20">
        <v>-3.72</v>
      </c>
      <c r="X1926" s="20">
        <v>-3.43</v>
      </c>
      <c r="Y1926" s="20">
        <v>0</v>
      </c>
      <c r="Z1926" s="20">
        <v>0</v>
      </c>
      <c r="AA1926" s="20">
        <v>0</v>
      </c>
      <c r="AB1926" s="20">
        <v>99.21</v>
      </c>
      <c r="AC1926" t="s">
        <v>188</v>
      </c>
      <c r="AD1926" t="s">
        <v>290</v>
      </c>
      <c r="AE1926" s="702">
        <f t="shared" si="145"/>
        <v>44348</v>
      </c>
      <c r="AF1926" s="289">
        <v>118.18887623012712</v>
      </c>
      <c r="AG1926">
        <f t="shared" si="146"/>
        <v>360</v>
      </c>
      <c r="AH1926" s="289">
        <f t="shared" si="147"/>
        <v>0.32830243397257536</v>
      </c>
      <c r="AJ1926" s="289">
        <f t="shared" si="148"/>
        <v>18</v>
      </c>
      <c r="AK1926" s="289">
        <f t="shared" si="149"/>
        <v>5.9094438115063568</v>
      </c>
    </row>
    <row r="1927" spans="1:37">
      <c r="A1927" s="703" t="s">
        <v>3459</v>
      </c>
      <c r="B1927" s="703" t="s">
        <v>2849</v>
      </c>
      <c r="C1927" s="703" t="s">
        <v>390</v>
      </c>
      <c r="D1927" s="703" t="s">
        <v>334</v>
      </c>
      <c r="E1927" s="703" t="s">
        <v>334</v>
      </c>
      <c r="F1927" s="703" t="s">
        <v>335</v>
      </c>
      <c r="G1927" s="703" t="s">
        <v>3455</v>
      </c>
      <c r="H1927" s="703" t="s">
        <v>334</v>
      </c>
      <c r="I1927" s="703" t="s">
        <v>334</v>
      </c>
      <c r="J1927" s="703" t="s">
        <v>337</v>
      </c>
      <c r="K1927" s="704">
        <v>0</v>
      </c>
      <c r="L1927" s="703" t="s">
        <v>334</v>
      </c>
      <c r="M1927" s="702">
        <v>43251</v>
      </c>
      <c r="N1927" s="702">
        <v>44516</v>
      </c>
      <c r="O1927" s="703" t="s">
        <v>338</v>
      </c>
      <c r="P1927" s="20">
        <v>485.98</v>
      </c>
      <c r="Q1927" s="20">
        <v>0</v>
      </c>
      <c r="R1927" s="20">
        <v>0</v>
      </c>
      <c r="S1927" s="20">
        <v>0</v>
      </c>
      <c r="T1927" s="20">
        <v>485.98</v>
      </c>
      <c r="U1927" s="20">
        <v>484.63</v>
      </c>
      <c r="V1927" s="20">
        <v>-1.35</v>
      </c>
      <c r="W1927" s="20">
        <v>-17.55</v>
      </c>
      <c r="X1927" s="20">
        <v>-16.2</v>
      </c>
      <c r="Y1927" s="20">
        <v>0</v>
      </c>
      <c r="Z1927" s="20">
        <v>0</v>
      </c>
      <c r="AA1927" s="20">
        <v>0</v>
      </c>
      <c r="AB1927" s="20">
        <v>468.43</v>
      </c>
      <c r="AC1927" t="s">
        <v>188</v>
      </c>
      <c r="AD1927" t="s">
        <v>290</v>
      </c>
      <c r="AE1927" s="702">
        <f t="shared" ref="AE1927:AE1990" si="150">IF(N1927&gt;=$AG$5,DATE(YEAR(N1927),6,1),DATE(YEAR(N1927),6,1))</f>
        <v>44348</v>
      </c>
      <c r="AF1927" s="289">
        <v>558.02419188105671</v>
      </c>
      <c r="AG1927">
        <f t="shared" ref="AG1927:AG1990" si="151">+IF(AD1927="intangível",20*12,IF(AD1927="Diferido",120,IF(AD1927="Não vinculados",0,IF(AE1927&lt;=$AG$5,F1927*12,360))))</f>
        <v>360</v>
      </c>
      <c r="AH1927" s="289">
        <f t="shared" ref="AH1927:AH1990" si="152">IF(AG1927=0,0,AF1927/AG1927)</f>
        <v>1.550067199669602</v>
      </c>
      <c r="AJ1927" s="289">
        <f t="shared" ref="AJ1927:AJ1990" si="153">+IF(AND(YEAR(AE1927)&gt;=2018,YEAR(AE1927)&lt;=2022),IF(DATEDIF(AE1927,$AK$4,"m")&gt;=AG1927,AG1927,DATEDIF(AE1927,$AK$4,"m")),0)</f>
        <v>18</v>
      </c>
      <c r="AK1927" s="289">
        <f t="shared" ref="AK1927:AK1990" si="154">IF(AD1927="Imobilizado",AJ1927*AH1927,0)</f>
        <v>27.901209594052837</v>
      </c>
    </row>
    <row r="1928" spans="1:37">
      <c r="A1928" s="703" t="s">
        <v>3460</v>
      </c>
      <c r="B1928" s="703" t="s">
        <v>2849</v>
      </c>
      <c r="C1928" s="703" t="s">
        <v>390</v>
      </c>
      <c r="D1928" s="703" t="s">
        <v>334</v>
      </c>
      <c r="E1928" s="703" t="s">
        <v>334</v>
      </c>
      <c r="F1928" s="703" t="s">
        <v>335</v>
      </c>
      <c r="G1928" s="703" t="s">
        <v>3455</v>
      </c>
      <c r="H1928" s="703" t="s">
        <v>334</v>
      </c>
      <c r="I1928" s="703" t="s">
        <v>334</v>
      </c>
      <c r="J1928" s="703" t="s">
        <v>337</v>
      </c>
      <c r="K1928" s="704">
        <v>0</v>
      </c>
      <c r="L1928" s="703" t="s">
        <v>334</v>
      </c>
      <c r="M1928" s="702">
        <v>43251</v>
      </c>
      <c r="N1928" s="702">
        <v>44516</v>
      </c>
      <c r="O1928" s="703" t="s">
        <v>338</v>
      </c>
      <c r="P1928" s="20">
        <v>520.49</v>
      </c>
      <c r="Q1928" s="20">
        <v>0</v>
      </c>
      <c r="R1928" s="20">
        <v>0</v>
      </c>
      <c r="S1928" s="20">
        <v>0</v>
      </c>
      <c r="T1928" s="20">
        <v>520.49</v>
      </c>
      <c r="U1928" s="20">
        <v>519.04</v>
      </c>
      <c r="V1928" s="20">
        <v>-1.45</v>
      </c>
      <c r="W1928" s="20">
        <v>-18.8</v>
      </c>
      <c r="X1928" s="20">
        <v>-17.350000000000001</v>
      </c>
      <c r="Y1928" s="20">
        <v>0</v>
      </c>
      <c r="Z1928" s="20">
        <v>0</v>
      </c>
      <c r="AA1928" s="20">
        <v>0</v>
      </c>
      <c r="AB1928" s="20">
        <v>501.69</v>
      </c>
      <c r="AC1928" t="s">
        <v>188</v>
      </c>
      <c r="AD1928" t="s">
        <v>290</v>
      </c>
      <c r="AE1928" s="702">
        <f t="shared" si="150"/>
        <v>44348</v>
      </c>
      <c r="AF1928" s="289">
        <v>597.6501329934797</v>
      </c>
      <c r="AG1928">
        <f t="shared" si="151"/>
        <v>360</v>
      </c>
      <c r="AH1928" s="289">
        <f t="shared" si="152"/>
        <v>1.6601392583152215</v>
      </c>
      <c r="AJ1928" s="289">
        <f t="shared" si="153"/>
        <v>18</v>
      </c>
      <c r="AK1928" s="289">
        <f t="shared" si="154"/>
        <v>29.882506649673985</v>
      </c>
    </row>
    <row r="1929" spans="1:37">
      <c r="A1929" s="703" t="s">
        <v>3461</v>
      </c>
      <c r="B1929" s="703" t="s">
        <v>2849</v>
      </c>
      <c r="C1929" s="703" t="s">
        <v>390</v>
      </c>
      <c r="D1929" s="703" t="s">
        <v>334</v>
      </c>
      <c r="E1929" s="703" t="s">
        <v>334</v>
      </c>
      <c r="F1929" s="703" t="s">
        <v>335</v>
      </c>
      <c r="G1929" s="703" t="s">
        <v>3455</v>
      </c>
      <c r="H1929" s="703" t="s">
        <v>334</v>
      </c>
      <c r="I1929" s="703" t="s">
        <v>334</v>
      </c>
      <c r="J1929" s="703" t="s">
        <v>337</v>
      </c>
      <c r="K1929" s="704">
        <v>0</v>
      </c>
      <c r="L1929" s="703" t="s">
        <v>334</v>
      </c>
      <c r="M1929" s="702">
        <v>43251</v>
      </c>
      <c r="N1929" s="702">
        <v>44516</v>
      </c>
      <c r="O1929" s="703" t="s">
        <v>338</v>
      </c>
      <c r="P1929" s="20">
        <v>95.65</v>
      </c>
      <c r="Q1929" s="20">
        <v>0</v>
      </c>
      <c r="R1929" s="20">
        <v>0</v>
      </c>
      <c r="S1929" s="20">
        <v>0</v>
      </c>
      <c r="T1929" s="20">
        <v>95.65</v>
      </c>
      <c r="U1929" s="20">
        <v>95.38</v>
      </c>
      <c r="V1929" s="20">
        <v>-0.27</v>
      </c>
      <c r="W1929" s="20">
        <v>-3.46</v>
      </c>
      <c r="X1929" s="20">
        <v>-3.19</v>
      </c>
      <c r="Y1929" s="20">
        <v>0</v>
      </c>
      <c r="Z1929" s="20">
        <v>0</v>
      </c>
      <c r="AA1929" s="20">
        <v>0</v>
      </c>
      <c r="AB1929" s="20">
        <v>92.19</v>
      </c>
      <c r="AC1929" t="s">
        <v>188</v>
      </c>
      <c r="AD1929" t="s">
        <v>290</v>
      </c>
      <c r="AE1929" s="702">
        <f t="shared" si="150"/>
        <v>44348</v>
      </c>
      <c r="AF1929" s="289">
        <v>109.82965133014339</v>
      </c>
      <c r="AG1929">
        <f t="shared" si="151"/>
        <v>360</v>
      </c>
      <c r="AH1929" s="289">
        <f t="shared" si="152"/>
        <v>0.30508236480595385</v>
      </c>
      <c r="AJ1929" s="289">
        <f t="shared" si="153"/>
        <v>18</v>
      </c>
      <c r="AK1929" s="289">
        <f t="shared" si="154"/>
        <v>5.4914825665071696</v>
      </c>
    </row>
    <row r="1930" spans="1:37">
      <c r="A1930" s="703" t="s">
        <v>3462</v>
      </c>
      <c r="B1930" s="703" t="s">
        <v>2849</v>
      </c>
      <c r="C1930" s="703" t="s">
        <v>390</v>
      </c>
      <c r="D1930" s="703" t="s">
        <v>334</v>
      </c>
      <c r="E1930" s="703" t="s">
        <v>334</v>
      </c>
      <c r="F1930" s="703" t="s">
        <v>335</v>
      </c>
      <c r="G1930" s="703" t="s">
        <v>3455</v>
      </c>
      <c r="H1930" s="703" t="s">
        <v>334</v>
      </c>
      <c r="I1930" s="703" t="s">
        <v>334</v>
      </c>
      <c r="J1930" s="703" t="s">
        <v>337</v>
      </c>
      <c r="K1930" s="704">
        <v>0</v>
      </c>
      <c r="L1930" s="703" t="s">
        <v>334</v>
      </c>
      <c r="M1930" s="702">
        <v>43251</v>
      </c>
      <c r="N1930" s="702">
        <v>44516</v>
      </c>
      <c r="O1930" s="703" t="s">
        <v>338</v>
      </c>
      <c r="P1930" s="20">
        <v>669.03</v>
      </c>
      <c r="Q1930" s="20">
        <v>0</v>
      </c>
      <c r="R1930" s="20">
        <v>0</v>
      </c>
      <c r="S1930" s="20">
        <v>0</v>
      </c>
      <c r="T1930" s="20">
        <v>669.03</v>
      </c>
      <c r="U1930" s="20">
        <v>667.17</v>
      </c>
      <c r="V1930" s="20">
        <v>-1.86</v>
      </c>
      <c r="W1930" s="20">
        <v>-24.16</v>
      </c>
      <c r="X1930" s="20">
        <v>-22.3</v>
      </c>
      <c r="Y1930" s="20">
        <v>0</v>
      </c>
      <c r="Z1930" s="20">
        <v>0</v>
      </c>
      <c r="AA1930" s="20">
        <v>0</v>
      </c>
      <c r="AB1930" s="20">
        <v>644.87</v>
      </c>
      <c r="AC1930" t="s">
        <v>188</v>
      </c>
      <c r="AD1930" t="s">
        <v>290</v>
      </c>
      <c r="AE1930" s="702">
        <f t="shared" si="150"/>
        <v>44348</v>
      </c>
      <c r="AF1930" s="289">
        <v>768.21047181814765</v>
      </c>
      <c r="AG1930">
        <f t="shared" si="151"/>
        <v>360</v>
      </c>
      <c r="AH1930" s="289">
        <f t="shared" si="152"/>
        <v>2.1339179772726324</v>
      </c>
      <c r="AJ1930" s="289">
        <f t="shared" si="153"/>
        <v>18</v>
      </c>
      <c r="AK1930" s="289">
        <f t="shared" si="154"/>
        <v>38.410523590907381</v>
      </c>
    </row>
    <row r="1931" spans="1:37">
      <c r="A1931" s="703" t="s">
        <v>3463</v>
      </c>
      <c r="B1931" s="703" t="s">
        <v>2849</v>
      </c>
      <c r="C1931" s="703" t="s">
        <v>390</v>
      </c>
      <c r="D1931" s="703" t="s">
        <v>334</v>
      </c>
      <c r="E1931" s="703" t="s">
        <v>334</v>
      </c>
      <c r="F1931" s="703" t="s">
        <v>335</v>
      </c>
      <c r="G1931" s="703" t="s">
        <v>3429</v>
      </c>
      <c r="H1931" s="703" t="s">
        <v>334</v>
      </c>
      <c r="I1931" s="703" t="s">
        <v>334</v>
      </c>
      <c r="J1931" s="703" t="s">
        <v>337</v>
      </c>
      <c r="K1931" s="704">
        <v>0</v>
      </c>
      <c r="L1931" s="703" t="s">
        <v>334</v>
      </c>
      <c r="M1931" s="702">
        <v>43251</v>
      </c>
      <c r="N1931" s="702">
        <v>44516</v>
      </c>
      <c r="O1931" s="703" t="s">
        <v>338</v>
      </c>
      <c r="P1931" s="20">
        <v>485.98</v>
      </c>
      <c r="Q1931" s="20">
        <v>0</v>
      </c>
      <c r="R1931" s="20">
        <v>0</v>
      </c>
      <c r="S1931" s="20">
        <v>0</v>
      </c>
      <c r="T1931" s="20">
        <v>485.98</v>
      </c>
      <c r="U1931" s="20">
        <v>484.63</v>
      </c>
      <c r="V1931" s="20">
        <v>-1.35</v>
      </c>
      <c r="W1931" s="20">
        <v>-17.55</v>
      </c>
      <c r="X1931" s="20">
        <v>-16.2</v>
      </c>
      <c r="Y1931" s="20">
        <v>0</v>
      </c>
      <c r="Z1931" s="20">
        <v>0</v>
      </c>
      <c r="AA1931" s="20">
        <v>0</v>
      </c>
      <c r="AB1931" s="20">
        <v>468.43</v>
      </c>
      <c r="AC1931" t="s">
        <v>188</v>
      </c>
      <c r="AD1931" t="s">
        <v>290</v>
      </c>
      <c r="AE1931" s="702">
        <f t="shared" si="150"/>
        <v>44348</v>
      </c>
      <c r="AF1931" s="289">
        <v>558.02419188105671</v>
      </c>
      <c r="AG1931">
        <f t="shared" si="151"/>
        <v>360</v>
      </c>
      <c r="AH1931" s="289">
        <f t="shared" si="152"/>
        <v>1.550067199669602</v>
      </c>
      <c r="AJ1931" s="289">
        <f t="shared" si="153"/>
        <v>18</v>
      </c>
      <c r="AK1931" s="289">
        <f t="shared" si="154"/>
        <v>27.901209594052837</v>
      </c>
    </row>
    <row r="1932" spans="1:37">
      <c r="A1932" s="703" t="s">
        <v>3464</v>
      </c>
      <c r="B1932" s="703" t="s">
        <v>2849</v>
      </c>
      <c r="C1932" s="703" t="s">
        <v>390</v>
      </c>
      <c r="D1932" s="703" t="s">
        <v>334</v>
      </c>
      <c r="E1932" s="703" t="s">
        <v>334</v>
      </c>
      <c r="F1932" s="703" t="s">
        <v>335</v>
      </c>
      <c r="G1932" s="703" t="s">
        <v>3429</v>
      </c>
      <c r="H1932" s="703" t="s">
        <v>334</v>
      </c>
      <c r="I1932" s="703" t="s">
        <v>334</v>
      </c>
      <c r="J1932" s="703" t="s">
        <v>337</v>
      </c>
      <c r="K1932" s="704">
        <v>0</v>
      </c>
      <c r="L1932" s="703" t="s">
        <v>334</v>
      </c>
      <c r="M1932" s="702">
        <v>43251</v>
      </c>
      <c r="N1932" s="702">
        <v>44516</v>
      </c>
      <c r="O1932" s="703" t="s">
        <v>338</v>
      </c>
      <c r="P1932" s="20">
        <v>247.66</v>
      </c>
      <c r="Q1932" s="20">
        <v>0</v>
      </c>
      <c r="R1932" s="20">
        <v>0</v>
      </c>
      <c r="S1932" s="20">
        <v>0</v>
      </c>
      <c r="T1932" s="20">
        <v>247.66</v>
      </c>
      <c r="U1932" s="20">
        <v>246.97</v>
      </c>
      <c r="V1932" s="20">
        <v>-0.69</v>
      </c>
      <c r="W1932" s="20">
        <v>-8.9499999999999993</v>
      </c>
      <c r="X1932" s="20">
        <v>-8.26</v>
      </c>
      <c r="Y1932" s="20">
        <v>0</v>
      </c>
      <c r="Z1932" s="20">
        <v>0</v>
      </c>
      <c r="AA1932" s="20">
        <v>0</v>
      </c>
      <c r="AB1932" s="20">
        <v>238.71</v>
      </c>
      <c r="AC1932" t="s">
        <v>188</v>
      </c>
      <c r="AD1932" t="s">
        <v>290</v>
      </c>
      <c r="AE1932" s="702">
        <f t="shared" si="150"/>
        <v>44348</v>
      </c>
      <c r="AF1932" s="289">
        <v>284.37440092444649</v>
      </c>
      <c r="AG1932">
        <f t="shared" si="151"/>
        <v>360</v>
      </c>
      <c r="AH1932" s="289">
        <f t="shared" si="152"/>
        <v>0.78992889145679579</v>
      </c>
      <c r="AJ1932" s="289">
        <f t="shared" si="153"/>
        <v>18</v>
      </c>
      <c r="AK1932" s="289">
        <f t="shared" si="154"/>
        <v>14.218720046222325</v>
      </c>
    </row>
    <row r="1933" spans="1:37">
      <c r="A1933" s="703" t="s">
        <v>3465</v>
      </c>
      <c r="B1933" s="703" t="s">
        <v>2849</v>
      </c>
      <c r="C1933" s="703" t="s">
        <v>390</v>
      </c>
      <c r="D1933" s="703" t="s">
        <v>334</v>
      </c>
      <c r="E1933" s="703" t="s">
        <v>334</v>
      </c>
      <c r="F1933" s="703" t="s">
        <v>335</v>
      </c>
      <c r="G1933" s="703" t="s">
        <v>3429</v>
      </c>
      <c r="H1933" s="703" t="s">
        <v>334</v>
      </c>
      <c r="I1933" s="703" t="s">
        <v>334</v>
      </c>
      <c r="J1933" s="703" t="s">
        <v>337</v>
      </c>
      <c r="K1933" s="704">
        <v>0</v>
      </c>
      <c r="L1933" s="703" t="s">
        <v>334</v>
      </c>
      <c r="M1933" s="702">
        <v>43251</v>
      </c>
      <c r="N1933" s="702">
        <v>44516</v>
      </c>
      <c r="O1933" s="703" t="s">
        <v>338</v>
      </c>
      <c r="P1933" s="20">
        <v>37.049999999999997</v>
      </c>
      <c r="Q1933" s="20">
        <v>0</v>
      </c>
      <c r="R1933" s="20">
        <v>0</v>
      </c>
      <c r="S1933" s="20">
        <v>0</v>
      </c>
      <c r="T1933" s="20">
        <v>37.049999999999997</v>
      </c>
      <c r="U1933" s="20">
        <v>36.950000000000003</v>
      </c>
      <c r="V1933" s="20">
        <v>-0.1</v>
      </c>
      <c r="W1933" s="20">
        <v>-1.34</v>
      </c>
      <c r="X1933" s="20">
        <v>-1.24</v>
      </c>
      <c r="Y1933" s="20">
        <v>0</v>
      </c>
      <c r="Z1933" s="20">
        <v>0</v>
      </c>
      <c r="AA1933" s="20">
        <v>0</v>
      </c>
      <c r="AB1933" s="20">
        <v>35.71</v>
      </c>
      <c r="AC1933" t="s">
        <v>188</v>
      </c>
      <c r="AD1933" t="s">
        <v>290</v>
      </c>
      <c r="AE1933" s="702">
        <f t="shared" si="150"/>
        <v>44348</v>
      </c>
      <c r="AF1933" s="289">
        <v>42.542483865988629</v>
      </c>
      <c r="AG1933">
        <f t="shared" si="151"/>
        <v>360</v>
      </c>
      <c r="AH1933" s="289">
        <f t="shared" si="152"/>
        <v>0.11817356629441286</v>
      </c>
      <c r="AJ1933" s="289">
        <f t="shared" si="153"/>
        <v>18</v>
      </c>
      <c r="AK1933" s="289">
        <f t="shared" si="154"/>
        <v>2.1271241932994314</v>
      </c>
    </row>
    <row r="1934" spans="1:37">
      <c r="A1934" s="703" t="s">
        <v>3466</v>
      </c>
      <c r="B1934" s="703" t="s">
        <v>2849</v>
      </c>
      <c r="C1934" s="703" t="s">
        <v>390</v>
      </c>
      <c r="D1934" s="703" t="s">
        <v>334</v>
      </c>
      <c r="E1934" s="703" t="s">
        <v>334</v>
      </c>
      <c r="F1934" s="703" t="s">
        <v>335</v>
      </c>
      <c r="G1934" s="703" t="s">
        <v>3429</v>
      </c>
      <c r="H1934" s="703" t="s">
        <v>334</v>
      </c>
      <c r="I1934" s="703" t="s">
        <v>334</v>
      </c>
      <c r="J1934" s="703" t="s">
        <v>337</v>
      </c>
      <c r="K1934" s="704">
        <v>0</v>
      </c>
      <c r="L1934" s="703" t="s">
        <v>334</v>
      </c>
      <c r="M1934" s="702">
        <v>43251</v>
      </c>
      <c r="N1934" s="702">
        <v>44516</v>
      </c>
      <c r="O1934" s="703" t="s">
        <v>338</v>
      </c>
      <c r="P1934" s="20">
        <v>202.3</v>
      </c>
      <c r="Q1934" s="20">
        <v>0</v>
      </c>
      <c r="R1934" s="20">
        <v>0</v>
      </c>
      <c r="S1934" s="20">
        <v>0</v>
      </c>
      <c r="T1934" s="20">
        <v>202.3</v>
      </c>
      <c r="U1934" s="20">
        <v>201.74</v>
      </c>
      <c r="V1934" s="20">
        <v>-0.56000000000000005</v>
      </c>
      <c r="W1934" s="20">
        <v>-7.3</v>
      </c>
      <c r="X1934" s="20">
        <v>-6.74</v>
      </c>
      <c r="Y1934" s="20">
        <v>0</v>
      </c>
      <c r="Z1934" s="20">
        <v>0</v>
      </c>
      <c r="AA1934" s="20">
        <v>0</v>
      </c>
      <c r="AB1934" s="20">
        <v>195</v>
      </c>
      <c r="AC1934" t="s">
        <v>188</v>
      </c>
      <c r="AD1934" t="s">
        <v>290</v>
      </c>
      <c r="AE1934" s="702">
        <f t="shared" si="150"/>
        <v>44348</v>
      </c>
      <c r="AF1934" s="289">
        <v>232.2899996245479</v>
      </c>
      <c r="AG1934">
        <f t="shared" si="151"/>
        <v>360</v>
      </c>
      <c r="AH1934" s="289">
        <f t="shared" si="152"/>
        <v>0.64524999895707746</v>
      </c>
      <c r="AJ1934" s="289">
        <f t="shared" si="153"/>
        <v>18</v>
      </c>
      <c r="AK1934" s="289">
        <f t="shared" si="154"/>
        <v>11.614499981227395</v>
      </c>
    </row>
    <row r="1935" spans="1:37">
      <c r="A1935" s="703" t="s">
        <v>3467</v>
      </c>
      <c r="B1935" s="703" t="s">
        <v>2849</v>
      </c>
      <c r="C1935" s="703" t="s">
        <v>390</v>
      </c>
      <c r="D1935" s="703" t="s">
        <v>334</v>
      </c>
      <c r="E1935" s="703" t="s">
        <v>334</v>
      </c>
      <c r="F1935" s="703" t="s">
        <v>335</v>
      </c>
      <c r="G1935" s="703" t="s">
        <v>3429</v>
      </c>
      <c r="H1935" s="703" t="s">
        <v>334</v>
      </c>
      <c r="I1935" s="703" t="s">
        <v>334</v>
      </c>
      <c r="J1935" s="703" t="s">
        <v>337</v>
      </c>
      <c r="K1935" s="704">
        <v>0</v>
      </c>
      <c r="L1935" s="703" t="s">
        <v>334</v>
      </c>
      <c r="M1935" s="702">
        <v>43251</v>
      </c>
      <c r="N1935" s="702">
        <v>44516</v>
      </c>
      <c r="O1935" s="703" t="s">
        <v>338</v>
      </c>
      <c r="P1935" s="20">
        <v>4376.0600000000004</v>
      </c>
      <c r="Q1935" s="20">
        <v>0</v>
      </c>
      <c r="R1935" s="20">
        <v>0</v>
      </c>
      <c r="S1935" s="20">
        <v>0</v>
      </c>
      <c r="T1935" s="20">
        <v>4376.0600000000004</v>
      </c>
      <c r="U1935" s="20">
        <v>4363.8999999999996</v>
      </c>
      <c r="V1935" s="20">
        <v>-12.16</v>
      </c>
      <c r="W1935" s="20">
        <v>-158.03</v>
      </c>
      <c r="X1935" s="20">
        <v>-145.87</v>
      </c>
      <c r="Y1935" s="20">
        <v>0</v>
      </c>
      <c r="Z1935" s="20">
        <v>0</v>
      </c>
      <c r="AA1935" s="20">
        <v>0</v>
      </c>
      <c r="AB1935" s="20">
        <v>4218.03</v>
      </c>
      <c r="AC1935" t="s">
        <v>188</v>
      </c>
      <c r="AD1935" t="s">
        <v>290</v>
      </c>
      <c r="AE1935" s="702">
        <f t="shared" si="150"/>
        <v>44348</v>
      </c>
      <c r="AF1935" s="289">
        <v>5024.7897961295066</v>
      </c>
      <c r="AG1935">
        <f t="shared" si="151"/>
        <v>360</v>
      </c>
      <c r="AH1935" s="289">
        <f t="shared" si="152"/>
        <v>13.957749433693074</v>
      </c>
      <c r="AJ1935" s="289">
        <f t="shared" si="153"/>
        <v>18</v>
      </c>
      <c r="AK1935" s="289">
        <f t="shared" si="154"/>
        <v>251.23948980647532</v>
      </c>
    </row>
    <row r="1936" spans="1:37">
      <c r="A1936" s="703" t="s">
        <v>3468</v>
      </c>
      <c r="B1936" s="703" t="s">
        <v>2849</v>
      </c>
      <c r="C1936" s="703" t="s">
        <v>390</v>
      </c>
      <c r="D1936" s="703" t="s">
        <v>334</v>
      </c>
      <c r="E1936" s="703" t="s">
        <v>334</v>
      </c>
      <c r="F1936" s="703" t="s">
        <v>335</v>
      </c>
      <c r="G1936" s="703" t="s">
        <v>3429</v>
      </c>
      <c r="H1936" s="703" t="s">
        <v>334</v>
      </c>
      <c r="I1936" s="703" t="s">
        <v>334</v>
      </c>
      <c r="J1936" s="703" t="s">
        <v>337</v>
      </c>
      <c r="K1936" s="704">
        <v>0</v>
      </c>
      <c r="L1936" s="703" t="s">
        <v>334</v>
      </c>
      <c r="M1936" s="702">
        <v>43251</v>
      </c>
      <c r="N1936" s="702">
        <v>44516</v>
      </c>
      <c r="O1936" s="703" t="s">
        <v>338</v>
      </c>
      <c r="P1936" s="20">
        <v>119.57</v>
      </c>
      <c r="Q1936" s="20">
        <v>0</v>
      </c>
      <c r="R1936" s="20">
        <v>0</v>
      </c>
      <c r="S1936" s="20">
        <v>0</v>
      </c>
      <c r="T1936" s="20">
        <v>119.57</v>
      </c>
      <c r="U1936" s="20">
        <v>119.24</v>
      </c>
      <c r="V1936" s="20">
        <v>-0.33</v>
      </c>
      <c r="W1936" s="20">
        <v>-4.32</v>
      </c>
      <c r="X1936" s="20">
        <v>-3.99</v>
      </c>
      <c r="Y1936" s="20">
        <v>0</v>
      </c>
      <c r="Z1936" s="20">
        <v>0</v>
      </c>
      <c r="AA1936" s="20">
        <v>0</v>
      </c>
      <c r="AB1936" s="20">
        <v>115.25</v>
      </c>
      <c r="AC1936" t="s">
        <v>188</v>
      </c>
      <c r="AD1936" t="s">
        <v>290</v>
      </c>
      <c r="AE1936" s="702">
        <f t="shared" si="150"/>
        <v>44348</v>
      </c>
      <c r="AF1936" s="289">
        <v>137.2956760015185</v>
      </c>
      <c r="AG1936">
        <f t="shared" si="151"/>
        <v>360</v>
      </c>
      <c r="AH1936" s="289">
        <f t="shared" si="152"/>
        <v>0.38137687778199586</v>
      </c>
      <c r="AJ1936" s="289">
        <f t="shared" si="153"/>
        <v>18</v>
      </c>
      <c r="AK1936" s="289">
        <f t="shared" si="154"/>
        <v>6.8647838000759256</v>
      </c>
    </row>
    <row r="1937" spans="1:37">
      <c r="A1937" s="703" t="s">
        <v>3469</v>
      </c>
      <c r="B1937" s="703" t="s">
        <v>2849</v>
      </c>
      <c r="C1937" s="703" t="s">
        <v>390</v>
      </c>
      <c r="D1937" s="703" t="s">
        <v>334</v>
      </c>
      <c r="E1937" s="703" t="s">
        <v>334</v>
      </c>
      <c r="F1937" s="703" t="s">
        <v>335</v>
      </c>
      <c r="G1937" s="703" t="s">
        <v>3429</v>
      </c>
      <c r="H1937" s="703" t="s">
        <v>334</v>
      </c>
      <c r="I1937" s="703" t="s">
        <v>334</v>
      </c>
      <c r="J1937" s="703" t="s">
        <v>337</v>
      </c>
      <c r="K1937" s="704">
        <v>0</v>
      </c>
      <c r="L1937" s="703" t="s">
        <v>334</v>
      </c>
      <c r="M1937" s="702">
        <v>43251</v>
      </c>
      <c r="N1937" s="702">
        <v>44516</v>
      </c>
      <c r="O1937" s="703" t="s">
        <v>338</v>
      </c>
      <c r="P1937" s="20">
        <v>498.54</v>
      </c>
      <c r="Q1937" s="20">
        <v>0</v>
      </c>
      <c r="R1937" s="20">
        <v>0</v>
      </c>
      <c r="S1937" s="20">
        <v>0</v>
      </c>
      <c r="T1937" s="20">
        <v>498.54</v>
      </c>
      <c r="U1937" s="20">
        <v>497.16</v>
      </c>
      <c r="V1937" s="20">
        <v>-1.38</v>
      </c>
      <c r="W1937" s="20">
        <v>-18</v>
      </c>
      <c r="X1937" s="20">
        <v>-16.62</v>
      </c>
      <c r="Y1937" s="20">
        <v>0</v>
      </c>
      <c r="Z1937" s="20">
        <v>0</v>
      </c>
      <c r="AA1937" s="20">
        <v>0</v>
      </c>
      <c r="AB1937" s="20">
        <v>480.54</v>
      </c>
      <c r="AC1937" t="s">
        <v>188</v>
      </c>
      <c r="AD1937" t="s">
        <v>290</v>
      </c>
      <c r="AE1937" s="702">
        <f t="shared" si="150"/>
        <v>44348</v>
      </c>
      <c r="AF1937" s="289">
        <v>572.44615132388583</v>
      </c>
      <c r="AG1937">
        <f t="shared" si="151"/>
        <v>360</v>
      </c>
      <c r="AH1937" s="289">
        <f t="shared" si="152"/>
        <v>1.5901281981219051</v>
      </c>
      <c r="AJ1937" s="289">
        <f t="shared" si="153"/>
        <v>18</v>
      </c>
      <c r="AK1937" s="289">
        <f t="shared" si="154"/>
        <v>28.622307566194291</v>
      </c>
    </row>
    <row r="1938" spans="1:37">
      <c r="A1938" s="703" t="s">
        <v>3470</v>
      </c>
      <c r="B1938" s="703" t="s">
        <v>2849</v>
      </c>
      <c r="C1938" s="703" t="s">
        <v>390</v>
      </c>
      <c r="D1938" s="703" t="s">
        <v>334</v>
      </c>
      <c r="E1938" s="703" t="s">
        <v>334</v>
      </c>
      <c r="F1938" s="703" t="s">
        <v>335</v>
      </c>
      <c r="G1938" s="703" t="s">
        <v>3455</v>
      </c>
      <c r="H1938" s="703" t="s">
        <v>334</v>
      </c>
      <c r="I1938" s="703" t="s">
        <v>334</v>
      </c>
      <c r="J1938" s="703" t="s">
        <v>337</v>
      </c>
      <c r="K1938" s="704">
        <v>0</v>
      </c>
      <c r="L1938" s="703" t="s">
        <v>334</v>
      </c>
      <c r="M1938" s="702">
        <v>43251</v>
      </c>
      <c r="N1938" s="702">
        <v>44516</v>
      </c>
      <c r="O1938" s="703" t="s">
        <v>338</v>
      </c>
      <c r="P1938" s="20">
        <v>5.23</v>
      </c>
      <c r="Q1938" s="20">
        <v>0</v>
      </c>
      <c r="R1938" s="20">
        <v>0</v>
      </c>
      <c r="S1938" s="20">
        <v>0</v>
      </c>
      <c r="T1938" s="20">
        <v>5.23</v>
      </c>
      <c r="U1938" s="20">
        <v>5.22</v>
      </c>
      <c r="V1938" s="20">
        <v>-0.01</v>
      </c>
      <c r="W1938" s="20">
        <v>-0.18</v>
      </c>
      <c r="X1938" s="20">
        <v>-0.17</v>
      </c>
      <c r="Y1938" s="20">
        <v>0</v>
      </c>
      <c r="Z1938" s="20">
        <v>0</v>
      </c>
      <c r="AA1938" s="20">
        <v>0</v>
      </c>
      <c r="AB1938" s="20">
        <v>5.05</v>
      </c>
      <c r="AC1938" t="s">
        <v>188</v>
      </c>
      <c r="AD1938" t="s">
        <v>290</v>
      </c>
      <c r="AE1938" s="702">
        <f t="shared" si="150"/>
        <v>44348</v>
      </c>
      <c r="AF1938" s="289">
        <v>6.0053222839168834</v>
      </c>
      <c r="AG1938">
        <f t="shared" si="151"/>
        <v>360</v>
      </c>
      <c r="AH1938" s="289">
        <f t="shared" si="152"/>
        <v>1.6681450788658011E-2</v>
      </c>
      <c r="AJ1938" s="289">
        <f t="shared" si="153"/>
        <v>18</v>
      </c>
      <c r="AK1938" s="289">
        <f t="shared" si="154"/>
        <v>0.3002661141958442</v>
      </c>
    </row>
    <row r="1939" spans="1:37">
      <c r="A1939" s="703" t="s">
        <v>3471</v>
      </c>
      <c r="B1939" s="703" t="s">
        <v>2849</v>
      </c>
      <c r="C1939" s="703" t="s">
        <v>390</v>
      </c>
      <c r="D1939" s="703" t="s">
        <v>334</v>
      </c>
      <c r="E1939" s="703" t="s">
        <v>334</v>
      </c>
      <c r="F1939" s="703" t="s">
        <v>335</v>
      </c>
      <c r="G1939" s="703" t="s">
        <v>3455</v>
      </c>
      <c r="H1939" s="703" t="s">
        <v>334</v>
      </c>
      <c r="I1939" s="703" t="s">
        <v>334</v>
      </c>
      <c r="J1939" s="703" t="s">
        <v>337</v>
      </c>
      <c r="K1939" s="704">
        <v>0</v>
      </c>
      <c r="L1939" s="703" t="s">
        <v>334</v>
      </c>
      <c r="M1939" s="702">
        <v>43251</v>
      </c>
      <c r="N1939" s="702">
        <v>44516</v>
      </c>
      <c r="O1939" s="703" t="s">
        <v>338</v>
      </c>
      <c r="P1939" s="20">
        <v>37.049999999999997</v>
      </c>
      <c r="Q1939" s="20">
        <v>0</v>
      </c>
      <c r="R1939" s="20">
        <v>0</v>
      </c>
      <c r="S1939" s="20">
        <v>0</v>
      </c>
      <c r="T1939" s="20">
        <v>37.049999999999997</v>
      </c>
      <c r="U1939" s="20">
        <v>36.950000000000003</v>
      </c>
      <c r="V1939" s="20">
        <v>-0.1</v>
      </c>
      <c r="W1939" s="20">
        <v>-1.34</v>
      </c>
      <c r="X1939" s="20">
        <v>-1.24</v>
      </c>
      <c r="Y1939" s="20">
        <v>0</v>
      </c>
      <c r="Z1939" s="20">
        <v>0</v>
      </c>
      <c r="AA1939" s="20">
        <v>0</v>
      </c>
      <c r="AB1939" s="20">
        <v>35.71</v>
      </c>
      <c r="AC1939" t="s">
        <v>188</v>
      </c>
      <c r="AD1939" t="s">
        <v>290</v>
      </c>
      <c r="AE1939" s="702">
        <f t="shared" si="150"/>
        <v>44348</v>
      </c>
      <c r="AF1939" s="289">
        <v>42.542483865988629</v>
      </c>
      <c r="AG1939">
        <f t="shared" si="151"/>
        <v>360</v>
      </c>
      <c r="AH1939" s="289">
        <f t="shared" si="152"/>
        <v>0.11817356629441286</v>
      </c>
      <c r="AJ1939" s="289">
        <f t="shared" si="153"/>
        <v>18</v>
      </c>
      <c r="AK1939" s="289">
        <f t="shared" si="154"/>
        <v>2.1271241932994314</v>
      </c>
    </row>
    <row r="1940" spans="1:37">
      <c r="A1940" s="703" t="s">
        <v>3472</v>
      </c>
      <c r="B1940" s="703" t="s">
        <v>2849</v>
      </c>
      <c r="C1940" s="703" t="s">
        <v>390</v>
      </c>
      <c r="D1940" s="703" t="s">
        <v>334</v>
      </c>
      <c r="E1940" s="703" t="s">
        <v>334</v>
      </c>
      <c r="F1940" s="703" t="s">
        <v>335</v>
      </c>
      <c r="G1940" s="703" t="s">
        <v>3455</v>
      </c>
      <c r="H1940" s="703" t="s">
        <v>334</v>
      </c>
      <c r="I1940" s="703" t="s">
        <v>334</v>
      </c>
      <c r="J1940" s="703" t="s">
        <v>337</v>
      </c>
      <c r="K1940" s="704">
        <v>0</v>
      </c>
      <c r="L1940" s="703" t="s">
        <v>334</v>
      </c>
      <c r="M1940" s="702">
        <v>43251</v>
      </c>
      <c r="N1940" s="702">
        <v>44516</v>
      </c>
      <c r="O1940" s="703" t="s">
        <v>338</v>
      </c>
      <c r="P1940" s="20">
        <v>32.299999999999997</v>
      </c>
      <c r="Q1940" s="20">
        <v>0</v>
      </c>
      <c r="R1940" s="20">
        <v>0</v>
      </c>
      <c r="S1940" s="20">
        <v>0</v>
      </c>
      <c r="T1940" s="20">
        <v>32.299999999999997</v>
      </c>
      <c r="U1940" s="20">
        <v>32.21</v>
      </c>
      <c r="V1940" s="20">
        <v>-0.09</v>
      </c>
      <c r="W1940" s="20">
        <v>-1.17</v>
      </c>
      <c r="X1940" s="20">
        <v>-1.08</v>
      </c>
      <c r="Y1940" s="20">
        <v>0</v>
      </c>
      <c r="Z1940" s="20">
        <v>0</v>
      </c>
      <c r="AA1940" s="20">
        <v>0</v>
      </c>
      <c r="AB1940" s="20">
        <v>31.13</v>
      </c>
      <c r="AC1940" t="s">
        <v>188</v>
      </c>
      <c r="AD1940" t="s">
        <v>290</v>
      </c>
      <c r="AE1940" s="702">
        <f t="shared" si="150"/>
        <v>44348</v>
      </c>
      <c r="AF1940" s="289">
        <v>37.088319267784954</v>
      </c>
      <c r="AG1940">
        <f t="shared" si="151"/>
        <v>360</v>
      </c>
      <c r="AH1940" s="289">
        <f t="shared" si="152"/>
        <v>0.10302310907718043</v>
      </c>
      <c r="AJ1940" s="289">
        <f t="shared" si="153"/>
        <v>18</v>
      </c>
      <c r="AK1940" s="289">
        <f t="shared" si="154"/>
        <v>1.8544159633892479</v>
      </c>
    </row>
    <row r="1941" spans="1:37">
      <c r="A1941" s="703" t="s">
        <v>3473</v>
      </c>
      <c r="B1941" s="703" t="s">
        <v>2849</v>
      </c>
      <c r="C1941" s="703" t="s">
        <v>390</v>
      </c>
      <c r="D1941" s="703" t="s">
        <v>334</v>
      </c>
      <c r="E1941" s="703" t="s">
        <v>334</v>
      </c>
      <c r="F1941" s="703" t="s">
        <v>335</v>
      </c>
      <c r="G1941" s="703" t="s">
        <v>3455</v>
      </c>
      <c r="H1941" s="703" t="s">
        <v>334</v>
      </c>
      <c r="I1941" s="703" t="s">
        <v>334</v>
      </c>
      <c r="J1941" s="703" t="s">
        <v>337</v>
      </c>
      <c r="K1941" s="704">
        <v>0</v>
      </c>
      <c r="L1941" s="703" t="s">
        <v>334</v>
      </c>
      <c r="M1941" s="702">
        <v>43251</v>
      </c>
      <c r="N1941" s="702">
        <v>44516</v>
      </c>
      <c r="O1941" s="703" t="s">
        <v>338</v>
      </c>
      <c r="P1941" s="20">
        <v>151.65</v>
      </c>
      <c r="Q1941" s="20">
        <v>0</v>
      </c>
      <c r="R1941" s="20">
        <v>0</v>
      </c>
      <c r="S1941" s="20">
        <v>0</v>
      </c>
      <c r="T1941" s="20">
        <v>151.65</v>
      </c>
      <c r="U1941" s="20">
        <v>151.22999999999999</v>
      </c>
      <c r="V1941" s="20">
        <v>-0.42</v>
      </c>
      <c r="W1941" s="20">
        <v>-5.48</v>
      </c>
      <c r="X1941" s="20">
        <v>-5.0599999999999996</v>
      </c>
      <c r="Y1941" s="20">
        <v>0</v>
      </c>
      <c r="Z1941" s="20">
        <v>0</v>
      </c>
      <c r="AA1941" s="20">
        <v>0</v>
      </c>
      <c r="AB1941" s="20">
        <v>146.16999999999999</v>
      </c>
      <c r="AC1941" t="s">
        <v>188</v>
      </c>
      <c r="AD1941" t="s">
        <v>290</v>
      </c>
      <c r="AE1941" s="702">
        <f t="shared" si="150"/>
        <v>44348</v>
      </c>
      <c r="AF1941" s="289">
        <v>174.13138133001826</v>
      </c>
      <c r="AG1941">
        <f t="shared" si="151"/>
        <v>360</v>
      </c>
      <c r="AH1941" s="289">
        <f t="shared" si="152"/>
        <v>0.48369828147227295</v>
      </c>
      <c r="AJ1941" s="289">
        <f t="shared" si="153"/>
        <v>18</v>
      </c>
      <c r="AK1941" s="289">
        <f t="shared" si="154"/>
        <v>8.7065690665009132</v>
      </c>
    </row>
    <row r="1942" spans="1:37">
      <c r="A1942" s="703" t="s">
        <v>3474</v>
      </c>
      <c r="B1942" s="703" t="s">
        <v>2849</v>
      </c>
      <c r="C1942" s="703" t="s">
        <v>390</v>
      </c>
      <c r="D1942" s="703" t="s">
        <v>334</v>
      </c>
      <c r="E1942" s="703" t="s">
        <v>334</v>
      </c>
      <c r="F1942" s="703" t="s">
        <v>335</v>
      </c>
      <c r="G1942" s="703" t="s">
        <v>3455</v>
      </c>
      <c r="H1942" s="703" t="s">
        <v>334</v>
      </c>
      <c r="I1942" s="703" t="s">
        <v>334</v>
      </c>
      <c r="J1942" s="703" t="s">
        <v>337</v>
      </c>
      <c r="K1942" s="704">
        <v>0</v>
      </c>
      <c r="L1942" s="703" t="s">
        <v>334</v>
      </c>
      <c r="M1942" s="702">
        <v>43251</v>
      </c>
      <c r="N1942" s="702">
        <v>44516</v>
      </c>
      <c r="O1942" s="703" t="s">
        <v>338</v>
      </c>
      <c r="P1942" s="20">
        <v>485.98</v>
      </c>
      <c r="Q1942" s="20">
        <v>0</v>
      </c>
      <c r="R1942" s="20">
        <v>0</v>
      </c>
      <c r="S1942" s="20">
        <v>0</v>
      </c>
      <c r="T1942" s="20">
        <v>485.98</v>
      </c>
      <c r="U1942" s="20">
        <v>484.63</v>
      </c>
      <c r="V1942" s="20">
        <v>-1.35</v>
      </c>
      <c r="W1942" s="20">
        <v>-17.55</v>
      </c>
      <c r="X1942" s="20">
        <v>-16.2</v>
      </c>
      <c r="Y1942" s="20">
        <v>0</v>
      </c>
      <c r="Z1942" s="20">
        <v>0</v>
      </c>
      <c r="AA1942" s="20">
        <v>0</v>
      </c>
      <c r="AB1942" s="20">
        <v>468.43</v>
      </c>
      <c r="AC1942" t="s">
        <v>188</v>
      </c>
      <c r="AD1942" t="s">
        <v>290</v>
      </c>
      <c r="AE1942" s="702">
        <f t="shared" si="150"/>
        <v>44348</v>
      </c>
      <c r="AF1942" s="289">
        <v>558.02419188105671</v>
      </c>
      <c r="AG1942">
        <f t="shared" si="151"/>
        <v>360</v>
      </c>
      <c r="AH1942" s="289">
        <f t="shared" si="152"/>
        <v>1.550067199669602</v>
      </c>
      <c r="AJ1942" s="289">
        <f t="shared" si="153"/>
        <v>18</v>
      </c>
      <c r="AK1942" s="289">
        <f t="shared" si="154"/>
        <v>27.901209594052837</v>
      </c>
    </row>
    <row r="1943" spans="1:37">
      <c r="A1943" s="703" t="s">
        <v>3475</v>
      </c>
      <c r="B1943" s="703" t="s">
        <v>2849</v>
      </c>
      <c r="C1943" s="703" t="s">
        <v>390</v>
      </c>
      <c r="D1943" s="703" t="s">
        <v>334</v>
      </c>
      <c r="E1943" s="703" t="s">
        <v>334</v>
      </c>
      <c r="F1943" s="703" t="s">
        <v>335</v>
      </c>
      <c r="G1943" s="703" t="s">
        <v>3455</v>
      </c>
      <c r="H1943" s="703" t="s">
        <v>334</v>
      </c>
      <c r="I1943" s="703" t="s">
        <v>334</v>
      </c>
      <c r="J1943" s="703" t="s">
        <v>337</v>
      </c>
      <c r="K1943" s="704">
        <v>0</v>
      </c>
      <c r="L1943" s="703" t="s">
        <v>334</v>
      </c>
      <c r="M1943" s="702">
        <v>43251</v>
      </c>
      <c r="N1943" s="702">
        <v>44516</v>
      </c>
      <c r="O1943" s="703" t="s">
        <v>338</v>
      </c>
      <c r="P1943" s="20">
        <v>3500.85</v>
      </c>
      <c r="Q1943" s="20">
        <v>0</v>
      </c>
      <c r="R1943" s="20">
        <v>0</v>
      </c>
      <c r="S1943" s="20">
        <v>0</v>
      </c>
      <c r="T1943" s="20">
        <v>3500.85</v>
      </c>
      <c r="U1943" s="20">
        <v>3491.13</v>
      </c>
      <c r="V1943" s="20">
        <v>-9.7200000000000006</v>
      </c>
      <c r="W1943" s="20">
        <v>-126.42</v>
      </c>
      <c r="X1943" s="20">
        <v>-116.7</v>
      </c>
      <c r="Y1943" s="20">
        <v>0</v>
      </c>
      <c r="Z1943" s="20">
        <v>0</v>
      </c>
      <c r="AA1943" s="20">
        <v>0</v>
      </c>
      <c r="AB1943" s="20">
        <v>3374.43</v>
      </c>
      <c r="AC1943" t="s">
        <v>188</v>
      </c>
      <c r="AD1943" t="s">
        <v>290</v>
      </c>
      <c r="AE1943" s="702">
        <f t="shared" si="150"/>
        <v>44348</v>
      </c>
      <c r="AF1943" s="289">
        <v>4019.834133393962</v>
      </c>
      <c r="AG1943">
        <f t="shared" si="151"/>
        <v>360</v>
      </c>
      <c r="AH1943" s="289">
        <f t="shared" si="152"/>
        <v>11.166205926094339</v>
      </c>
      <c r="AJ1943" s="289">
        <f t="shared" si="153"/>
        <v>18</v>
      </c>
      <c r="AK1943" s="289">
        <f t="shared" si="154"/>
        <v>200.99170666969809</v>
      </c>
    </row>
    <row r="1944" spans="1:37">
      <c r="A1944" s="703" t="s">
        <v>3476</v>
      </c>
      <c r="B1944" s="703" t="s">
        <v>2849</v>
      </c>
      <c r="C1944" s="703" t="s">
        <v>390</v>
      </c>
      <c r="D1944" s="703" t="s">
        <v>334</v>
      </c>
      <c r="E1944" s="703" t="s">
        <v>334</v>
      </c>
      <c r="F1944" s="703" t="s">
        <v>335</v>
      </c>
      <c r="G1944" s="703" t="s">
        <v>3455</v>
      </c>
      <c r="H1944" s="703" t="s">
        <v>334</v>
      </c>
      <c r="I1944" s="703" t="s">
        <v>334</v>
      </c>
      <c r="J1944" s="703" t="s">
        <v>337</v>
      </c>
      <c r="K1944" s="704">
        <v>0</v>
      </c>
      <c r="L1944" s="703" t="s">
        <v>334</v>
      </c>
      <c r="M1944" s="702">
        <v>43251</v>
      </c>
      <c r="N1944" s="702">
        <v>44516</v>
      </c>
      <c r="O1944" s="703" t="s">
        <v>338</v>
      </c>
      <c r="P1944" s="20">
        <v>95.65</v>
      </c>
      <c r="Q1944" s="20">
        <v>0</v>
      </c>
      <c r="R1944" s="20">
        <v>0</v>
      </c>
      <c r="S1944" s="20">
        <v>0</v>
      </c>
      <c r="T1944" s="20">
        <v>95.65</v>
      </c>
      <c r="U1944" s="20">
        <v>95.38</v>
      </c>
      <c r="V1944" s="20">
        <v>-0.27</v>
      </c>
      <c r="W1944" s="20">
        <v>-3.46</v>
      </c>
      <c r="X1944" s="20">
        <v>-3.19</v>
      </c>
      <c r="Y1944" s="20">
        <v>0</v>
      </c>
      <c r="Z1944" s="20">
        <v>0</v>
      </c>
      <c r="AA1944" s="20">
        <v>0</v>
      </c>
      <c r="AB1944" s="20">
        <v>92.19</v>
      </c>
      <c r="AC1944" t="s">
        <v>188</v>
      </c>
      <c r="AD1944" t="s">
        <v>290</v>
      </c>
      <c r="AE1944" s="702">
        <f t="shared" si="150"/>
        <v>44348</v>
      </c>
      <c r="AF1944" s="289">
        <v>109.82965133014339</v>
      </c>
      <c r="AG1944">
        <f t="shared" si="151"/>
        <v>360</v>
      </c>
      <c r="AH1944" s="289">
        <f t="shared" si="152"/>
        <v>0.30508236480595385</v>
      </c>
      <c r="AJ1944" s="289">
        <f t="shared" si="153"/>
        <v>18</v>
      </c>
      <c r="AK1944" s="289">
        <f t="shared" si="154"/>
        <v>5.4914825665071696</v>
      </c>
    </row>
    <row r="1945" spans="1:37">
      <c r="A1945" s="703" t="s">
        <v>3477</v>
      </c>
      <c r="B1945" s="703" t="s">
        <v>2849</v>
      </c>
      <c r="C1945" s="703" t="s">
        <v>390</v>
      </c>
      <c r="D1945" s="703" t="s">
        <v>334</v>
      </c>
      <c r="E1945" s="703" t="s">
        <v>334</v>
      </c>
      <c r="F1945" s="703" t="s">
        <v>335</v>
      </c>
      <c r="G1945" s="703" t="s">
        <v>3455</v>
      </c>
      <c r="H1945" s="703" t="s">
        <v>334</v>
      </c>
      <c r="I1945" s="703" t="s">
        <v>334</v>
      </c>
      <c r="J1945" s="703" t="s">
        <v>337</v>
      </c>
      <c r="K1945" s="704">
        <v>0</v>
      </c>
      <c r="L1945" s="703" t="s">
        <v>334</v>
      </c>
      <c r="M1945" s="702">
        <v>43251</v>
      </c>
      <c r="N1945" s="702">
        <v>44516</v>
      </c>
      <c r="O1945" s="703" t="s">
        <v>338</v>
      </c>
      <c r="P1945" s="20">
        <v>624</v>
      </c>
      <c r="Q1945" s="20">
        <v>0</v>
      </c>
      <c r="R1945" s="20">
        <v>0</v>
      </c>
      <c r="S1945" s="20">
        <v>0</v>
      </c>
      <c r="T1945" s="20">
        <v>624</v>
      </c>
      <c r="U1945" s="20">
        <v>622.27</v>
      </c>
      <c r="V1945" s="20">
        <v>-1.73</v>
      </c>
      <c r="W1945" s="20">
        <v>-22.53</v>
      </c>
      <c r="X1945" s="20">
        <v>-20.8</v>
      </c>
      <c r="Y1945" s="20">
        <v>0</v>
      </c>
      <c r="Z1945" s="20">
        <v>0</v>
      </c>
      <c r="AA1945" s="20">
        <v>0</v>
      </c>
      <c r="AB1945" s="20">
        <v>601.47</v>
      </c>
      <c r="AC1945" t="s">
        <v>188</v>
      </c>
      <c r="AD1945" t="s">
        <v>290</v>
      </c>
      <c r="AE1945" s="702">
        <f t="shared" si="150"/>
        <v>44348</v>
      </c>
      <c r="AF1945" s="289">
        <v>716.50499142717683</v>
      </c>
      <c r="AG1945">
        <f t="shared" si="151"/>
        <v>360</v>
      </c>
      <c r="AH1945" s="289">
        <f t="shared" si="152"/>
        <v>1.9902916428532689</v>
      </c>
      <c r="AJ1945" s="289">
        <f t="shared" si="153"/>
        <v>18</v>
      </c>
      <c r="AK1945" s="289">
        <f t="shared" si="154"/>
        <v>35.825249571358839</v>
      </c>
    </row>
    <row r="1946" spans="1:37">
      <c r="A1946" s="703" t="s">
        <v>3478</v>
      </c>
      <c r="B1946" s="703" t="s">
        <v>2849</v>
      </c>
      <c r="C1946" s="703" t="s">
        <v>390</v>
      </c>
      <c r="D1946" s="703" t="s">
        <v>334</v>
      </c>
      <c r="E1946" s="703" t="s">
        <v>334</v>
      </c>
      <c r="F1946" s="703" t="s">
        <v>335</v>
      </c>
      <c r="G1946" s="703" t="s">
        <v>3429</v>
      </c>
      <c r="H1946" s="703" t="s">
        <v>334</v>
      </c>
      <c r="I1946" s="703" t="s">
        <v>334</v>
      </c>
      <c r="J1946" s="703" t="s">
        <v>337</v>
      </c>
      <c r="K1946" s="704">
        <v>0</v>
      </c>
      <c r="L1946" s="703" t="s">
        <v>334</v>
      </c>
      <c r="M1946" s="702">
        <v>43251</v>
      </c>
      <c r="N1946" s="702">
        <v>44516</v>
      </c>
      <c r="O1946" s="703" t="s">
        <v>338</v>
      </c>
      <c r="P1946" s="20">
        <v>485.98</v>
      </c>
      <c r="Q1946" s="20">
        <v>0</v>
      </c>
      <c r="R1946" s="20">
        <v>0</v>
      </c>
      <c r="S1946" s="20">
        <v>0</v>
      </c>
      <c r="T1946" s="20">
        <v>485.98</v>
      </c>
      <c r="U1946" s="20">
        <v>484.63</v>
      </c>
      <c r="V1946" s="20">
        <v>-1.35</v>
      </c>
      <c r="W1946" s="20">
        <v>-17.55</v>
      </c>
      <c r="X1946" s="20">
        <v>-16.2</v>
      </c>
      <c r="Y1946" s="20">
        <v>0</v>
      </c>
      <c r="Z1946" s="20">
        <v>0</v>
      </c>
      <c r="AA1946" s="20">
        <v>0</v>
      </c>
      <c r="AB1946" s="20">
        <v>468.43</v>
      </c>
      <c r="AC1946" t="s">
        <v>188</v>
      </c>
      <c r="AD1946" t="s">
        <v>290</v>
      </c>
      <c r="AE1946" s="702">
        <f t="shared" si="150"/>
        <v>44348</v>
      </c>
      <c r="AF1946" s="289">
        <v>558.02419188105671</v>
      </c>
      <c r="AG1946">
        <f t="shared" si="151"/>
        <v>360</v>
      </c>
      <c r="AH1946" s="289">
        <f t="shared" si="152"/>
        <v>1.550067199669602</v>
      </c>
      <c r="AJ1946" s="289">
        <f t="shared" si="153"/>
        <v>18</v>
      </c>
      <c r="AK1946" s="289">
        <f t="shared" si="154"/>
        <v>27.901209594052837</v>
      </c>
    </row>
    <row r="1947" spans="1:37">
      <c r="A1947" s="703" t="s">
        <v>3479</v>
      </c>
      <c r="B1947" s="703" t="s">
        <v>2849</v>
      </c>
      <c r="C1947" s="703" t="s">
        <v>390</v>
      </c>
      <c r="D1947" s="703" t="s">
        <v>334</v>
      </c>
      <c r="E1947" s="703" t="s">
        <v>334</v>
      </c>
      <c r="F1947" s="703" t="s">
        <v>335</v>
      </c>
      <c r="G1947" s="703" t="s">
        <v>3429</v>
      </c>
      <c r="H1947" s="703" t="s">
        <v>334</v>
      </c>
      <c r="I1947" s="703" t="s">
        <v>334</v>
      </c>
      <c r="J1947" s="703" t="s">
        <v>337</v>
      </c>
      <c r="K1947" s="704">
        <v>0</v>
      </c>
      <c r="L1947" s="703" t="s">
        <v>334</v>
      </c>
      <c r="M1947" s="702">
        <v>43251</v>
      </c>
      <c r="N1947" s="702">
        <v>44516</v>
      </c>
      <c r="O1947" s="703" t="s">
        <v>338</v>
      </c>
      <c r="P1947" s="20">
        <v>151.63999999999999</v>
      </c>
      <c r="Q1947" s="20">
        <v>0</v>
      </c>
      <c r="R1947" s="20">
        <v>0</v>
      </c>
      <c r="S1947" s="20">
        <v>0</v>
      </c>
      <c r="T1947" s="20">
        <v>151.63999999999999</v>
      </c>
      <c r="U1947" s="20">
        <v>151.22</v>
      </c>
      <c r="V1947" s="20">
        <v>-0.42</v>
      </c>
      <c r="W1947" s="20">
        <v>-5.47</v>
      </c>
      <c r="X1947" s="20">
        <v>-5.05</v>
      </c>
      <c r="Y1947" s="20">
        <v>0</v>
      </c>
      <c r="Z1947" s="20">
        <v>0</v>
      </c>
      <c r="AA1947" s="20">
        <v>0</v>
      </c>
      <c r="AB1947" s="20">
        <v>146.16999999999999</v>
      </c>
      <c r="AC1947" t="s">
        <v>188</v>
      </c>
      <c r="AD1947" t="s">
        <v>290</v>
      </c>
      <c r="AE1947" s="702">
        <f t="shared" si="150"/>
        <v>44348</v>
      </c>
      <c r="AF1947" s="289">
        <v>174.11989887823253</v>
      </c>
      <c r="AG1947">
        <f t="shared" si="151"/>
        <v>360</v>
      </c>
      <c r="AH1947" s="289">
        <f t="shared" si="152"/>
        <v>0.48366638577286813</v>
      </c>
      <c r="AJ1947" s="289">
        <f t="shared" si="153"/>
        <v>18</v>
      </c>
      <c r="AK1947" s="289">
        <f t="shared" si="154"/>
        <v>8.7059949439116266</v>
      </c>
    </row>
    <row r="1948" spans="1:37">
      <c r="A1948" s="703" t="s">
        <v>3480</v>
      </c>
      <c r="B1948" s="703" t="s">
        <v>2849</v>
      </c>
      <c r="C1948" s="703" t="s">
        <v>390</v>
      </c>
      <c r="D1948" s="703" t="s">
        <v>334</v>
      </c>
      <c r="E1948" s="703" t="s">
        <v>334</v>
      </c>
      <c r="F1948" s="703" t="s">
        <v>335</v>
      </c>
      <c r="G1948" s="703" t="s">
        <v>3429</v>
      </c>
      <c r="H1948" s="703" t="s">
        <v>334</v>
      </c>
      <c r="I1948" s="703" t="s">
        <v>334</v>
      </c>
      <c r="J1948" s="703" t="s">
        <v>337</v>
      </c>
      <c r="K1948" s="704">
        <v>0</v>
      </c>
      <c r="L1948" s="703" t="s">
        <v>334</v>
      </c>
      <c r="M1948" s="702">
        <v>43251</v>
      </c>
      <c r="N1948" s="702">
        <v>44516</v>
      </c>
      <c r="O1948" s="703" t="s">
        <v>338</v>
      </c>
      <c r="P1948" s="20">
        <v>37.049999999999997</v>
      </c>
      <c r="Q1948" s="20">
        <v>0</v>
      </c>
      <c r="R1948" s="20">
        <v>0</v>
      </c>
      <c r="S1948" s="20">
        <v>0</v>
      </c>
      <c r="T1948" s="20">
        <v>37.049999999999997</v>
      </c>
      <c r="U1948" s="20">
        <v>36.950000000000003</v>
      </c>
      <c r="V1948" s="20">
        <v>-0.1</v>
      </c>
      <c r="W1948" s="20">
        <v>-1.34</v>
      </c>
      <c r="X1948" s="20">
        <v>-1.24</v>
      </c>
      <c r="Y1948" s="20">
        <v>0</v>
      </c>
      <c r="Z1948" s="20">
        <v>0</v>
      </c>
      <c r="AA1948" s="20">
        <v>0</v>
      </c>
      <c r="AB1948" s="20">
        <v>35.71</v>
      </c>
      <c r="AC1948" t="s">
        <v>188</v>
      </c>
      <c r="AD1948" t="s">
        <v>290</v>
      </c>
      <c r="AE1948" s="702">
        <f t="shared" si="150"/>
        <v>44348</v>
      </c>
      <c r="AF1948" s="289">
        <v>42.542483865988629</v>
      </c>
      <c r="AG1948">
        <f t="shared" si="151"/>
        <v>360</v>
      </c>
      <c r="AH1948" s="289">
        <f t="shared" si="152"/>
        <v>0.11817356629441286</v>
      </c>
      <c r="AJ1948" s="289">
        <f t="shared" si="153"/>
        <v>18</v>
      </c>
      <c r="AK1948" s="289">
        <f t="shared" si="154"/>
        <v>2.1271241932994314</v>
      </c>
    </row>
    <row r="1949" spans="1:37">
      <c r="A1949" s="703" t="s">
        <v>3481</v>
      </c>
      <c r="B1949" s="703" t="s">
        <v>2849</v>
      </c>
      <c r="C1949" s="703" t="s">
        <v>390</v>
      </c>
      <c r="D1949" s="703" t="s">
        <v>334</v>
      </c>
      <c r="E1949" s="703" t="s">
        <v>334</v>
      </c>
      <c r="F1949" s="703" t="s">
        <v>335</v>
      </c>
      <c r="G1949" s="703" t="s">
        <v>3429</v>
      </c>
      <c r="H1949" s="703" t="s">
        <v>334</v>
      </c>
      <c r="I1949" s="703" t="s">
        <v>334</v>
      </c>
      <c r="J1949" s="703" t="s">
        <v>337</v>
      </c>
      <c r="K1949" s="704">
        <v>0</v>
      </c>
      <c r="L1949" s="703" t="s">
        <v>334</v>
      </c>
      <c r="M1949" s="702">
        <v>43251</v>
      </c>
      <c r="N1949" s="702">
        <v>44516</v>
      </c>
      <c r="O1949" s="703" t="s">
        <v>338</v>
      </c>
      <c r="P1949" s="20">
        <v>3500.85</v>
      </c>
      <c r="Q1949" s="20">
        <v>0</v>
      </c>
      <c r="R1949" s="20">
        <v>0</v>
      </c>
      <c r="S1949" s="20">
        <v>0</v>
      </c>
      <c r="T1949" s="20">
        <v>3500.85</v>
      </c>
      <c r="U1949" s="20">
        <v>3491.13</v>
      </c>
      <c r="V1949" s="20">
        <v>-9.7200000000000006</v>
      </c>
      <c r="W1949" s="20">
        <v>-126.42</v>
      </c>
      <c r="X1949" s="20">
        <v>-116.7</v>
      </c>
      <c r="Y1949" s="20">
        <v>0</v>
      </c>
      <c r="Z1949" s="20">
        <v>0</v>
      </c>
      <c r="AA1949" s="20">
        <v>0</v>
      </c>
      <c r="AB1949" s="20">
        <v>3374.43</v>
      </c>
      <c r="AC1949" t="s">
        <v>188</v>
      </c>
      <c r="AD1949" t="s">
        <v>290</v>
      </c>
      <c r="AE1949" s="702">
        <f t="shared" si="150"/>
        <v>44348</v>
      </c>
      <c r="AF1949" s="289">
        <v>4019.834133393962</v>
      </c>
      <c r="AG1949">
        <f t="shared" si="151"/>
        <v>360</v>
      </c>
      <c r="AH1949" s="289">
        <f t="shared" si="152"/>
        <v>11.166205926094339</v>
      </c>
      <c r="AJ1949" s="289">
        <f t="shared" si="153"/>
        <v>18</v>
      </c>
      <c r="AK1949" s="289">
        <f t="shared" si="154"/>
        <v>200.99170666969809</v>
      </c>
    </row>
    <row r="1950" spans="1:37">
      <c r="A1950" s="703" t="s">
        <v>3482</v>
      </c>
      <c r="B1950" s="703" t="s">
        <v>2849</v>
      </c>
      <c r="C1950" s="703" t="s">
        <v>390</v>
      </c>
      <c r="D1950" s="703" t="s">
        <v>334</v>
      </c>
      <c r="E1950" s="703" t="s">
        <v>334</v>
      </c>
      <c r="F1950" s="703" t="s">
        <v>335</v>
      </c>
      <c r="G1950" s="703" t="s">
        <v>3429</v>
      </c>
      <c r="H1950" s="703" t="s">
        <v>334</v>
      </c>
      <c r="I1950" s="703" t="s">
        <v>334</v>
      </c>
      <c r="J1950" s="703" t="s">
        <v>337</v>
      </c>
      <c r="K1950" s="704">
        <v>0</v>
      </c>
      <c r="L1950" s="703" t="s">
        <v>334</v>
      </c>
      <c r="M1950" s="702">
        <v>43251</v>
      </c>
      <c r="N1950" s="702">
        <v>44516</v>
      </c>
      <c r="O1950" s="703" t="s">
        <v>338</v>
      </c>
      <c r="P1950" s="20">
        <v>143.47999999999999</v>
      </c>
      <c r="Q1950" s="20">
        <v>0</v>
      </c>
      <c r="R1950" s="20">
        <v>0</v>
      </c>
      <c r="S1950" s="20">
        <v>0</v>
      </c>
      <c r="T1950" s="20">
        <v>143.47999999999999</v>
      </c>
      <c r="U1950" s="20">
        <v>143.08000000000001</v>
      </c>
      <c r="V1950" s="20">
        <v>-0.4</v>
      </c>
      <c r="W1950" s="20">
        <v>-5.18</v>
      </c>
      <c r="X1950" s="20">
        <v>-4.78</v>
      </c>
      <c r="Y1950" s="20">
        <v>0</v>
      </c>
      <c r="Z1950" s="20">
        <v>0</v>
      </c>
      <c r="AA1950" s="20">
        <v>0</v>
      </c>
      <c r="AB1950" s="20">
        <v>138.30000000000001</v>
      </c>
      <c r="AC1950" t="s">
        <v>188</v>
      </c>
      <c r="AD1950" t="s">
        <v>290</v>
      </c>
      <c r="AE1950" s="702">
        <f t="shared" si="150"/>
        <v>44348</v>
      </c>
      <c r="AF1950" s="289">
        <v>164.7502182211079</v>
      </c>
      <c r="AG1950">
        <f t="shared" si="151"/>
        <v>360</v>
      </c>
      <c r="AH1950" s="289">
        <f t="shared" si="152"/>
        <v>0.45763949505863305</v>
      </c>
      <c r="AJ1950" s="289">
        <f t="shared" si="153"/>
        <v>18</v>
      </c>
      <c r="AK1950" s="289">
        <f t="shared" si="154"/>
        <v>8.237510911055395</v>
      </c>
    </row>
    <row r="1951" spans="1:37">
      <c r="A1951" s="703" t="s">
        <v>3483</v>
      </c>
      <c r="B1951" s="703" t="s">
        <v>2849</v>
      </c>
      <c r="C1951" s="703" t="s">
        <v>390</v>
      </c>
      <c r="D1951" s="703" t="s">
        <v>334</v>
      </c>
      <c r="E1951" s="703" t="s">
        <v>334</v>
      </c>
      <c r="F1951" s="703" t="s">
        <v>335</v>
      </c>
      <c r="G1951" s="703" t="s">
        <v>3429</v>
      </c>
      <c r="H1951" s="703" t="s">
        <v>334</v>
      </c>
      <c r="I1951" s="703" t="s">
        <v>334</v>
      </c>
      <c r="J1951" s="703" t="s">
        <v>337</v>
      </c>
      <c r="K1951" s="704">
        <v>0</v>
      </c>
      <c r="L1951" s="703" t="s">
        <v>334</v>
      </c>
      <c r="M1951" s="702">
        <v>43251</v>
      </c>
      <c r="N1951" s="702">
        <v>44516</v>
      </c>
      <c r="O1951" s="703" t="s">
        <v>338</v>
      </c>
      <c r="P1951" s="20">
        <v>25.73</v>
      </c>
      <c r="Q1951" s="20">
        <v>0</v>
      </c>
      <c r="R1951" s="20">
        <v>0</v>
      </c>
      <c r="S1951" s="20">
        <v>0</v>
      </c>
      <c r="T1951" s="20">
        <v>25.73</v>
      </c>
      <c r="U1951" s="20">
        <v>25.66</v>
      </c>
      <c r="V1951" s="20">
        <v>-7.0000000000000007E-2</v>
      </c>
      <c r="W1951" s="20">
        <v>-0.93</v>
      </c>
      <c r="X1951" s="20">
        <v>-0.86</v>
      </c>
      <c r="Y1951" s="20">
        <v>0</v>
      </c>
      <c r="Z1951" s="20">
        <v>0</v>
      </c>
      <c r="AA1951" s="20">
        <v>0</v>
      </c>
      <c r="AB1951" s="20">
        <v>24.8</v>
      </c>
      <c r="AC1951" t="s">
        <v>188</v>
      </c>
      <c r="AD1951" t="s">
        <v>290</v>
      </c>
      <c r="AE1951" s="702">
        <f t="shared" si="150"/>
        <v>44348</v>
      </c>
      <c r="AF1951" s="289">
        <v>29.544348444585356</v>
      </c>
      <c r="AG1951">
        <f t="shared" si="151"/>
        <v>360</v>
      </c>
      <c r="AH1951" s="289">
        <f t="shared" si="152"/>
        <v>8.2067634568292663E-2</v>
      </c>
      <c r="AJ1951" s="289">
        <f t="shared" si="153"/>
        <v>18</v>
      </c>
      <c r="AK1951" s="289">
        <f t="shared" si="154"/>
        <v>1.477217422229268</v>
      </c>
    </row>
    <row r="1952" spans="1:37">
      <c r="A1952" s="703" t="s">
        <v>3484</v>
      </c>
      <c r="B1952" s="703" t="s">
        <v>2849</v>
      </c>
      <c r="C1952" s="703" t="s">
        <v>390</v>
      </c>
      <c r="D1952" s="703" t="s">
        <v>334</v>
      </c>
      <c r="E1952" s="703" t="s">
        <v>334</v>
      </c>
      <c r="F1952" s="703" t="s">
        <v>335</v>
      </c>
      <c r="G1952" s="703" t="s">
        <v>3429</v>
      </c>
      <c r="H1952" s="703" t="s">
        <v>334</v>
      </c>
      <c r="I1952" s="703" t="s">
        <v>334</v>
      </c>
      <c r="J1952" s="703" t="s">
        <v>337</v>
      </c>
      <c r="K1952" s="704">
        <v>0</v>
      </c>
      <c r="L1952" s="703" t="s">
        <v>334</v>
      </c>
      <c r="M1952" s="702">
        <v>43251</v>
      </c>
      <c r="N1952" s="702">
        <v>44516</v>
      </c>
      <c r="O1952" s="703" t="s">
        <v>338</v>
      </c>
      <c r="P1952" s="20">
        <v>216.58</v>
      </c>
      <c r="Q1952" s="20">
        <v>0</v>
      </c>
      <c r="R1952" s="20">
        <v>0</v>
      </c>
      <c r="S1952" s="20">
        <v>0</v>
      </c>
      <c r="T1952" s="20">
        <v>216.58</v>
      </c>
      <c r="U1952" s="20">
        <v>215.98</v>
      </c>
      <c r="V1952" s="20">
        <v>-0.6</v>
      </c>
      <c r="W1952" s="20">
        <v>-7.82</v>
      </c>
      <c r="X1952" s="20">
        <v>-7.22</v>
      </c>
      <c r="Y1952" s="20">
        <v>0</v>
      </c>
      <c r="Z1952" s="20">
        <v>0</v>
      </c>
      <c r="AA1952" s="20">
        <v>0</v>
      </c>
      <c r="AB1952" s="20">
        <v>208.76</v>
      </c>
      <c r="AC1952" t="s">
        <v>188</v>
      </c>
      <c r="AD1952" t="s">
        <v>290</v>
      </c>
      <c r="AE1952" s="702">
        <f t="shared" si="150"/>
        <v>44348</v>
      </c>
      <c r="AF1952" s="289">
        <v>248.68694077451599</v>
      </c>
      <c r="AG1952">
        <f t="shared" si="151"/>
        <v>360</v>
      </c>
      <c r="AH1952" s="289">
        <f t="shared" si="152"/>
        <v>0.69079705770698885</v>
      </c>
      <c r="AJ1952" s="289">
        <f t="shared" si="153"/>
        <v>18</v>
      </c>
      <c r="AK1952" s="289">
        <f t="shared" si="154"/>
        <v>12.4343470387258</v>
      </c>
    </row>
    <row r="1953" spans="1:37">
      <c r="A1953" s="703" t="s">
        <v>3485</v>
      </c>
      <c r="B1953" s="703" t="s">
        <v>2849</v>
      </c>
      <c r="C1953" s="703" t="s">
        <v>390</v>
      </c>
      <c r="D1953" s="703" t="s">
        <v>334</v>
      </c>
      <c r="E1953" s="703" t="s">
        <v>334</v>
      </c>
      <c r="F1953" s="703" t="s">
        <v>335</v>
      </c>
      <c r="G1953" s="703" t="s">
        <v>3455</v>
      </c>
      <c r="H1953" s="703" t="s">
        <v>334</v>
      </c>
      <c r="I1953" s="703" t="s">
        <v>334</v>
      </c>
      <c r="J1953" s="703" t="s">
        <v>337</v>
      </c>
      <c r="K1953" s="704">
        <v>0</v>
      </c>
      <c r="L1953" s="703" t="s">
        <v>334</v>
      </c>
      <c r="M1953" s="702">
        <v>43251</v>
      </c>
      <c r="N1953" s="702">
        <v>44516</v>
      </c>
      <c r="O1953" s="703" t="s">
        <v>338</v>
      </c>
      <c r="P1953" s="20">
        <v>151.63999999999999</v>
      </c>
      <c r="Q1953" s="20">
        <v>0</v>
      </c>
      <c r="R1953" s="20">
        <v>0</v>
      </c>
      <c r="S1953" s="20">
        <v>0</v>
      </c>
      <c r="T1953" s="20">
        <v>151.63999999999999</v>
      </c>
      <c r="U1953" s="20">
        <v>151.22</v>
      </c>
      <c r="V1953" s="20">
        <v>-0.42</v>
      </c>
      <c r="W1953" s="20">
        <v>-5.47</v>
      </c>
      <c r="X1953" s="20">
        <v>-5.05</v>
      </c>
      <c r="Y1953" s="20">
        <v>0</v>
      </c>
      <c r="Z1953" s="20">
        <v>0</v>
      </c>
      <c r="AA1953" s="20">
        <v>0</v>
      </c>
      <c r="AB1953" s="20">
        <v>146.16999999999999</v>
      </c>
      <c r="AC1953" t="s">
        <v>188</v>
      </c>
      <c r="AD1953" t="s">
        <v>290</v>
      </c>
      <c r="AE1953" s="702">
        <f t="shared" si="150"/>
        <v>44348</v>
      </c>
      <c r="AF1953" s="289">
        <v>174.11989887823253</v>
      </c>
      <c r="AG1953">
        <f t="shared" si="151"/>
        <v>360</v>
      </c>
      <c r="AH1953" s="289">
        <f t="shared" si="152"/>
        <v>0.48366638577286813</v>
      </c>
      <c r="AJ1953" s="289">
        <f t="shared" si="153"/>
        <v>18</v>
      </c>
      <c r="AK1953" s="289">
        <f t="shared" si="154"/>
        <v>8.7059949439116266</v>
      </c>
    </row>
    <row r="1954" spans="1:37">
      <c r="A1954" s="703" t="s">
        <v>3486</v>
      </c>
      <c r="B1954" s="703" t="s">
        <v>2849</v>
      </c>
      <c r="C1954" s="703" t="s">
        <v>390</v>
      </c>
      <c r="D1954" s="703" t="s">
        <v>334</v>
      </c>
      <c r="E1954" s="703" t="s">
        <v>334</v>
      </c>
      <c r="F1954" s="703" t="s">
        <v>335</v>
      </c>
      <c r="G1954" s="703" t="s">
        <v>3455</v>
      </c>
      <c r="H1954" s="703" t="s">
        <v>334</v>
      </c>
      <c r="I1954" s="703" t="s">
        <v>334</v>
      </c>
      <c r="J1954" s="703" t="s">
        <v>337</v>
      </c>
      <c r="K1954" s="704">
        <v>0</v>
      </c>
      <c r="L1954" s="703" t="s">
        <v>334</v>
      </c>
      <c r="M1954" s="702">
        <v>43251</v>
      </c>
      <c r="N1954" s="702">
        <v>44516</v>
      </c>
      <c r="O1954" s="703" t="s">
        <v>338</v>
      </c>
      <c r="P1954" s="20">
        <v>5.23</v>
      </c>
      <c r="Q1954" s="20">
        <v>0</v>
      </c>
      <c r="R1954" s="20">
        <v>0</v>
      </c>
      <c r="S1954" s="20">
        <v>0</v>
      </c>
      <c r="T1954" s="20">
        <v>5.23</v>
      </c>
      <c r="U1954" s="20">
        <v>5.22</v>
      </c>
      <c r="V1954" s="20">
        <v>-0.01</v>
      </c>
      <c r="W1954" s="20">
        <v>-0.18</v>
      </c>
      <c r="X1954" s="20">
        <v>-0.17</v>
      </c>
      <c r="Y1954" s="20">
        <v>0</v>
      </c>
      <c r="Z1954" s="20">
        <v>0</v>
      </c>
      <c r="AA1954" s="20">
        <v>0</v>
      </c>
      <c r="AB1954" s="20">
        <v>5.05</v>
      </c>
      <c r="AC1954" t="s">
        <v>188</v>
      </c>
      <c r="AD1954" t="s">
        <v>290</v>
      </c>
      <c r="AE1954" s="702">
        <f t="shared" si="150"/>
        <v>44348</v>
      </c>
      <c r="AF1954" s="289">
        <v>6.0053222839168834</v>
      </c>
      <c r="AG1954">
        <f t="shared" si="151"/>
        <v>360</v>
      </c>
      <c r="AH1954" s="289">
        <f t="shared" si="152"/>
        <v>1.6681450788658011E-2</v>
      </c>
      <c r="AJ1954" s="289">
        <f t="shared" si="153"/>
        <v>18</v>
      </c>
      <c r="AK1954" s="289">
        <f t="shared" si="154"/>
        <v>0.3002661141958442</v>
      </c>
    </row>
    <row r="1955" spans="1:37">
      <c r="A1955" s="703" t="s">
        <v>3487</v>
      </c>
      <c r="B1955" s="703" t="s">
        <v>2849</v>
      </c>
      <c r="C1955" s="703" t="s">
        <v>390</v>
      </c>
      <c r="D1955" s="703" t="s">
        <v>334</v>
      </c>
      <c r="E1955" s="703" t="s">
        <v>334</v>
      </c>
      <c r="F1955" s="703" t="s">
        <v>335</v>
      </c>
      <c r="G1955" s="703" t="s">
        <v>3455</v>
      </c>
      <c r="H1955" s="703" t="s">
        <v>334</v>
      </c>
      <c r="I1955" s="703" t="s">
        <v>334</v>
      </c>
      <c r="J1955" s="703" t="s">
        <v>337</v>
      </c>
      <c r="K1955" s="704">
        <v>0</v>
      </c>
      <c r="L1955" s="703" t="s">
        <v>334</v>
      </c>
      <c r="M1955" s="702">
        <v>43251</v>
      </c>
      <c r="N1955" s="702">
        <v>44516</v>
      </c>
      <c r="O1955" s="703" t="s">
        <v>338</v>
      </c>
      <c r="P1955" s="20">
        <v>37.049999999999997</v>
      </c>
      <c r="Q1955" s="20">
        <v>0</v>
      </c>
      <c r="R1955" s="20">
        <v>0</v>
      </c>
      <c r="S1955" s="20">
        <v>0</v>
      </c>
      <c r="T1955" s="20">
        <v>37.049999999999997</v>
      </c>
      <c r="U1955" s="20">
        <v>36.950000000000003</v>
      </c>
      <c r="V1955" s="20">
        <v>-0.1</v>
      </c>
      <c r="W1955" s="20">
        <v>-1.34</v>
      </c>
      <c r="X1955" s="20">
        <v>-1.24</v>
      </c>
      <c r="Y1955" s="20">
        <v>0</v>
      </c>
      <c r="Z1955" s="20">
        <v>0</v>
      </c>
      <c r="AA1955" s="20">
        <v>0</v>
      </c>
      <c r="AB1955" s="20">
        <v>35.71</v>
      </c>
      <c r="AC1955" t="s">
        <v>188</v>
      </c>
      <c r="AD1955" t="s">
        <v>290</v>
      </c>
      <c r="AE1955" s="702">
        <f t="shared" si="150"/>
        <v>44348</v>
      </c>
      <c r="AF1955" s="289">
        <v>42.542483865988629</v>
      </c>
      <c r="AG1955">
        <f t="shared" si="151"/>
        <v>360</v>
      </c>
      <c r="AH1955" s="289">
        <f t="shared" si="152"/>
        <v>0.11817356629441286</v>
      </c>
      <c r="AJ1955" s="289">
        <f t="shared" si="153"/>
        <v>18</v>
      </c>
      <c r="AK1955" s="289">
        <f t="shared" si="154"/>
        <v>2.1271241932994314</v>
      </c>
    </row>
    <row r="1956" spans="1:37">
      <c r="A1956" s="703" t="s">
        <v>3488</v>
      </c>
      <c r="B1956" s="703" t="s">
        <v>2849</v>
      </c>
      <c r="C1956" s="703" t="s">
        <v>390</v>
      </c>
      <c r="D1956" s="703" t="s">
        <v>334</v>
      </c>
      <c r="E1956" s="703" t="s">
        <v>334</v>
      </c>
      <c r="F1956" s="703" t="s">
        <v>335</v>
      </c>
      <c r="G1956" s="703" t="s">
        <v>3455</v>
      </c>
      <c r="H1956" s="703" t="s">
        <v>334</v>
      </c>
      <c r="I1956" s="703" t="s">
        <v>334</v>
      </c>
      <c r="J1956" s="703" t="s">
        <v>337</v>
      </c>
      <c r="K1956" s="704">
        <v>0</v>
      </c>
      <c r="L1956" s="703" t="s">
        <v>334</v>
      </c>
      <c r="M1956" s="702">
        <v>43251</v>
      </c>
      <c r="N1956" s="702">
        <v>44516</v>
      </c>
      <c r="O1956" s="703" t="s">
        <v>338</v>
      </c>
      <c r="P1956" s="20">
        <v>32.299999999999997</v>
      </c>
      <c r="Q1956" s="20">
        <v>0</v>
      </c>
      <c r="R1956" s="20">
        <v>0</v>
      </c>
      <c r="S1956" s="20">
        <v>0</v>
      </c>
      <c r="T1956" s="20">
        <v>32.299999999999997</v>
      </c>
      <c r="U1956" s="20">
        <v>32.21</v>
      </c>
      <c r="V1956" s="20">
        <v>-0.09</v>
      </c>
      <c r="W1956" s="20">
        <v>-1.17</v>
      </c>
      <c r="X1956" s="20">
        <v>-1.08</v>
      </c>
      <c r="Y1956" s="20">
        <v>0</v>
      </c>
      <c r="Z1956" s="20">
        <v>0</v>
      </c>
      <c r="AA1956" s="20">
        <v>0</v>
      </c>
      <c r="AB1956" s="20">
        <v>31.13</v>
      </c>
      <c r="AC1956" t="s">
        <v>188</v>
      </c>
      <c r="AD1956" t="s">
        <v>290</v>
      </c>
      <c r="AE1956" s="702">
        <f t="shared" si="150"/>
        <v>44348</v>
      </c>
      <c r="AF1956" s="289">
        <v>37.088319267784954</v>
      </c>
      <c r="AG1956">
        <f t="shared" si="151"/>
        <v>360</v>
      </c>
      <c r="AH1956" s="289">
        <f t="shared" si="152"/>
        <v>0.10302310907718043</v>
      </c>
      <c r="AJ1956" s="289">
        <f t="shared" si="153"/>
        <v>18</v>
      </c>
      <c r="AK1956" s="289">
        <f t="shared" si="154"/>
        <v>1.8544159633892479</v>
      </c>
    </row>
    <row r="1957" spans="1:37">
      <c r="A1957" s="703" t="s">
        <v>3489</v>
      </c>
      <c r="B1957" s="703" t="s">
        <v>2849</v>
      </c>
      <c r="C1957" s="703" t="s">
        <v>390</v>
      </c>
      <c r="D1957" s="703" t="s">
        <v>334</v>
      </c>
      <c r="E1957" s="703" t="s">
        <v>334</v>
      </c>
      <c r="F1957" s="703" t="s">
        <v>335</v>
      </c>
      <c r="G1957" s="703" t="s">
        <v>3455</v>
      </c>
      <c r="H1957" s="703" t="s">
        <v>334</v>
      </c>
      <c r="I1957" s="703" t="s">
        <v>334</v>
      </c>
      <c r="J1957" s="703" t="s">
        <v>337</v>
      </c>
      <c r="K1957" s="704">
        <v>0</v>
      </c>
      <c r="L1957" s="703" t="s">
        <v>334</v>
      </c>
      <c r="M1957" s="702">
        <v>43251</v>
      </c>
      <c r="N1957" s="702">
        <v>44516</v>
      </c>
      <c r="O1957" s="703" t="s">
        <v>338</v>
      </c>
      <c r="P1957" s="20">
        <v>485.98</v>
      </c>
      <c r="Q1957" s="20">
        <v>0</v>
      </c>
      <c r="R1957" s="20">
        <v>0</v>
      </c>
      <c r="S1957" s="20">
        <v>0</v>
      </c>
      <c r="T1957" s="20">
        <v>485.98</v>
      </c>
      <c r="U1957" s="20">
        <v>484.63</v>
      </c>
      <c r="V1957" s="20">
        <v>-1.35</v>
      </c>
      <c r="W1957" s="20">
        <v>-17.55</v>
      </c>
      <c r="X1957" s="20">
        <v>-16.2</v>
      </c>
      <c r="Y1957" s="20">
        <v>0</v>
      </c>
      <c r="Z1957" s="20">
        <v>0</v>
      </c>
      <c r="AA1957" s="20">
        <v>0</v>
      </c>
      <c r="AB1957" s="20">
        <v>468.43</v>
      </c>
      <c r="AC1957" t="s">
        <v>188</v>
      </c>
      <c r="AD1957" t="s">
        <v>290</v>
      </c>
      <c r="AE1957" s="702">
        <f t="shared" si="150"/>
        <v>44348</v>
      </c>
      <c r="AF1957" s="289">
        <v>558.02419188105671</v>
      </c>
      <c r="AG1957">
        <f t="shared" si="151"/>
        <v>360</v>
      </c>
      <c r="AH1957" s="289">
        <f t="shared" si="152"/>
        <v>1.550067199669602</v>
      </c>
      <c r="AJ1957" s="289">
        <f t="shared" si="153"/>
        <v>18</v>
      </c>
      <c r="AK1957" s="289">
        <f t="shared" si="154"/>
        <v>27.901209594052837</v>
      </c>
    </row>
    <row r="1958" spans="1:37">
      <c r="A1958" s="703" t="s">
        <v>3490</v>
      </c>
      <c r="B1958" s="703" t="s">
        <v>2849</v>
      </c>
      <c r="C1958" s="703" t="s">
        <v>390</v>
      </c>
      <c r="D1958" s="703" t="s">
        <v>334</v>
      </c>
      <c r="E1958" s="703" t="s">
        <v>334</v>
      </c>
      <c r="F1958" s="703" t="s">
        <v>335</v>
      </c>
      <c r="G1958" s="703" t="s">
        <v>3455</v>
      </c>
      <c r="H1958" s="703" t="s">
        <v>334</v>
      </c>
      <c r="I1958" s="703" t="s">
        <v>334</v>
      </c>
      <c r="J1958" s="703" t="s">
        <v>337</v>
      </c>
      <c r="K1958" s="704">
        <v>0</v>
      </c>
      <c r="L1958" s="703" t="s">
        <v>334</v>
      </c>
      <c r="M1958" s="702">
        <v>43251</v>
      </c>
      <c r="N1958" s="702">
        <v>44516</v>
      </c>
      <c r="O1958" s="703" t="s">
        <v>338</v>
      </c>
      <c r="P1958" s="20">
        <v>3500.85</v>
      </c>
      <c r="Q1958" s="20">
        <v>0</v>
      </c>
      <c r="R1958" s="20">
        <v>0</v>
      </c>
      <c r="S1958" s="20">
        <v>0</v>
      </c>
      <c r="T1958" s="20">
        <v>3500.85</v>
      </c>
      <c r="U1958" s="20">
        <v>3491.13</v>
      </c>
      <c r="V1958" s="20">
        <v>-9.7200000000000006</v>
      </c>
      <c r="W1958" s="20">
        <v>-126.42</v>
      </c>
      <c r="X1958" s="20">
        <v>-116.7</v>
      </c>
      <c r="Y1958" s="20">
        <v>0</v>
      </c>
      <c r="Z1958" s="20">
        <v>0</v>
      </c>
      <c r="AA1958" s="20">
        <v>0</v>
      </c>
      <c r="AB1958" s="20">
        <v>3374.43</v>
      </c>
      <c r="AC1958" t="s">
        <v>188</v>
      </c>
      <c r="AD1958" t="s">
        <v>290</v>
      </c>
      <c r="AE1958" s="702">
        <f t="shared" si="150"/>
        <v>44348</v>
      </c>
      <c r="AF1958" s="289">
        <v>4019.834133393962</v>
      </c>
      <c r="AG1958">
        <f t="shared" si="151"/>
        <v>360</v>
      </c>
      <c r="AH1958" s="289">
        <f t="shared" si="152"/>
        <v>11.166205926094339</v>
      </c>
      <c r="AJ1958" s="289">
        <f t="shared" si="153"/>
        <v>18</v>
      </c>
      <c r="AK1958" s="289">
        <f t="shared" si="154"/>
        <v>200.99170666969809</v>
      </c>
    </row>
    <row r="1959" spans="1:37">
      <c r="A1959" s="703" t="s">
        <v>3491</v>
      </c>
      <c r="B1959" s="703" t="s">
        <v>2849</v>
      </c>
      <c r="C1959" s="703" t="s">
        <v>390</v>
      </c>
      <c r="D1959" s="703" t="s">
        <v>334</v>
      </c>
      <c r="E1959" s="703" t="s">
        <v>334</v>
      </c>
      <c r="F1959" s="703" t="s">
        <v>335</v>
      </c>
      <c r="G1959" s="703" t="s">
        <v>3455</v>
      </c>
      <c r="H1959" s="703" t="s">
        <v>334</v>
      </c>
      <c r="I1959" s="703" t="s">
        <v>334</v>
      </c>
      <c r="J1959" s="703" t="s">
        <v>337</v>
      </c>
      <c r="K1959" s="704">
        <v>0</v>
      </c>
      <c r="L1959" s="703" t="s">
        <v>334</v>
      </c>
      <c r="M1959" s="702">
        <v>43251</v>
      </c>
      <c r="N1959" s="702">
        <v>44516</v>
      </c>
      <c r="O1959" s="703" t="s">
        <v>338</v>
      </c>
      <c r="P1959" s="20">
        <v>175.36</v>
      </c>
      <c r="Q1959" s="20">
        <v>0</v>
      </c>
      <c r="R1959" s="20">
        <v>0</v>
      </c>
      <c r="S1959" s="20">
        <v>0</v>
      </c>
      <c r="T1959" s="20">
        <v>175.36</v>
      </c>
      <c r="U1959" s="20">
        <v>174.87</v>
      </c>
      <c r="V1959" s="20">
        <v>-0.49</v>
      </c>
      <c r="W1959" s="20">
        <v>-6.34</v>
      </c>
      <c r="X1959" s="20">
        <v>-5.85</v>
      </c>
      <c r="Y1959" s="20">
        <v>0</v>
      </c>
      <c r="Z1959" s="20">
        <v>0</v>
      </c>
      <c r="AA1959" s="20">
        <v>0</v>
      </c>
      <c r="AB1959" s="20">
        <v>169.02</v>
      </c>
      <c r="AC1959" t="s">
        <v>188</v>
      </c>
      <c r="AD1959" t="s">
        <v>290</v>
      </c>
      <c r="AE1959" s="702">
        <f t="shared" si="150"/>
        <v>44348</v>
      </c>
      <c r="AF1959" s="289">
        <v>201.35627451389382</v>
      </c>
      <c r="AG1959">
        <f t="shared" si="151"/>
        <v>360</v>
      </c>
      <c r="AH1959" s="289">
        <f t="shared" si="152"/>
        <v>0.55932298476081621</v>
      </c>
      <c r="AJ1959" s="289">
        <f t="shared" si="153"/>
        <v>18</v>
      </c>
      <c r="AK1959" s="289">
        <f t="shared" si="154"/>
        <v>10.067813725694691</v>
      </c>
    </row>
    <row r="1960" spans="1:37">
      <c r="A1960" s="703" t="s">
        <v>3492</v>
      </c>
      <c r="B1960" s="703" t="s">
        <v>2849</v>
      </c>
      <c r="C1960" s="703" t="s">
        <v>390</v>
      </c>
      <c r="D1960" s="703" t="s">
        <v>334</v>
      </c>
      <c r="E1960" s="703" t="s">
        <v>334</v>
      </c>
      <c r="F1960" s="703" t="s">
        <v>335</v>
      </c>
      <c r="G1960" s="703" t="s">
        <v>3455</v>
      </c>
      <c r="H1960" s="703" t="s">
        <v>334</v>
      </c>
      <c r="I1960" s="703" t="s">
        <v>334</v>
      </c>
      <c r="J1960" s="703" t="s">
        <v>337</v>
      </c>
      <c r="K1960" s="704">
        <v>0</v>
      </c>
      <c r="L1960" s="703" t="s">
        <v>334</v>
      </c>
      <c r="M1960" s="702">
        <v>43251</v>
      </c>
      <c r="N1960" s="702">
        <v>44516</v>
      </c>
      <c r="O1960" s="703" t="s">
        <v>338</v>
      </c>
      <c r="P1960" s="20">
        <v>456.74</v>
      </c>
      <c r="Q1960" s="20">
        <v>0</v>
      </c>
      <c r="R1960" s="20">
        <v>0</v>
      </c>
      <c r="S1960" s="20">
        <v>0</v>
      </c>
      <c r="T1960" s="20">
        <v>456.74</v>
      </c>
      <c r="U1960" s="20">
        <v>455.47</v>
      </c>
      <c r="V1960" s="20">
        <v>-1.27</v>
      </c>
      <c r="W1960" s="20">
        <v>-16.489999999999998</v>
      </c>
      <c r="X1960" s="20">
        <v>-15.22</v>
      </c>
      <c r="Y1960" s="20">
        <v>0</v>
      </c>
      <c r="Z1960" s="20">
        <v>0</v>
      </c>
      <c r="AA1960" s="20">
        <v>0</v>
      </c>
      <c r="AB1960" s="20">
        <v>440.25</v>
      </c>
      <c r="AC1960" t="s">
        <v>188</v>
      </c>
      <c r="AD1960" t="s">
        <v>290</v>
      </c>
      <c r="AE1960" s="702">
        <f t="shared" si="150"/>
        <v>44348</v>
      </c>
      <c r="AF1960" s="289">
        <v>524.44950285969355</v>
      </c>
      <c r="AG1960">
        <f t="shared" si="151"/>
        <v>360</v>
      </c>
      <c r="AH1960" s="289">
        <f t="shared" si="152"/>
        <v>1.4568041746102598</v>
      </c>
      <c r="AJ1960" s="289">
        <f t="shared" si="153"/>
        <v>18</v>
      </c>
      <c r="AK1960" s="289">
        <f t="shared" si="154"/>
        <v>26.222475142984678</v>
      </c>
    </row>
    <row r="1961" spans="1:37">
      <c r="A1961" s="703" t="s">
        <v>3493</v>
      </c>
      <c r="B1961" s="703" t="s">
        <v>2849</v>
      </c>
      <c r="C1961" s="703" t="s">
        <v>390</v>
      </c>
      <c r="D1961" s="703" t="s">
        <v>334</v>
      </c>
      <c r="E1961" s="703" t="s">
        <v>334</v>
      </c>
      <c r="F1961" s="703" t="s">
        <v>335</v>
      </c>
      <c r="G1961" s="703" t="s">
        <v>3494</v>
      </c>
      <c r="H1961" s="703" t="s">
        <v>334</v>
      </c>
      <c r="I1961" s="703" t="s">
        <v>334</v>
      </c>
      <c r="J1961" s="703" t="s">
        <v>337</v>
      </c>
      <c r="K1961" s="704">
        <v>0</v>
      </c>
      <c r="L1961" s="703" t="s">
        <v>334</v>
      </c>
      <c r="M1961" s="702">
        <v>43251</v>
      </c>
      <c r="N1961" s="702">
        <v>44516</v>
      </c>
      <c r="O1961" s="703" t="s">
        <v>338</v>
      </c>
      <c r="P1961" s="20">
        <v>3532.99</v>
      </c>
      <c r="Q1961" s="20">
        <v>0</v>
      </c>
      <c r="R1961" s="20">
        <v>0</v>
      </c>
      <c r="S1961" s="20">
        <v>0</v>
      </c>
      <c r="T1961" s="20">
        <v>3532.99</v>
      </c>
      <c r="U1961" s="20">
        <v>3532.9</v>
      </c>
      <c r="V1961" s="20">
        <v>-0.09</v>
      </c>
      <c r="W1961" s="20">
        <v>-117.86</v>
      </c>
      <c r="X1961" s="20">
        <v>-117.77</v>
      </c>
      <c r="Y1961" s="20">
        <v>0</v>
      </c>
      <c r="Z1961" s="20">
        <v>0</v>
      </c>
      <c r="AA1961" s="20">
        <v>0</v>
      </c>
      <c r="AB1961" s="20">
        <v>3415.13</v>
      </c>
      <c r="AC1961" t="s">
        <v>188</v>
      </c>
      <c r="AD1961" t="s">
        <v>290</v>
      </c>
      <c r="AE1961" s="702">
        <f t="shared" si="150"/>
        <v>44348</v>
      </c>
      <c r="AF1961" s="289">
        <v>4056.7387334331756</v>
      </c>
      <c r="AG1961">
        <f t="shared" si="151"/>
        <v>360</v>
      </c>
      <c r="AH1961" s="289">
        <f t="shared" si="152"/>
        <v>11.268718703981044</v>
      </c>
      <c r="AJ1961" s="289">
        <f t="shared" si="153"/>
        <v>18</v>
      </c>
      <c r="AK1961" s="289">
        <f t="shared" si="154"/>
        <v>202.8369366716588</v>
      </c>
    </row>
    <row r="1962" spans="1:37">
      <c r="A1962" s="703" t="s">
        <v>3495</v>
      </c>
      <c r="B1962" s="703" t="s">
        <v>2849</v>
      </c>
      <c r="C1962" s="703" t="s">
        <v>390</v>
      </c>
      <c r="D1962" s="703" t="s">
        <v>334</v>
      </c>
      <c r="E1962" s="703" t="s">
        <v>334</v>
      </c>
      <c r="F1962" s="703" t="s">
        <v>335</v>
      </c>
      <c r="G1962" s="703" t="s">
        <v>3494</v>
      </c>
      <c r="H1962" s="703" t="s">
        <v>334</v>
      </c>
      <c r="I1962" s="703" t="s">
        <v>334</v>
      </c>
      <c r="J1962" s="703" t="s">
        <v>337</v>
      </c>
      <c r="K1962" s="704">
        <v>0</v>
      </c>
      <c r="L1962" s="703" t="s">
        <v>334</v>
      </c>
      <c r="M1962" s="702">
        <v>43251</v>
      </c>
      <c r="N1962" s="702">
        <v>44516</v>
      </c>
      <c r="O1962" s="703" t="s">
        <v>338</v>
      </c>
      <c r="P1962" s="20">
        <v>41.87</v>
      </c>
      <c r="Q1962" s="20">
        <v>0</v>
      </c>
      <c r="R1962" s="20">
        <v>0</v>
      </c>
      <c r="S1962" s="20">
        <v>0</v>
      </c>
      <c r="T1962" s="20">
        <v>41.87</v>
      </c>
      <c r="U1962" s="20">
        <v>41.75</v>
      </c>
      <c r="V1962" s="20">
        <v>-0.12</v>
      </c>
      <c r="W1962" s="20">
        <v>-1.52</v>
      </c>
      <c r="X1962" s="20">
        <v>-1.4</v>
      </c>
      <c r="Y1962" s="20">
        <v>0</v>
      </c>
      <c r="Z1962" s="20">
        <v>0</v>
      </c>
      <c r="AA1962" s="20">
        <v>0</v>
      </c>
      <c r="AB1962" s="20">
        <v>40.35</v>
      </c>
      <c r="AC1962" t="s">
        <v>188</v>
      </c>
      <c r="AD1962" t="s">
        <v>290</v>
      </c>
      <c r="AE1962" s="702">
        <f t="shared" si="150"/>
        <v>44348</v>
      </c>
      <c r="AF1962" s="289">
        <v>48.077025626692141</v>
      </c>
      <c r="AG1962">
        <f t="shared" si="151"/>
        <v>360</v>
      </c>
      <c r="AH1962" s="289">
        <f t="shared" si="152"/>
        <v>0.13354729340747817</v>
      </c>
      <c r="AJ1962" s="289">
        <f t="shared" si="153"/>
        <v>18</v>
      </c>
      <c r="AK1962" s="289">
        <f t="shared" si="154"/>
        <v>2.4038512813346071</v>
      </c>
    </row>
    <row r="1963" spans="1:37">
      <c r="A1963" s="703" t="s">
        <v>3496</v>
      </c>
      <c r="B1963" s="703" t="s">
        <v>2849</v>
      </c>
      <c r="C1963" s="703" t="s">
        <v>390</v>
      </c>
      <c r="D1963" s="703" t="s">
        <v>334</v>
      </c>
      <c r="E1963" s="703" t="s">
        <v>334</v>
      </c>
      <c r="F1963" s="703" t="s">
        <v>335</v>
      </c>
      <c r="G1963" s="703" t="s">
        <v>3494</v>
      </c>
      <c r="H1963" s="703" t="s">
        <v>334</v>
      </c>
      <c r="I1963" s="703" t="s">
        <v>334</v>
      </c>
      <c r="J1963" s="703" t="s">
        <v>337</v>
      </c>
      <c r="K1963" s="704">
        <v>0</v>
      </c>
      <c r="L1963" s="703" t="s">
        <v>334</v>
      </c>
      <c r="M1963" s="702">
        <v>43251</v>
      </c>
      <c r="N1963" s="702">
        <v>44516</v>
      </c>
      <c r="O1963" s="703" t="s">
        <v>338</v>
      </c>
      <c r="P1963" s="20">
        <v>39.159999999999997</v>
      </c>
      <c r="Q1963" s="20">
        <v>0</v>
      </c>
      <c r="R1963" s="20">
        <v>0</v>
      </c>
      <c r="S1963" s="20">
        <v>0</v>
      </c>
      <c r="T1963" s="20">
        <v>39.159999999999997</v>
      </c>
      <c r="U1963" s="20">
        <v>39.049999999999997</v>
      </c>
      <c r="V1963" s="20">
        <v>-0.11</v>
      </c>
      <c r="W1963" s="20">
        <v>-1.42</v>
      </c>
      <c r="X1963" s="20">
        <v>-1.31</v>
      </c>
      <c r="Y1963" s="20">
        <v>0</v>
      </c>
      <c r="Z1963" s="20">
        <v>0</v>
      </c>
      <c r="AA1963" s="20">
        <v>0</v>
      </c>
      <c r="AB1963" s="20">
        <v>37.74</v>
      </c>
      <c r="AC1963" t="s">
        <v>188</v>
      </c>
      <c r="AD1963" t="s">
        <v>290</v>
      </c>
      <c r="AE1963" s="702">
        <f t="shared" si="150"/>
        <v>44348</v>
      </c>
      <c r="AF1963" s="289">
        <v>44.965281192769623</v>
      </c>
      <c r="AG1963">
        <f t="shared" si="151"/>
        <v>360</v>
      </c>
      <c r="AH1963" s="289">
        <f t="shared" si="152"/>
        <v>0.12490355886880451</v>
      </c>
      <c r="AJ1963" s="289">
        <f t="shared" si="153"/>
        <v>18</v>
      </c>
      <c r="AK1963" s="289">
        <f t="shared" si="154"/>
        <v>2.2482640596384811</v>
      </c>
    </row>
    <row r="1964" spans="1:37">
      <c r="A1964" s="703" t="s">
        <v>3497</v>
      </c>
      <c r="B1964" s="703" t="s">
        <v>2849</v>
      </c>
      <c r="C1964" s="703" t="s">
        <v>390</v>
      </c>
      <c r="D1964" s="703" t="s">
        <v>334</v>
      </c>
      <c r="E1964" s="703" t="s">
        <v>334</v>
      </c>
      <c r="F1964" s="703" t="s">
        <v>335</v>
      </c>
      <c r="G1964" s="703" t="s">
        <v>3494</v>
      </c>
      <c r="H1964" s="703" t="s">
        <v>334</v>
      </c>
      <c r="I1964" s="703" t="s">
        <v>334</v>
      </c>
      <c r="J1964" s="703" t="s">
        <v>337</v>
      </c>
      <c r="K1964" s="704">
        <v>0</v>
      </c>
      <c r="L1964" s="703" t="s">
        <v>334</v>
      </c>
      <c r="M1964" s="702">
        <v>43251</v>
      </c>
      <c r="N1964" s="702">
        <v>44516</v>
      </c>
      <c r="O1964" s="703" t="s">
        <v>338</v>
      </c>
      <c r="P1964" s="20">
        <v>4.2</v>
      </c>
      <c r="Q1964" s="20">
        <v>0</v>
      </c>
      <c r="R1964" s="20">
        <v>0</v>
      </c>
      <c r="S1964" s="20">
        <v>0</v>
      </c>
      <c r="T1964" s="20">
        <v>4.2</v>
      </c>
      <c r="U1964" s="20">
        <v>4.1900000000000004</v>
      </c>
      <c r="V1964" s="20">
        <v>-0.01</v>
      </c>
      <c r="W1964" s="20">
        <v>-0.15</v>
      </c>
      <c r="X1964" s="20">
        <v>-0.14000000000000001</v>
      </c>
      <c r="Y1964" s="20">
        <v>0</v>
      </c>
      <c r="Z1964" s="20">
        <v>0</v>
      </c>
      <c r="AA1964" s="20">
        <v>0</v>
      </c>
      <c r="AB1964" s="20">
        <v>4.05</v>
      </c>
      <c r="AC1964" t="s">
        <v>188</v>
      </c>
      <c r="AD1964" t="s">
        <v>290</v>
      </c>
      <c r="AE1964" s="702">
        <f t="shared" si="150"/>
        <v>44348</v>
      </c>
      <c r="AF1964" s="289">
        <v>4.8226297499906146</v>
      </c>
      <c r="AG1964">
        <f t="shared" si="151"/>
        <v>360</v>
      </c>
      <c r="AH1964" s="289">
        <f t="shared" si="152"/>
        <v>1.3396193749973929E-2</v>
      </c>
      <c r="AJ1964" s="289">
        <f t="shared" si="153"/>
        <v>18</v>
      </c>
      <c r="AK1964" s="289">
        <f t="shared" si="154"/>
        <v>0.24113148749953073</v>
      </c>
    </row>
    <row r="1965" spans="1:37">
      <c r="A1965" s="703" t="s">
        <v>3498</v>
      </c>
      <c r="B1965" s="703" t="s">
        <v>2849</v>
      </c>
      <c r="C1965" s="703" t="s">
        <v>390</v>
      </c>
      <c r="D1965" s="703" t="s">
        <v>334</v>
      </c>
      <c r="E1965" s="703" t="s">
        <v>334</v>
      </c>
      <c r="F1965" s="703" t="s">
        <v>335</v>
      </c>
      <c r="G1965" s="703" t="s">
        <v>3494</v>
      </c>
      <c r="H1965" s="703" t="s">
        <v>334</v>
      </c>
      <c r="I1965" s="703" t="s">
        <v>334</v>
      </c>
      <c r="J1965" s="703" t="s">
        <v>337</v>
      </c>
      <c r="K1965" s="704">
        <v>0</v>
      </c>
      <c r="L1965" s="703" t="s">
        <v>334</v>
      </c>
      <c r="M1965" s="702">
        <v>43251</v>
      </c>
      <c r="N1965" s="702">
        <v>44516</v>
      </c>
      <c r="O1965" s="703" t="s">
        <v>338</v>
      </c>
      <c r="P1965" s="20">
        <v>9.49</v>
      </c>
      <c r="Q1965" s="20">
        <v>0</v>
      </c>
      <c r="R1965" s="20">
        <v>0</v>
      </c>
      <c r="S1965" s="20">
        <v>0</v>
      </c>
      <c r="T1965" s="20">
        <v>9.49</v>
      </c>
      <c r="U1965" s="20">
        <v>9.4600000000000009</v>
      </c>
      <c r="V1965" s="20">
        <v>-0.03</v>
      </c>
      <c r="W1965" s="20">
        <v>-0.35</v>
      </c>
      <c r="X1965" s="20">
        <v>-0.32</v>
      </c>
      <c r="Y1965" s="20">
        <v>0</v>
      </c>
      <c r="Z1965" s="20">
        <v>0</v>
      </c>
      <c r="AA1965" s="20">
        <v>0</v>
      </c>
      <c r="AB1965" s="20">
        <v>9.14</v>
      </c>
      <c r="AC1965" t="s">
        <v>188</v>
      </c>
      <c r="AD1965" t="s">
        <v>290</v>
      </c>
      <c r="AE1965" s="702">
        <f t="shared" si="150"/>
        <v>44348</v>
      </c>
      <c r="AF1965" s="289">
        <v>10.89684674462165</v>
      </c>
      <c r="AG1965">
        <f t="shared" si="151"/>
        <v>360</v>
      </c>
      <c r="AH1965" s="289">
        <f t="shared" si="152"/>
        <v>3.0269018735060139E-2</v>
      </c>
      <c r="AJ1965" s="289">
        <f t="shared" si="153"/>
        <v>18</v>
      </c>
      <c r="AK1965" s="289">
        <f t="shared" si="154"/>
        <v>0.54484233723108255</v>
      </c>
    </row>
    <row r="1966" spans="1:37">
      <c r="A1966" s="703" t="s">
        <v>3499</v>
      </c>
      <c r="B1966" s="703" t="s">
        <v>2849</v>
      </c>
      <c r="C1966" s="703" t="s">
        <v>390</v>
      </c>
      <c r="D1966" s="703" t="s">
        <v>334</v>
      </c>
      <c r="E1966" s="703" t="s">
        <v>334</v>
      </c>
      <c r="F1966" s="703" t="s">
        <v>335</v>
      </c>
      <c r="G1966" s="703" t="s">
        <v>3494</v>
      </c>
      <c r="H1966" s="703" t="s">
        <v>334</v>
      </c>
      <c r="I1966" s="703" t="s">
        <v>334</v>
      </c>
      <c r="J1966" s="703" t="s">
        <v>337</v>
      </c>
      <c r="K1966" s="704">
        <v>0</v>
      </c>
      <c r="L1966" s="703" t="s">
        <v>334</v>
      </c>
      <c r="M1966" s="702">
        <v>43251</v>
      </c>
      <c r="N1966" s="702">
        <v>44516</v>
      </c>
      <c r="O1966" s="703" t="s">
        <v>338</v>
      </c>
      <c r="P1966" s="20">
        <v>135.52000000000001</v>
      </c>
      <c r="Q1966" s="20">
        <v>0</v>
      </c>
      <c r="R1966" s="20">
        <v>0</v>
      </c>
      <c r="S1966" s="20">
        <v>0</v>
      </c>
      <c r="T1966" s="20">
        <v>135.52000000000001</v>
      </c>
      <c r="U1966" s="20">
        <v>135.13999999999999</v>
      </c>
      <c r="V1966" s="20">
        <v>-0.38</v>
      </c>
      <c r="W1966" s="20">
        <v>-4.9000000000000004</v>
      </c>
      <c r="X1966" s="20">
        <v>-4.5199999999999996</v>
      </c>
      <c r="Y1966" s="20">
        <v>0</v>
      </c>
      <c r="Z1966" s="20">
        <v>0</v>
      </c>
      <c r="AA1966" s="20">
        <v>0</v>
      </c>
      <c r="AB1966" s="20">
        <v>130.62</v>
      </c>
      <c r="AC1966" t="s">
        <v>188</v>
      </c>
      <c r="AD1966" t="s">
        <v>290</v>
      </c>
      <c r="AE1966" s="702">
        <f t="shared" si="150"/>
        <v>44348</v>
      </c>
      <c r="AF1966" s="289">
        <v>155.61018659969713</v>
      </c>
      <c r="AG1966">
        <f t="shared" si="151"/>
        <v>360</v>
      </c>
      <c r="AH1966" s="289">
        <f t="shared" si="152"/>
        <v>0.43225051833249201</v>
      </c>
      <c r="AJ1966" s="289">
        <f t="shared" si="153"/>
        <v>18</v>
      </c>
      <c r="AK1966" s="289">
        <f t="shared" si="154"/>
        <v>7.7805093299848558</v>
      </c>
    </row>
    <row r="1967" spans="1:37">
      <c r="A1967" s="703" t="s">
        <v>3500</v>
      </c>
      <c r="B1967" s="703" t="s">
        <v>2849</v>
      </c>
      <c r="C1967" s="703" t="s">
        <v>390</v>
      </c>
      <c r="D1967" s="703" t="s">
        <v>334</v>
      </c>
      <c r="E1967" s="703" t="s">
        <v>334</v>
      </c>
      <c r="F1967" s="703" t="s">
        <v>335</v>
      </c>
      <c r="G1967" s="703" t="s">
        <v>3494</v>
      </c>
      <c r="H1967" s="703" t="s">
        <v>334</v>
      </c>
      <c r="I1967" s="703" t="s">
        <v>334</v>
      </c>
      <c r="J1967" s="703" t="s">
        <v>337</v>
      </c>
      <c r="K1967" s="704">
        <v>0</v>
      </c>
      <c r="L1967" s="703" t="s">
        <v>334</v>
      </c>
      <c r="M1967" s="702">
        <v>43251</v>
      </c>
      <c r="N1967" s="702">
        <v>44516</v>
      </c>
      <c r="O1967" s="703" t="s">
        <v>338</v>
      </c>
      <c r="P1967" s="20">
        <v>26.52</v>
      </c>
      <c r="Q1967" s="20">
        <v>0</v>
      </c>
      <c r="R1967" s="20">
        <v>0</v>
      </c>
      <c r="S1967" s="20">
        <v>0</v>
      </c>
      <c r="T1967" s="20">
        <v>26.52</v>
      </c>
      <c r="U1967" s="20">
        <v>26.45</v>
      </c>
      <c r="V1967" s="20">
        <v>-7.0000000000000007E-2</v>
      </c>
      <c r="W1967" s="20">
        <v>-0.95</v>
      </c>
      <c r="X1967" s="20">
        <v>-0.88</v>
      </c>
      <c r="Y1967" s="20">
        <v>0</v>
      </c>
      <c r="Z1967" s="20">
        <v>0</v>
      </c>
      <c r="AA1967" s="20">
        <v>0</v>
      </c>
      <c r="AB1967" s="20">
        <v>25.57</v>
      </c>
      <c r="AC1967" t="s">
        <v>188</v>
      </c>
      <c r="AD1967" t="s">
        <v>290</v>
      </c>
      <c r="AE1967" s="702">
        <f t="shared" si="150"/>
        <v>44348</v>
      </c>
      <c r="AF1967" s="289">
        <v>30.451462135655017</v>
      </c>
      <c r="AG1967">
        <f t="shared" si="151"/>
        <v>360</v>
      </c>
      <c r="AH1967" s="289">
        <f t="shared" si="152"/>
        <v>8.4587394821263942E-2</v>
      </c>
      <c r="AJ1967" s="289">
        <f t="shared" si="153"/>
        <v>18</v>
      </c>
      <c r="AK1967" s="289">
        <f t="shared" si="154"/>
        <v>1.522573106782751</v>
      </c>
    </row>
    <row r="1968" spans="1:37">
      <c r="A1968" s="703" t="s">
        <v>3501</v>
      </c>
      <c r="B1968" s="703" t="s">
        <v>2849</v>
      </c>
      <c r="C1968" s="703" t="s">
        <v>390</v>
      </c>
      <c r="D1968" s="703" t="s">
        <v>334</v>
      </c>
      <c r="E1968" s="703" t="s">
        <v>334</v>
      </c>
      <c r="F1968" s="703" t="s">
        <v>335</v>
      </c>
      <c r="G1968" s="703" t="s">
        <v>3494</v>
      </c>
      <c r="H1968" s="703" t="s">
        <v>334</v>
      </c>
      <c r="I1968" s="703" t="s">
        <v>334</v>
      </c>
      <c r="J1968" s="703" t="s">
        <v>337</v>
      </c>
      <c r="K1968" s="704">
        <v>0</v>
      </c>
      <c r="L1968" s="703" t="s">
        <v>334</v>
      </c>
      <c r="M1968" s="702">
        <v>43251</v>
      </c>
      <c r="N1968" s="702">
        <v>44516</v>
      </c>
      <c r="O1968" s="703" t="s">
        <v>338</v>
      </c>
      <c r="P1968" s="20">
        <v>5.23</v>
      </c>
      <c r="Q1968" s="20">
        <v>0</v>
      </c>
      <c r="R1968" s="20">
        <v>0</v>
      </c>
      <c r="S1968" s="20">
        <v>0</v>
      </c>
      <c r="T1968" s="20">
        <v>5.23</v>
      </c>
      <c r="U1968" s="20">
        <v>5.22</v>
      </c>
      <c r="V1968" s="20">
        <v>-0.01</v>
      </c>
      <c r="W1968" s="20">
        <v>-0.18</v>
      </c>
      <c r="X1968" s="20">
        <v>-0.17</v>
      </c>
      <c r="Y1968" s="20">
        <v>0</v>
      </c>
      <c r="Z1968" s="20">
        <v>0</v>
      </c>
      <c r="AA1968" s="20">
        <v>0</v>
      </c>
      <c r="AB1968" s="20">
        <v>5.05</v>
      </c>
      <c r="AC1968" t="s">
        <v>188</v>
      </c>
      <c r="AD1968" t="s">
        <v>290</v>
      </c>
      <c r="AE1968" s="702">
        <f t="shared" si="150"/>
        <v>44348</v>
      </c>
      <c r="AF1968" s="289">
        <v>6.0053222839168834</v>
      </c>
      <c r="AG1968">
        <f t="shared" si="151"/>
        <v>360</v>
      </c>
      <c r="AH1968" s="289">
        <f t="shared" si="152"/>
        <v>1.6681450788658011E-2</v>
      </c>
      <c r="AJ1968" s="289">
        <f t="shared" si="153"/>
        <v>18</v>
      </c>
      <c r="AK1968" s="289">
        <f t="shared" si="154"/>
        <v>0.3002661141958442</v>
      </c>
    </row>
    <row r="1969" spans="1:37">
      <c r="A1969" s="703" t="s">
        <v>3502</v>
      </c>
      <c r="B1969" s="703" t="s">
        <v>2849</v>
      </c>
      <c r="C1969" s="703" t="s">
        <v>390</v>
      </c>
      <c r="D1969" s="703" t="s">
        <v>334</v>
      </c>
      <c r="E1969" s="703" t="s">
        <v>334</v>
      </c>
      <c r="F1969" s="703" t="s">
        <v>335</v>
      </c>
      <c r="G1969" s="703" t="s">
        <v>3494</v>
      </c>
      <c r="H1969" s="703" t="s">
        <v>334</v>
      </c>
      <c r="I1969" s="703" t="s">
        <v>334</v>
      </c>
      <c r="J1969" s="703" t="s">
        <v>337</v>
      </c>
      <c r="K1969" s="704">
        <v>0</v>
      </c>
      <c r="L1969" s="703" t="s">
        <v>334</v>
      </c>
      <c r="M1969" s="702">
        <v>43251</v>
      </c>
      <c r="N1969" s="702">
        <v>44516</v>
      </c>
      <c r="O1969" s="703" t="s">
        <v>338</v>
      </c>
      <c r="P1969" s="20">
        <v>146.41999999999999</v>
      </c>
      <c r="Q1969" s="20">
        <v>0</v>
      </c>
      <c r="R1969" s="20">
        <v>0</v>
      </c>
      <c r="S1969" s="20">
        <v>0</v>
      </c>
      <c r="T1969" s="20">
        <v>146.41999999999999</v>
      </c>
      <c r="U1969" s="20">
        <v>146.01</v>
      </c>
      <c r="V1969" s="20">
        <v>-0.41</v>
      </c>
      <c r="W1969" s="20">
        <v>-5.29</v>
      </c>
      <c r="X1969" s="20">
        <v>-4.88</v>
      </c>
      <c r="Y1969" s="20">
        <v>0</v>
      </c>
      <c r="Z1969" s="20">
        <v>0</v>
      </c>
      <c r="AA1969" s="20">
        <v>0</v>
      </c>
      <c r="AB1969" s="20">
        <v>141.13</v>
      </c>
      <c r="AC1969" t="s">
        <v>188</v>
      </c>
      <c r="AD1969" t="s">
        <v>290</v>
      </c>
      <c r="AE1969" s="702">
        <f t="shared" si="150"/>
        <v>44348</v>
      </c>
      <c r="AF1969" s="289">
        <v>168.12605904610132</v>
      </c>
      <c r="AG1969">
        <f t="shared" si="151"/>
        <v>360</v>
      </c>
      <c r="AH1969" s="289">
        <f t="shared" si="152"/>
        <v>0.46701683068361477</v>
      </c>
      <c r="AJ1969" s="289">
        <f t="shared" si="153"/>
        <v>18</v>
      </c>
      <c r="AK1969" s="289">
        <f t="shared" si="154"/>
        <v>8.4063029523050652</v>
      </c>
    </row>
    <row r="1970" spans="1:37">
      <c r="A1970" s="703" t="s">
        <v>3503</v>
      </c>
      <c r="B1970" s="703" t="s">
        <v>2849</v>
      </c>
      <c r="C1970" s="703" t="s">
        <v>390</v>
      </c>
      <c r="D1970" s="703" t="s">
        <v>334</v>
      </c>
      <c r="E1970" s="703" t="s">
        <v>334</v>
      </c>
      <c r="F1970" s="703" t="s">
        <v>335</v>
      </c>
      <c r="G1970" s="703" t="s">
        <v>3494</v>
      </c>
      <c r="H1970" s="703" t="s">
        <v>334</v>
      </c>
      <c r="I1970" s="703" t="s">
        <v>334</v>
      </c>
      <c r="J1970" s="703" t="s">
        <v>337</v>
      </c>
      <c r="K1970" s="704">
        <v>0</v>
      </c>
      <c r="L1970" s="703" t="s">
        <v>334</v>
      </c>
      <c r="M1970" s="702">
        <v>43251</v>
      </c>
      <c r="N1970" s="702">
        <v>44516</v>
      </c>
      <c r="O1970" s="703" t="s">
        <v>338</v>
      </c>
      <c r="P1970" s="20">
        <v>37.049999999999997</v>
      </c>
      <c r="Q1970" s="20">
        <v>0</v>
      </c>
      <c r="R1970" s="20">
        <v>0</v>
      </c>
      <c r="S1970" s="20">
        <v>0</v>
      </c>
      <c r="T1970" s="20">
        <v>37.049999999999997</v>
      </c>
      <c r="U1970" s="20">
        <v>36.950000000000003</v>
      </c>
      <c r="V1970" s="20">
        <v>-0.1</v>
      </c>
      <c r="W1970" s="20">
        <v>-1.34</v>
      </c>
      <c r="X1970" s="20">
        <v>-1.24</v>
      </c>
      <c r="Y1970" s="20">
        <v>0</v>
      </c>
      <c r="Z1970" s="20">
        <v>0</v>
      </c>
      <c r="AA1970" s="20">
        <v>0</v>
      </c>
      <c r="AB1970" s="20">
        <v>35.71</v>
      </c>
      <c r="AC1970" t="s">
        <v>188</v>
      </c>
      <c r="AD1970" t="s">
        <v>290</v>
      </c>
      <c r="AE1970" s="702">
        <f t="shared" si="150"/>
        <v>44348</v>
      </c>
      <c r="AF1970" s="289">
        <v>42.542483865988629</v>
      </c>
      <c r="AG1970">
        <f t="shared" si="151"/>
        <v>360</v>
      </c>
      <c r="AH1970" s="289">
        <f t="shared" si="152"/>
        <v>0.11817356629441286</v>
      </c>
      <c r="AJ1970" s="289">
        <f t="shared" si="153"/>
        <v>18</v>
      </c>
      <c r="AK1970" s="289">
        <f t="shared" si="154"/>
        <v>2.1271241932994314</v>
      </c>
    </row>
    <row r="1971" spans="1:37">
      <c r="A1971" s="703" t="s">
        <v>3504</v>
      </c>
      <c r="B1971" s="703" t="s">
        <v>2849</v>
      </c>
      <c r="C1971" s="703" t="s">
        <v>390</v>
      </c>
      <c r="D1971" s="703" t="s">
        <v>334</v>
      </c>
      <c r="E1971" s="703" t="s">
        <v>334</v>
      </c>
      <c r="F1971" s="703" t="s">
        <v>335</v>
      </c>
      <c r="G1971" s="703" t="s">
        <v>3494</v>
      </c>
      <c r="H1971" s="703" t="s">
        <v>334</v>
      </c>
      <c r="I1971" s="703" t="s">
        <v>334</v>
      </c>
      <c r="J1971" s="703" t="s">
        <v>337</v>
      </c>
      <c r="K1971" s="704">
        <v>0</v>
      </c>
      <c r="L1971" s="703" t="s">
        <v>334</v>
      </c>
      <c r="M1971" s="702">
        <v>43251</v>
      </c>
      <c r="N1971" s="702">
        <v>44516</v>
      </c>
      <c r="O1971" s="703" t="s">
        <v>338</v>
      </c>
      <c r="P1971" s="20">
        <v>151.65</v>
      </c>
      <c r="Q1971" s="20">
        <v>0</v>
      </c>
      <c r="R1971" s="20">
        <v>0</v>
      </c>
      <c r="S1971" s="20">
        <v>0</v>
      </c>
      <c r="T1971" s="20">
        <v>151.65</v>
      </c>
      <c r="U1971" s="20">
        <v>151.22999999999999</v>
      </c>
      <c r="V1971" s="20">
        <v>-0.42</v>
      </c>
      <c r="W1971" s="20">
        <v>-5.48</v>
      </c>
      <c r="X1971" s="20">
        <v>-5.0599999999999996</v>
      </c>
      <c r="Y1971" s="20">
        <v>0</v>
      </c>
      <c r="Z1971" s="20">
        <v>0</v>
      </c>
      <c r="AA1971" s="20">
        <v>0</v>
      </c>
      <c r="AB1971" s="20">
        <v>146.16999999999999</v>
      </c>
      <c r="AC1971" t="s">
        <v>188</v>
      </c>
      <c r="AD1971" t="s">
        <v>290</v>
      </c>
      <c r="AE1971" s="702">
        <f t="shared" si="150"/>
        <v>44348</v>
      </c>
      <c r="AF1971" s="289">
        <v>174.13138133001826</v>
      </c>
      <c r="AG1971">
        <f t="shared" si="151"/>
        <v>360</v>
      </c>
      <c r="AH1971" s="289">
        <f t="shared" si="152"/>
        <v>0.48369828147227295</v>
      </c>
      <c r="AJ1971" s="289">
        <f t="shared" si="153"/>
        <v>18</v>
      </c>
      <c r="AK1971" s="289">
        <f t="shared" si="154"/>
        <v>8.7065690665009132</v>
      </c>
    </row>
    <row r="1972" spans="1:37">
      <c r="A1972" s="703" t="s">
        <v>3505</v>
      </c>
      <c r="B1972" s="703" t="s">
        <v>2849</v>
      </c>
      <c r="C1972" s="703" t="s">
        <v>390</v>
      </c>
      <c r="D1972" s="703" t="s">
        <v>334</v>
      </c>
      <c r="E1972" s="703" t="s">
        <v>334</v>
      </c>
      <c r="F1972" s="703" t="s">
        <v>335</v>
      </c>
      <c r="G1972" s="703" t="s">
        <v>3494</v>
      </c>
      <c r="H1972" s="703" t="s">
        <v>334</v>
      </c>
      <c r="I1972" s="703" t="s">
        <v>334</v>
      </c>
      <c r="J1972" s="703" t="s">
        <v>337</v>
      </c>
      <c r="K1972" s="704">
        <v>0</v>
      </c>
      <c r="L1972" s="703" t="s">
        <v>334</v>
      </c>
      <c r="M1972" s="702">
        <v>43251</v>
      </c>
      <c r="N1972" s="702">
        <v>44516</v>
      </c>
      <c r="O1972" s="703" t="s">
        <v>338</v>
      </c>
      <c r="P1972" s="20">
        <v>87.21</v>
      </c>
      <c r="Q1972" s="20">
        <v>0</v>
      </c>
      <c r="R1972" s="20">
        <v>0</v>
      </c>
      <c r="S1972" s="20">
        <v>0</v>
      </c>
      <c r="T1972" s="20">
        <v>87.21</v>
      </c>
      <c r="U1972" s="20">
        <v>86.97</v>
      </c>
      <c r="V1972" s="20">
        <v>-0.24</v>
      </c>
      <c r="W1972" s="20">
        <v>-3.15</v>
      </c>
      <c r="X1972" s="20">
        <v>-2.91</v>
      </c>
      <c r="Y1972" s="20">
        <v>0</v>
      </c>
      <c r="Z1972" s="20">
        <v>0</v>
      </c>
      <c r="AA1972" s="20">
        <v>0</v>
      </c>
      <c r="AB1972" s="20">
        <v>84.06</v>
      </c>
      <c r="AC1972" t="s">
        <v>188</v>
      </c>
      <c r="AD1972" t="s">
        <v>290</v>
      </c>
      <c r="AE1972" s="702">
        <f t="shared" si="150"/>
        <v>44348</v>
      </c>
      <c r="AF1972" s="289">
        <v>100.13846202301939</v>
      </c>
      <c r="AG1972">
        <f t="shared" si="151"/>
        <v>360</v>
      </c>
      <c r="AH1972" s="289">
        <f t="shared" si="152"/>
        <v>0.2781623945083872</v>
      </c>
      <c r="AJ1972" s="289">
        <f t="shared" si="153"/>
        <v>18</v>
      </c>
      <c r="AK1972" s="289">
        <f t="shared" si="154"/>
        <v>5.0069231011509698</v>
      </c>
    </row>
    <row r="1973" spans="1:37">
      <c r="A1973" s="703" t="s">
        <v>3506</v>
      </c>
      <c r="B1973" s="703" t="s">
        <v>2849</v>
      </c>
      <c r="C1973" s="703" t="s">
        <v>390</v>
      </c>
      <c r="D1973" s="703" t="s">
        <v>334</v>
      </c>
      <c r="E1973" s="703" t="s">
        <v>334</v>
      </c>
      <c r="F1973" s="703" t="s">
        <v>335</v>
      </c>
      <c r="G1973" s="703" t="s">
        <v>3494</v>
      </c>
      <c r="H1973" s="703" t="s">
        <v>334</v>
      </c>
      <c r="I1973" s="703" t="s">
        <v>334</v>
      </c>
      <c r="J1973" s="703" t="s">
        <v>337</v>
      </c>
      <c r="K1973" s="704">
        <v>0</v>
      </c>
      <c r="L1973" s="703" t="s">
        <v>334</v>
      </c>
      <c r="M1973" s="702">
        <v>43251</v>
      </c>
      <c r="N1973" s="702">
        <v>44516</v>
      </c>
      <c r="O1973" s="703" t="s">
        <v>338</v>
      </c>
      <c r="P1973" s="20">
        <v>77.599999999999994</v>
      </c>
      <c r="Q1973" s="20">
        <v>0</v>
      </c>
      <c r="R1973" s="20">
        <v>0</v>
      </c>
      <c r="S1973" s="20">
        <v>0</v>
      </c>
      <c r="T1973" s="20">
        <v>77.599999999999994</v>
      </c>
      <c r="U1973" s="20">
        <v>77.38</v>
      </c>
      <c r="V1973" s="20">
        <v>-0.22</v>
      </c>
      <c r="W1973" s="20">
        <v>-2.81</v>
      </c>
      <c r="X1973" s="20">
        <v>-2.59</v>
      </c>
      <c r="Y1973" s="20">
        <v>0</v>
      </c>
      <c r="Z1973" s="20">
        <v>0</v>
      </c>
      <c r="AA1973" s="20">
        <v>0</v>
      </c>
      <c r="AB1973" s="20">
        <v>74.790000000000006</v>
      </c>
      <c r="AC1973" t="s">
        <v>188</v>
      </c>
      <c r="AD1973" t="s">
        <v>290</v>
      </c>
      <c r="AE1973" s="702">
        <f t="shared" si="150"/>
        <v>44348</v>
      </c>
      <c r="AF1973" s="289">
        <v>89.103825856969422</v>
      </c>
      <c r="AG1973">
        <f t="shared" si="151"/>
        <v>360</v>
      </c>
      <c r="AH1973" s="289">
        <f t="shared" si="152"/>
        <v>0.24751062738047061</v>
      </c>
      <c r="AJ1973" s="289">
        <f t="shared" si="153"/>
        <v>18</v>
      </c>
      <c r="AK1973" s="289">
        <f t="shared" si="154"/>
        <v>4.4551912928484709</v>
      </c>
    </row>
    <row r="1974" spans="1:37">
      <c r="A1974" s="703" t="s">
        <v>3507</v>
      </c>
      <c r="B1974" s="703" t="s">
        <v>2849</v>
      </c>
      <c r="C1974" s="703" t="s">
        <v>390</v>
      </c>
      <c r="D1974" s="703" t="s">
        <v>334</v>
      </c>
      <c r="E1974" s="703" t="s">
        <v>334</v>
      </c>
      <c r="F1974" s="703" t="s">
        <v>335</v>
      </c>
      <c r="G1974" s="703" t="s">
        <v>3494</v>
      </c>
      <c r="H1974" s="703" t="s">
        <v>334</v>
      </c>
      <c r="I1974" s="703" t="s">
        <v>334</v>
      </c>
      <c r="J1974" s="703" t="s">
        <v>337</v>
      </c>
      <c r="K1974" s="704">
        <v>0</v>
      </c>
      <c r="L1974" s="703" t="s">
        <v>334</v>
      </c>
      <c r="M1974" s="702">
        <v>43251</v>
      </c>
      <c r="N1974" s="702">
        <v>44516</v>
      </c>
      <c r="O1974" s="703" t="s">
        <v>338</v>
      </c>
      <c r="P1974" s="20">
        <v>66.37</v>
      </c>
      <c r="Q1974" s="20">
        <v>0</v>
      </c>
      <c r="R1974" s="20">
        <v>0</v>
      </c>
      <c r="S1974" s="20">
        <v>0</v>
      </c>
      <c r="T1974" s="20">
        <v>66.37</v>
      </c>
      <c r="U1974" s="20">
        <v>66.19</v>
      </c>
      <c r="V1974" s="20">
        <v>-0.18</v>
      </c>
      <c r="W1974" s="20">
        <v>-2.39</v>
      </c>
      <c r="X1974" s="20">
        <v>-2.21</v>
      </c>
      <c r="Y1974" s="20">
        <v>0</v>
      </c>
      <c r="Z1974" s="20">
        <v>0</v>
      </c>
      <c r="AA1974" s="20">
        <v>0</v>
      </c>
      <c r="AB1974" s="20">
        <v>63.98</v>
      </c>
      <c r="AC1974" t="s">
        <v>188</v>
      </c>
      <c r="AD1974" t="s">
        <v>290</v>
      </c>
      <c r="AE1974" s="702">
        <f t="shared" si="150"/>
        <v>44348</v>
      </c>
      <c r="AF1974" s="289">
        <v>76.209032501637395</v>
      </c>
      <c r="AG1974">
        <f t="shared" si="151"/>
        <v>360</v>
      </c>
      <c r="AH1974" s="289">
        <f t="shared" si="152"/>
        <v>0.21169175694899275</v>
      </c>
      <c r="AJ1974" s="289">
        <f t="shared" si="153"/>
        <v>18</v>
      </c>
      <c r="AK1974" s="289">
        <f t="shared" si="154"/>
        <v>3.8104516250818694</v>
      </c>
    </row>
    <row r="1975" spans="1:37">
      <c r="A1975" s="703" t="s">
        <v>3508</v>
      </c>
      <c r="B1975" s="703" t="s">
        <v>2849</v>
      </c>
      <c r="C1975" s="703" t="s">
        <v>390</v>
      </c>
      <c r="D1975" s="703" t="s">
        <v>334</v>
      </c>
      <c r="E1975" s="703" t="s">
        <v>334</v>
      </c>
      <c r="F1975" s="703" t="s">
        <v>335</v>
      </c>
      <c r="G1975" s="703" t="s">
        <v>3494</v>
      </c>
      <c r="H1975" s="703" t="s">
        <v>334</v>
      </c>
      <c r="I1975" s="703" t="s">
        <v>334</v>
      </c>
      <c r="J1975" s="703" t="s">
        <v>337</v>
      </c>
      <c r="K1975" s="704">
        <v>0</v>
      </c>
      <c r="L1975" s="703" t="s">
        <v>334</v>
      </c>
      <c r="M1975" s="702">
        <v>43251</v>
      </c>
      <c r="N1975" s="702">
        <v>44516</v>
      </c>
      <c r="O1975" s="703" t="s">
        <v>338</v>
      </c>
      <c r="P1975" s="20">
        <v>246.51</v>
      </c>
      <c r="Q1975" s="20">
        <v>0</v>
      </c>
      <c r="R1975" s="20">
        <v>0</v>
      </c>
      <c r="S1975" s="20">
        <v>0</v>
      </c>
      <c r="T1975" s="20">
        <v>246.51</v>
      </c>
      <c r="U1975" s="20">
        <v>245.83</v>
      </c>
      <c r="V1975" s="20">
        <v>-0.68</v>
      </c>
      <c r="W1975" s="20">
        <v>-8.9</v>
      </c>
      <c r="X1975" s="20">
        <v>-8.2200000000000006</v>
      </c>
      <c r="Y1975" s="20">
        <v>0</v>
      </c>
      <c r="Z1975" s="20">
        <v>0</v>
      </c>
      <c r="AA1975" s="20">
        <v>0</v>
      </c>
      <c r="AB1975" s="20">
        <v>237.61</v>
      </c>
      <c r="AC1975" t="s">
        <v>188</v>
      </c>
      <c r="AD1975" t="s">
        <v>290</v>
      </c>
      <c r="AE1975" s="702">
        <f t="shared" si="150"/>
        <v>44348</v>
      </c>
      <c r="AF1975" s="289">
        <v>283.05391896909191</v>
      </c>
      <c r="AG1975">
        <f t="shared" si="151"/>
        <v>360</v>
      </c>
      <c r="AH1975" s="289">
        <f t="shared" si="152"/>
        <v>0.78626088602525535</v>
      </c>
      <c r="AJ1975" s="289">
        <f t="shared" si="153"/>
        <v>18</v>
      </c>
      <c r="AK1975" s="289">
        <f t="shared" si="154"/>
        <v>14.152695948454596</v>
      </c>
    </row>
    <row r="1976" spans="1:37">
      <c r="A1976" s="703" t="s">
        <v>3509</v>
      </c>
      <c r="B1976" s="703" t="s">
        <v>2849</v>
      </c>
      <c r="C1976" s="703" t="s">
        <v>390</v>
      </c>
      <c r="D1976" s="703" t="s">
        <v>334</v>
      </c>
      <c r="E1976" s="703" t="s">
        <v>334</v>
      </c>
      <c r="F1976" s="703" t="s">
        <v>335</v>
      </c>
      <c r="G1976" s="703" t="s">
        <v>3494</v>
      </c>
      <c r="H1976" s="703" t="s">
        <v>334</v>
      </c>
      <c r="I1976" s="703" t="s">
        <v>334</v>
      </c>
      <c r="J1976" s="703" t="s">
        <v>337</v>
      </c>
      <c r="K1976" s="704">
        <v>0</v>
      </c>
      <c r="L1976" s="703" t="s">
        <v>334</v>
      </c>
      <c r="M1976" s="702">
        <v>43251</v>
      </c>
      <c r="N1976" s="702">
        <v>44516</v>
      </c>
      <c r="O1976" s="703" t="s">
        <v>338</v>
      </c>
      <c r="P1976" s="20">
        <v>187.04</v>
      </c>
      <c r="Q1976" s="20">
        <v>0</v>
      </c>
      <c r="R1976" s="20">
        <v>0</v>
      </c>
      <c r="S1976" s="20">
        <v>0</v>
      </c>
      <c r="T1976" s="20">
        <v>187.04</v>
      </c>
      <c r="U1976" s="20">
        <v>186.52</v>
      </c>
      <c r="V1976" s="20">
        <v>-0.52</v>
      </c>
      <c r="W1976" s="20">
        <v>-6.75</v>
      </c>
      <c r="X1976" s="20">
        <v>-6.23</v>
      </c>
      <c r="Y1976" s="20">
        <v>0</v>
      </c>
      <c r="Z1976" s="20">
        <v>0</v>
      </c>
      <c r="AA1976" s="20">
        <v>0</v>
      </c>
      <c r="AB1976" s="20">
        <v>180.29</v>
      </c>
      <c r="AC1976" t="s">
        <v>188</v>
      </c>
      <c r="AD1976" t="s">
        <v>290</v>
      </c>
      <c r="AE1976" s="702">
        <f t="shared" si="150"/>
        <v>44348</v>
      </c>
      <c r="AF1976" s="289">
        <v>214.76777819958201</v>
      </c>
      <c r="AG1976">
        <f t="shared" si="151"/>
        <v>360</v>
      </c>
      <c r="AH1976" s="289">
        <f t="shared" si="152"/>
        <v>0.59657716166550556</v>
      </c>
      <c r="AJ1976" s="289">
        <f t="shared" si="153"/>
        <v>18</v>
      </c>
      <c r="AK1976" s="289">
        <f t="shared" si="154"/>
        <v>10.738388909979101</v>
      </c>
    </row>
    <row r="1977" spans="1:37">
      <c r="A1977" s="703" t="s">
        <v>3510</v>
      </c>
      <c r="B1977" s="703" t="s">
        <v>2849</v>
      </c>
      <c r="C1977" s="703" t="s">
        <v>390</v>
      </c>
      <c r="D1977" s="703" t="s">
        <v>334</v>
      </c>
      <c r="E1977" s="703" t="s">
        <v>334</v>
      </c>
      <c r="F1977" s="703" t="s">
        <v>335</v>
      </c>
      <c r="G1977" s="703" t="s">
        <v>3494</v>
      </c>
      <c r="H1977" s="703" t="s">
        <v>334</v>
      </c>
      <c r="I1977" s="703" t="s">
        <v>334</v>
      </c>
      <c r="J1977" s="703" t="s">
        <v>337</v>
      </c>
      <c r="K1977" s="704">
        <v>0</v>
      </c>
      <c r="L1977" s="703" t="s">
        <v>334</v>
      </c>
      <c r="M1977" s="702">
        <v>43251</v>
      </c>
      <c r="N1977" s="702">
        <v>44516</v>
      </c>
      <c r="O1977" s="703" t="s">
        <v>338</v>
      </c>
      <c r="P1977" s="20">
        <v>485.98</v>
      </c>
      <c r="Q1977" s="20">
        <v>0</v>
      </c>
      <c r="R1977" s="20">
        <v>0</v>
      </c>
      <c r="S1977" s="20">
        <v>0</v>
      </c>
      <c r="T1977" s="20">
        <v>485.98</v>
      </c>
      <c r="U1977" s="20">
        <v>484.63</v>
      </c>
      <c r="V1977" s="20">
        <v>-1.35</v>
      </c>
      <c r="W1977" s="20">
        <v>-17.55</v>
      </c>
      <c r="X1977" s="20">
        <v>-16.2</v>
      </c>
      <c r="Y1977" s="20">
        <v>0</v>
      </c>
      <c r="Z1977" s="20">
        <v>0</v>
      </c>
      <c r="AA1977" s="20">
        <v>0</v>
      </c>
      <c r="AB1977" s="20">
        <v>468.43</v>
      </c>
      <c r="AC1977" t="s">
        <v>188</v>
      </c>
      <c r="AD1977" t="s">
        <v>290</v>
      </c>
      <c r="AE1977" s="702">
        <f t="shared" si="150"/>
        <v>44348</v>
      </c>
      <c r="AF1977" s="289">
        <v>558.02419188105671</v>
      </c>
      <c r="AG1977">
        <f t="shared" si="151"/>
        <v>360</v>
      </c>
      <c r="AH1977" s="289">
        <f t="shared" si="152"/>
        <v>1.550067199669602</v>
      </c>
      <c r="AJ1977" s="289">
        <f t="shared" si="153"/>
        <v>18</v>
      </c>
      <c r="AK1977" s="289">
        <f t="shared" si="154"/>
        <v>27.901209594052837</v>
      </c>
    </row>
    <row r="1978" spans="1:37">
      <c r="A1978" s="703" t="s">
        <v>3511</v>
      </c>
      <c r="B1978" s="703" t="s">
        <v>2849</v>
      </c>
      <c r="C1978" s="703" t="s">
        <v>390</v>
      </c>
      <c r="D1978" s="703" t="s">
        <v>334</v>
      </c>
      <c r="E1978" s="703" t="s">
        <v>334</v>
      </c>
      <c r="F1978" s="703" t="s">
        <v>335</v>
      </c>
      <c r="G1978" s="703" t="s">
        <v>3494</v>
      </c>
      <c r="H1978" s="703" t="s">
        <v>334</v>
      </c>
      <c r="I1978" s="703" t="s">
        <v>334</v>
      </c>
      <c r="J1978" s="703" t="s">
        <v>337</v>
      </c>
      <c r="K1978" s="704">
        <v>0</v>
      </c>
      <c r="L1978" s="703" t="s">
        <v>334</v>
      </c>
      <c r="M1978" s="702">
        <v>43251</v>
      </c>
      <c r="N1978" s="702">
        <v>44516</v>
      </c>
      <c r="O1978" s="703" t="s">
        <v>338</v>
      </c>
      <c r="P1978" s="20">
        <v>192.9</v>
      </c>
      <c r="Q1978" s="20">
        <v>0</v>
      </c>
      <c r="R1978" s="20">
        <v>0</v>
      </c>
      <c r="S1978" s="20">
        <v>0</v>
      </c>
      <c r="T1978" s="20">
        <v>192.9</v>
      </c>
      <c r="U1978" s="20">
        <v>192.36</v>
      </c>
      <c r="V1978" s="20">
        <v>-0.54</v>
      </c>
      <c r="W1978" s="20">
        <v>-6.97</v>
      </c>
      <c r="X1978" s="20">
        <v>-6.43</v>
      </c>
      <c r="Y1978" s="20">
        <v>0</v>
      </c>
      <c r="Z1978" s="20">
        <v>0</v>
      </c>
      <c r="AA1978" s="20">
        <v>0</v>
      </c>
      <c r="AB1978" s="20">
        <v>185.93</v>
      </c>
      <c r="AC1978" t="s">
        <v>188</v>
      </c>
      <c r="AD1978" t="s">
        <v>290</v>
      </c>
      <c r="AE1978" s="702">
        <f t="shared" si="150"/>
        <v>44348</v>
      </c>
      <c r="AF1978" s="289">
        <v>221.49649494599748</v>
      </c>
      <c r="AG1978">
        <f t="shared" si="151"/>
        <v>360</v>
      </c>
      <c r="AH1978" s="289">
        <f t="shared" si="152"/>
        <v>0.6152680415166597</v>
      </c>
      <c r="AJ1978" s="289">
        <f t="shared" si="153"/>
        <v>18</v>
      </c>
      <c r="AK1978" s="289">
        <f t="shared" si="154"/>
        <v>11.074824747299875</v>
      </c>
    </row>
    <row r="1979" spans="1:37">
      <c r="A1979" s="703" t="s">
        <v>3512</v>
      </c>
      <c r="B1979" s="703" t="s">
        <v>2849</v>
      </c>
      <c r="C1979" s="703" t="s">
        <v>390</v>
      </c>
      <c r="D1979" s="703" t="s">
        <v>334</v>
      </c>
      <c r="E1979" s="703" t="s">
        <v>334</v>
      </c>
      <c r="F1979" s="703" t="s">
        <v>335</v>
      </c>
      <c r="G1979" s="703" t="s">
        <v>3494</v>
      </c>
      <c r="H1979" s="703" t="s">
        <v>334</v>
      </c>
      <c r="I1979" s="703" t="s">
        <v>334</v>
      </c>
      <c r="J1979" s="703" t="s">
        <v>337</v>
      </c>
      <c r="K1979" s="704">
        <v>0</v>
      </c>
      <c r="L1979" s="703" t="s">
        <v>334</v>
      </c>
      <c r="M1979" s="702">
        <v>43251</v>
      </c>
      <c r="N1979" s="702">
        <v>44516</v>
      </c>
      <c r="O1979" s="703" t="s">
        <v>338</v>
      </c>
      <c r="P1979" s="20">
        <v>353.8</v>
      </c>
      <c r="Q1979" s="20">
        <v>0</v>
      </c>
      <c r="R1979" s="20">
        <v>0</v>
      </c>
      <c r="S1979" s="20">
        <v>0</v>
      </c>
      <c r="T1979" s="20">
        <v>353.8</v>
      </c>
      <c r="U1979" s="20">
        <v>352.82</v>
      </c>
      <c r="V1979" s="20">
        <v>-0.98</v>
      </c>
      <c r="W1979" s="20">
        <v>-12.77</v>
      </c>
      <c r="X1979" s="20">
        <v>-11.79</v>
      </c>
      <c r="Y1979" s="20">
        <v>0</v>
      </c>
      <c r="Z1979" s="20">
        <v>0</v>
      </c>
      <c r="AA1979" s="20">
        <v>0</v>
      </c>
      <c r="AB1979" s="20">
        <v>341.03</v>
      </c>
      <c r="AC1979" t="s">
        <v>188</v>
      </c>
      <c r="AD1979" t="s">
        <v>290</v>
      </c>
      <c r="AE1979" s="702">
        <f t="shared" si="150"/>
        <v>44348</v>
      </c>
      <c r="AF1979" s="289">
        <v>406.24914417778075</v>
      </c>
      <c r="AG1979">
        <f t="shared" si="151"/>
        <v>360</v>
      </c>
      <c r="AH1979" s="289">
        <f t="shared" si="152"/>
        <v>1.12846984493828</v>
      </c>
      <c r="AJ1979" s="289">
        <f t="shared" si="153"/>
        <v>18</v>
      </c>
      <c r="AK1979" s="289">
        <f t="shared" si="154"/>
        <v>20.31245720888904</v>
      </c>
    </row>
    <row r="1980" spans="1:37">
      <c r="A1980" s="703" t="s">
        <v>3513</v>
      </c>
      <c r="B1980" s="703" t="s">
        <v>2849</v>
      </c>
      <c r="C1980" s="703" t="s">
        <v>390</v>
      </c>
      <c r="D1980" s="703" t="s">
        <v>334</v>
      </c>
      <c r="E1980" s="703" t="s">
        <v>334</v>
      </c>
      <c r="F1980" s="703" t="s">
        <v>335</v>
      </c>
      <c r="G1980" s="703" t="s">
        <v>3494</v>
      </c>
      <c r="H1980" s="703" t="s">
        <v>334</v>
      </c>
      <c r="I1980" s="703" t="s">
        <v>334</v>
      </c>
      <c r="J1980" s="703" t="s">
        <v>337</v>
      </c>
      <c r="K1980" s="704">
        <v>0</v>
      </c>
      <c r="L1980" s="703" t="s">
        <v>334</v>
      </c>
      <c r="M1980" s="702">
        <v>43251</v>
      </c>
      <c r="N1980" s="702">
        <v>44516</v>
      </c>
      <c r="O1980" s="703" t="s">
        <v>338</v>
      </c>
      <c r="P1980" s="20">
        <v>601.46</v>
      </c>
      <c r="Q1980" s="20">
        <v>0</v>
      </c>
      <c r="R1980" s="20">
        <v>0</v>
      </c>
      <c r="S1980" s="20">
        <v>0</v>
      </c>
      <c r="T1980" s="20">
        <v>601.46</v>
      </c>
      <c r="U1980" s="20">
        <v>599.79</v>
      </c>
      <c r="V1980" s="20">
        <v>-1.67</v>
      </c>
      <c r="W1980" s="20">
        <v>-21.72</v>
      </c>
      <c r="X1980" s="20">
        <v>-20.05</v>
      </c>
      <c r="Y1980" s="20">
        <v>0</v>
      </c>
      <c r="Z1980" s="20">
        <v>0</v>
      </c>
      <c r="AA1980" s="20">
        <v>0</v>
      </c>
      <c r="AB1980" s="20">
        <v>579.74</v>
      </c>
      <c r="AC1980" t="s">
        <v>188</v>
      </c>
      <c r="AD1980" t="s">
        <v>290</v>
      </c>
      <c r="AE1980" s="702">
        <f t="shared" si="150"/>
        <v>44348</v>
      </c>
      <c r="AF1980" s="289">
        <v>690.62354510222735</v>
      </c>
      <c r="AG1980">
        <f t="shared" si="151"/>
        <v>360</v>
      </c>
      <c r="AH1980" s="289">
        <f t="shared" si="152"/>
        <v>1.9183987363950761</v>
      </c>
      <c r="AJ1980" s="289">
        <f t="shared" si="153"/>
        <v>18</v>
      </c>
      <c r="AK1980" s="289">
        <f t="shared" si="154"/>
        <v>34.531177255111366</v>
      </c>
    </row>
    <row r="1981" spans="1:37">
      <c r="A1981" s="703" t="s">
        <v>3514</v>
      </c>
      <c r="B1981" s="703" t="s">
        <v>2849</v>
      </c>
      <c r="C1981" s="703" t="s">
        <v>390</v>
      </c>
      <c r="D1981" s="703" t="s">
        <v>334</v>
      </c>
      <c r="E1981" s="703" t="s">
        <v>334</v>
      </c>
      <c r="F1981" s="703" t="s">
        <v>335</v>
      </c>
      <c r="G1981" s="703" t="s">
        <v>3494</v>
      </c>
      <c r="H1981" s="703" t="s">
        <v>334</v>
      </c>
      <c r="I1981" s="703" t="s">
        <v>334</v>
      </c>
      <c r="J1981" s="703" t="s">
        <v>337</v>
      </c>
      <c r="K1981" s="704">
        <v>0</v>
      </c>
      <c r="L1981" s="703" t="s">
        <v>334</v>
      </c>
      <c r="M1981" s="702">
        <v>43251</v>
      </c>
      <c r="N1981" s="702">
        <v>44516</v>
      </c>
      <c r="O1981" s="703" t="s">
        <v>338</v>
      </c>
      <c r="P1981" s="20">
        <v>572.53</v>
      </c>
      <c r="Q1981" s="20">
        <v>0</v>
      </c>
      <c r="R1981" s="20">
        <v>0</v>
      </c>
      <c r="S1981" s="20">
        <v>0</v>
      </c>
      <c r="T1981" s="20">
        <v>572.53</v>
      </c>
      <c r="U1981" s="20">
        <v>570.94000000000005</v>
      </c>
      <c r="V1981" s="20">
        <v>-1.59</v>
      </c>
      <c r="W1981" s="20">
        <v>-20.67</v>
      </c>
      <c r="X1981" s="20">
        <v>-19.079999999999998</v>
      </c>
      <c r="Y1981" s="20">
        <v>0</v>
      </c>
      <c r="Z1981" s="20">
        <v>0</v>
      </c>
      <c r="AA1981" s="20">
        <v>0</v>
      </c>
      <c r="AB1981" s="20">
        <v>551.86</v>
      </c>
      <c r="AC1981" t="s">
        <v>188</v>
      </c>
      <c r="AD1981" t="s">
        <v>290</v>
      </c>
      <c r="AE1981" s="702">
        <f t="shared" si="150"/>
        <v>44348</v>
      </c>
      <c r="AF1981" s="289">
        <v>657.40481208622043</v>
      </c>
      <c r="AG1981">
        <f t="shared" si="151"/>
        <v>360</v>
      </c>
      <c r="AH1981" s="289">
        <f t="shared" si="152"/>
        <v>1.826124478017279</v>
      </c>
      <c r="AJ1981" s="289">
        <f t="shared" si="153"/>
        <v>18</v>
      </c>
      <c r="AK1981" s="289">
        <f t="shared" si="154"/>
        <v>32.870240604311022</v>
      </c>
    </row>
    <row r="1982" spans="1:37">
      <c r="A1982" s="703" t="s">
        <v>3515</v>
      </c>
      <c r="B1982" s="703" t="s">
        <v>2849</v>
      </c>
      <c r="C1982" s="703" t="s">
        <v>390</v>
      </c>
      <c r="D1982" s="703" t="s">
        <v>334</v>
      </c>
      <c r="E1982" s="703" t="s">
        <v>334</v>
      </c>
      <c r="F1982" s="703" t="s">
        <v>335</v>
      </c>
      <c r="G1982" s="703" t="s">
        <v>3516</v>
      </c>
      <c r="H1982" s="703" t="s">
        <v>334</v>
      </c>
      <c r="I1982" s="703" t="s">
        <v>334</v>
      </c>
      <c r="J1982" s="703" t="s">
        <v>337</v>
      </c>
      <c r="K1982" s="704">
        <v>0</v>
      </c>
      <c r="L1982" s="703" t="s">
        <v>334</v>
      </c>
      <c r="M1982" s="702">
        <v>43251</v>
      </c>
      <c r="N1982" s="702">
        <v>44516</v>
      </c>
      <c r="O1982" s="703" t="s">
        <v>338</v>
      </c>
      <c r="P1982" s="20">
        <v>3504.64</v>
      </c>
      <c r="Q1982" s="20">
        <v>0</v>
      </c>
      <c r="R1982" s="20">
        <v>0</v>
      </c>
      <c r="S1982" s="20">
        <v>0</v>
      </c>
      <c r="T1982" s="20">
        <v>3504.64</v>
      </c>
      <c r="U1982" s="20">
        <v>3503.29</v>
      </c>
      <c r="V1982" s="20">
        <v>-1.35</v>
      </c>
      <c r="W1982" s="20">
        <v>-118.17</v>
      </c>
      <c r="X1982" s="20">
        <v>-116.82</v>
      </c>
      <c r="Y1982" s="20">
        <v>0</v>
      </c>
      <c r="Z1982" s="20">
        <v>0</v>
      </c>
      <c r="AA1982" s="20">
        <v>0</v>
      </c>
      <c r="AB1982" s="20">
        <v>3386.47</v>
      </c>
      <c r="AC1982" t="s">
        <v>188</v>
      </c>
      <c r="AD1982" t="s">
        <v>290</v>
      </c>
      <c r="AE1982" s="702">
        <f t="shared" si="150"/>
        <v>44348</v>
      </c>
      <c r="AF1982" s="289">
        <v>4024.1859826207387</v>
      </c>
      <c r="AG1982">
        <f t="shared" si="151"/>
        <v>360</v>
      </c>
      <c r="AH1982" s="289">
        <f t="shared" si="152"/>
        <v>11.178294396168718</v>
      </c>
      <c r="AJ1982" s="289">
        <f t="shared" si="153"/>
        <v>18</v>
      </c>
      <c r="AK1982" s="289">
        <f t="shared" si="154"/>
        <v>201.20929913103694</v>
      </c>
    </row>
    <row r="1983" spans="1:37">
      <c r="A1983" s="703" t="s">
        <v>3517</v>
      </c>
      <c r="B1983" s="703" t="s">
        <v>2849</v>
      </c>
      <c r="C1983" s="703" t="s">
        <v>390</v>
      </c>
      <c r="D1983" s="703" t="s">
        <v>334</v>
      </c>
      <c r="E1983" s="703" t="s">
        <v>334</v>
      </c>
      <c r="F1983" s="703" t="s">
        <v>335</v>
      </c>
      <c r="G1983" s="703" t="s">
        <v>3516</v>
      </c>
      <c r="H1983" s="703" t="s">
        <v>334</v>
      </c>
      <c r="I1983" s="703" t="s">
        <v>334</v>
      </c>
      <c r="J1983" s="703" t="s">
        <v>337</v>
      </c>
      <c r="K1983" s="704">
        <v>0</v>
      </c>
      <c r="L1983" s="703" t="s">
        <v>334</v>
      </c>
      <c r="M1983" s="702">
        <v>43251</v>
      </c>
      <c r="N1983" s="702">
        <v>44516</v>
      </c>
      <c r="O1983" s="703" t="s">
        <v>338</v>
      </c>
      <c r="P1983" s="20">
        <v>4.2</v>
      </c>
      <c r="Q1983" s="20">
        <v>0</v>
      </c>
      <c r="R1983" s="20">
        <v>0</v>
      </c>
      <c r="S1983" s="20">
        <v>0</v>
      </c>
      <c r="T1983" s="20">
        <v>4.2</v>
      </c>
      <c r="U1983" s="20">
        <v>4.1900000000000004</v>
      </c>
      <c r="V1983" s="20">
        <v>-0.01</v>
      </c>
      <c r="W1983" s="20">
        <v>-0.15</v>
      </c>
      <c r="X1983" s="20">
        <v>-0.14000000000000001</v>
      </c>
      <c r="Y1983" s="20">
        <v>0</v>
      </c>
      <c r="Z1983" s="20">
        <v>0</v>
      </c>
      <c r="AA1983" s="20">
        <v>0</v>
      </c>
      <c r="AB1983" s="20">
        <v>4.05</v>
      </c>
      <c r="AC1983" t="s">
        <v>188</v>
      </c>
      <c r="AD1983" t="s">
        <v>290</v>
      </c>
      <c r="AE1983" s="702">
        <f t="shared" si="150"/>
        <v>44348</v>
      </c>
      <c r="AF1983" s="289">
        <v>4.8226297499906146</v>
      </c>
      <c r="AG1983">
        <f t="shared" si="151"/>
        <v>360</v>
      </c>
      <c r="AH1983" s="289">
        <f t="shared" si="152"/>
        <v>1.3396193749973929E-2</v>
      </c>
      <c r="AJ1983" s="289">
        <f t="shared" si="153"/>
        <v>18</v>
      </c>
      <c r="AK1983" s="289">
        <f t="shared" si="154"/>
        <v>0.24113148749953073</v>
      </c>
    </row>
    <row r="1984" spans="1:37">
      <c r="A1984" s="703" t="s">
        <v>3518</v>
      </c>
      <c r="B1984" s="703" t="s">
        <v>2849</v>
      </c>
      <c r="C1984" s="703" t="s">
        <v>390</v>
      </c>
      <c r="D1984" s="703" t="s">
        <v>334</v>
      </c>
      <c r="E1984" s="703" t="s">
        <v>334</v>
      </c>
      <c r="F1984" s="703" t="s">
        <v>335</v>
      </c>
      <c r="G1984" s="703" t="s">
        <v>3516</v>
      </c>
      <c r="H1984" s="703" t="s">
        <v>334</v>
      </c>
      <c r="I1984" s="703" t="s">
        <v>334</v>
      </c>
      <c r="J1984" s="703" t="s">
        <v>337</v>
      </c>
      <c r="K1984" s="704">
        <v>0</v>
      </c>
      <c r="L1984" s="703" t="s">
        <v>334</v>
      </c>
      <c r="M1984" s="702">
        <v>43251</v>
      </c>
      <c r="N1984" s="702">
        <v>44516</v>
      </c>
      <c r="O1984" s="703" t="s">
        <v>338</v>
      </c>
      <c r="P1984" s="20">
        <v>9.49</v>
      </c>
      <c r="Q1984" s="20">
        <v>0</v>
      </c>
      <c r="R1984" s="20">
        <v>0</v>
      </c>
      <c r="S1984" s="20">
        <v>0</v>
      </c>
      <c r="T1984" s="20">
        <v>9.49</v>
      </c>
      <c r="U1984" s="20">
        <v>9.4600000000000009</v>
      </c>
      <c r="V1984" s="20">
        <v>-0.03</v>
      </c>
      <c r="W1984" s="20">
        <v>-0.35</v>
      </c>
      <c r="X1984" s="20">
        <v>-0.32</v>
      </c>
      <c r="Y1984" s="20">
        <v>0</v>
      </c>
      <c r="Z1984" s="20">
        <v>0</v>
      </c>
      <c r="AA1984" s="20">
        <v>0</v>
      </c>
      <c r="AB1984" s="20">
        <v>9.14</v>
      </c>
      <c r="AC1984" t="s">
        <v>188</v>
      </c>
      <c r="AD1984" t="s">
        <v>290</v>
      </c>
      <c r="AE1984" s="702">
        <f t="shared" si="150"/>
        <v>44348</v>
      </c>
      <c r="AF1984" s="289">
        <v>10.89684674462165</v>
      </c>
      <c r="AG1984">
        <f t="shared" si="151"/>
        <v>360</v>
      </c>
      <c r="AH1984" s="289">
        <f t="shared" si="152"/>
        <v>3.0269018735060139E-2</v>
      </c>
      <c r="AJ1984" s="289">
        <f t="shared" si="153"/>
        <v>18</v>
      </c>
      <c r="AK1984" s="289">
        <f t="shared" si="154"/>
        <v>0.54484233723108255</v>
      </c>
    </row>
    <row r="1985" spans="1:37">
      <c r="A1985" s="703" t="s">
        <v>3519</v>
      </c>
      <c r="B1985" s="703" t="s">
        <v>2849</v>
      </c>
      <c r="C1985" s="703" t="s">
        <v>390</v>
      </c>
      <c r="D1985" s="703" t="s">
        <v>334</v>
      </c>
      <c r="E1985" s="703" t="s">
        <v>334</v>
      </c>
      <c r="F1985" s="703" t="s">
        <v>335</v>
      </c>
      <c r="G1985" s="703" t="s">
        <v>3516</v>
      </c>
      <c r="H1985" s="703" t="s">
        <v>334</v>
      </c>
      <c r="I1985" s="703" t="s">
        <v>334</v>
      </c>
      <c r="J1985" s="703" t="s">
        <v>337</v>
      </c>
      <c r="K1985" s="704">
        <v>0</v>
      </c>
      <c r="L1985" s="703" t="s">
        <v>334</v>
      </c>
      <c r="M1985" s="702">
        <v>43251</v>
      </c>
      <c r="N1985" s="702">
        <v>44516</v>
      </c>
      <c r="O1985" s="703" t="s">
        <v>338</v>
      </c>
      <c r="P1985" s="20">
        <v>5.23</v>
      </c>
      <c r="Q1985" s="20">
        <v>0</v>
      </c>
      <c r="R1985" s="20">
        <v>0</v>
      </c>
      <c r="S1985" s="20">
        <v>0</v>
      </c>
      <c r="T1985" s="20">
        <v>5.23</v>
      </c>
      <c r="U1985" s="20">
        <v>5.22</v>
      </c>
      <c r="V1985" s="20">
        <v>-0.01</v>
      </c>
      <c r="W1985" s="20">
        <v>-0.18</v>
      </c>
      <c r="X1985" s="20">
        <v>-0.17</v>
      </c>
      <c r="Y1985" s="20">
        <v>0</v>
      </c>
      <c r="Z1985" s="20">
        <v>0</v>
      </c>
      <c r="AA1985" s="20">
        <v>0</v>
      </c>
      <c r="AB1985" s="20">
        <v>5.05</v>
      </c>
      <c r="AC1985" t="s">
        <v>188</v>
      </c>
      <c r="AD1985" t="s">
        <v>290</v>
      </c>
      <c r="AE1985" s="702">
        <f t="shared" si="150"/>
        <v>44348</v>
      </c>
      <c r="AF1985" s="289">
        <v>6.0053222839168834</v>
      </c>
      <c r="AG1985">
        <f t="shared" si="151"/>
        <v>360</v>
      </c>
      <c r="AH1985" s="289">
        <f t="shared" si="152"/>
        <v>1.6681450788658011E-2</v>
      </c>
      <c r="AJ1985" s="289">
        <f t="shared" si="153"/>
        <v>18</v>
      </c>
      <c r="AK1985" s="289">
        <f t="shared" si="154"/>
        <v>0.3002661141958442</v>
      </c>
    </row>
    <row r="1986" spans="1:37">
      <c r="A1986" s="703" t="s">
        <v>3520</v>
      </c>
      <c r="B1986" s="703" t="s">
        <v>2849</v>
      </c>
      <c r="C1986" s="703" t="s">
        <v>390</v>
      </c>
      <c r="D1986" s="703" t="s">
        <v>334</v>
      </c>
      <c r="E1986" s="703" t="s">
        <v>334</v>
      </c>
      <c r="F1986" s="703" t="s">
        <v>335</v>
      </c>
      <c r="G1986" s="703" t="s">
        <v>3516</v>
      </c>
      <c r="H1986" s="703" t="s">
        <v>334</v>
      </c>
      <c r="I1986" s="703" t="s">
        <v>334</v>
      </c>
      <c r="J1986" s="703" t="s">
        <v>337</v>
      </c>
      <c r="K1986" s="704">
        <v>0</v>
      </c>
      <c r="L1986" s="703" t="s">
        <v>334</v>
      </c>
      <c r="M1986" s="702">
        <v>43251</v>
      </c>
      <c r="N1986" s="702">
        <v>44516</v>
      </c>
      <c r="O1986" s="703" t="s">
        <v>338</v>
      </c>
      <c r="P1986" s="20">
        <v>36.32</v>
      </c>
      <c r="Q1986" s="20">
        <v>0</v>
      </c>
      <c r="R1986" s="20">
        <v>0</v>
      </c>
      <c r="S1986" s="20">
        <v>0</v>
      </c>
      <c r="T1986" s="20">
        <v>36.32</v>
      </c>
      <c r="U1986" s="20">
        <v>36.22</v>
      </c>
      <c r="V1986" s="20">
        <v>-0.1</v>
      </c>
      <c r="W1986" s="20">
        <v>-1.31</v>
      </c>
      <c r="X1986" s="20">
        <v>-1.21</v>
      </c>
      <c r="Y1986" s="20">
        <v>0</v>
      </c>
      <c r="Z1986" s="20">
        <v>0</v>
      </c>
      <c r="AA1986" s="20">
        <v>0</v>
      </c>
      <c r="AB1986" s="20">
        <v>35.01</v>
      </c>
      <c r="AC1986" t="s">
        <v>188</v>
      </c>
      <c r="AD1986" t="s">
        <v>290</v>
      </c>
      <c r="AE1986" s="702">
        <f t="shared" si="150"/>
        <v>44348</v>
      </c>
      <c r="AF1986" s="289">
        <v>41.704264885633116</v>
      </c>
      <c r="AG1986">
        <f t="shared" si="151"/>
        <v>360</v>
      </c>
      <c r="AH1986" s="289">
        <f t="shared" si="152"/>
        <v>0.11584518023786977</v>
      </c>
      <c r="AJ1986" s="289">
        <f t="shared" si="153"/>
        <v>18</v>
      </c>
      <c r="AK1986" s="289">
        <f t="shared" si="154"/>
        <v>2.0852132442816558</v>
      </c>
    </row>
    <row r="1987" spans="1:37">
      <c r="A1987" s="703" t="s">
        <v>3521</v>
      </c>
      <c r="B1987" s="703" t="s">
        <v>2849</v>
      </c>
      <c r="C1987" s="703" t="s">
        <v>390</v>
      </c>
      <c r="D1987" s="703" t="s">
        <v>334</v>
      </c>
      <c r="E1987" s="703" t="s">
        <v>334</v>
      </c>
      <c r="F1987" s="703" t="s">
        <v>335</v>
      </c>
      <c r="G1987" s="703" t="s">
        <v>3516</v>
      </c>
      <c r="H1987" s="703" t="s">
        <v>334</v>
      </c>
      <c r="I1987" s="703" t="s">
        <v>334</v>
      </c>
      <c r="J1987" s="703" t="s">
        <v>337</v>
      </c>
      <c r="K1987" s="704">
        <v>0</v>
      </c>
      <c r="L1987" s="703" t="s">
        <v>334</v>
      </c>
      <c r="M1987" s="702">
        <v>43251</v>
      </c>
      <c r="N1987" s="702">
        <v>44516</v>
      </c>
      <c r="O1987" s="703" t="s">
        <v>338</v>
      </c>
      <c r="P1987" s="20">
        <v>37.049999999999997</v>
      </c>
      <c r="Q1987" s="20">
        <v>0</v>
      </c>
      <c r="R1987" s="20">
        <v>0</v>
      </c>
      <c r="S1987" s="20">
        <v>0</v>
      </c>
      <c r="T1987" s="20">
        <v>37.049999999999997</v>
      </c>
      <c r="U1987" s="20">
        <v>36.950000000000003</v>
      </c>
      <c r="V1987" s="20">
        <v>-0.1</v>
      </c>
      <c r="W1987" s="20">
        <v>-1.34</v>
      </c>
      <c r="X1987" s="20">
        <v>-1.24</v>
      </c>
      <c r="Y1987" s="20">
        <v>0</v>
      </c>
      <c r="Z1987" s="20">
        <v>0</v>
      </c>
      <c r="AA1987" s="20">
        <v>0</v>
      </c>
      <c r="AB1987" s="20">
        <v>35.71</v>
      </c>
      <c r="AC1987" t="s">
        <v>188</v>
      </c>
      <c r="AD1987" t="s">
        <v>290</v>
      </c>
      <c r="AE1987" s="702">
        <f t="shared" si="150"/>
        <v>44348</v>
      </c>
      <c r="AF1987" s="289">
        <v>42.542483865988629</v>
      </c>
      <c r="AG1987">
        <f t="shared" si="151"/>
        <v>360</v>
      </c>
      <c r="AH1987" s="289">
        <f t="shared" si="152"/>
        <v>0.11817356629441286</v>
      </c>
      <c r="AJ1987" s="289">
        <f t="shared" si="153"/>
        <v>18</v>
      </c>
      <c r="AK1987" s="289">
        <f t="shared" si="154"/>
        <v>2.1271241932994314</v>
      </c>
    </row>
    <row r="1988" spans="1:37">
      <c r="A1988" s="703" t="s">
        <v>3522</v>
      </c>
      <c r="B1988" s="703" t="s">
        <v>2849</v>
      </c>
      <c r="C1988" s="703" t="s">
        <v>390</v>
      </c>
      <c r="D1988" s="703" t="s">
        <v>334</v>
      </c>
      <c r="E1988" s="703" t="s">
        <v>334</v>
      </c>
      <c r="F1988" s="703" t="s">
        <v>335</v>
      </c>
      <c r="G1988" s="703" t="s">
        <v>3516</v>
      </c>
      <c r="H1988" s="703" t="s">
        <v>334</v>
      </c>
      <c r="I1988" s="703" t="s">
        <v>334</v>
      </c>
      <c r="J1988" s="703" t="s">
        <v>337</v>
      </c>
      <c r="K1988" s="704">
        <v>0</v>
      </c>
      <c r="L1988" s="703" t="s">
        <v>334</v>
      </c>
      <c r="M1988" s="702">
        <v>43251</v>
      </c>
      <c r="N1988" s="702">
        <v>44516</v>
      </c>
      <c r="O1988" s="703" t="s">
        <v>338</v>
      </c>
      <c r="P1988" s="20">
        <v>151.63999999999999</v>
      </c>
      <c r="Q1988" s="20">
        <v>0</v>
      </c>
      <c r="R1988" s="20">
        <v>0</v>
      </c>
      <c r="S1988" s="20">
        <v>0</v>
      </c>
      <c r="T1988" s="20">
        <v>151.63999999999999</v>
      </c>
      <c r="U1988" s="20">
        <v>151.22</v>
      </c>
      <c r="V1988" s="20">
        <v>-0.42</v>
      </c>
      <c r="W1988" s="20">
        <v>-5.47</v>
      </c>
      <c r="X1988" s="20">
        <v>-5.05</v>
      </c>
      <c r="Y1988" s="20">
        <v>0</v>
      </c>
      <c r="Z1988" s="20">
        <v>0</v>
      </c>
      <c r="AA1988" s="20">
        <v>0</v>
      </c>
      <c r="AB1988" s="20">
        <v>146.16999999999999</v>
      </c>
      <c r="AC1988" t="s">
        <v>188</v>
      </c>
      <c r="AD1988" t="s">
        <v>290</v>
      </c>
      <c r="AE1988" s="702">
        <f t="shared" si="150"/>
        <v>44348</v>
      </c>
      <c r="AF1988" s="289">
        <v>174.11989887823253</v>
      </c>
      <c r="AG1988">
        <f t="shared" si="151"/>
        <v>360</v>
      </c>
      <c r="AH1988" s="289">
        <f t="shared" si="152"/>
        <v>0.48366638577286813</v>
      </c>
      <c r="AJ1988" s="289">
        <f t="shared" si="153"/>
        <v>18</v>
      </c>
      <c r="AK1988" s="289">
        <f t="shared" si="154"/>
        <v>8.7059949439116266</v>
      </c>
    </row>
    <row r="1989" spans="1:37">
      <c r="A1989" s="703" t="s">
        <v>3523</v>
      </c>
      <c r="B1989" s="703" t="s">
        <v>2849</v>
      </c>
      <c r="C1989" s="703" t="s">
        <v>390</v>
      </c>
      <c r="D1989" s="703" t="s">
        <v>334</v>
      </c>
      <c r="E1989" s="703" t="s">
        <v>334</v>
      </c>
      <c r="F1989" s="703" t="s">
        <v>335</v>
      </c>
      <c r="G1989" s="703" t="s">
        <v>3516</v>
      </c>
      <c r="H1989" s="703" t="s">
        <v>334</v>
      </c>
      <c r="I1989" s="703" t="s">
        <v>334</v>
      </c>
      <c r="J1989" s="703" t="s">
        <v>337</v>
      </c>
      <c r="K1989" s="704">
        <v>0</v>
      </c>
      <c r="L1989" s="703" t="s">
        <v>334</v>
      </c>
      <c r="M1989" s="702">
        <v>43251</v>
      </c>
      <c r="N1989" s="702">
        <v>44516</v>
      </c>
      <c r="O1989" s="703" t="s">
        <v>338</v>
      </c>
      <c r="P1989" s="20">
        <v>32.299999999999997</v>
      </c>
      <c r="Q1989" s="20">
        <v>0</v>
      </c>
      <c r="R1989" s="20">
        <v>0</v>
      </c>
      <c r="S1989" s="20">
        <v>0</v>
      </c>
      <c r="T1989" s="20">
        <v>32.299999999999997</v>
      </c>
      <c r="U1989" s="20">
        <v>32.21</v>
      </c>
      <c r="V1989" s="20">
        <v>-0.09</v>
      </c>
      <c r="W1989" s="20">
        <v>-1.17</v>
      </c>
      <c r="X1989" s="20">
        <v>-1.08</v>
      </c>
      <c r="Y1989" s="20">
        <v>0</v>
      </c>
      <c r="Z1989" s="20">
        <v>0</v>
      </c>
      <c r="AA1989" s="20">
        <v>0</v>
      </c>
      <c r="AB1989" s="20">
        <v>31.13</v>
      </c>
      <c r="AC1989" t="s">
        <v>188</v>
      </c>
      <c r="AD1989" t="s">
        <v>290</v>
      </c>
      <c r="AE1989" s="702">
        <f t="shared" si="150"/>
        <v>44348</v>
      </c>
      <c r="AF1989" s="289">
        <v>37.088319267784954</v>
      </c>
      <c r="AG1989">
        <f t="shared" si="151"/>
        <v>360</v>
      </c>
      <c r="AH1989" s="289">
        <f t="shared" si="152"/>
        <v>0.10302310907718043</v>
      </c>
      <c r="AJ1989" s="289">
        <f t="shared" si="153"/>
        <v>18</v>
      </c>
      <c r="AK1989" s="289">
        <f t="shared" si="154"/>
        <v>1.8544159633892479</v>
      </c>
    </row>
    <row r="1990" spans="1:37">
      <c r="A1990" s="703" t="s">
        <v>3524</v>
      </c>
      <c r="B1990" s="703" t="s">
        <v>2849</v>
      </c>
      <c r="C1990" s="703" t="s">
        <v>390</v>
      </c>
      <c r="D1990" s="703" t="s">
        <v>334</v>
      </c>
      <c r="E1990" s="703" t="s">
        <v>334</v>
      </c>
      <c r="F1990" s="703" t="s">
        <v>335</v>
      </c>
      <c r="G1990" s="703" t="s">
        <v>3516</v>
      </c>
      <c r="H1990" s="703" t="s">
        <v>334</v>
      </c>
      <c r="I1990" s="703" t="s">
        <v>334</v>
      </c>
      <c r="J1990" s="703" t="s">
        <v>337</v>
      </c>
      <c r="K1990" s="704">
        <v>0</v>
      </c>
      <c r="L1990" s="703" t="s">
        <v>334</v>
      </c>
      <c r="M1990" s="702">
        <v>43251</v>
      </c>
      <c r="N1990" s="702">
        <v>44516</v>
      </c>
      <c r="O1990" s="703" t="s">
        <v>338</v>
      </c>
      <c r="P1990" s="20">
        <v>103.47</v>
      </c>
      <c r="Q1990" s="20">
        <v>0</v>
      </c>
      <c r="R1990" s="20">
        <v>0</v>
      </c>
      <c r="S1990" s="20">
        <v>0</v>
      </c>
      <c r="T1990" s="20">
        <v>103.47</v>
      </c>
      <c r="U1990" s="20">
        <v>103.18</v>
      </c>
      <c r="V1990" s="20">
        <v>-0.28999999999999998</v>
      </c>
      <c r="W1990" s="20">
        <v>-3.74</v>
      </c>
      <c r="X1990" s="20">
        <v>-3.45</v>
      </c>
      <c r="Y1990" s="20">
        <v>0</v>
      </c>
      <c r="Z1990" s="20">
        <v>0</v>
      </c>
      <c r="AA1990" s="20">
        <v>0</v>
      </c>
      <c r="AB1990" s="20">
        <v>99.73</v>
      </c>
      <c r="AC1990" t="s">
        <v>188</v>
      </c>
      <c r="AD1990" t="s">
        <v>290</v>
      </c>
      <c r="AE1990" s="702">
        <f t="shared" si="150"/>
        <v>44348</v>
      </c>
      <c r="AF1990" s="289">
        <v>118.80892862655448</v>
      </c>
      <c r="AG1990">
        <f t="shared" si="151"/>
        <v>360</v>
      </c>
      <c r="AH1990" s="289">
        <f t="shared" si="152"/>
        <v>0.33002480174042909</v>
      </c>
      <c r="AJ1990" s="289">
        <f t="shared" si="153"/>
        <v>18</v>
      </c>
      <c r="AK1990" s="289">
        <f t="shared" si="154"/>
        <v>5.9404464313277234</v>
      </c>
    </row>
    <row r="1991" spans="1:37">
      <c r="A1991" s="703" t="s">
        <v>3525</v>
      </c>
      <c r="B1991" s="703" t="s">
        <v>2849</v>
      </c>
      <c r="C1991" s="703" t="s">
        <v>390</v>
      </c>
      <c r="D1991" s="703" t="s">
        <v>334</v>
      </c>
      <c r="E1991" s="703" t="s">
        <v>334</v>
      </c>
      <c r="F1991" s="703" t="s">
        <v>335</v>
      </c>
      <c r="G1991" s="703" t="s">
        <v>3516</v>
      </c>
      <c r="H1991" s="703" t="s">
        <v>334</v>
      </c>
      <c r="I1991" s="703" t="s">
        <v>334</v>
      </c>
      <c r="J1991" s="703" t="s">
        <v>337</v>
      </c>
      <c r="K1991" s="704">
        <v>0</v>
      </c>
      <c r="L1991" s="703" t="s">
        <v>334</v>
      </c>
      <c r="M1991" s="702">
        <v>43251</v>
      </c>
      <c r="N1991" s="702">
        <v>44516</v>
      </c>
      <c r="O1991" s="703" t="s">
        <v>338</v>
      </c>
      <c r="P1991" s="20">
        <v>3687.56</v>
      </c>
      <c r="Q1991" s="20">
        <v>0</v>
      </c>
      <c r="R1991" s="20">
        <v>0</v>
      </c>
      <c r="S1991" s="20">
        <v>0</v>
      </c>
      <c r="T1991" s="20">
        <v>3687.56</v>
      </c>
      <c r="U1991" s="20">
        <v>3677.32</v>
      </c>
      <c r="V1991" s="20">
        <v>-10.24</v>
      </c>
      <c r="W1991" s="20">
        <v>-133.16</v>
      </c>
      <c r="X1991" s="20">
        <v>-122.92</v>
      </c>
      <c r="Y1991" s="20">
        <v>0</v>
      </c>
      <c r="Z1991" s="20">
        <v>0</v>
      </c>
      <c r="AA1991" s="20">
        <v>0</v>
      </c>
      <c r="AB1991" s="20">
        <v>3554.4</v>
      </c>
      <c r="AC1991" t="s">
        <v>188</v>
      </c>
      <c r="AD1991" t="s">
        <v>290</v>
      </c>
      <c r="AE1991" s="702">
        <f t="shared" ref="AE1991:AE2054" si="155">IF(N1991&gt;=$AG$5,DATE(YEAR(N1991),6,1),DATE(YEAR(N1991),6,1))</f>
        <v>44348</v>
      </c>
      <c r="AF1991" s="289">
        <v>4234.222990684616</v>
      </c>
      <c r="AG1991">
        <f t="shared" ref="AG1991:AG2054" si="156">+IF(AD1991="intangível",20*12,IF(AD1991="Diferido",120,IF(AD1991="Não vinculados",0,IF(AE1991&lt;=$AG$5,F1991*12,360))))</f>
        <v>360</v>
      </c>
      <c r="AH1991" s="289">
        <f t="shared" ref="AH1991:AH2054" si="157">IF(AG1991=0,0,AF1991/AG1991)</f>
        <v>11.76173052967949</v>
      </c>
      <c r="AJ1991" s="289">
        <f t="shared" ref="AJ1991:AJ2054" si="158">+IF(AND(YEAR(AE1991)&gt;=2018,YEAR(AE1991)&lt;=2022),IF(DATEDIF(AE1991,$AK$4,"m")&gt;=AG1991,AG1991,DATEDIF(AE1991,$AK$4,"m")),0)</f>
        <v>18</v>
      </c>
      <c r="AK1991" s="289">
        <f t="shared" ref="AK1991:AK2054" si="159">IF(AD1991="Imobilizado",AJ1991*AH1991,0)</f>
        <v>211.7111495342308</v>
      </c>
    </row>
    <row r="1992" spans="1:37">
      <c r="A1992" s="703" t="s">
        <v>3526</v>
      </c>
      <c r="B1992" s="703" t="s">
        <v>2849</v>
      </c>
      <c r="C1992" s="703" t="s">
        <v>390</v>
      </c>
      <c r="D1992" s="703" t="s">
        <v>334</v>
      </c>
      <c r="E1992" s="703" t="s">
        <v>334</v>
      </c>
      <c r="F1992" s="703" t="s">
        <v>335</v>
      </c>
      <c r="G1992" s="703" t="s">
        <v>3516</v>
      </c>
      <c r="H1992" s="703" t="s">
        <v>334</v>
      </c>
      <c r="I1992" s="703" t="s">
        <v>334</v>
      </c>
      <c r="J1992" s="703" t="s">
        <v>337</v>
      </c>
      <c r="K1992" s="704">
        <v>0</v>
      </c>
      <c r="L1992" s="703" t="s">
        <v>334</v>
      </c>
      <c r="M1992" s="702">
        <v>43251</v>
      </c>
      <c r="N1992" s="702">
        <v>44516</v>
      </c>
      <c r="O1992" s="703" t="s">
        <v>338</v>
      </c>
      <c r="P1992" s="20">
        <v>117.54</v>
      </c>
      <c r="Q1992" s="20">
        <v>0</v>
      </c>
      <c r="R1992" s="20">
        <v>0</v>
      </c>
      <c r="S1992" s="20">
        <v>0</v>
      </c>
      <c r="T1992" s="20">
        <v>117.54</v>
      </c>
      <c r="U1992" s="20">
        <v>117.21</v>
      </c>
      <c r="V1992" s="20">
        <v>-0.33</v>
      </c>
      <c r="W1992" s="20">
        <v>-4.25</v>
      </c>
      <c r="X1992" s="20">
        <v>-3.92</v>
      </c>
      <c r="Y1992" s="20">
        <v>0</v>
      </c>
      <c r="Z1992" s="20">
        <v>0</v>
      </c>
      <c r="AA1992" s="20">
        <v>0</v>
      </c>
      <c r="AB1992" s="20">
        <v>113.29</v>
      </c>
      <c r="AC1992" t="s">
        <v>188</v>
      </c>
      <c r="AD1992" t="s">
        <v>290</v>
      </c>
      <c r="AE1992" s="702">
        <f t="shared" si="155"/>
        <v>44348</v>
      </c>
      <c r="AF1992" s="289">
        <v>134.96473828902305</v>
      </c>
      <c r="AG1992">
        <f t="shared" si="156"/>
        <v>360</v>
      </c>
      <c r="AH1992" s="289">
        <f t="shared" si="157"/>
        <v>0.37490205080284178</v>
      </c>
      <c r="AJ1992" s="289">
        <f t="shared" si="158"/>
        <v>18</v>
      </c>
      <c r="AK1992" s="289">
        <f t="shared" si="159"/>
        <v>6.7482369144511516</v>
      </c>
    </row>
    <row r="1993" spans="1:37">
      <c r="A1993" s="703" t="s">
        <v>3527</v>
      </c>
      <c r="B1993" s="703" t="s">
        <v>2849</v>
      </c>
      <c r="C1993" s="703" t="s">
        <v>390</v>
      </c>
      <c r="D1993" s="703" t="s">
        <v>334</v>
      </c>
      <c r="E1993" s="703" t="s">
        <v>334</v>
      </c>
      <c r="F1993" s="703" t="s">
        <v>335</v>
      </c>
      <c r="G1993" s="703" t="s">
        <v>3516</v>
      </c>
      <c r="H1993" s="703" t="s">
        <v>334</v>
      </c>
      <c r="I1993" s="703" t="s">
        <v>334</v>
      </c>
      <c r="J1993" s="703" t="s">
        <v>337</v>
      </c>
      <c r="K1993" s="704">
        <v>0</v>
      </c>
      <c r="L1993" s="703" t="s">
        <v>334</v>
      </c>
      <c r="M1993" s="702">
        <v>43251</v>
      </c>
      <c r="N1993" s="702">
        <v>44516</v>
      </c>
      <c r="O1993" s="703" t="s">
        <v>338</v>
      </c>
      <c r="P1993" s="20">
        <v>772.46</v>
      </c>
      <c r="Q1993" s="20">
        <v>0</v>
      </c>
      <c r="R1993" s="20">
        <v>0</v>
      </c>
      <c r="S1993" s="20">
        <v>0</v>
      </c>
      <c r="T1993" s="20">
        <v>772.46</v>
      </c>
      <c r="U1993" s="20">
        <v>770.31</v>
      </c>
      <c r="V1993" s="20">
        <v>-2.15</v>
      </c>
      <c r="W1993" s="20">
        <v>-27.9</v>
      </c>
      <c r="X1993" s="20">
        <v>-25.75</v>
      </c>
      <c r="Y1993" s="20">
        <v>0</v>
      </c>
      <c r="Z1993" s="20">
        <v>0</v>
      </c>
      <c r="AA1993" s="20">
        <v>0</v>
      </c>
      <c r="AB1993" s="20">
        <v>744.56</v>
      </c>
      <c r="AC1993" t="s">
        <v>188</v>
      </c>
      <c r="AD1993" t="s">
        <v>290</v>
      </c>
      <c r="AE1993" s="702">
        <f t="shared" si="155"/>
        <v>44348</v>
      </c>
      <c r="AF1993" s="289">
        <v>886.97347063755944</v>
      </c>
      <c r="AG1993">
        <f t="shared" si="156"/>
        <v>360</v>
      </c>
      <c r="AH1993" s="289">
        <f t="shared" si="157"/>
        <v>2.4638151962154429</v>
      </c>
      <c r="AJ1993" s="289">
        <f t="shared" si="158"/>
        <v>18</v>
      </c>
      <c r="AK1993" s="289">
        <f t="shared" si="159"/>
        <v>44.348673531877971</v>
      </c>
    </row>
    <row r="1994" spans="1:37">
      <c r="A1994" s="703" t="s">
        <v>3528</v>
      </c>
      <c r="B1994" s="703" t="s">
        <v>2849</v>
      </c>
      <c r="C1994" s="703" t="s">
        <v>390</v>
      </c>
      <c r="D1994" s="703" t="s">
        <v>334</v>
      </c>
      <c r="E1994" s="703" t="s">
        <v>334</v>
      </c>
      <c r="F1994" s="703" t="s">
        <v>335</v>
      </c>
      <c r="G1994" s="703" t="s">
        <v>3415</v>
      </c>
      <c r="H1994" s="703" t="s">
        <v>334</v>
      </c>
      <c r="I1994" s="703" t="s">
        <v>334</v>
      </c>
      <c r="J1994" s="703" t="s">
        <v>337</v>
      </c>
      <c r="K1994" s="704">
        <v>0</v>
      </c>
      <c r="L1994" s="703" t="s">
        <v>334</v>
      </c>
      <c r="M1994" s="702">
        <v>43251</v>
      </c>
      <c r="N1994" s="702">
        <v>44516</v>
      </c>
      <c r="O1994" s="703" t="s">
        <v>338</v>
      </c>
      <c r="P1994" s="20">
        <v>41.87</v>
      </c>
      <c r="Q1994" s="20">
        <v>0</v>
      </c>
      <c r="R1994" s="20">
        <v>0</v>
      </c>
      <c r="S1994" s="20">
        <v>0</v>
      </c>
      <c r="T1994" s="20">
        <v>41.87</v>
      </c>
      <c r="U1994" s="20">
        <v>41.75</v>
      </c>
      <c r="V1994" s="20">
        <v>-0.12</v>
      </c>
      <c r="W1994" s="20">
        <v>-1.52</v>
      </c>
      <c r="X1994" s="20">
        <v>-1.4</v>
      </c>
      <c r="Y1994" s="20">
        <v>0</v>
      </c>
      <c r="Z1994" s="20">
        <v>0</v>
      </c>
      <c r="AA1994" s="20">
        <v>0</v>
      </c>
      <c r="AB1994" s="20">
        <v>40.35</v>
      </c>
      <c r="AC1994" t="s">
        <v>188</v>
      </c>
      <c r="AD1994" t="s">
        <v>290</v>
      </c>
      <c r="AE1994" s="702">
        <f t="shared" si="155"/>
        <v>44348</v>
      </c>
      <c r="AF1994" s="289">
        <v>48.077025626692141</v>
      </c>
      <c r="AG1994">
        <f t="shared" si="156"/>
        <v>360</v>
      </c>
      <c r="AH1994" s="289">
        <f t="shared" si="157"/>
        <v>0.13354729340747817</v>
      </c>
      <c r="AJ1994" s="289">
        <f t="shared" si="158"/>
        <v>18</v>
      </c>
      <c r="AK1994" s="289">
        <f t="shared" si="159"/>
        <v>2.4038512813346071</v>
      </c>
    </row>
    <row r="1995" spans="1:37">
      <c r="A1995" s="703" t="s">
        <v>3529</v>
      </c>
      <c r="B1995" s="703" t="s">
        <v>2849</v>
      </c>
      <c r="C1995" s="703" t="s">
        <v>390</v>
      </c>
      <c r="D1995" s="703" t="s">
        <v>334</v>
      </c>
      <c r="E1995" s="703" t="s">
        <v>334</v>
      </c>
      <c r="F1995" s="703" t="s">
        <v>335</v>
      </c>
      <c r="G1995" s="703" t="s">
        <v>3415</v>
      </c>
      <c r="H1995" s="703" t="s">
        <v>334</v>
      </c>
      <c r="I1995" s="703" t="s">
        <v>334</v>
      </c>
      <c r="J1995" s="703" t="s">
        <v>337</v>
      </c>
      <c r="K1995" s="704">
        <v>0</v>
      </c>
      <c r="L1995" s="703" t="s">
        <v>334</v>
      </c>
      <c r="M1995" s="702">
        <v>43251</v>
      </c>
      <c r="N1995" s="702">
        <v>44516</v>
      </c>
      <c r="O1995" s="703" t="s">
        <v>338</v>
      </c>
      <c r="P1995" s="20">
        <v>9.49</v>
      </c>
      <c r="Q1995" s="20">
        <v>0</v>
      </c>
      <c r="R1995" s="20">
        <v>0</v>
      </c>
      <c r="S1995" s="20">
        <v>0</v>
      </c>
      <c r="T1995" s="20">
        <v>9.49</v>
      </c>
      <c r="U1995" s="20">
        <v>9.4600000000000009</v>
      </c>
      <c r="V1995" s="20">
        <v>-0.03</v>
      </c>
      <c r="W1995" s="20">
        <v>-0.35</v>
      </c>
      <c r="X1995" s="20">
        <v>-0.32</v>
      </c>
      <c r="Y1995" s="20">
        <v>0</v>
      </c>
      <c r="Z1995" s="20">
        <v>0</v>
      </c>
      <c r="AA1995" s="20">
        <v>0</v>
      </c>
      <c r="AB1995" s="20">
        <v>9.14</v>
      </c>
      <c r="AC1995" t="s">
        <v>188</v>
      </c>
      <c r="AD1995" t="s">
        <v>290</v>
      </c>
      <c r="AE1995" s="702">
        <f t="shared" si="155"/>
        <v>44348</v>
      </c>
      <c r="AF1995" s="289">
        <v>10.89684674462165</v>
      </c>
      <c r="AG1995">
        <f t="shared" si="156"/>
        <v>360</v>
      </c>
      <c r="AH1995" s="289">
        <f t="shared" si="157"/>
        <v>3.0269018735060139E-2</v>
      </c>
      <c r="AJ1995" s="289">
        <f t="shared" si="158"/>
        <v>18</v>
      </c>
      <c r="AK1995" s="289">
        <f t="shared" si="159"/>
        <v>0.54484233723108255</v>
      </c>
    </row>
    <row r="1996" spans="1:37">
      <c r="A1996" s="703" t="s">
        <v>3530</v>
      </c>
      <c r="B1996" s="703" t="s">
        <v>2849</v>
      </c>
      <c r="C1996" s="703" t="s">
        <v>390</v>
      </c>
      <c r="D1996" s="703" t="s">
        <v>334</v>
      </c>
      <c r="E1996" s="703" t="s">
        <v>334</v>
      </c>
      <c r="F1996" s="703" t="s">
        <v>335</v>
      </c>
      <c r="G1996" s="703" t="s">
        <v>3415</v>
      </c>
      <c r="H1996" s="703" t="s">
        <v>334</v>
      </c>
      <c r="I1996" s="703" t="s">
        <v>334</v>
      </c>
      <c r="J1996" s="703" t="s">
        <v>337</v>
      </c>
      <c r="K1996" s="704">
        <v>0</v>
      </c>
      <c r="L1996" s="703" t="s">
        <v>334</v>
      </c>
      <c r="M1996" s="702">
        <v>43251</v>
      </c>
      <c r="N1996" s="702">
        <v>44516</v>
      </c>
      <c r="O1996" s="703" t="s">
        <v>338</v>
      </c>
      <c r="P1996" s="20">
        <v>135.52000000000001</v>
      </c>
      <c r="Q1996" s="20">
        <v>0</v>
      </c>
      <c r="R1996" s="20">
        <v>0</v>
      </c>
      <c r="S1996" s="20">
        <v>0</v>
      </c>
      <c r="T1996" s="20">
        <v>135.52000000000001</v>
      </c>
      <c r="U1996" s="20">
        <v>135.13999999999999</v>
      </c>
      <c r="V1996" s="20">
        <v>-0.38</v>
      </c>
      <c r="W1996" s="20">
        <v>-4.9000000000000004</v>
      </c>
      <c r="X1996" s="20">
        <v>-4.5199999999999996</v>
      </c>
      <c r="Y1996" s="20">
        <v>0</v>
      </c>
      <c r="Z1996" s="20">
        <v>0</v>
      </c>
      <c r="AA1996" s="20">
        <v>0</v>
      </c>
      <c r="AB1996" s="20">
        <v>130.62</v>
      </c>
      <c r="AC1996" t="s">
        <v>188</v>
      </c>
      <c r="AD1996" t="s">
        <v>290</v>
      </c>
      <c r="AE1996" s="702">
        <f t="shared" si="155"/>
        <v>44348</v>
      </c>
      <c r="AF1996" s="289">
        <v>155.61018659969713</v>
      </c>
      <c r="AG1996">
        <f t="shared" si="156"/>
        <v>360</v>
      </c>
      <c r="AH1996" s="289">
        <f t="shared" si="157"/>
        <v>0.43225051833249201</v>
      </c>
      <c r="AJ1996" s="289">
        <f t="shared" si="158"/>
        <v>18</v>
      </c>
      <c r="AK1996" s="289">
        <f t="shared" si="159"/>
        <v>7.7805093299848558</v>
      </c>
    </row>
    <row r="1997" spans="1:37">
      <c r="A1997" s="703" t="s">
        <v>3531</v>
      </c>
      <c r="B1997" s="703" t="s">
        <v>2849</v>
      </c>
      <c r="C1997" s="703" t="s">
        <v>390</v>
      </c>
      <c r="D1997" s="703" t="s">
        <v>334</v>
      </c>
      <c r="E1997" s="703" t="s">
        <v>334</v>
      </c>
      <c r="F1997" s="703" t="s">
        <v>335</v>
      </c>
      <c r="G1997" s="703" t="s">
        <v>3415</v>
      </c>
      <c r="H1997" s="703" t="s">
        <v>334</v>
      </c>
      <c r="I1997" s="703" t="s">
        <v>334</v>
      </c>
      <c r="J1997" s="703" t="s">
        <v>337</v>
      </c>
      <c r="K1997" s="704">
        <v>0</v>
      </c>
      <c r="L1997" s="703" t="s">
        <v>334</v>
      </c>
      <c r="M1997" s="702">
        <v>43251</v>
      </c>
      <c r="N1997" s="702">
        <v>44516</v>
      </c>
      <c r="O1997" s="703" t="s">
        <v>338</v>
      </c>
      <c r="P1997" s="20">
        <v>39.159999999999997</v>
      </c>
      <c r="Q1997" s="20">
        <v>0</v>
      </c>
      <c r="R1997" s="20">
        <v>0</v>
      </c>
      <c r="S1997" s="20">
        <v>0</v>
      </c>
      <c r="T1997" s="20">
        <v>39.159999999999997</v>
      </c>
      <c r="U1997" s="20">
        <v>39.049999999999997</v>
      </c>
      <c r="V1997" s="20">
        <v>-0.11</v>
      </c>
      <c r="W1997" s="20">
        <v>-1.42</v>
      </c>
      <c r="X1997" s="20">
        <v>-1.31</v>
      </c>
      <c r="Y1997" s="20">
        <v>0</v>
      </c>
      <c r="Z1997" s="20">
        <v>0</v>
      </c>
      <c r="AA1997" s="20">
        <v>0</v>
      </c>
      <c r="AB1997" s="20">
        <v>37.74</v>
      </c>
      <c r="AC1997" t="s">
        <v>188</v>
      </c>
      <c r="AD1997" t="s">
        <v>290</v>
      </c>
      <c r="AE1997" s="702">
        <f t="shared" si="155"/>
        <v>44348</v>
      </c>
      <c r="AF1997" s="289">
        <v>44.965281192769623</v>
      </c>
      <c r="AG1997">
        <f t="shared" si="156"/>
        <v>360</v>
      </c>
      <c r="AH1997" s="289">
        <f t="shared" si="157"/>
        <v>0.12490355886880451</v>
      </c>
      <c r="AJ1997" s="289">
        <f t="shared" si="158"/>
        <v>18</v>
      </c>
      <c r="AK1997" s="289">
        <f t="shared" si="159"/>
        <v>2.2482640596384811</v>
      </c>
    </row>
    <row r="1998" spans="1:37">
      <c r="A1998" s="703" t="s">
        <v>3532</v>
      </c>
      <c r="B1998" s="703" t="s">
        <v>2849</v>
      </c>
      <c r="C1998" s="703" t="s">
        <v>390</v>
      </c>
      <c r="D1998" s="703" t="s">
        <v>334</v>
      </c>
      <c r="E1998" s="703" t="s">
        <v>334</v>
      </c>
      <c r="F1998" s="703" t="s">
        <v>335</v>
      </c>
      <c r="G1998" s="703" t="s">
        <v>3415</v>
      </c>
      <c r="H1998" s="703" t="s">
        <v>334</v>
      </c>
      <c r="I1998" s="703" t="s">
        <v>334</v>
      </c>
      <c r="J1998" s="703" t="s">
        <v>337</v>
      </c>
      <c r="K1998" s="704">
        <v>0</v>
      </c>
      <c r="L1998" s="703" t="s">
        <v>334</v>
      </c>
      <c r="M1998" s="702">
        <v>43251</v>
      </c>
      <c r="N1998" s="702">
        <v>44516</v>
      </c>
      <c r="O1998" s="703" t="s">
        <v>338</v>
      </c>
      <c r="P1998" s="20">
        <v>26.52</v>
      </c>
      <c r="Q1998" s="20">
        <v>0</v>
      </c>
      <c r="R1998" s="20">
        <v>0</v>
      </c>
      <c r="S1998" s="20">
        <v>0</v>
      </c>
      <c r="T1998" s="20">
        <v>26.52</v>
      </c>
      <c r="U1998" s="20">
        <v>26.45</v>
      </c>
      <c r="V1998" s="20">
        <v>-7.0000000000000007E-2</v>
      </c>
      <c r="W1998" s="20">
        <v>-0.95</v>
      </c>
      <c r="X1998" s="20">
        <v>-0.88</v>
      </c>
      <c r="Y1998" s="20">
        <v>0</v>
      </c>
      <c r="Z1998" s="20">
        <v>0</v>
      </c>
      <c r="AA1998" s="20">
        <v>0</v>
      </c>
      <c r="AB1998" s="20">
        <v>25.57</v>
      </c>
      <c r="AC1998" t="s">
        <v>188</v>
      </c>
      <c r="AD1998" t="s">
        <v>290</v>
      </c>
      <c r="AE1998" s="702">
        <f t="shared" si="155"/>
        <v>44348</v>
      </c>
      <c r="AF1998" s="289">
        <v>30.451462135655017</v>
      </c>
      <c r="AG1998">
        <f t="shared" si="156"/>
        <v>360</v>
      </c>
      <c r="AH1998" s="289">
        <f t="shared" si="157"/>
        <v>8.4587394821263942E-2</v>
      </c>
      <c r="AJ1998" s="289">
        <f t="shared" si="158"/>
        <v>18</v>
      </c>
      <c r="AK1998" s="289">
        <f t="shared" si="159"/>
        <v>1.522573106782751</v>
      </c>
    </row>
    <row r="1999" spans="1:37">
      <c r="A1999" s="703" t="s">
        <v>3533</v>
      </c>
      <c r="B1999" s="703" t="s">
        <v>2849</v>
      </c>
      <c r="C1999" s="703" t="s">
        <v>390</v>
      </c>
      <c r="D1999" s="703" t="s">
        <v>334</v>
      </c>
      <c r="E1999" s="703" t="s">
        <v>334</v>
      </c>
      <c r="F1999" s="703" t="s">
        <v>335</v>
      </c>
      <c r="G1999" s="703" t="s">
        <v>3415</v>
      </c>
      <c r="H1999" s="703" t="s">
        <v>334</v>
      </c>
      <c r="I1999" s="703" t="s">
        <v>334</v>
      </c>
      <c r="J1999" s="703" t="s">
        <v>337</v>
      </c>
      <c r="K1999" s="704">
        <v>0</v>
      </c>
      <c r="L1999" s="703" t="s">
        <v>334</v>
      </c>
      <c r="M1999" s="702">
        <v>43251</v>
      </c>
      <c r="N1999" s="702">
        <v>44516</v>
      </c>
      <c r="O1999" s="703" t="s">
        <v>338</v>
      </c>
      <c r="P1999" s="20">
        <v>5.23</v>
      </c>
      <c r="Q1999" s="20">
        <v>0</v>
      </c>
      <c r="R1999" s="20">
        <v>0</v>
      </c>
      <c r="S1999" s="20">
        <v>0</v>
      </c>
      <c r="T1999" s="20">
        <v>5.23</v>
      </c>
      <c r="U1999" s="20">
        <v>5.22</v>
      </c>
      <c r="V1999" s="20">
        <v>-0.01</v>
      </c>
      <c r="W1999" s="20">
        <v>-0.18</v>
      </c>
      <c r="X1999" s="20">
        <v>-0.17</v>
      </c>
      <c r="Y1999" s="20">
        <v>0</v>
      </c>
      <c r="Z1999" s="20">
        <v>0</v>
      </c>
      <c r="AA1999" s="20">
        <v>0</v>
      </c>
      <c r="AB1999" s="20">
        <v>5.05</v>
      </c>
      <c r="AC1999" t="s">
        <v>188</v>
      </c>
      <c r="AD1999" t="s">
        <v>290</v>
      </c>
      <c r="AE1999" s="702">
        <f t="shared" si="155"/>
        <v>44348</v>
      </c>
      <c r="AF1999" s="289">
        <v>6.0053222839168834</v>
      </c>
      <c r="AG1999">
        <f t="shared" si="156"/>
        <v>360</v>
      </c>
      <c r="AH1999" s="289">
        <f t="shared" si="157"/>
        <v>1.6681450788658011E-2</v>
      </c>
      <c r="AJ1999" s="289">
        <f t="shared" si="158"/>
        <v>18</v>
      </c>
      <c r="AK1999" s="289">
        <f t="shared" si="159"/>
        <v>0.3002661141958442</v>
      </c>
    </row>
    <row r="2000" spans="1:37">
      <c r="A2000" s="703" t="s">
        <v>3534</v>
      </c>
      <c r="B2000" s="703" t="s">
        <v>2849</v>
      </c>
      <c r="C2000" s="703" t="s">
        <v>390</v>
      </c>
      <c r="D2000" s="703" t="s">
        <v>334</v>
      </c>
      <c r="E2000" s="703" t="s">
        <v>334</v>
      </c>
      <c r="F2000" s="703" t="s">
        <v>335</v>
      </c>
      <c r="G2000" s="703" t="s">
        <v>3415</v>
      </c>
      <c r="H2000" s="703" t="s">
        <v>334</v>
      </c>
      <c r="I2000" s="703" t="s">
        <v>334</v>
      </c>
      <c r="J2000" s="703" t="s">
        <v>337</v>
      </c>
      <c r="K2000" s="704">
        <v>0</v>
      </c>
      <c r="L2000" s="703" t="s">
        <v>334</v>
      </c>
      <c r="M2000" s="702">
        <v>43251</v>
      </c>
      <c r="N2000" s="702">
        <v>44516</v>
      </c>
      <c r="O2000" s="703" t="s">
        <v>338</v>
      </c>
      <c r="P2000" s="20">
        <v>146.41</v>
      </c>
      <c r="Q2000" s="20">
        <v>0</v>
      </c>
      <c r="R2000" s="20">
        <v>0</v>
      </c>
      <c r="S2000" s="20">
        <v>0</v>
      </c>
      <c r="T2000" s="20">
        <v>146.41</v>
      </c>
      <c r="U2000" s="20">
        <v>146</v>
      </c>
      <c r="V2000" s="20">
        <v>-0.41</v>
      </c>
      <c r="W2000" s="20">
        <v>-5.29</v>
      </c>
      <c r="X2000" s="20">
        <v>-4.88</v>
      </c>
      <c r="Y2000" s="20">
        <v>0</v>
      </c>
      <c r="Z2000" s="20">
        <v>0</v>
      </c>
      <c r="AA2000" s="20">
        <v>0</v>
      </c>
      <c r="AB2000" s="20">
        <v>141.12</v>
      </c>
      <c r="AC2000" t="s">
        <v>188</v>
      </c>
      <c r="AD2000" t="s">
        <v>290</v>
      </c>
      <c r="AE2000" s="702">
        <f t="shared" si="155"/>
        <v>44348</v>
      </c>
      <c r="AF2000" s="289">
        <v>168.11457659431568</v>
      </c>
      <c r="AG2000">
        <f t="shared" si="156"/>
        <v>360</v>
      </c>
      <c r="AH2000" s="289">
        <f t="shared" si="157"/>
        <v>0.46698493498421023</v>
      </c>
      <c r="AJ2000" s="289">
        <f t="shared" si="158"/>
        <v>18</v>
      </c>
      <c r="AK2000" s="289">
        <f t="shared" si="159"/>
        <v>8.4057288297157839</v>
      </c>
    </row>
    <row r="2001" spans="1:37">
      <c r="A2001" s="703" t="s">
        <v>3535</v>
      </c>
      <c r="B2001" s="703" t="s">
        <v>2849</v>
      </c>
      <c r="C2001" s="703" t="s">
        <v>390</v>
      </c>
      <c r="D2001" s="703" t="s">
        <v>334</v>
      </c>
      <c r="E2001" s="703" t="s">
        <v>334</v>
      </c>
      <c r="F2001" s="703" t="s">
        <v>335</v>
      </c>
      <c r="G2001" s="703" t="s">
        <v>3415</v>
      </c>
      <c r="H2001" s="703" t="s">
        <v>334</v>
      </c>
      <c r="I2001" s="703" t="s">
        <v>334</v>
      </c>
      <c r="J2001" s="703" t="s">
        <v>337</v>
      </c>
      <c r="K2001" s="704">
        <v>0</v>
      </c>
      <c r="L2001" s="703" t="s">
        <v>334</v>
      </c>
      <c r="M2001" s="702">
        <v>43251</v>
      </c>
      <c r="N2001" s="702">
        <v>44516</v>
      </c>
      <c r="O2001" s="703" t="s">
        <v>338</v>
      </c>
      <c r="P2001" s="20">
        <v>37.049999999999997</v>
      </c>
      <c r="Q2001" s="20">
        <v>0</v>
      </c>
      <c r="R2001" s="20">
        <v>0</v>
      </c>
      <c r="S2001" s="20">
        <v>0</v>
      </c>
      <c r="T2001" s="20">
        <v>37.049999999999997</v>
      </c>
      <c r="U2001" s="20">
        <v>36.950000000000003</v>
      </c>
      <c r="V2001" s="20">
        <v>-0.1</v>
      </c>
      <c r="W2001" s="20">
        <v>-1.34</v>
      </c>
      <c r="X2001" s="20">
        <v>-1.24</v>
      </c>
      <c r="Y2001" s="20">
        <v>0</v>
      </c>
      <c r="Z2001" s="20">
        <v>0</v>
      </c>
      <c r="AA2001" s="20">
        <v>0</v>
      </c>
      <c r="AB2001" s="20">
        <v>35.71</v>
      </c>
      <c r="AC2001" t="s">
        <v>188</v>
      </c>
      <c r="AD2001" t="s">
        <v>290</v>
      </c>
      <c r="AE2001" s="702">
        <f t="shared" si="155"/>
        <v>44348</v>
      </c>
      <c r="AF2001" s="289">
        <v>42.542483865988629</v>
      </c>
      <c r="AG2001">
        <f t="shared" si="156"/>
        <v>360</v>
      </c>
      <c r="AH2001" s="289">
        <f t="shared" si="157"/>
        <v>0.11817356629441286</v>
      </c>
      <c r="AJ2001" s="289">
        <f t="shared" si="158"/>
        <v>18</v>
      </c>
      <c r="AK2001" s="289">
        <f t="shared" si="159"/>
        <v>2.1271241932994314</v>
      </c>
    </row>
    <row r="2002" spans="1:37">
      <c r="A2002" s="703" t="s">
        <v>3536</v>
      </c>
      <c r="B2002" s="703" t="s">
        <v>2849</v>
      </c>
      <c r="C2002" s="703" t="s">
        <v>390</v>
      </c>
      <c r="D2002" s="703" t="s">
        <v>334</v>
      </c>
      <c r="E2002" s="703" t="s">
        <v>334</v>
      </c>
      <c r="F2002" s="703" t="s">
        <v>335</v>
      </c>
      <c r="G2002" s="703" t="s">
        <v>3415</v>
      </c>
      <c r="H2002" s="703" t="s">
        <v>334</v>
      </c>
      <c r="I2002" s="703" t="s">
        <v>334</v>
      </c>
      <c r="J2002" s="703" t="s">
        <v>337</v>
      </c>
      <c r="K2002" s="704">
        <v>0</v>
      </c>
      <c r="L2002" s="703" t="s">
        <v>334</v>
      </c>
      <c r="M2002" s="702">
        <v>43251</v>
      </c>
      <c r="N2002" s="702">
        <v>44516</v>
      </c>
      <c r="O2002" s="703" t="s">
        <v>338</v>
      </c>
      <c r="P2002" s="20">
        <v>151.65</v>
      </c>
      <c r="Q2002" s="20">
        <v>0</v>
      </c>
      <c r="R2002" s="20">
        <v>0</v>
      </c>
      <c r="S2002" s="20">
        <v>0</v>
      </c>
      <c r="T2002" s="20">
        <v>151.65</v>
      </c>
      <c r="U2002" s="20">
        <v>151.22999999999999</v>
      </c>
      <c r="V2002" s="20">
        <v>-0.42</v>
      </c>
      <c r="W2002" s="20">
        <v>-5.48</v>
      </c>
      <c r="X2002" s="20">
        <v>-5.0599999999999996</v>
      </c>
      <c r="Y2002" s="20">
        <v>0</v>
      </c>
      <c r="Z2002" s="20">
        <v>0</v>
      </c>
      <c r="AA2002" s="20">
        <v>0</v>
      </c>
      <c r="AB2002" s="20">
        <v>146.16999999999999</v>
      </c>
      <c r="AC2002" t="s">
        <v>188</v>
      </c>
      <c r="AD2002" t="s">
        <v>290</v>
      </c>
      <c r="AE2002" s="702">
        <f t="shared" si="155"/>
        <v>44348</v>
      </c>
      <c r="AF2002" s="289">
        <v>174.13138133001826</v>
      </c>
      <c r="AG2002">
        <f t="shared" si="156"/>
        <v>360</v>
      </c>
      <c r="AH2002" s="289">
        <f t="shared" si="157"/>
        <v>0.48369828147227295</v>
      </c>
      <c r="AJ2002" s="289">
        <f t="shared" si="158"/>
        <v>18</v>
      </c>
      <c r="AK2002" s="289">
        <f t="shared" si="159"/>
        <v>8.7065690665009132</v>
      </c>
    </row>
    <row r="2003" spans="1:37">
      <c r="A2003" s="703" t="s">
        <v>3537</v>
      </c>
      <c r="B2003" s="703" t="s">
        <v>2849</v>
      </c>
      <c r="C2003" s="703" t="s">
        <v>390</v>
      </c>
      <c r="D2003" s="703" t="s">
        <v>334</v>
      </c>
      <c r="E2003" s="703" t="s">
        <v>334</v>
      </c>
      <c r="F2003" s="703" t="s">
        <v>335</v>
      </c>
      <c r="G2003" s="703" t="s">
        <v>3415</v>
      </c>
      <c r="H2003" s="703" t="s">
        <v>334</v>
      </c>
      <c r="I2003" s="703" t="s">
        <v>334</v>
      </c>
      <c r="J2003" s="703" t="s">
        <v>337</v>
      </c>
      <c r="K2003" s="704">
        <v>0</v>
      </c>
      <c r="L2003" s="703" t="s">
        <v>334</v>
      </c>
      <c r="M2003" s="702">
        <v>43251</v>
      </c>
      <c r="N2003" s="702">
        <v>44516</v>
      </c>
      <c r="O2003" s="703" t="s">
        <v>338</v>
      </c>
      <c r="P2003" s="20">
        <v>32.299999999999997</v>
      </c>
      <c r="Q2003" s="20">
        <v>0</v>
      </c>
      <c r="R2003" s="20">
        <v>0</v>
      </c>
      <c r="S2003" s="20">
        <v>0</v>
      </c>
      <c r="T2003" s="20">
        <v>32.299999999999997</v>
      </c>
      <c r="U2003" s="20">
        <v>32.21</v>
      </c>
      <c r="V2003" s="20">
        <v>-0.09</v>
      </c>
      <c r="W2003" s="20">
        <v>-1.17</v>
      </c>
      <c r="X2003" s="20">
        <v>-1.08</v>
      </c>
      <c r="Y2003" s="20">
        <v>0</v>
      </c>
      <c r="Z2003" s="20">
        <v>0</v>
      </c>
      <c r="AA2003" s="20">
        <v>0</v>
      </c>
      <c r="AB2003" s="20">
        <v>31.13</v>
      </c>
      <c r="AC2003" t="s">
        <v>188</v>
      </c>
      <c r="AD2003" t="s">
        <v>290</v>
      </c>
      <c r="AE2003" s="702">
        <f t="shared" si="155"/>
        <v>44348</v>
      </c>
      <c r="AF2003" s="289">
        <v>37.088319267784954</v>
      </c>
      <c r="AG2003">
        <f t="shared" si="156"/>
        <v>360</v>
      </c>
      <c r="AH2003" s="289">
        <f t="shared" si="157"/>
        <v>0.10302310907718043</v>
      </c>
      <c r="AJ2003" s="289">
        <f t="shared" si="158"/>
        <v>18</v>
      </c>
      <c r="AK2003" s="289">
        <f t="shared" si="159"/>
        <v>1.8544159633892479</v>
      </c>
    </row>
    <row r="2004" spans="1:37">
      <c r="A2004" s="703" t="s">
        <v>3538</v>
      </c>
      <c r="B2004" s="703" t="s">
        <v>2849</v>
      </c>
      <c r="C2004" s="703" t="s">
        <v>390</v>
      </c>
      <c r="D2004" s="703" t="s">
        <v>334</v>
      </c>
      <c r="E2004" s="703" t="s">
        <v>334</v>
      </c>
      <c r="F2004" s="703" t="s">
        <v>335</v>
      </c>
      <c r="G2004" s="703" t="s">
        <v>3415</v>
      </c>
      <c r="H2004" s="703" t="s">
        <v>334</v>
      </c>
      <c r="I2004" s="703" t="s">
        <v>334</v>
      </c>
      <c r="J2004" s="703" t="s">
        <v>337</v>
      </c>
      <c r="K2004" s="704">
        <v>0</v>
      </c>
      <c r="L2004" s="703" t="s">
        <v>334</v>
      </c>
      <c r="M2004" s="702">
        <v>43251</v>
      </c>
      <c r="N2004" s="702">
        <v>44516</v>
      </c>
      <c r="O2004" s="703" t="s">
        <v>338</v>
      </c>
      <c r="P2004" s="20">
        <v>87.21</v>
      </c>
      <c r="Q2004" s="20">
        <v>0</v>
      </c>
      <c r="R2004" s="20">
        <v>0</v>
      </c>
      <c r="S2004" s="20">
        <v>0</v>
      </c>
      <c r="T2004" s="20">
        <v>87.21</v>
      </c>
      <c r="U2004" s="20">
        <v>86.97</v>
      </c>
      <c r="V2004" s="20">
        <v>-0.24</v>
      </c>
      <c r="W2004" s="20">
        <v>-3.15</v>
      </c>
      <c r="X2004" s="20">
        <v>-2.91</v>
      </c>
      <c r="Y2004" s="20">
        <v>0</v>
      </c>
      <c r="Z2004" s="20">
        <v>0</v>
      </c>
      <c r="AA2004" s="20">
        <v>0</v>
      </c>
      <c r="AB2004" s="20">
        <v>84.06</v>
      </c>
      <c r="AC2004" t="s">
        <v>188</v>
      </c>
      <c r="AD2004" t="s">
        <v>290</v>
      </c>
      <c r="AE2004" s="702">
        <f t="shared" si="155"/>
        <v>44348</v>
      </c>
      <c r="AF2004" s="289">
        <v>100.13846202301939</v>
      </c>
      <c r="AG2004">
        <f t="shared" si="156"/>
        <v>360</v>
      </c>
      <c r="AH2004" s="289">
        <f t="shared" si="157"/>
        <v>0.2781623945083872</v>
      </c>
      <c r="AJ2004" s="289">
        <f t="shared" si="158"/>
        <v>18</v>
      </c>
      <c r="AK2004" s="289">
        <f t="shared" si="159"/>
        <v>5.0069231011509698</v>
      </c>
    </row>
    <row r="2005" spans="1:37">
      <c r="A2005" s="703" t="s">
        <v>3539</v>
      </c>
      <c r="B2005" s="703" t="s">
        <v>2849</v>
      </c>
      <c r="C2005" s="703" t="s">
        <v>390</v>
      </c>
      <c r="D2005" s="703" t="s">
        <v>334</v>
      </c>
      <c r="E2005" s="703" t="s">
        <v>334</v>
      </c>
      <c r="F2005" s="703" t="s">
        <v>335</v>
      </c>
      <c r="G2005" s="703" t="s">
        <v>3415</v>
      </c>
      <c r="H2005" s="703" t="s">
        <v>334</v>
      </c>
      <c r="I2005" s="703" t="s">
        <v>334</v>
      </c>
      <c r="J2005" s="703" t="s">
        <v>337</v>
      </c>
      <c r="K2005" s="704">
        <v>0</v>
      </c>
      <c r="L2005" s="703" t="s">
        <v>334</v>
      </c>
      <c r="M2005" s="702">
        <v>43251</v>
      </c>
      <c r="N2005" s="702">
        <v>44516</v>
      </c>
      <c r="O2005" s="703" t="s">
        <v>338</v>
      </c>
      <c r="P2005" s="20">
        <v>155.21</v>
      </c>
      <c r="Q2005" s="20">
        <v>0</v>
      </c>
      <c r="R2005" s="20">
        <v>0</v>
      </c>
      <c r="S2005" s="20">
        <v>0</v>
      </c>
      <c r="T2005" s="20">
        <v>155.21</v>
      </c>
      <c r="U2005" s="20">
        <v>154.78</v>
      </c>
      <c r="V2005" s="20">
        <v>-0.43</v>
      </c>
      <c r="W2005" s="20">
        <v>-5.6</v>
      </c>
      <c r="X2005" s="20">
        <v>-5.17</v>
      </c>
      <c r="Y2005" s="20">
        <v>0</v>
      </c>
      <c r="Z2005" s="20">
        <v>0</v>
      </c>
      <c r="AA2005" s="20">
        <v>0</v>
      </c>
      <c r="AB2005" s="20">
        <v>149.61000000000001</v>
      </c>
      <c r="AC2005" t="s">
        <v>188</v>
      </c>
      <c r="AD2005" t="s">
        <v>290</v>
      </c>
      <c r="AE2005" s="702">
        <f t="shared" si="155"/>
        <v>44348</v>
      </c>
      <c r="AF2005" s="289">
        <v>178.21913416572457</v>
      </c>
      <c r="AG2005">
        <f t="shared" si="156"/>
        <v>360</v>
      </c>
      <c r="AH2005" s="289">
        <f t="shared" si="157"/>
        <v>0.49505315046034604</v>
      </c>
      <c r="AJ2005" s="289">
        <f t="shared" si="158"/>
        <v>18</v>
      </c>
      <c r="AK2005" s="289">
        <f t="shared" si="159"/>
        <v>8.9109567082862284</v>
      </c>
    </row>
    <row r="2006" spans="1:37">
      <c r="A2006" s="703" t="s">
        <v>3540</v>
      </c>
      <c r="B2006" s="703" t="s">
        <v>2849</v>
      </c>
      <c r="C2006" s="703" t="s">
        <v>390</v>
      </c>
      <c r="D2006" s="703" t="s">
        <v>334</v>
      </c>
      <c r="E2006" s="703" t="s">
        <v>334</v>
      </c>
      <c r="F2006" s="703" t="s">
        <v>335</v>
      </c>
      <c r="G2006" s="703" t="s">
        <v>3415</v>
      </c>
      <c r="H2006" s="703" t="s">
        <v>334</v>
      </c>
      <c r="I2006" s="703" t="s">
        <v>334</v>
      </c>
      <c r="J2006" s="703" t="s">
        <v>337</v>
      </c>
      <c r="K2006" s="704">
        <v>0</v>
      </c>
      <c r="L2006" s="703" t="s">
        <v>334</v>
      </c>
      <c r="M2006" s="702">
        <v>43251</v>
      </c>
      <c r="N2006" s="702">
        <v>44516</v>
      </c>
      <c r="O2006" s="703" t="s">
        <v>338</v>
      </c>
      <c r="P2006" s="20">
        <v>246.51</v>
      </c>
      <c r="Q2006" s="20">
        <v>0</v>
      </c>
      <c r="R2006" s="20">
        <v>0</v>
      </c>
      <c r="S2006" s="20">
        <v>0</v>
      </c>
      <c r="T2006" s="20">
        <v>246.51</v>
      </c>
      <c r="U2006" s="20">
        <v>245.83</v>
      </c>
      <c r="V2006" s="20">
        <v>-0.68</v>
      </c>
      <c r="W2006" s="20">
        <v>-8.9</v>
      </c>
      <c r="X2006" s="20">
        <v>-8.2200000000000006</v>
      </c>
      <c r="Y2006" s="20">
        <v>0</v>
      </c>
      <c r="Z2006" s="20">
        <v>0</v>
      </c>
      <c r="AA2006" s="20">
        <v>0</v>
      </c>
      <c r="AB2006" s="20">
        <v>237.61</v>
      </c>
      <c r="AC2006" t="s">
        <v>188</v>
      </c>
      <c r="AD2006" t="s">
        <v>290</v>
      </c>
      <c r="AE2006" s="702">
        <f t="shared" si="155"/>
        <v>44348</v>
      </c>
      <c r="AF2006" s="289">
        <v>283.05391896909191</v>
      </c>
      <c r="AG2006">
        <f t="shared" si="156"/>
        <v>360</v>
      </c>
      <c r="AH2006" s="289">
        <f t="shared" si="157"/>
        <v>0.78626088602525535</v>
      </c>
      <c r="AJ2006" s="289">
        <f t="shared" si="158"/>
        <v>18</v>
      </c>
      <c r="AK2006" s="289">
        <f t="shared" si="159"/>
        <v>14.152695948454596</v>
      </c>
    </row>
    <row r="2007" spans="1:37">
      <c r="A2007" s="703" t="s">
        <v>3541</v>
      </c>
      <c r="B2007" s="703" t="s">
        <v>2849</v>
      </c>
      <c r="C2007" s="703" t="s">
        <v>390</v>
      </c>
      <c r="D2007" s="703" t="s">
        <v>334</v>
      </c>
      <c r="E2007" s="703" t="s">
        <v>334</v>
      </c>
      <c r="F2007" s="703" t="s">
        <v>335</v>
      </c>
      <c r="G2007" s="703" t="s">
        <v>3415</v>
      </c>
      <c r="H2007" s="703" t="s">
        <v>334</v>
      </c>
      <c r="I2007" s="703" t="s">
        <v>334</v>
      </c>
      <c r="J2007" s="703" t="s">
        <v>337</v>
      </c>
      <c r="K2007" s="704">
        <v>0</v>
      </c>
      <c r="L2007" s="703" t="s">
        <v>334</v>
      </c>
      <c r="M2007" s="702">
        <v>43251</v>
      </c>
      <c r="N2007" s="702">
        <v>44516</v>
      </c>
      <c r="O2007" s="703" t="s">
        <v>338</v>
      </c>
      <c r="P2007" s="20">
        <v>374.09</v>
      </c>
      <c r="Q2007" s="20">
        <v>0</v>
      </c>
      <c r="R2007" s="20">
        <v>0</v>
      </c>
      <c r="S2007" s="20">
        <v>0</v>
      </c>
      <c r="T2007" s="20">
        <v>374.09</v>
      </c>
      <c r="U2007" s="20">
        <v>373.05</v>
      </c>
      <c r="V2007" s="20">
        <v>-1.04</v>
      </c>
      <c r="W2007" s="20">
        <v>-13.51</v>
      </c>
      <c r="X2007" s="20">
        <v>-12.47</v>
      </c>
      <c r="Y2007" s="20">
        <v>0</v>
      </c>
      <c r="Z2007" s="20">
        <v>0</v>
      </c>
      <c r="AA2007" s="20">
        <v>0</v>
      </c>
      <c r="AB2007" s="20">
        <v>360.58</v>
      </c>
      <c r="AC2007" t="s">
        <v>188</v>
      </c>
      <c r="AD2007" t="s">
        <v>290</v>
      </c>
      <c r="AE2007" s="702">
        <f t="shared" si="155"/>
        <v>44348</v>
      </c>
      <c r="AF2007" s="289">
        <v>429.54703885094966</v>
      </c>
      <c r="AG2007">
        <f t="shared" si="156"/>
        <v>360</v>
      </c>
      <c r="AH2007" s="289">
        <f t="shared" si="157"/>
        <v>1.1931862190304157</v>
      </c>
      <c r="AJ2007" s="289">
        <f t="shared" si="158"/>
        <v>18</v>
      </c>
      <c r="AK2007" s="289">
        <f t="shared" si="159"/>
        <v>21.477351942547482</v>
      </c>
    </row>
    <row r="2008" spans="1:37">
      <c r="A2008" s="703" t="s">
        <v>3542</v>
      </c>
      <c r="B2008" s="703" t="s">
        <v>2849</v>
      </c>
      <c r="C2008" s="703" t="s">
        <v>390</v>
      </c>
      <c r="D2008" s="703" t="s">
        <v>334</v>
      </c>
      <c r="E2008" s="703" t="s">
        <v>334</v>
      </c>
      <c r="F2008" s="703" t="s">
        <v>335</v>
      </c>
      <c r="G2008" s="703" t="s">
        <v>3415</v>
      </c>
      <c r="H2008" s="703" t="s">
        <v>334</v>
      </c>
      <c r="I2008" s="703" t="s">
        <v>334</v>
      </c>
      <c r="J2008" s="703" t="s">
        <v>337</v>
      </c>
      <c r="K2008" s="704">
        <v>0</v>
      </c>
      <c r="L2008" s="703" t="s">
        <v>334</v>
      </c>
      <c r="M2008" s="702">
        <v>43251</v>
      </c>
      <c r="N2008" s="702">
        <v>44516</v>
      </c>
      <c r="O2008" s="703" t="s">
        <v>338</v>
      </c>
      <c r="P2008" s="20">
        <v>485.98</v>
      </c>
      <c r="Q2008" s="20">
        <v>0</v>
      </c>
      <c r="R2008" s="20">
        <v>0</v>
      </c>
      <c r="S2008" s="20">
        <v>0</v>
      </c>
      <c r="T2008" s="20">
        <v>485.98</v>
      </c>
      <c r="U2008" s="20">
        <v>484.63</v>
      </c>
      <c r="V2008" s="20">
        <v>-1.35</v>
      </c>
      <c r="W2008" s="20">
        <v>-17.55</v>
      </c>
      <c r="X2008" s="20">
        <v>-16.2</v>
      </c>
      <c r="Y2008" s="20">
        <v>0</v>
      </c>
      <c r="Z2008" s="20">
        <v>0</v>
      </c>
      <c r="AA2008" s="20">
        <v>0</v>
      </c>
      <c r="AB2008" s="20">
        <v>468.43</v>
      </c>
      <c r="AC2008" t="s">
        <v>188</v>
      </c>
      <c r="AD2008" t="s">
        <v>290</v>
      </c>
      <c r="AE2008" s="702">
        <f t="shared" si="155"/>
        <v>44348</v>
      </c>
      <c r="AF2008" s="289">
        <v>558.02419188105671</v>
      </c>
      <c r="AG2008">
        <f t="shared" si="156"/>
        <v>360</v>
      </c>
      <c r="AH2008" s="289">
        <f t="shared" si="157"/>
        <v>1.550067199669602</v>
      </c>
      <c r="AJ2008" s="289">
        <f t="shared" si="158"/>
        <v>18</v>
      </c>
      <c r="AK2008" s="289">
        <f t="shared" si="159"/>
        <v>27.901209594052837</v>
      </c>
    </row>
    <row r="2009" spans="1:37">
      <c r="A2009" s="703" t="s">
        <v>3543</v>
      </c>
      <c r="B2009" s="703" t="s">
        <v>2849</v>
      </c>
      <c r="C2009" s="703" t="s">
        <v>390</v>
      </c>
      <c r="D2009" s="703" t="s">
        <v>334</v>
      </c>
      <c r="E2009" s="703" t="s">
        <v>334</v>
      </c>
      <c r="F2009" s="703" t="s">
        <v>335</v>
      </c>
      <c r="G2009" s="703" t="s">
        <v>3415</v>
      </c>
      <c r="H2009" s="703" t="s">
        <v>334</v>
      </c>
      <c r="I2009" s="703" t="s">
        <v>334</v>
      </c>
      <c r="J2009" s="703" t="s">
        <v>337</v>
      </c>
      <c r="K2009" s="704">
        <v>0</v>
      </c>
      <c r="L2009" s="703" t="s">
        <v>334</v>
      </c>
      <c r="M2009" s="702">
        <v>43251</v>
      </c>
      <c r="N2009" s="702">
        <v>44516</v>
      </c>
      <c r="O2009" s="703" t="s">
        <v>338</v>
      </c>
      <c r="P2009" s="20">
        <v>175.36</v>
      </c>
      <c r="Q2009" s="20">
        <v>0</v>
      </c>
      <c r="R2009" s="20">
        <v>0</v>
      </c>
      <c r="S2009" s="20">
        <v>0</v>
      </c>
      <c r="T2009" s="20">
        <v>175.36</v>
      </c>
      <c r="U2009" s="20">
        <v>174.87</v>
      </c>
      <c r="V2009" s="20">
        <v>-0.49</v>
      </c>
      <c r="W2009" s="20">
        <v>-6.34</v>
      </c>
      <c r="X2009" s="20">
        <v>-5.85</v>
      </c>
      <c r="Y2009" s="20">
        <v>0</v>
      </c>
      <c r="Z2009" s="20">
        <v>0</v>
      </c>
      <c r="AA2009" s="20">
        <v>0</v>
      </c>
      <c r="AB2009" s="20">
        <v>169.02</v>
      </c>
      <c r="AC2009" t="s">
        <v>188</v>
      </c>
      <c r="AD2009" t="s">
        <v>290</v>
      </c>
      <c r="AE2009" s="702">
        <f t="shared" si="155"/>
        <v>44348</v>
      </c>
      <c r="AF2009" s="289">
        <v>201.35627451389382</v>
      </c>
      <c r="AG2009">
        <f t="shared" si="156"/>
        <v>360</v>
      </c>
      <c r="AH2009" s="289">
        <f t="shared" si="157"/>
        <v>0.55932298476081621</v>
      </c>
      <c r="AJ2009" s="289">
        <f t="shared" si="158"/>
        <v>18</v>
      </c>
      <c r="AK2009" s="289">
        <f t="shared" si="159"/>
        <v>10.067813725694691</v>
      </c>
    </row>
    <row r="2010" spans="1:37">
      <c r="A2010" s="703" t="s">
        <v>3544</v>
      </c>
      <c r="B2010" s="703" t="s">
        <v>2849</v>
      </c>
      <c r="C2010" s="703" t="s">
        <v>390</v>
      </c>
      <c r="D2010" s="703" t="s">
        <v>334</v>
      </c>
      <c r="E2010" s="703" t="s">
        <v>334</v>
      </c>
      <c r="F2010" s="703" t="s">
        <v>335</v>
      </c>
      <c r="G2010" s="703" t="s">
        <v>3415</v>
      </c>
      <c r="H2010" s="703" t="s">
        <v>334</v>
      </c>
      <c r="I2010" s="703" t="s">
        <v>334</v>
      </c>
      <c r="J2010" s="703" t="s">
        <v>337</v>
      </c>
      <c r="K2010" s="704">
        <v>0</v>
      </c>
      <c r="L2010" s="703" t="s">
        <v>334</v>
      </c>
      <c r="M2010" s="702">
        <v>43251</v>
      </c>
      <c r="N2010" s="702">
        <v>44516</v>
      </c>
      <c r="O2010" s="703" t="s">
        <v>338</v>
      </c>
      <c r="P2010" s="20">
        <v>3850.94</v>
      </c>
      <c r="Q2010" s="20">
        <v>0</v>
      </c>
      <c r="R2010" s="20">
        <v>0</v>
      </c>
      <c r="S2010" s="20">
        <v>0</v>
      </c>
      <c r="T2010" s="20">
        <v>3850.94</v>
      </c>
      <c r="U2010" s="20">
        <v>3840.24</v>
      </c>
      <c r="V2010" s="20">
        <v>-10.7</v>
      </c>
      <c r="W2010" s="20">
        <v>-139.06</v>
      </c>
      <c r="X2010" s="20">
        <v>-128.36000000000001</v>
      </c>
      <c r="Y2010" s="20">
        <v>0</v>
      </c>
      <c r="Z2010" s="20">
        <v>0</v>
      </c>
      <c r="AA2010" s="20">
        <v>0</v>
      </c>
      <c r="AB2010" s="20">
        <v>3711.88</v>
      </c>
      <c r="AC2010" t="s">
        <v>188</v>
      </c>
      <c r="AD2010" t="s">
        <v>290</v>
      </c>
      <c r="AE2010" s="702">
        <f t="shared" si="155"/>
        <v>44348</v>
      </c>
      <c r="AF2010" s="289">
        <v>4421.8232879592506</v>
      </c>
      <c r="AG2010">
        <f t="shared" si="156"/>
        <v>360</v>
      </c>
      <c r="AH2010" s="289">
        <f t="shared" si="157"/>
        <v>12.282842466553474</v>
      </c>
      <c r="AJ2010" s="289">
        <f t="shared" si="158"/>
        <v>18</v>
      </c>
      <c r="AK2010" s="289">
        <f t="shared" si="159"/>
        <v>221.09116439796253</v>
      </c>
    </row>
    <row r="2011" spans="1:37">
      <c r="A2011" s="703" t="s">
        <v>3545</v>
      </c>
      <c r="B2011" s="703" t="s">
        <v>2849</v>
      </c>
      <c r="C2011" s="703" t="s">
        <v>390</v>
      </c>
      <c r="D2011" s="703" t="s">
        <v>334</v>
      </c>
      <c r="E2011" s="703" t="s">
        <v>334</v>
      </c>
      <c r="F2011" s="703" t="s">
        <v>335</v>
      </c>
      <c r="G2011" s="703" t="s">
        <v>3415</v>
      </c>
      <c r="H2011" s="703" t="s">
        <v>334</v>
      </c>
      <c r="I2011" s="703" t="s">
        <v>334</v>
      </c>
      <c r="J2011" s="703" t="s">
        <v>337</v>
      </c>
      <c r="K2011" s="704">
        <v>0</v>
      </c>
      <c r="L2011" s="703" t="s">
        <v>334</v>
      </c>
      <c r="M2011" s="702">
        <v>43251</v>
      </c>
      <c r="N2011" s="702">
        <v>44516</v>
      </c>
      <c r="O2011" s="703" t="s">
        <v>338</v>
      </c>
      <c r="P2011" s="20">
        <v>122.75</v>
      </c>
      <c r="Q2011" s="20">
        <v>0</v>
      </c>
      <c r="R2011" s="20">
        <v>0</v>
      </c>
      <c r="S2011" s="20">
        <v>0</v>
      </c>
      <c r="T2011" s="20">
        <v>122.75</v>
      </c>
      <c r="U2011" s="20">
        <v>122.41</v>
      </c>
      <c r="V2011" s="20">
        <v>-0.34</v>
      </c>
      <c r="W2011" s="20">
        <v>-4.43</v>
      </c>
      <c r="X2011" s="20">
        <v>-4.09</v>
      </c>
      <c r="Y2011" s="20">
        <v>0</v>
      </c>
      <c r="Z2011" s="20">
        <v>0</v>
      </c>
      <c r="AA2011" s="20">
        <v>0</v>
      </c>
      <c r="AB2011" s="20">
        <v>118.32</v>
      </c>
      <c r="AC2011" t="s">
        <v>188</v>
      </c>
      <c r="AD2011" t="s">
        <v>290</v>
      </c>
      <c r="AE2011" s="702">
        <f t="shared" si="155"/>
        <v>44348</v>
      </c>
      <c r="AF2011" s="289">
        <v>140.94709566936854</v>
      </c>
      <c r="AG2011">
        <f t="shared" si="156"/>
        <v>360</v>
      </c>
      <c r="AH2011" s="289">
        <f t="shared" si="157"/>
        <v>0.39151971019269038</v>
      </c>
      <c r="AJ2011" s="289">
        <f t="shared" si="158"/>
        <v>18</v>
      </c>
      <c r="AK2011" s="289">
        <f t="shared" si="159"/>
        <v>7.0473547834684265</v>
      </c>
    </row>
    <row r="2012" spans="1:37">
      <c r="A2012" s="703" t="s">
        <v>3546</v>
      </c>
      <c r="B2012" s="703" t="s">
        <v>2849</v>
      </c>
      <c r="C2012" s="703" t="s">
        <v>390</v>
      </c>
      <c r="D2012" s="703" t="s">
        <v>334</v>
      </c>
      <c r="E2012" s="703" t="s">
        <v>334</v>
      </c>
      <c r="F2012" s="703" t="s">
        <v>335</v>
      </c>
      <c r="G2012" s="703" t="s">
        <v>3415</v>
      </c>
      <c r="H2012" s="703" t="s">
        <v>334</v>
      </c>
      <c r="I2012" s="703" t="s">
        <v>334</v>
      </c>
      <c r="J2012" s="703" t="s">
        <v>337</v>
      </c>
      <c r="K2012" s="704">
        <v>0</v>
      </c>
      <c r="L2012" s="703" t="s">
        <v>334</v>
      </c>
      <c r="M2012" s="702">
        <v>43251</v>
      </c>
      <c r="N2012" s="702">
        <v>44516</v>
      </c>
      <c r="O2012" s="703" t="s">
        <v>338</v>
      </c>
      <c r="P2012" s="20">
        <v>1026.02</v>
      </c>
      <c r="Q2012" s="20">
        <v>0</v>
      </c>
      <c r="R2012" s="20">
        <v>0</v>
      </c>
      <c r="S2012" s="20">
        <v>0</v>
      </c>
      <c r="T2012" s="20">
        <v>1026.02</v>
      </c>
      <c r="U2012" s="20">
        <v>1023.17</v>
      </c>
      <c r="V2012" s="20">
        <v>-2.85</v>
      </c>
      <c r="W2012" s="20">
        <v>-37.049999999999997</v>
      </c>
      <c r="X2012" s="20">
        <v>-34.200000000000003</v>
      </c>
      <c r="Y2012" s="20">
        <v>0</v>
      </c>
      <c r="Z2012" s="20">
        <v>0</v>
      </c>
      <c r="AA2012" s="20">
        <v>0</v>
      </c>
      <c r="AB2012" s="20">
        <v>988.97</v>
      </c>
      <c r="AC2012" t="s">
        <v>188</v>
      </c>
      <c r="AD2012" t="s">
        <v>290</v>
      </c>
      <c r="AE2012" s="702">
        <f t="shared" si="155"/>
        <v>44348</v>
      </c>
      <c r="AF2012" s="289">
        <v>1178.1225181155642</v>
      </c>
      <c r="AG2012">
        <f t="shared" si="156"/>
        <v>360</v>
      </c>
      <c r="AH2012" s="289">
        <f t="shared" si="157"/>
        <v>3.2725625503210116</v>
      </c>
      <c r="AJ2012" s="289">
        <f t="shared" si="158"/>
        <v>18</v>
      </c>
      <c r="AK2012" s="289">
        <f t="shared" si="159"/>
        <v>58.906125905778211</v>
      </c>
    </row>
    <row r="2013" spans="1:37">
      <c r="A2013" s="703" t="s">
        <v>3547</v>
      </c>
      <c r="B2013" s="703" t="s">
        <v>2849</v>
      </c>
      <c r="C2013" s="703" t="s">
        <v>390</v>
      </c>
      <c r="D2013" s="703" t="s">
        <v>334</v>
      </c>
      <c r="E2013" s="703" t="s">
        <v>334</v>
      </c>
      <c r="F2013" s="703" t="s">
        <v>335</v>
      </c>
      <c r="G2013" s="703" t="s">
        <v>3415</v>
      </c>
      <c r="H2013" s="703" t="s">
        <v>334</v>
      </c>
      <c r="I2013" s="703" t="s">
        <v>334</v>
      </c>
      <c r="J2013" s="703" t="s">
        <v>337</v>
      </c>
      <c r="K2013" s="704">
        <v>0</v>
      </c>
      <c r="L2013" s="703" t="s">
        <v>334</v>
      </c>
      <c r="M2013" s="702">
        <v>43251</v>
      </c>
      <c r="N2013" s="702">
        <v>44516</v>
      </c>
      <c r="O2013" s="703" t="s">
        <v>338</v>
      </c>
      <c r="P2013" s="20">
        <v>4.2</v>
      </c>
      <c r="Q2013" s="20">
        <v>0</v>
      </c>
      <c r="R2013" s="20">
        <v>0</v>
      </c>
      <c r="S2013" s="20">
        <v>0</v>
      </c>
      <c r="T2013" s="20">
        <v>4.2</v>
      </c>
      <c r="U2013" s="20">
        <v>4.1900000000000004</v>
      </c>
      <c r="V2013" s="20">
        <v>-0.01</v>
      </c>
      <c r="W2013" s="20">
        <v>-0.15</v>
      </c>
      <c r="X2013" s="20">
        <v>-0.14000000000000001</v>
      </c>
      <c r="Y2013" s="20">
        <v>0</v>
      </c>
      <c r="Z2013" s="20">
        <v>0</v>
      </c>
      <c r="AA2013" s="20">
        <v>0</v>
      </c>
      <c r="AB2013" s="20">
        <v>4.05</v>
      </c>
      <c r="AC2013" t="s">
        <v>188</v>
      </c>
      <c r="AD2013" t="s">
        <v>290</v>
      </c>
      <c r="AE2013" s="702">
        <f t="shared" si="155"/>
        <v>44348</v>
      </c>
      <c r="AF2013" s="289">
        <v>4.8226297499906146</v>
      </c>
      <c r="AG2013">
        <f t="shared" si="156"/>
        <v>360</v>
      </c>
      <c r="AH2013" s="289">
        <f t="shared" si="157"/>
        <v>1.3396193749973929E-2</v>
      </c>
      <c r="AJ2013" s="289">
        <f t="shared" si="158"/>
        <v>18</v>
      </c>
      <c r="AK2013" s="289">
        <f t="shared" si="159"/>
        <v>0.24113148749953073</v>
      </c>
    </row>
    <row r="2014" spans="1:37">
      <c r="A2014" s="703" t="s">
        <v>3548</v>
      </c>
      <c r="B2014" s="703" t="s">
        <v>2849</v>
      </c>
      <c r="C2014" s="703" t="s">
        <v>390</v>
      </c>
      <c r="D2014" s="703" t="s">
        <v>334</v>
      </c>
      <c r="E2014" s="703" t="s">
        <v>334</v>
      </c>
      <c r="F2014" s="703" t="s">
        <v>335</v>
      </c>
      <c r="G2014" s="703" t="s">
        <v>3415</v>
      </c>
      <c r="H2014" s="703" t="s">
        <v>334</v>
      </c>
      <c r="I2014" s="703" t="s">
        <v>334</v>
      </c>
      <c r="J2014" s="703" t="s">
        <v>337</v>
      </c>
      <c r="K2014" s="704">
        <v>0</v>
      </c>
      <c r="L2014" s="703" t="s">
        <v>334</v>
      </c>
      <c r="M2014" s="702">
        <v>43251</v>
      </c>
      <c r="N2014" s="702">
        <v>44516</v>
      </c>
      <c r="O2014" s="703" t="s">
        <v>338</v>
      </c>
      <c r="P2014" s="20">
        <v>9.49</v>
      </c>
      <c r="Q2014" s="20">
        <v>0</v>
      </c>
      <c r="R2014" s="20">
        <v>0</v>
      </c>
      <c r="S2014" s="20">
        <v>0</v>
      </c>
      <c r="T2014" s="20">
        <v>9.49</v>
      </c>
      <c r="U2014" s="20">
        <v>9.4600000000000009</v>
      </c>
      <c r="V2014" s="20">
        <v>-0.03</v>
      </c>
      <c r="W2014" s="20">
        <v>-0.35</v>
      </c>
      <c r="X2014" s="20">
        <v>-0.32</v>
      </c>
      <c r="Y2014" s="20">
        <v>0</v>
      </c>
      <c r="Z2014" s="20">
        <v>0</v>
      </c>
      <c r="AA2014" s="20">
        <v>0</v>
      </c>
      <c r="AB2014" s="20">
        <v>9.14</v>
      </c>
      <c r="AC2014" t="s">
        <v>188</v>
      </c>
      <c r="AD2014" t="s">
        <v>290</v>
      </c>
      <c r="AE2014" s="702">
        <f t="shared" si="155"/>
        <v>44348</v>
      </c>
      <c r="AF2014" s="289">
        <v>10.89684674462165</v>
      </c>
      <c r="AG2014">
        <f t="shared" si="156"/>
        <v>360</v>
      </c>
      <c r="AH2014" s="289">
        <f t="shared" si="157"/>
        <v>3.0269018735060139E-2</v>
      </c>
      <c r="AJ2014" s="289">
        <f t="shared" si="158"/>
        <v>18</v>
      </c>
      <c r="AK2014" s="289">
        <f t="shared" si="159"/>
        <v>0.54484233723108255</v>
      </c>
    </row>
    <row r="2015" spans="1:37">
      <c r="A2015" s="703" t="s">
        <v>3549</v>
      </c>
      <c r="B2015" s="703" t="s">
        <v>2849</v>
      </c>
      <c r="C2015" s="703" t="s">
        <v>390</v>
      </c>
      <c r="D2015" s="703" t="s">
        <v>334</v>
      </c>
      <c r="E2015" s="703" t="s">
        <v>334</v>
      </c>
      <c r="F2015" s="703" t="s">
        <v>335</v>
      </c>
      <c r="G2015" s="703" t="s">
        <v>3415</v>
      </c>
      <c r="H2015" s="703" t="s">
        <v>334</v>
      </c>
      <c r="I2015" s="703" t="s">
        <v>334</v>
      </c>
      <c r="J2015" s="703" t="s">
        <v>337</v>
      </c>
      <c r="K2015" s="704">
        <v>0</v>
      </c>
      <c r="L2015" s="703" t="s">
        <v>334</v>
      </c>
      <c r="M2015" s="702">
        <v>43251</v>
      </c>
      <c r="N2015" s="702">
        <v>44516</v>
      </c>
      <c r="O2015" s="703" t="s">
        <v>338</v>
      </c>
      <c r="P2015" s="20">
        <v>135.52000000000001</v>
      </c>
      <c r="Q2015" s="20">
        <v>0</v>
      </c>
      <c r="R2015" s="20">
        <v>0</v>
      </c>
      <c r="S2015" s="20">
        <v>0</v>
      </c>
      <c r="T2015" s="20">
        <v>135.52000000000001</v>
      </c>
      <c r="U2015" s="20">
        <v>135.13999999999999</v>
      </c>
      <c r="V2015" s="20">
        <v>-0.38</v>
      </c>
      <c r="W2015" s="20">
        <v>-4.9000000000000004</v>
      </c>
      <c r="X2015" s="20">
        <v>-4.5199999999999996</v>
      </c>
      <c r="Y2015" s="20">
        <v>0</v>
      </c>
      <c r="Z2015" s="20">
        <v>0</v>
      </c>
      <c r="AA2015" s="20">
        <v>0</v>
      </c>
      <c r="AB2015" s="20">
        <v>130.62</v>
      </c>
      <c r="AC2015" t="s">
        <v>188</v>
      </c>
      <c r="AD2015" t="s">
        <v>290</v>
      </c>
      <c r="AE2015" s="702">
        <f t="shared" si="155"/>
        <v>44348</v>
      </c>
      <c r="AF2015" s="289">
        <v>155.61018659969713</v>
      </c>
      <c r="AG2015">
        <f t="shared" si="156"/>
        <v>360</v>
      </c>
      <c r="AH2015" s="289">
        <f t="shared" si="157"/>
        <v>0.43225051833249201</v>
      </c>
      <c r="AJ2015" s="289">
        <f t="shared" si="158"/>
        <v>18</v>
      </c>
      <c r="AK2015" s="289">
        <f t="shared" si="159"/>
        <v>7.7805093299848558</v>
      </c>
    </row>
    <row r="2016" spans="1:37">
      <c r="A2016" s="703" t="s">
        <v>3550</v>
      </c>
      <c r="B2016" s="703" t="s">
        <v>2849</v>
      </c>
      <c r="C2016" s="703" t="s">
        <v>390</v>
      </c>
      <c r="D2016" s="703" t="s">
        <v>334</v>
      </c>
      <c r="E2016" s="703" t="s">
        <v>334</v>
      </c>
      <c r="F2016" s="703" t="s">
        <v>335</v>
      </c>
      <c r="G2016" s="703" t="s">
        <v>3415</v>
      </c>
      <c r="H2016" s="703" t="s">
        <v>334</v>
      </c>
      <c r="I2016" s="703" t="s">
        <v>334</v>
      </c>
      <c r="J2016" s="703" t="s">
        <v>337</v>
      </c>
      <c r="K2016" s="704">
        <v>0</v>
      </c>
      <c r="L2016" s="703" t="s">
        <v>334</v>
      </c>
      <c r="M2016" s="702">
        <v>43251</v>
      </c>
      <c r="N2016" s="702">
        <v>44516</v>
      </c>
      <c r="O2016" s="703" t="s">
        <v>338</v>
      </c>
      <c r="P2016" s="20">
        <v>39.159999999999997</v>
      </c>
      <c r="Q2016" s="20">
        <v>0</v>
      </c>
      <c r="R2016" s="20">
        <v>0</v>
      </c>
      <c r="S2016" s="20">
        <v>0</v>
      </c>
      <c r="T2016" s="20">
        <v>39.159999999999997</v>
      </c>
      <c r="U2016" s="20">
        <v>39.049999999999997</v>
      </c>
      <c r="V2016" s="20">
        <v>-0.11</v>
      </c>
      <c r="W2016" s="20">
        <v>-1.42</v>
      </c>
      <c r="X2016" s="20">
        <v>-1.31</v>
      </c>
      <c r="Y2016" s="20">
        <v>0</v>
      </c>
      <c r="Z2016" s="20">
        <v>0</v>
      </c>
      <c r="AA2016" s="20">
        <v>0</v>
      </c>
      <c r="AB2016" s="20">
        <v>37.74</v>
      </c>
      <c r="AC2016" t="s">
        <v>188</v>
      </c>
      <c r="AD2016" t="s">
        <v>290</v>
      </c>
      <c r="AE2016" s="702">
        <f t="shared" si="155"/>
        <v>44348</v>
      </c>
      <c r="AF2016" s="289">
        <v>44.965281192769623</v>
      </c>
      <c r="AG2016">
        <f t="shared" si="156"/>
        <v>360</v>
      </c>
      <c r="AH2016" s="289">
        <f t="shared" si="157"/>
        <v>0.12490355886880451</v>
      </c>
      <c r="AJ2016" s="289">
        <f t="shared" si="158"/>
        <v>18</v>
      </c>
      <c r="AK2016" s="289">
        <f t="shared" si="159"/>
        <v>2.2482640596384811</v>
      </c>
    </row>
    <row r="2017" spans="1:37">
      <c r="A2017" s="703" t="s">
        <v>3551</v>
      </c>
      <c r="B2017" s="703" t="s">
        <v>2849</v>
      </c>
      <c r="C2017" s="703" t="s">
        <v>390</v>
      </c>
      <c r="D2017" s="703" t="s">
        <v>334</v>
      </c>
      <c r="E2017" s="703" t="s">
        <v>334</v>
      </c>
      <c r="F2017" s="703" t="s">
        <v>335</v>
      </c>
      <c r="G2017" s="703" t="s">
        <v>3415</v>
      </c>
      <c r="H2017" s="703" t="s">
        <v>334</v>
      </c>
      <c r="I2017" s="703" t="s">
        <v>334</v>
      </c>
      <c r="J2017" s="703" t="s">
        <v>337</v>
      </c>
      <c r="K2017" s="704">
        <v>0</v>
      </c>
      <c r="L2017" s="703" t="s">
        <v>334</v>
      </c>
      <c r="M2017" s="702">
        <v>43251</v>
      </c>
      <c r="N2017" s="702">
        <v>44516</v>
      </c>
      <c r="O2017" s="703" t="s">
        <v>338</v>
      </c>
      <c r="P2017" s="20">
        <v>19.89</v>
      </c>
      <c r="Q2017" s="20">
        <v>0</v>
      </c>
      <c r="R2017" s="20">
        <v>0</v>
      </c>
      <c r="S2017" s="20">
        <v>0</v>
      </c>
      <c r="T2017" s="20">
        <v>19.89</v>
      </c>
      <c r="U2017" s="20">
        <v>19.829999999999998</v>
      </c>
      <c r="V2017" s="20">
        <v>-0.06</v>
      </c>
      <c r="W2017" s="20">
        <v>-0.72</v>
      </c>
      <c r="X2017" s="20">
        <v>-0.66</v>
      </c>
      <c r="Y2017" s="20">
        <v>0</v>
      </c>
      <c r="Z2017" s="20">
        <v>0</v>
      </c>
      <c r="AA2017" s="20">
        <v>0</v>
      </c>
      <c r="AB2017" s="20">
        <v>19.170000000000002</v>
      </c>
      <c r="AC2017" t="s">
        <v>188</v>
      </c>
      <c r="AD2017" t="s">
        <v>290</v>
      </c>
      <c r="AE2017" s="702">
        <f t="shared" si="155"/>
        <v>44348</v>
      </c>
      <c r="AF2017" s="289">
        <v>22.838596601741262</v>
      </c>
      <c r="AG2017">
        <f t="shared" si="156"/>
        <v>360</v>
      </c>
      <c r="AH2017" s="289">
        <f t="shared" si="157"/>
        <v>6.3440546115947946E-2</v>
      </c>
      <c r="AJ2017" s="289">
        <f t="shared" si="158"/>
        <v>18</v>
      </c>
      <c r="AK2017" s="289">
        <f t="shared" si="159"/>
        <v>1.1419298300870631</v>
      </c>
    </row>
    <row r="2018" spans="1:37">
      <c r="A2018" s="703" t="s">
        <v>3552</v>
      </c>
      <c r="B2018" s="703" t="s">
        <v>2849</v>
      </c>
      <c r="C2018" s="703" t="s">
        <v>390</v>
      </c>
      <c r="D2018" s="703" t="s">
        <v>334</v>
      </c>
      <c r="E2018" s="703" t="s">
        <v>334</v>
      </c>
      <c r="F2018" s="703" t="s">
        <v>335</v>
      </c>
      <c r="G2018" s="703" t="s">
        <v>3415</v>
      </c>
      <c r="H2018" s="703" t="s">
        <v>334</v>
      </c>
      <c r="I2018" s="703" t="s">
        <v>334</v>
      </c>
      <c r="J2018" s="703" t="s">
        <v>337</v>
      </c>
      <c r="K2018" s="704">
        <v>0</v>
      </c>
      <c r="L2018" s="703" t="s">
        <v>334</v>
      </c>
      <c r="M2018" s="702">
        <v>43251</v>
      </c>
      <c r="N2018" s="702">
        <v>44516</v>
      </c>
      <c r="O2018" s="703" t="s">
        <v>338</v>
      </c>
      <c r="P2018" s="20">
        <v>13.99</v>
      </c>
      <c r="Q2018" s="20">
        <v>0</v>
      </c>
      <c r="R2018" s="20">
        <v>0</v>
      </c>
      <c r="S2018" s="20">
        <v>0</v>
      </c>
      <c r="T2018" s="20">
        <v>13.99</v>
      </c>
      <c r="U2018" s="20">
        <v>13.95</v>
      </c>
      <c r="V2018" s="20">
        <v>-0.04</v>
      </c>
      <c r="W2018" s="20">
        <v>-0.51</v>
      </c>
      <c r="X2018" s="20">
        <v>-0.47</v>
      </c>
      <c r="Y2018" s="20">
        <v>0</v>
      </c>
      <c r="Z2018" s="20">
        <v>0</v>
      </c>
      <c r="AA2018" s="20">
        <v>0</v>
      </c>
      <c r="AB2018" s="20">
        <v>13.48</v>
      </c>
      <c r="AC2018" t="s">
        <v>188</v>
      </c>
      <c r="AD2018" t="s">
        <v>290</v>
      </c>
      <c r="AE2018" s="702">
        <f t="shared" si="155"/>
        <v>44348</v>
      </c>
      <c r="AF2018" s="289">
        <v>16.06395004818302</v>
      </c>
      <c r="AG2018">
        <f t="shared" si="156"/>
        <v>360</v>
      </c>
      <c r="AH2018" s="289">
        <f t="shared" si="157"/>
        <v>4.4622083467175055E-2</v>
      </c>
      <c r="AJ2018" s="289">
        <f t="shared" si="158"/>
        <v>18</v>
      </c>
      <c r="AK2018" s="289">
        <f t="shared" si="159"/>
        <v>0.803197502409151</v>
      </c>
    </row>
    <row r="2019" spans="1:37">
      <c r="A2019" s="703" t="s">
        <v>3553</v>
      </c>
      <c r="B2019" s="703" t="s">
        <v>2849</v>
      </c>
      <c r="C2019" s="703" t="s">
        <v>390</v>
      </c>
      <c r="D2019" s="703" t="s">
        <v>334</v>
      </c>
      <c r="E2019" s="703" t="s">
        <v>334</v>
      </c>
      <c r="F2019" s="703" t="s">
        <v>335</v>
      </c>
      <c r="G2019" s="703" t="s">
        <v>3415</v>
      </c>
      <c r="H2019" s="703" t="s">
        <v>334</v>
      </c>
      <c r="I2019" s="703" t="s">
        <v>334</v>
      </c>
      <c r="J2019" s="703" t="s">
        <v>337</v>
      </c>
      <c r="K2019" s="704">
        <v>0</v>
      </c>
      <c r="L2019" s="703" t="s">
        <v>334</v>
      </c>
      <c r="M2019" s="702">
        <v>43251</v>
      </c>
      <c r="N2019" s="702">
        <v>44516</v>
      </c>
      <c r="O2019" s="703" t="s">
        <v>338</v>
      </c>
      <c r="P2019" s="20">
        <v>5.23</v>
      </c>
      <c r="Q2019" s="20">
        <v>0</v>
      </c>
      <c r="R2019" s="20">
        <v>0</v>
      </c>
      <c r="S2019" s="20">
        <v>0</v>
      </c>
      <c r="T2019" s="20">
        <v>5.23</v>
      </c>
      <c r="U2019" s="20">
        <v>5.22</v>
      </c>
      <c r="V2019" s="20">
        <v>-0.01</v>
      </c>
      <c r="W2019" s="20">
        <v>-0.18</v>
      </c>
      <c r="X2019" s="20">
        <v>-0.17</v>
      </c>
      <c r="Y2019" s="20">
        <v>0</v>
      </c>
      <c r="Z2019" s="20">
        <v>0</v>
      </c>
      <c r="AA2019" s="20">
        <v>0</v>
      </c>
      <c r="AB2019" s="20">
        <v>5.05</v>
      </c>
      <c r="AC2019" t="s">
        <v>188</v>
      </c>
      <c r="AD2019" t="s">
        <v>290</v>
      </c>
      <c r="AE2019" s="702">
        <f t="shared" si="155"/>
        <v>44348</v>
      </c>
      <c r="AF2019" s="289">
        <v>6.0053222839168834</v>
      </c>
      <c r="AG2019">
        <f t="shared" si="156"/>
        <v>360</v>
      </c>
      <c r="AH2019" s="289">
        <f t="shared" si="157"/>
        <v>1.6681450788658011E-2</v>
      </c>
      <c r="AJ2019" s="289">
        <f t="shared" si="158"/>
        <v>18</v>
      </c>
      <c r="AK2019" s="289">
        <f t="shared" si="159"/>
        <v>0.3002661141958442</v>
      </c>
    </row>
    <row r="2020" spans="1:37">
      <c r="A2020" s="703" t="s">
        <v>3554</v>
      </c>
      <c r="B2020" s="703" t="s">
        <v>2849</v>
      </c>
      <c r="C2020" s="703" t="s">
        <v>390</v>
      </c>
      <c r="D2020" s="703" t="s">
        <v>334</v>
      </c>
      <c r="E2020" s="703" t="s">
        <v>334</v>
      </c>
      <c r="F2020" s="703" t="s">
        <v>335</v>
      </c>
      <c r="G2020" s="703" t="s">
        <v>3415</v>
      </c>
      <c r="H2020" s="703" t="s">
        <v>334</v>
      </c>
      <c r="I2020" s="703" t="s">
        <v>334</v>
      </c>
      <c r="J2020" s="703" t="s">
        <v>337</v>
      </c>
      <c r="K2020" s="704">
        <v>0</v>
      </c>
      <c r="L2020" s="703" t="s">
        <v>334</v>
      </c>
      <c r="M2020" s="702">
        <v>43251</v>
      </c>
      <c r="N2020" s="702">
        <v>44516</v>
      </c>
      <c r="O2020" s="703" t="s">
        <v>338</v>
      </c>
      <c r="P2020" s="20">
        <v>25.77</v>
      </c>
      <c r="Q2020" s="20">
        <v>0</v>
      </c>
      <c r="R2020" s="20">
        <v>0</v>
      </c>
      <c r="S2020" s="20">
        <v>0</v>
      </c>
      <c r="T2020" s="20">
        <v>25.77</v>
      </c>
      <c r="U2020" s="20">
        <v>25.7</v>
      </c>
      <c r="V2020" s="20">
        <v>-7.0000000000000007E-2</v>
      </c>
      <c r="W2020" s="20">
        <v>-0.93</v>
      </c>
      <c r="X2020" s="20">
        <v>-0.86</v>
      </c>
      <c r="Y2020" s="20">
        <v>0</v>
      </c>
      <c r="Z2020" s="20">
        <v>0</v>
      </c>
      <c r="AA2020" s="20">
        <v>0</v>
      </c>
      <c r="AB2020" s="20">
        <v>24.84</v>
      </c>
      <c r="AC2020" t="s">
        <v>188</v>
      </c>
      <c r="AD2020" t="s">
        <v>290</v>
      </c>
      <c r="AE2020" s="702">
        <f t="shared" si="155"/>
        <v>44348</v>
      </c>
      <c r="AF2020" s="289">
        <v>29.590278251728122</v>
      </c>
      <c r="AG2020">
        <f t="shared" si="156"/>
        <v>360</v>
      </c>
      <c r="AH2020" s="289">
        <f t="shared" si="157"/>
        <v>8.2195217365911455E-2</v>
      </c>
      <c r="AJ2020" s="289">
        <f t="shared" si="158"/>
        <v>18</v>
      </c>
      <c r="AK2020" s="289">
        <f t="shared" si="159"/>
        <v>1.4795139125864063</v>
      </c>
    </row>
    <row r="2021" spans="1:37">
      <c r="A2021" s="703" t="s">
        <v>3555</v>
      </c>
      <c r="B2021" s="703" t="s">
        <v>2849</v>
      </c>
      <c r="C2021" s="703" t="s">
        <v>390</v>
      </c>
      <c r="D2021" s="703" t="s">
        <v>334</v>
      </c>
      <c r="E2021" s="703" t="s">
        <v>334</v>
      </c>
      <c r="F2021" s="703" t="s">
        <v>335</v>
      </c>
      <c r="G2021" s="703" t="s">
        <v>3415</v>
      </c>
      <c r="H2021" s="703" t="s">
        <v>334</v>
      </c>
      <c r="I2021" s="703" t="s">
        <v>334</v>
      </c>
      <c r="J2021" s="703" t="s">
        <v>337</v>
      </c>
      <c r="K2021" s="704">
        <v>0</v>
      </c>
      <c r="L2021" s="703" t="s">
        <v>334</v>
      </c>
      <c r="M2021" s="702">
        <v>43251</v>
      </c>
      <c r="N2021" s="702">
        <v>44516</v>
      </c>
      <c r="O2021" s="703" t="s">
        <v>338</v>
      </c>
      <c r="P2021" s="20">
        <v>37.049999999999997</v>
      </c>
      <c r="Q2021" s="20">
        <v>0</v>
      </c>
      <c r="R2021" s="20">
        <v>0</v>
      </c>
      <c r="S2021" s="20">
        <v>0</v>
      </c>
      <c r="T2021" s="20">
        <v>37.049999999999997</v>
      </c>
      <c r="U2021" s="20">
        <v>36.950000000000003</v>
      </c>
      <c r="V2021" s="20">
        <v>-0.1</v>
      </c>
      <c r="W2021" s="20">
        <v>-1.34</v>
      </c>
      <c r="X2021" s="20">
        <v>-1.24</v>
      </c>
      <c r="Y2021" s="20">
        <v>0</v>
      </c>
      <c r="Z2021" s="20">
        <v>0</v>
      </c>
      <c r="AA2021" s="20">
        <v>0</v>
      </c>
      <c r="AB2021" s="20">
        <v>35.71</v>
      </c>
      <c r="AC2021" t="s">
        <v>188</v>
      </c>
      <c r="AD2021" t="s">
        <v>290</v>
      </c>
      <c r="AE2021" s="702">
        <f t="shared" si="155"/>
        <v>44348</v>
      </c>
      <c r="AF2021" s="289">
        <v>42.542483865988629</v>
      </c>
      <c r="AG2021">
        <f t="shared" si="156"/>
        <v>360</v>
      </c>
      <c r="AH2021" s="289">
        <f t="shared" si="157"/>
        <v>0.11817356629441286</v>
      </c>
      <c r="AJ2021" s="289">
        <f t="shared" si="158"/>
        <v>18</v>
      </c>
      <c r="AK2021" s="289">
        <f t="shared" si="159"/>
        <v>2.1271241932994314</v>
      </c>
    </row>
    <row r="2022" spans="1:37">
      <c r="A2022" s="703" t="s">
        <v>3556</v>
      </c>
      <c r="B2022" s="703" t="s">
        <v>2849</v>
      </c>
      <c r="C2022" s="703" t="s">
        <v>390</v>
      </c>
      <c r="D2022" s="703" t="s">
        <v>334</v>
      </c>
      <c r="E2022" s="703" t="s">
        <v>334</v>
      </c>
      <c r="F2022" s="703" t="s">
        <v>335</v>
      </c>
      <c r="G2022" s="703" t="s">
        <v>3415</v>
      </c>
      <c r="H2022" s="703" t="s">
        <v>334</v>
      </c>
      <c r="I2022" s="703" t="s">
        <v>334</v>
      </c>
      <c r="J2022" s="703" t="s">
        <v>337</v>
      </c>
      <c r="K2022" s="704">
        <v>0</v>
      </c>
      <c r="L2022" s="703" t="s">
        <v>334</v>
      </c>
      <c r="M2022" s="702">
        <v>43251</v>
      </c>
      <c r="N2022" s="702">
        <v>44516</v>
      </c>
      <c r="O2022" s="703" t="s">
        <v>338</v>
      </c>
      <c r="P2022" s="20">
        <v>151.65</v>
      </c>
      <c r="Q2022" s="20">
        <v>0</v>
      </c>
      <c r="R2022" s="20">
        <v>0</v>
      </c>
      <c r="S2022" s="20">
        <v>0</v>
      </c>
      <c r="T2022" s="20">
        <v>151.65</v>
      </c>
      <c r="U2022" s="20">
        <v>151.22999999999999</v>
      </c>
      <c r="V2022" s="20">
        <v>-0.42</v>
      </c>
      <c r="W2022" s="20">
        <v>-5.48</v>
      </c>
      <c r="X2022" s="20">
        <v>-5.0599999999999996</v>
      </c>
      <c r="Y2022" s="20">
        <v>0</v>
      </c>
      <c r="Z2022" s="20">
        <v>0</v>
      </c>
      <c r="AA2022" s="20">
        <v>0</v>
      </c>
      <c r="AB2022" s="20">
        <v>146.16999999999999</v>
      </c>
      <c r="AC2022" t="s">
        <v>188</v>
      </c>
      <c r="AD2022" t="s">
        <v>290</v>
      </c>
      <c r="AE2022" s="702">
        <f t="shared" si="155"/>
        <v>44348</v>
      </c>
      <c r="AF2022" s="289">
        <v>174.13138133001826</v>
      </c>
      <c r="AG2022">
        <f t="shared" si="156"/>
        <v>360</v>
      </c>
      <c r="AH2022" s="289">
        <f t="shared" si="157"/>
        <v>0.48369828147227295</v>
      </c>
      <c r="AJ2022" s="289">
        <f t="shared" si="158"/>
        <v>18</v>
      </c>
      <c r="AK2022" s="289">
        <f t="shared" si="159"/>
        <v>8.7065690665009132</v>
      </c>
    </row>
    <row r="2023" spans="1:37">
      <c r="A2023" s="703" t="s">
        <v>3557</v>
      </c>
      <c r="B2023" s="703" t="s">
        <v>2849</v>
      </c>
      <c r="C2023" s="703" t="s">
        <v>390</v>
      </c>
      <c r="D2023" s="703" t="s">
        <v>334</v>
      </c>
      <c r="E2023" s="703" t="s">
        <v>334</v>
      </c>
      <c r="F2023" s="703" t="s">
        <v>335</v>
      </c>
      <c r="G2023" s="703" t="s">
        <v>3415</v>
      </c>
      <c r="H2023" s="703" t="s">
        <v>334</v>
      </c>
      <c r="I2023" s="703" t="s">
        <v>334</v>
      </c>
      <c r="J2023" s="703" t="s">
        <v>337</v>
      </c>
      <c r="K2023" s="704">
        <v>0</v>
      </c>
      <c r="L2023" s="703" t="s">
        <v>334</v>
      </c>
      <c r="M2023" s="702">
        <v>43251</v>
      </c>
      <c r="N2023" s="702">
        <v>44516</v>
      </c>
      <c r="O2023" s="703" t="s">
        <v>338</v>
      </c>
      <c r="P2023" s="20">
        <v>32.299999999999997</v>
      </c>
      <c r="Q2023" s="20">
        <v>0</v>
      </c>
      <c r="R2023" s="20">
        <v>0</v>
      </c>
      <c r="S2023" s="20">
        <v>0</v>
      </c>
      <c r="T2023" s="20">
        <v>32.299999999999997</v>
      </c>
      <c r="U2023" s="20">
        <v>32.21</v>
      </c>
      <c r="V2023" s="20">
        <v>-0.09</v>
      </c>
      <c r="W2023" s="20">
        <v>-1.17</v>
      </c>
      <c r="X2023" s="20">
        <v>-1.08</v>
      </c>
      <c r="Y2023" s="20">
        <v>0</v>
      </c>
      <c r="Z2023" s="20">
        <v>0</v>
      </c>
      <c r="AA2023" s="20">
        <v>0</v>
      </c>
      <c r="AB2023" s="20">
        <v>31.13</v>
      </c>
      <c r="AC2023" t="s">
        <v>188</v>
      </c>
      <c r="AD2023" t="s">
        <v>290</v>
      </c>
      <c r="AE2023" s="702">
        <f t="shared" si="155"/>
        <v>44348</v>
      </c>
      <c r="AF2023" s="289">
        <v>37.088319267784954</v>
      </c>
      <c r="AG2023">
        <f t="shared" si="156"/>
        <v>360</v>
      </c>
      <c r="AH2023" s="289">
        <f t="shared" si="157"/>
        <v>0.10302310907718043</v>
      </c>
      <c r="AJ2023" s="289">
        <f t="shared" si="158"/>
        <v>18</v>
      </c>
      <c r="AK2023" s="289">
        <f t="shared" si="159"/>
        <v>1.8544159633892479</v>
      </c>
    </row>
    <row r="2024" spans="1:37">
      <c r="A2024" s="703" t="s">
        <v>3558</v>
      </c>
      <c r="B2024" s="703" t="s">
        <v>2849</v>
      </c>
      <c r="C2024" s="703" t="s">
        <v>390</v>
      </c>
      <c r="D2024" s="703" t="s">
        <v>334</v>
      </c>
      <c r="E2024" s="703" t="s">
        <v>334</v>
      </c>
      <c r="F2024" s="703" t="s">
        <v>335</v>
      </c>
      <c r="G2024" s="703" t="s">
        <v>3415</v>
      </c>
      <c r="H2024" s="703" t="s">
        <v>334</v>
      </c>
      <c r="I2024" s="703" t="s">
        <v>334</v>
      </c>
      <c r="J2024" s="703" t="s">
        <v>337</v>
      </c>
      <c r="K2024" s="704">
        <v>0</v>
      </c>
      <c r="L2024" s="703" t="s">
        <v>334</v>
      </c>
      <c r="M2024" s="702">
        <v>43251</v>
      </c>
      <c r="N2024" s="702">
        <v>44516</v>
      </c>
      <c r="O2024" s="703" t="s">
        <v>338</v>
      </c>
      <c r="P2024" s="20">
        <v>87.22</v>
      </c>
      <c r="Q2024" s="20">
        <v>0</v>
      </c>
      <c r="R2024" s="20">
        <v>0</v>
      </c>
      <c r="S2024" s="20">
        <v>0</v>
      </c>
      <c r="T2024" s="20">
        <v>87.22</v>
      </c>
      <c r="U2024" s="20">
        <v>86.98</v>
      </c>
      <c r="V2024" s="20">
        <v>-0.24</v>
      </c>
      <c r="W2024" s="20">
        <v>-3.15</v>
      </c>
      <c r="X2024" s="20">
        <v>-2.91</v>
      </c>
      <c r="Y2024" s="20">
        <v>0</v>
      </c>
      <c r="Z2024" s="20">
        <v>0</v>
      </c>
      <c r="AA2024" s="20">
        <v>0</v>
      </c>
      <c r="AB2024" s="20">
        <v>84.07</v>
      </c>
      <c r="AC2024" t="s">
        <v>188</v>
      </c>
      <c r="AD2024" t="s">
        <v>290</v>
      </c>
      <c r="AE2024" s="702">
        <f t="shared" si="155"/>
        <v>44348</v>
      </c>
      <c r="AF2024" s="289">
        <v>100.14994447480507</v>
      </c>
      <c r="AG2024">
        <f t="shared" si="156"/>
        <v>360</v>
      </c>
      <c r="AH2024" s="289">
        <f t="shared" si="157"/>
        <v>0.27819429020779185</v>
      </c>
      <c r="AJ2024" s="289">
        <f t="shared" si="158"/>
        <v>18</v>
      </c>
      <c r="AK2024" s="289">
        <f t="shared" si="159"/>
        <v>5.0074972237402537</v>
      </c>
    </row>
    <row r="2025" spans="1:37">
      <c r="A2025" s="703" t="s">
        <v>3559</v>
      </c>
      <c r="B2025" s="703" t="s">
        <v>2849</v>
      </c>
      <c r="C2025" s="703" t="s">
        <v>390</v>
      </c>
      <c r="D2025" s="703" t="s">
        <v>334</v>
      </c>
      <c r="E2025" s="703" t="s">
        <v>334</v>
      </c>
      <c r="F2025" s="703" t="s">
        <v>335</v>
      </c>
      <c r="G2025" s="703" t="s">
        <v>3415</v>
      </c>
      <c r="H2025" s="703" t="s">
        <v>334</v>
      </c>
      <c r="I2025" s="703" t="s">
        <v>334</v>
      </c>
      <c r="J2025" s="703" t="s">
        <v>337</v>
      </c>
      <c r="K2025" s="704">
        <v>0</v>
      </c>
      <c r="L2025" s="703" t="s">
        <v>334</v>
      </c>
      <c r="M2025" s="702">
        <v>43251</v>
      </c>
      <c r="N2025" s="702">
        <v>44516</v>
      </c>
      <c r="O2025" s="703" t="s">
        <v>338</v>
      </c>
      <c r="P2025" s="20">
        <v>51.74</v>
      </c>
      <c r="Q2025" s="20">
        <v>0</v>
      </c>
      <c r="R2025" s="20">
        <v>0</v>
      </c>
      <c r="S2025" s="20">
        <v>0</v>
      </c>
      <c r="T2025" s="20">
        <v>51.74</v>
      </c>
      <c r="U2025" s="20">
        <v>51.6</v>
      </c>
      <c r="V2025" s="20">
        <v>-0.14000000000000001</v>
      </c>
      <c r="W2025" s="20">
        <v>-1.86</v>
      </c>
      <c r="X2025" s="20">
        <v>-1.72</v>
      </c>
      <c r="Y2025" s="20">
        <v>0</v>
      </c>
      <c r="Z2025" s="20">
        <v>0</v>
      </c>
      <c r="AA2025" s="20">
        <v>0</v>
      </c>
      <c r="AB2025" s="20">
        <v>49.88</v>
      </c>
      <c r="AC2025" t="s">
        <v>188</v>
      </c>
      <c r="AD2025" t="s">
        <v>290</v>
      </c>
      <c r="AE2025" s="702">
        <f t="shared" si="155"/>
        <v>44348</v>
      </c>
      <c r="AF2025" s="289">
        <v>59.410205539170086</v>
      </c>
      <c r="AG2025">
        <f t="shared" si="156"/>
        <v>360</v>
      </c>
      <c r="AH2025" s="289">
        <f t="shared" si="157"/>
        <v>0.1650283487199169</v>
      </c>
      <c r="AJ2025" s="289">
        <f t="shared" si="158"/>
        <v>18</v>
      </c>
      <c r="AK2025" s="289">
        <f t="shared" si="159"/>
        <v>2.9705102769585041</v>
      </c>
    </row>
    <row r="2026" spans="1:37">
      <c r="A2026" s="703" t="s">
        <v>3560</v>
      </c>
      <c r="B2026" s="703" t="s">
        <v>2849</v>
      </c>
      <c r="C2026" s="703" t="s">
        <v>390</v>
      </c>
      <c r="D2026" s="703" t="s">
        <v>334</v>
      </c>
      <c r="E2026" s="703" t="s">
        <v>334</v>
      </c>
      <c r="F2026" s="703" t="s">
        <v>335</v>
      </c>
      <c r="G2026" s="703" t="s">
        <v>3415</v>
      </c>
      <c r="H2026" s="703" t="s">
        <v>334</v>
      </c>
      <c r="I2026" s="703" t="s">
        <v>334</v>
      </c>
      <c r="J2026" s="703" t="s">
        <v>337</v>
      </c>
      <c r="K2026" s="704">
        <v>0</v>
      </c>
      <c r="L2026" s="703" t="s">
        <v>334</v>
      </c>
      <c r="M2026" s="702">
        <v>43251</v>
      </c>
      <c r="N2026" s="702">
        <v>44516</v>
      </c>
      <c r="O2026" s="703" t="s">
        <v>338</v>
      </c>
      <c r="P2026" s="20">
        <v>66.36</v>
      </c>
      <c r="Q2026" s="20">
        <v>0</v>
      </c>
      <c r="R2026" s="20">
        <v>0</v>
      </c>
      <c r="S2026" s="20">
        <v>0</v>
      </c>
      <c r="T2026" s="20">
        <v>66.36</v>
      </c>
      <c r="U2026" s="20">
        <v>66.180000000000007</v>
      </c>
      <c r="V2026" s="20">
        <v>-0.18</v>
      </c>
      <c r="W2026" s="20">
        <v>-2.39</v>
      </c>
      <c r="X2026" s="20">
        <v>-2.21</v>
      </c>
      <c r="Y2026" s="20">
        <v>0</v>
      </c>
      <c r="Z2026" s="20">
        <v>0</v>
      </c>
      <c r="AA2026" s="20">
        <v>0</v>
      </c>
      <c r="AB2026" s="20">
        <v>63.97</v>
      </c>
      <c r="AC2026" t="s">
        <v>188</v>
      </c>
      <c r="AD2026" t="s">
        <v>290</v>
      </c>
      <c r="AE2026" s="702">
        <f t="shared" si="155"/>
        <v>44348</v>
      </c>
      <c r="AF2026" s="289">
        <v>76.197550049851699</v>
      </c>
      <c r="AG2026">
        <f t="shared" si="156"/>
        <v>360</v>
      </c>
      <c r="AH2026" s="289">
        <f t="shared" si="157"/>
        <v>0.21165986124958805</v>
      </c>
      <c r="AJ2026" s="289">
        <f t="shared" si="158"/>
        <v>18</v>
      </c>
      <c r="AK2026" s="289">
        <f t="shared" si="159"/>
        <v>3.8098775024925851</v>
      </c>
    </row>
    <row r="2027" spans="1:37">
      <c r="A2027" s="703" t="s">
        <v>3561</v>
      </c>
      <c r="B2027" s="703" t="s">
        <v>2849</v>
      </c>
      <c r="C2027" s="703" t="s">
        <v>390</v>
      </c>
      <c r="D2027" s="703" t="s">
        <v>334</v>
      </c>
      <c r="E2027" s="703" t="s">
        <v>334</v>
      </c>
      <c r="F2027" s="703" t="s">
        <v>335</v>
      </c>
      <c r="G2027" s="703" t="s">
        <v>3415</v>
      </c>
      <c r="H2027" s="703" t="s">
        <v>334</v>
      </c>
      <c r="I2027" s="703" t="s">
        <v>334</v>
      </c>
      <c r="J2027" s="703" t="s">
        <v>337</v>
      </c>
      <c r="K2027" s="704">
        <v>0</v>
      </c>
      <c r="L2027" s="703" t="s">
        <v>334</v>
      </c>
      <c r="M2027" s="702">
        <v>43251</v>
      </c>
      <c r="N2027" s="702">
        <v>44516</v>
      </c>
      <c r="O2027" s="703" t="s">
        <v>338</v>
      </c>
      <c r="P2027" s="20">
        <v>246.51</v>
      </c>
      <c r="Q2027" s="20">
        <v>0</v>
      </c>
      <c r="R2027" s="20">
        <v>0</v>
      </c>
      <c r="S2027" s="20">
        <v>0</v>
      </c>
      <c r="T2027" s="20">
        <v>246.51</v>
      </c>
      <c r="U2027" s="20">
        <v>245.83</v>
      </c>
      <c r="V2027" s="20">
        <v>-0.68</v>
      </c>
      <c r="W2027" s="20">
        <v>-8.9</v>
      </c>
      <c r="X2027" s="20">
        <v>-8.2200000000000006</v>
      </c>
      <c r="Y2027" s="20">
        <v>0</v>
      </c>
      <c r="Z2027" s="20">
        <v>0</v>
      </c>
      <c r="AA2027" s="20">
        <v>0</v>
      </c>
      <c r="AB2027" s="20">
        <v>237.61</v>
      </c>
      <c r="AC2027" t="s">
        <v>188</v>
      </c>
      <c r="AD2027" t="s">
        <v>290</v>
      </c>
      <c r="AE2027" s="702">
        <f t="shared" si="155"/>
        <v>44348</v>
      </c>
      <c r="AF2027" s="289">
        <v>283.05391896909191</v>
      </c>
      <c r="AG2027">
        <f t="shared" si="156"/>
        <v>360</v>
      </c>
      <c r="AH2027" s="289">
        <f t="shared" si="157"/>
        <v>0.78626088602525535</v>
      </c>
      <c r="AJ2027" s="289">
        <f t="shared" si="158"/>
        <v>18</v>
      </c>
      <c r="AK2027" s="289">
        <f t="shared" si="159"/>
        <v>14.152695948454596</v>
      </c>
    </row>
    <row r="2028" spans="1:37">
      <c r="A2028" s="703" t="s">
        <v>3562</v>
      </c>
      <c r="B2028" s="703" t="s">
        <v>2849</v>
      </c>
      <c r="C2028" s="703" t="s">
        <v>390</v>
      </c>
      <c r="D2028" s="703" t="s">
        <v>334</v>
      </c>
      <c r="E2028" s="703" t="s">
        <v>334</v>
      </c>
      <c r="F2028" s="703" t="s">
        <v>335</v>
      </c>
      <c r="G2028" s="703" t="s">
        <v>3415</v>
      </c>
      <c r="H2028" s="703" t="s">
        <v>334</v>
      </c>
      <c r="I2028" s="703" t="s">
        <v>334</v>
      </c>
      <c r="J2028" s="703" t="s">
        <v>337</v>
      </c>
      <c r="K2028" s="704">
        <v>0</v>
      </c>
      <c r="L2028" s="703" t="s">
        <v>334</v>
      </c>
      <c r="M2028" s="702">
        <v>43251</v>
      </c>
      <c r="N2028" s="702">
        <v>44516</v>
      </c>
      <c r="O2028" s="703" t="s">
        <v>338</v>
      </c>
      <c r="P2028" s="20">
        <v>187.05</v>
      </c>
      <c r="Q2028" s="20">
        <v>0</v>
      </c>
      <c r="R2028" s="20">
        <v>0</v>
      </c>
      <c r="S2028" s="20">
        <v>0</v>
      </c>
      <c r="T2028" s="20">
        <v>187.05</v>
      </c>
      <c r="U2028" s="20">
        <v>186.53</v>
      </c>
      <c r="V2028" s="20">
        <v>-0.52</v>
      </c>
      <c r="W2028" s="20">
        <v>-6.76</v>
      </c>
      <c r="X2028" s="20">
        <v>-6.24</v>
      </c>
      <c r="Y2028" s="20">
        <v>0</v>
      </c>
      <c r="Z2028" s="20">
        <v>0</v>
      </c>
      <c r="AA2028" s="20">
        <v>0</v>
      </c>
      <c r="AB2028" s="20">
        <v>180.29</v>
      </c>
      <c r="AC2028" t="s">
        <v>188</v>
      </c>
      <c r="AD2028" t="s">
        <v>290</v>
      </c>
      <c r="AE2028" s="702">
        <f t="shared" si="155"/>
        <v>44348</v>
      </c>
      <c r="AF2028" s="289">
        <v>214.77926065136768</v>
      </c>
      <c r="AG2028">
        <f t="shared" si="156"/>
        <v>360</v>
      </c>
      <c r="AH2028" s="289">
        <f t="shared" si="157"/>
        <v>0.59660905736491021</v>
      </c>
      <c r="AJ2028" s="289">
        <f t="shared" si="158"/>
        <v>18</v>
      </c>
      <c r="AK2028" s="289">
        <f t="shared" si="159"/>
        <v>10.738963032568384</v>
      </c>
    </row>
    <row r="2029" spans="1:37">
      <c r="A2029" s="703" t="s">
        <v>3563</v>
      </c>
      <c r="B2029" s="703" t="s">
        <v>2849</v>
      </c>
      <c r="C2029" s="703" t="s">
        <v>390</v>
      </c>
      <c r="D2029" s="703" t="s">
        <v>334</v>
      </c>
      <c r="E2029" s="703" t="s">
        <v>334</v>
      </c>
      <c r="F2029" s="703" t="s">
        <v>335</v>
      </c>
      <c r="G2029" s="703" t="s">
        <v>3415</v>
      </c>
      <c r="H2029" s="703" t="s">
        <v>334</v>
      </c>
      <c r="I2029" s="703" t="s">
        <v>334</v>
      </c>
      <c r="J2029" s="703" t="s">
        <v>337</v>
      </c>
      <c r="K2029" s="704">
        <v>0</v>
      </c>
      <c r="L2029" s="703" t="s">
        <v>334</v>
      </c>
      <c r="M2029" s="702">
        <v>43251</v>
      </c>
      <c r="N2029" s="702">
        <v>44516</v>
      </c>
      <c r="O2029" s="703" t="s">
        <v>338</v>
      </c>
      <c r="P2029" s="20">
        <v>485.98</v>
      </c>
      <c r="Q2029" s="20">
        <v>0</v>
      </c>
      <c r="R2029" s="20">
        <v>0</v>
      </c>
      <c r="S2029" s="20">
        <v>0</v>
      </c>
      <c r="T2029" s="20">
        <v>485.98</v>
      </c>
      <c r="U2029" s="20">
        <v>484.63</v>
      </c>
      <c r="V2029" s="20">
        <v>-1.35</v>
      </c>
      <c r="W2029" s="20">
        <v>-17.55</v>
      </c>
      <c r="X2029" s="20">
        <v>-16.2</v>
      </c>
      <c r="Y2029" s="20">
        <v>0</v>
      </c>
      <c r="Z2029" s="20">
        <v>0</v>
      </c>
      <c r="AA2029" s="20">
        <v>0</v>
      </c>
      <c r="AB2029" s="20">
        <v>468.43</v>
      </c>
      <c r="AC2029" t="s">
        <v>188</v>
      </c>
      <c r="AD2029" t="s">
        <v>290</v>
      </c>
      <c r="AE2029" s="702">
        <f t="shared" si="155"/>
        <v>44348</v>
      </c>
      <c r="AF2029" s="289">
        <v>558.02419188105671</v>
      </c>
      <c r="AG2029">
        <f t="shared" si="156"/>
        <v>360</v>
      </c>
      <c r="AH2029" s="289">
        <f t="shared" si="157"/>
        <v>1.550067199669602</v>
      </c>
      <c r="AJ2029" s="289">
        <f t="shared" si="158"/>
        <v>18</v>
      </c>
      <c r="AK2029" s="289">
        <f t="shared" si="159"/>
        <v>27.901209594052837</v>
      </c>
    </row>
    <row r="2030" spans="1:37">
      <c r="A2030" s="703" t="s">
        <v>3564</v>
      </c>
      <c r="B2030" s="703" t="s">
        <v>2849</v>
      </c>
      <c r="C2030" s="703" t="s">
        <v>390</v>
      </c>
      <c r="D2030" s="703" t="s">
        <v>334</v>
      </c>
      <c r="E2030" s="703" t="s">
        <v>334</v>
      </c>
      <c r="F2030" s="703" t="s">
        <v>335</v>
      </c>
      <c r="G2030" s="703" t="s">
        <v>3415</v>
      </c>
      <c r="H2030" s="703" t="s">
        <v>334</v>
      </c>
      <c r="I2030" s="703" t="s">
        <v>334</v>
      </c>
      <c r="J2030" s="703" t="s">
        <v>337</v>
      </c>
      <c r="K2030" s="704">
        <v>0</v>
      </c>
      <c r="L2030" s="703" t="s">
        <v>334</v>
      </c>
      <c r="M2030" s="702">
        <v>43251</v>
      </c>
      <c r="N2030" s="702">
        <v>44516</v>
      </c>
      <c r="O2030" s="703" t="s">
        <v>338</v>
      </c>
      <c r="P2030" s="20">
        <v>572.53</v>
      </c>
      <c r="Q2030" s="20">
        <v>0</v>
      </c>
      <c r="R2030" s="20">
        <v>0</v>
      </c>
      <c r="S2030" s="20">
        <v>0</v>
      </c>
      <c r="T2030" s="20">
        <v>572.53</v>
      </c>
      <c r="U2030" s="20">
        <v>570.94000000000005</v>
      </c>
      <c r="V2030" s="20">
        <v>-1.59</v>
      </c>
      <c r="W2030" s="20">
        <v>-20.67</v>
      </c>
      <c r="X2030" s="20">
        <v>-19.079999999999998</v>
      </c>
      <c r="Y2030" s="20">
        <v>0</v>
      </c>
      <c r="Z2030" s="20">
        <v>0</v>
      </c>
      <c r="AA2030" s="20">
        <v>0</v>
      </c>
      <c r="AB2030" s="20">
        <v>551.86</v>
      </c>
      <c r="AC2030" t="s">
        <v>188</v>
      </c>
      <c r="AD2030" t="s">
        <v>290</v>
      </c>
      <c r="AE2030" s="702">
        <f t="shared" si="155"/>
        <v>44348</v>
      </c>
      <c r="AF2030" s="289">
        <v>657.40481208622043</v>
      </c>
      <c r="AG2030">
        <f t="shared" si="156"/>
        <v>360</v>
      </c>
      <c r="AH2030" s="289">
        <f t="shared" si="157"/>
        <v>1.826124478017279</v>
      </c>
      <c r="AJ2030" s="289">
        <f t="shared" si="158"/>
        <v>18</v>
      </c>
      <c r="AK2030" s="289">
        <f t="shared" si="159"/>
        <v>32.870240604311022</v>
      </c>
    </row>
    <row r="2031" spans="1:37">
      <c r="A2031" s="703" t="s">
        <v>3565</v>
      </c>
      <c r="B2031" s="703" t="s">
        <v>2849</v>
      </c>
      <c r="C2031" s="703" t="s">
        <v>390</v>
      </c>
      <c r="D2031" s="703" t="s">
        <v>334</v>
      </c>
      <c r="E2031" s="703" t="s">
        <v>334</v>
      </c>
      <c r="F2031" s="703" t="s">
        <v>335</v>
      </c>
      <c r="G2031" s="703" t="s">
        <v>3415</v>
      </c>
      <c r="H2031" s="703" t="s">
        <v>334</v>
      </c>
      <c r="I2031" s="703" t="s">
        <v>334</v>
      </c>
      <c r="J2031" s="703" t="s">
        <v>337</v>
      </c>
      <c r="K2031" s="704">
        <v>0</v>
      </c>
      <c r="L2031" s="703" t="s">
        <v>334</v>
      </c>
      <c r="M2031" s="702">
        <v>43251</v>
      </c>
      <c r="N2031" s="702">
        <v>44516</v>
      </c>
      <c r="O2031" s="703" t="s">
        <v>338</v>
      </c>
      <c r="P2031" s="20">
        <v>210.43</v>
      </c>
      <c r="Q2031" s="20">
        <v>0</v>
      </c>
      <c r="R2031" s="20">
        <v>0</v>
      </c>
      <c r="S2031" s="20">
        <v>0</v>
      </c>
      <c r="T2031" s="20">
        <v>210.43</v>
      </c>
      <c r="U2031" s="20">
        <v>209.85</v>
      </c>
      <c r="V2031" s="20">
        <v>-0.57999999999999996</v>
      </c>
      <c r="W2031" s="20">
        <v>-7.59</v>
      </c>
      <c r="X2031" s="20">
        <v>-7.01</v>
      </c>
      <c r="Y2031" s="20">
        <v>0</v>
      </c>
      <c r="Z2031" s="20">
        <v>0</v>
      </c>
      <c r="AA2031" s="20">
        <v>0</v>
      </c>
      <c r="AB2031" s="20">
        <v>202.84</v>
      </c>
      <c r="AC2031" t="s">
        <v>188</v>
      </c>
      <c r="AD2031" t="s">
        <v>290</v>
      </c>
      <c r="AE2031" s="702">
        <f t="shared" si="155"/>
        <v>44348</v>
      </c>
      <c r="AF2031" s="289">
        <v>241.62523292631545</v>
      </c>
      <c r="AG2031">
        <f t="shared" si="156"/>
        <v>360</v>
      </c>
      <c r="AH2031" s="289">
        <f t="shared" si="157"/>
        <v>0.67118120257309843</v>
      </c>
      <c r="AJ2031" s="289">
        <f t="shared" si="158"/>
        <v>18</v>
      </c>
      <c r="AK2031" s="289">
        <f t="shared" si="159"/>
        <v>12.081261646315772</v>
      </c>
    </row>
    <row r="2032" spans="1:37">
      <c r="A2032" s="703" t="s">
        <v>3566</v>
      </c>
      <c r="B2032" s="703" t="s">
        <v>2849</v>
      </c>
      <c r="C2032" s="703" t="s">
        <v>390</v>
      </c>
      <c r="D2032" s="703" t="s">
        <v>334</v>
      </c>
      <c r="E2032" s="703" t="s">
        <v>334</v>
      </c>
      <c r="F2032" s="703" t="s">
        <v>335</v>
      </c>
      <c r="G2032" s="703" t="s">
        <v>3415</v>
      </c>
      <c r="H2032" s="703" t="s">
        <v>334</v>
      </c>
      <c r="I2032" s="703" t="s">
        <v>334</v>
      </c>
      <c r="J2032" s="703" t="s">
        <v>337</v>
      </c>
      <c r="K2032" s="704">
        <v>0</v>
      </c>
      <c r="L2032" s="703" t="s">
        <v>334</v>
      </c>
      <c r="M2032" s="702">
        <v>43251</v>
      </c>
      <c r="N2032" s="702">
        <v>44516</v>
      </c>
      <c r="O2032" s="703" t="s">
        <v>338</v>
      </c>
      <c r="P2032" s="20">
        <v>283.04000000000002</v>
      </c>
      <c r="Q2032" s="20">
        <v>0</v>
      </c>
      <c r="R2032" s="20">
        <v>0</v>
      </c>
      <c r="S2032" s="20">
        <v>0</v>
      </c>
      <c r="T2032" s="20">
        <v>283.04000000000002</v>
      </c>
      <c r="U2032" s="20">
        <v>282.25</v>
      </c>
      <c r="V2032" s="20">
        <v>-0.79</v>
      </c>
      <c r="W2032" s="20">
        <v>-10.220000000000001</v>
      </c>
      <c r="X2032" s="20">
        <v>-9.43</v>
      </c>
      <c r="Y2032" s="20">
        <v>0</v>
      </c>
      <c r="Z2032" s="20">
        <v>0</v>
      </c>
      <c r="AA2032" s="20">
        <v>0</v>
      </c>
      <c r="AB2032" s="20">
        <v>272.82</v>
      </c>
      <c r="AC2032" t="s">
        <v>188</v>
      </c>
      <c r="AD2032" t="s">
        <v>290</v>
      </c>
      <c r="AE2032" s="702">
        <f t="shared" si="155"/>
        <v>44348</v>
      </c>
      <c r="AF2032" s="289">
        <v>324.99931534222463</v>
      </c>
      <c r="AG2032">
        <f t="shared" si="156"/>
        <v>360</v>
      </c>
      <c r="AH2032" s="289">
        <f t="shared" si="157"/>
        <v>0.90277587595062403</v>
      </c>
      <c r="AJ2032" s="289">
        <f t="shared" si="158"/>
        <v>18</v>
      </c>
      <c r="AK2032" s="289">
        <f t="shared" si="159"/>
        <v>16.249965767111231</v>
      </c>
    </row>
    <row r="2033" spans="1:37">
      <c r="A2033" s="703" t="s">
        <v>3567</v>
      </c>
      <c r="B2033" s="703" t="s">
        <v>2849</v>
      </c>
      <c r="C2033" s="703" t="s">
        <v>390</v>
      </c>
      <c r="D2033" s="703" t="s">
        <v>334</v>
      </c>
      <c r="E2033" s="703" t="s">
        <v>334</v>
      </c>
      <c r="F2033" s="703" t="s">
        <v>335</v>
      </c>
      <c r="G2033" s="703" t="s">
        <v>3415</v>
      </c>
      <c r="H2033" s="703" t="s">
        <v>334</v>
      </c>
      <c r="I2033" s="703" t="s">
        <v>334</v>
      </c>
      <c r="J2033" s="703" t="s">
        <v>337</v>
      </c>
      <c r="K2033" s="704">
        <v>0</v>
      </c>
      <c r="L2033" s="703" t="s">
        <v>334</v>
      </c>
      <c r="M2033" s="702">
        <v>43251</v>
      </c>
      <c r="N2033" s="702">
        <v>44516</v>
      </c>
      <c r="O2033" s="703" t="s">
        <v>338</v>
      </c>
      <c r="P2033" s="20">
        <v>56.61</v>
      </c>
      <c r="Q2033" s="20">
        <v>0</v>
      </c>
      <c r="R2033" s="20">
        <v>0</v>
      </c>
      <c r="S2033" s="20">
        <v>0</v>
      </c>
      <c r="T2033" s="20">
        <v>56.61</v>
      </c>
      <c r="U2033" s="20">
        <v>56.45</v>
      </c>
      <c r="V2033" s="20">
        <v>-0.16</v>
      </c>
      <c r="W2033" s="20">
        <v>-2.0499999999999998</v>
      </c>
      <c r="X2033" s="20">
        <v>-1.89</v>
      </c>
      <c r="Y2033" s="20">
        <v>0</v>
      </c>
      <c r="Z2033" s="20">
        <v>0</v>
      </c>
      <c r="AA2033" s="20">
        <v>0</v>
      </c>
      <c r="AB2033" s="20">
        <v>54.56</v>
      </c>
      <c r="AC2033" t="s">
        <v>188</v>
      </c>
      <c r="AD2033" t="s">
        <v>290</v>
      </c>
      <c r="AE2033" s="702">
        <f t="shared" si="155"/>
        <v>44348</v>
      </c>
      <c r="AF2033" s="289">
        <v>65.002159558802063</v>
      </c>
      <c r="AG2033">
        <f t="shared" si="156"/>
        <v>360</v>
      </c>
      <c r="AH2033" s="289">
        <f t="shared" si="157"/>
        <v>0.18056155433000573</v>
      </c>
      <c r="AJ2033" s="289">
        <f t="shared" si="158"/>
        <v>18</v>
      </c>
      <c r="AK2033" s="289">
        <f t="shared" si="159"/>
        <v>3.250107977940103</v>
      </c>
    </row>
    <row r="2034" spans="1:37">
      <c r="A2034" s="703" t="s">
        <v>3568</v>
      </c>
      <c r="B2034" s="703" t="s">
        <v>2849</v>
      </c>
      <c r="C2034" s="703" t="s">
        <v>390</v>
      </c>
      <c r="D2034" s="703" t="s">
        <v>334</v>
      </c>
      <c r="E2034" s="703" t="s">
        <v>334</v>
      </c>
      <c r="F2034" s="703" t="s">
        <v>335</v>
      </c>
      <c r="G2034" s="703" t="s">
        <v>3569</v>
      </c>
      <c r="H2034" s="703" t="s">
        <v>334</v>
      </c>
      <c r="I2034" s="703" t="s">
        <v>334</v>
      </c>
      <c r="J2034" s="703" t="s">
        <v>337</v>
      </c>
      <c r="K2034" s="704">
        <v>0</v>
      </c>
      <c r="L2034" s="703" t="s">
        <v>334</v>
      </c>
      <c r="M2034" s="702">
        <v>43251</v>
      </c>
      <c r="N2034" s="702">
        <v>44516</v>
      </c>
      <c r="O2034" s="703" t="s">
        <v>338</v>
      </c>
      <c r="P2034" s="20">
        <v>4.2</v>
      </c>
      <c r="Q2034" s="20">
        <v>0</v>
      </c>
      <c r="R2034" s="20">
        <v>0</v>
      </c>
      <c r="S2034" s="20">
        <v>0</v>
      </c>
      <c r="T2034" s="20">
        <v>4.2</v>
      </c>
      <c r="U2034" s="20">
        <v>4.1900000000000004</v>
      </c>
      <c r="V2034" s="20">
        <v>-0.01</v>
      </c>
      <c r="W2034" s="20">
        <v>-0.15</v>
      </c>
      <c r="X2034" s="20">
        <v>-0.14000000000000001</v>
      </c>
      <c r="Y2034" s="20">
        <v>0</v>
      </c>
      <c r="Z2034" s="20">
        <v>0</v>
      </c>
      <c r="AA2034" s="20">
        <v>0</v>
      </c>
      <c r="AB2034" s="20">
        <v>4.05</v>
      </c>
      <c r="AC2034" t="s">
        <v>188</v>
      </c>
      <c r="AD2034" t="s">
        <v>290</v>
      </c>
      <c r="AE2034" s="702">
        <f t="shared" si="155"/>
        <v>44348</v>
      </c>
      <c r="AF2034" s="289">
        <v>4.8226297499906146</v>
      </c>
      <c r="AG2034">
        <f t="shared" si="156"/>
        <v>360</v>
      </c>
      <c r="AH2034" s="289">
        <f t="shared" si="157"/>
        <v>1.3396193749973929E-2</v>
      </c>
      <c r="AJ2034" s="289">
        <f t="shared" si="158"/>
        <v>18</v>
      </c>
      <c r="AK2034" s="289">
        <f t="shared" si="159"/>
        <v>0.24113148749953073</v>
      </c>
    </row>
    <row r="2035" spans="1:37">
      <c r="A2035" s="703" t="s">
        <v>3570</v>
      </c>
      <c r="B2035" s="703" t="s">
        <v>2849</v>
      </c>
      <c r="C2035" s="703" t="s">
        <v>390</v>
      </c>
      <c r="D2035" s="703" t="s">
        <v>334</v>
      </c>
      <c r="E2035" s="703" t="s">
        <v>334</v>
      </c>
      <c r="F2035" s="703" t="s">
        <v>335</v>
      </c>
      <c r="G2035" s="703" t="s">
        <v>3569</v>
      </c>
      <c r="H2035" s="703" t="s">
        <v>334</v>
      </c>
      <c r="I2035" s="703" t="s">
        <v>334</v>
      </c>
      <c r="J2035" s="703" t="s">
        <v>337</v>
      </c>
      <c r="K2035" s="704">
        <v>0</v>
      </c>
      <c r="L2035" s="703" t="s">
        <v>334</v>
      </c>
      <c r="M2035" s="702">
        <v>43251</v>
      </c>
      <c r="N2035" s="702">
        <v>44516</v>
      </c>
      <c r="O2035" s="703" t="s">
        <v>338</v>
      </c>
      <c r="P2035" s="20">
        <v>135.52000000000001</v>
      </c>
      <c r="Q2035" s="20">
        <v>0</v>
      </c>
      <c r="R2035" s="20">
        <v>0</v>
      </c>
      <c r="S2035" s="20">
        <v>0</v>
      </c>
      <c r="T2035" s="20">
        <v>135.52000000000001</v>
      </c>
      <c r="U2035" s="20">
        <v>135.13999999999999</v>
      </c>
      <c r="V2035" s="20">
        <v>-0.38</v>
      </c>
      <c r="W2035" s="20">
        <v>-4.9000000000000004</v>
      </c>
      <c r="X2035" s="20">
        <v>-4.5199999999999996</v>
      </c>
      <c r="Y2035" s="20">
        <v>0</v>
      </c>
      <c r="Z2035" s="20">
        <v>0</v>
      </c>
      <c r="AA2035" s="20">
        <v>0</v>
      </c>
      <c r="AB2035" s="20">
        <v>130.62</v>
      </c>
      <c r="AC2035" t="s">
        <v>188</v>
      </c>
      <c r="AD2035" t="s">
        <v>290</v>
      </c>
      <c r="AE2035" s="702">
        <f t="shared" si="155"/>
        <v>44348</v>
      </c>
      <c r="AF2035" s="289">
        <v>155.61018659969713</v>
      </c>
      <c r="AG2035">
        <f t="shared" si="156"/>
        <v>360</v>
      </c>
      <c r="AH2035" s="289">
        <f t="shared" si="157"/>
        <v>0.43225051833249201</v>
      </c>
      <c r="AJ2035" s="289">
        <f t="shared" si="158"/>
        <v>18</v>
      </c>
      <c r="AK2035" s="289">
        <f t="shared" si="159"/>
        <v>7.7805093299848558</v>
      </c>
    </row>
    <row r="2036" spans="1:37">
      <c r="A2036" s="703" t="s">
        <v>3571</v>
      </c>
      <c r="B2036" s="703" t="s">
        <v>2849</v>
      </c>
      <c r="C2036" s="703" t="s">
        <v>390</v>
      </c>
      <c r="D2036" s="703" t="s">
        <v>334</v>
      </c>
      <c r="E2036" s="703" t="s">
        <v>334</v>
      </c>
      <c r="F2036" s="703" t="s">
        <v>335</v>
      </c>
      <c r="G2036" s="703" t="s">
        <v>3569</v>
      </c>
      <c r="H2036" s="703" t="s">
        <v>334</v>
      </c>
      <c r="I2036" s="703" t="s">
        <v>334</v>
      </c>
      <c r="J2036" s="703" t="s">
        <v>337</v>
      </c>
      <c r="K2036" s="704">
        <v>0</v>
      </c>
      <c r="L2036" s="703" t="s">
        <v>334</v>
      </c>
      <c r="M2036" s="702">
        <v>43251</v>
      </c>
      <c r="N2036" s="702">
        <v>44516</v>
      </c>
      <c r="O2036" s="703" t="s">
        <v>338</v>
      </c>
      <c r="P2036" s="20">
        <v>15.89</v>
      </c>
      <c r="Q2036" s="20">
        <v>0</v>
      </c>
      <c r="R2036" s="20">
        <v>0</v>
      </c>
      <c r="S2036" s="20">
        <v>0</v>
      </c>
      <c r="T2036" s="20">
        <v>15.89</v>
      </c>
      <c r="U2036" s="20">
        <v>15.85</v>
      </c>
      <c r="V2036" s="20">
        <v>-0.04</v>
      </c>
      <c r="W2036" s="20">
        <v>-0.56999999999999995</v>
      </c>
      <c r="X2036" s="20">
        <v>-0.53</v>
      </c>
      <c r="Y2036" s="20">
        <v>0</v>
      </c>
      <c r="Z2036" s="20">
        <v>0</v>
      </c>
      <c r="AA2036" s="20">
        <v>0</v>
      </c>
      <c r="AB2036" s="20">
        <v>15.32</v>
      </c>
      <c r="AC2036" t="s">
        <v>188</v>
      </c>
      <c r="AD2036" t="s">
        <v>290</v>
      </c>
      <c r="AE2036" s="702">
        <f t="shared" si="155"/>
        <v>44348</v>
      </c>
      <c r="AF2036" s="289">
        <v>18.245615887464488</v>
      </c>
      <c r="AG2036">
        <f t="shared" si="156"/>
        <v>360</v>
      </c>
      <c r="AH2036" s="289">
        <f t="shared" si="157"/>
        <v>5.0682266354068022E-2</v>
      </c>
      <c r="AJ2036" s="289">
        <f t="shared" si="158"/>
        <v>18</v>
      </c>
      <c r="AK2036" s="289">
        <f t="shared" si="159"/>
        <v>0.9122807943732244</v>
      </c>
    </row>
    <row r="2037" spans="1:37">
      <c r="A2037" s="703" t="s">
        <v>3572</v>
      </c>
      <c r="B2037" s="703" t="s">
        <v>2849</v>
      </c>
      <c r="C2037" s="703" t="s">
        <v>390</v>
      </c>
      <c r="D2037" s="703" t="s">
        <v>334</v>
      </c>
      <c r="E2037" s="703" t="s">
        <v>334</v>
      </c>
      <c r="F2037" s="703" t="s">
        <v>335</v>
      </c>
      <c r="G2037" s="703" t="s">
        <v>3569</v>
      </c>
      <c r="H2037" s="703" t="s">
        <v>334</v>
      </c>
      <c r="I2037" s="703" t="s">
        <v>334</v>
      </c>
      <c r="J2037" s="703" t="s">
        <v>337</v>
      </c>
      <c r="K2037" s="704">
        <v>0</v>
      </c>
      <c r="L2037" s="703" t="s">
        <v>334</v>
      </c>
      <c r="M2037" s="702">
        <v>43251</v>
      </c>
      <c r="N2037" s="702">
        <v>44516</v>
      </c>
      <c r="O2037" s="703" t="s">
        <v>338</v>
      </c>
      <c r="P2037" s="20">
        <v>37.049999999999997</v>
      </c>
      <c r="Q2037" s="20">
        <v>0</v>
      </c>
      <c r="R2037" s="20">
        <v>0</v>
      </c>
      <c r="S2037" s="20">
        <v>0</v>
      </c>
      <c r="T2037" s="20">
        <v>37.049999999999997</v>
      </c>
      <c r="U2037" s="20">
        <v>36.950000000000003</v>
      </c>
      <c r="V2037" s="20">
        <v>-0.1</v>
      </c>
      <c r="W2037" s="20">
        <v>-1.34</v>
      </c>
      <c r="X2037" s="20">
        <v>-1.24</v>
      </c>
      <c r="Y2037" s="20">
        <v>0</v>
      </c>
      <c r="Z2037" s="20">
        <v>0</v>
      </c>
      <c r="AA2037" s="20">
        <v>0</v>
      </c>
      <c r="AB2037" s="20">
        <v>35.71</v>
      </c>
      <c r="AC2037" t="s">
        <v>188</v>
      </c>
      <c r="AD2037" t="s">
        <v>290</v>
      </c>
      <c r="AE2037" s="702">
        <f t="shared" si="155"/>
        <v>44348</v>
      </c>
      <c r="AF2037" s="289">
        <v>42.542483865988629</v>
      </c>
      <c r="AG2037">
        <f t="shared" si="156"/>
        <v>360</v>
      </c>
      <c r="AH2037" s="289">
        <f t="shared" si="157"/>
        <v>0.11817356629441286</v>
      </c>
      <c r="AJ2037" s="289">
        <f t="shared" si="158"/>
        <v>18</v>
      </c>
      <c r="AK2037" s="289">
        <f t="shared" si="159"/>
        <v>2.1271241932994314</v>
      </c>
    </row>
    <row r="2038" spans="1:37">
      <c r="A2038" s="703" t="s">
        <v>3573</v>
      </c>
      <c r="B2038" s="703" t="s">
        <v>2849</v>
      </c>
      <c r="C2038" s="703" t="s">
        <v>390</v>
      </c>
      <c r="D2038" s="703" t="s">
        <v>334</v>
      </c>
      <c r="E2038" s="703" t="s">
        <v>334</v>
      </c>
      <c r="F2038" s="703" t="s">
        <v>335</v>
      </c>
      <c r="G2038" s="703" t="s">
        <v>3569</v>
      </c>
      <c r="H2038" s="703" t="s">
        <v>334</v>
      </c>
      <c r="I2038" s="703" t="s">
        <v>334</v>
      </c>
      <c r="J2038" s="703" t="s">
        <v>337</v>
      </c>
      <c r="K2038" s="704">
        <v>0</v>
      </c>
      <c r="L2038" s="703" t="s">
        <v>334</v>
      </c>
      <c r="M2038" s="702">
        <v>43251</v>
      </c>
      <c r="N2038" s="702">
        <v>44516</v>
      </c>
      <c r="O2038" s="703" t="s">
        <v>338</v>
      </c>
      <c r="P2038" s="20">
        <v>87.22</v>
      </c>
      <c r="Q2038" s="20">
        <v>0</v>
      </c>
      <c r="R2038" s="20">
        <v>0</v>
      </c>
      <c r="S2038" s="20">
        <v>0</v>
      </c>
      <c r="T2038" s="20">
        <v>87.22</v>
      </c>
      <c r="U2038" s="20">
        <v>86.98</v>
      </c>
      <c r="V2038" s="20">
        <v>-0.24</v>
      </c>
      <c r="W2038" s="20">
        <v>-3.15</v>
      </c>
      <c r="X2038" s="20">
        <v>-2.91</v>
      </c>
      <c r="Y2038" s="20">
        <v>0</v>
      </c>
      <c r="Z2038" s="20">
        <v>0</v>
      </c>
      <c r="AA2038" s="20">
        <v>0</v>
      </c>
      <c r="AB2038" s="20">
        <v>84.07</v>
      </c>
      <c r="AC2038" t="s">
        <v>188</v>
      </c>
      <c r="AD2038" t="s">
        <v>290</v>
      </c>
      <c r="AE2038" s="702">
        <f t="shared" si="155"/>
        <v>44348</v>
      </c>
      <c r="AF2038" s="289">
        <v>100.14994447480507</v>
      </c>
      <c r="AG2038">
        <f t="shared" si="156"/>
        <v>360</v>
      </c>
      <c r="AH2038" s="289">
        <f t="shared" si="157"/>
        <v>0.27819429020779185</v>
      </c>
      <c r="AJ2038" s="289">
        <f t="shared" si="158"/>
        <v>18</v>
      </c>
      <c r="AK2038" s="289">
        <f t="shared" si="159"/>
        <v>5.0074972237402537</v>
      </c>
    </row>
    <row r="2039" spans="1:37">
      <c r="A2039" s="703" t="s">
        <v>3574</v>
      </c>
      <c r="B2039" s="703" t="s">
        <v>2849</v>
      </c>
      <c r="C2039" s="703" t="s">
        <v>390</v>
      </c>
      <c r="D2039" s="703" t="s">
        <v>334</v>
      </c>
      <c r="E2039" s="703" t="s">
        <v>334</v>
      </c>
      <c r="F2039" s="703" t="s">
        <v>335</v>
      </c>
      <c r="G2039" s="703" t="s">
        <v>3569</v>
      </c>
      <c r="H2039" s="703" t="s">
        <v>334</v>
      </c>
      <c r="I2039" s="703" t="s">
        <v>334</v>
      </c>
      <c r="J2039" s="703" t="s">
        <v>337</v>
      </c>
      <c r="K2039" s="704">
        <v>0</v>
      </c>
      <c r="L2039" s="703" t="s">
        <v>334</v>
      </c>
      <c r="M2039" s="702">
        <v>43251</v>
      </c>
      <c r="N2039" s="702">
        <v>44516</v>
      </c>
      <c r="O2039" s="703" t="s">
        <v>338</v>
      </c>
      <c r="P2039" s="20">
        <v>77.599999999999994</v>
      </c>
      <c r="Q2039" s="20">
        <v>0</v>
      </c>
      <c r="R2039" s="20">
        <v>0</v>
      </c>
      <c r="S2039" s="20">
        <v>0</v>
      </c>
      <c r="T2039" s="20">
        <v>77.599999999999994</v>
      </c>
      <c r="U2039" s="20">
        <v>77.38</v>
      </c>
      <c r="V2039" s="20">
        <v>-0.22</v>
      </c>
      <c r="W2039" s="20">
        <v>-2.81</v>
      </c>
      <c r="X2039" s="20">
        <v>-2.59</v>
      </c>
      <c r="Y2039" s="20">
        <v>0</v>
      </c>
      <c r="Z2039" s="20">
        <v>0</v>
      </c>
      <c r="AA2039" s="20">
        <v>0</v>
      </c>
      <c r="AB2039" s="20">
        <v>74.790000000000006</v>
      </c>
      <c r="AC2039" t="s">
        <v>188</v>
      </c>
      <c r="AD2039" t="s">
        <v>290</v>
      </c>
      <c r="AE2039" s="702">
        <f t="shared" si="155"/>
        <v>44348</v>
      </c>
      <c r="AF2039" s="289">
        <v>89.103825856969422</v>
      </c>
      <c r="AG2039">
        <f t="shared" si="156"/>
        <v>360</v>
      </c>
      <c r="AH2039" s="289">
        <f t="shared" si="157"/>
        <v>0.24751062738047061</v>
      </c>
      <c r="AJ2039" s="289">
        <f t="shared" si="158"/>
        <v>18</v>
      </c>
      <c r="AK2039" s="289">
        <f t="shared" si="159"/>
        <v>4.4551912928484709</v>
      </c>
    </row>
    <row r="2040" spans="1:37">
      <c r="A2040" s="703" t="s">
        <v>3575</v>
      </c>
      <c r="B2040" s="703" t="s">
        <v>2849</v>
      </c>
      <c r="C2040" s="703" t="s">
        <v>390</v>
      </c>
      <c r="D2040" s="703" t="s">
        <v>334</v>
      </c>
      <c r="E2040" s="703" t="s">
        <v>334</v>
      </c>
      <c r="F2040" s="703" t="s">
        <v>335</v>
      </c>
      <c r="G2040" s="703" t="s">
        <v>3569</v>
      </c>
      <c r="H2040" s="703" t="s">
        <v>334</v>
      </c>
      <c r="I2040" s="703" t="s">
        <v>334</v>
      </c>
      <c r="J2040" s="703" t="s">
        <v>337</v>
      </c>
      <c r="K2040" s="704">
        <v>0</v>
      </c>
      <c r="L2040" s="703" t="s">
        <v>334</v>
      </c>
      <c r="M2040" s="702">
        <v>43251</v>
      </c>
      <c r="N2040" s="702">
        <v>44516</v>
      </c>
      <c r="O2040" s="703" t="s">
        <v>338</v>
      </c>
      <c r="P2040" s="20">
        <v>32.24</v>
      </c>
      <c r="Q2040" s="20">
        <v>0</v>
      </c>
      <c r="R2040" s="20">
        <v>0</v>
      </c>
      <c r="S2040" s="20">
        <v>0</v>
      </c>
      <c r="T2040" s="20">
        <v>32.24</v>
      </c>
      <c r="U2040" s="20">
        <v>32.15</v>
      </c>
      <c r="V2040" s="20">
        <v>-0.09</v>
      </c>
      <c r="W2040" s="20">
        <v>-1.1599999999999999</v>
      </c>
      <c r="X2040" s="20">
        <v>-1.07</v>
      </c>
      <c r="Y2040" s="20">
        <v>0</v>
      </c>
      <c r="Z2040" s="20">
        <v>0</v>
      </c>
      <c r="AA2040" s="20">
        <v>0</v>
      </c>
      <c r="AB2040" s="20">
        <v>31.08</v>
      </c>
      <c r="AC2040" t="s">
        <v>188</v>
      </c>
      <c r="AD2040" t="s">
        <v>290</v>
      </c>
      <c r="AE2040" s="702">
        <f t="shared" si="155"/>
        <v>44348</v>
      </c>
      <c r="AF2040" s="289">
        <v>37.019424557070813</v>
      </c>
      <c r="AG2040">
        <f t="shared" si="156"/>
        <v>360</v>
      </c>
      <c r="AH2040" s="289">
        <f t="shared" si="157"/>
        <v>0.10283173488075226</v>
      </c>
      <c r="AJ2040" s="289">
        <f t="shared" si="158"/>
        <v>18</v>
      </c>
      <c r="AK2040" s="289">
        <f t="shared" si="159"/>
        <v>1.8509712278535406</v>
      </c>
    </row>
    <row r="2041" spans="1:37">
      <c r="A2041" s="703" t="s">
        <v>3576</v>
      </c>
      <c r="B2041" s="703" t="s">
        <v>2849</v>
      </c>
      <c r="C2041" s="703" t="s">
        <v>390</v>
      </c>
      <c r="D2041" s="703" t="s">
        <v>334</v>
      </c>
      <c r="E2041" s="703" t="s">
        <v>334</v>
      </c>
      <c r="F2041" s="703" t="s">
        <v>335</v>
      </c>
      <c r="G2041" s="703" t="s">
        <v>3569</v>
      </c>
      <c r="H2041" s="703" t="s">
        <v>334</v>
      </c>
      <c r="I2041" s="703" t="s">
        <v>334</v>
      </c>
      <c r="J2041" s="703" t="s">
        <v>337</v>
      </c>
      <c r="K2041" s="704">
        <v>0</v>
      </c>
      <c r="L2041" s="703" t="s">
        <v>334</v>
      </c>
      <c r="M2041" s="702">
        <v>43251</v>
      </c>
      <c r="N2041" s="702">
        <v>44516</v>
      </c>
      <c r="O2041" s="703" t="s">
        <v>338</v>
      </c>
      <c r="P2041" s="20">
        <v>41.87</v>
      </c>
      <c r="Q2041" s="20">
        <v>0</v>
      </c>
      <c r="R2041" s="20">
        <v>0</v>
      </c>
      <c r="S2041" s="20">
        <v>0</v>
      </c>
      <c r="T2041" s="20">
        <v>41.87</v>
      </c>
      <c r="U2041" s="20">
        <v>41.75</v>
      </c>
      <c r="V2041" s="20">
        <v>-0.12</v>
      </c>
      <c r="W2041" s="20">
        <v>-1.52</v>
      </c>
      <c r="X2041" s="20">
        <v>-1.4</v>
      </c>
      <c r="Y2041" s="20">
        <v>0</v>
      </c>
      <c r="Z2041" s="20">
        <v>0</v>
      </c>
      <c r="AA2041" s="20">
        <v>0</v>
      </c>
      <c r="AB2041" s="20">
        <v>40.35</v>
      </c>
      <c r="AC2041" t="s">
        <v>188</v>
      </c>
      <c r="AD2041" t="s">
        <v>290</v>
      </c>
      <c r="AE2041" s="702">
        <f t="shared" si="155"/>
        <v>44348</v>
      </c>
      <c r="AF2041" s="289">
        <v>48.077025626692141</v>
      </c>
      <c r="AG2041">
        <f t="shared" si="156"/>
        <v>360</v>
      </c>
      <c r="AH2041" s="289">
        <f t="shared" si="157"/>
        <v>0.13354729340747817</v>
      </c>
      <c r="AJ2041" s="289">
        <f t="shared" si="158"/>
        <v>18</v>
      </c>
      <c r="AK2041" s="289">
        <f t="shared" si="159"/>
        <v>2.4038512813346071</v>
      </c>
    </row>
    <row r="2042" spans="1:37">
      <c r="A2042" s="703" t="s">
        <v>3577</v>
      </c>
      <c r="B2042" s="703" t="s">
        <v>2849</v>
      </c>
      <c r="C2042" s="703" t="s">
        <v>390</v>
      </c>
      <c r="D2042" s="703" t="s">
        <v>334</v>
      </c>
      <c r="E2042" s="703" t="s">
        <v>334</v>
      </c>
      <c r="F2042" s="703" t="s">
        <v>335</v>
      </c>
      <c r="G2042" s="703" t="s">
        <v>3429</v>
      </c>
      <c r="H2042" s="703" t="s">
        <v>334</v>
      </c>
      <c r="I2042" s="703" t="s">
        <v>334</v>
      </c>
      <c r="J2042" s="703" t="s">
        <v>337</v>
      </c>
      <c r="K2042" s="704">
        <v>0</v>
      </c>
      <c r="L2042" s="703" t="s">
        <v>334</v>
      </c>
      <c r="M2042" s="702">
        <v>43251</v>
      </c>
      <c r="N2042" s="702">
        <v>44516</v>
      </c>
      <c r="O2042" s="703" t="s">
        <v>338</v>
      </c>
      <c r="P2042" s="20">
        <v>485.98</v>
      </c>
      <c r="Q2042" s="20">
        <v>0</v>
      </c>
      <c r="R2042" s="20">
        <v>0</v>
      </c>
      <c r="S2042" s="20">
        <v>0</v>
      </c>
      <c r="T2042" s="20">
        <v>485.98</v>
      </c>
      <c r="U2042" s="20">
        <v>484.63</v>
      </c>
      <c r="V2042" s="20">
        <v>-1.35</v>
      </c>
      <c r="W2042" s="20">
        <v>-17.55</v>
      </c>
      <c r="X2042" s="20">
        <v>-16.2</v>
      </c>
      <c r="Y2042" s="20">
        <v>0</v>
      </c>
      <c r="Z2042" s="20">
        <v>0</v>
      </c>
      <c r="AA2042" s="20">
        <v>0</v>
      </c>
      <c r="AB2042" s="20">
        <v>468.43</v>
      </c>
      <c r="AC2042" t="s">
        <v>188</v>
      </c>
      <c r="AD2042" t="s">
        <v>290</v>
      </c>
      <c r="AE2042" s="702">
        <f t="shared" si="155"/>
        <v>44348</v>
      </c>
      <c r="AF2042" s="289">
        <v>558.02419188105671</v>
      </c>
      <c r="AG2042">
        <f t="shared" si="156"/>
        <v>360</v>
      </c>
      <c r="AH2042" s="289">
        <f t="shared" si="157"/>
        <v>1.550067199669602</v>
      </c>
      <c r="AJ2042" s="289">
        <f t="shared" si="158"/>
        <v>18</v>
      </c>
      <c r="AK2042" s="289">
        <f t="shared" si="159"/>
        <v>27.901209594052837</v>
      </c>
    </row>
    <row r="2043" spans="1:37">
      <c r="A2043" s="703" t="s">
        <v>3578</v>
      </c>
      <c r="B2043" s="703" t="s">
        <v>2849</v>
      </c>
      <c r="C2043" s="703" t="s">
        <v>390</v>
      </c>
      <c r="D2043" s="703" t="s">
        <v>334</v>
      </c>
      <c r="E2043" s="703" t="s">
        <v>334</v>
      </c>
      <c r="F2043" s="703" t="s">
        <v>335</v>
      </c>
      <c r="G2043" s="703" t="s">
        <v>3429</v>
      </c>
      <c r="H2043" s="703" t="s">
        <v>334</v>
      </c>
      <c r="I2043" s="703" t="s">
        <v>334</v>
      </c>
      <c r="J2043" s="703" t="s">
        <v>337</v>
      </c>
      <c r="K2043" s="704">
        <v>0</v>
      </c>
      <c r="L2043" s="703" t="s">
        <v>334</v>
      </c>
      <c r="M2043" s="702">
        <v>43251</v>
      </c>
      <c r="N2043" s="702">
        <v>44516</v>
      </c>
      <c r="O2043" s="703" t="s">
        <v>338</v>
      </c>
      <c r="P2043" s="20">
        <v>9.49</v>
      </c>
      <c r="Q2043" s="20">
        <v>0</v>
      </c>
      <c r="R2043" s="20">
        <v>0</v>
      </c>
      <c r="S2043" s="20">
        <v>0</v>
      </c>
      <c r="T2043" s="20">
        <v>9.49</v>
      </c>
      <c r="U2043" s="20">
        <v>9.4600000000000009</v>
      </c>
      <c r="V2043" s="20">
        <v>-0.03</v>
      </c>
      <c r="W2043" s="20">
        <v>-0.35</v>
      </c>
      <c r="X2043" s="20">
        <v>-0.32</v>
      </c>
      <c r="Y2043" s="20">
        <v>0</v>
      </c>
      <c r="Z2043" s="20">
        <v>0</v>
      </c>
      <c r="AA2043" s="20">
        <v>0</v>
      </c>
      <c r="AB2043" s="20">
        <v>9.14</v>
      </c>
      <c r="AC2043" t="s">
        <v>188</v>
      </c>
      <c r="AD2043" t="s">
        <v>290</v>
      </c>
      <c r="AE2043" s="702">
        <f t="shared" si="155"/>
        <v>44348</v>
      </c>
      <c r="AF2043" s="289">
        <v>10.89684674462165</v>
      </c>
      <c r="AG2043">
        <f t="shared" si="156"/>
        <v>360</v>
      </c>
      <c r="AH2043" s="289">
        <f t="shared" si="157"/>
        <v>3.0269018735060139E-2</v>
      </c>
      <c r="AJ2043" s="289">
        <f t="shared" si="158"/>
        <v>18</v>
      </c>
      <c r="AK2043" s="289">
        <f t="shared" si="159"/>
        <v>0.54484233723108255</v>
      </c>
    </row>
    <row r="2044" spans="1:37">
      <c r="A2044" s="703" t="s">
        <v>3579</v>
      </c>
      <c r="B2044" s="703" t="s">
        <v>2849</v>
      </c>
      <c r="C2044" s="703" t="s">
        <v>390</v>
      </c>
      <c r="D2044" s="703" t="s">
        <v>334</v>
      </c>
      <c r="E2044" s="703" t="s">
        <v>334</v>
      </c>
      <c r="F2044" s="703" t="s">
        <v>335</v>
      </c>
      <c r="G2044" s="703" t="s">
        <v>3429</v>
      </c>
      <c r="H2044" s="703" t="s">
        <v>334</v>
      </c>
      <c r="I2044" s="703" t="s">
        <v>334</v>
      </c>
      <c r="J2044" s="703" t="s">
        <v>337</v>
      </c>
      <c r="K2044" s="704">
        <v>0</v>
      </c>
      <c r="L2044" s="703" t="s">
        <v>334</v>
      </c>
      <c r="M2044" s="702">
        <v>43251</v>
      </c>
      <c r="N2044" s="702">
        <v>44516</v>
      </c>
      <c r="O2044" s="703" t="s">
        <v>338</v>
      </c>
      <c r="P2044" s="20">
        <v>5.23</v>
      </c>
      <c r="Q2044" s="20">
        <v>0</v>
      </c>
      <c r="R2044" s="20">
        <v>0</v>
      </c>
      <c r="S2044" s="20">
        <v>0</v>
      </c>
      <c r="T2044" s="20">
        <v>5.23</v>
      </c>
      <c r="U2044" s="20">
        <v>5.22</v>
      </c>
      <c r="V2044" s="20">
        <v>-0.01</v>
      </c>
      <c r="W2044" s="20">
        <v>-0.18</v>
      </c>
      <c r="X2044" s="20">
        <v>-0.17</v>
      </c>
      <c r="Y2044" s="20">
        <v>0</v>
      </c>
      <c r="Z2044" s="20">
        <v>0</v>
      </c>
      <c r="AA2044" s="20">
        <v>0</v>
      </c>
      <c r="AB2044" s="20">
        <v>5.05</v>
      </c>
      <c r="AC2044" t="s">
        <v>188</v>
      </c>
      <c r="AD2044" t="s">
        <v>290</v>
      </c>
      <c r="AE2044" s="702">
        <f t="shared" si="155"/>
        <v>44348</v>
      </c>
      <c r="AF2044" s="289">
        <v>6.0053222839168834</v>
      </c>
      <c r="AG2044">
        <f t="shared" si="156"/>
        <v>360</v>
      </c>
      <c r="AH2044" s="289">
        <f t="shared" si="157"/>
        <v>1.6681450788658011E-2</v>
      </c>
      <c r="AJ2044" s="289">
        <f t="shared" si="158"/>
        <v>18</v>
      </c>
      <c r="AK2044" s="289">
        <f t="shared" si="159"/>
        <v>0.3002661141958442</v>
      </c>
    </row>
    <row r="2045" spans="1:37">
      <c r="A2045" s="703" t="s">
        <v>3580</v>
      </c>
      <c r="B2045" s="703" t="s">
        <v>2849</v>
      </c>
      <c r="C2045" s="703" t="s">
        <v>390</v>
      </c>
      <c r="D2045" s="703" t="s">
        <v>334</v>
      </c>
      <c r="E2045" s="703" t="s">
        <v>334</v>
      </c>
      <c r="F2045" s="703" t="s">
        <v>335</v>
      </c>
      <c r="G2045" s="703" t="s">
        <v>3429</v>
      </c>
      <c r="H2045" s="703" t="s">
        <v>334</v>
      </c>
      <c r="I2045" s="703" t="s">
        <v>334</v>
      </c>
      <c r="J2045" s="703" t="s">
        <v>337</v>
      </c>
      <c r="K2045" s="704">
        <v>0</v>
      </c>
      <c r="L2045" s="703" t="s">
        <v>334</v>
      </c>
      <c r="M2045" s="702">
        <v>43251</v>
      </c>
      <c r="N2045" s="702">
        <v>44516</v>
      </c>
      <c r="O2045" s="703" t="s">
        <v>338</v>
      </c>
      <c r="P2045" s="20">
        <v>74.069999999999993</v>
      </c>
      <c r="Q2045" s="20">
        <v>0</v>
      </c>
      <c r="R2045" s="20">
        <v>0</v>
      </c>
      <c r="S2045" s="20">
        <v>0</v>
      </c>
      <c r="T2045" s="20">
        <v>74.069999999999993</v>
      </c>
      <c r="U2045" s="20">
        <v>73.86</v>
      </c>
      <c r="V2045" s="20">
        <v>-0.21</v>
      </c>
      <c r="W2045" s="20">
        <v>-2.68</v>
      </c>
      <c r="X2045" s="20">
        <v>-2.4700000000000002</v>
      </c>
      <c r="Y2045" s="20">
        <v>0</v>
      </c>
      <c r="Z2045" s="20">
        <v>0</v>
      </c>
      <c r="AA2045" s="20">
        <v>0</v>
      </c>
      <c r="AB2045" s="20">
        <v>71.39</v>
      </c>
      <c r="AC2045" t="s">
        <v>188</v>
      </c>
      <c r="AD2045" t="s">
        <v>290</v>
      </c>
      <c r="AE2045" s="702">
        <f t="shared" si="155"/>
        <v>44348</v>
      </c>
      <c r="AF2045" s="289">
        <v>85.05052037662017</v>
      </c>
      <c r="AG2045">
        <f t="shared" si="156"/>
        <v>360</v>
      </c>
      <c r="AH2045" s="289">
        <f t="shared" si="157"/>
        <v>0.23625144549061158</v>
      </c>
      <c r="AJ2045" s="289">
        <f t="shared" si="158"/>
        <v>18</v>
      </c>
      <c r="AK2045" s="289">
        <f t="shared" si="159"/>
        <v>4.2525260188310083</v>
      </c>
    </row>
    <row r="2046" spans="1:37">
      <c r="A2046" s="703" t="s">
        <v>3581</v>
      </c>
      <c r="B2046" s="703" t="s">
        <v>2849</v>
      </c>
      <c r="C2046" s="703" t="s">
        <v>390</v>
      </c>
      <c r="D2046" s="703" t="s">
        <v>334</v>
      </c>
      <c r="E2046" s="703" t="s">
        <v>334</v>
      </c>
      <c r="F2046" s="703" t="s">
        <v>335</v>
      </c>
      <c r="G2046" s="703" t="s">
        <v>3429</v>
      </c>
      <c r="H2046" s="703" t="s">
        <v>334</v>
      </c>
      <c r="I2046" s="703" t="s">
        <v>334</v>
      </c>
      <c r="J2046" s="703" t="s">
        <v>337</v>
      </c>
      <c r="K2046" s="704">
        <v>0</v>
      </c>
      <c r="L2046" s="703" t="s">
        <v>334</v>
      </c>
      <c r="M2046" s="702">
        <v>43251</v>
      </c>
      <c r="N2046" s="702">
        <v>44516</v>
      </c>
      <c r="O2046" s="703" t="s">
        <v>338</v>
      </c>
      <c r="P2046" s="20">
        <v>37.049999999999997</v>
      </c>
      <c r="Q2046" s="20">
        <v>0</v>
      </c>
      <c r="R2046" s="20">
        <v>0</v>
      </c>
      <c r="S2046" s="20">
        <v>0</v>
      </c>
      <c r="T2046" s="20">
        <v>37.049999999999997</v>
      </c>
      <c r="U2046" s="20">
        <v>36.950000000000003</v>
      </c>
      <c r="V2046" s="20">
        <v>-0.1</v>
      </c>
      <c r="W2046" s="20">
        <v>-1.34</v>
      </c>
      <c r="X2046" s="20">
        <v>-1.24</v>
      </c>
      <c r="Y2046" s="20">
        <v>0</v>
      </c>
      <c r="Z2046" s="20">
        <v>0</v>
      </c>
      <c r="AA2046" s="20">
        <v>0</v>
      </c>
      <c r="AB2046" s="20">
        <v>35.71</v>
      </c>
      <c r="AC2046" t="s">
        <v>188</v>
      </c>
      <c r="AD2046" t="s">
        <v>290</v>
      </c>
      <c r="AE2046" s="702">
        <f t="shared" si="155"/>
        <v>44348</v>
      </c>
      <c r="AF2046" s="289">
        <v>42.542483865988629</v>
      </c>
      <c r="AG2046">
        <f t="shared" si="156"/>
        <v>360</v>
      </c>
      <c r="AH2046" s="289">
        <f t="shared" si="157"/>
        <v>0.11817356629441286</v>
      </c>
      <c r="AJ2046" s="289">
        <f t="shared" si="158"/>
        <v>18</v>
      </c>
      <c r="AK2046" s="289">
        <f t="shared" si="159"/>
        <v>2.1271241932994314</v>
      </c>
    </row>
    <row r="2047" spans="1:37">
      <c r="A2047" s="703" t="s">
        <v>3582</v>
      </c>
      <c r="B2047" s="703" t="s">
        <v>2849</v>
      </c>
      <c r="C2047" s="703" t="s">
        <v>390</v>
      </c>
      <c r="D2047" s="703" t="s">
        <v>334</v>
      </c>
      <c r="E2047" s="703" t="s">
        <v>334</v>
      </c>
      <c r="F2047" s="703" t="s">
        <v>335</v>
      </c>
      <c r="G2047" s="703" t="s">
        <v>3429</v>
      </c>
      <c r="H2047" s="703" t="s">
        <v>334</v>
      </c>
      <c r="I2047" s="703" t="s">
        <v>334</v>
      </c>
      <c r="J2047" s="703" t="s">
        <v>337</v>
      </c>
      <c r="K2047" s="704">
        <v>0</v>
      </c>
      <c r="L2047" s="703" t="s">
        <v>334</v>
      </c>
      <c r="M2047" s="702">
        <v>43251</v>
      </c>
      <c r="N2047" s="702">
        <v>44516</v>
      </c>
      <c r="O2047" s="703" t="s">
        <v>338</v>
      </c>
      <c r="P2047" s="20">
        <v>151.63999999999999</v>
      </c>
      <c r="Q2047" s="20">
        <v>0</v>
      </c>
      <c r="R2047" s="20">
        <v>0</v>
      </c>
      <c r="S2047" s="20">
        <v>0</v>
      </c>
      <c r="T2047" s="20">
        <v>151.63999999999999</v>
      </c>
      <c r="U2047" s="20">
        <v>151.22</v>
      </c>
      <c r="V2047" s="20">
        <v>-0.42</v>
      </c>
      <c r="W2047" s="20">
        <v>-5.47</v>
      </c>
      <c r="X2047" s="20">
        <v>-5.05</v>
      </c>
      <c r="Y2047" s="20">
        <v>0</v>
      </c>
      <c r="Z2047" s="20">
        <v>0</v>
      </c>
      <c r="AA2047" s="20">
        <v>0</v>
      </c>
      <c r="AB2047" s="20">
        <v>146.16999999999999</v>
      </c>
      <c r="AC2047" t="s">
        <v>188</v>
      </c>
      <c r="AD2047" t="s">
        <v>290</v>
      </c>
      <c r="AE2047" s="702">
        <f t="shared" si="155"/>
        <v>44348</v>
      </c>
      <c r="AF2047" s="289">
        <v>174.11989887823253</v>
      </c>
      <c r="AG2047">
        <f t="shared" si="156"/>
        <v>360</v>
      </c>
      <c r="AH2047" s="289">
        <f t="shared" si="157"/>
        <v>0.48366638577286813</v>
      </c>
      <c r="AJ2047" s="289">
        <f t="shared" si="158"/>
        <v>18</v>
      </c>
      <c r="AK2047" s="289">
        <f t="shared" si="159"/>
        <v>8.7059949439116266</v>
      </c>
    </row>
    <row r="2048" spans="1:37">
      <c r="A2048" s="703" t="s">
        <v>3583</v>
      </c>
      <c r="B2048" s="703" t="s">
        <v>2849</v>
      </c>
      <c r="C2048" s="703" t="s">
        <v>390</v>
      </c>
      <c r="D2048" s="703" t="s">
        <v>334</v>
      </c>
      <c r="E2048" s="703" t="s">
        <v>334</v>
      </c>
      <c r="F2048" s="703" t="s">
        <v>335</v>
      </c>
      <c r="G2048" s="703" t="s">
        <v>3429</v>
      </c>
      <c r="H2048" s="703" t="s">
        <v>334</v>
      </c>
      <c r="I2048" s="703" t="s">
        <v>334</v>
      </c>
      <c r="J2048" s="703" t="s">
        <v>337</v>
      </c>
      <c r="K2048" s="704">
        <v>0</v>
      </c>
      <c r="L2048" s="703" t="s">
        <v>334</v>
      </c>
      <c r="M2048" s="702">
        <v>43251</v>
      </c>
      <c r="N2048" s="702">
        <v>44516</v>
      </c>
      <c r="O2048" s="703" t="s">
        <v>338</v>
      </c>
      <c r="P2048" s="20">
        <v>32.299999999999997</v>
      </c>
      <c r="Q2048" s="20">
        <v>0</v>
      </c>
      <c r="R2048" s="20">
        <v>0</v>
      </c>
      <c r="S2048" s="20">
        <v>0</v>
      </c>
      <c r="T2048" s="20">
        <v>32.299999999999997</v>
      </c>
      <c r="U2048" s="20">
        <v>32.21</v>
      </c>
      <c r="V2048" s="20">
        <v>-0.09</v>
      </c>
      <c r="W2048" s="20">
        <v>-1.17</v>
      </c>
      <c r="X2048" s="20">
        <v>-1.08</v>
      </c>
      <c r="Y2048" s="20">
        <v>0</v>
      </c>
      <c r="Z2048" s="20">
        <v>0</v>
      </c>
      <c r="AA2048" s="20">
        <v>0</v>
      </c>
      <c r="AB2048" s="20">
        <v>31.13</v>
      </c>
      <c r="AC2048" t="s">
        <v>188</v>
      </c>
      <c r="AD2048" t="s">
        <v>290</v>
      </c>
      <c r="AE2048" s="702">
        <f t="shared" si="155"/>
        <v>44348</v>
      </c>
      <c r="AF2048" s="289">
        <v>37.088319267784954</v>
      </c>
      <c r="AG2048">
        <f t="shared" si="156"/>
        <v>360</v>
      </c>
      <c r="AH2048" s="289">
        <f t="shared" si="157"/>
        <v>0.10302310907718043</v>
      </c>
      <c r="AJ2048" s="289">
        <f t="shared" si="158"/>
        <v>18</v>
      </c>
      <c r="AK2048" s="289">
        <f t="shared" si="159"/>
        <v>1.8544159633892479</v>
      </c>
    </row>
    <row r="2049" spans="1:37">
      <c r="A2049" s="703" t="s">
        <v>3584</v>
      </c>
      <c r="B2049" s="703" t="s">
        <v>2849</v>
      </c>
      <c r="C2049" s="703" t="s">
        <v>390</v>
      </c>
      <c r="D2049" s="703" t="s">
        <v>334</v>
      </c>
      <c r="E2049" s="703" t="s">
        <v>334</v>
      </c>
      <c r="F2049" s="703" t="s">
        <v>335</v>
      </c>
      <c r="G2049" s="703" t="s">
        <v>3429</v>
      </c>
      <c r="H2049" s="703" t="s">
        <v>334</v>
      </c>
      <c r="I2049" s="703" t="s">
        <v>334</v>
      </c>
      <c r="J2049" s="703" t="s">
        <v>337</v>
      </c>
      <c r="K2049" s="704">
        <v>0</v>
      </c>
      <c r="L2049" s="703" t="s">
        <v>334</v>
      </c>
      <c r="M2049" s="702">
        <v>43251</v>
      </c>
      <c r="N2049" s="702">
        <v>44516</v>
      </c>
      <c r="O2049" s="703" t="s">
        <v>338</v>
      </c>
      <c r="P2049" s="20">
        <v>87.21</v>
      </c>
      <c r="Q2049" s="20">
        <v>0</v>
      </c>
      <c r="R2049" s="20">
        <v>0</v>
      </c>
      <c r="S2049" s="20">
        <v>0</v>
      </c>
      <c r="T2049" s="20">
        <v>87.21</v>
      </c>
      <c r="U2049" s="20">
        <v>86.97</v>
      </c>
      <c r="V2049" s="20">
        <v>-0.24</v>
      </c>
      <c r="W2049" s="20">
        <v>-3.15</v>
      </c>
      <c r="X2049" s="20">
        <v>-2.91</v>
      </c>
      <c r="Y2049" s="20">
        <v>0</v>
      </c>
      <c r="Z2049" s="20">
        <v>0</v>
      </c>
      <c r="AA2049" s="20">
        <v>0</v>
      </c>
      <c r="AB2049" s="20">
        <v>84.06</v>
      </c>
      <c r="AC2049" t="s">
        <v>188</v>
      </c>
      <c r="AD2049" t="s">
        <v>290</v>
      </c>
      <c r="AE2049" s="702">
        <f t="shared" si="155"/>
        <v>44348</v>
      </c>
      <c r="AF2049" s="289">
        <v>100.13846202301939</v>
      </c>
      <c r="AG2049">
        <f t="shared" si="156"/>
        <v>360</v>
      </c>
      <c r="AH2049" s="289">
        <f t="shared" si="157"/>
        <v>0.2781623945083872</v>
      </c>
      <c r="AJ2049" s="289">
        <f t="shared" si="158"/>
        <v>18</v>
      </c>
      <c r="AK2049" s="289">
        <f t="shared" si="159"/>
        <v>5.0069231011509698</v>
      </c>
    </row>
    <row r="2050" spans="1:37">
      <c r="A2050" s="703" t="s">
        <v>3585</v>
      </c>
      <c r="B2050" s="703" t="s">
        <v>2849</v>
      </c>
      <c r="C2050" s="703" t="s">
        <v>390</v>
      </c>
      <c r="D2050" s="703" t="s">
        <v>334</v>
      </c>
      <c r="E2050" s="703" t="s">
        <v>334</v>
      </c>
      <c r="F2050" s="703" t="s">
        <v>335</v>
      </c>
      <c r="G2050" s="703" t="s">
        <v>3429</v>
      </c>
      <c r="H2050" s="703" t="s">
        <v>334</v>
      </c>
      <c r="I2050" s="703" t="s">
        <v>334</v>
      </c>
      <c r="J2050" s="703" t="s">
        <v>337</v>
      </c>
      <c r="K2050" s="704">
        <v>0</v>
      </c>
      <c r="L2050" s="703" t="s">
        <v>334</v>
      </c>
      <c r="M2050" s="702">
        <v>43251</v>
      </c>
      <c r="N2050" s="702">
        <v>44516</v>
      </c>
      <c r="O2050" s="703" t="s">
        <v>338</v>
      </c>
      <c r="P2050" s="20">
        <v>32.24</v>
      </c>
      <c r="Q2050" s="20">
        <v>0</v>
      </c>
      <c r="R2050" s="20">
        <v>0</v>
      </c>
      <c r="S2050" s="20">
        <v>0</v>
      </c>
      <c r="T2050" s="20">
        <v>32.24</v>
      </c>
      <c r="U2050" s="20">
        <v>32.15</v>
      </c>
      <c r="V2050" s="20">
        <v>-0.09</v>
      </c>
      <c r="W2050" s="20">
        <v>-1.1599999999999999</v>
      </c>
      <c r="X2050" s="20">
        <v>-1.07</v>
      </c>
      <c r="Y2050" s="20">
        <v>0</v>
      </c>
      <c r="Z2050" s="20">
        <v>0</v>
      </c>
      <c r="AA2050" s="20">
        <v>0</v>
      </c>
      <c r="AB2050" s="20">
        <v>31.08</v>
      </c>
      <c r="AC2050" t="s">
        <v>188</v>
      </c>
      <c r="AD2050" t="s">
        <v>290</v>
      </c>
      <c r="AE2050" s="702">
        <f t="shared" si="155"/>
        <v>44348</v>
      </c>
      <c r="AF2050" s="289">
        <v>37.019424557070813</v>
      </c>
      <c r="AG2050">
        <f t="shared" si="156"/>
        <v>360</v>
      </c>
      <c r="AH2050" s="289">
        <f t="shared" si="157"/>
        <v>0.10283173488075226</v>
      </c>
      <c r="AJ2050" s="289">
        <f t="shared" si="158"/>
        <v>18</v>
      </c>
      <c r="AK2050" s="289">
        <f t="shared" si="159"/>
        <v>1.8509712278535406</v>
      </c>
    </row>
    <row r="2051" spans="1:37">
      <c r="A2051" s="703" t="s">
        <v>3586</v>
      </c>
      <c r="B2051" s="703" t="s">
        <v>2849</v>
      </c>
      <c r="C2051" s="703" t="s">
        <v>390</v>
      </c>
      <c r="D2051" s="703" t="s">
        <v>334</v>
      </c>
      <c r="E2051" s="703" t="s">
        <v>334</v>
      </c>
      <c r="F2051" s="703" t="s">
        <v>335</v>
      </c>
      <c r="G2051" s="703" t="s">
        <v>3429</v>
      </c>
      <c r="H2051" s="703" t="s">
        <v>334</v>
      </c>
      <c r="I2051" s="703" t="s">
        <v>334</v>
      </c>
      <c r="J2051" s="703" t="s">
        <v>337</v>
      </c>
      <c r="K2051" s="704">
        <v>0</v>
      </c>
      <c r="L2051" s="703" t="s">
        <v>334</v>
      </c>
      <c r="M2051" s="702">
        <v>43251</v>
      </c>
      <c r="N2051" s="702">
        <v>44516</v>
      </c>
      <c r="O2051" s="703" t="s">
        <v>338</v>
      </c>
      <c r="P2051" s="20">
        <v>238.02</v>
      </c>
      <c r="Q2051" s="20">
        <v>0</v>
      </c>
      <c r="R2051" s="20">
        <v>0</v>
      </c>
      <c r="S2051" s="20">
        <v>0</v>
      </c>
      <c r="T2051" s="20">
        <v>238.02</v>
      </c>
      <c r="U2051" s="20">
        <v>237.36</v>
      </c>
      <c r="V2051" s="20">
        <v>-0.66</v>
      </c>
      <c r="W2051" s="20">
        <v>-8.59</v>
      </c>
      <c r="X2051" s="20">
        <v>-7.93</v>
      </c>
      <c r="Y2051" s="20">
        <v>0</v>
      </c>
      <c r="Z2051" s="20">
        <v>0</v>
      </c>
      <c r="AA2051" s="20">
        <v>0</v>
      </c>
      <c r="AB2051" s="20">
        <v>229.43</v>
      </c>
      <c r="AC2051" t="s">
        <v>188</v>
      </c>
      <c r="AD2051" t="s">
        <v>290</v>
      </c>
      <c r="AE2051" s="702">
        <f t="shared" si="155"/>
        <v>44348</v>
      </c>
      <c r="AF2051" s="289">
        <v>273.30531740303951</v>
      </c>
      <c r="AG2051">
        <f t="shared" si="156"/>
        <v>360</v>
      </c>
      <c r="AH2051" s="289">
        <f t="shared" si="157"/>
        <v>0.75918143723066533</v>
      </c>
      <c r="AJ2051" s="289">
        <f t="shared" si="158"/>
        <v>18</v>
      </c>
      <c r="AK2051" s="289">
        <f t="shared" si="159"/>
        <v>13.665265870151977</v>
      </c>
    </row>
    <row r="2052" spans="1:37">
      <c r="A2052" s="703" t="s">
        <v>3587</v>
      </c>
      <c r="B2052" s="703" t="s">
        <v>2849</v>
      </c>
      <c r="C2052" s="703" t="s">
        <v>390</v>
      </c>
      <c r="D2052" s="703" t="s">
        <v>334</v>
      </c>
      <c r="E2052" s="703" t="s">
        <v>334</v>
      </c>
      <c r="F2052" s="703" t="s">
        <v>335</v>
      </c>
      <c r="G2052" s="703" t="s">
        <v>3429</v>
      </c>
      <c r="H2052" s="703" t="s">
        <v>334</v>
      </c>
      <c r="I2052" s="703" t="s">
        <v>334</v>
      </c>
      <c r="J2052" s="703" t="s">
        <v>337</v>
      </c>
      <c r="K2052" s="704">
        <v>0</v>
      </c>
      <c r="L2052" s="703" t="s">
        <v>334</v>
      </c>
      <c r="M2052" s="702">
        <v>43251</v>
      </c>
      <c r="N2052" s="702">
        <v>44516</v>
      </c>
      <c r="O2052" s="703" t="s">
        <v>338</v>
      </c>
      <c r="P2052" s="20">
        <v>3500.85</v>
      </c>
      <c r="Q2052" s="20">
        <v>0</v>
      </c>
      <c r="R2052" s="20">
        <v>0</v>
      </c>
      <c r="S2052" s="20">
        <v>0</v>
      </c>
      <c r="T2052" s="20">
        <v>3500.85</v>
      </c>
      <c r="U2052" s="20">
        <v>3491.13</v>
      </c>
      <c r="V2052" s="20">
        <v>-9.7200000000000006</v>
      </c>
      <c r="W2052" s="20">
        <v>-126.42</v>
      </c>
      <c r="X2052" s="20">
        <v>-116.7</v>
      </c>
      <c r="Y2052" s="20">
        <v>0</v>
      </c>
      <c r="Z2052" s="20">
        <v>0</v>
      </c>
      <c r="AA2052" s="20">
        <v>0</v>
      </c>
      <c r="AB2052" s="20">
        <v>3374.43</v>
      </c>
      <c r="AC2052" t="s">
        <v>188</v>
      </c>
      <c r="AD2052" t="s">
        <v>290</v>
      </c>
      <c r="AE2052" s="702">
        <f t="shared" si="155"/>
        <v>44348</v>
      </c>
      <c r="AF2052" s="289">
        <v>4019.834133393962</v>
      </c>
      <c r="AG2052">
        <f t="shared" si="156"/>
        <v>360</v>
      </c>
      <c r="AH2052" s="289">
        <f t="shared" si="157"/>
        <v>11.166205926094339</v>
      </c>
      <c r="AJ2052" s="289">
        <f t="shared" si="158"/>
        <v>18</v>
      </c>
      <c r="AK2052" s="289">
        <f t="shared" si="159"/>
        <v>200.99170666969809</v>
      </c>
    </row>
    <row r="2053" spans="1:37">
      <c r="A2053" s="703" t="s">
        <v>3588</v>
      </c>
      <c r="B2053" s="703" t="s">
        <v>2849</v>
      </c>
      <c r="C2053" s="703" t="s">
        <v>390</v>
      </c>
      <c r="D2053" s="703" t="s">
        <v>334</v>
      </c>
      <c r="E2053" s="703" t="s">
        <v>334</v>
      </c>
      <c r="F2053" s="703" t="s">
        <v>335</v>
      </c>
      <c r="G2053" s="703" t="s">
        <v>3429</v>
      </c>
      <c r="H2053" s="703" t="s">
        <v>334</v>
      </c>
      <c r="I2053" s="703" t="s">
        <v>334</v>
      </c>
      <c r="J2053" s="703" t="s">
        <v>337</v>
      </c>
      <c r="K2053" s="704">
        <v>0</v>
      </c>
      <c r="L2053" s="703" t="s">
        <v>334</v>
      </c>
      <c r="M2053" s="702">
        <v>43251</v>
      </c>
      <c r="N2053" s="702">
        <v>44516</v>
      </c>
      <c r="O2053" s="703" t="s">
        <v>338</v>
      </c>
      <c r="P2053" s="20">
        <v>127.54</v>
      </c>
      <c r="Q2053" s="20">
        <v>0</v>
      </c>
      <c r="R2053" s="20">
        <v>0</v>
      </c>
      <c r="S2053" s="20">
        <v>0</v>
      </c>
      <c r="T2053" s="20">
        <v>127.54</v>
      </c>
      <c r="U2053" s="20">
        <v>127.19</v>
      </c>
      <c r="V2053" s="20">
        <v>-0.35</v>
      </c>
      <c r="W2053" s="20">
        <v>-4.5999999999999996</v>
      </c>
      <c r="X2053" s="20">
        <v>-4.25</v>
      </c>
      <c r="Y2053" s="20">
        <v>0</v>
      </c>
      <c r="Z2053" s="20">
        <v>0</v>
      </c>
      <c r="AA2053" s="20">
        <v>0</v>
      </c>
      <c r="AB2053" s="20">
        <v>122.94</v>
      </c>
      <c r="AC2053" t="s">
        <v>188</v>
      </c>
      <c r="AD2053" t="s">
        <v>290</v>
      </c>
      <c r="AE2053" s="702">
        <f t="shared" si="155"/>
        <v>44348</v>
      </c>
      <c r="AF2053" s="289">
        <v>146.447190074715</v>
      </c>
      <c r="AG2053">
        <f t="shared" si="156"/>
        <v>360</v>
      </c>
      <c r="AH2053" s="289">
        <f t="shared" si="157"/>
        <v>0.40679775020754166</v>
      </c>
      <c r="AJ2053" s="289">
        <f t="shared" si="158"/>
        <v>18</v>
      </c>
      <c r="AK2053" s="289">
        <f t="shared" si="159"/>
        <v>7.3223595037357496</v>
      </c>
    </row>
    <row r="2054" spans="1:37">
      <c r="A2054" s="703" t="s">
        <v>3589</v>
      </c>
      <c r="B2054" s="703" t="s">
        <v>2849</v>
      </c>
      <c r="C2054" s="703" t="s">
        <v>390</v>
      </c>
      <c r="D2054" s="703" t="s">
        <v>334</v>
      </c>
      <c r="E2054" s="703" t="s">
        <v>334</v>
      </c>
      <c r="F2054" s="703" t="s">
        <v>335</v>
      </c>
      <c r="G2054" s="703" t="s">
        <v>3590</v>
      </c>
      <c r="H2054" s="703" t="s">
        <v>334</v>
      </c>
      <c r="I2054" s="703" t="s">
        <v>334</v>
      </c>
      <c r="J2054" s="703" t="s">
        <v>337</v>
      </c>
      <c r="K2054" s="704">
        <v>0</v>
      </c>
      <c r="L2054" s="703" t="s">
        <v>334</v>
      </c>
      <c r="M2054" s="702">
        <v>43251</v>
      </c>
      <c r="N2054" s="702">
        <v>44516</v>
      </c>
      <c r="O2054" s="703" t="s">
        <v>338</v>
      </c>
      <c r="P2054" s="20">
        <v>485.98</v>
      </c>
      <c r="Q2054" s="20">
        <v>0</v>
      </c>
      <c r="R2054" s="20">
        <v>0</v>
      </c>
      <c r="S2054" s="20">
        <v>0</v>
      </c>
      <c r="T2054" s="20">
        <v>485.98</v>
      </c>
      <c r="U2054" s="20">
        <v>484.63</v>
      </c>
      <c r="V2054" s="20">
        <v>-1.35</v>
      </c>
      <c r="W2054" s="20">
        <v>-17.55</v>
      </c>
      <c r="X2054" s="20">
        <v>-16.2</v>
      </c>
      <c r="Y2054" s="20">
        <v>0</v>
      </c>
      <c r="Z2054" s="20">
        <v>0</v>
      </c>
      <c r="AA2054" s="20">
        <v>0</v>
      </c>
      <c r="AB2054" s="20">
        <v>468.43</v>
      </c>
      <c r="AC2054" t="s">
        <v>188</v>
      </c>
      <c r="AD2054" t="s">
        <v>290</v>
      </c>
      <c r="AE2054" s="702">
        <f t="shared" si="155"/>
        <v>44348</v>
      </c>
      <c r="AF2054" s="289">
        <v>558.02419188105671</v>
      </c>
      <c r="AG2054">
        <f t="shared" si="156"/>
        <v>360</v>
      </c>
      <c r="AH2054" s="289">
        <f t="shared" si="157"/>
        <v>1.550067199669602</v>
      </c>
      <c r="AJ2054" s="289">
        <f t="shared" si="158"/>
        <v>18</v>
      </c>
      <c r="AK2054" s="289">
        <f t="shared" si="159"/>
        <v>27.901209594052837</v>
      </c>
    </row>
    <row r="2055" spans="1:37">
      <c r="A2055" s="703" t="s">
        <v>3591</v>
      </c>
      <c r="B2055" s="703" t="s">
        <v>2849</v>
      </c>
      <c r="C2055" s="703" t="s">
        <v>390</v>
      </c>
      <c r="D2055" s="703" t="s">
        <v>334</v>
      </c>
      <c r="E2055" s="703" t="s">
        <v>334</v>
      </c>
      <c r="F2055" s="703" t="s">
        <v>335</v>
      </c>
      <c r="G2055" s="703" t="s">
        <v>3590</v>
      </c>
      <c r="H2055" s="703" t="s">
        <v>334</v>
      </c>
      <c r="I2055" s="703" t="s">
        <v>334</v>
      </c>
      <c r="J2055" s="703" t="s">
        <v>337</v>
      </c>
      <c r="K2055" s="704">
        <v>0</v>
      </c>
      <c r="L2055" s="703" t="s">
        <v>334</v>
      </c>
      <c r="M2055" s="702">
        <v>43251</v>
      </c>
      <c r="N2055" s="702">
        <v>44516</v>
      </c>
      <c r="O2055" s="703" t="s">
        <v>338</v>
      </c>
      <c r="P2055" s="20">
        <v>4.2</v>
      </c>
      <c r="Q2055" s="20">
        <v>0</v>
      </c>
      <c r="R2055" s="20">
        <v>0</v>
      </c>
      <c r="S2055" s="20">
        <v>0</v>
      </c>
      <c r="T2055" s="20">
        <v>4.2</v>
      </c>
      <c r="U2055" s="20">
        <v>4.1900000000000004</v>
      </c>
      <c r="V2055" s="20">
        <v>-0.01</v>
      </c>
      <c r="W2055" s="20">
        <v>-0.15</v>
      </c>
      <c r="X2055" s="20">
        <v>-0.14000000000000001</v>
      </c>
      <c r="Y2055" s="20">
        <v>0</v>
      </c>
      <c r="Z2055" s="20">
        <v>0</v>
      </c>
      <c r="AA2055" s="20">
        <v>0</v>
      </c>
      <c r="AB2055" s="20">
        <v>4.05</v>
      </c>
      <c r="AC2055" t="s">
        <v>188</v>
      </c>
      <c r="AD2055" t="s">
        <v>290</v>
      </c>
      <c r="AE2055" s="702">
        <f t="shared" ref="AE2055:AE2118" si="160">IF(N2055&gt;=$AG$5,DATE(YEAR(N2055),6,1),DATE(YEAR(N2055),6,1))</f>
        <v>44348</v>
      </c>
      <c r="AF2055" s="289">
        <v>4.8226297499906146</v>
      </c>
      <c r="AG2055">
        <f t="shared" ref="AG2055:AG2118" si="161">+IF(AD2055="intangível",20*12,IF(AD2055="Diferido",120,IF(AD2055="Não vinculados",0,IF(AE2055&lt;=$AG$5,F2055*12,360))))</f>
        <v>360</v>
      </c>
      <c r="AH2055" s="289">
        <f t="shared" ref="AH2055:AH2118" si="162">IF(AG2055=0,0,AF2055/AG2055)</f>
        <v>1.3396193749973929E-2</v>
      </c>
      <c r="AJ2055" s="289">
        <f t="shared" ref="AJ2055:AJ2118" si="163">+IF(AND(YEAR(AE2055)&gt;=2018,YEAR(AE2055)&lt;=2022),IF(DATEDIF(AE2055,$AK$4,"m")&gt;=AG2055,AG2055,DATEDIF(AE2055,$AK$4,"m")),0)</f>
        <v>18</v>
      </c>
      <c r="AK2055" s="289">
        <f t="shared" ref="AK2055:AK2118" si="164">IF(AD2055="Imobilizado",AJ2055*AH2055,0)</f>
        <v>0.24113148749953073</v>
      </c>
    </row>
    <row r="2056" spans="1:37">
      <c r="A2056" s="703" t="s">
        <v>3592</v>
      </c>
      <c r="B2056" s="703" t="s">
        <v>2849</v>
      </c>
      <c r="C2056" s="703" t="s">
        <v>390</v>
      </c>
      <c r="D2056" s="703" t="s">
        <v>334</v>
      </c>
      <c r="E2056" s="703" t="s">
        <v>334</v>
      </c>
      <c r="F2056" s="703" t="s">
        <v>335</v>
      </c>
      <c r="G2056" s="703" t="s">
        <v>3590</v>
      </c>
      <c r="H2056" s="703" t="s">
        <v>334</v>
      </c>
      <c r="I2056" s="703" t="s">
        <v>334</v>
      </c>
      <c r="J2056" s="703" t="s">
        <v>337</v>
      </c>
      <c r="K2056" s="704">
        <v>0</v>
      </c>
      <c r="L2056" s="703" t="s">
        <v>334</v>
      </c>
      <c r="M2056" s="702">
        <v>43251</v>
      </c>
      <c r="N2056" s="702">
        <v>44516</v>
      </c>
      <c r="O2056" s="703" t="s">
        <v>338</v>
      </c>
      <c r="P2056" s="20">
        <v>9.49</v>
      </c>
      <c r="Q2056" s="20">
        <v>0</v>
      </c>
      <c r="R2056" s="20">
        <v>0</v>
      </c>
      <c r="S2056" s="20">
        <v>0</v>
      </c>
      <c r="T2056" s="20">
        <v>9.49</v>
      </c>
      <c r="U2056" s="20">
        <v>9.4600000000000009</v>
      </c>
      <c r="V2056" s="20">
        <v>-0.03</v>
      </c>
      <c r="W2056" s="20">
        <v>-0.35</v>
      </c>
      <c r="X2056" s="20">
        <v>-0.32</v>
      </c>
      <c r="Y2056" s="20">
        <v>0</v>
      </c>
      <c r="Z2056" s="20">
        <v>0</v>
      </c>
      <c r="AA2056" s="20">
        <v>0</v>
      </c>
      <c r="AB2056" s="20">
        <v>9.14</v>
      </c>
      <c r="AC2056" t="s">
        <v>188</v>
      </c>
      <c r="AD2056" t="s">
        <v>290</v>
      </c>
      <c r="AE2056" s="702">
        <f t="shared" si="160"/>
        <v>44348</v>
      </c>
      <c r="AF2056" s="289">
        <v>10.89684674462165</v>
      </c>
      <c r="AG2056">
        <f t="shared" si="161"/>
        <v>360</v>
      </c>
      <c r="AH2056" s="289">
        <f t="shared" si="162"/>
        <v>3.0269018735060139E-2</v>
      </c>
      <c r="AJ2056" s="289">
        <f t="shared" si="163"/>
        <v>18</v>
      </c>
      <c r="AK2056" s="289">
        <f t="shared" si="164"/>
        <v>0.54484233723108255</v>
      </c>
    </row>
    <row r="2057" spans="1:37">
      <c r="A2057" s="703" t="s">
        <v>3593</v>
      </c>
      <c r="B2057" s="703" t="s">
        <v>2849</v>
      </c>
      <c r="C2057" s="703" t="s">
        <v>390</v>
      </c>
      <c r="D2057" s="703" t="s">
        <v>334</v>
      </c>
      <c r="E2057" s="703" t="s">
        <v>334</v>
      </c>
      <c r="F2057" s="703" t="s">
        <v>335</v>
      </c>
      <c r="G2057" s="703" t="s">
        <v>3590</v>
      </c>
      <c r="H2057" s="703" t="s">
        <v>334</v>
      </c>
      <c r="I2057" s="703" t="s">
        <v>334</v>
      </c>
      <c r="J2057" s="703" t="s">
        <v>337</v>
      </c>
      <c r="K2057" s="704">
        <v>0</v>
      </c>
      <c r="L2057" s="703" t="s">
        <v>334</v>
      </c>
      <c r="M2057" s="702">
        <v>43251</v>
      </c>
      <c r="N2057" s="702">
        <v>44516</v>
      </c>
      <c r="O2057" s="703" t="s">
        <v>338</v>
      </c>
      <c r="P2057" s="20">
        <v>135.52000000000001</v>
      </c>
      <c r="Q2057" s="20">
        <v>0</v>
      </c>
      <c r="R2057" s="20">
        <v>0</v>
      </c>
      <c r="S2057" s="20">
        <v>0</v>
      </c>
      <c r="T2057" s="20">
        <v>135.52000000000001</v>
      </c>
      <c r="U2057" s="20">
        <v>135.13999999999999</v>
      </c>
      <c r="V2057" s="20">
        <v>-0.38</v>
      </c>
      <c r="W2057" s="20">
        <v>-4.9000000000000004</v>
      </c>
      <c r="X2057" s="20">
        <v>-4.5199999999999996</v>
      </c>
      <c r="Y2057" s="20">
        <v>0</v>
      </c>
      <c r="Z2057" s="20">
        <v>0</v>
      </c>
      <c r="AA2057" s="20">
        <v>0</v>
      </c>
      <c r="AB2057" s="20">
        <v>130.62</v>
      </c>
      <c r="AC2057" t="s">
        <v>188</v>
      </c>
      <c r="AD2057" t="s">
        <v>290</v>
      </c>
      <c r="AE2057" s="702">
        <f t="shared" si="160"/>
        <v>44348</v>
      </c>
      <c r="AF2057" s="289">
        <v>155.61018659969713</v>
      </c>
      <c r="AG2057">
        <f t="shared" si="161"/>
        <v>360</v>
      </c>
      <c r="AH2057" s="289">
        <f t="shared" si="162"/>
        <v>0.43225051833249201</v>
      </c>
      <c r="AJ2057" s="289">
        <f t="shared" si="163"/>
        <v>18</v>
      </c>
      <c r="AK2057" s="289">
        <f t="shared" si="164"/>
        <v>7.7805093299848558</v>
      </c>
    </row>
    <row r="2058" spans="1:37">
      <c r="A2058" s="703" t="s">
        <v>3594</v>
      </c>
      <c r="B2058" s="703" t="s">
        <v>2849</v>
      </c>
      <c r="C2058" s="703" t="s">
        <v>390</v>
      </c>
      <c r="D2058" s="703" t="s">
        <v>334</v>
      </c>
      <c r="E2058" s="703" t="s">
        <v>334</v>
      </c>
      <c r="F2058" s="703" t="s">
        <v>335</v>
      </c>
      <c r="G2058" s="703" t="s">
        <v>3590</v>
      </c>
      <c r="H2058" s="703" t="s">
        <v>334</v>
      </c>
      <c r="I2058" s="703" t="s">
        <v>334</v>
      </c>
      <c r="J2058" s="703" t="s">
        <v>337</v>
      </c>
      <c r="K2058" s="704">
        <v>0</v>
      </c>
      <c r="L2058" s="703" t="s">
        <v>334</v>
      </c>
      <c r="M2058" s="702">
        <v>43251</v>
      </c>
      <c r="N2058" s="702">
        <v>44516</v>
      </c>
      <c r="O2058" s="703" t="s">
        <v>338</v>
      </c>
      <c r="P2058" s="20">
        <v>19.579999999999998</v>
      </c>
      <c r="Q2058" s="20">
        <v>0</v>
      </c>
      <c r="R2058" s="20">
        <v>0</v>
      </c>
      <c r="S2058" s="20">
        <v>0</v>
      </c>
      <c r="T2058" s="20">
        <v>19.579999999999998</v>
      </c>
      <c r="U2058" s="20">
        <v>19.53</v>
      </c>
      <c r="V2058" s="20">
        <v>-0.05</v>
      </c>
      <c r="W2058" s="20">
        <v>-0.7</v>
      </c>
      <c r="X2058" s="20">
        <v>-0.65</v>
      </c>
      <c r="Y2058" s="20">
        <v>0</v>
      </c>
      <c r="Z2058" s="20">
        <v>0</v>
      </c>
      <c r="AA2058" s="20">
        <v>0</v>
      </c>
      <c r="AB2058" s="20">
        <v>18.88</v>
      </c>
      <c r="AC2058" t="s">
        <v>188</v>
      </c>
      <c r="AD2058" t="s">
        <v>290</v>
      </c>
      <c r="AE2058" s="702">
        <f t="shared" si="160"/>
        <v>44348</v>
      </c>
      <c r="AF2058" s="289">
        <v>22.482640596384812</v>
      </c>
      <c r="AG2058">
        <f t="shared" si="161"/>
        <v>360</v>
      </c>
      <c r="AH2058" s="289">
        <f t="shared" si="162"/>
        <v>6.2451779434402256E-2</v>
      </c>
      <c r="AJ2058" s="289">
        <f t="shared" si="163"/>
        <v>18</v>
      </c>
      <c r="AK2058" s="289">
        <f t="shared" si="164"/>
        <v>1.1241320298192405</v>
      </c>
    </row>
    <row r="2059" spans="1:37">
      <c r="A2059" s="703" t="s">
        <v>3595</v>
      </c>
      <c r="B2059" s="703" t="s">
        <v>2849</v>
      </c>
      <c r="C2059" s="703" t="s">
        <v>390</v>
      </c>
      <c r="D2059" s="703" t="s">
        <v>334</v>
      </c>
      <c r="E2059" s="703" t="s">
        <v>334</v>
      </c>
      <c r="F2059" s="703" t="s">
        <v>335</v>
      </c>
      <c r="G2059" s="703" t="s">
        <v>3590</v>
      </c>
      <c r="H2059" s="703" t="s">
        <v>334</v>
      </c>
      <c r="I2059" s="703" t="s">
        <v>334</v>
      </c>
      <c r="J2059" s="703" t="s">
        <v>337</v>
      </c>
      <c r="K2059" s="704">
        <v>0</v>
      </c>
      <c r="L2059" s="703" t="s">
        <v>334</v>
      </c>
      <c r="M2059" s="702">
        <v>43251</v>
      </c>
      <c r="N2059" s="702">
        <v>44516</v>
      </c>
      <c r="O2059" s="703" t="s">
        <v>338</v>
      </c>
      <c r="P2059" s="20">
        <v>13.26</v>
      </c>
      <c r="Q2059" s="20">
        <v>0</v>
      </c>
      <c r="R2059" s="20">
        <v>0</v>
      </c>
      <c r="S2059" s="20">
        <v>0</v>
      </c>
      <c r="T2059" s="20">
        <v>13.26</v>
      </c>
      <c r="U2059" s="20">
        <v>13.22</v>
      </c>
      <c r="V2059" s="20">
        <v>-0.04</v>
      </c>
      <c r="W2059" s="20">
        <v>-0.48</v>
      </c>
      <c r="X2059" s="20">
        <v>-0.44</v>
      </c>
      <c r="Y2059" s="20">
        <v>0</v>
      </c>
      <c r="Z2059" s="20">
        <v>0</v>
      </c>
      <c r="AA2059" s="20">
        <v>0</v>
      </c>
      <c r="AB2059" s="20">
        <v>12.78</v>
      </c>
      <c r="AC2059" t="s">
        <v>188</v>
      </c>
      <c r="AD2059" t="s">
        <v>290</v>
      </c>
      <c r="AE2059" s="702">
        <f t="shared" si="160"/>
        <v>44348</v>
      </c>
      <c r="AF2059" s="289">
        <v>15.225731067827509</v>
      </c>
      <c r="AG2059">
        <f t="shared" si="161"/>
        <v>360</v>
      </c>
      <c r="AH2059" s="289">
        <f t="shared" si="162"/>
        <v>4.2293697410631971E-2</v>
      </c>
      <c r="AJ2059" s="289">
        <f t="shared" si="163"/>
        <v>18</v>
      </c>
      <c r="AK2059" s="289">
        <f t="shared" si="164"/>
        <v>0.76128655339137552</v>
      </c>
    </row>
    <row r="2060" spans="1:37">
      <c r="A2060" s="703" t="s">
        <v>3596</v>
      </c>
      <c r="B2060" s="703" t="s">
        <v>2849</v>
      </c>
      <c r="C2060" s="703" t="s">
        <v>390</v>
      </c>
      <c r="D2060" s="703" t="s">
        <v>334</v>
      </c>
      <c r="E2060" s="703" t="s">
        <v>334</v>
      </c>
      <c r="F2060" s="703" t="s">
        <v>335</v>
      </c>
      <c r="G2060" s="703" t="s">
        <v>3590</v>
      </c>
      <c r="H2060" s="703" t="s">
        <v>334</v>
      </c>
      <c r="I2060" s="703" t="s">
        <v>334</v>
      </c>
      <c r="J2060" s="703" t="s">
        <v>337</v>
      </c>
      <c r="K2060" s="704">
        <v>0</v>
      </c>
      <c r="L2060" s="703" t="s">
        <v>334</v>
      </c>
      <c r="M2060" s="702">
        <v>43251</v>
      </c>
      <c r="N2060" s="702">
        <v>44516</v>
      </c>
      <c r="O2060" s="703" t="s">
        <v>338</v>
      </c>
      <c r="P2060" s="20">
        <v>5.23</v>
      </c>
      <c r="Q2060" s="20">
        <v>0</v>
      </c>
      <c r="R2060" s="20">
        <v>0</v>
      </c>
      <c r="S2060" s="20">
        <v>0</v>
      </c>
      <c r="T2060" s="20">
        <v>5.23</v>
      </c>
      <c r="U2060" s="20">
        <v>5.22</v>
      </c>
      <c r="V2060" s="20">
        <v>-0.01</v>
      </c>
      <c r="W2060" s="20">
        <v>-0.18</v>
      </c>
      <c r="X2060" s="20">
        <v>-0.17</v>
      </c>
      <c r="Y2060" s="20">
        <v>0</v>
      </c>
      <c r="Z2060" s="20">
        <v>0</v>
      </c>
      <c r="AA2060" s="20">
        <v>0</v>
      </c>
      <c r="AB2060" s="20">
        <v>5.05</v>
      </c>
      <c r="AC2060" t="s">
        <v>188</v>
      </c>
      <c r="AD2060" t="s">
        <v>290</v>
      </c>
      <c r="AE2060" s="702">
        <f t="shared" si="160"/>
        <v>44348</v>
      </c>
      <c r="AF2060" s="289">
        <v>6.0053222839168834</v>
      </c>
      <c r="AG2060">
        <f t="shared" si="161"/>
        <v>360</v>
      </c>
      <c r="AH2060" s="289">
        <f t="shared" si="162"/>
        <v>1.6681450788658011E-2</v>
      </c>
      <c r="AJ2060" s="289">
        <f t="shared" si="163"/>
        <v>18</v>
      </c>
      <c r="AK2060" s="289">
        <f t="shared" si="164"/>
        <v>0.3002661141958442</v>
      </c>
    </row>
    <row r="2061" spans="1:37">
      <c r="A2061" s="703" t="s">
        <v>3597</v>
      </c>
      <c r="B2061" s="703" t="s">
        <v>2849</v>
      </c>
      <c r="C2061" s="703" t="s">
        <v>390</v>
      </c>
      <c r="D2061" s="703" t="s">
        <v>334</v>
      </c>
      <c r="E2061" s="703" t="s">
        <v>334</v>
      </c>
      <c r="F2061" s="703" t="s">
        <v>335</v>
      </c>
      <c r="G2061" s="703" t="s">
        <v>3590</v>
      </c>
      <c r="H2061" s="703" t="s">
        <v>334</v>
      </c>
      <c r="I2061" s="703" t="s">
        <v>334</v>
      </c>
      <c r="J2061" s="703" t="s">
        <v>337</v>
      </c>
      <c r="K2061" s="704">
        <v>0</v>
      </c>
      <c r="L2061" s="703" t="s">
        <v>334</v>
      </c>
      <c r="M2061" s="702">
        <v>43251</v>
      </c>
      <c r="N2061" s="702">
        <v>44516</v>
      </c>
      <c r="O2061" s="703" t="s">
        <v>338</v>
      </c>
      <c r="P2061" s="20">
        <v>94.81</v>
      </c>
      <c r="Q2061" s="20">
        <v>0</v>
      </c>
      <c r="R2061" s="20">
        <v>0</v>
      </c>
      <c r="S2061" s="20">
        <v>0</v>
      </c>
      <c r="T2061" s="20">
        <v>94.81</v>
      </c>
      <c r="U2061" s="20">
        <v>94.55</v>
      </c>
      <c r="V2061" s="20">
        <v>-0.26</v>
      </c>
      <c r="W2061" s="20">
        <v>-3.42</v>
      </c>
      <c r="X2061" s="20">
        <v>-3.16</v>
      </c>
      <c r="Y2061" s="20">
        <v>0</v>
      </c>
      <c r="Z2061" s="20">
        <v>0</v>
      </c>
      <c r="AA2061" s="20">
        <v>0</v>
      </c>
      <c r="AB2061" s="20">
        <v>91.39</v>
      </c>
      <c r="AC2061" t="s">
        <v>188</v>
      </c>
      <c r="AD2061" t="s">
        <v>290</v>
      </c>
      <c r="AE2061" s="702">
        <f t="shared" si="160"/>
        <v>44348</v>
      </c>
      <c r="AF2061" s="289">
        <v>108.86512538014527</v>
      </c>
      <c r="AG2061">
        <f t="shared" si="161"/>
        <v>360</v>
      </c>
      <c r="AH2061" s="289">
        <f t="shared" si="162"/>
        <v>0.30240312605595909</v>
      </c>
      <c r="AJ2061" s="289">
        <f t="shared" si="163"/>
        <v>18</v>
      </c>
      <c r="AK2061" s="289">
        <f t="shared" si="164"/>
        <v>5.4432562690072634</v>
      </c>
    </row>
    <row r="2062" spans="1:37">
      <c r="A2062" s="703" t="s">
        <v>3598</v>
      </c>
      <c r="B2062" s="703" t="s">
        <v>2849</v>
      </c>
      <c r="C2062" s="703" t="s">
        <v>390</v>
      </c>
      <c r="D2062" s="703" t="s">
        <v>334</v>
      </c>
      <c r="E2062" s="703" t="s">
        <v>334</v>
      </c>
      <c r="F2062" s="703" t="s">
        <v>335</v>
      </c>
      <c r="G2062" s="703" t="s">
        <v>3590</v>
      </c>
      <c r="H2062" s="703" t="s">
        <v>334</v>
      </c>
      <c r="I2062" s="703" t="s">
        <v>334</v>
      </c>
      <c r="J2062" s="703" t="s">
        <v>337</v>
      </c>
      <c r="K2062" s="704">
        <v>0</v>
      </c>
      <c r="L2062" s="703" t="s">
        <v>334</v>
      </c>
      <c r="M2062" s="702">
        <v>43251</v>
      </c>
      <c r="N2062" s="702">
        <v>44516</v>
      </c>
      <c r="O2062" s="703" t="s">
        <v>338</v>
      </c>
      <c r="P2062" s="20">
        <v>151.63999999999999</v>
      </c>
      <c r="Q2062" s="20">
        <v>0</v>
      </c>
      <c r="R2062" s="20">
        <v>0</v>
      </c>
      <c r="S2062" s="20">
        <v>0</v>
      </c>
      <c r="T2062" s="20">
        <v>151.63999999999999</v>
      </c>
      <c r="U2062" s="20">
        <v>151.22</v>
      </c>
      <c r="V2062" s="20">
        <v>-0.42</v>
      </c>
      <c r="W2062" s="20">
        <v>-5.47</v>
      </c>
      <c r="X2062" s="20">
        <v>-5.05</v>
      </c>
      <c r="Y2062" s="20">
        <v>0</v>
      </c>
      <c r="Z2062" s="20">
        <v>0</v>
      </c>
      <c r="AA2062" s="20">
        <v>0</v>
      </c>
      <c r="AB2062" s="20">
        <v>146.16999999999999</v>
      </c>
      <c r="AC2062" t="s">
        <v>188</v>
      </c>
      <c r="AD2062" t="s">
        <v>290</v>
      </c>
      <c r="AE2062" s="702">
        <f t="shared" si="160"/>
        <v>44348</v>
      </c>
      <c r="AF2062" s="289">
        <v>174.11989887823253</v>
      </c>
      <c r="AG2062">
        <f t="shared" si="161"/>
        <v>360</v>
      </c>
      <c r="AH2062" s="289">
        <f t="shared" si="162"/>
        <v>0.48366638577286813</v>
      </c>
      <c r="AJ2062" s="289">
        <f t="shared" si="163"/>
        <v>18</v>
      </c>
      <c r="AK2062" s="289">
        <f t="shared" si="164"/>
        <v>8.7059949439116266</v>
      </c>
    </row>
    <row r="2063" spans="1:37">
      <c r="A2063" s="703" t="s">
        <v>3599</v>
      </c>
      <c r="B2063" s="703" t="s">
        <v>2849</v>
      </c>
      <c r="C2063" s="703" t="s">
        <v>390</v>
      </c>
      <c r="D2063" s="703" t="s">
        <v>334</v>
      </c>
      <c r="E2063" s="703" t="s">
        <v>334</v>
      </c>
      <c r="F2063" s="703" t="s">
        <v>335</v>
      </c>
      <c r="G2063" s="703" t="s">
        <v>3590</v>
      </c>
      <c r="H2063" s="703" t="s">
        <v>334</v>
      </c>
      <c r="I2063" s="703" t="s">
        <v>334</v>
      </c>
      <c r="J2063" s="703" t="s">
        <v>337</v>
      </c>
      <c r="K2063" s="704">
        <v>0</v>
      </c>
      <c r="L2063" s="703" t="s">
        <v>334</v>
      </c>
      <c r="M2063" s="702">
        <v>43251</v>
      </c>
      <c r="N2063" s="702">
        <v>44516</v>
      </c>
      <c r="O2063" s="703" t="s">
        <v>338</v>
      </c>
      <c r="P2063" s="20">
        <v>87.21</v>
      </c>
      <c r="Q2063" s="20">
        <v>0</v>
      </c>
      <c r="R2063" s="20">
        <v>0</v>
      </c>
      <c r="S2063" s="20">
        <v>0</v>
      </c>
      <c r="T2063" s="20">
        <v>87.21</v>
      </c>
      <c r="U2063" s="20">
        <v>86.97</v>
      </c>
      <c r="V2063" s="20">
        <v>-0.24</v>
      </c>
      <c r="W2063" s="20">
        <v>-3.15</v>
      </c>
      <c r="X2063" s="20">
        <v>-2.91</v>
      </c>
      <c r="Y2063" s="20">
        <v>0</v>
      </c>
      <c r="Z2063" s="20">
        <v>0</v>
      </c>
      <c r="AA2063" s="20">
        <v>0</v>
      </c>
      <c r="AB2063" s="20">
        <v>84.06</v>
      </c>
      <c r="AC2063" t="s">
        <v>188</v>
      </c>
      <c r="AD2063" t="s">
        <v>290</v>
      </c>
      <c r="AE2063" s="702">
        <f t="shared" si="160"/>
        <v>44348</v>
      </c>
      <c r="AF2063" s="289">
        <v>100.13846202301939</v>
      </c>
      <c r="AG2063">
        <f t="shared" si="161"/>
        <v>360</v>
      </c>
      <c r="AH2063" s="289">
        <f t="shared" si="162"/>
        <v>0.2781623945083872</v>
      </c>
      <c r="AJ2063" s="289">
        <f t="shared" si="163"/>
        <v>18</v>
      </c>
      <c r="AK2063" s="289">
        <f t="shared" si="164"/>
        <v>5.0069231011509698</v>
      </c>
    </row>
    <row r="2064" spans="1:37">
      <c r="A2064" s="703" t="s">
        <v>3600</v>
      </c>
      <c r="B2064" s="703" t="s">
        <v>2849</v>
      </c>
      <c r="C2064" s="703" t="s">
        <v>390</v>
      </c>
      <c r="D2064" s="703" t="s">
        <v>334</v>
      </c>
      <c r="E2064" s="703" t="s">
        <v>334</v>
      </c>
      <c r="F2064" s="703" t="s">
        <v>335</v>
      </c>
      <c r="G2064" s="703" t="s">
        <v>3590</v>
      </c>
      <c r="H2064" s="703" t="s">
        <v>334</v>
      </c>
      <c r="I2064" s="703" t="s">
        <v>334</v>
      </c>
      <c r="J2064" s="703" t="s">
        <v>337</v>
      </c>
      <c r="K2064" s="704">
        <v>0</v>
      </c>
      <c r="L2064" s="703" t="s">
        <v>334</v>
      </c>
      <c r="M2064" s="702">
        <v>43251</v>
      </c>
      <c r="N2064" s="702">
        <v>44516</v>
      </c>
      <c r="O2064" s="703" t="s">
        <v>338</v>
      </c>
      <c r="P2064" s="20">
        <v>135.52000000000001</v>
      </c>
      <c r="Q2064" s="20">
        <v>0</v>
      </c>
      <c r="R2064" s="20">
        <v>0</v>
      </c>
      <c r="S2064" s="20">
        <v>0</v>
      </c>
      <c r="T2064" s="20">
        <v>135.52000000000001</v>
      </c>
      <c r="U2064" s="20">
        <v>135.13999999999999</v>
      </c>
      <c r="V2064" s="20">
        <v>-0.38</v>
      </c>
      <c r="W2064" s="20">
        <v>-4.9000000000000004</v>
      </c>
      <c r="X2064" s="20">
        <v>-4.5199999999999996</v>
      </c>
      <c r="Y2064" s="20">
        <v>0</v>
      </c>
      <c r="Z2064" s="20">
        <v>0</v>
      </c>
      <c r="AA2064" s="20">
        <v>0</v>
      </c>
      <c r="AB2064" s="20">
        <v>130.62</v>
      </c>
      <c r="AC2064" t="s">
        <v>188</v>
      </c>
      <c r="AD2064" t="s">
        <v>290</v>
      </c>
      <c r="AE2064" s="702">
        <f t="shared" si="160"/>
        <v>44348</v>
      </c>
      <c r="AF2064" s="289">
        <v>155.61018659969713</v>
      </c>
      <c r="AG2064">
        <f t="shared" si="161"/>
        <v>360</v>
      </c>
      <c r="AH2064" s="289">
        <f t="shared" si="162"/>
        <v>0.43225051833249201</v>
      </c>
      <c r="AJ2064" s="289">
        <f t="shared" si="163"/>
        <v>18</v>
      </c>
      <c r="AK2064" s="289">
        <f t="shared" si="164"/>
        <v>7.7805093299848558</v>
      </c>
    </row>
    <row r="2065" spans="1:37">
      <c r="A2065" s="703" t="s">
        <v>3601</v>
      </c>
      <c r="B2065" s="703" t="s">
        <v>2849</v>
      </c>
      <c r="C2065" s="703" t="s">
        <v>390</v>
      </c>
      <c r="D2065" s="703" t="s">
        <v>334</v>
      </c>
      <c r="E2065" s="703" t="s">
        <v>334</v>
      </c>
      <c r="F2065" s="703" t="s">
        <v>335</v>
      </c>
      <c r="G2065" s="703" t="s">
        <v>3590</v>
      </c>
      <c r="H2065" s="703" t="s">
        <v>334</v>
      </c>
      <c r="I2065" s="703" t="s">
        <v>334</v>
      </c>
      <c r="J2065" s="703" t="s">
        <v>337</v>
      </c>
      <c r="K2065" s="704">
        <v>0</v>
      </c>
      <c r="L2065" s="703" t="s">
        <v>334</v>
      </c>
      <c r="M2065" s="702">
        <v>43251</v>
      </c>
      <c r="N2065" s="702">
        <v>44516</v>
      </c>
      <c r="O2065" s="703" t="s">
        <v>338</v>
      </c>
      <c r="P2065" s="20">
        <v>32.24</v>
      </c>
      <c r="Q2065" s="20">
        <v>0</v>
      </c>
      <c r="R2065" s="20">
        <v>0</v>
      </c>
      <c r="S2065" s="20">
        <v>0</v>
      </c>
      <c r="T2065" s="20">
        <v>32.24</v>
      </c>
      <c r="U2065" s="20">
        <v>32.15</v>
      </c>
      <c r="V2065" s="20">
        <v>-0.09</v>
      </c>
      <c r="W2065" s="20">
        <v>-1.1599999999999999</v>
      </c>
      <c r="X2065" s="20">
        <v>-1.07</v>
      </c>
      <c r="Y2065" s="20">
        <v>0</v>
      </c>
      <c r="Z2065" s="20">
        <v>0</v>
      </c>
      <c r="AA2065" s="20">
        <v>0</v>
      </c>
      <c r="AB2065" s="20">
        <v>31.08</v>
      </c>
      <c r="AC2065" t="s">
        <v>188</v>
      </c>
      <c r="AD2065" t="s">
        <v>290</v>
      </c>
      <c r="AE2065" s="702">
        <f t="shared" si="160"/>
        <v>44348</v>
      </c>
      <c r="AF2065" s="289">
        <v>37.019424557070813</v>
      </c>
      <c r="AG2065">
        <f t="shared" si="161"/>
        <v>360</v>
      </c>
      <c r="AH2065" s="289">
        <f t="shared" si="162"/>
        <v>0.10283173488075226</v>
      </c>
      <c r="AJ2065" s="289">
        <f t="shared" si="163"/>
        <v>18</v>
      </c>
      <c r="AK2065" s="289">
        <f t="shared" si="164"/>
        <v>1.8509712278535406</v>
      </c>
    </row>
    <row r="2066" spans="1:37">
      <c r="A2066" s="703" t="s">
        <v>3602</v>
      </c>
      <c r="B2066" s="703" t="s">
        <v>2849</v>
      </c>
      <c r="C2066" s="703" t="s">
        <v>390</v>
      </c>
      <c r="D2066" s="703" t="s">
        <v>334</v>
      </c>
      <c r="E2066" s="703" t="s">
        <v>334</v>
      </c>
      <c r="F2066" s="703" t="s">
        <v>335</v>
      </c>
      <c r="G2066" s="703" t="s">
        <v>3590</v>
      </c>
      <c r="H2066" s="703" t="s">
        <v>334</v>
      </c>
      <c r="I2066" s="703" t="s">
        <v>334</v>
      </c>
      <c r="J2066" s="703" t="s">
        <v>337</v>
      </c>
      <c r="K2066" s="704">
        <v>0</v>
      </c>
      <c r="L2066" s="703" t="s">
        <v>334</v>
      </c>
      <c r="M2066" s="702">
        <v>43251</v>
      </c>
      <c r="N2066" s="702">
        <v>44516</v>
      </c>
      <c r="O2066" s="703" t="s">
        <v>338</v>
      </c>
      <c r="P2066" s="20">
        <v>41.87</v>
      </c>
      <c r="Q2066" s="20">
        <v>0</v>
      </c>
      <c r="R2066" s="20">
        <v>0</v>
      </c>
      <c r="S2066" s="20">
        <v>0</v>
      </c>
      <c r="T2066" s="20">
        <v>41.87</v>
      </c>
      <c r="U2066" s="20">
        <v>41.75</v>
      </c>
      <c r="V2066" s="20">
        <v>-0.12</v>
      </c>
      <c r="W2066" s="20">
        <v>-1.52</v>
      </c>
      <c r="X2066" s="20">
        <v>-1.4</v>
      </c>
      <c r="Y2066" s="20">
        <v>0</v>
      </c>
      <c r="Z2066" s="20">
        <v>0</v>
      </c>
      <c r="AA2066" s="20">
        <v>0</v>
      </c>
      <c r="AB2066" s="20">
        <v>40.35</v>
      </c>
      <c r="AC2066" t="s">
        <v>188</v>
      </c>
      <c r="AD2066" t="s">
        <v>290</v>
      </c>
      <c r="AE2066" s="702">
        <f t="shared" si="160"/>
        <v>44348</v>
      </c>
      <c r="AF2066" s="289">
        <v>48.077025626692141</v>
      </c>
      <c r="AG2066">
        <f t="shared" si="161"/>
        <v>360</v>
      </c>
      <c r="AH2066" s="289">
        <f t="shared" si="162"/>
        <v>0.13354729340747817</v>
      </c>
      <c r="AJ2066" s="289">
        <f t="shared" si="163"/>
        <v>18</v>
      </c>
      <c r="AK2066" s="289">
        <f t="shared" si="164"/>
        <v>2.4038512813346071</v>
      </c>
    </row>
    <row r="2067" spans="1:37">
      <c r="A2067" s="703" t="s">
        <v>3603</v>
      </c>
      <c r="B2067" s="703" t="s">
        <v>2849</v>
      </c>
      <c r="C2067" s="703" t="s">
        <v>390</v>
      </c>
      <c r="D2067" s="703" t="s">
        <v>334</v>
      </c>
      <c r="E2067" s="703" t="s">
        <v>334</v>
      </c>
      <c r="F2067" s="703" t="s">
        <v>335</v>
      </c>
      <c r="G2067" s="703" t="s">
        <v>3590</v>
      </c>
      <c r="H2067" s="703" t="s">
        <v>334</v>
      </c>
      <c r="I2067" s="703" t="s">
        <v>334</v>
      </c>
      <c r="J2067" s="703" t="s">
        <v>337</v>
      </c>
      <c r="K2067" s="704">
        <v>0</v>
      </c>
      <c r="L2067" s="703" t="s">
        <v>334</v>
      </c>
      <c r="M2067" s="702">
        <v>43251</v>
      </c>
      <c r="N2067" s="702">
        <v>44516</v>
      </c>
      <c r="O2067" s="703" t="s">
        <v>338</v>
      </c>
      <c r="P2067" s="20">
        <v>3687.56</v>
      </c>
      <c r="Q2067" s="20">
        <v>0</v>
      </c>
      <c r="R2067" s="20">
        <v>0</v>
      </c>
      <c r="S2067" s="20">
        <v>0</v>
      </c>
      <c r="T2067" s="20">
        <v>3687.56</v>
      </c>
      <c r="U2067" s="20">
        <v>3677.32</v>
      </c>
      <c r="V2067" s="20">
        <v>-10.24</v>
      </c>
      <c r="W2067" s="20">
        <v>-133.16</v>
      </c>
      <c r="X2067" s="20">
        <v>-122.92</v>
      </c>
      <c r="Y2067" s="20">
        <v>0</v>
      </c>
      <c r="Z2067" s="20">
        <v>0</v>
      </c>
      <c r="AA2067" s="20">
        <v>0</v>
      </c>
      <c r="AB2067" s="20">
        <v>3554.4</v>
      </c>
      <c r="AC2067" t="s">
        <v>188</v>
      </c>
      <c r="AD2067" t="s">
        <v>290</v>
      </c>
      <c r="AE2067" s="702">
        <f t="shared" si="160"/>
        <v>44348</v>
      </c>
      <c r="AF2067" s="289">
        <v>4234.222990684616</v>
      </c>
      <c r="AG2067">
        <f t="shared" si="161"/>
        <v>360</v>
      </c>
      <c r="AH2067" s="289">
        <f t="shared" si="162"/>
        <v>11.76173052967949</v>
      </c>
      <c r="AJ2067" s="289">
        <f t="shared" si="163"/>
        <v>18</v>
      </c>
      <c r="AK2067" s="289">
        <f t="shared" si="164"/>
        <v>211.7111495342308</v>
      </c>
    </row>
    <row r="2068" spans="1:37">
      <c r="A2068" s="703" t="s">
        <v>3604</v>
      </c>
      <c r="B2068" s="703" t="s">
        <v>2849</v>
      </c>
      <c r="C2068" s="703" t="s">
        <v>390</v>
      </c>
      <c r="D2068" s="703" t="s">
        <v>334</v>
      </c>
      <c r="E2068" s="703" t="s">
        <v>334</v>
      </c>
      <c r="F2068" s="703" t="s">
        <v>335</v>
      </c>
      <c r="G2068" s="703" t="s">
        <v>3590</v>
      </c>
      <c r="H2068" s="703" t="s">
        <v>334</v>
      </c>
      <c r="I2068" s="703" t="s">
        <v>334</v>
      </c>
      <c r="J2068" s="703" t="s">
        <v>337</v>
      </c>
      <c r="K2068" s="704">
        <v>0</v>
      </c>
      <c r="L2068" s="703" t="s">
        <v>334</v>
      </c>
      <c r="M2068" s="702">
        <v>43251</v>
      </c>
      <c r="N2068" s="702">
        <v>44516</v>
      </c>
      <c r="O2068" s="703" t="s">
        <v>338</v>
      </c>
      <c r="P2068" s="20">
        <v>142.72999999999999</v>
      </c>
      <c r="Q2068" s="20">
        <v>0</v>
      </c>
      <c r="R2068" s="20">
        <v>0</v>
      </c>
      <c r="S2068" s="20">
        <v>0</v>
      </c>
      <c r="T2068" s="20">
        <v>142.72999999999999</v>
      </c>
      <c r="U2068" s="20">
        <v>142.33000000000001</v>
      </c>
      <c r="V2068" s="20">
        <v>-0.4</v>
      </c>
      <c r="W2068" s="20">
        <v>-5.16</v>
      </c>
      <c r="X2068" s="20">
        <v>-4.76</v>
      </c>
      <c r="Y2068" s="20">
        <v>0</v>
      </c>
      <c r="Z2068" s="20">
        <v>0</v>
      </c>
      <c r="AA2068" s="20">
        <v>0</v>
      </c>
      <c r="AB2068" s="20">
        <v>137.57</v>
      </c>
      <c r="AC2068" t="s">
        <v>188</v>
      </c>
      <c r="AD2068" t="s">
        <v>290</v>
      </c>
      <c r="AE2068" s="702">
        <f t="shared" si="160"/>
        <v>44348</v>
      </c>
      <c r="AF2068" s="289">
        <v>163.88903433718099</v>
      </c>
      <c r="AG2068">
        <f t="shared" si="161"/>
        <v>360</v>
      </c>
      <c r="AH2068" s="289">
        <f t="shared" si="162"/>
        <v>0.45524731760328052</v>
      </c>
      <c r="AJ2068" s="289">
        <f t="shared" si="163"/>
        <v>18</v>
      </c>
      <c r="AK2068" s="289">
        <f t="shared" si="164"/>
        <v>8.1944517168590494</v>
      </c>
    </row>
    <row r="2069" spans="1:37">
      <c r="A2069" s="703" t="s">
        <v>3605</v>
      </c>
      <c r="B2069" s="703" t="s">
        <v>2849</v>
      </c>
      <c r="C2069" s="703" t="s">
        <v>390</v>
      </c>
      <c r="D2069" s="703" t="s">
        <v>334</v>
      </c>
      <c r="E2069" s="703" t="s">
        <v>334</v>
      </c>
      <c r="F2069" s="703" t="s">
        <v>335</v>
      </c>
      <c r="G2069" s="703" t="s">
        <v>3569</v>
      </c>
      <c r="H2069" s="703" t="s">
        <v>334</v>
      </c>
      <c r="I2069" s="703" t="s">
        <v>334</v>
      </c>
      <c r="J2069" s="703" t="s">
        <v>337</v>
      </c>
      <c r="K2069" s="704">
        <v>0</v>
      </c>
      <c r="L2069" s="703" t="s">
        <v>334</v>
      </c>
      <c r="M2069" s="702">
        <v>43251</v>
      </c>
      <c r="N2069" s="702">
        <v>44516</v>
      </c>
      <c r="O2069" s="703" t="s">
        <v>338</v>
      </c>
      <c r="P2069" s="20">
        <v>4.2</v>
      </c>
      <c r="Q2069" s="20">
        <v>0</v>
      </c>
      <c r="R2069" s="20">
        <v>0</v>
      </c>
      <c r="S2069" s="20">
        <v>0</v>
      </c>
      <c r="T2069" s="20">
        <v>4.2</v>
      </c>
      <c r="U2069" s="20">
        <v>4.1900000000000004</v>
      </c>
      <c r="V2069" s="20">
        <v>-0.01</v>
      </c>
      <c r="W2069" s="20">
        <v>-0.15</v>
      </c>
      <c r="X2069" s="20">
        <v>-0.14000000000000001</v>
      </c>
      <c r="Y2069" s="20">
        <v>0</v>
      </c>
      <c r="Z2069" s="20">
        <v>0</v>
      </c>
      <c r="AA2069" s="20">
        <v>0</v>
      </c>
      <c r="AB2069" s="20">
        <v>4.05</v>
      </c>
      <c r="AC2069" t="s">
        <v>188</v>
      </c>
      <c r="AD2069" t="s">
        <v>290</v>
      </c>
      <c r="AE2069" s="702">
        <f t="shared" si="160"/>
        <v>44348</v>
      </c>
      <c r="AF2069" s="289">
        <v>4.8226297499906146</v>
      </c>
      <c r="AG2069">
        <f t="shared" si="161"/>
        <v>360</v>
      </c>
      <c r="AH2069" s="289">
        <f t="shared" si="162"/>
        <v>1.3396193749973929E-2</v>
      </c>
      <c r="AJ2069" s="289">
        <f t="shared" si="163"/>
        <v>18</v>
      </c>
      <c r="AK2069" s="289">
        <f t="shared" si="164"/>
        <v>0.24113148749953073</v>
      </c>
    </row>
    <row r="2070" spans="1:37">
      <c r="A2070" s="703" t="s">
        <v>3606</v>
      </c>
      <c r="B2070" s="703" t="s">
        <v>2849</v>
      </c>
      <c r="C2070" s="703" t="s">
        <v>390</v>
      </c>
      <c r="D2070" s="703" t="s">
        <v>334</v>
      </c>
      <c r="E2070" s="703" t="s">
        <v>334</v>
      </c>
      <c r="F2070" s="703" t="s">
        <v>335</v>
      </c>
      <c r="G2070" s="703" t="s">
        <v>3569</v>
      </c>
      <c r="H2070" s="703" t="s">
        <v>334</v>
      </c>
      <c r="I2070" s="703" t="s">
        <v>334</v>
      </c>
      <c r="J2070" s="703" t="s">
        <v>337</v>
      </c>
      <c r="K2070" s="704">
        <v>0</v>
      </c>
      <c r="L2070" s="703" t="s">
        <v>334</v>
      </c>
      <c r="M2070" s="702">
        <v>43251</v>
      </c>
      <c r="N2070" s="702">
        <v>44516</v>
      </c>
      <c r="O2070" s="703" t="s">
        <v>338</v>
      </c>
      <c r="P2070" s="20">
        <v>9.49</v>
      </c>
      <c r="Q2070" s="20">
        <v>0</v>
      </c>
      <c r="R2070" s="20">
        <v>0</v>
      </c>
      <c r="S2070" s="20">
        <v>0</v>
      </c>
      <c r="T2070" s="20">
        <v>9.49</v>
      </c>
      <c r="U2070" s="20">
        <v>9.4600000000000009</v>
      </c>
      <c r="V2070" s="20">
        <v>-0.03</v>
      </c>
      <c r="W2070" s="20">
        <v>-0.35</v>
      </c>
      <c r="X2070" s="20">
        <v>-0.32</v>
      </c>
      <c r="Y2070" s="20">
        <v>0</v>
      </c>
      <c r="Z2070" s="20">
        <v>0</v>
      </c>
      <c r="AA2070" s="20">
        <v>0</v>
      </c>
      <c r="AB2070" s="20">
        <v>9.14</v>
      </c>
      <c r="AC2070" t="s">
        <v>188</v>
      </c>
      <c r="AD2070" t="s">
        <v>290</v>
      </c>
      <c r="AE2070" s="702">
        <f t="shared" si="160"/>
        <v>44348</v>
      </c>
      <c r="AF2070" s="289">
        <v>10.89684674462165</v>
      </c>
      <c r="AG2070">
        <f t="shared" si="161"/>
        <v>360</v>
      </c>
      <c r="AH2070" s="289">
        <f t="shared" si="162"/>
        <v>3.0269018735060139E-2</v>
      </c>
      <c r="AJ2070" s="289">
        <f t="shared" si="163"/>
        <v>18</v>
      </c>
      <c r="AK2070" s="289">
        <f t="shared" si="164"/>
        <v>0.54484233723108255</v>
      </c>
    </row>
    <row r="2071" spans="1:37">
      <c r="A2071" s="703" t="s">
        <v>3607</v>
      </c>
      <c r="B2071" s="703" t="s">
        <v>2849</v>
      </c>
      <c r="C2071" s="703" t="s">
        <v>390</v>
      </c>
      <c r="D2071" s="703" t="s">
        <v>334</v>
      </c>
      <c r="E2071" s="703" t="s">
        <v>334</v>
      </c>
      <c r="F2071" s="703" t="s">
        <v>335</v>
      </c>
      <c r="G2071" s="703" t="s">
        <v>3569</v>
      </c>
      <c r="H2071" s="703" t="s">
        <v>334</v>
      </c>
      <c r="I2071" s="703" t="s">
        <v>334</v>
      </c>
      <c r="J2071" s="703" t="s">
        <v>337</v>
      </c>
      <c r="K2071" s="704">
        <v>0</v>
      </c>
      <c r="L2071" s="703" t="s">
        <v>334</v>
      </c>
      <c r="M2071" s="702">
        <v>43251</v>
      </c>
      <c r="N2071" s="702">
        <v>44516</v>
      </c>
      <c r="O2071" s="703" t="s">
        <v>338</v>
      </c>
      <c r="P2071" s="20">
        <v>135.52000000000001</v>
      </c>
      <c r="Q2071" s="20">
        <v>0</v>
      </c>
      <c r="R2071" s="20">
        <v>0</v>
      </c>
      <c r="S2071" s="20">
        <v>0</v>
      </c>
      <c r="T2071" s="20">
        <v>135.52000000000001</v>
      </c>
      <c r="U2071" s="20">
        <v>135.13999999999999</v>
      </c>
      <c r="V2071" s="20">
        <v>-0.38</v>
      </c>
      <c r="W2071" s="20">
        <v>-4.9000000000000004</v>
      </c>
      <c r="X2071" s="20">
        <v>-4.5199999999999996</v>
      </c>
      <c r="Y2071" s="20">
        <v>0</v>
      </c>
      <c r="Z2071" s="20">
        <v>0</v>
      </c>
      <c r="AA2071" s="20">
        <v>0</v>
      </c>
      <c r="AB2071" s="20">
        <v>130.62</v>
      </c>
      <c r="AC2071" t="s">
        <v>188</v>
      </c>
      <c r="AD2071" t="s">
        <v>290</v>
      </c>
      <c r="AE2071" s="702">
        <f t="shared" si="160"/>
        <v>44348</v>
      </c>
      <c r="AF2071" s="289">
        <v>155.61018659969713</v>
      </c>
      <c r="AG2071">
        <f t="shared" si="161"/>
        <v>360</v>
      </c>
      <c r="AH2071" s="289">
        <f t="shared" si="162"/>
        <v>0.43225051833249201</v>
      </c>
      <c r="AJ2071" s="289">
        <f t="shared" si="163"/>
        <v>18</v>
      </c>
      <c r="AK2071" s="289">
        <f t="shared" si="164"/>
        <v>7.7805093299848558</v>
      </c>
    </row>
    <row r="2072" spans="1:37">
      <c r="A2072" s="703" t="s">
        <v>3608</v>
      </c>
      <c r="B2072" s="703" t="s">
        <v>2849</v>
      </c>
      <c r="C2072" s="703" t="s">
        <v>390</v>
      </c>
      <c r="D2072" s="703" t="s">
        <v>334</v>
      </c>
      <c r="E2072" s="703" t="s">
        <v>334</v>
      </c>
      <c r="F2072" s="703" t="s">
        <v>335</v>
      </c>
      <c r="G2072" s="703" t="s">
        <v>3569</v>
      </c>
      <c r="H2072" s="703" t="s">
        <v>334</v>
      </c>
      <c r="I2072" s="703" t="s">
        <v>334</v>
      </c>
      <c r="J2072" s="703" t="s">
        <v>337</v>
      </c>
      <c r="K2072" s="704">
        <v>0</v>
      </c>
      <c r="L2072" s="703" t="s">
        <v>334</v>
      </c>
      <c r="M2072" s="702">
        <v>43251</v>
      </c>
      <c r="N2072" s="702">
        <v>44516</v>
      </c>
      <c r="O2072" s="703" t="s">
        <v>338</v>
      </c>
      <c r="P2072" s="20">
        <v>5.23</v>
      </c>
      <c r="Q2072" s="20">
        <v>0</v>
      </c>
      <c r="R2072" s="20">
        <v>0</v>
      </c>
      <c r="S2072" s="20">
        <v>0</v>
      </c>
      <c r="T2072" s="20">
        <v>5.23</v>
      </c>
      <c r="U2072" s="20">
        <v>5.22</v>
      </c>
      <c r="V2072" s="20">
        <v>-0.01</v>
      </c>
      <c r="W2072" s="20">
        <v>-0.18</v>
      </c>
      <c r="X2072" s="20">
        <v>-0.17</v>
      </c>
      <c r="Y2072" s="20">
        <v>0</v>
      </c>
      <c r="Z2072" s="20">
        <v>0</v>
      </c>
      <c r="AA2072" s="20">
        <v>0</v>
      </c>
      <c r="AB2072" s="20">
        <v>5.05</v>
      </c>
      <c r="AC2072" t="s">
        <v>188</v>
      </c>
      <c r="AD2072" t="s">
        <v>290</v>
      </c>
      <c r="AE2072" s="702">
        <f t="shared" si="160"/>
        <v>44348</v>
      </c>
      <c r="AF2072" s="289">
        <v>6.0053222839168834</v>
      </c>
      <c r="AG2072">
        <f t="shared" si="161"/>
        <v>360</v>
      </c>
      <c r="AH2072" s="289">
        <f t="shared" si="162"/>
        <v>1.6681450788658011E-2</v>
      </c>
      <c r="AJ2072" s="289">
        <f t="shared" si="163"/>
        <v>18</v>
      </c>
      <c r="AK2072" s="289">
        <f t="shared" si="164"/>
        <v>0.3002661141958442</v>
      </c>
    </row>
    <row r="2073" spans="1:37">
      <c r="A2073" s="703" t="s">
        <v>3609</v>
      </c>
      <c r="B2073" s="703" t="s">
        <v>2849</v>
      </c>
      <c r="C2073" s="703" t="s">
        <v>390</v>
      </c>
      <c r="D2073" s="703" t="s">
        <v>334</v>
      </c>
      <c r="E2073" s="703" t="s">
        <v>334</v>
      </c>
      <c r="F2073" s="703" t="s">
        <v>335</v>
      </c>
      <c r="G2073" s="703" t="s">
        <v>3569</v>
      </c>
      <c r="H2073" s="703" t="s">
        <v>334</v>
      </c>
      <c r="I2073" s="703" t="s">
        <v>334</v>
      </c>
      <c r="J2073" s="703" t="s">
        <v>337</v>
      </c>
      <c r="K2073" s="704">
        <v>0</v>
      </c>
      <c r="L2073" s="703" t="s">
        <v>334</v>
      </c>
      <c r="M2073" s="702">
        <v>43251</v>
      </c>
      <c r="N2073" s="702">
        <v>44516</v>
      </c>
      <c r="O2073" s="703" t="s">
        <v>338</v>
      </c>
      <c r="P2073" s="20">
        <v>37.049999999999997</v>
      </c>
      <c r="Q2073" s="20">
        <v>0</v>
      </c>
      <c r="R2073" s="20">
        <v>0</v>
      </c>
      <c r="S2073" s="20">
        <v>0</v>
      </c>
      <c r="T2073" s="20">
        <v>37.049999999999997</v>
      </c>
      <c r="U2073" s="20">
        <v>36.950000000000003</v>
      </c>
      <c r="V2073" s="20">
        <v>-0.1</v>
      </c>
      <c r="W2073" s="20">
        <v>-1.34</v>
      </c>
      <c r="X2073" s="20">
        <v>-1.24</v>
      </c>
      <c r="Y2073" s="20">
        <v>0</v>
      </c>
      <c r="Z2073" s="20">
        <v>0</v>
      </c>
      <c r="AA2073" s="20">
        <v>0</v>
      </c>
      <c r="AB2073" s="20">
        <v>35.71</v>
      </c>
      <c r="AC2073" t="s">
        <v>188</v>
      </c>
      <c r="AD2073" t="s">
        <v>290</v>
      </c>
      <c r="AE2073" s="702">
        <f t="shared" si="160"/>
        <v>44348</v>
      </c>
      <c r="AF2073" s="289">
        <v>42.542483865988629</v>
      </c>
      <c r="AG2073">
        <f t="shared" si="161"/>
        <v>360</v>
      </c>
      <c r="AH2073" s="289">
        <f t="shared" si="162"/>
        <v>0.11817356629441286</v>
      </c>
      <c r="AJ2073" s="289">
        <f t="shared" si="163"/>
        <v>18</v>
      </c>
      <c r="AK2073" s="289">
        <f t="shared" si="164"/>
        <v>2.1271241932994314</v>
      </c>
    </row>
    <row r="2074" spans="1:37">
      <c r="A2074" s="703" t="s">
        <v>3610</v>
      </c>
      <c r="B2074" s="703" t="s">
        <v>2849</v>
      </c>
      <c r="C2074" s="703" t="s">
        <v>390</v>
      </c>
      <c r="D2074" s="703" t="s">
        <v>334</v>
      </c>
      <c r="E2074" s="703" t="s">
        <v>334</v>
      </c>
      <c r="F2074" s="703" t="s">
        <v>335</v>
      </c>
      <c r="G2074" s="703" t="s">
        <v>3569</v>
      </c>
      <c r="H2074" s="703" t="s">
        <v>334</v>
      </c>
      <c r="I2074" s="703" t="s">
        <v>334</v>
      </c>
      <c r="J2074" s="703" t="s">
        <v>337</v>
      </c>
      <c r="K2074" s="704">
        <v>0</v>
      </c>
      <c r="L2074" s="703" t="s">
        <v>334</v>
      </c>
      <c r="M2074" s="702">
        <v>43251</v>
      </c>
      <c r="N2074" s="702">
        <v>44516</v>
      </c>
      <c r="O2074" s="703" t="s">
        <v>338</v>
      </c>
      <c r="P2074" s="20">
        <v>151.65</v>
      </c>
      <c r="Q2074" s="20">
        <v>0</v>
      </c>
      <c r="R2074" s="20">
        <v>0</v>
      </c>
      <c r="S2074" s="20">
        <v>0</v>
      </c>
      <c r="T2074" s="20">
        <v>151.65</v>
      </c>
      <c r="U2074" s="20">
        <v>151.22999999999999</v>
      </c>
      <c r="V2074" s="20">
        <v>-0.42</v>
      </c>
      <c r="W2074" s="20">
        <v>-5.48</v>
      </c>
      <c r="X2074" s="20">
        <v>-5.0599999999999996</v>
      </c>
      <c r="Y2074" s="20">
        <v>0</v>
      </c>
      <c r="Z2074" s="20">
        <v>0</v>
      </c>
      <c r="AA2074" s="20">
        <v>0</v>
      </c>
      <c r="AB2074" s="20">
        <v>146.16999999999999</v>
      </c>
      <c r="AC2074" t="s">
        <v>188</v>
      </c>
      <c r="AD2074" t="s">
        <v>290</v>
      </c>
      <c r="AE2074" s="702">
        <f t="shared" si="160"/>
        <v>44348</v>
      </c>
      <c r="AF2074" s="289">
        <v>174.13138133001826</v>
      </c>
      <c r="AG2074">
        <f t="shared" si="161"/>
        <v>360</v>
      </c>
      <c r="AH2074" s="289">
        <f t="shared" si="162"/>
        <v>0.48369828147227295</v>
      </c>
      <c r="AJ2074" s="289">
        <f t="shared" si="163"/>
        <v>18</v>
      </c>
      <c r="AK2074" s="289">
        <f t="shared" si="164"/>
        <v>8.7065690665009132</v>
      </c>
    </row>
    <row r="2075" spans="1:37">
      <c r="A2075" s="703" t="s">
        <v>3611</v>
      </c>
      <c r="B2075" s="703" t="s">
        <v>2849</v>
      </c>
      <c r="C2075" s="703" t="s">
        <v>390</v>
      </c>
      <c r="D2075" s="703" t="s">
        <v>334</v>
      </c>
      <c r="E2075" s="703" t="s">
        <v>334</v>
      </c>
      <c r="F2075" s="703" t="s">
        <v>335</v>
      </c>
      <c r="G2075" s="703" t="s">
        <v>3569</v>
      </c>
      <c r="H2075" s="703" t="s">
        <v>334</v>
      </c>
      <c r="I2075" s="703" t="s">
        <v>334</v>
      </c>
      <c r="J2075" s="703" t="s">
        <v>337</v>
      </c>
      <c r="K2075" s="704">
        <v>0</v>
      </c>
      <c r="L2075" s="703" t="s">
        <v>334</v>
      </c>
      <c r="M2075" s="702">
        <v>43251</v>
      </c>
      <c r="N2075" s="702">
        <v>44516</v>
      </c>
      <c r="O2075" s="703" t="s">
        <v>338</v>
      </c>
      <c r="P2075" s="20">
        <v>87.22</v>
      </c>
      <c r="Q2075" s="20">
        <v>0</v>
      </c>
      <c r="R2075" s="20">
        <v>0</v>
      </c>
      <c r="S2075" s="20">
        <v>0</v>
      </c>
      <c r="T2075" s="20">
        <v>87.22</v>
      </c>
      <c r="U2075" s="20">
        <v>86.98</v>
      </c>
      <c r="V2075" s="20">
        <v>-0.24</v>
      </c>
      <c r="W2075" s="20">
        <v>-3.15</v>
      </c>
      <c r="X2075" s="20">
        <v>-2.91</v>
      </c>
      <c r="Y2075" s="20">
        <v>0</v>
      </c>
      <c r="Z2075" s="20">
        <v>0</v>
      </c>
      <c r="AA2075" s="20">
        <v>0</v>
      </c>
      <c r="AB2075" s="20">
        <v>84.07</v>
      </c>
      <c r="AC2075" t="s">
        <v>188</v>
      </c>
      <c r="AD2075" t="s">
        <v>290</v>
      </c>
      <c r="AE2075" s="702">
        <f t="shared" si="160"/>
        <v>44348</v>
      </c>
      <c r="AF2075" s="289">
        <v>100.14994447480507</v>
      </c>
      <c r="AG2075">
        <f t="shared" si="161"/>
        <v>360</v>
      </c>
      <c r="AH2075" s="289">
        <f t="shared" si="162"/>
        <v>0.27819429020779185</v>
      </c>
      <c r="AJ2075" s="289">
        <f t="shared" si="163"/>
        <v>18</v>
      </c>
      <c r="AK2075" s="289">
        <f t="shared" si="164"/>
        <v>5.0074972237402537</v>
      </c>
    </row>
    <row r="2076" spans="1:37">
      <c r="A2076" s="703" t="s">
        <v>3612</v>
      </c>
      <c r="B2076" s="703" t="s">
        <v>2849</v>
      </c>
      <c r="C2076" s="703" t="s">
        <v>390</v>
      </c>
      <c r="D2076" s="703" t="s">
        <v>334</v>
      </c>
      <c r="E2076" s="703" t="s">
        <v>334</v>
      </c>
      <c r="F2076" s="703" t="s">
        <v>335</v>
      </c>
      <c r="G2076" s="703" t="s">
        <v>3569</v>
      </c>
      <c r="H2076" s="703" t="s">
        <v>334</v>
      </c>
      <c r="I2076" s="703" t="s">
        <v>334</v>
      </c>
      <c r="J2076" s="703" t="s">
        <v>337</v>
      </c>
      <c r="K2076" s="704">
        <v>0</v>
      </c>
      <c r="L2076" s="703" t="s">
        <v>334</v>
      </c>
      <c r="M2076" s="702">
        <v>43251</v>
      </c>
      <c r="N2076" s="702">
        <v>44516</v>
      </c>
      <c r="O2076" s="703" t="s">
        <v>338</v>
      </c>
      <c r="P2076" s="20">
        <v>77.599999999999994</v>
      </c>
      <c r="Q2076" s="20">
        <v>0</v>
      </c>
      <c r="R2076" s="20">
        <v>0</v>
      </c>
      <c r="S2076" s="20">
        <v>0</v>
      </c>
      <c r="T2076" s="20">
        <v>77.599999999999994</v>
      </c>
      <c r="U2076" s="20">
        <v>77.38</v>
      </c>
      <c r="V2076" s="20">
        <v>-0.22</v>
      </c>
      <c r="W2076" s="20">
        <v>-2.81</v>
      </c>
      <c r="X2076" s="20">
        <v>-2.59</v>
      </c>
      <c r="Y2076" s="20">
        <v>0</v>
      </c>
      <c r="Z2076" s="20">
        <v>0</v>
      </c>
      <c r="AA2076" s="20">
        <v>0</v>
      </c>
      <c r="AB2076" s="20">
        <v>74.790000000000006</v>
      </c>
      <c r="AC2076" t="s">
        <v>188</v>
      </c>
      <c r="AD2076" t="s">
        <v>290</v>
      </c>
      <c r="AE2076" s="702">
        <f t="shared" si="160"/>
        <v>44348</v>
      </c>
      <c r="AF2076" s="289">
        <v>89.103825856969422</v>
      </c>
      <c r="AG2076">
        <f t="shared" si="161"/>
        <v>360</v>
      </c>
      <c r="AH2076" s="289">
        <f t="shared" si="162"/>
        <v>0.24751062738047061</v>
      </c>
      <c r="AJ2076" s="289">
        <f t="shared" si="163"/>
        <v>18</v>
      </c>
      <c r="AK2076" s="289">
        <f t="shared" si="164"/>
        <v>4.4551912928484709</v>
      </c>
    </row>
    <row r="2077" spans="1:37">
      <c r="A2077" s="703" t="s">
        <v>3613</v>
      </c>
      <c r="B2077" s="703" t="s">
        <v>2849</v>
      </c>
      <c r="C2077" s="703" t="s">
        <v>390</v>
      </c>
      <c r="D2077" s="703" t="s">
        <v>334</v>
      </c>
      <c r="E2077" s="703" t="s">
        <v>334</v>
      </c>
      <c r="F2077" s="703" t="s">
        <v>335</v>
      </c>
      <c r="G2077" s="703" t="s">
        <v>3569</v>
      </c>
      <c r="H2077" s="703" t="s">
        <v>334</v>
      </c>
      <c r="I2077" s="703" t="s">
        <v>334</v>
      </c>
      <c r="J2077" s="703" t="s">
        <v>337</v>
      </c>
      <c r="K2077" s="704">
        <v>0</v>
      </c>
      <c r="L2077" s="703" t="s">
        <v>334</v>
      </c>
      <c r="M2077" s="702">
        <v>43251</v>
      </c>
      <c r="N2077" s="702">
        <v>44516</v>
      </c>
      <c r="O2077" s="703" t="s">
        <v>338</v>
      </c>
      <c r="P2077" s="20">
        <v>32.24</v>
      </c>
      <c r="Q2077" s="20">
        <v>0</v>
      </c>
      <c r="R2077" s="20">
        <v>0</v>
      </c>
      <c r="S2077" s="20">
        <v>0</v>
      </c>
      <c r="T2077" s="20">
        <v>32.24</v>
      </c>
      <c r="U2077" s="20">
        <v>32.15</v>
      </c>
      <c r="V2077" s="20">
        <v>-0.09</v>
      </c>
      <c r="W2077" s="20">
        <v>-1.1599999999999999</v>
      </c>
      <c r="X2077" s="20">
        <v>-1.07</v>
      </c>
      <c r="Y2077" s="20">
        <v>0</v>
      </c>
      <c r="Z2077" s="20">
        <v>0</v>
      </c>
      <c r="AA2077" s="20">
        <v>0</v>
      </c>
      <c r="AB2077" s="20">
        <v>31.08</v>
      </c>
      <c r="AC2077" t="s">
        <v>188</v>
      </c>
      <c r="AD2077" t="s">
        <v>290</v>
      </c>
      <c r="AE2077" s="702">
        <f t="shared" si="160"/>
        <v>44348</v>
      </c>
      <c r="AF2077" s="289">
        <v>37.019424557070813</v>
      </c>
      <c r="AG2077">
        <f t="shared" si="161"/>
        <v>360</v>
      </c>
      <c r="AH2077" s="289">
        <f t="shared" si="162"/>
        <v>0.10283173488075226</v>
      </c>
      <c r="AJ2077" s="289">
        <f t="shared" si="163"/>
        <v>18</v>
      </c>
      <c r="AK2077" s="289">
        <f t="shared" si="164"/>
        <v>1.8509712278535406</v>
      </c>
    </row>
    <row r="2078" spans="1:37">
      <c r="A2078" s="703" t="s">
        <v>3614</v>
      </c>
      <c r="B2078" s="703" t="s">
        <v>2849</v>
      </c>
      <c r="C2078" s="703" t="s">
        <v>390</v>
      </c>
      <c r="D2078" s="703" t="s">
        <v>334</v>
      </c>
      <c r="E2078" s="703" t="s">
        <v>334</v>
      </c>
      <c r="F2078" s="703" t="s">
        <v>335</v>
      </c>
      <c r="G2078" s="703" t="s">
        <v>3569</v>
      </c>
      <c r="H2078" s="703" t="s">
        <v>334</v>
      </c>
      <c r="I2078" s="703" t="s">
        <v>334</v>
      </c>
      <c r="J2078" s="703" t="s">
        <v>337</v>
      </c>
      <c r="K2078" s="704">
        <v>0</v>
      </c>
      <c r="L2078" s="703" t="s">
        <v>334</v>
      </c>
      <c r="M2078" s="702">
        <v>43251</v>
      </c>
      <c r="N2078" s="702">
        <v>44516</v>
      </c>
      <c r="O2078" s="703" t="s">
        <v>338</v>
      </c>
      <c r="P2078" s="20">
        <v>485.98</v>
      </c>
      <c r="Q2078" s="20">
        <v>0</v>
      </c>
      <c r="R2078" s="20">
        <v>0</v>
      </c>
      <c r="S2078" s="20">
        <v>0</v>
      </c>
      <c r="T2078" s="20">
        <v>485.98</v>
      </c>
      <c r="U2078" s="20">
        <v>484.63</v>
      </c>
      <c r="V2078" s="20">
        <v>-1.35</v>
      </c>
      <c r="W2078" s="20">
        <v>-17.55</v>
      </c>
      <c r="X2078" s="20">
        <v>-16.2</v>
      </c>
      <c r="Y2078" s="20">
        <v>0</v>
      </c>
      <c r="Z2078" s="20">
        <v>0</v>
      </c>
      <c r="AA2078" s="20">
        <v>0</v>
      </c>
      <c r="AB2078" s="20">
        <v>468.43</v>
      </c>
      <c r="AC2078" t="s">
        <v>188</v>
      </c>
      <c r="AD2078" t="s">
        <v>290</v>
      </c>
      <c r="AE2078" s="702">
        <f t="shared" si="160"/>
        <v>44348</v>
      </c>
      <c r="AF2078" s="289">
        <v>558.02419188105671</v>
      </c>
      <c r="AG2078">
        <f t="shared" si="161"/>
        <v>360</v>
      </c>
      <c r="AH2078" s="289">
        <f t="shared" si="162"/>
        <v>1.550067199669602</v>
      </c>
      <c r="AJ2078" s="289">
        <f t="shared" si="163"/>
        <v>18</v>
      </c>
      <c r="AK2078" s="289">
        <f t="shared" si="164"/>
        <v>27.901209594052837</v>
      </c>
    </row>
    <row r="2079" spans="1:37">
      <c r="A2079" s="703" t="s">
        <v>3615</v>
      </c>
      <c r="B2079" s="703" t="s">
        <v>2849</v>
      </c>
      <c r="C2079" s="703" t="s">
        <v>390</v>
      </c>
      <c r="D2079" s="703" t="s">
        <v>334</v>
      </c>
      <c r="E2079" s="703" t="s">
        <v>334</v>
      </c>
      <c r="F2079" s="703" t="s">
        <v>335</v>
      </c>
      <c r="G2079" s="703" t="s">
        <v>3569</v>
      </c>
      <c r="H2079" s="703" t="s">
        <v>334</v>
      </c>
      <c r="I2079" s="703" t="s">
        <v>334</v>
      </c>
      <c r="J2079" s="703" t="s">
        <v>337</v>
      </c>
      <c r="K2079" s="704">
        <v>0</v>
      </c>
      <c r="L2079" s="703" t="s">
        <v>334</v>
      </c>
      <c r="M2079" s="702">
        <v>43251</v>
      </c>
      <c r="N2079" s="702">
        <v>44516</v>
      </c>
      <c r="O2079" s="703" t="s">
        <v>338</v>
      </c>
      <c r="P2079" s="20">
        <v>3500.85</v>
      </c>
      <c r="Q2079" s="20">
        <v>0</v>
      </c>
      <c r="R2079" s="20">
        <v>0</v>
      </c>
      <c r="S2079" s="20">
        <v>0</v>
      </c>
      <c r="T2079" s="20">
        <v>3500.85</v>
      </c>
      <c r="U2079" s="20">
        <v>3491.13</v>
      </c>
      <c r="V2079" s="20">
        <v>-9.7200000000000006</v>
      </c>
      <c r="W2079" s="20">
        <v>-126.42</v>
      </c>
      <c r="X2079" s="20">
        <v>-116.7</v>
      </c>
      <c r="Y2079" s="20">
        <v>0</v>
      </c>
      <c r="Z2079" s="20">
        <v>0</v>
      </c>
      <c r="AA2079" s="20">
        <v>0</v>
      </c>
      <c r="AB2079" s="20">
        <v>3374.43</v>
      </c>
      <c r="AC2079" t="s">
        <v>188</v>
      </c>
      <c r="AD2079" t="s">
        <v>290</v>
      </c>
      <c r="AE2079" s="702">
        <f t="shared" si="160"/>
        <v>44348</v>
      </c>
      <c r="AF2079" s="289">
        <v>4019.834133393962</v>
      </c>
      <c r="AG2079">
        <f t="shared" si="161"/>
        <v>360</v>
      </c>
      <c r="AH2079" s="289">
        <f t="shared" si="162"/>
        <v>11.166205926094339</v>
      </c>
      <c r="AJ2079" s="289">
        <f t="shared" si="163"/>
        <v>18</v>
      </c>
      <c r="AK2079" s="289">
        <f t="shared" si="164"/>
        <v>200.99170666969809</v>
      </c>
    </row>
    <row r="2080" spans="1:37">
      <c r="A2080" s="703" t="s">
        <v>3616</v>
      </c>
      <c r="B2080" s="703" t="s">
        <v>2849</v>
      </c>
      <c r="C2080" s="703" t="s">
        <v>390</v>
      </c>
      <c r="D2080" s="703" t="s">
        <v>334</v>
      </c>
      <c r="E2080" s="703" t="s">
        <v>334</v>
      </c>
      <c r="F2080" s="703" t="s">
        <v>335</v>
      </c>
      <c r="G2080" s="703" t="s">
        <v>3569</v>
      </c>
      <c r="H2080" s="703" t="s">
        <v>334</v>
      </c>
      <c r="I2080" s="703" t="s">
        <v>334</v>
      </c>
      <c r="J2080" s="703" t="s">
        <v>337</v>
      </c>
      <c r="K2080" s="704">
        <v>0</v>
      </c>
      <c r="L2080" s="703" t="s">
        <v>334</v>
      </c>
      <c r="M2080" s="702">
        <v>43251</v>
      </c>
      <c r="N2080" s="702">
        <v>44516</v>
      </c>
      <c r="O2080" s="703" t="s">
        <v>338</v>
      </c>
      <c r="P2080" s="20">
        <v>95.65</v>
      </c>
      <c r="Q2080" s="20">
        <v>0</v>
      </c>
      <c r="R2080" s="20">
        <v>0</v>
      </c>
      <c r="S2080" s="20">
        <v>0</v>
      </c>
      <c r="T2080" s="20">
        <v>95.65</v>
      </c>
      <c r="U2080" s="20">
        <v>95.38</v>
      </c>
      <c r="V2080" s="20">
        <v>-0.27</v>
      </c>
      <c r="W2080" s="20">
        <v>-3.46</v>
      </c>
      <c r="X2080" s="20">
        <v>-3.19</v>
      </c>
      <c r="Y2080" s="20">
        <v>0</v>
      </c>
      <c r="Z2080" s="20">
        <v>0</v>
      </c>
      <c r="AA2080" s="20">
        <v>0</v>
      </c>
      <c r="AB2080" s="20">
        <v>92.19</v>
      </c>
      <c r="AC2080" t="s">
        <v>188</v>
      </c>
      <c r="AD2080" t="s">
        <v>290</v>
      </c>
      <c r="AE2080" s="702">
        <f t="shared" si="160"/>
        <v>44348</v>
      </c>
      <c r="AF2080" s="289">
        <v>109.82965133014339</v>
      </c>
      <c r="AG2080">
        <f t="shared" si="161"/>
        <v>360</v>
      </c>
      <c r="AH2080" s="289">
        <f t="shared" si="162"/>
        <v>0.30508236480595385</v>
      </c>
      <c r="AJ2080" s="289">
        <f t="shared" si="163"/>
        <v>18</v>
      </c>
      <c r="AK2080" s="289">
        <f t="shared" si="164"/>
        <v>5.4914825665071696</v>
      </c>
    </row>
    <row r="2081" spans="1:37">
      <c r="A2081" s="703" t="s">
        <v>3617</v>
      </c>
      <c r="B2081" s="703" t="s">
        <v>2849</v>
      </c>
      <c r="C2081" s="703" t="s">
        <v>390</v>
      </c>
      <c r="D2081" s="703" t="s">
        <v>334</v>
      </c>
      <c r="E2081" s="703" t="s">
        <v>334</v>
      </c>
      <c r="F2081" s="703" t="s">
        <v>335</v>
      </c>
      <c r="G2081" s="703" t="s">
        <v>3569</v>
      </c>
      <c r="H2081" s="703" t="s">
        <v>334</v>
      </c>
      <c r="I2081" s="703" t="s">
        <v>334</v>
      </c>
      <c r="J2081" s="703" t="s">
        <v>337</v>
      </c>
      <c r="K2081" s="704">
        <v>0</v>
      </c>
      <c r="L2081" s="703" t="s">
        <v>334</v>
      </c>
      <c r="M2081" s="702">
        <v>43251</v>
      </c>
      <c r="N2081" s="702">
        <v>44516</v>
      </c>
      <c r="O2081" s="703" t="s">
        <v>338</v>
      </c>
      <c r="P2081" s="20">
        <v>469.61</v>
      </c>
      <c r="Q2081" s="20">
        <v>0</v>
      </c>
      <c r="R2081" s="20">
        <v>0</v>
      </c>
      <c r="S2081" s="20">
        <v>0</v>
      </c>
      <c r="T2081" s="20">
        <v>469.61</v>
      </c>
      <c r="U2081" s="20">
        <v>468.31</v>
      </c>
      <c r="V2081" s="20">
        <v>-1.3</v>
      </c>
      <c r="W2081" s="20">
        <v>-16.95</v>
      </c>
      <c r="X2081" s="20">
        <v>-15.65</v>
      </c>
      <c r="Y2081" s="20">
        <v>0</v>
      </c>
      <c r="Z2081" s="20">
        <v>0</v>
      </c>
      <c r="AA2081" s="20">
        <v>0</v>
      </c>
      <c r="AB2081" s="20">
        <v>452.66</v>
      </c>
      <c r="AC2081" t="s">
        <v>188</v>
      </c>
      <c r="AD2081" t="s">
        <v>290</v>
      </c>
      <c r="AE2081" s="702">
        <f t="shared" si="160"/>
        <v>44348</v>
      </c>
      <c r="AF2081" s="289">
        <v>539.22741830787913</v>
      </c>
      <c r="AG2081">
        <f t="shared" si="161"/>
        <v>360</v>
      </c>
      <c r="AH2081" s="289">
        <f t="shared" si="162"/>
        <v>1.4978539397441086</v>
      </c>
      <c r="AJ2081" s="289">
        <f t="shared" si="163"/>
        <v>18</v>
      </c>
      <c r="AK2081" s="289">
        <f t="shared" si="164"/>
        <v>26.961370915393957</v>
      </c>
    </row>
    <row r="2082" spans="1:37">
      <c r="A2082" s="703" t="s">
        <v>3618</v>
      </c>
      <c r="B2082" s="703" t="s">
        <v>2849</v>
      </c>
      <c r="C2082" s="703" t="s">
        <v>390</v>
      </c>
      <c r="D2082" s="703" t="s">
        <v>334</v>
      </c>
      <c r="E2082" s="703" t="s">
        <v>334</v>
      </c>
      <c r="F2082" s="703" t="s">
        <v>335</v>
      </c>
      <c r="G2082" s="703" t="s">
        <v>3415</v>
      </c>
      <c r="H2082" s="703" t="s">
        <v>334</v>
      </c>
      <c r="I2082" s="703" t="s">
        <v>334</v>
      </c>
      <c r="J2082" s="703" t="s">
        <v>337</v>
      </c>
      <c r="K2082" s="704">
        <v>0</v>
      </c>
      <c r="L2082" s="703" t="s">
        <v>334</v>
      </c>
      <c r="M2082" s="702">
        <v>43251</v>
      </c>
      <c r="N2082" s="702">
        <v>44516</v>
      </c>
      <c r="O2082" s="703" t="s">
        <v>338</v>
      </c>
      <c r="P2082" s="20">
        <v>485.98</v>
      </c>
      <c r="Q2082" s="20">
        <v>0</v>
      </c>
      <c r="R2082" s="20">
        <v>0</v>
      </c>
      <c r="S2082" s="20">
        <v>0</v>
      </c>
      <c r="T2082" s="20">
        <v>485.98</v>
      </c>
      <c r="U2082" s="20">
        <v>484.63</v>
      </c>
      <c r="V2082" s="20">
        <v>-1.35</v>
      </c>
      <c r="W2082" s="20">
        <v>-17.55</v>
      </c>
      <c r="X2082" s="20">
        <v>-16.2</v>
      </c>
      <c r="Y2082" s="20">
        <v>0</v>
      </c>
      <c r="Z2082" s="20">
        <v>0</v>
      </c>
      <c r="AA2082" s="20">
        <v>0</v>
      </c>
      <c r="AB2082" s="20">
        <v>468.43</v>
      </c>
      <c r="AC2082" t="s">
        <v>188</v>
      </c>
      <c r="AD2082" t="s">
        <v>290</v>
      </c>
      <c r="AE2082" s="702">
        <f t="shared" si="160"/>
        <v>44348</v>
      </c>
      <c r="AF2082" s="289">
        <v>558.02419188105671</v>
      </c>
      <c r="AG2082">
        <f t="shared" si="161"/>
        <v>360</v>
      </c>
      <c r="AH2082" s="289">
        <f t="shared" si="162"/>
        <v>1.550067199669602</v>
      </c>
      <c r="AJ2082" s="289">
        <f t="shared" si="163"/>
        <v>18</v>
      </c>
      <c r="AK2082" s="289">
        <f t="shared" si="164"/>
        <v>27.901209594052837</v>
      </c>
    </row>
    <row r="2083" spans="1:37">
      <c r="A2083" s="703" t="s">
        <v>3619</v>
      </c>
      <c r="B2083" s="703" t="s">
        <v>2849</v>
      </c>
      <c r="C2083" s="703" t="s">
        <v>390</v>
      </c>
      <c r="D2083" s="703" t="s">
        <v>334</v>
      </c>
      <c r="E2083" s="703" t="s">
        <v>334</v>
      </c>
      <c r="F2083" s="703" t="s">
        <v>335</v>
      </c>
      <c r="G2083" s="703" t="s">
        <v>3415</v>
      </c>
      <c r="H2083" s="703" t="s">
        <v>334</v>
      </c>
      <c r="I2083" s="703" t="s">
        <v>334</v>
      </c>
      <c r="J2083" s="703" t="s">
        <v>337</v>
      </c>
      <c r="K2083" s="704">
        <v>0</v>
      </c>
      <c r="L2083" s="703" t="s">
        <v>334</v>
      </c>
      <c r="M2083" s="702">
        <v>43251</v>
      </c>
      <c r="N2083" s="702">
        <v>44516</v>
      </c>
      <c r="O2083" s="703" t="s">
        <v>338</v>
      </c>
      <c r="P2083" s="20">
        <v>572.53</v>
      </c>
      <c r="Q2083" s="20">
        <v>0</v>
      </c>
      <c r="R2083" s="20">
        <v>0</v>
      </c>
      <c r="S2083" s="20">
        <v>0</v>
      </c>
      <c r="T2083" s="20">
        <v>572.53</v>
      </c>
      <c r="U2083" s="20">
        <v>570.94000000000005</v>
      </c>
      <c r="V2083" s="20">
        <v>-1.59</v>
      </c>
      <c r="W2083" s="20">
        <v>-20.67</v>
      </c>
      <c r="X2083" s="20">
        <v>-19.079999999999998</v>
      </c>
      <c r="Y2083" s="20">
        <v>0</v>
      </c>
      <c r="Z2083" s="20">
        <v>0</v>
      </c>
      <c r="AA2083" s="20">
        <v>0</v>
      </c>
      <c r="AB2083" s="20">
        <v>551.86</v>
      </c>
      <c r="AC2083" t="s">
        <v>188</v>
      </c>
      <c r="AD2083" t="s">
        <v>290</v>
      </c>
      <c r="AE2083" s="702">
        <f t="shared" si="160"/>
        <v>44348</v>
      </c>
      <c r="AF2083" s="289">
        <v>657.40481208622043</v>
      </c>
      <c r="AG2083">
        <f t="shared" si="161"/>
        <v>360</v>
      </c>
      <c r="AH2083" s="289">
        <f t="shared" si="162"/>
        <v>1.826124478017279</v>
      </c>
      <c r="AJ2083" s="289">
        <f t="shared" si="163"/>
        <v>18</v>
      </c>
      <c r="AK2083" s="289">
        <f t="shared" si="164"/>
        <v>32.870240604311022</v>
      </c>
    </row>
    <row r="2084" spans="1:37">
      <c r="A2084" s="703" t="s">
        <v>3620</v>
      </c>
      <c r="B2084" s="703" t="s">
        <v>2849</v>
      </c>
      <c r="C2084" s="703" t="s">
        <v>390</v>
      </c>
      <c r="D2084" s="703" t="s">
        <v>334</v>
      </c>
      <c r="E2084" s="703" t="s">
        <v>334</v>
      </c>
      <c r="F2084" s="703" t="s">
        <v>335</v>
      </c>
      <c r="G2084" s="703" t="s">
        <v>3415</v>
      </c>
      <c r="H2084" s="703" t="s">
        <v>334</v>
      </c>
      <c r="I2084" s="703" t="s">
        <v>334</v>
      </c>
      <c r="J2084" s="703" t="s">
        <v>337</v>
      </c>
      <c r="K2084" s="704">
        <v>0</v>
      </c>
      <c r="L2084" s="703" t="s">
        <v>334</v>
      </c>
      <c r="M2084" s="702">
        <v>43251</v>
      </c>
      <c r="N2084" s="702">
        <v>44516</v>
      </c>
      <c r="O2084" s="703" t="s">
        <v>338</v>
      </c>
      <c r="P2084" s="20">
        <v>175.36</v>
      </c>
      <c r="Q2084" s="20">
        <v>0</v>
      </c>
      <c r="R2084" s="20">
        <v>0</v>
      </c>
      <c r="S2084" s="20">
        <v>0</v>
      </c>
      <c r="T2084" s="20">
        <v>175.36</v>
      </c>
      <c r="U2084" s="20">
        <v>174.87</v>
      </c>
      <c r="V2084" s="20">
        <v>-0.49</v>
      </c>
      <c r="W2084" s="20">
        <v>-6.34</v>
      </c>
      <c r="X2084" s="20">
        <v>-5.85</v>
      </c>
      <c r="Y2084" s="20">
        <v>0</v>
      </c>
      <c r="Z2084" s="20">
        <v>0</v>
      </c>
      <c r="AA2084" s="20">
        <v>0</v>
      </c>
      <c r="AB2084" s="20">
        <v>169.02</v>
      </c>
      <c r="AC2084" t="s">
        <v>188</v>
      </c>
      <c r="AD2084" t="s">
        <v>290</v>
      </c>
      <c r="AE2084" s="702">
        <f t="shared" si="160"/>
        <v>44348</v>
      </c>
      <c r="AF2084" s="289">
        <v>201.35627451389382</v>
      </c>
      <c r="AG2084">
        <f t="shared" si="161"/>
        <v>360</v>
      </c>
      <c r="AH2084" s="289">
        <f t="shared" si="162"/>
        <v>0.55932298476081621</v>
      </c>
      <c r="AJ2084" s="289">
        <f t="shared" si="163"/>
        <v>18</v>
      </c>
      <c r="AK2084" s="289">
        <f t="shared" si="164"/>
        <v>10.067813725694691</v>
      </c>
    </row>
    <row r="2085" spans="1:37">
      <c r="A2085" s="703" t="s">
        <v>3621</v>
      </c>
      <c r="B2085" s="703" t="s">
        <v>2849</v>
      </c>
      <c r="C2085" s="703" t="s">
        <v>390</v>
      </c>
      <c r="D2085" s="703" t="s">
        <v>334</v>
      </c>
      <c r="E2085" s="703" t="s">
        <v>334</v>
      </c>
      <c r="F2085" s="703" t="s">
        <v>335</v>
      </c>
      <c r="G2085" s="703" t="s">
        <v>3415</v>
      </c>
      <c r="H2085" s="703" t="s">
        <v>334</v>
      </c>
      <c r="I2085" s="703" t="s">
        <v>334</v>
      </c>
      <c r="J2085" s="703" t="s">
        <v>337</v>
      </c>
      <c r="K2085" s="704">
        <v>0</v>
      </c>
      <c r="L2085" s="703" t="s">
        <v>334</v>
      </c>
      <c r="M2085" s="702">
        <v>43251</v>
      </c>
      <c r="N2085" s="702">
        <v>44516</v>
      </c>
      <c r="O2085" s="703" t="s">
        <v>338</v>
      </c>
      <c r="P2085" s="20">
        <v>594.38</v>
      </c>
      <c r="Q2085" s="20">
        <v>0</v>
      </c>
      <c r="R2085" s="20">
        <v>0</v>
      </c>
      <c r="S2085" s="20">
        <v>0</v>
      </c>
      <c r="T2085" s="20">
        <v>594.38</v>
      </c>
      <c r="U2085" s="20">
        <v>592.73</v>
      </c>
      <c r="V2085" s="20">
        <v>-1.65</v>
      </c>
      <c r="W2085" s="20">
        <v>-21.46</v>
      </c>
      <c r="X2085" s="20">
        <v>-19.809999999999999</v>
      </c>
      <c r="Y2085" s="20">
        <v>0</v>
      </c>
      <c r="Z2085" s="20">
        <v>0</v>
      </c>
      <c r="AA2085" s="20">
        <v>0</v>
      </c>
      <c r="AB2085" s="20">
        <v>572.91999999999996</v>
      </c>
      <c r="AC2085" t="s">
        <v>188</v>
      </c>
      <c r="AD2085" t="s">
        <v>290</v>
      </c>
      <c r="AE2085" s="702">
        <f t="shared" si="160"/>
        <v>44348</v>
      </c>
      <c r="AF2085" s="289">
        <v>682.49396923795746</v>
      </c>
      <c r="AG2085">
        <f t="shared" si="161"/>
        <v>360</v>
      </c>
      <c r="AH2085" s="289">
        <f t="shared" si="162"/>
        <v>1.8958165812165484</v>
      </c>
      <c r="AJ2085" s="289">
        <f t="shared" si="163"/>
        <v>18</v>
      </c>
      <c r="AK2085" s="289">
        <f t="shared" si="164"/>
        <v>34.124698461897871</v>
      </c>
    </row>
    <row r="2086" spans="1:37">
      <c r="A2086" s="703" t="s">
        <v>3622</v>
      </c>
      <c r="B2086" s="703" t="s">
        <v>2849</v>
      </c>
      <c r="C2086" s="703" t="s">
        <v>390</v>
      </c>
      <c r="D2086" s="703" t="s">
        <v>334</v>
      </c>
      <c r="E2086" s="703" t="s">
        <v>334</v>
      </c>
      <c r="F2086" s="703" t="s">
        <v>335</v>
      </c>
      <c r="G2086" s="703" t="s">
        <v>3623</v>
      </c>
      <c r="H2086" s="703" t="s">
        <v>334</v>
      </c>
      <c r="I2086" s="703" t="s">
        <v>334</v>
      </c>
      <c r="J2086" s="703" t="s">
        <v>337</v>
      </c>
      <c r="K2086" s="704">
        <v>0</v>
      </c>
      <c r="L2086" s="703" t="s">
        <v>334</v>
      </c>
      <c r="M2086" s="702">
        <v>43251</v>
      </c>
      <c r="N2086" s="702">
        <v>44516</v>
      </c>
      <c r="O2086" s="703" t="s">
        <v>338</v>
      </c>
      <c r="P2086" s="20">
        <v>92.21</v>
      </c>
      <c r="Q2086" s="20">
        <v>0</v>
      </c>
      <c r="R2086" s="20">
        <v>0</v>
      </c>
      <c r="S2086" s="20">
        <v>0</v>
      </c>
      <c r="T2086" s="20">
        <v>92.21</v>
      </c>
      <c r="U2086" s="20">
        <v>91.95</v>
      </c>
      <c r="V2086" s="20">
        <v>-0.26</v>
      </c>
      <c r="W2086" s="20">
        <v>-3.33</v>
      </c>
      <c r="X2086" s="20">
        <v>-3.07</v>
      </c>
      <c r="Y2086" s="20">
        <v>0</v>
      </c>
      <c r="Z2086" s="20">
        <v>0</v>
      </c>
      <c r="AA2086" s="20">
        <v>0</v>
      </c>
      <c r="AB2086" s="20">
        <v>88.88</v>
      </c>
      <c r="AC2086" t="s">
        <v>188</v>
      </c>
      <c r="AD2086" t="s">
        <v>290</v>
      </c>
      <c r="AE2086" s="702">
        <f t="shared" si="160"/>
        <v>44348</v>
      </c>
      <c r="AF2086" s="289">
        <v>105.87968791586536</v>
      </c>
      <c r="AG2086">
        <f t="shared" si="161"/>
        <v>360</v>
      </c>
      <c r="AH2086" s="289">
        <f t="shared" si="162"/>
        <v>0.29411024421073712</v>
      </c>
      <c r="AJ2086" s="289">
        <f t="shared" si="163"/>
        <v>18</v>
      </c>
      <c r="AK2086" s="289">
        <f t="shared" si="164"/>
        <v>5.2939843957932684</v>
      </c>
    </row>
    <row r="2087" spans="1:37">
      <c r="A2087" s="703" t="s">
        <v>3624</v>
      </c>
      <c r="B2087" s="703" t="s">
        <v>2849</v>
      </c>
      <c r="C2087" s="703" t="s">
        <v>390</v>
      </c>
      <c r="D2087" s="703" t="s">
        <v>334</v>
      </c>
      <c r="E2087" s="703" t="s">
        <v>334</v>
      </c>
      <c r="F2087" s="703" t="s">
        <v>335</v>
      </c>
      <c r="G2087" s="703" t="s">
        <v>3623</v>
      </c>
      <c r="H2087" s="703" t="s">
        <v>334</v>
      </c>
      <c r="I2087" s="703" t="s">
        <v>334</v>
      </c>
      <c r="J2087" s="703" t="s">
        <v>337</v>
      </c>
      <c r="K2087" s="704">
        <v>0</v>
      </c>
      <c r="L2087" s="703" t="s">
        <v>334</v>
      </c>
      <c r="M2087" s="702">
        <v>43251</v>
      </c>
      <c r="N2087" s="702">
        <v>44516</v>
      </c>
      <c r="O2087" s="703" t="s">
        <v>338</v>
      </c>
      <c r="P2087" s="20">
        <v>500.33</v>
      </c>
      <c r="Q2087" s="20">
        <v>0</v>
      </c>
      <c r="R2087" s="20">
        <v>0</v>
      </c>
      <c r="S2087" s="20">
        <v>0</v>
      </c>
      <c r="T2087" s="20">
        <v>500.33</v>
      </c>
      <c r="U2087" s="20">
        <v>498.94</v>
      </c>
      <c r="V2087" s="20">
        <v>-1.39</v>
      </c>
      <c r="W2087" s="20">
        <v>-18.07</v>
      </c>
      <c r="X2087" s="20">
        <v>-16.68</v>
      </c>
      <c r="Y2087" s="20">
        <v>0</v>
      </c>
      <c r="Z2087" s="20">
        <v>0</v>
      </c>
      <c r="AA2087" s="20">
        <v>0</v>
      </c>
      <c r="AB2087" s="20">
        <v>482.26</v>
      </c>
      <c r="AC2087" t="s">
        <v>188</v>
      </c>
      <c r="AD2087" t="s">
        <v>290</v>
      </c>
      <c r="AE2087" s="702">
        <f t="shared" si="160"/>
        <v>44348</v>
      </c>
      <c r="AF2087" s="289">
        <v>574.50151019352461</v>
      </c>
      <c r="AG2087">
        <f t="shared" si="161"/>
        <v>360</v>
      </c>
      <c r="AH2087" s="289">
        <f t="shared" si="162"/>
        <v>1.5958375283153461</v>
      </c>
      <c r="AJ2087" s="289">
        <f t="shared" si="163"/>
        <v>18</v>
      </c>
      <c r="AK2087" s="289">
        <f t="shared" si="164"/>
        <v>28.72507550967623</v>
      </c>
    </row>
    <row r="2088" spans="1:37">
      <c r="A2088" s="703" t="s">
        <v>3625</v>
      </c>
      <c r="B2088" s="703" t="s">
        <v>2849</v>
      </c>
      <c r="C2088" s="703" t="s">
        <v>390</v>
      </c>
      <c r="D2088" s="703" t="s">
        <v>334</v>
      </c>
      <c r="E2088" s="703" t="s">
        <v>334</v>
      </c>
      <c r="F2088" s="703" t="s">
        <v>335</v>
      </c>
      <c r="G2088" s="703" t="s">
        <v>3623</v>
      </c>
      <c r="H2088" s="703" t="s">
        <v>334</v>
      </c>
      <c r="I2088" s="703" t="s">
        <v>334</v>
      </c>
      <c r="J2088" s="703" t="s">
        <v>337</v>
      </c>
      <c r="K2088" s="704">
        <v>0</v>
      </c>
      <c r="L2088" s="703" t="s">
        <v>334</v>
      </c>
      <c r="M2088" s="702">
        <v>43251</v>
      </c>
      <c r="N2088" s="702">
        <v>44516</v>
      </c>
      <c r="O2088" s="703" t="s">
        <v>338</v>
      </c>
      <c r="P2088" s="20">
        <v>404.61</v>
      </c>
      <c r="Q2088" s="20">
        <v>0</v>
      </c>
      <c r="R2088" s="20">
        <v>0</v>
      </c>
      <c r="S2088" s="20">
        <v>0</v>
      </c>
      <c r="T2088" s="20">
        <v>404.61</v>
      </c>
      <c r="U2088" s="20">
        <v>403.49</v>
      </c>
      <c r="V2088" s="20">
        <v>-1.1200000000000001</v>
      </c>
      <c r="W2088" s="20">
        <v>-14.61</v>
      </c>
      <c r="X2088" s="20">
        <v>-13.49</v>
      </c>
      <c r="Y2088" s="20">
        <v>0</v>
      </c>
      <c r="Z2088" s="20">
        <v>0</v>
      </c>
      <c r="AA2088" s="20">
        <v>0</v>
      </c>
      <c r="AB2088" s="20">
        <v>390</v>
      </c>
      <c r="AC2088" t="s">
        <v>188</v>
      </c>
      <c r="AD2088" t="s">
        <v>290</v>
      </c>
      <c r="AE2088" s="702">
        <f t="shared" si="160"/>
        <v>44348</v>
      </c>
      <c r="AF2088" s="289">
        <v>464.59148170088145</v>
      </c>
      <c r="AG2088">
        <f t="shared" si="161"/>
        <v>360</v>
      </c>
      <c r="AH2088" s="289">
        <f t="shared" si="162"/>
        <v>1.2905318936135595</v>
      </c>
      <c r="AJ2088" s="289">
        <f t="shared" si="163"/>
        <v>18</v>
      </c>
      <c r="AK2088" s="289">
        <f t="shared" si="164"/>
        <v>23.229574085044071</v>
      </c>
    </row>
    <row r="2089" spans="1:37">
      <c r="A2089" s="703" t="s">
        <v>3626</v>
      </c>
      <c r="B2089" s="703" t="s">
        <v>2849</v>
      </c>
      <c r="C2089" s="703" t="s">
        <v>390</v>
      </c>
      <c r="D2089" s="703" t="s">
        <v>334</v>
      </c>
      <c r="E2089" s="703" t="s">
        <v>334</v>
      </c>
      <c r="F2089" s="703" t="s">
        <v>335</v>
      </c>
      <c r="G2089" s="703" t="s">
        <v>3623</v>
      </c>
      <c r="H2089" s="703" t="s">
        <v>334</v>
      </c>
      <c r="I2089" s="703" t="s">
        <v>334</v>
      </c>
      <c r="J2089" s="703" t="s">
        <v>337</v>
      </c>
      <c r="K2089" s="704">
        <v>0</v>
      </c>
      <c r="L2089" s="703" t="s">
        <v>334</v>
      </c>
      <c r="M2089" s="702">
        <v>43251</v>
      </c>
      <c r="N2089" s="702">
        <v>44516</v>
      </c>
      <c r="O2089" s="703" t="s">
        <v>338</v>
      </c>
      <c r="P2089" s="20">
        <v>394.76</v>
      </c>
      <c r="Q2089" s="20">
        <v>0</v>
      </c>
      <c r="R2089" s="20">
        <v>0</v>
      </c>
      <c r="S2089" s="20">
        <v>0</v>
      </c>
      <c r="T2089" s="20">
        <v>394.76</v>
      </c>
      <c r="U2089" s="20">
        <v>393.66</v>
      </c>
      <c r="V2089" s="20">
        <v>-1.1000000000000001</v>
      </c>
      <c r="W2089" s="20">
        <v>-14.26</v>
      </c>
      <c r="X2089" s="20">
        <v>-13.16</v>
      </c>
      <c r="Y2089" s="20">
        <v>0</v>
      </c>
      <c r="Z2089" s="20">
        <v>0</v>
      </c>
      <c r="AA2089" s="20">
        <v>0</v>
      </c>
      <c r="AB2089" s="20">
        <v>380.5</v>
      </c>
      <c r="AC2089" t="s">
        <v>188</v>
      </c>
      <c r="AD2089" t="s">
        <v>290</v>
      </c>
      <c r="AE2089" s="702">
        <f t="shared" si="160"/>
        <v>44348</v>
      </c>
      <c r="AF2089" s="289">
        <v>453.28126669197491</v>
      </c>
      <c r="AG2089">
        <f t="shared" si="161"/>
        <v>360</v>
      </c>
      <c r="AH2089" s="289">
        <f t="shared" si="162"/>
        <v>1.2591146296999303</v>
      </c>
      <c r="AJ2089" s="289">
        <f t="shared" si="163"/>
        <v>18</v>
      </c>
      <c r="AK2089" s="289">
        <f t="shared" si="164"/>
        <v>22.664063334598744</v>
      </c>
    </row>
    <row r="2090" spans="1:37">
      <c r="A2090" s="703" t="s">
        <v>3627</v>
      </c>
      <c r="B2090" s="703" t="s">
        <v>2849</v>
      </c>
      <c r="C2090" s="703" t="s">
        <v>390</v>
      </c>
      <c r="D2090" s="703" t="s">
        <v>334</v>
      </c>
      <c r="E2090" s="703" t="s">
        <v>334</v>
      </c>
      <c r="F2090" s="703" t="s">
        <v>335</v>
      </c>
      <c r="G2090" s="703" t="s">
        <v>3623</v>
      </c>
      <c r="H2090" s="703" t="s">
        <v>334</v>
      </c>
      <c r="I2090" s="703" t="s">
        <v>334</v>
      </c>
      <c r="J2090" s="703" t="s">
        <v>337</v>
      </c>
      <c r="K2090" s="704">
        <v>0</v>
      </c>
      <c r="L2090" s="703" t="s">
        <v>334</v>
      </c>
      <c r="M2090" s="702">
        <v>43251</v>
      </c>
      <c r="N2090" s="702">
        <v>44516</v>
      </c>
      <c r="O2090" s="703" t="s">
        <v>338</v>
      </c>
      <c r="P2090" s="20">
        <v>485.98</v>
      </c>
      <c r="Q2090" s="20">
        <v>0</v>
      </c>
      <c r="R2090" s="20">
        <v>0</v>
      </c>
      <c r="S2090" s="20">
        <v>0</v>
      </c>
      <c r="T2090" s="20">
        <v>485.98</v>
      </c>
      <c r="U2090" s="20">
        <v>484.63</v>
      </c>
      <c r="V2090" s="20">
        <v>-1.35</v>
      </c>
      <c r="W2090" s="20">
        <v>-17.55</v>
      </c>
      <c r="X2090" s="20">
        <v>-16.2</v>
      </c>
      <c r="Y2090" s="20">
        <v>0</v>
      </c>
      <c r="Z2090" s="20">
        <v>0</v>
      </c>
      <c r="AA2090" s="20">
        <v>0</v>
      </c>
      <c r="AB2090" s="20">
        <v>468.43</v>
      </c>
      <c r="AC2090" t="s">
        <v>188</v>
      </c>
      <c r="AD2090" t="s">
        <v>290</v>
      </c>
      <c r="AE2090" s="702">
        <f t="shared" si="160"/>
        <v>44348</v>
      </c>
      <c r="AF2090" s="289">
        <v>558.02419188105671</v>
      </c>
      <c r="AG2090">
        <f t="shared" si="161"/>
        <v>360</v>
      </c>
      <c r="AH2090" s="289">
        <f t="shared" si="162"/>
        <v>1.550067199669602</v>
      </c>
      <c r="AJ2090" s="289">
        <f t="shared" si="163"/>
        <v>18</v>
      </c>
      <c r="AK2090" s="289">
        <f t="shared" si="164"/>
        <v>27.901209594052837</v>
      </c>
    </row>
    <row r="2091" spans="1:37">
      <c r="A2091" s="703" t="s">
        <v>3628</v>
      </c>
      <c r="B2091" s="703" t="s">
        <v>2849</v>
      </c>
      <c r="C2091" s="703" t="s">
        <v>390</v>
      </c>
      <c r="D2091" s="703" t="s">
        <v>334</v>
      </c>
      <c r="E2091" s="703" t="s">
        <v>334</v>
      </c>
      <c r="F2091" s="703" t="s">
        <v>335</v>
      </c>
      <c r="G2091" s="703" t="s">
        <v>3623</v>
      </c>
      <c r="H2091" s="703" t="s">
        <v>334</v>
      </c>
      <c r="I2091" s="703" t="s">
        <v>334</v>
      </c>
      <c r="J2091" s="703" t="s">
        <v>337</v>
      </c>
      <c r="K2091" s="704">
        <v>0</v>
      </c>
      <c r="L2091" s="703" t="s">
        <v>334</v>
      </c>
      <c r="M2091" s="702">
        <v>43251</v>
      </c>
      <c r="N2091" s="702">
        <v>44516</v>
      </c>
      <c r="O2091" s="703" t="s">
        <v>338</v>
      </c>
      <c r="P2091" s="20">
        <v>1464.26</v>
      </c>
      <c r="Q2091" s="20">
        <v>0</v>
      </c>
      <c r="R2091" s="20">
        <v>0</v>
      </c>
      <c r="S2091" s="20">
        <v>0</v>
      </c>
      <c r="T2091" s="20">
        <v>1464.26</v>
      </c>
      <c r="U2091" s="20">
        <v>1460.19</v>
      </c>
      <c r="V2091" s="20">
        <v>-4.07</v>
      </c>
      <c r="W2091" s="20">
        <v>-52.88</v>
      </c>
      <c r="X2091" s="20">
        <v>-48.81</v>
      </c>
      <c r="Y2091" s="20">
        <v>0</v>
      </c>
      <c r="Z2091" s="20">
        <v>0</v>
      </c>
      <c r="AA2091" s="20">
        <v>0</v>
      </c>
      <c r="AB2091" s="20">
        <v>1411.38</v>
      </c>
      <c r="AC2091" t="s">
        <v>188</v>
      </c>
      <c r="AD2091" t="s">
        <v>290</v>
      </c>
      <c r="AE2091" s="702">
        <f t="shared" si="160"/>
        <v>44348</v>
      </c>
      <c r="AF2091" s="289">
        <v>1681.3294851717276</v>
      </c>
      <c r="AG2091">
        <f t="shared" si="161"/>
        <v>360</v>
      </c>
      <c r="AH2091" s="289">
        <f t="shared" si="162"/>
        <v>4.6703596810325765</v>
      </c>
      <c r="AJ2091" s="289">
        <f t="shared" si="163"/>
        <v>18</v>
      </c>
      <c r="AK2091" s="289">
        <f t="shared" si="164"/>
        <v>84.066474258586382</v>
      </c>
    </row>
    <row r="2092" spans="1:37">
      <c r="A2092" s="703" t="s">
        <v>3629</v>
      </c>
      <c r="B2092" s="703" t="s">
        <v>2849</v>
      </c>
      <c r="C2092" s="703" t="s">
        <v>390</v>
      </c>
      <c r="D2092" s="703" t="s">
        <v>334</v>
      </c>
      <c r="E2092" s="703" t="s">
        <v>334</v>
      </c>
      <c r="F2092" s="703" t="s">
        <v>335</v>
      </c>
      <c r="G2092" s="703" t="s">
        <v>3623</v>
      </c>
      <c r="H2092" s="703" t="s">
        <v>334</v>
      </c>
      <c r="I2092" s="703" t="s">
        <v>334</v>
      </c>
      <c r="J2092" s="703" t="s">
        <v>337</v>
      </c>
      <c r="K2092" s="704">
        <v>0</v>
      </c>
      <c r="L2092" s="703" t="s">
        <v>334</v>
      </c>
      <c r="M2092" s="702">
        <v>43251</v>
      </c>
      <c r="N2092" s="702">
        <v>44516</v>
      </c>
      <c r="O2092" s="703" t="s">
        <v>338</v>
      </c>
      <c r="P2092" s="20">
        <v>3850.94</v>
      </c>
      <c r="Q2092" s="20">
        <v>0</v>
      </c>
      <c r="R2092" s="20">
        <v>0</v>
      </c>
      <c r="S2092" s="20">
        <v>0</v>
      </c>
      <c r="T2092" s="20">
        <v>3850.94</v>
      </c>
      <c r="U2092" s="20">
        <v>3840.24</v>
      </c>
      <c r="V2092" s="20">
        <v>-10.7</v>
      </c>
      <c r="W2092" s="20">
        <v>-139.06</v>
      </c>
      <c r="X2092" s="20">
        <v>-128.36000000000001</v>
      </c>
      <c r="Y2092" s="20">
        <v>0</v>
      </c>
      <c r="Z2092" s="20">
        <v>0</v>
      </c>
      <c r="AA2092" s="20">
        <v>0</v>
      </c>
      <c r="AB2092" s="20">
        <v>3711.88</v>
      </c>
      <c r="AC2092" t="s">
        <v>188</v>
      </c>
      <c r="AD2092" t="s">
        <v>290</v>
      </c>
      <c r="AE2092" s="702">
        <f t="shared" si="160"/>
        <v>44348</v>
      </c>
      <c r="AF2092" s="289">
        <v>4421.8232879592506</v>
      </c>
      <c r="AG2092">
        <f t="shared" si="161"/>
        <v>360</v>
      </c>
      <c r="AH2092" s="289">
        <f t="shared" si="162"/>
        <v>12.282842466553474</v>
      </c>
      <c r="AJ2092" s="289">
        <f t="shared" si="163"/>
        <v>18</v>
      </c>
      <c r="AK2092" s="289">
        <f t="shared" si="164"/>
        <v>221.09116439796253</v>
      </c>
    </row>
    <row r="2093" spans="1:37">
      <c r="A2093" s="703" t="s">
        <v>3630</v>
      </c>
      <c r="B2093" s="703" t="s">
        <v>2849</v>
      </c>
      <c r="C2093" s="703" t="s">
        <v>390</v>
      </c>
      <c r="D2093" s="703" t="s">
        <v>334</v>
      </c>
      <c r="E2093" s="703" t="s">
        <v>334</v>
      </c>
      <c r="F2093" s="703" t="s">
        <v>335</v>
      </c>
      <c r="G2093" s="703" t="s">
        <v>3623</v>
      </c>
      <c r="H2093" s="703" t="s">
        <v>334</v>
      </c>
      <c r="I2093" s="703" t="s">
        <v>334</v>
      </c>
      <c r="J2093" s="703" t="s">
        <v>337</v>
      </c>
      <c r="K2093" s="704">
        <v>0</v>
      </c>
      <c r="L2093" s="703" t="s">
        <v>334</v>
      </c>
      <c r="M2093" s="702">
        <v>43251</v>
      </c>
      <c r="N2093" s="702">
        <v>44516</v>
      </c>
      <c r="O2093" s="703" t="s">
        <v>338</v>
      </c>
      <c r="P2093" s="20">
        <v>263.04000000000002</v>
      </c>
      <c r="Q2093" s="20">
        <v>0</v>
      </c>
      <c r="R2093" s="20">
        <v>0</v>
      </c>
      <c r="S2093" s="20">
        <v>0</v>
      </c>
      <c r="T2093" s="20">
        <v>263.04000000000002</v>
      </c>
      <c r="U2093" s="20">
        <v>262.31</v>
      </c>
      <c r="V2093" s="20">
        <v>-0.73</v>
      </c>
      <c r="W2093" s="20">
        <v>-9.5</v>
      </c>
      <c r="X2093" s="20">
        <v>-8.77</v>
      </c>
      <c r="Y2093" s="20">
        <v>0</v>
      </c>
      <c r="Z2093" s="20">
        <v>0</v>
      </c>
      <c r="AA2093" s="20">
        <v>0</v>
      </c>
      <c r="AB2093" s="20">
        <v>253.54</v>
      </c>
      <c r="AC2093" t="s">
        <v>188</v>
      </c>
      <c r="AD2093" t="s">
        <v>290</v>
      </c>
      <c r="AE2093" s="702">
        <f t="shared" si="160"/>
        <v>44348</v>
      </c>
      <c r="AF2093" s="289">
        <v>302.03441177084073</v>
      </c>
      <c r="AG2093">
        <f t="shared" si="161"/>
        <v>360</v>
      </c>
      <c r="AH2093" s="289">
        <f t="shared" si="162"/>
        <v>0.83898447714122426</v>
      </c>
      <c r="AJ2093" s="289">
        <f t="shared" si="163"/>
        <v>18</v>
      </c>
      <c r="AK2093" s="289">
        <f t="shared" si="164"/>
        <v>15.101720588542037</v>
      </c>
    </row>
    <row r="2094" spans="1:37">
      <c r="A2094" s="703" t="s">
        <v>3631</v>
      </c>
      <c r="B2094" s="703" t="s">
        <v>2849</v>
      </c>
      <c r="C2094" s="703" t="s">
        <v>390</v>
      </c>
      <c r="D2094" s="703" t="s">
        <v>334</v>
      </c>
      <c r="E2094" s="703" t="s">
        <v>334</v>
      </c>
      <c r="F2094" s="703" t="s">
        <v>335</v>
      </c>
      <c r="G2094" s="703" t="s">
        <v>3623</v>
      </c>
      <c r="H2094" s="703" t="s">
        <v>334</v>
      </c>
      <c r="I2094" s="703" t="s">
        <v>334</v>
      </c>
      <c r="J2094" s="703" t="s">
        <v>337</v>
      </c>
      <c r="K2094" s="704">
        <v>0</v>
      </c>
      <c r="L2094" s="703" t="s">
        <v>334</v>
      </c>
      <c r="M2094" s="702">
        <v>43251</v>
      </c>
      <c r="N2094" s="702">
        <v>44516</v>
      </c>
      <c r="O2094" s="703" t="s">
        <v>338</v>
      </c>
      <c r="P2094" s="20">
        <v>509.47</v>
      </c>
      <c r="Q2094" s="20">
        <v>0</v>
      </c>
      <c r="R2094" s="20">
        <v>0</v>
      </c>
      <c r="S2094" s="20">
        <v>0</v>
      </c>
      <c r="T2094" s="20">
        <v>509.47</v>
      </c>
      <c r="U2094" s="20">
        <v>508.05</v>
      </c>
      <c r="V2094" s="20">
        <v>-1.42</v>
      </c>
      <c r="W2094" s="20">
        <v>-18.399999999999999</v>
      </c>
      <c r="X2094" s="20">
        <v>-16.98</v>
      </c>
      <c r="Y2094" s="20">
        <v>0</v>
      </c>
      <c r="Z2094" s="20">
        <v>0</v>
      </c>
      <c r="AA2094" s="20">
        <v>0</v>
      </c>
      <c r="AB2094" s="20">
        <v>491.07</v>
      </c>
      <c r="AC2094" t="s">
        <v>188</v>
      </c>
      <c r="AD2094" t="s">
        <v>290</v>
      </c>
      <c r="AE2094" s="702">
        <f t="shared" si="160"/>
        <v>44348</v>
      </c>
      <c r="AF2094" s="289">
        <v>584.99647112564719</v>
      </c>
      <c r="AG2094">
        <f t="shared" si="161"/>
        <v>360</v>
      </c>
      <c r="AH2094" s="289">
        <f t="shared" si="162"/>
        <v>1.6249901975712422</v>
      </c>
      <c r="AJ2094" s="289">
        <f t="shared" si="163"/>
        <v>18</v>
      </c>
      <c r="AK2094" s="289">
        <f t="shared" si="164"/>
        <v>29.249823556282358</v>
      </c>
    </row>
    <row r="2095" spans="1:37">
      <c r="A2095" s="703" t="s">
        <v>3632</v>
      </c>
      <c r="B2095" s="703" t="s">
        <v>2849</v>
      </c>
      <c r="C2095" s="703" t="s">
        <v>390</v>
      </c>
      <c r="D2095" s="703" t="s">
        <v>334</v>
      </c>
      <c r="E2095" s="703" t="s">
        <v>334</v>
      </c>
      <c r="F2095" s="703" t="s">
        <v>335</v>
      </c>
      <c r="G2095" s="703" t="s">
        <v>3623</v>
      </c>
      <c r="H2095" s="703" t="s">
        <v>334</v>
      </c>
      <c r="I2095" s="703" t="s">
        <v>334</v>
      </c>
      <c r="J2095" s="703" t="s">
        <v>337</v>
      </c>
      <c r="K2095" s="704">
        <v>0</v>
      </c>
      <c r="L2095" s="703" t="s">
        <v>334</v>
      </c>
      <c r="M2095" s="702">
        <v>43251</v>
      </c>
      <c r="N2095" s="702">
        <v>44516</v>
      </c>
      <c r="O2095" s="703" t="s">
        <v>338</v>
      </c>
      <c r="P2095" s="20">
        <v>32.24</v>
      </c>
      <c r="Q2095" s="20">
        <v>0</v>
      </c>
      <c r="R2095" s="20">
        <v>0</v>
      </c>
      <c r="S2095" s="20">
        <v>0</v>
      </c>
      <c r="T2095" s="20">
        <v>32.24</v>
      </c>
      <c r="U2095" s="20">
        <v>32.15</v>
      </c>
      <c r="V2095" s="20">
        <v>-0.09</v>
      </c>
      <c r="W2095" s="20">
        <v>-1.1599999999999999</v>
      </c>
      <c r="X2095" s="20">
        <v>-1.07</v>
      </c>
      <c r="Y2095" s="20">
        <v>0</v>
      </c>
      <c r="Z2095" s="20">
        <v>0</v>
      </c>
      <c r="AA2095" s="20">
        <v>0</v>
      </c>
      <c r="AB2095" s="20">
        <v>31.08</v>
      </c>
      <c r="AC2095" t="s">
        <v>188</v>
      </c>
      <c r="AD2095" t="s">
        <v>290</v>
      </c>
      <c r="AE2095" s="702">
        <f t="shared" si="160"/>
        <v>44348</v>
      </c>
      <c r="AF2095" s="289">
        <v>37.019424557070813</v>
      </c>
      <c r="AG2095">
        <f t="shared" si="161"/>
        <v>360</v>
      </c>
      <c r="AH2095" s="289">
        <f t="shared" si="162"/>
        <v>0.10283173488075226</v>
      </c>
      <c r="AJ2095" s="289">
        <f t="shared" si="163"/>
        <v>18</v>
      </c>
      <c r="AK2095" s="289">
        <f t="shared" si="164"/>
        <v>1.8509712278535406</v>
      </c>
    </row>
    <row r="2096" spans="1:37">
      <c r="A2096" s="703" t="s">
        <v>3633</v>
      </c>
      <c r="B2096" s="703" t="s">
        <v>2849</v>
      </c>
      <c r="C2096" s="703" t="s">
        <v>390</v>
      </c>
      <c r="D2096" s="703" t="s">
        <v>334</v>
      </c>
      <c r="E2096" s="703" t="s">
        <v>334</v>
      </c>
      <c r="F2096" s="703" t="s">
        <v>335</v>
      </c>
      <c r="G2096" s="703" t="s">
        <v>3623</v>
      </c>
      <c r="H2096" s="703" t="s">
        <v>334</v>
      </c>
      <c r="I2096" s="703" t="s">
        <v>334</v>
      </c>
      <c r="J2096" s="703" t="s">
        <v>337</v>
      </c>
      <c r="K2096" s="704">
        <v>0</v>
      </c>
      <c r="L2096" s="703" t="s">
        <v>334</v>
      </c>
      <c r="M2096" s="702">
        <v>43251</v>
      </c>
      <c r="N2096" s="702">
        <v>44516</v>
      </c>
      <c r="O2096" s="703" t="s">
        <v>338</v>
      </c>
      <c r="P2096" s="20">
        <v>41.87</v>
      </c>
      <c r="Q2096" s="20">
        <v>0</v>
      </c>
      <c r="R2096" s="20">
        <v>0</v>
      </c>
      <c r="S2096" s="20">
        <v>0</v>
      </c>
      <c r="T2096" s="20">
        <v>41.87</v>
      </c>
      <c r="U2096" s="20">
        <v>41.75</v>
      </c>
      <c r="V2096" s="20">
        <v>-0.12</v>
      </c>
      <c r="W2096" s="20">
        <v>-1.52</v>
      </c>
      <c r="X2096" s="20">
        <v>-1.4</v>
      </c>
      <c r="Y2096" s="20">
        <v>0</v>
      </c>
      <c r="Z2096" s="20">
        <v>0</v>
      </c>
      <c r="AA2096" s="20">
        <v>0</v>
      </c>
      <c r="AB2096" s="20">
        <v>40.35</v>
      </c>
      <c r="AC2096" t="s">
        <v>188</v>
      </c>
      <c r="AD2096" t="s">
        <v>290</v>
      </c>
      <c r="AE2096" s="702">
        <f t="shared" si="160"/>
        <v>44348</v>
      </c>
      <c r="AF2096" s="289">
        <v>48.077025626692141</v>
      </c>
      <c r="AG2096">
        <f t="shared" si="161"/>
        <v>360</v>
      </c>
      <c r="AH2096" s="289">
        <f t="shared" si="162"/>
        <v>0.13354729340747817</v>
      </c>
      <c r="AJ2096" s="289">
        <f t="shared" si="163"/>
        <v>18</v>
      </c>
      <c r="AK2096" s="289">
        <f t="shared" si="164"/>
        <v>2.4038512813346071</v>
      </c>
    </row>
    <row r="2097" spans="1:37">
      <c r="A2097" s="703" t="s">
        <v>3634</v>
      </c>
      <c r="B2097" s="703" t="s">
        <v>2849</v>
      </c>
      <c r="C2097" s="703" t="s">
        <v>390</v>
      </c>
      <c r="D2097" s="703" t="s">
        <v>334</v>
      </c>
      <c r="E2097" s="703" t="s">
        <v>334</v>
      </c>
      <c r="F2097" s="703" t="s">
        <v>335</v>
      </c>
      <c r="G2097" s="703" t="s">
        <v>3623</v>
      </c>
      <c r="H2097" s="703" t="s">
        <v>334</v>
      </c>
      <c r="I2097" s="703" t="s">
        <v>334</v>
      </c>
      <c r="J2097" s="703" t="s">
        <v>337</v>
      </c>
      <c r="K2097" s="704">
        <v>0</v>
      </c>
      <c r="L2097" s="703" t="s">
        <v>334</v>
      </c>
      <c r="M2097" s="702">
        <v>43251</v>
      </c>
      <c r="N2097" s="702">
        <v>44516</v>
      </c>
      <c r="O2097" s="703" t="s">
        <v>338</v>
      </c>
      <c r="P2097" s="20">
        <v>4.2</v>
      </c>
      <c r="Q2097" s="20">
        <v>0</v>
      </c>
      <c r="R2097" s="20">
        <v>0</v>
      </c>
      <c r="S2097" s="20">
        <v>0</v>
      </c>
      <c r="T2097" s="20">
        <v>4.2</v>
      </c>
      <c r="U2097" s="20">
        <v>4.1900000000000004</v>
      </c>
      <c r="V2097" s="20">
        <v>-0.01</v>
      </c>
      <c r="W2097" s="20">
        <v>-0.15</v>
      </c>
      <c r="X2097" s="20">
        <v>-0.14000000000000001</v>
      </c>
      <c r="Y2097" s="20">
        <v>0</v>
      </c>
      <c r="Z2097" s="20">
        <v>0</v>
      </c>
      <c r="AA2097" s="20">
        <v>0</v>
      </c>
      <c r="AB2097" s="20">
        <v>4.05</v>
      </c>
      <c r="AC2097" t="s">
        <v>188</v>
      </c>
      <c r="AD2097" t="s">
        <v>290</v>
      </c>
      <c r="AE2097" s="702">
        <f t="shared" si="160"/>
        <v>44348</v>
      </c>
      <c r="AF2097" s="289">
        <v>4.8226297499906146</v>
      </c>
      <c r="AG2097">
        <f t="shared" si="161"/>
        <v>360</v>
      </c>
      <c r="AH2097" s="289">
        <f t="shared" si="162"/>
        <v>1.3396193749973929E-2</v>
      </c>
      <c r="AJ2097" s="289">
        <f t="shared" si="163"/>
        <v>18</v>
      </c>
      <c r="AK2097" s="289">
        <f t="shared" si="164"/>
        <v>0.24113148749953073</v>
      </c>
    </row>
    <row r="2098" spans="1:37">
      <c r="A2098" s="703" t="s">
        <v>3635</v>
      </c>
      <c r="B2098" s="703" t="s">
        <v>2849</v>
      </c>
      <c r="C2098" s="703" t="s">
        <v>390</v>
      </c>
      <c r="D2098" s="703" t="s">
        <v>334</v>
      </c>
      <c r="E2098" s="703" t="s">
        <v>334</v>
      </c>
      <c r="F2098" s="703" t="s">
        <v>335</v>
      </c>
      <c r="G2098" s="703" t="s">
        <v>3623</v>
      </c>
      <c r="H2098" s="703" t="s">
        <v>334</v>
      </c>
      <c r="I2098" s="703" t="s">
        <v>334</v>
      </c>
      <c r="J2098" s="703" t="s">
        <v>337</v>
      </c>
      <c r="K2098" s="704">
        <v>0</v>
      </c>
      <c r="L2098" s="703" t="s">
        <v>334</v>
      </c>
      <c r="M2098" s="702">
        <v>43251</v>
      </c>
      <c r="N2098" s="702">
        <v>44516</v>
      </c>
      <c r="O2098" s="703" t="s">
        <v>338</v>
      </c>
      <c r="P2098" s="20">
        <v>9.49</v>
      </c>
      <c r="Q2098" s="20">
        <v>0</v>
      </c>
      <c r="R2098" s="20">
        <v>0</v>
      </c>
      <c r="S2098" s="20">
        <v>0</v>
      </c>
      <c r="T2098" s="20">
        <v>9.49</v>
      </c>
      <c r="U2098" s="20">
        <v>9.4600000000000009</v>
      </c>
      <c r="V2098" s="20">
        <v>-0.03</v>
      </c>
      <c r="W2098" s="20">
        <v>-0.35</v>
      </c>
      <c r="X2098" s="20">
        <v>-0.32</v>
      </c>
      <c r="Y2098" s="20">
        <v>0</v>
      </c>
      <c r="Z2098" s="20">
        <v>0</v>
      </c>
      <c r="AA2098" s="20">
        <v>0</v>
      </c>
      <c r="AB2098" s="20">
        <v>9.14</v>
      </c>
      <c r="AC2098" t="s">
        <v>188</v>
      </c>
      <c r="AD2098" t="s">
        <v>290</v>
      </c>
      <c r="AE2098" s="702">
        <f t="shared" si="160"/>
        <v>44348</v>
      </c>
      <c r="AF2098" s="289">
        <v>10.89684674462165</v>
      </c>
      <c r="AG2098">
        <f t="shared" si="161"/>
        <v>360</v>
      </c>
      <c r="AH2098" s="289">
        <f t="shared" si="162"/>
        <v>3.0269018735060139E-2</v>
      </c>
      <c r="AJ2098" s="289">
        <f t="shared" si="163"/>
        <v>18</v>
      </c>
      <c r="AK2098" s="289">
        <f t="shared" si="164"/>
        <v>0.54484233723108255</v>
      </c>
    </row>
    <row r="2099" spans="1:37">
      <c r="A2099" s="703" t="s">
        <v>3636</v>
      </c>
      <c r="B2099" s="703" t="s">
        <v>2849</v>
      </c>
      <c r="C2099" s="703" t="s">
        <v>390</v>
      </c>
      <c r="D2099" s="703" t="s">
        <v>334</v>
      </c>
      <c r="E2099" s="703" t="s">
        <v>334</v>
      </c>
      <c r="F2099" s="703" t="s">
        <v>335</v>
      </c>
      <c r="G2099" s="703" t="s">
        <v>3623</v>
      </c>
      <c r="H2099" s="703" t="s">
        <v>334</v>
      </c>
      <c r="I2099" s="703" t="s">
        <v>334</v>
      </c>
      <c r="J2099" s="703" t="s">
        <v>337</v>
      </c>
      <c r="K2099" s="704">
        <v>0</v>
      </c>
      <c r="L2099" s="703" t="s">
        <v>334</v>
      </c>
      <c r="M2099" s="702">
        <v>43251</v>
      </c>
      <c r="N2099" s="702">
        <v>44516</v>
      </c>
      <c r="O2099" s="703" t="s">
        <v>338</v>
      </c>
      <c r="P2099" s="20">
        <v>135.52000000000001</v>
      </c>
      <c r="Q2099" s="20">
        <v>0</v>
      </c>
      <c r="R2099" s="20">
        <v>0</v>
      </c>
      <c r="S2099" s="20">
        <v>0</v>
      </c>
      <c r="T2099" s="20">
        <v>135.52000000000001</v>
      </c>
      <c r="U2099" s="20">
        <v>135.13999999999999</v>
      </c>
      <c r="V2099" s="20">
        <v>-0.38</v>
      </c>
      <c r="W2099" s="20">
        <v>-4.9000000000000004</v>
      </c>
      <c r="X2099" s="20">
        <v>-4.5199999999999996</v>
      </c>
      <c r="Y2099" s="20">
        <v>0</v>
      </c>
      <c r="Z2099" s="20">
        <v>0</v>
      </c>
      <c r="AA2099" s="20">
        <v>0</v>
      </c>
      <c r="AB2099" s="20">
        <v>130.62</v>
      </c>
      <c r="AC2099" t="s">
        <v>188</v>
      </c>
      <c r="AD2099" t="s">
        <v>290</v>
      </c>
      <c r="AE2099" s="702">
        <f t="shared" si="160"/>
        <v>44348</v>
      </c>
      <c r="AF2099" s="289">
        <v>155.61018659969713</v>
      </c>
      <c r="AG2099">
        <f t="shared" si="161"/>
        <v>360</v>
      </c>
      <c r="AH2099" s="289">
        <f t="shared" si="162"/>
        <v>0.43225051833249201</v>
      </c>
      <c r="AJ2099" s="289">
        <f t="shared" si="163"/>
        <v>18</v>
      </c>
      <c r="AK2099" s="289">
        <f t="shared" si="164"/>
        <v>7.7805093299848558</v>
      </c>
    </row>
    <row r="2100" spans="1:37">
      <c r="A2100" s="703" t="s">
        <v>3637</v>
      </c>
      <c r="B2100" s="703" t="s">
        <v>2849</v>
      </c>
      <c r="C2100" s="703" t="s">
        <v>390</v>
      </c>
      <c r="D2100" s="703" t="s">
        <v>334</v>
      </c>
      <c r="E2100" s="703" t="s">
        <v>334</v>
      </c>
      <c r="F2100" s="703" t="s">
        <v>335</v>
      </c>
      <c r="G2100" s="703" t="s">
        <v>3623</v>
      </c>
      <c r="H2100" s="703" t="s">
        <v>334</v>
      </c>
      <c r="I2100" s="703" t="s">
        <v>334</v>
      </c>
      <c r="J2100" s="703" t="s">
        <v>337</v>
      </c>
      <c r="K2100" s="704">
        <v>0</v>
      </c>
      <c r="L2100" s="703" t="s">
        <v>334</v>
      </c>
      <c r="M2100" s="702">
        <v>43251</v>
      </c>
      <c r="N2100" s="702">
        <v>44516</v>
      </c>
      <c r="O2100" s="703" t="s">
        <v>338</v>
      </c>
      <c r="P2100" s="20">
        <v>15.19</v>
      </c>
      <c r="Q2100" s="20">
        <v>0</v>
      </c>
      <c r="R2100" s="20">
        <v>0</v>
      </c>
      <c r="S2100" s="20">
        <v>0</v>
      </c>
      <c r="T2100" s="20">
        <v>15.19</v>
      </c>
      <c r="U2100" s="20">
        <v>15.15</v>
      </c>
      <c r="V2100" s="20">
        <v>-0.04</v>
      </c>
      <c r="W2100" s="20">
        <v>-0.55000000000000004</v>
      </c>
      <c r="X2100" s="20">
        <v>-0.51</v>
      </c>
      <c r="Y2100" s="20">
        <v>0</v>
      </c>
      <c r="Z2100" s="20">
        <v>0</v>
      </c>
      <c r="AA2100" s="20">
        <v>0</v>
      </c>
      <c r="AB2100" s="20">
        <v>14.64</v>
      </c>
      <c r="AC2100" t="s">
        <v>188</v>
      </c>
      <c r="AD2100" t="s">
        <v>290</v>
      </c>
      <c r="AE2100" s="702">
        <f t="shared" si="160"/>
        <v>44348</v>
      </c>
      <c r="AF2100" s="289">
        <v>17.441844262466052</v>
      </c>
      <c r="AG2100">
        <f t="shared" si="161"/>
        <v>360</v>
      </c>
      <c r="AH2100" s="289">
        <f t="shared" si="162"/>
        <v>4.8449567395739031E-2</v>
      </c>
      <c r="AJ2100" s="289">
        <f t="shared" si="163"/>
        <v>18</v>
      </c>
      <c r="AK2100" s="289">
        <f t="shared" si="164"/>
        <v>0.87209221312330254</v>
      </c>
    </row>
    <row r="2101" spans="1:37">
      <c r="A2101" s="703" t="s">
        <v>3638</v>
      </c>
      <c r="B2101" s="703" t="s">
        <v>2849</v>
      </c>
      <c r="C2101" s="703" t="s">
        <v>390</v>
      </c>
      <c r="D2101" s="703" t="s">
        <v>334</v>
      </c>
      <c r="E2101" s="703" t="s">
        <v>334</v>
      </c>
      <c r="F2101" s="703" t="s">
        <v>335</v>
      </c>
      <c r="G2101" s="703" t="s">
        <v>3623</v>
      </c>
      <c r="H2101" s="703" t="s">
        <v>334</v>
      </c>
      <c r="I2101" s="703" t="s">
        <v>334</v>
      </c>
      <c r="J2101" s="703" t="s">
        <v>337</v>
      </c>
      <c r="K2101" s="704">
        <v>0</v>
      </c>
      <c r="L2101" s="703" t="s">
        <v>334</v>
      </c>
      <c r="M2101" s="702">
        <v>43251</v>
      </c>
      <c r="N2101" s="702">
        <v>44516</v>
      </c>
      <c r="O2101" s="703" t="s">
        <v>338</v>
      </c>
      <c r="P2101" s="20">
        <v>39.159999999999997</v>
      </c>
      <c r="Q2101" s="20">
        <v>0</v>
      </c>
      <c r="R2101" s="20">
        <v>0</v>
      </c>
      <c r="S2101" s="20">
        <v>0</v>
      </c>
      <c r="T2101" s="20">
        <v>39.159999999999997</v>
      </c>
      <c r="U2101" s="20">
        <v>39.049999999999997</v>
      </c>
      <c r="V2101" s="20">
        <v>-0.11</v>
      </c>
      <c r="W2101" s="20">
        <v>-1.42</v>
      </c>
      <c r="X2101" s="20">
        <v>-1.31</v>
      </c>
      <c r="Y2101" s="20">
        <v>0</v>
      </c>
      <c r="Z2101" s="20">
        <v>0</v>
      </c>
      <c r="AA2101" s="20">
        <v>0</v>
      </c>
      <c r="AB2101" s="20">
        <v>37.74</v>
      </c>
      <c r="AC2101" t="s">
        <v>188</v>
      </c>
      <c r="AD2101" t="s">
        <v>290</v>
      </c>
      <c r="AE2101" s="702">
        <f t="shared" si="160"/>
        <v>44348</v>
      </c>
      <c r="AF2101" s="289">
        <v>44.965281192769623</v>
      </c>
      <c r="AG2101">
        <f t="shared" si="161"/>
        <v>360</v>
      </c>
      <c r="AH2101" s="289">
        <f t="shared" si="162"/>
        <v>0.12490355886880451</v>
      </c>
      <c r="AJ2101" s="289">
        <f t="shared" si="163"/>
        <v>18</v>
      </c>
      <c r="AK2101" s="289">
        <f t="shared" si="164"/>
        <v>2.2482640596384811</v>
      </c>
    </row>
    <row r="2102" spans="1:37">
      <c r="A2102" s="703" t="s">
        <v>3639</v>
      </c>
      <c r="B2102" s="703" t="s">
        <v>2849</v>
      </c>
      <c r="C2102" s="703" t="s">
        <v>390</v>
      </c>
      <c r="D2102" s="703" t="s">
        <v>334</v>
      </c>
      <c r="E2102" s="703" t="s">
        <v>334</v>
      </c>
      <c r="F2102" s="703" t="s">
        <v>335</v>
      </c>
      <c r="G2102" s="703" t="s">
        <v>3623</v>
      </c>
      <c r="H2102" s="703" t="s">
        <v>334</v>
      </c>
      <c r="I2102" s="703" t="s">
        <v>334</v>
      </c>
      <c r="J2102" s="703" t="s">
        <v>337</v>
      </c>
      <c r="K2102" s="704">
        <v>0</v>
      </c>
      <c r="L2102" s="703" t="s">
        <v>334</v>
      </c>
      <c r="M2102" s="702">
        <v>43251</v>
      </c>
      <c r="N2102" s="702">
        <v>44516</v>
      </c>
      <c r="O2102" s="703" t="s">
        <v>338</v>
      </c>
      <c r="P2102" s="20">
        <v>26.52</v>
      </c>
      <c r="Q2102" s="20">
        <v>0</v>
      </c>
      <c r="R2102" s="20">
        <v>0</v>
      </c>
      <c r="S2102" s="20">
        <v>0</v>
      </c>
      <c r="T2102" s="20">
        <v>26.52</v>
      </c>
      <c r="U2102" s="20">
        <v>26.45</v>
      </c>
      <c r="V2102" s="20">
        <v>-7.0000000000000007E-2</v>
      </c>
      <c r="W2102" s="20">
        <v>-0.95</v>
      </c>
      <c r="X2102" s="20">
        <v>-0.88</v>
      </c>
      <c r="Y2102" s="20">
        <v>0</v>
      </c>
      <c r="Z2102" s="20">
        <v>0</v>
      </c>
      <c r="AA2102" s="20">
        <v>0</v>
      </c>
      <c r="AB2102" s="20">
        <v>25.57</v>
      </c>
      <c r="AC2102" t="s">
        <v>188</v>
      </c>
      <c r="AD2102" t="s">
        <v>290</v>
      </c>
      <c r="AE2102" s="702">
        <f t="shared" si="160"/>
        <v>44348</v>
      </c>
      <c r="AF2102" s="289">
        <v>30.451462135655017</v>
      </c>
      <c r="AG2102">
        <f t="shared" si="161"/>
        <v>360</v>
      </c>
      <c r="AH2102" s="289">
        <f t="shared" si="162"/>
        <v>8.4587394821263942E-2</v>
      </c>
      <c r="AJ2102" s="289">
        <f t="shared" si="163"/>
        <v>18</v>
      </c>
      <c r="AK2102" s="289">
        <f t="shared" si="164"/>
        <v>1.522573106782751</v>
      </c>
    </row>
    <row r="2103" spans="1:37">
      <c r="A2103" s="703" t="s">
        <v>3640</v>
      </c>
      <c r="B2103" s="703" t="s">
        <v>2849</v>
      </c>
      <c r="C2103" s="703" t="s">
        <v>390</v>
      </c>
      <c r="D2103" s="703" t="s">
        <v>334</v>
      </c>
      <c r="E2103" s="703" t="s">
        <v>334</v>
      </c>
      <c r="F2103" s="703" t="s">
        <v>335</v>
      </c>
      <c r="G2103" s="703" t="s">
        <v>3623</v>
      </c>
      <c r="H2103" s="703" t="s">
        <v>334</v>
      </c>
      <c r="I2103" s="703" t="s">
        <v>334</v>
      </c>
      <c r="J2103" s="703" t="s">
        <v>337</v>
      </c>
      <c r="K2103" s="704">
        <v>0</v>
      </c>
      <c r="L2103" s="703" t="s">
        <v>334</v>
      </c>
      <c r="M2103" s="702">
        <v>43251</v>
      </c>
      <c r="N2103" s="702">
        <v>44516</v>
      </c>
      <c r="O2103" s="703" t="s">
        <v>338</v>
      </c>
      <c r="P2103" s="20">
        <v>13.99</v>
      </c>
      <c r="Q2103" s="20">
        <v>0</v>
      </c>
      <c r="R2103" s="20">
        <v>0</v>
      </c>
      <c r="S2103" s="20">
        <v>0</v>
      </c>
      <c r="T2103" s="20">
        <v>13.99</v>
      </c>
      <c r="U2103" s="20">
        <v>13.95</v>
      </c>
      <c r="V2103" s="20">
        <v>-0.04</v>
      </c>
      <c r="W2103" s="20">
        <v>-0.51</v>
      </c>
      <c r="X2103" s="20">
        <v>-0.47</v>
      </c>
      <c r="Y2103" s="20">
        <v>0</v>
      </c>
      <c r="Z2103" s="20">
        <v>0</v>
      </c>
      <c r="AA2103" s="20">
        <v>0</v>
      </c>
      <c r="AB2103" s="20">
        <v>13.48</v>
      </c>
      <c r="AC2103" t="s">
        <v>188</v>
      </c>
      <c r="AD2103" t="s">
        <v>290</v>
      </c>
      <c r="AE2103" s="702">
        <f t="shared" si="160"/>
        <v>44348</v>
      </c>
      <c r="AF2103" s="289">
        <v>16.06395004818302</v>
      </c>
      <c r="AG2103">
        <f t="shared" si="161"/>
        <v>360</v>
      </c>
      <c r="AH2103" s="289">
        <f t="shared" si="162"/>
        <v>4.4622083467175055E-2</v>
      </c>
      <c r="AJ2103" s="289">
        <f t="shared" si="163"/>
        <v>18</v>
      </c>
      <c r="AK2103" s="289">
        <f t="shared" si="164"/>
        <v>0.803197502409151</v>
      </c>
    </row>
    <row r="2104" spans="1:37">
      <c r="A2104" s="703" t="s">
        <v>3641</v>
      </c>
      <c r="B2104" s="703" t="s">
        <v>2849</v>
      </c>
      <c r="C2104" s="703" t="s">
        <v>390</v>
      </c>
      <c r="D2104" s="703" t="s">
        <v>334</v>
      </c>
      <c r="E2104" s="703" t="s">
        <v>334</v>
      </c>
      <c r="F2104" s="703" t="s">
        <v>335</v>
      </c>
      <c r="G2104" s="703" t="s">
        <v>3623</v>
      </c>
      <c r="H2104" s="703" t="s">
        <v>334</v>
      </c>
      <c r="I2104" s="703" t="s">
        <v>334</v>
      </c>
      <c r="J2104" s="703" t="s">
        <v>337</v>
      </c>
      <c r="K2104" s="704">
        <v>0</v>
      </c>
      <c r="L2104" s="703" t="s">
        <v>334</v>
      </c>
      <c r="M2104" s="702">
        <v>43251</v>
      </c>
      <c r="N2104" s="702">
        <v>44516</v>
      </c>
      <c r="O2104" s="703" t="s">
        <v>338</v>
      </c>
      <c r="P2104" s="20">
        <v>5.23</v>
      </c>
      <c r="Q2104" s="20">
        <v>0</v>
      </c>
      <c r="R2104" s="20">
        <v>0</v>
      </c>
      <c r="S2104" s="20">
        <v>0</v>
      </c>
      <c r="T2104" s="20">
        <v>5.23</v>
      </c>
      <c r="U2104" s="20">
        <v>5.22</v>
      </c>
      <c r="V2104" s="20">
        <v>-0.01</v>
      </c>
      <c r="W2104" s="20">
        <v>-0.18</v>
      </c>
      <c r="X2104" s="20">
        <v>-0.17</v>
      </c>
      <c r="Y2104" s="20">
        <v>0</v>
      </c>
      <c r="Z2104" s="20">
        <v>0</v>
      </c>
      <c r="AA2104" s="20">
        <v>0</v>
      </c>
      <c r="AB2104" s="20">
        <v>5.05</v>
      </c>
      <c r="AC2104" t="s">
        <v>188</v>
      </c>
      <c r="AD2104" t="s">
        <v>290</v>
      </c>
      <c r="AE2104" s="702">
        <f t="shared" si="160"/>
        <v>44348</v>
      </c>
      <c r="AF2104" s="289">
        <v>6.0053222839168834</v>
      </c>
      <c r="AG2104">
        <f t="shared" si="161"/>
        <v>360</v>
      </c>
      <c r="AH2104" s="289">
        <f t="shared" si="162"/>
        <v>1.6681450788658011E-2</v>
      </c>
      <c r="AJ2104" s="289">
        <f t="shared" si="163"/>
        <v>18</v>
      </c>
      <c r="AK2104" s="289">
        <f t="shared" si="164"/>
        <v>0.3002661141958442</v>
      </c>
    </row>
    <row r="2105" spans="1:37">
      <c r="A2105" s="703" t="s">
        <v>3642</v>
      </c>
      <c r="B2105" s="703" t="s">
        <v>2849</v>
      </c>
      <c r="C2105" s="703" t="s">
        <v>390</v>
      </c>
      <c r="D2105" s="703" t="s">
        <v>334</v>
      </c>
      <c r="E2105" s="703" t="s">
        <v>334</v>
      </c>
      <c r="F2105" s="703" t="s">
        <v>335</v>
      </c>
      <c r="G2105" s="703" t="s">
        <v>3623</v>
      </c>
      <c r="H2105" s="703" t="s">
        <v>334</v>
      </c>
      <c r="I2105" s="703" t="s">
        <v>334</v>
      </c>
      <c r="J2105" s="703" t="s">
        <v>337</v>
      </c>
      <c r="K2105" s="704">
        <v>0</v>
      </c>
      <c r="L2105" s="703" t="s">
        <v>334</v>
      </c>
      <c r="M2105" s="702">
        <v>43251</v>
      </c>
      <c r="N2105" s="702">
        <v>44516</v>
      </c>
      <c r="O2105" s="703" t="s">
        <v>338</v>
      </c>
      <c r="P2105" s="20">
        <v>151.63999999999999</v>
      </c>
      <c r="Q2105" s="20">
        <v>0</v>
      </c>
      <c r="R2105" s="20">
        <v>0</v>
      </c>
      <c r="S2105" s="20">
        <v>0</v>
      </c>
      <c r="T2105" s="20">
        <v>151.63999999999999</v>
      </c>
      <c r="U2105" s="20">
        <v>151.22</v>
      </c>
      <c r="V2105" s="20">
        <v>-0.42</v>
      </c>
      <c r="W2105" s="20">
        <v>-5.47</v>
      </c>
      <c r="X2105" s="20">
        <v>-5.05</v>
      </c>
      <c r="Y2105" s="20">
        <v>0</v>
      </c>
      <c r="Z2105" s="20">
        <v>0</v>
      </c>
      <c r="AA2105" s="20">
        <v>0</v>
      </c>
      <c r="AB2105" s="20">
        <v>146.16999999999999</v>
      </c>
      <c r="AC2105" t="s">
        <v>188</v>
      </c>
      <c r="AD2105" t="s">
        <v>290</v>
      </c>
      <c r="AE2105" s="702">
        <f t="shared" si="160"/>
        <v>44348</v>
      </c>
      <c r="AF2105" s="289">
        <v>174.11989887823253</v>
      </c>
      <c r="AG2105">
        <f t="shared" si="161"/>
        <v>360</v>
      </c>
      <c r="AH2105" s="289">
        <f t="shared" si="162"/>
        <v>0.48366638577286813</v>
      </c>
      <c r="AJ2105" s="289">
        <f t="shared" si="163"/>
        <v>18</v>
      </c>
      <c r="AK2105" s="289">
        <f t="shared" si="164"/>
        <v>8.7059949439116266</v>
      </c>
    </row>
    <row r="2106" spans="1:37">
      <c r="A2106" s="703" t="s">
        <v>3643</v>
      </c>
      <c r="B2106" s="703" t="s">
        <v>2849</v>
      </c>
      <c r="C2106" s="703" t="s">
        <v>390</v>
      </c>
      <c r="D2106" s="703" t="s">
        <v>334</v>
      </c>
      <c r="E2106" s="703" t="s">
        <v>334</v>
      </c>
      <c r="F2106" s="703" t="s">
        <v>335</v>
      </c>
      <c r="G2106" s="703" t="s">
        <v>3623</v>
      </c>
      <c r="H2106" s="703" t="s">
        <v>334</v>
      </c>
      <c r="I2106" s="703" t="s">
        <v>334</v>
      </c>
      <c r="J2106" s="703" t="s">
        <v>337</v>
      </c>
      <c r="K2106" s="704">
        <v>0</v>
      </c>
      <c r="L2106" s="703" t="s">
        <v>334</v>
      </c>
      <c r="M2106" s="702">
        <v>43251</v>
      </c>
      <c r="N2106" s="702">
        <v>44516</v>
      </c>
      <c r="O2106" s="703" t="s">
        <v>338</v>
      </c>
      <c r="P2106" s="20">
        <v>511.89</v>
      </c>
      <c r="Q2106" s="20">
        <v>0</v>
      </c>
      <c r="R2106" s="20">
        <v>0</v>
      </c>
      <c r="S2106" s="20">
        <v>0</v>
      </c>
      <c r="T2106" s="20">
        <v>511.89</v>
      </c>
      <c r="U2106" s="20">
        <v>510.47</v>
      </c>
      <c r="V2106" s="20">
        <v>-1.42</v>
      </c>
      <c r="W2106" s="20">
        <v>-18.48</v>
      </c>
      <c r="X2106" s="20">
        <v>-17.059999999999999</v>
      </c>
      <c r="Y2106" s="20">
        <v>0</v>
      </c>
      <c r="Z2106" s="20">
        <v>0</v>
      </c>
      <c r="AA2106" s="20">
        <v>0</v>
      </c>
      <c r="AB2106" s="20">
        <v>493.41</v>
      </c>
      <c r="AC2106" t="s">
        <v>188</v>
      </c>
      <c r="AD2106" t="s">
        <v>290</v>
      </c>
      <c r="AE2106" s="702">
        <f t="shared" si="160"/>
        <v>44348</v>
      </c>
      <c r="AF2106" s="289">
        <v>587.77522445778447</v>
      </c>
      <c r="AG2106">
        <f t="shared" si="161"/>
        <v>360</v>
      </c>
      <c r="AH2106" s="289">
        <f t="shared" si="162"/>
        <v>1.6327089568271791</v>
      </c>
      <c r="AJ2106" s="289">
        <f t="shared" si="163"/>
        <v>18</v>
      </c>
      <c r="AK2106" s="289">
        <f t="shared" si="164"/>
        <v>29.388761222889222</v>
      </c>
    </row>
    <row r="2107" spans="1:37">
      <c r="A2107" s="703" t="s">
        <v>3644</v>
      </c>
      <c r="B2107" s="703" t="s">
        <v>2849</v>
      </c>
      <c r="C2107" s="703" t="s">
        <v>390</v>
      </c>
      <c r="D2107" s="703" t="s">
        <v>334</v>
      </c>
      <c r="E2107" s="703" t="s">
        <v>334</v>
      </c>
      <c r="F2107" s="703" t="s">
        <v>335</v>
      </c>
      <c r="G2107" s="703" t="s">
        <v>3623</v>
      </c>
      <c r="H2107" s="703" t="s">
        <v>334</v>
      </c>
      <c r="I2107" s="703" t="s">
        <v>334</v>
      </c>
      <c r="J2107" s="703" t="s">
        <v>337</v>
      </c>
      <c r="K2107" s="704">
        <v>0</v>
      </c>
      <c r="L2107" s="703" t="s">
        <v>334</v>
      </c>
      <c r="M2107" s="702">
        <v>43251</v>
      </c>
      <c r="N2107" s="702">
        <v>44516</v>
      </c>
      <c r="O2107" s="703" t="s">
        <v>338</v>
      </c>
      <c r="P2107" s="20">
        <v>202.67</v>
      </c>
      <c r="Q2107" s="20">
        <v>0</v>
      </c>
      <c r="R2107" s="20">
        <v>0</v>
      </c>
      <c r="S2107" s="20">
        <v>0</v>
      </c>
      <c r="T2107" s="20">
        <v>202.67</v>
      </c>
      <c r="U2107" s="20">
        <v>202.11</v>
      </c>
      <c r="V2107" s="20">
        <v>-0.56000000000000005</v>
      </c>
      <c r="W2107" s="20">
        <v>-7.32</v>
      </c>
      <c r="X2107" s="20">
        <v>-6.76</v>
      </c>
      <c r="Y2107" s="20">
        <v>0</v>
      </c>
      <c r="Z2107" s="20">
        <v>0</v>
      </c>
      <c r="AA2107" s="20">
        <v>0</v>
      </c>
      <c r="AB2107" s="20">
        <v>195.35</v>
      </c>
      <c r="AC2107" t="s">
        <v>188</v>
      </c>
      <c r="AD2107" t="s">
        <v>290</v>
      </c>
      <c r="AE2107" s="702">
        <f t="shared" si="160"/>
        <v>44348</v>
      </c>
      <c r="AF2107" s="289">
        <v>232.71485034061848</v>
      </c>
      <c r="AG2107">
        <f t="shared" si="161"/>
        <v>360</v>
      </c>
      <c r="AH2107" s="289">
        <f t="shared" si="162"/>
        <v>0.64643013983505138</v>
      </c>
      <c r="AJ2107" s="289">
        <f t="shared" si="163"/>
        <v>18</v>
      </c>
      <c r="AK2107" s="289">
        <f t="shared" si="164"/>
        <v>11.635742517030925</v>
      </c>
    </row>
    <row r="2108" spans="1:37">
      <c r="A2108" s="703" t="s">
        <v>3645</v>
      </c>
      <c r="B2108" s="703" t="s">
        <v>2849</v>
      </c>
      <c r="C2108" s="703" t="s">
        <v>390</v>
      </c>
      <c r="D2108" s="703" t="s">
        <v>334</v>
      </c>
      <c r="E2108" s="703" t="s">
        <v>334</v>
      </c>
      <c r="F2108" s="703" t="s">
        <v>335</v>
      </c>
      <c r="G2108" s="703" t="s">
        <v>3623</v>
      </c>
      <c r="H2108" s="703" t="s">
        <v>334</v>
      </c>
      <c r="I2108" s="703" t="s">
        <v>334</v>
      </c>
      <c r="J2108" s="703" t="s">
        <v>337</v>
      </c>
      <c r="K2108" s="704">
        <v>0</v>
      </c>
      <c r="L2108" s="703" t="s">
        <v>334</v>
      </c>
      <c r="M2108" s="702">
        <v>43251</v>
      </c>
      <c r="N2108" s="702">
        <v>44516</v>
      </c>
      <c r="O2108" s="703" t="s">
        <v>338</v>
      </c>
      <c r="P2108" s="20">
        <v>32.299999999999997</v>
      </c>
      <c r="Q2108" s="20">
        <v>0</v>
      </c>
      <c r="R2108" s="20">
        <v>0</v>
      </c>
      <c r="S2108" s="20">
        <v>0</v>
      </c>
      <c r="T2108" s="20">
        <v>32.299999999999997</v>
      </c>
      <c r="U2108" s="20">
        <v>32.21</v>
      </c>
      <c r="V2108" s="20">
        <v>-0.09</v>
      </c>
      <c r="W2108" s="20">
        <v>-1.17</v>
      </c>
      <c r="X2108" s="20">
        <v>-1.08</v>
      </c>
      <c r="Y2108" s="20">
        <v>0</v>
      </c>
      <c r="Z2108" s="20">
        <v>0</v>
      </c>
      <c r="AA2108" s="20">
        <v>0</v>
      </c>
      <c r="AB2108" s="20">
        <v>31.13</v>
      </c>
      <c r="AC2108" t="s">
        <v>188</v>
      </c>
      <c r="AD2108" t="s">
        <v>290</v>
      </c>
      <c r="AE2108" s="702">
        <f t="shared" si="160"/>
        <v>44348</v>
      </c>
      <c r="AF2108" s="289">
        <v>37.088319267784954</v>
      </c>
      <c r="AG2108">
        <f t="shared" si="161"/>
        <v>360</v>
      </c>
      <c r="AH2108" s="289">
        <f t="shared" si="162"/>
        <v>0.10302310907718043</v>
      </c>
      <c r="AJ2108" s="289">
        <f t="shared" si="163"/>
        <v>18</v>
      </c>
      <c r="AK2108" s="289">
        <f t="shared" si="164"/>
        <v>1.8544159633892479</v>
      </c>
    </row>
    <row r="2109" spans="1:37">
      <c r="A2109" s="703" t="s">
        <v>3646</v>
      </c>
      <c r="B2109" s="703" t="s">
        <v>2849</v>
      </c>
      <c r="C2109" s="703" t="s">
        <v>390</v>
      </c>
      <c r="D2109" s="703" t="s">
        <v>334</v>
      </c>
      <c r="E2109" s="703" t="s">
        <v>334</v>
      </c>
      <c r="F2109" s="703" t="s">
        <v>335</v>
      </c>
      <c r="G2109" s="703" t="s">
        <v>3623</v>
      </c>
      <c r="H2109" s="703" t="s">
        <v>334</v>
      </c>
      <c r="I2109" s="703" t="s">
        <v>334</v>
      </c>
      <c r="J2109" s="703" t="s">
        <v>337</v>
      </c>
      <c r="K2109" s="704">
        <v>0</v>
      </c>
      <c r="L2109" s="703" t="s">
        <v>334</v>
      </c>
      <c r="M2109" s="702">
        <v>43251</v>
      </c>
      <c r="N2109" s="702">
        <v>44516</v>
      </c>
      <c r="O2109" s="703" t="s">
        <v>338</v>
      </c>
      <c r="P2109" s="20">
        <v>87.21</v>
      </c>
      <c r="Q2109" s="20">
        <v>0</v>
      </c>
      <c r="R2109" s="20">
        <v>0</v>
      </c>
      <c r="S2109" s="20">
        <v>0</v>
      </c>
      <c r="T2109" s="20">
        <v>87.21</v>
      </c>
      <c r="U2109" s="20">
        <v>86.97</v>
      </c>
      <c r="V2109" s="20">
        <v>-0.24</v>
      </c>
      <c r="W2109" s="20">
        <v>-3.15</v>
      </c>
      <c r="X2109" s="20">
        <v>-2.91</v>
      </c>
      <c r="Y2109" s="20">
        <v>0</v>
      </c>
      <c r="Z2109" s="20">
        <v>0</v>
      </c>
      <c r="AA2109" s="20">
        <v>0</v>
      </c>
      <c r="AB2109" s="20">
        <v>84.06</v>
      </c>
      <c r="AC2109" t="s">
        <v>188</v>
      </c>
      <c r="AD2109" t="s">
        <v>290</v>
      </c>
      <c r="AE2109" s="702">
        <f t="shared" si="160"/>
        <v>44348</v>
      </c>
      <c r="AF2109" s="289">
        <v>100.13846202301939</v>
      </c>
      <c r="AG2109">
        <f t="shared" si="161"/>
        <v>360</v>
      </c>
      <c r="AH2109" s="289">
        <f t="shared" si="162"/>
        <v>0.2781623945083872</v>
      </c>
      <c r="AJ2109" s="289">
        <f t="shared" si="163"/>
        <v>18</v>
      </c>
      <c r="AK2109" s="289">
        <f t="shared" si="164"/>
        <v>5.0069231011509698</v>
      </c>
    </row>
    <row r="2110" spans="1:37">
      <c r="A2110" s="703" t="s">
        <v>3647</v>
      </c>
      <c r="B2110" s="703" t="s">
        <v>2849</v>
      </c>
      <c r="C2110" s="703" t="s">
        <v>390</v>
      </c>
      <c r="D2110" s="703" t="s">
        <v>334</v>
      </c>
      <c r="E2110" s="703" t="s">
        <v>334</v>
      </c>
      <c r="F2110" s="703" t="s">
        <v>335</v>
      </c>
      <c r="G2110" s="703" t="s">
        <v>3623</v>
      </c>
      <c r="H2110" s="703" t="s">
        <v>334</v>
      </c>
      <c r="I2110" s="703" t="s">
        <v>334</v>
      </c>
      <c r="J2110" s="703" t="s">
        <v>337</v>
      </c>
      <c r="K2110" s="704">
        <v>0</v>
      </c>
      <c r="L2110" s="703" t="s">
        <v>334</v>
      </c>
      <c r="M2110" s="702">
        <v>43251</v>
      </c>
      <c r="N2110" s="702">
        <v>44516</v>
      </c>
      <c r="O2110" s="703" t="s">
        <v>338</v>
      </c>
      <c r="P2110" s="20">
        <v>103.47</v>
      </c>
      <c r="Q2110" s="20">
        <v>0</v>
      </c>
      <c r="R2110" s="20">
        <v>0</v>
      </c>
      <c r="S2110" s="20">
        <v>0</v>
      </c>
      <c r="T2110" s="20">
        <v>103.47</v>
      </c>
      <c r="U2110" s="20">
        <v>103.18</v>
      </c>
      <c r="V2110" s="20">
        <v>-0.28999999999999998</v>
      </c>
      <c r="W2110" s="20">
        <v>-3.74</v>
      </c>
      <c r="X2110" s="20">
        <v>-3.45</v>
      </c>
      <c r="Y2110" s="20">
        <v>0</v>
      </c>
      <c r="Z2110" s="20">
        <v>0</v>
      </c>
      <c r="AA2110" s="20">
        <v>0</v>
      </c>
      <c r="AB2110" s="20">
        <v>99.73</v>
      </c>
      <c r="AC2110" t="s">
        <v>188</v>
      </c>
      <c r="AD2110" t="s">
        <v>290</v>
      </c>
      <c r="AE2110" s="702">
        <f t="shared" si="160"/>
        <v>44348</v>
      </c>
      <c r="AF2110" s="289">
        <v>118.80892862655448</v>
      </c>
      <c r="AG2110">
        <f t="shared" si="161"/>
        <v>360</v>
      </c>
      <c r="AH2110" s="289">
        <f t="shared" si="162"/>
        <v>0.33002480174042909</v>
      </c>
      <c r="AJ2110" s="289">
        <f t="shared" si="163"/>
        <v>18</v>
      </c>
      <c r="AK2110" s="289">
        <f t="shared" si="164"/>
        <v>5.9404464313277234</v>
      </c>
    </row>
    <row r="2111" spans="1:37">
      <c r="A2111" s="703" t="s">
        <v>3648</v>
      </c>
      <c r="B2111" s="703" t="s">
        <v>2849</v>
      </c>
      <c r="C2111" s="703" t="s">
        <v>390</v>
      </c>
      <c r="D2111" s="703" t="s">
        <v>334</v>
      </c>
      <c r="E2111" s="703" t="s">
        <v>334</v>
      </c>
      <c r="F2111" s="703" t="s">
        <v>335</v>
      </c>
      <c r="G2111" s="703" t="s">
        <v>3623</v>
      </c>
      <c r="H2111" s="703" t="s">
        <v>334</v>
      </c>
      <c r="I2111" s="703" t="s">
        <v>334</v>
      </c>
      <c r="J2111" s="703" t="s">
        <v>337</v>
      </c>
      <c r="K2111" s="704">
        <v>0</v>
      </c>
      <c r="L2111" s="703" t="s">
        <v>334</v>
      </c>
      <c r="M2111" s="702">
        <v>43251</v>
      </c>
      <c r="N2111" s="702">
        <v>44516</v>
      </c>
      <c r="O2111" s="703" t="s">
        <v>338</v>
      </c>
      <c r="P2111" s="20">
        <v>485.98</v>
      </c>
      <c r="Q2111" s="20">
        <v>0</v>
      </c>
      <c r="R2111" s="20">
        <v>0</v>
      </c>
      <c r="S2111" s="20">
        <v>0</v>
      </c>
      <c r="T2111" s="20">
        <v>485.98</v>
      </c>
      <c r="U2111" s="20">
        <v>484.63</v>
      </c>
      <c r="V2111" s="20">
        <v>-1.35</v>
      </c>
      <c r="W2111" s="20">
        <v>-17.55</v>
      </c>
      <c r="X2111" s="20">
        <v>-16.2</v>
      </c>
      <c r="Y2111" s="20">
        <v>0</v>
      </c>
      <c r="Z2111" s="20">
        <v>0</v>
      </c>
      <c r="AA2111" s="20">
        <v>0</v>
      </c>
      <c r="AB2111" s="20">
        <v>468.43</v>
      </c>
      <c r="AC2111" t="s">
        <v>188</v>
      </c>
      <c r="AD2111" t="s">
        <v>290</v>
      </c>
      <c r="AE2111" s="702">
        <f t="shared" si="160"/>
        <v>44348</v>
      </c>
      <c r="AF2111" s="289">
        <v>558.02419188105671</v>
      </c>
      <c r="AG2111">
        <f t="shared" si="161"/>
        <v>360</v>
      </c>
      <c r="AH2111" s="289">
        <f t="shared" si="162"/>
        <v>1.550067199669602</v>
      </c>
      <c r="AJ2111" s="289">
        <f t="shared" si="163"/>
        <v>18</v>
      </c>
      <c r="AK2111" s="289">
        <f t="shared" si="164"/>
        <v>27.901209594052837</v>
      </c>
    </row>
    <row r="2112" spans="1:37">
      <c r="A2112" s="703" t="s">
        <v>3649</v>
      </c>
      <c r="B2112" s="703" t="s">
        <v>2849</v>
      </c>
      <c r="C2112" s="703" t="s">
        <v>390</v>
      </c>
      <c r="D2112" s="703" t="s">
        <v>334</v>
      </c>
      <c r="E2112" s="703" t="s">
        <v>334</v>
      </c>
      <c r="F2112" s="703" t="s">
        <v>335</v>
      </c>
      <c r="G2112" s="703" t="s">
        <v>3623</v>
      </c>
      <c r="H2112" s="703" t="s">
        <v>334</v>
      </c>
      <c r="I2112" s="703" t="s">
        <v>334</v>
      </c>
      <c r="J2112" s="703" t="s">
        <v>337</v>
      </c>
      <c r="K2112" s="704">
        <v>0</v>
      </c>
      <c r="L2112" s="703" t="s">
        <v>334</v>
      </c>
      <c r="M2112" s="702">
        <v>43251</v>
      </c>
      <c r="N2112" s="702">
        <v>44516</v>
      </c>
      <c r="O2112" s="703" t="s">
        <v>338</v>
      </c>
      <c r="P2112" s="20">
        <v>283.04000000000002</v>
      </c>
      <c r="Q2112" s="20">
        <v>0</v>
      </c>
      <c r="R2112" s="20">
        <v>0</v>
      </c>
      <c r="S2112" s="20">
        <v>0</v>
      </c>
      <c r="T2112" s="20">
        <v>283.04000000000002</v>
      </c>
      <c r="U2112" s="20">
        <v>282.25</v>
      </c>
      <c r="V2112" s="20">
        <v>-0.79</v>
      </c>
      <c r="W2112" s="20">
        <v>-10.220000000000001</v>
      </c>
      <c r="X2112" s="20">
        <v>-9.43</v>
      </c>
      <c r="Y2112" s="20">
        <v>0</v>
      </c>
      <c r="Z2112" s="20">
        <v>0</v>
      </c>
      <c r="AA2112" s="20">
        <v>0</v>
      </c>
      <c r="AB2112" s="20">
        <v>272.82</v>
      </c>
      <c r="AC2112" t="s">
        <v>188</v>
      </c>
      <c r="AD2112" t="s">
        <v>290</v>
      </c>
      <c r="AE2112" s="702">
        <f t="shared" si="160"/>
        <v>44348</v>
      </c>
      <c r="AF2112" s="289">
        <v>324.99931534222463</v>
      </c>
      <c r="AG2112">
        <f t="shared" si="161"/>
        <v>360</v>
      </c>
      <c r="AH2112" s="289">
        <f t="shared" si="162"/>
        <v>0.90277587595062403</v>
      </c>
      <c r="AJ2112" s="289">
        <f t="shared" si="163"/>
        <v>18</v>
      </c>
      <c r="AK2112" s="289">
        <f t="shared" si="164"/>
        <v>16.249965767111231</v>
      </c>
    </row>
    <row r="2113" spans="1:37">
      <c r="A2113" s="703" t="s">
        <v>3650</v>
      </c>
      <c r="B2113" s="703" t="s">
        <v>2849</v>
      </c>
      <c r="C2113" s="703" t="s">
        <v>390</v>
      </c>
      <c r="D2113" s="703" t="s">
        <v>334</v>
      </c>
      <c r="E2113" s="703" t="s">
        <v>334</v>
      </c>
      <c r="F2113" s="703" t="s">
        <v>335</v>
      </c>
      <c r="G2113" s="703" t="s">
        <v>3623</v>
      </c>
      <c r="H2113" s="703" t="s">
        <v>334</v>
      </c>
      <c r="I2113" s="703" t="s">
        <v>334</v>
      </c>
      <c r="J2113" s="703" t="s">
        <v>337</v>
      </c>
      <c r="K2113" s="704">
        <v>0</v>
      </c>
      <c r="L2113" s="703" t="s">
        <v>334</v>
      </c>
      <c r="M2113" s="702">
        <v>43251</v>
      </c>
      <c r="N2113" s="702">
        <v>44516</v>
      </c>
      <c r="O2113" s="703" t="s">
        <v>338</v>
      </c>
      <c r="P2113" s="20">
        <v>572.53</v>
      </c>
      <c r="Q2113" s="20">
        <v>0</v>
      </c>
      <c r="R2113" s="20">
        <v>0</v>
      </c>
      <c r="S2113" s="20">
        <v>0</v>
      </c>
      <c r="T2113" s="20">
        <v>572.53</v>
      </c>
      <c r="U2113" s="20">
        <v>570.94000000000005</v>
      </c>
      <c r="V2113" s="20">
        <v>-1.59</v>
      </c>
      <c r="W2113" s="20">
        <v>-20.67</v>
      </c>
      <c r="X2113" s="20">
        <v>-19.079999999999998</v>
      </c>
      <c r="Y2113" s="20">
        <v>0</v>
      </c>
      <c r="Z2113" s="20">
        <v>0</v>
      </c>
      <c r="AA2113" s="20">
        <v>0</v>
      </c>
      <c r="AB2113" s="20">
        <v>551.86</v>
      </c>
      <c r="AC2113" t="s">
        <v>188</v>
      </c>
      <c r="AD2113" t="s">
        <v>290</v>
      </c>
      <c r="AE2113" s="702">
        <f t="shared" si="160"/>
        <v>44348</v>
      </c>
      <c r="AF2113" s="289">
        <v>657.40481208622043</v>
      </c>
      <c r="AG2113">
        <f t="shared" si="161"/>
        <v>360</v>
      </c>
      <c r="AH2113" s="289">
        <f t="shared" si="162"/>
        <v>1.826124478017279</v>
      </c>
      <c r="AJ2113" s="289">
        <f t="shared" si="163"/>
        <v>18</v>
      </c>
      <c r="AK2113" s="289">
        <f t="shared" si="164"/>
        <v>32.870240604311022</v>
      </c>
    </row>
    <row r="2114" spans="1:37">
      <c r="A2114" s="703" t="s">
        <v>3651</v>
      </c>
      <c r="B2114" s="703" t="s">
        <v>2849</v>
      </c>
      <c r="C2114" s="703" t="s">
        <v>390</v>
      </c>
      <c r="D2114" s="703" t="s">
        <v>334</v>
      </c>
      <c r="E2114" s="703" t="s">
        <v>334</v>
      </c>
      <c r="F2114" s="703" t="s">
        <v>335</v>
      </c>
      <c r="G2114" s="703" t="s">
        <v>3623</v>
      </c>
      <c r="H2114" s="703" t="s">
        <v>334</v>
      </c>
      <c r="I2114" s="703" t="s">
        <v>334</v>
      </c>
      <c r="J2114" s="703" t="s">
        <v>337</v>
      </c>
      <c r="K2114" s="704">
        <v>0</v>
      </c>
      <c r="L2114" s="703" t="s">
        <v>334</v>
      </c>
      <c r="M2114" s="702">
        <v>43251</v>
      </c>
      <c r="N2114" s="702">
        <v>44516</v>
      </c>
      <c r="O2114" s="703" t="s">
        <v>338</v>
      </c>
      <c r="P2114" s="20">
        <v>131.52000000000001</v>
      </c>
      <c r="Q2114" s="20">
        <v>0</v>
      </c>
      <c r="R2114" s="20">
        <v>0</v>
      </c>
      <c r="S2114" s="20">
        <v>0</v>
      </c>
      <c r="T2114" s="20">
        <v>131.52000000000001</v>
      </c>
      <c r="U2114" s="20">
        <v>131.15</v>
      </c>
      <c r="V2114" s="20">
        <v>-0.37</v>
      </c>
      <c r="W2114" s="20">
        <v>-4.75</v>
      </c>
      <c r="X2114" s="20">
        <v>-4.38</v>
      </c>
      <c r="Y2114" s="20">
        <v>0</v>
      </c>
      <c r="Z2114" s="20">
        <v>0</v>
      </c>
      <c r="AA2114" s="20">
        <v>0</v>
      </c>
      <c r="AB2114" s="20">
        <v>126.77</v>
      </c>
      <c r="AC2114" t="s">
        <v>188</v>
      </c>
      <c r="AD2114" t="s">
        <v>290</v>
      </c>
      <c r="AE2114" s="702">
        <f t="shared" si="160"/>
        <v>44348</v>
      </c>
      <c r="AF2114" s="289">
        <v>151.01720588542037</v>
      </c>
      <c r="AG2114">
        <f t="shared" si="161"/>
        <v>360</v>
      </c>
      <c r="AH2114" s="289">
        <f t="shared" si="162"/>
        <v>0.41949223857061213</v>
      </c>
      <c r="AJ2114" s="289">
        <f t="shared" si="163"/>
        <v>18</v>
      </c>
      <c r="AK2114" s="289">
        <f t="shared" si="164"/>
        <v>7.5508602942710183</v>
      </c>
    </row>
    <row r="2115" spans="1:37">
      <c r="A2115" s="703" t="s">
        <v>3652</v>
      </c>
      <c r="B2115" s="703" t="s">
        <v>2849</v>
      </c>
      <c r="C2115" s="703" t="s">
        <v>390</v>
      </c>
      <c r="D2115" s="703" t="s">
        <v>334</v>
      </c>
      <c r="E2115" s="703" t="s">
        <v>334</v>
      </c>
      <c r="F2115" s="703" t="s">
        <v>335</v>
      </c>
      <c r="G2115" s="703" t="s">
        <v>3516</v>
      </c>
      <c r="H2115" s="703" t="s">
        <v>334</v>
      </c>
      <c r="I2115" s="703" t="s">
        <v>334</v>
      </c>
      <c r="J2115" s="703" t="s">
        <v>337</v>
      </c>
      <c r="K2115" s="704">
        <v>0</v>
      </c>
      <c r="L2115" s="703" t="s">
        <v>334</v>
      </c>
      <c r="M2115" s="702">
        <v>43251</v>
      </c>
      <c r="N2115" s="702">
        <v>44516</v>
      </c>
      <c r="O2115" s="703" t="s">
        <v>338</v>
      </c>
      <c r="P2115" s="20">
        <v>4.2</v>
      </c>
      <c r="Q2115" s="20">
        <v>0</v>
      </c>
      <c r="R2115" s="20">
        <v>0</v>
      </c>
      <c r="S2115" s="20">
        <v>0</v>
      </c>
      <c r="T2115" s="20">
        <v>4.2</v>
      </c>
      <c r="U2115" s="20">
        <v>4.1900000000000004</v>
      </c>
      <c r="V2115" s="20">
        <v>-0.01</v>
      </c>
      <c r="W2115" s="20">
        <v>-0.15</v>
      </c>
      <c r="X2115" s="20">
        <v>-0.14000000000000001</v>
      </c>
      <c r="Y2115" s="20">
        <v>0</v>
      </c>
      <c r="Z2115" s="20">
        <v>0</v>
      </c>
      <c r="AA2115" s="20">
        <v>0</v>
      </c>
      <c r="AB2115" s="20">
        <v>4.05</v>
      </c>
      <c r="AC2115" t="s">
        <v>188</v>
      </c>
      <c r="AD2115" t="s">
        <v>290</v>
      </c>
      <c r="AE2115" s="702">
        <f t="shared" si="160"/>
        <v>44348</v>
      </c>
      <c r="AF2115" s="289">
        <v>4.8226297499906146</v>
      </c>
      <c r="AG2115">
        <f t="shared" si="161"/>
        <v>360</v>
      </c>
      <c r="AH2115" s="289">
        <f t="shared" si="162"/>
        <v>1.3396193749973929E-2</v>
      </c>
      <c r="AJ2115" s="289">
        <f t="shared" si="163"/>
        <v>18</v>
      </c>
      <c r="AK2115" s="289">
        <f t="shared" si="164"/>
        <v>0.24113148749953073</v>
      </c>
    </row>
    <row r="2116" spans="1:37">
      <c r="A2116" s="703" t="s">
        <v>3653</v>
      </c>
      <c r="B2116" s="703" t="s">
        <v>2849</v>
      </c>
      <c r="C2116" s="703" t="s">
        <v>390</v>
      </c>
      <c r="D2116" s="703" t="s">
        <v>334</v>
      </c>
      <c r="E2116" s="703" t="s">
        <v>334</v>
      </c>
      <c r="F2116" s="703" t="s">
        <v>335</v>
      </c>
      <c r="G2116" s="703" t="s">
        <v>3516</v>
      </c>
      <c r="H2116" s="703" t="s">
        <v>334</v>
      </c>
      <c r="I2116" s="703" t="s">
        <v>334</v>
      </c>
      <c r="J2116" s="703" t="s">
        <v>337</v>
      </c>
      <c r="K2116" s="704">
        <v>0</v>
      </c>
      <c r="L2116" s="703" t="s">
        <v>334</v>
      </c>
      <c r="M2116" s="702">
        <v>43251</v>
      </c>
      <c r="N2116" s="702">
        <v>44516</v>
      </c>
      <c r="O2116" s="703" t="s">
        <v>338</v>
      </c>
      <c r="P2116" s="20">
        <v>9.49</v>
      </c>
      <c r="Q2116" s="20">
        <v>0</v>
      </c>
      <c r="R2116" s="20">
        <v>0</v>
      </c>
      <c r="S2116" s="20">
        <v>0</v>
      </c>
      <c r="T2116" s="20">
        <v>9.49</v>
      </c>
      <c r="U2116" s="20">
        <v>9.4600000000000009</v>
      </c>
      <c r="V2116" s="20">
        <v>-0.03</v>
      </c>
      <c r="W2116" s="20">
        <v>-0.35</v>
      </c>
      <c r="X2116" s="20">
        <v>-0.32</v>
      </c>
      <c r="Y2116" s="20">
        <v>0</v>
      </c>
      <c r="Z2116" s="20">
        <v>0</v>
      </c>
      <c r="AA2116" s="20">
        <v>0</v>
      </c>
      <c r="AB2116" s="20">
        <v>9.14</v>
      </c>
      <c r="AC2116" t="s">
        <v>188</v>
      </c>
      <c r="AD2116" t="s">
        <v>290</v>
      </c>
      <c r="AE2116" s="702">
        <f t="shared" si="160"/>
        <v>44348</v>
      </c>
      <c r="AF2116" s="289">
        <v>10.89684674462165</v>
      </c>
      <c r="AG2116">
        <f t="shared" si="161"/>
        <v>360</v>
      </c>
      <c r="AH2116" s="289">
        <f t="shared" si="162"/>
        <v>3.0269018735060139E-2</v>
      </c>
      <c r="AJ2116" s="289">
        <f t="shared" si="163"/>
        <v>18</v>
      </c>
      <c r="AK2116" s="289">
        <f t="shared" si="164"/>
        <v>0.54484233723108255</v>
      </c>
    </row>
    <row r="2117" spans="1:37">
      <c r="A2117" s="703" t="s">
        <v>3654</v>
      </c>
      <c r="B2117" s="703" t="s">
        <v>2849</v>
      </c>
      <c r="C2117" s="703" t="s">
        <v>390</v>
      </c>
      <c r="D2117" s="703" t="s">
        <v>334</v>
      </c>
      <c r="E2117" s="703" t="s">
        <v>334</v>
      </c>
      <c r="F2117" s="703" t="s">
        <v>335</v>
      </c>
      <c r="G2117" s="703" t="s">
        <v>3516</v>
      </c>
      <c r="H2117" s="703" t="s">
        <v>334</v>
      </c>
      <c r="I2117" s="703" t="s">
        <v>334</v>
      </c>
      <c r="J2117" s="703" t="s">
        <v>337</v>
      </c>
      <c r="K2117" s="704">
        <v>0</v>
      </c>
      <c r="L2117" s="703" t="s">
        <v>334</v>
      </c>
      <c r="M2117" s="702">
        <v>43251</v>
      </c>
      <c r="N2117" s="702">
        <v>44516</v>
      </c>
      <c r="O2117" s="703" t="s">
        <v>338</v>
      </c>
      <c r="P2117" s="20">
        <v>13.99</v>
      </c>
      <c r="Q2117" s="20">
        <v>0</v>
      </c>
      <c r="R2117" s="20">
        <v>0</v>
      </c>
      <c r="S2117" s="20">
        <v>0</v>
      </c>
      <c r="T2117" s="20">
        <v>13.99</v>
      </c>
      <c r="U2117" s="20">
        <v>13.95</v>
      </c>
      <c r="V2117" s="20">
        <v>-0.04</v>
      </c>
      <c r="W2117" s="20">
        <v>-0.51</v>
      </c>
      <c r="X2117" s="20">
        <v>-0.47</v>
      </c>
      <c r="Y2117" s="20">
        <v>0</v>
      </c>
      <c r="Z2117" s="20">
        <v>0</v>
      </c>
      <c r="AA2117" s="20">
        <v>0</v>
      </c>
      <c r="AB2117" s="20">
        <v>13.48</v>
      </c>
      <c r="AC2117" t="s">
        <v>188</v>
      </c>
      <c r="AD2117" t="s">
        <v>290</v>
      </c>
      <c r="AE2117" s="702">
        <f t="shared" si="160"/>
        <v>44348</v>
      </c>
      <c r="AF2117" s="289">
        <v>16.06395004818302</v>
      </c>
      <c r="AG2117">
        <f t="shared" si="161"/>
        <v>360</v>
      </c>
      <c r="AH2117" s="289">
        <f t="shared" si="162"/>
        <v>4.4622083467175055E-2</v>
      </c>
      <c r="AJ2117" s="289">
        <f t="shared" si="163"/>
        <v>18</v>
      </c>
      <c r="AK2117" s="289">
        <f t="shared" si="164"/>
        <v>0.803197502409151</v>
      </c>
    </row>
    <row r="2118" spans="1:37">
      <c r="A2118" s="703" t="s">
        <v>3655</v>
      </c>
      <c r="B2118" s="703" t="s">
        <v>2849</v>
      </c>
      <c r="C2118" s="703" t="s">
        <v>390</v>
      </c>
      <c r="D2118" s="703" t="s">
        <v>334</v>
      </c>
      <c r="E2118" s="703" t="s">
        <v>334</v>
      </c>
      <c r="F2118" s="703" t="s">
        <v>335</v>
      </c>
      <c r="G2118" s="703" t="s">
        <v>3516</v>
      </c>
      <c r="H2118" s="703" t="s">
        <v>334</v>
      </c>
      <c r="I2118" s="703" t="s">
        <v>334</v>
      </c>
      <c r="J2118" s="703" t="s">
        <v>337</v>
      </c>
      <c r="K2118" s="704">
        <v>0</v>
      </c>
      <c r="L2118" s="703" t="s">
        <v>334</v>
      </c>
      <c r="M2118" s="702">
        <v>43251</v>
      </c>
      <c r="N2118" s="702">
        <v>44516</v>
      </c>
      <c r="O2118" s="703" t="s">
        <v>338</v>
      </c>
      <c r="P2118" s="20">
        <v>5.23</v>
      </c>
      <c r="Q2118" s="20">
        <v>0</v>
      </c>
      <c r="R2118" s="20">
        <v>0</v>
      </c>
      <c r="S2118" s="20">
        <v>0</v>
      </c>
      <c r="T2118" s="20">
        <v>5.23</v>
      </c>
      <c r="U2118" s="20">
        <v>5.22</v>
      </c>
      <c r="V2118" s="20">
        <v>-0.01</v>
      </c>
      <c r="W2118" s="20">
        <v>-0.18</v>
      </c>
      <c r="X2118" s="20">
        <v>-0.17</v>
      </c>
      <c r="Y2118" s="20">
        <v>0</v>
      </c>
      <c r="Z2118" s="20">
        <v>0</v>
      </c>
      <c r="AA2118" s="20">
        <v>0</v>
      </c>
      <c r="AB2118" s="20">
        <v>5.05</v>
      </c>
      <c r="AC2118" t="s">
        <v>188</v>
      </c>
      <c r="AD2118" t="s">
        <v>290</v>
      </c>
      <c r="AE2118" s="702">
        <f t="shared" si="160"/>
        <v>44348</v>
      </c>
      <c r="AF2118" s="289">
        <v>6.0053222839168834</v>
      </c>
      <c r="AG2118">
        <f t="shared" si="161"/>
        <v>360</v>
      </c>
      <c r="AH2118" s="289">
        <f t="shared" si="162"/>
        <v>1.6681450788658011E-2</v>
      </c>
      <c r="AJ2118" s="289">
        <f t="shared" si="163"/>
        <v>18</v>
      </c>
      <c r="AK2118" s="289">
        <f t="shared" si="164"/>
        <v>0.3002661141958442</v>
      </c>
    </row>
    <row r="2119" spans="1:37">
      <c r="A2119" s="703" t="s">
        <v>3656</v>
      </c>
      <c r="B2119" s="703" t="s">
        <v>2849</v>
      </c>
      <c r="C2119" s="703" t="s">
        <v>390</v>
      </c>
      <c r="D2119" s="703" t="s">
        <v>334</v>
      </c>
      <c r="E2119" s="703" t="s">
        <v>334</v>
      </c>
      <c r="F2119" s="703" t="s">
        <v>335</v>
      </c>
      <c r="G2119" s="703" t="s">
        <v>3516</v>
      </c>
      <c r="H2119" s="703" t="s">
        <v>334</v>
      </c>
      <c r="I2119" s="703" t="s">
        <v>334</v>
      </c>
      <c r="J2119" s="703" t="s">
        <v>337</v>
      </c>
      <c r="K2119" s="704">
        <v>0</v>
      </c>
      <c r="L2119" s="703" t="s">
        <v>334</v>
      </c>
      <c r="M2119" s="702">
        <v>43251</v>
      </c>
      <c r="N2119" s="702">
        <v>44516</v>
      </c>
      <c r="O2119" s="703" t="s">
        <v>338</v>
      </c>
      <c r="P2119" s="20">
        <v>25.77</v>
      </c>
      <c r="Q2119" s="20">
        <v>0</v>
      </c>
      <c r="R2119" s="20">
        <v>0</v>
      </c>
      <c r="S2119" s="20">
        <v>0</v>
      </c>
      <c r="T2119" s="20">
        <v>25.77</v>
      </c>
      <c r="U2119" s="20">
        <v>25.7</v>
      </c>
      <c r="V2119" s="20">
        <v>-7.0000000000000007E-2</v>
      </c>
      <c r="W2119" s="20">
        <v>-0.93</v>
      </c>
      <c r="X2119" s="20">
        <v>-0.86</v>
      </c>
      <c r="Y2119" s="20">
        <v>0</v>
      </c>
      <c r="Z2119" s="20">
        <v>0</v>
      </c>
      <c r="AA2119" s="20">
        <v>0</v>
      </c>
      <c r="AB2119" s="20">
        <v>24.84</v>
      </c>
      <c r="AC2119" t="s">
        <v>188</v>
      </c>
      <c r="AD2119" t="s">
        <v>290</v>
      </c>
      <c r="AE2119" s="702">
        <f t="shared" ref="AE2119:AE2182" si="165">IF(N2119&gt;=$AG$5,DATE(YEAR(N2119),6,1),DATE(YEAR(N2119),6,1))</f>
        <v>44348</v>
      </c>
      <c r="AF2119" s="289">
        <v>29.590278251728122</v>
      </c>
      <c r="AG2119">
        <f t="shared" ref="AG2119:AG2182" si="166">+IF(AD2119="intangível",20*12,IF(AD2119="Diferido",120,IF(AD2119="Não vinculados",0,IF(AE2119&lt;=$AG$5,F2119*12,360))))</f>
        <v>360</v>
      </c>
      <c r="AH2119" s="289">
        <f t="shared" ref="AH2119:AH2182" si="167">IF(AG2119=0,0,AF2119/AG2119)</f>
        <v>8.2195217365911455E-2</v>
      </c>
      <c r="AJ2119" s="289">
        <f t="shared" ref="AJ2119:AJ2182" si="168">+IF(AND(YEAR(AE2119)&gt;=2018,YEAR(AE2119)&lt;=2022),IF(DATEDIF(AE2119,$AK$4,"m")&gt;=AG2119,AG2119,DATEDIF(AE2119,$AK$4,"m")),0)</f>
        <v>18</v>
      </c>
      <c r="AK2119" s="289">
        <f t="shared" ref="AK2119:AK2182" si="169">IF(AD2119="Imobilizado",AJ2119*AH2119,0)</f>
        <v>1.4795139125864063</v>
      </c>
    </row>
    <row r="2120" spans="1:37">
      <c r="A2120" s="703" t="s">
        <v>3657</v>
      </c>
      <c r="B2120" s="703" t="s">
        <v>2849</v>
      </c>
      <c r="C2120" s="703" t="s">
        <v>390</v>
      </c>
      <c r="D2120" s="703" t="s">
        <v>334</v>
      </c>
      <c r="E2120" s="703" t="s">
        <v>334</v>
      </c>
      <c r="F2120" s="703" t="s">
        <v>335</v>
      </c>
      <c r="G2120" s="703" t="s">
        <v>3516</v>
      </c>
      <c r="H2120" s="703" t="s">
        <v>334</v>
      </c>
      <c r="I2120" s="703" t="s">
        <v>334</v>
      </c>
      <c r="J2120" s="703" t="s">
        <v>337</v>
      </c>
      <c r="K2120" s="704">
        <v>0</v>
      </c>
      <c r="L2120" s="703" t="s">
        <v>334</v>
      </c>
      <c r="M2120" s="702">
        <v>43251</v>
      </c>
      <c r="N2120" s="702">
        <v>44516</v>
      </c>
      <c r="O2120" s="703" t="s">
        <v>338</v>
      </c>
      <c r="P2120" s="20">
        <v>151.63999999999999</v>
      </c>
      <c r="Q2120" s="20">
        <v>0</v>
      </c>
      <c r="R2120" s="20">
        <v>0</v>
      </c>
      <c r="S2120" s="20">
        <v>0</v>
      </c>
      <c r="T2120" s="20">
        <v>151.63999999999999</v>
      </c>
      <c r="U2120" s="20">
        <v>151.22</v>
      </c>
      <c r="V2120" s="20">
        <v>-0.42</v>
      </c>
      <c r="W2120" s="20">
        <v>-5.47</v>
      </c>
      <c r="X2120" s="20">
        <v>-5.05</v>
      </c>
      <c r="Y2120" s="20">
        <v>0</v>
      </c>
      <c r="Z2120" s="20">
        <v>0</v>
      </c>
      <c r="AA2120" s="20">
        <v>0</v>
      </c>
      <c r="AB2120" s="20">
        <v>146.16999999999999</v>
      </c>
      <c r="AC2120" t="s">
        <v>188</v>
      </c>
      <c r="AD2120" t="s">
        <v>290</v>
      </c>
      <c r="AE2120" s="702">
        <f t="shared" si="165"/>
        <v>44348</v>
      </c>
      <c r="AF2120" s="289">
        <v>174.11989887823253</v>
      </c>
      <c r="AG2120">
        <f t="shared" si="166"/>
        <v>360</v>
      </c>
      <c r="AH2120" s="289">
        <f t="shared" si="167"/>
        <v>0.48366638577286813</v>
      </c>
      <c r="AJ2120" s="289">
        <f t="shared" si="168"/>
        <v>18</v>
      </c>
      <c r="AK2120" s="289">
        <f t="shared" si="169"/>
        <v>8.7059949439116266</v>
      </c>
    </row>
    <row r="2121" spans="1:37">
      <c r="A2121" s="703" t="s">
        <v>3658</v>
      </c>
      <c r="B2121" s="703" t="s">
        <v>2849</v>
      </c>
      <c r="C2121" s="703" t="s">
        <v>390</v>
      </c>
      <c r="D2121" s="703" t="s">
        <v>334</v>
      </c>
      <c r="E2121" s="703" t="s">
        <v>334</v>
      </c>
      <c r="F2121" s="703" t="s">
        <v>335</v>
      </c>
      <c r="G2121" s="703" t="s">
        <v>3516</v>
      </c>
      <c r="H2121" s="703" t="s">
        <v>334</v>
      </c>
      <c r="I2121" s="703" t="s">
        <v>334</v>
      </c>
      <c r="J2121" s="703" t="s">
        <v>337</v>
      </c>
      <c r="K2121" s="704">
        <v>0</v>
      </c>
      <c r="L2121" s="703" t="s">
        <v>334</v>
      </c>
      <c r="M2121" s="702">
        <v>43251</v>
      </c>
      <c r="N2121" s="702">
        <v>44516</v>
      </c>
      <c r="O2121" s="703" t="s">
        <v>338</v>
      </c>
      <c r="P2121" s="20">
        <v>32.299999999999997</v>
      </c>
      <c r="Q2121" s="20">
        <v>0</v>
      </c>
      <c r="R2121" s="20">
        <v>0</v>
      </c>
      <c r="S2121" s="20">
        <v>0</v>
      </c>
      <c r="T2121" s="20">
        <v>32.299999999999997</v>
      </c>
      <c r="U2121" s="20">
        <v>32.21</v>
      </c>
      <c r="V2121" s="20">
        <v>-0.09</v>
      </c>
      <c r="W2121" s="20">
        <v>-1.17</v>
      </c>
      <c r="X2121" s="20">
        <v>-1.08</v>
      </c>
      <c r="Y2121" s="20">
        <v>0</v>
      </c>
      <c r="Z2121" s="20">
        <v>0</v>
      </c>
      <c r="AA2121" s="20">
        <v>0</v>
      </c>
      <c r="AB2121" s="20">
        <v>31.13</v>
      </c>
      <c r="AC2121" t="s">
        <v>188</v>
      </c>
      <c r="AD2121" t="s">
        <v>290</v>
      </c>
      <c r="AE2121" s="702">
        <f t="shared" si="165"/>
        <v>44348</v>
      </c>
      <c r="AF2121" s="289">
        <v>37.088319267784954</v>
      </c>
      <c r="AG2121">
        <f t="shared" si="166"/>
        <v>360</v>
      </c>
      <c r="AH2121" s="289">
        <f t="shared" si="167"/>
        <v>0.10302310907718043</v>
      </c>
      <c r="AJ2121" s="289">
        <f t="shared" si="168"/>
        <v>18</v>
      </c>
      <c r="AK2121" s="289">
        <f t="shared" si="169"/>
        <v>1.8544159633892479</v>
      </c>
    </row>
    <row r="2122" spans="1:37">
      <c r="A2122" s="703" t="s">
        <v>3659</v>
      </c>
      <c r="B2122" s="703" t="s">
        <v>2849</v>
      </c>
      <c r="C2122" s="703" t="s">
        <v>390</v>
      </c>
      <c r="D2122" s="703" t="s">
        <v>334</v>
      </c>
      <c r="E2122" s="703" t="s">
        <v>334</v>
      </c>
      <c r="F2122" s="703" t="s">
        <v>335</v>
      </c>
      <c r="G2122" s="703" t="s">
        <v>3516</v>
      </c>
      <c r="H2122" s="703" t="s">
        <v>334</v>
      </c>
      <c r="I2122" s="703" t="s">
        <v>334</v>
      </c>
      <c r="J2122" s="703" t="s">
        <v>337</v>
      </c>
      <c r="K2122" s="704">
        <v>0</v>
      </c>
      <c r="L2122" s="703" t="s">
        <v>334</v>
      </c>
      <c r="M2122" s="702">
        <v>43251</v>
      </c>
      <c r="N2122" s="702">
        <v>44516</v>
      </c>
      <c r="O2122" s="703" t="s">
        <v>338</v>
      </c>
      <c r="P2122" s="20">
        <v>87.22</v>
      </c>
      <c r="Q2122" s="20">
        <v>0</v>
      </c>
      <c r="R2122" s="20">
        <v>0</v>
      </c>
      <c r="S2122" s="20">
        <v>0</v>
      </c>
      <c r="T2122" s="20">
        <v>87.22</v>
      </c>
      <c r="U2122" s="20">
        <v>86.98</v>
      </c>
      <c r="V2122" s="20">
        <v>-0.24</v>
      </c>
      <c r="W2122" s="20">
        <v>-3.15</v>
      </c>
      <c r="X2122" s="20">
        <v>-2.91</v>
      </c>
      <c r="Y2122" s="20">
        <v>0</v>
      </c>
      <c r="Z2122" s="20">
        <v>0</v>
      </c>
      <c r="AA2122" s="20">
        <v>0</v>
      </c>
      <c r="AB2122" s="20">
        <v>84.07</v>
      </c>
      <c r="AC2122" t="s">
        <v>188</v>
      </c>
      <c r="AD2122" t="s">
        <v>290</v>
      </c>
      <c r="AE2122" s="702">
        <f t="shared" si="165"/>
        <v>44348</v>
      </c>
      <c r="AF2122" s="289">
        <v>100.14994447480507</v>
      </c>
      <c r="AG2122">
        <f t="shared" si="166"/>
        <v>360</v>
      </c>
      <c r="AH2122" s="289">
        <f t="shared" si="167"/>
        <v>0.27819429020779185</v>
      </c>
      <c r="AJ2122" s="289">
        <f t="shared" si="168"/>
        <v>18</v>
      </c>
      <c r="AK2122" s="289">
        <f t="shared" si="169"/>
        <v>5.0074972237402537</v>
      </c>
    </row>
    <row r="2123" spans="1:37">
      <c r="A2123" s="703" t="s">
        <v>3660</v>
      </c>
      <c r="B2123" s="703" t="s">
        <v>2849</v>
      </c>
      <c r="C2123" s="703" t="s">
        <v>390</v>
      </c>
      <c r="D2123" s="703" t="s">
        <v>334</v>
      </c>
      <c r="E2123" s="703" t="s">
        <v>334</v>
      </c>
      <c r="F2123" s="703" t="s">
        <v>335</v>
      </c>
      <c r="G2123" s="703" t="s">
        <v>3516</v>
      </c>
      <c r="H2123" s="703" t="s">
        <v>334</v>
      </c>
      <c r="I2123" s="703" t="s">
        <v>334</v>
      </c>
      <c r="J2123" s="703" t="s">
        <v>337</v>
      </c>
      <c r="K2123" s="704">
        <v>0</v>
      </c>
      <c r="L2123" s="703" t="s">
        <v>334</v>
      </c>
      <c r="M2123" s="702">
        <v>43251</v>
      </c>
      <c r="N2123" s="702">
        <v>44516</v>
      </c>
      <c r="O2123" s="703" t="s">
        <v>338</v>
      </c>
      <c r="P2123" s="20">
        <v>51.74</v>
      </c>
      <c r="Q2123" s="20">
        <v>0</v>
      </c>
      <c r="R2123" s="20">
        <v>0</v>
      </c>
      <c r="S2123" s="20">
        <v>0</v>
      </c>
      <c r="T2123" s="20">
        <v>51.74</v>
      </c>
      <c r="U2123" s="20">
        <v>51.6</v>
      </c>
      <c r="V2123" s="20">
        <v>-0.14000000000000001</v>
      </c>
      <c r="W2123" s="20">
        <v>-1.86</v>
      </c>
      <c r="X2123" s="20">
        <v>-1.72</v>
      </c>
      <c r="Y2123" s="20">
        <v>0</v>
      </c>
      <c r="Z2123" s="20">
        <v>0</v>
      </c>
      <c r="AA2123" s="20">
        <v>0</v>
      </c>
      <c r="AB2123" s="20">
        <v>49.88</v>
      </c>
      <c r="AC2123" t="s">
        <v>188</v>
      </c>
      <c r="AD2123" t="s">
        <v>290</v>
      </c>
      <c r="AE2123" s="702">
        <f t="shared" si="165"/>
        <v>44348</v>
      </c>
      <c r="AF2123" s="289">
        <v>59.410205539170086</v>
      </c>
      <c r="AG2123">
        <f t="shared" si="166"/>
        <v>360</v>
      </c>
      <c r="AH2123" s="289">
        <f t="shared" si="167"/>
        <v>0.1650283487199169</v>
      </c>
      <c r="AJ2123" s="289">
        <f t="shared" si="168"/>
        <v>18</v>
      </c>
      <c r="AK2123" s="289">
        <f t="shared" si="169"/>
        <v>2.9705102769585041</v>
      </c>
    </row>
    <row r="2124" spans="1:37">
      <c r="A2124" s="703" t="s">
        <v>3661</v>
      </c>
      <c r="B2124" s="703" t="s">
        <v>2849</v>
      </c>
      <c r="C2124" s="703" t="s">
        <v>390</v>
      </c>
      <c r="D2124" s="703" t="s">
        <v>334</v>
      </c>
      <c r="E2124" s="703" t="s">
        <v>334</v>
      </c>
      <c r="F2124" s="703" t="s">
        <v>335</v>
      </c>
      <c r="G2124" s="703" t="s">
        <v>3516</v>
      </c>
      <c r="H2124" s="703" t="s">
        <v>334</v>
      </c>
      <c r="I2124" s="703" t="s">
        <v>334</v>
      </c>
      <c r="J2124" s="703" t="s">
        <v>337</v>
      </c>
      <c r="K2124" s="704">
        <v>0</v>
      </c>
      <c r="L2124" s="703" t="s">
        <v>334</v>
      </c>
      <c r="M2124" s="702">
        <v>43251</v>
      </c>
      <c r="N2124" s="702">
        <v>44516</v>
      </c>
      <c r="O2124" s="703" t="s">
        <v>338</v>
      </c>
      <c r="P2124" s="20">
        <v>66.37</v>
      </c>
      <c r="Q2124" s="20">
        <v>0</v>
      </c>
      <c r="R2124" s="20">
        <v>0</v>
      </c>
      <c r="S2124" s="20">
        <v>0</v>
      </c>
      <c r="T2124" s="20">
        <v>66.37</v>
      </c>
      <c r="U2124" s="20">
        <v>66.19</v>
      </c>
      <c r="V2124" s="20">
        <v>-0.18</v>
      </c>
      <c r="W2124" s="20">
        <v>-2.39</v>
      </c>
      <c r="X2124" s="20">
        <v>-2.21</v>
      </c>
      <c r="Y2124" s="20">
        <v>0</v>
      </c>
      <c r="Z2124" s="20">
        <v>0</v>
      </c>
      <c r="AA2124" s="20">
        <v>0</v>
      </c>
      <c r="AB2124" s="20">
        <v>63.98</v>
      </c>
      <c r="AC2124" t="s">
        <v>188</v>
      </c>
      <c r="AD2124" t="s">
        <v>290</v>
      </c>
      <c r="AE2124" s="702">
        <f t="shared" si="165"/>
        <v>44348</v>
      </c>
      <c r="AF2124" s="289">
        <v>76.209032501637395</v>
      </c>
      <c r="AG2124">
        <f t="shared" si="166"/>
        <v>360</v>
      </c>
      <c r="AH2124" s="289">
        <f t="shared" si="167"/>
        <v>0.21169175694899275</v>
      </c>
      <c r="AJ2124" s="289">
        <f t="shared" si="168"/>
        <v>18</v>
      </c>
      <c r="AK2124" s="289">
        <f t="shared" si="169"/>
        <v>3.8104516250818694</v>
      </c>
    </row>
    <row r="2125" spans="1:37">
      <c r="A2125" s="703" t="s">
        <v>3662</v>
      </c>
      <c r="B2125" s="703" t="s">
        <v>2849</v>
      </c>
      <c r="C2125" s="703" t="s">
        <v>390</v>
      </c>
      <c r="D2125" s="703" t="s">
        <v>334</v>
      </c>
      <c r="E2125" s="703" t="s">
        <v>334</v>
      </c>
      <c r="F2125" s="703" t="s">
        <v>335</v>
      </c>
      <c r="G2125" s="703" t="s">
        <v>3516</v>
      </c>
      <c r="H2125" s="703" t="s">
        <v>334</v>
      </c>
      <c r="I2125" s="703" t="s">
        <v>334</v>
      </c>
      <c r="J2125" s="703" t="s">
        <v>337</v>
      </c>
      <c r="K2125" s="704">
        <v>0</v>
      </c>
      <c r="L2125" s="703" t="s">
        <v>334</v>
      </c>
      <c r="M2125" s="702">
        <v>43251</v>
      </c>
      <c r="N2125" s="702">
        <v>44516</v>
      </c>
      <c r="O2125" s="703" t="s">
        <v>338</v>
      </c>
      <c r="P2125" s="20">
        <v>250.16</v>
      </c>
      <c r="Q2125" s="20">
        <v>0</v>
      </c>
      <c r="R2125" s="20">
        <v>0</v>
      </c>
      <c r="S2125" s="20">
        <v>0</v>
      </c>
      <c r="T2125" s="20">
        <v>250.16</v>
      </c>
      <c r="U2125" s="20">
        <v>249.47</v>
      </c>
      <c r="V2125" s="20">
        <v>-0.69</v>
      </c>
      <c r="W2125" s="20">
        <v>-9.0299999999999994</v>
      </c>
      <c r="X2125" s="20">
        <v>-8.34</v>
      </c>
      <c r="Y2125" s="20">
        <v>0</v>
      </c>
      <c r="Z2125" s="20">
        <v>0</v>
      </c>
      <c r="AA2125" s="20">
        <v>0</v>
      </c>
      <c r="AB2125" s="20">
        <v>241.13</v>
      </c>
      <c r="AC2125" t="s">
        <v>188</v>
      </c>
      <c r="AD2125" t="s">
        <v>290</v>
      </c>
      <c r="AE2125" s="702">
        <f t="shared" si="165"/>
        <v>44348</v>
      </c>
      <c r="AF2125" s="289">
        <v>287.24501387086951</v>
      </c>
      <c r="AG2125">
        <f t="shared" si="166"/>
        <v>360</v>
      </c>
      <c r="AH2125" s="289">
        <f t="shared" si="167"/>
        <v>0.79790281630797089</v>
      </c>
      <c r="AJ2125" s="289">
        <f t="shared" si="168"/>
        <v>18</v>
      </c>
      <c r="AK2125" s="289">
        <f t="shared" si="169"/>
        <v>14.362250693543476</v>
      </c>
    </row>
    <row r="2126" spans="1:37">
      <c r="A2126" s="703" t="s">
        <v>3663</v>
      </c>
      <c r="B2126" s="703" t="s">
        <v>2849</v>
      </c>
      <c r="C2126" s="703" t="s">
        <v>390</v>
      </c>
      <c r="D2126" s="703" t="s">
        <v>334</v>
      </c>
      <c r="E2126" s="703" t="s">
        <v>334</v>
      </c>
      <c r="F2126" s="703" t="s">
        <v>335</v>
      </c>
      <c r="G2126" s="703" t="s">
        <v>3516</v>
      </c>
      <c r="H2126" s="703" t="s">
        <v>334</v>
      </c>
      <c r="I2126" s="703" t="s">
        <v>334</v>
      </c>
      <c r="J2126" s="703" t="s">
        <v>337</v>
      </c>
      <c r="K2126" s="704">
        <v>0</v>
      </c>
      <c r="L2126" s="703" t="s">
        <v>334</v>
      </c>
      <c r="M2126" s="702">
        <v>43251</v>
      </c>
      <c r="N2126" s="702">
        <v>44516</v>
      </c>
      <c r="O2126" s="703" t="s">
        <v>338</v>
      </c>
      <c r="P2126" s="20">
        <v>202.3</v>
      </c>
      <c r="Q2126" s="20">
        <v>0</v>
      </c>
      <c r="R2126" s="20">
        <v>0</v>
      </c>
      <c r="S2126" s="20">
        <v>0</v>
      </c>
      <c r="T2126" s="20">
        <v>202.3</v>
      </c>
      <c r="U2126" s="20">
        <v>201.74</v>
      </c>
      <c r="V2126" s="20">
        <v>-0.56000000000000005</v>
      </c>
      <c r="W2126" s="20">
        <v>-7.3</v>
      </c>
      <c r="X2126" s="20">
        <v>-6.74</v>
      </c>
      <c r="Y2126" s="20">
        <v>0</v>
      </c>
      <c r="Z2126" s="20">
        <v>0</v>
      </c>
      <c r="AA2126" s="20">
        <v>0</v>
      </c>
      <c r="AB2126" s="20">
        <v>195</v>
      </c>
      <c r="AC2126" t="s">
        <v>188</v>
      </c>
      <c r="AD2126" t="s">
        <v>290</v>
      </c>
      <c r="AE2126" s="702">
        <f t="shared" si="165"/>
        <v>44348</v>
      </c>
      <c r="AF2126" s="289">
        <v>232.2899996245479</v>
      </c>
      <c r="AG2126">
        <f t="shared" si="166"/>
        <v>360</v>
      </c>
      <c r="AH2126" s="289">
        <f t="shared" si="167"/>
        <v>0.64524999895707746</v>
      </c>
      <c r="AJ2126" s="289">
        <f t="shared" si="168"/>
        <v>18</v>
      </c>
      <c r="AK2126" s="289">
        <f t="shared" si="169"/>
        <v>11.614499981227395</v>
      </c>
    </row>
    <row r="2127" spans="1:37">
      <c r="A2127" s="703" t="s">
        <v>3664</v>
      </c>
      <c r="B2127" s="703" t="s">
        <v>2849</v>
      </c>
      <c r="C2127" s="703" t="s">
        <v>390</v>
      </c>
      <c r="D2127" s="703" t="s">
        <v>334</v>
      </c>
      <c r="E2127" s="703" t="s">
        <v>334</v>
      </c>
      <c r="F2127" s="703" t="s">
        <v>335</v>
      </c>
      <c r="G2127" s="703" t="s">
        <v>3516</v>
      </c>
      <c r="H2127" s="703" t="s">
        <v>334</v>
      </c>
      <c r="I2127" s="703" t="s">
        <v>334</v>
      </c>
      <c r="J2127" s="703" t="s">
        <v>337</v>
      </c>
      <c r="K2127" s="704">
        <v>0</v>
      </c>
      <c r="L2127" s="703" t="s">
        <v>334</v>
      </c>
      <c r="M2127" s="702">
        <v>43251</v>
      </c>
      <c r="N2127" s="702">
        <v>44516</v>
      </c>
      <c r="O2127" s="703" t="s">
        <v>338</v>
      </c>
      <c r="P2127" s="20">
        <v>485.98</v>
      </c>
      <c r="Q2127" s="20">
        <v>0</v>
      </c>
      <c r="R2127" s="20">
        <v>0</v>
      </c>
      <c r="S2127" s="20">
        <v>0</v>
      </c>
      <c r="T2127" s="20">
        <v>485.98</v>
      </c>
      <c r="U2127" s="20">
        <v>484.63</v>
      </c>
      <c r="V2127" s="20">
        <v>-1.35</v>
      </c>
      <c r="W2127" s="20">
        <v>-17.55</v>
      </c>
      <c r="X2127" s="20">
        <v>-16.2</v>
      </c>
      <c r="Y2127" s="20">
        <v>0</v>
      </c>
      <c r="Z2127" s="20">
        <v>0</v>
      </c>
      <c r="AA2127" s="20">
        <v>0</v>
      </c>
      <c r="AB2127" s="20">
        <v>468.43</v>
      </c>
      <c r="AC2127" t="s">
        <v>188</v>
      </c>
      <c r="AD2127" t="s">
        <v>290</v>
      </c>
      <c r="AE2127" s="702">
        <f t="shared" si="165"/>
        <v>44348</v>
      </c>
      <c r="AF2127" s="289">
        <v>558.02419188105671</v>
      </c>
      <c r="AG2127">
        <f t="shared" si="166"/>
        <v>360</v>
      </c>
      <c r="AH2127" s="289">
        <f t="shared" si="167"/>
        <v>1.550067199669602</v>
      </c>
      <c r="AJ2127" s="289">
        <f t="shared" si="168"/>
        <v>18</v>
      </c>
      <c r="AK2127" s="289">
        <f t="shared" si="169"/>
        <v>27.901209594052837</v>
      </c>
    </row>
    <row r="2128" spans="1:37">
      <c r="A2128" s="703" t="s">
        <v>3665</v>
      </c>
      <c r="B2128" s="703" t="s">
        <v>2849</v>
      </c>
      <c r="C2128" s="703" t="s">
        <v>390</v>
      </c>
      <c r="D2128" s="703" t="s">
        <v>334</v>
      </c>
      <c r="E2128" s="703" t="s">
        <v>334</v>
      </c>
      <c r="F2128" s="703" t="s">
        <v>335</v>
      </c>
      <c r="G2128" s="703" t="s">
        <v>3516</v>
      </c>
      <c r="H2128" s="703" t="s">
        <v>334</v>
      </c>
      <c r="I2128" s="703" t="s">
        <v>334</v>
      </c>
      <c r="J2128" s="703" t="s">
        <v>337</v>
      </c>
      <c r="K2128" s="704">
        <v>0</v>
      </c>
      <c r="L2128" s="703" t="s">
        <v>334</v>
      </c>
      <c r="M2128" s="702">
        <v>43251</v>
      </c>
      <c r="N2128" s="702">
        <v>44516</v>
      </c>
      <c r="O2128" s="703" t="s">
        <v>338</v>
      </c>
      <c r="P2128" s="20">
        <v>548.24</v>
      </c>
      <c r="Q2128" s="20">
        <v>0</v>
      </c>
      <c r="R2128" s="20">
        <v>0</v>
      </c>
      <c r="S2128" s="20">
        <v>0</v>
      </c>
      <c r="T2128" s="20">
        <v>548.24</v>
      </c>
      <c r="U2128" s="20">
        <v>546.72</v>
      </c>
      <c r="V2128" s="20">
        <v>-1.52</v>
      </c>
      <c r="W2128" s="20">
        <v>-19.79</v>
      </c>
      <c r="X2128" s="20">
        <v>-18.27</v>
      </c>
      <c r="Y2128" s="20">
        <v>0</v>
      </c>
      <c r="Z2128" s="20">
        <v>0</v>
      </c>
      <c r="AA2128" s="20">
        <v>0</v>
      </c>
      <c r="AB2128" s="20">
        <v>528.45000000000005</v>
      </c>
      <c r="AC2128" t="s">
        <v>188</v>
      </c>
      <c r="AD2128" t="s">
        <v>290</v>
      </c>
      <c r="AE2128" s="702">
        <f t="shared" si="165"/>
        <v>44348</v>
      </c>
      <c r="AF2128" s="289">
        <v>629.51393669877484</v>
      </c>
      <c r="AG2128">
        <f t="shared" si="166"/>
        <v>360</v>
      </c>
      <c r="AH2128" s="289">
        <f t="shared" si="167"/>
        <v>1.7486498241632635</v>
      </c>
      <c r="AJ2128" s="289">
        <f t="shared" si="168"/>
        <v>18</v>
      </c>
      <c r="AK2128" s="289">
        <f t="shared" si="169"/>
        <v>31.475696834938745</v>
      </c>
    </row>
    <row r="2129" spans="1:37">
      <c r="A2129" s="703" t="s">
        <v>3666</v>
      </c>
      <c r="B2129" s="703" t="s">
        <v>2849</v>
      </c>
      <c r="C2129" s="703" t="s">
        <v>390</v>
      </c>
      <c r="D2129" s="703" t="s">
        <v>334</v>
      </c>
      <c r="E2129" s="703" t="s">
        <v>334</v>
      </c>
      <c r="F2129" s="703" t="s">
        <v>335</v>
      </c>
      <c r="G2129" s="703" t="s">
        <v>3516</v>
      </c>
      <c r="H2129" s="703" t="s">
        <v>334</v>
      </c>
      <c r="I2129" s="703" t="s">
        <v>334</v>
      </c>
      <c r="J2129" s="703" t="s">
        <v>337</v>
      </c>
      <c r="K2129" s="704">
        <v>0</v>
      </c>
      <c r="L2129" s="703" t="s">
        <v>334</v>
      </c>
      <c r="M2129" s="702">
        <v>43251</v>
      </c>
      <c r="N2129" s="702">
        <v>44516</v>
      </c>
      <c r="O2129" s="703" t="s">
        <v>338</v>
      </c>
      <c r="P2129" s="20">
        <v>125.94</v>
      </c>
      <c r="Q2129" s="20">
        <v>0</v>
      </c>
      <c r="R2129" s="20">
        <v>0</v>
      </c>
      <c r="S2129" s="20">
        <v>0</v>
      </c>
      <c r="T2129" s="20">
        <v>125.94</v>
      </c>
      <c r="U2129" s="20">
        <v>125.59</v>
      </c>
      <c r="V2129" s="20">
        <v>-0.35</v>
      </c>
      <c r="W2129" s="20">
        <v>-4.55</v>
      </c>
      <c r="X2129" s="20">
        <v>-4.2</v>
      </c>
      <c r="Y2129" s="20">
        <v>0</v>
      </c>
      <c r="Z2129" s="20">
        <v>0</v>
      </c>
      <c r="AA2129" s="20">
        <v>0</v>
      </c>
      <c r="AB2129" s="20">
        <v>121.39</v>
      </c>
      <c r="AC2129" t="s">
        <v>188</v>
      </c>
      <c r="AD2129" t="s">
        <v>290</v>
      </c>
      <c r="AE2129" s="702">
        <f t="shared" si="165"/>
        <v>44348</v>
      </c>
      <c r="AF2129" s="289">
        <v>144.60999778900424</v>
      </c>
      <c r="AG2129">
        <f t="shared" si="166"/>
        <v>360</v>
      </c>
      <c r="AH2129" s="289">
        <f t="shared" si="167"/>
        <v>0.40169443830278956</v>
      </c>
      <c r="AJ2129" s="289">
        <f t="shared" si="168"/>
        <v>18</v>
      </c>
      <c r="AK2129" s="289">
        <f t="shared" si="169"/>
        <v>7.2304998894502122</v>
      </c>
    </row>
    <row r="2130" spans="1:37">
      <c r="A2130" s="703" t="s">
        <v>3667</v>
      </c>
      <c r="B2130" s="703" t="s">
        <v>2849</v>
      </c>
      <c r="C2130" s="703" t="s">
        <v>390</v>
      </c>
      <c r="D2130" s="703" t="s">
        <v>334</v>
      </c>
      <c r="E2130" s="703" t="s">
        <v>334</v>
      </c>
      <c r="F2130" s="703" t="s">
        <v>335</v>
      </c>
      <c r="G2130" s="703" t="s">
        <v>3516</v>
      </c>
      <c r="H2130" s="703" t="s">
        <v>334</v>
      </c>
      <c r="I2130" s="703" t="s">
        <v>334</v>
      </c>
      <c r="J2130" s="703" t="s">
        <v>337</v>
      </c>
      <c r="K2130" s="704">
        <v>0</v>
      </c>
      <c r="L2130" s="703" t="s">
        <v>334</v>
      </c>
      <c r="M2130" s="702">
        <v>43251</v>
      </c>
      <c r="N2130" s="702">
        <v>44516</v>
      </c>
      <c r="O2130" s="703" t="s">
        <v>338</v>
      </c>
      <c r="P2130" s="20">
        <v>393.01</v>
      </c>
      <c r="Q2130" s="20">
        <v>0</v>
      </c>
      <c r="R2130" s="20">
        <v>0</v>
      </c>
      <c r="S2130" s="20">
        <v>0</v>
      </c>
      <c r="T2130" s="20">
        <v>393.01</v>
      </c>
      <c r="U2130" s="20">
        <v>391.92</v>
      </c>
      <c r="V2130" s="20">
        <v>-1.0900000000000001</v>
      </c>
      <c r="W2130" s="20">
        <v>-14.19</v>
      </c>
      <c r="X2130" s="20">
        <v>-13.1</v>
      </c>
      <c r="Y2130" s="20">
        <v>0</v>
      </c>
      <c r="Z2130" s="20">
        <v>0</v>
      </c>
      <c r="AA2130" s="20">
        <v>0</v>
      </c>
      <c r="AB2130" s="20">
        <v>378.82</v>
      </c>
      <c r="AC2130" t="s">
        <v>188</v>
      </c>
      <c r="AD2130" t="s">
        <v>290</v>
      </c>
      <c r="AE2130" s="702">
        <f t="shared" si="165"/>
        <v>44348</v>
      </c>
      <c r="AF2130" s="289">
        <v>451.2718376294788</v>
      </c>
      <c r="AG2130">
        <f t="shared" si="166"/>
        <v>360</v>
      </c>
      <c r="AH2130" s="289">
        <f t="shared" si="167"/>
        <v>1.2535328823041079</v>
      </c>
      <c r="AJ2130" s="289">
        <f t="shared" si="168"/>
        <v>18</v>
      </c>
      <c r="AK2130" s="289">
        <f t="shared" si="169"/>
        <v>22.56359188147394</v>
      </c>
    </row>
    <row r="2131" spans="1:37">
      <c r="A2131" s="703" t="s">
        <v>3668</v>
      </c>
      <c r="B2131" s="703" t="s">
        <v>2849</v>
      </c>
      <c r="C2131" s="703" t="s">
        <v>390</v>
      </c>
      <c r="D2131" s="703" t="s">
        <v>334</v>
      </c>
      <c r="E2131" s="703" t="s">
        <v>334</v>
      </c>
      <c r="F2131" s="703" t="s">
        <v>335</v>
      </c>
      <c r="G2131" s="703" t="s">
        <v>3429</v>
      </c>
      <c r="H2131" s="703" t="s">
        <v>334</v>
      </c>
      <c r="I2131" s="703" t="s">
        <v>334</v>
      </c>
      <c r="J2131" s="703" t="s">
        <v>337</v>
      </c>
      <c r="K2131" s="704">
        <v>0</v>
      </c>
      <c r="L2131" s="703" t="s">
        <v>334</v>
      </c>
      <c r="M2131" s="702">
        <v>43251</v>
      </c>
      <c r="N2131" s="702">
        <v>44516</v>
      </c>
      <c r="O2131" s="703" t="s">
        <v>338</v>
      </c>
      <c r="P2131" s="20">
        <v>485.98</v>
      </c>
      <c r="Q2131" s="20">
        <v>0</v>
      </c>
      <c r="R2131" s="20">
        <v>0</v>
      </c>
      <c r="S2131" s="20">
        <v>0</v>
      </c>
      <c r="T2131" s="20">
        <v>485.98</v>
      </c>
      <c r="U2131" s="20">
        <v>484.63</v>
      </c>
      <c r="V2131" s="20">
        <v>-1.35</v>
      </c>
      <c r="W2131" s="20">
        <v>-17.55</v>
      </c>
      <c r="X2131" s="20">
        <v>-16.2</v>
      </c>
      <c r="Y2131" s="20">
        <v>0</v>
      </c>
      <c r="Z2131" s="20">
        <v>0</v>
      </c>
      <c r="AA2131" s="20">
        <v>0</v>
      </c>
      <c r="AB2131" s="20">
        <v>468.43</v>
      </c>
      <c r="AC2131" t="s">
        <v>188</v>
      </c>
      <c r="AD2131" t="s">
        <v>290</v>
      </c>
      <c r="AE2131" s="702">
        <f t="shared" si="165"/>
        <v>44348</v>
      </c>
      <c r="AF2131" s="289">
        <v>558.02419188105671</v>
      </c>
      <c r="AG2131">
        <f t="shared" si="166"/>
        <v>360</v>
      </c>
      <c r="AH2131" s="289">
        <f t="shared" si="167"/>
        <v>1.550067199669602</v>
      </c>
      <c r="AJ2131" s="289">
        <f t="shared" si="168"/>
        <v>18</v>
      </c>
      <c r="AK2131" s="289">
        <f t="shared" si="169"/>
        <v>27.901209594052837</v>
      </c>
    </row>
    <row r="2132" spans="1:37">
      <c r="A2132" s="703" t="s">
        <v>3669</v>
      </c>
      <c r="B2132" s="703" t="s">
        <v>2849</v>
      </c>
      <c r="C2132" s="703" t="s">
        <v>390</v>
      </c>
      <c r="D2132" s="703" t="s">
        <v>334</v>
      </c>
      <c r="E2132" s="703" t="s">
        <v>334</v>
      </c>
      <c r="F2132" s="703" t="s">
        <v>335</v>
      </c>
      <c r="G2132" s="703" t="s">
        <v>3429</v>
      </c>
      <c r="H2132" s="703" t="s">
        <v>334</v>
      </c>
      <c r="I2132" s="703" t="s">
        <v>334</v>
      </c>
      <c r="J2132" s="703" t="s">
        <v>337</v>
      </c>
      <c r="K2132" s="704">
        <v>0</v>
      </c>
      <c r="L2132" s="703" t="s">
        <v>334</v>
      </c>
      <c r="M2132" s="702">
        <v>43251</v>
      </c>
      <c r="N2132" s="702">
        <v>44516</v>
      </c>
      <c r="O2132" s="703" t="s">
        <v>338</v>
      </c>
      <c r="P2132" s="20">
        <v>9.49</v>
      </c>
      <c r="Q2132" s="20">
        <v>0</v>
      </c>
      <c r="R2132" s="20">
        <v>0</v>
      </c>
      <c r="S2132" s="20">
        <v>0</v>
      </c>
      <c r="T2132" s="20">
        <v>9.49</v>
      </c>
      <c r="U2132" s="20">
        <v>9.4600000000000009</v>
      </c>
      <c r="V2132" s="20">
        <v>-0.03</v>
      </c>
      <c r="W2132" s="20">
        <v>-0.35</v>
      </c>
      <c r="X2132" s="20">
        <v>-0.32</v>
      </c>
      <c r="Y2132" s="20">
        <v>0</v>
      </c>
      <c r="Z2132" s="20">
        <v>0</v>
      </c>
      <c r="AA2132" s="20">
        <v>0</v>
      </c>
      <c r="AB2132" s="20">
        <v>9.14</v>
      </c>
      <c r="AC2132" t="s">
        <v>188</v>
      </c>
      <c r="AD2132" t="s">
        <v>290</v>
      </c>
      <c r="AE2132" s="702">
        <f t="shared" si="165"/>
        <v>44348</v>
      </c>
      <c r="AF2132" s="289">
        <v>10.89684674462165</v>
      </c>
      <c r="AG2132">
        <f t="shared" si="166"/>
        <v>360</v>
      </c>
      <c r="AH2132" s="289">
        <f t="shared" si="167"/>
        <v>3.0269018735060139E-2</v>
      </c>
      <c r="AJ2132" s="289">
        <f t="shared" si="168"/>
        <v>18</v>
      </c>
      <c r="AK2132" s="289">
        <f t="shared" si="169"/>
        <v>0.54484233723108255</v>
      </c>
    </row>
    <row r="2133" spans="1:37">
      <c r="A2133" s="703" t="s">
        <v>3670</v>
      </c>
      <c r="B2133" s="703" t="s">
        <v>2849</v>
      </c>
      <c r="C2133" s="703" t="s">
        <v>390</v>
      </c>
      <c r="D2133" s="703" t="s">
        <v>334</v>
      </c>
      <c r="E2133" s="703" t="s">
        <v>334</v>
      </c>
      <c r="F2133" s="703" t="s">
        <v>335</v>
      </c>
      <c r="G2133" s="703" t="s">
        <v>3429</v>
      </c>
      <c r="H2133" s="703" t="s">
        <v>334</v>
      </c>
      <c r="I2133" s="703" t="s">
        <v>334</v>
      </c>
      <c r="J2133" s="703" t="s">
        <v>337</v>
      </c>
      <c r="K2133" s="704">
        <v>0</v>
      </c>
      <c r="L2133" s="703" t="s">
        <v>334</v>
      </c>
      <c r="M2133" s="702">
        <v>43251</v>
      </c>
      <c r="N2133" s="702">
        <v>44516</v>
      </c>
      <c r="O2133" s="703" t="s">
        <v>338</v>
      </c>
      <c r="P2133" s="20">
        <v>29.37</v>
      </c>
      <c r="Q2133" s="20">
        <v>0</v>
      </c>
      <c r="R2133" s="20">
        <v>0</v>
      </c>
      <c r="S2133" s="20">
        <v>0</v>
      </c>
      <c r="T2133" s="20">
        <v>29.37</v>
      </c>
      <c r="U2133" s="20">
        <v>29.29</v>
      </c>
      <c r="V2133" s="20">
        <v>-0.08</v>
      </c>
      <c r="W2133" s="20">
        <v>-1.06</v>
      </c>
      <c r="X2133" s="20">
        <v>-0.98</v>
      </c>
      <c r="Y2133" s="20">
        <v>0</v>
      </c>
      <c r="Z2133" s="20">
        <v>0</v>
      </c>
      <c r="AA2133" s="20">
        <v>0</v>
      </c>
      <c r="AB2133" s="20">
        <v>28.31</v>
      </c>
      <c r="AC2133" t="s">
        <v>188</v>
      </c>
      <c r="AD2133" t="s">
        <v>290</v>
      </c>
      <c r="AE2133" s="702">
        <f t="shared" si="165"/>
        <v>44348</v>
      </c>
      <c r="AF2133" s="289">
        <v>33.723960894577225</v>
      </c>
      <c r="AG2133">
        <f t="shared" si="166"/>
        <v>360</v>
      </c>
      <c r="AH2133" s="289">
        <f t="shared" si="167"/>
        <v>9.3677669151603402E-2</v>
      </c>
      <c r="AJ2133" s="289">
        <f t="shared" si="168"/>
        <v>18</v>
      </c>
      <c r="AK2133" s="289">
        <f t="shared" si="169"/>
        <v>1.6861980447288611</v>
      </c>
    </row>
    <row r="2134" spans="1:37">
      <c r="A2134" s="703" t="s">
        <v>3671</v>
      </c>
      <c r="B2134" s="703" t="s">
        <v>2849</v>
      </c>
      <c r="C2134" s="703" t="s">
        <v>390</v>
      </c>
      <c r="D2134" s="703" t="s">
        <v>334</v>
      </c>
      <c r="E2134" s="703" t="s">
        <v>334</v>
      </c>
      <c r="F2134" s="703" t="s">
        <v>335</v>
      </c>
      <c r="G2134" s="703" t="s">
        <v>3429</v>
      </c>
      <c r="H2134" s="703" t="s">
        <v>334</v>
      </c>
      <c r="I2134" s="703" t="s">
        <v>334</v>
      </c>
      <c r="J2134" s="703" t="s">
        <v>337</v>
      </c>
      <c r="K2134" s="704">
        <v>0</v>
      </c>
      <c r="L2134" s="703" t="s">
        <v>334</v>
      </c>
      <c r="M2134" s="702">
        <v>43251</v>
      </c>
      <c r="N2134" s="702">
        <v>44516</v>
      </c>
      <c r="O2134" s="703" t="s">
        <v>338</v>
      </c>
      <c r="P2134" s="20">
        <v>5.23</v>
      </c>
      <c r="Q2134" s="20">
        <v>0</v>
      </c>
      <c r="R2134" s="20">
        <v>0</v>
      </c>
      <c r="S2134" s="20">
        <v>0</v>
      </c>
      <c r="T2134" s="20">
        <v>5.23</v>
      </c>
      <c r="U2134" s="20">
        <v>5.22</v>
      </c>
      <c r="V2134" s="20">
        <v>-0.01</v>
      </c>
      <c r="W2134" s="20">
        <v>-0.18</v>
      </c>
      <c r="X2134" s="20">
        <v>-0.17</v>
      </c>
      <c r="Y2134" s="20">
        <v>0</v>
      </c>
      <c r="Z2134" s="20">
        <v>0</v>
      </c>
      <c r="AA2134" s="20">
        <v>0</v>
      </c>
      <c r="AB2134" s="20">
        <v>5.05</v>
      </c>
      <c r="AC2134" t="s">
        <v>188</v>
      </c>
      <c r="AD2134" t="s">
        <v>290</v>
      </c>
      <c r="AE2134" s="702">
        <f t="shared" si="165"/>
        <v>44348</v>
      </c>
      <c r="AF2134" s="289">
        <v>6.0053222839168834</v>
      </c>
      <c r="AG2134">
        <f t="shared" si="166"/>
        <v>360</v>
      </c>
      <c r="AH2134" s="289">
        <f t="shared" si="167"/>
        <v>1.6681450788658011E-2</v>
      </c>
      <c r="AJ2134" s="289">
        <f t="shared" si="168"/>
        <v>18</v>
      </c>
      <c r="AK2134" s="289">
        <f t="shared" si="169"/>
        <v>0.3002661141958442</v>
      </c>
    </row>
    <row r="2135" spans="1:37">
      <c r="A2135" s="703" t="s">
        <v>3672</v>
      </c>
      <c r="B2135" s="703" t="s">
        <v>2849</v>
      </c>
      <c r="C2135" s="703" t="s">
        <v>390</v>
      </c>
      <c r="D2135" s="703" t="s">
        <v>334</v>
      </c>
      <c r="E2135" s="703" t="s">
        <v>334</v>
      </c>
      <c r="F2135" s="703" t="s">
        <v>335</v>
      </c>
      <c r="G2135" s="703" t="s">
        <v>3429</v>
      </c>
      <c r="H2135" s="703" t="s">
        <v>334</v>
      </c>
      <c r="I2135" s="703" t="s">
        <v>334</v>
      </c>
      <c r="J2135" s="703" t="s">
        <v>337</v>
      </c>
      <c r="K2135" s="704">
        <v>0</v>
      </c>
      <c r="L2135" s="703" t="s">
        <v>334</v>
      </c>
      <c r="M2135" s="702">
        <v>43251</v>
      </c>
      <c r="N2135" s="702">
        <v>44516</v>
      </c>
      <c r="O2135" s="703" t="s">
        <v>338</v>
      </c>
      <c r="P2135" s="20">
        <v>37.049999999999997</v>
      </c>
      <c r="Q2135" s="20">
        <v>0</v>
      </c>
      <c r="R2135" s="20">
        <v>0</v>
      </c>
      <c r="S2135" s="20">
        <v>0</v>
      </c>
      <c r="T2135" s="20">
        <v>37.049999999999997</v>
      </c>
      <c r="U2135" s="20">
        <v>36.950000000000003</v>
      </c>
      <c r="V2135" s="20">
        <v>-0.1</v>
      </c>
      <c r="W2135" s="20">
        <v>-1.34</v>
      </c>
      <c r="X2135" s="20">
        <v>-1.24</v>
      </c>
      <c r="Y2135" s="20">
        <v>0</v>
      </c>
      <c r="Z2135" s="20">
        <v>0</v>
      </c>
      <c r="AA2135" s="20">
        <v>0</v>
      </c>
      <c r="AB2135" s="20">
        <v>35.71</v>
      </c>
      <c r="AC2135" t="s">
        <v>188</v>
      </c>
      <c r="AD2135" t="s">
        <v>290</v>
      </c>
      <c r="AE2135" s="702">
        <f t="shared" si="165"/>
        <v>44348</v>
      </c>
      <c r="AF2135" s="289">
        <v>42.542483865988629</v>
      </c>
      <c r="AG2135">
        <f t="shared" si="166"/>
        <v>360</v>
      </c>
      <c r="AH2135" s="289">
        <f t="shared" si="167"/>
        <v>0.11817356629441286</v>
      </c>
      <c r="AJ2135" s="289">
        <f t="shared" si="168"/>
        <v>18</v>
      </c>
      <c r="AK2135" s="289">
        <f t="shared" si="169"/>
        <v>2.1271241932994314</v>
      </c>
    </row>
    <row r="2136" spans="1:37">
      <c r="A2136" s="703" t="s">
        <v>3673</v>
      </c>
      <c r="B2136" s="703" t="s">
        <v>2849</v>
      </c>
      <c r="C2136" s="703" t="s">
        <v>390</v>
      </c>
      <c r="D2136" s="703" t="s">
        <v>334</v>
      </c>
      <c r="E2136" s="703" t="s">
        <v>334</v>
      </c>
      <c r="F2136" s="703" t="s">
        <v>335</v>
      </c>
      <c r="G2136" s="703" t="s">
        <v>3429</v>
      </c>
      <c r="H2136" s="703" t="s">
        <v>334</v>
      </c>
      <c r="I2136" s="703" t="s">
        <v>334</v>
      </c>
      <c r="J2136" s="703" t="s">
        <v>337</v>
      </c>
      <c r="K2136" s="704">
        <v>0</v>
      </c>
      <c r="L2136" s="703" t="s">
        <v>334</v>
      </c>
      <c r="M2136" s="702">
        <v>43251</v>
      </c>
      <c r="N2136" s="702">
        <v>44516</v>
      </c>
      <c r="O2136" s="703" t="s">
        <v>338</v>
      </c>
      <c r="P2136" s="20">
        <v>151.63999999999999</v>
      </c>
      <c r="Q2136" s="20">
        <v>0</v>
      </c>
      <c r="R2136" s="20">
        <v>0</v>
      </c>
      <c r="S2136" s="20">
        <v>0</v>
      </c>
      <c r="T2136" s="20">
        <v>151.63999999999999</v>
      </c>
      <c r="U2136" s="20">
        <v>151.22</v>
      </c>
      <c r="V2136" s="20">
        <v>-0.42</v>
      </c>
      <c r="W2136" s="20">
        <v>-5.47</v>
      </c>
      <c r="X2136" s="20">
        <v>-5.05</v>
      </c>
      <c r="Y2136" s="20">
        <v>0</v>
      </c>
      <c r="Z2136" s="20">
        <v>0</v>
      </c>
      <c r="AA2136" s="20">
        <v>0</v>
      </c>
      <c r="AB2136" s="20">
        <v>146.16999999999999</v>
      </c>
      <c r="AC2136" t="s">
        <v>188</v>
      </c>
      <c r="AD2136" t="s">
        <v>290</v>
      </c>
      <c r="AE2136" s="702">
        <f t="shared" si="165"/>
        <v>44348</v>
      </c>
      <c r="AF2136" s="289">
        <v>174.11989887823253</v>
      </c>
      <c r="AG2136">
        <f t="shared" si="166"/>
        <v>360</v>
      </c>
      <c r="AH2136" s="289">
        <f t="shared" si="167"/>
        <v>0.48366638577286813</v>
      </c>
      <c r="AJ2136" s="289">
        <f t="shared" si="168"/>
        <v>18</v>
      </c>
      <c r="AK2136" s="289">
        <f t="shared" si="169"/>
        <v>8.7059949439116266</v>
      </c>
    </row>
    <row r="2137" spans="1:37">
      <c r="A2137" s="703" t="s">
        <v>3674</v>
      </c>
      <c r="B2137" s="703" t="s">
        <v>2849</v>
      </c>
      <c r="C2137" s="703" t="s">
        <v>390</v>
      </c>
      <c r="D2137" s="703" t="s">
        <v>334</v>
      </c>
      <c r="E2137" s="703" t="s">
        <v>334</v>
      </c>
      <c r="F2137" s="703" t="s">
        <v>335</v>
      </c>
      <c r="G2137" s="703" t="s">
        <v>3429</v>
      </c>
      <c r="H2137" s="703" t="s">
        <v>334</v>
      </c>
      <c r="I2137" s="703" t="s">
        <v>334</v>
      </c>
      <c r="J2137" s="703" t="s">
        <v>337</v>
      </c>
      <c r="K2137" s="704">
        <v>0</v>
      </c>
      <c r="L2137" s="703" t="s">
        <v>334</v>
      </c>
      <c r="M2137" s="702">
        <v>43251</v>
      </c>
      <c r="N2137" s="702">
        <v>44516</v>
      </c>
      <c r="O2137" s="703" t="s">
        <v>338</v>
      </c>
      <c r="P2137" s="20">
        <v>32.299999999999997</v>
      </c>
      <c r="Q2137" s="20">
        <v>0</v>
      </c>
      <c r="R2137" s="20">
        <v>0</v>
      </c>
      <c r="S2137" s="20">
        <v>0</v>
      </c>
      <c r="T2137" s="20">
        <v>32.299999999999997</v>
      </c>
      <c r="U2137" s="20">
        <v>32.21</v>
      </c>
      <c r="V2137" s="20">
        <v>-0.09</v>
      </c>
      <c r="W2137" s="20">
        <v>-1.17</v>
      </c>
      <c r="X2137" s="20">
        <v>-1.08</v>
      </c>
      <c r="Y2137" s="20">
        <v>0</v>
      </c>
      <c r="Z2137" s="20">
        <v>0</v>
      </c>
      <c r="AA2137" s="20">
        <v>0</v>
      </c>
      <c r="AB2137" s="20">
        <v>31.13</v>
      </c>
      <c r="AC2137" t="s">
        <v>188</v>
      </c>
      <c r="AD2137" t="s">
        <v>290</v>
      </c>
      <c r="AE2137" s="702">
        <f t="shared" si="165"/>
        <v>44348</v>
      </c>
      <c r="AF2137" s="289">
        <v>37.088319267784954</v>
      </c>
      <c r="AG2137">
        <f t="shared" si="166"/>
        <v>360</v>
      </c>
      <c r="AH2137" s="289">
        <f t="shared" si="167"/>
        <v>0.10302310907718043</v>
      </c>
      <c r="AJ2137" s="289">
        <f t="shared" si="168"/>
        <v>18</v>
      </c>
      <c r="AK2137" s="289">
        <f t="shared" si="169"/>
        <v>1.8544159633892479</v>
      </c>
    </row>
    <row r="2138" spans="1:37">
      <c r="A2138" s="703" t="s">
        <v>3675</v>
      </c>
      <c r="B2138" s="703" t="s">
        <v>2849</v>
      </c>
      <c r="C2138" s="703" t="s">
        <v>390</v>
      </c>
      <c r="D2138" s="703" t="s">
        <v>334</v>
      </c>
      <c r="E2138" s="703" t="s">
        <v>334</v>
      </c>
      <c r="F2138" s="703" t="s">
        <v>335</v>
      </c>
      <c r="G2138" s="703" t="s">
        <v>3429</v>
      </c>
      <c r="H2138" s="703" t="s">
        <v>334</v>
      </c>
      <c r="I2138" s="703" t="s">
        <v>334</v>
      </c>
      <c r="J2138" s="703" t="s">
        <v>337</v>
      </c>
      <c r="K2138" s="704">
        <v>0</v>
      </c>
      <c r="L2138" s="703" t="s">
        <v>334</v>
      </c>
      <c r="M2138" s="702">
        <v>43251</v>
      </c>
      <c r="N2138" s="702">
        <v>44516</v>
      </c>
      <c r="O2138" s="703" t="s">
        <v>338</v>
      </c>
      <c r="P2138" s="20">
        <v>87.22</v>
      </c>
      <c r="Q2138" s="20">
        <v>0</v>
      </c>
      <c r="R2138" s="20">
        <v>0</v>
      </c>
      <c r="S2138" s="20">
        <v>0</v>
      </c>
      <c r="T2138" s="20">
        <v>87.22</v>
      </c>
      <c r="U2138" s="20">
        <v>86.98</v>
      </c>
      <c r="V2138" s="20">
        <v>-0.24</v>
      </c>
      <c r="W2138" s="20">
        <v>-3.15</v>
      </c>
      <c r="X2138" s="20">
        <v>-2.91</v>
      </c>
      <c r="Y2138" s="20">
        <v>0</v>
      </c>
      <c r="Z2138" s="20">
        <v>0</v>
      </c>
      <c r="AA2138" s="20">
        <v>0</v>
      </c>
      <c r="AB2138" s="20">
        <v>84.07</v>
      </c>
      <c r="AC2138" t="s">
        <v>188</v>
      </c>
      <c r="AD2138" t="s">
        <v>290</v>
      </c>
      <c r="AE2138" s="702">
        <f t="shared" si="165"/>
        <v>44348</v>
      </c>
      <c r="AF2138" s="289">
        <v>100.14994447480507</v>
      </c>
      <c r="AG2138">
        <f t="shared" si="166"/>
        <v>360</v>
      </c>
      <c r="AH2138" s="289">
        <f t="shared" si="167"/>
        <v>0.27819429020779185</v>
      </c>
      <c r="AJ2138" s="289">
        <f t="shared" si="168"/>
        <v>18</v>
      </c>
      <c r="AK2138" s="289">
        <f t="shared" si="169"/>
        <v>5.0074972237402537</v>
      </c>
    </row>
    <row r="2139" spans="1:37">
      <c r="A2139" s="703" t="s">
        <v>3676</v>
      </c>
      <c r="B2139" s="703" t="s">
        <v>2849</v>
      </c>
      <c r="C2139" s="703" t="s">
        <v>390</v>
      </c>
      <c r="D2139" s="703" t="s">
        <v>334</v>
      </c>
      <c r="E2139" s="703" t="s">
        <v>334</v>
      </c>
      <c r="F2139" s="703" t="s">
        <v>335</v>
      </c>
      <c r="G2139" s="703" t="s">
        <v>3429</v>
      </c>
      <c r="H2139" s="703" t="s">
        <v>334</v>
      </c>
      <c r="I2139" s="703" t="s">
        <v>334</v>
      </c>
      <c r="J2139" s="703" t="s">
        <v>337</v>
      </c>
      <c r="K2139" s="704">
        <v>0</v>
      </c>
      <c r="L2139" s="703" t="s">
        <v>334</v>
      </c>
      <c r="M2139" s="702">
        <v>43251</v>
      </c>
      <c r="N2139" s="702">
        <v>44516</v>
      </c>
      <c r="O2139" s="703" t="s">
        <v>338</v>
      </c>
      <c r="P2139" s="20">
        <v>520.49</v>
      </c>
      <c r="Q2139" s="20">
        <v>0</v>
      </c>
      <c r="R2139" s="20">
        <v>0</v>
      </c>
      <c r="S2139" s="20">
        <v>0</v>
      </c>
      <c r="T2139" s="20">
        <v>520.49</v>
      </c>
      <c r="U2139" s="20">
        <v>519.04</v>
      </c>
      <c r="V2139" s="20">
        <v>-1.45</v>
      </c>
      <c r="W2139" s="20">
        <v>-18.8</v>
      </c>
      <c r="X2139" s="20">
        <v>-17.350000000000001</v>
      </c>
      <c r="Y2139" s="20">
        <v>0</v>
      </c>
      <c r="Z2139" s="20">
        <v>0</v>
      </c>
      <c r="AA2139" s="20">
        <v>0</v>
      </c>
      <c r="AB2139" s="20">
        <v>501.69</v>
      </c>
      <c r="AC2139" t="s">
        <v>188</v>
      </c>
      <c r="AD2139" t="s">
        <v>290</v>
      </c>
      <c r="AE2139" s="702">
        <f t="shared" si="165"/>
        <v>44348</v>
      </c>
      <c r="AF2139" s="289">
        <v>597.6501329934797</v>
      </c>
      <c r="AG2139">
        <f t="shared" si="166"/>
        <v>360</v>
      </c>
      <c r="AH2139" s="289">
        <f t="shared" si="167"/>
        <v>1.6601392583152215</v>
      </c>
      <c r="AJ2139" s="289">
        <f t="shared" si="168"/>
        <v>18</v>
      </c>
      <c r="AK2139" s="289">
        <f t="shared" si="169"/>
        <v>29.882506649673985</v>
      </c>
    </row>
    <row r="2140" spans="1:37">
      <c r="A2140" s="703" t="s">
        <v>3677</v>
      </c>
      <c r="B2140" s="703" t="s">
        <v>2849</v>
      </c>
      <c r="C2140" s="703" t="s">
        <v>390</v>
      </c>
      <c r="D2140" s="703" t="s">
        <v>334</v>
      </c>
      <c r="E2140" s="703" t="s">
        <v>334</v>
      </c>
      <c r="F2140" s="703" t="s">
        <v>335</v>
      </c>
      <c r="G2140" s="703" t="s">
        <v>3429</v>
      </c>
      <c r="H2140" s="703" t="s">
        <v>334</v>
      </c>
      <c r="I2140" s="703" t="s">
        <v>334</v>
      </c>
      <c r="J2140" s="703" t="s">
        <v>337</v>
      </c>
      <c r="K2140" s="704">
        <v>0</v>
      </c>
      <c r="L2140" s="703" t="s">
        <v>334</v>
      </c>
      <c r="M2140" s="702">
        <v>43251</v>
      </c>
      <c r="N2140" s="702">
        <v>44516</v>
      </c>
      <c r="O2140" s="703" t="s">
        <v>338</v>
      </c>
      <c r="P2140" s="20">
        <v>95.65</v>
      </c>
      <c r="Q2140" s="20">
        <v>0</v>
      </c>
      <c r="R2140" s="20">
        <v>0</v>
      </c>
      <c r="S2140" s="20">
        <v>0</v>
      </c>
      <c r="T2140" s="20">
        <v>95.65</v>
      </c>
      <c r="U2140" s="20">
        <v>95.38</v>
      </c>
      <c r="V2140" s="20">
        <v>-0.27</v>
      </c>
      <c r="W2140" s="20">
        <v>-3.46</v>
      </c>
      <c r="X2140" s="20">
        <v>-3.19</v>
      </c>
      <c r="Y2140" s="20">
        <v>0</v>
      </c>
      <c r="Z2140" s="20">
        <v>0</v>
      </c>
      <c r="AA2140" s="20">
        <v>0</v>
      </c>
      <c r="AB2140" s="20">
        <v>92.19</v>
      </c>
      <c r="AC2140" t="s">
        <v>188</v>
      </c>
      <c r="AD2140" t="s">
        <v>290</v>
      </c>
      <c r="AE2140" s="702">
        <f t="shared" si="165"/>
        <v>44348</v>
      </c>
      <c r="AF2140" s="289">
        <v>109.82965133014339</v>
      </c>
      <c r="AG2140">
        <f t="shared" si="166"/>
        <v>360</v>
      </c>
      <c r="AH2140" s="289">
        <f t="shared" si="167"/>
        <v>0.30508236480595385</v>
      </c>
      <c r="AJ2140" s="289">
        <f t="shared" si="168"/>
        <v>18</v>
      </c>
      <c r="AK2140" s="289">
        <f t="shared" si="169"/>
        <v>5.4914825665071696</v>
      </c>
    </row>
    <row r="2141" spans="1:37">
      <c r="A2141" s="703" t="s">
        <v>3678</v>
      </c>
      <c r="B2141" s="703" t="s">
        <v>2849</v>
      </c>
      <c r="C2141" s="703" t="s">
        <v>390</v>
      </c>
      <c r="D2141" s="703" t="s">
        <v>334</v>
      </c>
      <c r="E2141" s="703" t="s">
        <v>334</v>
      </c>
      <c r="F2141" s="703" t="s">
        <v>335</v>
      </c>
      <c r="G2141" s="703" t="s">
        <v>3429</v>
      </c>
      <c r="H2141" s="703" t="s">
        <v>334</v>
      </c>
      <c r="I2141" s="703" t="s">
        <v>334</v>
      </c>
      <c r="J2141" s="703" t="s">
        <v>337</v>
      </c>
      <c r="K2141" s="704">
        <v>0</v>
      </c>
      <c r="L2141" s="703" t="s">
        <v>334</v>
      </c>
      <c r="M2141" s="702">
        <v>43251</v>
      </c>
      <c r="N2141" s="702">
        <v>44516</v>
      </c>
      <c r="O2141" s="703" t="s">
        <v>338</v>
      </c>
      <c r="P2141" s="20">
        <v>250.89</v>
      </c>
      <c r="Q2141" s="20">
        <v>0</v>
      </c>
      <c r="R2141" s="20">
        <v>0</v>
      </c>
      <c r="S2141" s="20">
        <v>0</v>
      </c>
      <c r="T2141" s="20">
        <v>250.89</v>
      </c>
      <c r="U2141" s="20">
        <v>250.19</v>
      </c>
      <c r="V2141" s="20">
        <v>-0.7</v>
      </c>
      <c r="W2141" s="20">
        <v>-9.06</v>
      </c>
      <c r="X2141" s="20">
        <v>-8.36</v>
      </c>
      <c r="Y2141" s="20">
        <v>0</v>
      </c>
      <c r="Z2141" s="20">
        <v>0</v>
      </c>
      <c r="AA2141" s="20">
        <v>0</v>
      </c>
      <c r="AB2141" s="20">
        <v>241.83</v>
      </c>
      <c r="AC2141" t="s">
        <v>188</v>
      </c>
      <c r="AD2141" t="s">
        <v>290</v>
      </c>
      <c r="AE2141" s="702">
        <f t="shared" si="165"/>
        <v>44348</v>
      </c>
      <c r="AF2141" s="289">
        <v>288.08323285122503</v>
      </c>
      <c r="AG2141">
        <f t="shared" si="166"/>
        <v>360</v>
      </c>
      <c r="AH2141" s="289">
        <f t="shared" si="167"/>
        <v>0.80023120236451395</v>
      </c>
      <c r="AJ2141" s="289">
        <f t="shared" si="168"/>
        <v>18</v>
      </c>
      <c r="AK2141" s="289">
        <f t="shared" si="169"/>
        <v>14.404161642561251</v>
      </c>
    </row>
    <row r="2142" spans="1:37">
      <c r="A2142" s="703" t="s">
        <v>3679</v>
      </c>
      <c r="B2142" s="703" t="s">
        <v>2849</v>
      </c>
      <c r="C2142" s="703" t="s">
        <v>390</v>
      </c>
      <c r="D2142" s="703" t="s">
        <v>334</v>
      </c>
      <c r="E2142" s="703" t="s">
        <v>334</v>
      </c>
      <c r="F2142" s="703" t="s">
        <v>335</v>
      </c>
      <c r="G2142" s="703" t="s">
        <v>3415</v>
      </c>
      <c r="H2142" s="703" t="s">
        <v>334</v>
      </c>
      <c r="I2142" s="703" t="s">
        <v>334</v>
      </c>
      <c r="J2142" s="703" t="s">
        <v>337</v>
      </c>
      <c r="K2142" s="704">
        <v>0</v>
      </c>
      <c r="L2142" s="703" t="s">
        <v>334</v>
      </c>
      <c r="M2142" s="702">
        <v>43251</v>
      </c>
      <c r="N2142" s="702">
        <v>44516</v>
      </c>
      <c r="O2142" s="703" t="s">
        <v>338</v>
      </c>
      <c r="P2142" s="20">
        <v>41.87</v>
      </c>
      <c r="Q2142" s="20">
        <v>0</v>
      </c>
      <c r="R2142" s="20">
        <v>0</v>
      </c>
      <c r="S2142" s="20">
        <v>0</v>
      </c>
      <c r="T2142" s="20">
        <v>41.87</v>
      </c>
      <c r="U2142" s="20">
        <v>41.75</v>
      </c>
      <c r="V2142" s="20">
        <v>-0.12</v>
      </c>
      <c r="W2142" s="20">
        <v>-1.52</v>
      </c>
      <c r="X2142" s="20">
        <v>-1.4</v>
      </c>
      <c r="Y2142" s="20">
        <v>0</v>
      </c>
      <c r="Z2142" s="20">
        <v>0</v>
      </c>
      <c r="AA2142" s="20">
        <v>0</v>
      </c>
      <c r="AB2142" s="20">
        <v>40.35</v>
      </c>
      <c r="AC2142" t="s">
        <v>188</v>
      </c>
      <c r="AD2142" t="s">
        <v>290</v>
      </c>
      <c r="AE2142" s="702">
        <f t="shared" si="165"/>
        <v>44348</v>
      </c>
      <c r="AF2142" s="289">
        <v>48.077025626692141</v>
      </c>
      <c r="AG2142">
        <f t="shared" si="166"/>
        <v>360</v>
      </c>
      <c r="AH2142" s="289">
        <f t="shared" si="167"/>
        <v>0.13354729340747817</v>
      </c>
      <c r="AJ2142" s="289">
        <f t="shared" si="168"/>
        <v>18</v>
      </c>
      <c r="AK2142" s="289">
        <f t="shared" si="169"/>
        <v>2.4038512813346071</v>
      </c>
    </row>
    <row r="2143" spans="1:37">
      <c r="A2143" s="703" t="s">
        <v>3680</v>
      </c>
      <c r="B2143" s="703" t="s">
        <v>2849</v>
      </c>
      <c r="C2143" s="703" t="s">
        <v>390</v>
      </c>
      <c r="D2143" s="703" t="s">
        <v>334</v>
      </c>
      <c r="E2143" s="703" t="s">
        <v>334</v>
      </c>
      <c r="F2143" s="703" t="s">
        <v>335</v>
      </c>
      <c r="G2143" s="703" t="s">
        <v>3415</v>
      </c>
      <c r="H2143" s="703" t="s">
        <v>334</v>
      </c>
      <c r="I2143" s="703" t="s">
        <v>334</v>
      </c>
      <c r="J2143" s="703" t="s">
        <v>337</v>
      </c>
      <c r="K2143" s="704">
        <v>0</v>
      </c>
      <c r="L2143" s="703" t="s">
        <v>334</v>
      </c>
      <c r="M2143" s="702">
        <v>43251</v>
      </c>
      <c r="N2143" s="702">
        <v>44516</v>
      </c>
      <c r="O2143" s="703" t="s">
        <v>338</v>
      </c>
      <c r="P2143" s="20">
        <v>135</v>
      </c>
      <c r="Q2143" s="20">
        <v>0</v>
      </c>
      <c r="R2143" s="20">
        <v>0</v>
      </c>
      <c r="S2143" s="20">
        <v>0</v>
      </c>
      <c r="T2143" s="20">
        <v>135</v>
      </c>
      <c r="U2143" s="20">
        <v>134.62</v>
      </c>
      <c r="V2143" s="20">
        <v>-0.38</v>
      </c>
      <c r="W2143" s="20">
        <v>-4.88</v>
      </c>
      <c r="X2143" s="20">
        <v>-4.5</v>
      </c>
      <c r="Y2143" s="20">
        <v>0</v>
      </c>
      <c r="Z2143" s="20">
        <v>0</v>
      </c>
      <c r="AA2143" s="20">
        <v>0</v>
      </c>
      <c r="AB2143" s="20">
        <v>130.12</v>
      </c>
      <c r="AC2143" t="s">
        <v>188</v>
      </c>
      <c r="AD2143" t="s">
        <v>290</v>
      </c>
      <c r="AE2143" s="702">
        <f t="shared" si="165"/>
        <v>44348</v>
      </c>
      <c r="AF2143" s="289">
        <v>155.01309910684114</v>
      </c>
      <c r="AG2143">
        <f t="shared" si="166"/>
        <v>360</v>
      </c>
      <c r="AH2143" s="289">
        <f t="shared" si="167"/>
        <v>0.43059194196344763</v>
      </c>
      <c r="AJ2143" s="289">
        <f t="shared" si="168"/>
        <v>18</v>
      </c>
      <c r="AK2143" s="289">
        <f t="shared" si="169"/>
        <v>7.750654955342057</v>
      </c>
    </row>
    <row r="2144" spans="1:37">
      <c r="A2144" s="703" t="s">
        <v>3681</v>
      </c>
      <c r="B2144" s="703" t="s">
        <v>2849</v>
      </c>
      <c r="C2144" s="703" t="s">
        <v>390</v>
      </c>
      <c r="D2144" s="703" t="s">
        <v>334</v>
      </c>
      <c r="E2144" s="703" t="s">
        <v>334</v>
      </c>
      <c r="F2144" s="703" t="s">
        <v>335</v>
      </c>
      <c r="G2144" s="703" t="s">
        <v>3415</v>
      </c>
      <c r="H2144" s="703" t="s">
        <v>334</v>
      </c>
      <c r="I2144" s="703" t="s">
        <v>334</v>
      </c>
      <c r="J2144" s="703" t="s">
        <v>337</v>
      </c>
      <c r="K2144" s="704">
        <v>0</v>
      </c>
      <c r="L2144" s="703" t="s">
        <v>334</v>
      </c>
      <c r="M2144" s="702">
        <v>43251</v>
      </c>
      <c r="N2144" s="702">
        <v>44516</v>
      </c>
      <c r="O2144" s="703" t="s">
        <v>338</v>
      </c>
      <c r="P2144" s="20">
        <v>4.2</v>
      </c>
      <c r="Q2144" s="20">
        <v>0</v>
      </c>
      <c r="R2144" s="20">
        <v>0</v>
      </c>
      <c r="S2144" s="20">
        <v>0</v>
      </c>
      <c r="T2144" s="20">
        <v>4.2</v>
      </c>
      <c r="U2144" s="20">
        <v>4.1900000000000004</v>
      </c>
      <c r="V2144" s="20">
        <v>-0.01</v>
      </c>
      <c r="W2144" s="20">
        <v>-0.15</v>
      </c>
      <c r="X2144" s="20">
        <v>-0.14000000000000001</v>
      </c>
      <c r="Y2144" s="20">
        <v>0</v>
      </c>
      <c r="Z2144" s="20">
        <v>0</v>
      </c>
      <c r="AA2144" s="20">
        <v>0</v>
      </c>
      <c r="AB2144" s="20">
        <v>4.05</v>
      </c>
      <c r="AC2144" t="s">
        <v>188</v>
      </c>
      <c r="AD2144" t="s">
        <v>290</v>
      </c>
      <c r="AE2144" s="702">
        <f t="shared" si="165"/>
        <v>44348</v>
      </c>
      <c r="AF2144" s="289">
        <v>4.8226297499906146</v>
      </c>
      <c r="AG2144">
        <f t="shared" si="166"/>
        <v>360</v>
      </c>
      <c r="AH2144" s="289">
        <f t="shared" si="167"/>
        <v>1.3396193749973929E-2</v>
      </c>
      <c r="AJ2144" s="289">
        <f t="shared" si="168"/>
        <v>18</v>
      </c>
      <c r="AK2144" s="289">
        <f t="shared" si="169"/>
        <v>0.24113148749953073</v>
      </c>
    </row>
    <row r="2145" spans="1:37">
      <c r="A2145" s="703" t="s">
        <v>3682</v>
      </c>
      <c r="B2145" s="703" t="s">
        <v>2849</v>
      </c>
      <c r="C2145" s="703" t="s">
        <v>390</v>
      </c>
      <c r="D2145" s="703" t="s">
        <v>334</v>
      </c>
      <c r="E2145" s="703" t="s">
        <v>334</v>
      </c>
      <c r="F2145" s="703" t="s">
        <v>335</v>
      </c>
      <c r="G2145" s="703" t="s">
        <v>3415</v>
      </c>
      <c r="H2145" s="703" t="s">
        <v>334</v>
      </c>
      <c r="I2145" s="703" t="s">
        <v>334</v>
      </c>
      <c r="J2145" s="703" t="s">
        <v>337</v>
      </c>
      <c r="K2145" s="704">
        <v>0</v>
      </c>
      <c r="L2145" s="703" t="s">
        <v>334</v>
      </c>
      <c r="M2145" s="702">
        <v>43251</v>
      </c>
      <c r="N2145" s="702">
        <v>44516</v>
      </c>
      <c r="O2145" s="703" t="s">
        <v>338</v>
      </c>
      <c r="P2145" s="20">
        <v>9.49</v>
      </c>
      <c r="Q2145" s="20">
        <v>0</v>
      </c>
      <c r="R2145" s="20">
        <v>0</v>
      </c>
      <c r="S2145" s="20">
        <v>0</v>
      </c>
      <c r="T2145" s="20">
        <v>9.49</v>
      </c>
      <c r="U2145" s="20">
        <v>9.4600000000000009</v>
      </c>
      <c r="V2145" s="20">
        <v>-0.03</v>
      </c>
      <c r="W2145" s="20">
        <v>-0.35</v>
      </c>
      <c r="X2145" s="20">
        <v>-0.32</v>
      </c>
      <c r="Y2145" s="20">
        <v>0</v>
      </c>
      <c r="Z2145" s="20">
        <v>0</v>
      </c>
      <c r="AA2145" s="20">
        <v>0</v>
      </c>
      <c r="AB2145" s="20">
        <v>9.14</v>
      </c>
      <c r="AC2145" t="s">
        <v>188</v>
      </c>
      <c r="AD2145" t="s">
        <v>290</v>
      </c>
      <c r="AE2145" s="702">
        <f t="shared" si="165"/>
        <v>44348</v>
      </c>
      <c r="AF2145" s="289">
        <v>10.89684674462165</v>
      </c>
      <c r="AG2145">
        <f t="shared" si="166"/>
        <v>360</v>
      </c>
      <c r="AH2145" s="289">
        <f t="shared" si="167"/>
        <v>3.0269018735060139E-2</v>
      </c>
      <c r="AJ2145" s="289">
        <f t="shared" si="168"/>
        <v>18</v>
      </c>
      <c r="AK2145" s="289">
        <f t="shared" si="169"/>
        <v>0.54484233723108255</v>
      </c>
    </row>
    <row r="2146" spans="1:37">
      <c r="A2146" s="703" t="s">
        <v>3683</v>
      </c>
      <c r="B2146" s="703" t="s">
        <v>2849</v>
      </c>
      <c r="C2146" s="703" t="s">
        <v>390</v>
      </c>
      <c r="D2146" s="703" t="s">
        <v>334</v>
      </c>
      <c r="E2146" s="703" t="s">
        <v>334</v>
      </c>
      <c r="F2146" s="703" t="s">
        <v>335</v>
      </c>
      <c r="G2146" s="703" t="s">
        <v>3415</v>
      </c>
      <c r="H2146" s="703" t="s">
        <v>334</v>
      </c>
      <c r="I2146" s="703" t="s">
        <v>334</v>
      </c>
      <c r="J2146" s="703" t="s">
        <v>337</v>
      </c>
      <c r="K2146" s="704">
        <v>0</v>
      </c>
      <c r="L2146" s="703" t="s">
        <v>334</v>
      </c>
      <c r="M2146" s="702">
        <v>43251</v>
      </c>
      <c r="N2146" s="702">
        <v>44516</v>
      </c>
      <c r="O2146" s="703" t="s">
        <v>338</v>
      </c>
      <c r="P2146" s="20">
        <v>135.52000000000001</v>
      </c>
      <c r="Q2146" s="20">
        <v>0</v>
      </c>
      <c r="R2146" s="20">
        <v>0</v>
      </c>
      <c r="S2146" s="20">
        <v>0</v>
      </c>
      <c r="T2146" s="20">
        <v>135.52000000000001</v>
      </c>
      <c r="U2146" s="20">
        <v>135.13999999999999</v>
      </c>
      <c r="V2146" s="20">
        <v>-0.38</v>
      </c>
      <c r="W2146" s="20">
        <v>-4.9000000000000004</v>
      </c>
      <c r="X2146" s="20">
        <v>-4.5199999999999996</v>
      </c>
      <c r="Y2146" s="20">
        <v>0</v>
      </c>
      <c r="Z2146" s="20">
        <v>0</v>
      </c>
      <c r="AA2146" s="20">
        <v>0</v>
      </c>
      <c r="AB2146" s="20">
        <v>130.62</v>
      </c>
      <c r="AC2146" t="s">
        <v>188</v>
      </c>
      <c r="AD2146" t="s">
        <v>290</v>
      </c>
      <c r="AE2146" s="702">
        <f t="shared" si="165"/>
        <v>44348</v>
      </c>
      <c r="AF2146" s="289">
        <v>155.61018659969713</v>
      </c>
      <c r="AG2146">
        <f t="shared" si="166"/>
        <v>360</v>
      </c>
      <c r="AH2146" s="289">
        <f t="shared" si="167"/>
        <v>0.43225051833249201</v>
      </c>
      <c r="AJ2146" s="289">
        <f t="shared" si="168"/>
        <v>18</v>
      </c>
      <c r="AK2146" s="289">
        <f t="shared" si="169"/>
        <v>7.7805093299848558</v>
      </c>
    </row>
    <row r="2147" spans="1:37">
      <c r="A2147" s="703" t="s">
        <v>3684</v>
      </c>
      <c r="B2147" s="703" t="s">
        <v>2849</v>
      </c>
      <c r="C2147" s="703" t="s">
        <v>390</v>
      </c>
      <c r="D2147" s="703" t="s">
        <v>334</v>
      </c>
      <c r="E2147" s="703" t="s">
        <v>334</v>
      </c>
      <c r="F2147" s="703" t="s">
        <v>335</v>
      </c>
      <c r="G2147" s="703" t="s">
        <v>3415</v>
      </c>
      <c r="H2147" s="703" t="s">
        <v>334</v>
      </c>
      <c r="I2147" s="703" t="s">
        <v>334</v>
      </c>
      <c r="J2147" s="703" t="s">
        <v>337</v>
      </c>
      <c r="K2147" s="704">
        <v>0</v>
      </c>
      <c r="L2147" s="703" t="s">
        <v>334</v>
      </c>
      <c r="M2147" s="702">
        <v>43251</v>
      </c>
      <c r="N2147" s="702">
        <v>44516</v>
      </c>
      <c r="O2147" s="703" t="s">
        <v>338</v>
      </c>
      <c r="P2147" s="20">
        <v>15.19</v>
      </c>
      <c r="Q2147" s="20">
        <v>0</v>
      </c>
      <c r="R2147" s="20">
        <v>0</v>
      </c>
      <c r="S2147" s="20">
        <v>0</v>
      </c>
      <c r="T2147" s="20">
        <v>15.19</v>
      </c>
      <c r="U2147" s="20">
        <v>15.15</v>
      </c>
      <c r="V2147" s="20">
        <v>-0.04</v>
      </c>
      <c r="W2147" s="20">
        <v>-0.55000000000000004</v>
      </c>
      <c r="X2147" s="20">
        <v>-0.51</v>
      </c>
      <c r="Y2147" s="20">
        <v>0</v>
      </c>
      <c r="Z2147" s="20">
        <v>0</v>
      </c>
      <c r="AA2147" s="20">
        <v>0</v>
      </c>
      <c r="AB2147" s="20">
        <v>14.64</v>
      </c>
      <c r="AC2147" t="s">
        <v>188</v>
      </c>
      <c r="AD2147" t="s">
        <v>290</v>
      </c>
      <c r="AE2147" s="702">
        <f t="shared" si="165"/>
        <v>44348</v>
      </c>
      <c r="AF2147" s="289">
        <v>17.441844262466052</v>
      </c>
      <c r="AG2147">
        <f t="shared" si="166"/>
        <v>360</v>
      </c>
      <c r="AH2147" s="289">
        <f t="shared" si="167"/>
        <v>4.8449567395739031E-2</v>
      </c>
      <c r="AJ2147" s="289">
        <f t="shared" si="168"/>
        <v>18</v>
      </c>
      <c r="AK2147" s="289">
        <f t="shared" si="169"/>
        <v>0.87209221312330254</v>
      </c>
    </row>
    <row r="2148" spans="1:37">
      <c r="A2148" s="703" t="s">
        <v>3685</v>
      </c>
      <c r="B2148" s="703" t="s">
        <v>2849</v>
      </c>
      <c r="C2148" s="703" t="s">
        <v>390</v>
      </c>
      <c r="D2148" s="703" t="s">
        <v>334</v>
      </c>
      <c r="E2148" s="703" t="s">
        <v>334</v>
      </c>
      <c r="F2148" s="703" t="s">
        <v>335</v>
      </c>
      <c r="G2148" s="703" t="s">
        <v>3415</v>
      </c>
      <c r="H2148" s="703" t="s">
        <v>334</v>
      </c>
      <c r="I2148" s="703" t="s">
        <v>334</v>
      </c>
      <c r="J2148" s="703" t="s">
        <v>337</v>
      </c>
      <c r="K2148" s="704">
        <v>0</v>
      </c>
      <c r="L2148" s="703" t="s">
        <v>334</v>
      </c>
      <c r="M2148" s="702">
        <v>43251</v>
      </c>
      <c r="N2148" s="702">
        <v>44516</v>
      </c>
      <c r="O2148" s="703" t="s">
        <v>338</v>
      </c>
      <c r="P2148" s="20">
        <v>19.579999999999998</v>
      </c>
      <c r="Q2148" s="20">
        <v>0</v>
      </c>
      <c r="R2148" s="20">
        <v>0</v>
      </c>
      <c r="S2148" s="20">
        <v>0</v>
      </c>
      <c r="T2148" s="20">
        <v>19.579999999999998</v>
      </c>
      <c r="U2148" s="20">
        <v>19.53</v>
      </c>
      <c r="V2148" s="20">
        <v>-0.05</v>
      </c>
      <c r="W2148" s="20">
        <v>-0.7</v>
      </c>
      <c r="X2148" s="20">
        <v>-0.65</v>
      </c>
      <c r="Y2148" s="20">
        <v>0</v>
      </c>
      <c r="Z2148" s="20">
        <v>0</v>
      </c>
      <c r="AA2148" s="20">
        <v>0</v>
      </c>
      <c r="AB2148" s="20">
        <v>18.88</v>
      </c>
      <c r="AC2148" t="s">
        <v>188</v>
      </c>
      <c r="AD2148" t="s">
        <v>290</v>
      </c>
      <c r="AE2148" s="702">
        <f t="shared" si="165"/>
        <v>44348</v>
      </c>
      <c r="AF2148" s="289">
        <v>22.482640596384812</v>
      </c>
      <c r="AG2148">
        <f t="shared" si="166"/>
        <v>360</v>
      </c>
      <c r="AH2148" s="289">
        <f t="shared" si="167"/>
        <v>6.2451779434402256E-2</v>
      </c>
      <c r="AJ2148" s="289">
        <f t="shared" si="168"/>
        <v>18</v>
      </c>
      <c r="AK2148" s="289">
        <f t="shared" si="169"/>
        <v>1.1241320298192405</v>
      </c>
    </row>
    <row r="2149" spans="1:37">
      <c r="A2149" s="703" t="s">
        <v>3686</v>
      </c>
      <c r="B2149" s="703" t="s">
        <v>2849</v>
      </c>
      <c r="C2149" s="703" t="s">
        <v>390</v>
      </c>
      <c r="D2149" s="703" t="s">
        <v>334</v>
      </c>
      <c r="E2149" s="703" t="s">
        <v>334</v>
      </c>
      <c r="F2149" s="703" t="s">
        <v>335</v>
      </c>
      <c r="G2149" s="703" t="s">
        <v>3415</v>
      </c>
      <c r="H2149" s="703" t="s">
        <v>334</v>
      </c>
      <c r="I2149" s="703" t="s">
        <v>334</v>
      </c>
      <c r="J2149" s="703" t="s">
        <v>337</v>
      </c>
      <c r="K2149" s="704">
        <v>0</v>
      </c>
      <c r="L2149" s="703" t="s">
        <v>334</v>
      </c>
      <c r="M2149" s="702">
        <v>43251</v>
      </c>
      <c r="N2149" s="702">
        <v>44516</v>
      </c>
      <c r="O2149" s="703" t="s">
        <v>338</v>
      </c>
      <c r="P2149" s="20">
        <v>26.52</v>
      </c>
      <c r="Q2149" s="20">
        <v>0</v>
      </c>
      <c r="R2149" s="20">
        <v>0</v>
      </c>
      <c r="S2149" s="20">
        <v>0</v>
      </c>
      <c r="T2149" s="20">
        <v>26.52</v>
      </c>
      <c r="U2149" s="20">
        <v>26.45</v>
      </c>
      <c r="V2149" s="20">
        <v>-7.0000000000000007E-2</v>
      </c>
      <c r="W2149" s="20">
        <v>-0.95</v>
      </c>
      <c r="X2149" s="20">
        <v>-0.88</v>
      </c>
      <c r="Y2149" s="20">
        <v>0</v>
      </c>
      <c r="Z2149" s="20">
        <v>0</v>
      </c>
      <c r="AA2149" s="20">
        <v>0</v>
      </c>
      <c r="AB2149" s="20">
        <v>25.57</v>
      </c>
      <c r="AC2149" t="s">
        <v>188</v>
      </c>
      <c r="AD2149" t="s">
        <v>290</v>
      </c>
      <c r="AE2149" s="702">
        <f t="shared" si="165"/>
        <v>44348</v>
      </c>
      <c r="AF2149" s="289">
        <v>30.451462135655017</v>
      </c>
      <c r="AG2149">
        <f t="shared" si="166"/>
        <v>360</v>
      </c>
      <c r="AH2149" s="289">
        <f t="shared" si="167"/>
        <v>8.4587394821263942E-2</v>
      </c>
      <c r="AJ2149" s="289">
        <f t="shared" si="168"/>
        <v>18</v>
      </c>
      <c r="AK2149" s="289">
        <f t="shared" si="169"/>
        <v>1.522573106782751</v>
      </c>
    </row>
    <row r="2150" spans="1:37">
      <c r="A2150" s="703" t="s">
        <v>3687</v>
      </c>
      <c r="B2150" s="703" t="s">
        <v>2849</v>
      </c>
      <c r="C2150" s="703" t="s">
        <v>390</v>
      </c>
      <c r="D2150" s="703" t="s">
        <v>334</v>
      </c>
      <c r="E2150" s="703" t="s">
        <v>334</v>
      </c>
      <c r="F2150" s="703" t="s">
        <v>335</v>
      </c>
      <c r="G2150" s="703" t="s">
        <v>3415</v>
      </c>
      <c r="H2150" s="703" t="s">
        <v>334</v>
      </c>
      <c r="I2150" s="703" t="s">
        <v>334</v>
      </c>
      <c r="J2150" s="703" t="s">
        <v>337</v>
      </c>
      <c r="K2150" s="704">
        <v>0</v>
      </c>
      <c r="L2150" s="703" t="s">
        <v>334</v>
      </c>
      <c r="M2150" s="702">
        <v>43251</v>
      </c>
      <c r="N2150" s="702">
        <v>44516</v>
      </c>
      <c r="O2150" s="703" t="s">
        <v>338</v>
      </c>
      <c r="P2150" s="20">
        <v>5.23</v>
      </c>
      <c r="Q2150" s="20">
        <v>0</v>
      </c>
      <c r="R2150" s="20">
        <v>0</v>
      </c>
      <c r="S2150" s="20">
        <v>0</v>
      </c>
      <c r="T2150" s="20">
        <v>5.23</v>
      </c>
      <c r="U2150" s="20">
        <v>5.22</v>
      </c>
      <c r="V2150" s="20">
        <v>-0.01</v>
      </c>
      <c r="W2150" s="20">
        <v>-0.18</v>
      </c>
      <c r="X2150" s="20">
        <v>-0.17</v>
      </c>
      <c r="Y2150" s="20">
        <v>0</v>
      </c>
      <c r="Z2150" s="20">
        <v>0</v>
      </c>
      <c r="AA2150" s="20">
        <v>0</v>
      </c>
      <c r="AB2150" s="20">
        <v>5.05</v>
      </c>
      <c r="AC2150" t="s">
        <v>188</v>
      </c>
      <c r="AD2150" t="s">
        <v>290</v>
      </c>
      <c r="AE2150" s="702">
        <f t="shared" si="165"/>
        <v>44348</v>
      </c>
      <c r="AF2150" s="289">
        <v>6.0053222839168834</v>
      </c>
      <c r="AG2150">
        <f t="shared" si="166"/>
        <v>360</v>
      </c>
      <c r="AH2150" s="289">
        <f t="shared" si="167"/>
        <v>1.6681450788658011E-2</v>
      </c>
      <c r="AJ2150" s="289">
        <f t="shared" si="168"/>
        <v>18</v>
      </c>
      <c r="AK2150" s="289">
        <f t="shared" si="169"/>
        <v>0.3002661141958442</v>
      </c>
    </row>
    <row r="2151" spans="1:37">
      <c r="A2151" s="703" t="s">
        <v>3688</v>
      </c>
      <c r="B2151" s="703" t="s">
        <v>2849</v>
      </c>
      <c r="C2151" s="703" t="s">
        <v>390</v>
      </c>
      <c r="D2151" s="703" t="s">
        <v>334</v>
      </c>
      <c r="E2151" s="703" t="s">
        <v>334</v>
      </c>
      <c r="F2151" s="703" t="s">
        <v>335</v>
      </c>
      <c r="G2151" s="703" t="s">
        <v>3415</v>
      </c>
      <c r="H2151" s="703" t="s">
        <v>334</v>
      </c>
      <c r="I2151" s="703" t="s">
        <v>334</v>
      </c>
      <c r="J2151" s="703" t="s">
        <v>337</v>
      </c>
      <c r="K2151" s="704">
        <v>0</v>
      </c>
      <c r="L2151" s="703" t="s">
        <v>334</v>
      </c>
      <c r="M2151" s="702">
        <v>43251</v>
      </c>
      <c r="N2151" s="702">
        <v>44516</v>
      </c>
      <c r="O2151" s="703" t="s">
        <v>338</v>
      </c>
      <c r="P2151" s="20">
        <v>36.32</v>
      </c>
      <c r="Q2151" s="20">
        <v>0</v>
      </c>
      <c r="R2151" s="20">
        <v>0</v>
      </c>
      <c r="S2151" s="20">
        <v>0</v>
      </c>
      <c r="T2151" s="20">
        <v>36.32</v>
      </c>
      <c r="U2151" s="20">
        <v>36.22</v>
      </c>
      <c r="V2151" s="20">
        <v>-0.1</v>
      </c>
      <c r="W2151" s="20">
        <v>-1.31</v>
      </c>
      <c r="X2151" s="20">
        <v>-1.21</v>
      </c>
      <c r="Y2151" s="20">
        <v>0</v>
      </c>
      <c r="Z2151" s="20">
        <v>0</v>
      </c>
      <c r="AA2151" s="20">
        <v>0</v>
      </c>
      <c r="AB2151" s="20">
        <v>35.01</v>
      </c>
      <c r="AC2151" t="s">
        <v>188</v>
      </c>
      <c r="AD2151" t="s">
        <v>290</v>
      </c>
      <c r="AE2151" s="702">
        <f t="shared" si="165"/>
        <v>44348</v>
      </c>
      <c r="AF2151" s="289">
        <v>41.704264885633116</v>
      </c>
      <c r="AG2151">
        <f t="shared" si="166"/>
        <v>360</v>
      </c>
      <c r="AH2151" s="289">
        <f t="shared" si="167"/>
        <v>0.11584518023786977</v>
      </c>
      <c r="AJ2151" s="289">
        <f t="shared" si="168"/>
        <v>18</v>
      </c>
      <c r="AK2151" s="289">
        <f t="shared" si="169"/>
        <v>2.0852132442816558</v>
      </c>
    </row>
    <row r="2152" spans="1:37">
      <c r="A2152" s="703" t="s">
        <v>3689</v>
      </c>
      <c r="B2152" s="703" t="s">
        <v>2849</v>
      </c>
      <c r="C2152" s="703" t="s">
        <v>390</v>
      </c>
      <c r="D2152" s="703" t="s">
        <v>334</v>
      </c>
      <c r="E2152" s="703" t="s">
        <v>334</v>
      </c>
      <c r="F2152" s="703" t="s">
        <v>335</v>
      </c>
      <c r="G2152" s="703" t="s">
        <v>3415</v>
      </c>
      <c r="H2152" s="703" t="s">
        <v>334</v>
      </c>
      <c r="I2152" s="703" t="s">
        <v>334</v>
      </c>
      <c r="J2152" s="703" t="s">
        <v>337</v>
      </c>
      <c r="K2152" s="704">
        <v>0</v>
      </c>
      <c r="L2152" s="703" t="s">
        <v>334</v>
      </c>
      <c r="M2152" s="702">
        <v>43251</v>
      </c>
      <c r="N2152" s="702">
        <v>44516</v>
      </c>
      <c r="O2152" s="703" t="s">
        <v>338</v>
      </c>
      <c r="P2152" s="20">
        <v>151.65</v>
      </c>
      <c r="Q2152" s="20">
        <v>0</v>
      </c>
      <c r="R2152" s="20">
        <v>0</v>
      </c>
      <c r="S2152" s="20">
        <v>0</v>
      </c>
      <c r="T2152" s="20">
        <v>151.65</v>
      </c>
      <c r="U2152" s="20">
        <v>151.22999999999999</v>
      </c>
      <c r="V2152" s="20">
        <v>-0.42</v>
      </c>
      <c r="W2152" s="20">
        <v>-5.48</v>
      </c>
      <c r="X2152" s="20">
        <v>-5.0599999999999996</v>
      </c>
      <c r="Y2152" s="20">
        <v>0</v>
      </c>
      <c r="Z2152" s="20">
        <v>0</v>
      </c>
      <c r="AA2152" s="20">
        <v>0</v>
      </c>
      <c r="AB2152" s="20">
        <v>146.16999999999999</v>
      </c>
      <c r="AC2152" t="s">
        <v>188</v>
      </c>
      <c r="AD2152" t="s">
        <v>290</v>
      </c>
      <c r="AE2152" s="702">
        <f t="shared" si="165"/>
        <v>44348</v>
      </c>
      <c r="AF2152" s="289">
        <v>174.13138133001826</v>
      </c>
      <c r="AG2152">
        <f t="shared" si="166"/>
        <v>360</v>
      </c>
      <c r="AH2152" s="289">
        <f t="shared" si="167"/>
        <v>0.48369828147227295</v>
      </c>
      <c r="AJ2152" s="289">
        <f t="shared" si="168"/>
        <v>18</v>
      </c>
      <c r="AK2152" s="289">
        <f t="shared" si="169"/>
        <v>8.7065690665009132</v>
      </c>
    </row>
    <row r="2153" spans="1:37">
      <c r="A2153" s="703" t="s">
        <v>3690</v>
      </c>
      <c r="B2153" s="703" t="s">
        <v>2849</v>
      </c>
      <c r="C2153" s="703" t="s">
        <v>390</v>
      </c>
      <c r="D2153" s="703" t="s">
        <v>334</v>
      </c>
      <c r="E2153" s="703" t="s">
        <v>334</v>
      </c>
      <c r="F2153" s="703" t="s">
        <v>335</v>
      </c>
      <c r="G2153" s="703" t="s">
        <v>3415</v>
      </c>
      <c r="H2153" s="703" t="s">
        <v>334</v>
      </c>
      <c r="I2153" s="703" t="s">
        <v>334</v>
      </c>
      <c r="J2153" s="703" t="s">
        <v>337</v>
      </c>
      <c r="K2153" s="704">
        <v>0</v>
      </c>
      <c r="L2153" s="703" t="s">
        <v>334</v>
      </c>
      <c r="M2153" s="702">
        <v>43251</v>
      </c>
      <c r="N2153" s="702">
        <v>44516</v>
      </c>
      <c r="O2153" s="703" t="s">
        <v>338</v>
      </c>
      <c r="P2153" s="20">
        <v>32.299999999999997</v>
      </c>
      <c r="Q2153" s="20">
        <v>0</v>
      </c>
      <c r="R2153" s="20">
        <v>0</v>
      </c>
      <c r="S2153" s="20">
        <v>0</v>
      </c>
      <c r="T2153" s="20">
        <v>32.299999999999997</v>
      </c>
      <c r="U2153" s="20">
        <v>32.21</v>
      </c>
      <c r="V2153" s="20">
        <v>-0.09</v>
      </c>
      <c r="W2153" s="20">
        <v>-1.17</v>
      </c>
      <c r="X2153" s="20">
        <v>-1.08</v>
      </c>
      <c r="Y2153" s="20">
        <v>0</v>
      </c>
      <c r="Z2153" s="20">
        <v>0</v>
      </c>
      <c r="AA2153" s="20">
        <v>0</v>
      </c>
      <c r="AB2153" s="20">
        <v>31.13</v>
      </c>
      <c r="AC2153" t="s">
        <v>188</v>
      </c>
      <c r="AD2153" t="s">
        <v>290</v>
      </c>
      <c r="AE2153" s="702">
        <f t="shared" si="165"/>
        <v>44348</v>
      </c>
      <c r="AF2153" s="289">
        <v>37.088319267784954</v>
      </c>
      <c r="AG2153">
        <f t="shared" si="166"/>
        <v>360</v>
      </c>
      <c r="AH2153" s="289">
        <f t="shared" si="167"/>
        <v>0.10302310907718043</v>
      </c>
      <c r="AJ2153" s="289">
        <f t="shared" si="168"/>
        <v>18</v>
      </c>
      <c r="AK2153" s="289">
        <f t="shared" si="169"/>
        <v>1.8544159633892479</v>
      </c>
    </row>
    <row r="2154" spans="1:37">
      <c r="A2154" s="703" t="s">
        <v>3691</v>
      </c>
      <c r="B2154" s="703" t="s">
        <v>2849</v>
      </c>
      <c r="C2154" s="703" t="s">
        <v>390</v>
      </c>
      <c r="D2154" s="703" t="s">
        <v>334</v>
      </c>
      <c r="E2154" s="703" t="s">
        <v>334</v>
      </c>
      <c r="F2154" s="703" t="s">
        <v>335</v>
      </c>
      <c r="G2154" s="703" t="s">
        <v>3415</v>
      </c>
      <c r="H2154" s="703" t="s">
        <v>334</v>
      </c>
      <c r="I2154" s="703" t="s">
        <v>334</v>
      </c>
      <c r="J2154" s="703" t="s">
        <v>337</v>
      </c>
      <c r="K2154" s="704">
        <v>0</v>
      </c>
      <c r="L2154" s="703" t="s">
        <v>334</v>
      </c>
      <c r="M2154" s="702">
        <v>43251</v>
      </c>
      <c r="N2154" s="702">
        <v>44516</v>
      </c>
      <c r="O2154" s="703" t="s">
        <v>338</v>
      </c>
      <c r="P2154" s="20">
        <v>87.21</v>
      </c>
      <c r="Q2154" s="20">
        <v>0</v>
      </c>
      <c r="R2154" s="20">
        <v>0</v>
      </c>
      <c r="S2154" s="20">
        <v>0</v>
      </c>
      <c r="T2154" s="20">
        <v>87.21</v>
      </c>
      <c r="U2154" s="20">
        <v>86.97</v>
      </c>
      <c r="V2154" s="20">
        <v>-0.24</v>
      </c>
      <c r="W2154" s="20">
        <v>-3.15</v>
      </c>
      <c r="X2154" s="20">
        <v>-2.91</v>
      </c>
      <c r="Y2154" s="20">
        <v>0</v>
      </c>
      <c r="Z2154" s="20">
        <v>0</v>
      </c>
      <c r="AA2154" s="20">
        <v>0</v>
      </c>
      <c r="AB2154" s="20">
        <v>84.06</v>
      </c>
      <c r="AC2154" t="s">
        <v>188</v>
      </c>
      <c r="AD2154" t="s">
        <v>290</v>
      </c>
      <c r="AE2154" s="702">
        <f t="shared" si="165"/>
        <v>44348</v>
      </c>
      <c r="AF2154" s="289">
        <v>100.13846202301939</v>
      </c>
      <c r="AG2154">
        <f t="shared" si="166"/>
        <v>360</v>
      </c>
      <c r="AH2154" s="289">
        <f t="shared" si="167"/>
        <v>0.2781623945083872</v>
      </c>
      <c r="AJ2154" s="289">
        <f t="shared" si="168"/>
        <v>18</v>
      </c>
      <c r="AK2154" s="289">
        <f t="shared" si="169"/>
        <v>5.0069231011509698</v>
      </c>
    </row>
    <row r="2155" spans="1:37">
      <c r="A2155" s="703" t="s">
        <v>3692</v>
      </c>
      <c r="B2155" s="703" t="s">
        <v>2849</v>
      </c>
      <c r="C2155" s="703" t="s">
        <v>390</v>
      </c>
      <c r="D2155" s="703" t="s">
        <v>334</v>
      </c>
      <c r="E2155" s="703" t="s">
        <v>334</v>
      </c>
      <c r="F2155" s="703" t="s">
        <v>335</v>
      </c>
      <c r="G2155" s="703" t="s">
        <v>3415</v>
      </c>
      <c r="H2155" s="703" t="s">
        <v>334</v>
      </c>
      <c r="I2155" s="703" t="s">
        <v>334</v>
      </c>
      <c r="J2155" s="703" t="s">
        <v>337</v>
      </c>
      <c r="K2155" s="704">
        <v>0</v>
      </c>
      <c r="L2155" s="703" t="s">
        <v>334</v>
      </c>
      <c r="M2155" s="702">
        <v>43251</v>
      </c>
      <c r="N2155" s="702">
        <v>44516</v>
      </c>
      <c r="O2155" s="703" t="s">
        <v>338</v>
      </c>
      <c r="P2155" s="20">
        <v>103.47</v>
      </c>
      <c r="Q2155" s="20">
        <v>0</v>
      </c>
      <c r="R2155" s="20">
        <v>0</v>
      </c>
      <c r="S2155" s="20">
        <v>0</v>
      </c>
      <c r="T2155" s="20">
        <v>103.47</v>
      </c>
      <c r="U2155" s="20">
        <v>103.18</v>
      </c>
      <c r="V2155" s="20">
        <v>-0.28999999999999998</v>
      </c>
      <c r="W2155" s="20">
        <v>-3.74</v>
      </c>
      <c r="X2155" s="20">
        <v>-3.45</v>
      </c>
      <c r="Y2155" s="20">
        <v>0</v>
      </c>
      <c r="Z2155" s="20">
        <v>0</v>
      </c>
      <c r="AA2155" s="20">
        <v>0</v>
      </c>
      <c r="AB2155" s="20">
        <v>99.73</v>
      </c>
      <c r="AC2155" t="s">
        <v>188</v>
      </c>
      <c r="AD2155" t="s">
        <v>290</v>
      </c>
      <c r="AE2155" s="702">
        <f t="shared" si="165"/>
        <v>44348</v>
      </c>
      <c r="AF2155" s="289">
        <v>118.80892862655448</v>
      </c>
      <c r="AG2155">
        <f t="shared" si="166"/>
        <v>360</v>
      </c>
      <c r="AH2155" s="289">
        <f t="shared" si="167"/>
        <v>0.33002480174042909</v>
      </c>
      <c r="AJ2155" s="289">
        <f t="shared" si="168"/>
        <v>18</v>
      </c>
      <c r="AK2155" s="289">
        <f t="shared" si="169"/>
        <v>5.9404464313277234</v>
      </c>
    </row>
    <row r="2156" spans="1:37">
      <c r="A2156" s="703" t="s">
        <v>3693</v>
      </c>
      <c r="B2156" s="703" t="s">
        <v>2849</v>
      </c>
      <c r="C2156" s="703" t="s">
        <v>390</v>
      </c>
      <c r="D2156" s="703" t="s">
        <v>334</v>
      </c>
      <c r="E2156" s="703" t="s">
        <v>334</v>
      </c>
      <c r="F2156" s="703" t="s">
        <v>335</v>
      </c>
      <c r="G2156" s="703" t="s">
        <v>3415</v>
      </c>
      <c r="H2156" s="703" t="s">
        <v>334</v>
      </c>
      <c r="I2156" s="703" t="s">
        <v>334</v>
      </c>
      <c r="J2156" s="703" t="s">
        <v>337</v>
      </c>
      <c r="K2156" s="704">
        <v>0</v>
      </c>
      <c r="L2156" s="703" t="s">
        <v>334</v>
      </c>
      <c r="M2156" s="702">
        <v>43251</v>
      </c>
      <c r="N2156" s="702">
        <v>44516</v>
      </c>
      <c r="O2156" s="703" t="s">
        <v>338</v>
      </c>
      <c r="P2156" s="20">
        <v>66.36</v>
      </c>
      <c r="Q2156" s="20">
        <v>0</v>
      </c>
      <c r="R2156" s="20">
        <v>0</v>
      </c>
      <c r="S2156" s="20">
        <v>0</v>
      </c>
      <c r="T2156" s="20">
        <v>66.36</v>
      </c>
      <c r="U2156" s="20">
        <v>66.180000000000007</v>
      </c>
      <c r="V2156" s="20">
        <v>-0.18</v>
      </c>
      <c r="W2156" s="20">
        <v>-2.39</v>
      </c>
      <c r="X2156" s="20">
        <v>-2.21</v>
      </c>
      <c r="Y2156" s="20">
        <v>0</v>
      </c>
      <c r="Z2156" s="20">
        <v>0</v>
      </c>
      <c r="AA2156" s="20">
        <v>0</v>
      </c>
      <c r="AB2156" s="20">
        <v>63.97</v>
      </c>
      <c r="AC2156" t="s">
        <v>188</v>
      </c>
      <c r="AD2156" t="s">
        <v>290</v>
      </c>
      <c r="AE2156" s="702">
        <f t="shared" si="165"/>
        <v>44348</v>
      </c>
      <c r="AF2156" s="289">
        <v>76.197550049851699</v>
      </c>
      <c r="AG2156">
        <f t="shared" si="166"/>
        <v>360</v>
      </c>
      <c r="AH2156" s="289">
        <f t="shared" si="167"/>
        <v>0.21165986124958805</v>
      </c>
      <c r="AJ2156" s="289">
        <f t="shared" si="168"/>
        <v>18</v>
      </c>
      <c r="AK2156" s="289">
        <f t="shared" si="169"/>
        <v>3.8098775024925851</v>
      </c>
    </row>
    <row r="2157" spans="1:37">
      <c r="A2157" s="703" t="s">
        <v>3694</v>
      </c>
      <c r="B2157" s="703" t="s">
        <v>2849</v>
      </c>
      <c r="C2157" s="703" t="s">
        <v>390</v>
      </c>
      <c r="D2157" s="703" t="s">
        <v>334</v>
      </c>
      <c r="E2157" s="703" t="s">
        <v>334</v>
      </c>
      <c r="F2157" s="703" t="s">
        <v>335</v>
      </c>
      <c r="G2157" s="703" t="s">
        <v>3415</v>
      </c>
      <c r="H2157" s="703" t="s">
        <v>334</v>
      </c>
      <c r="I2157" s="703" t="s">
        <v>334</v>
      </c>
      <c r="J2157" s="703" t="s">
        <v>337</v>
      </c>
      <c r="K2157" s="704">
        <v>0</v>
      </c>
      <c r="L2157" s="703" t="s">
        <v>334</v>
      </c>
      <c r="M2157" s="702">
        <v>43251</v>
      </c>
      <c r="N2157" s="702">
        <v>44516</v>
      </c>
      <c r="O2157" s="703" t="s">
        <v>338</v>
      </c>
      <c r="P2157" s="20">
        <v>250.16</v>
      </c>
      <c r="Q2157" s="20">
        <v>0</v>
      </c>
      <c r="R2157" s="20">
        <v>0</v>
      </c>
      <c r="S2157" s="20">
        <v>0</v>
      </c>
      <c r="T2157" s="20">
        <v>250.16</v>
      </c>
      <c r="U2157" s="20">
        <v>249.47</v>
      </c>
      <c r="V2157" s="20">
        <v>-0.69</v>
      </c>
      <c r="W2157" s="20">
        <v>-9.0299999999999994</v>
      </c>
      <c r="X2157" s="20">
        <v>-8.34</v>
      </c>
      <c r="Y2157" s="20">
        <v>0</v>
      </c>
      <c r="Z2157" s="20">
        <v>0</v>
      </c>
      <c r="AA2157" s="20">
        <v>0</v>
      </c>
      <c r="AB2157" s="20">
        <v>241.13</v>
      </c>
      <c r="AC2157" t="s">
        <v>188</v>
      </c>
      <c r="AD2157" t="s">
        <v>290</v>
      </c>
      <c r="AE2157" s="702">
        <f t="shared" si="165"/>
        <v>44348</v>
      </c>
      <c r="AF2157" s="289">
        <v>287.24501387086951</v>
      </c>
      <c r="AG2157">
        <f t="shared" si="166"/>
        <v>360</v>
      </c>
      <c r="AH2157" s="289">
        <f t="shared" si="167"/>
        <v>0.79790281630797089</v>
      </c>
      <c r="AJ2157" s="289">
        <f t="shared" si="168"/>
        <v>18</v>
      </c>
      <c r="AK2157" s="289">
        <f t="shared" si="169"/>
        <v>14.362250693543476</v>
      </c>
    </row>
    <row r="2158" spans="1:37">
      <c r="A2158" s="703" t="s">
        <v>3695</v>
      </c>
      <c r="B2158" s="703" t="s">
        <v>2849</v>
      </c>
      <c r="C2158" s="703" t="s">
        <v>390</v>
      </c>
      <c r="D2158" s="703" t="s">
        <v>334</v>
      </c>
      <c r="E2158" s="703" t="s">
        <v>334</v>
      </c>
      <c r="F2158" s="703" t="s">
        <v>335</v>
      </c>
      <c r="G2158" s="703" t="s">
        <v>3415</v>
      </c>
      <c r="H2158" s="703" t="s">
        <v>334</v>
      </c>
      <c r="I2158" s="703" t="s">
        <v>334</v>
      </c>
      <c r="J2158" s="703" t="s">
        <v>337</v>
      </c>
      <c r="K2158" s="704">
        <v>0</v>
      </c>
      <c r="L2158" s="703" t="s">
        <v>334</v>
      </c>
      <c r="M2158" s="702">
        <v>43251</v>
      </c>
      <c r="N2158" s="702">
        <v>44516</v>
      </c>
      <c r="O2158" s="703" t="s">
        <v>338</v>
      </c>
      <c r="P2158" s="20">
        <v>202.3</v>
      </c>
      <c r="Q2158" s="20">
        <v>0</v>
      </c>
      <c r="R2158" s="20">
        <v>0</v>
      </c>
      <c r="S2158" s="20">
        <v>0</v>
      </c>
      <c r="T2158" s="20">
        <v>202.3</v>
      </c>
      <c r="U2158" s="20">
        <v>201.74</v>
      </c>
      <c r="V2158" s="20">
        <v>-0.56000000000000005</v>
      </c>
      <c r="W2158" s="20">
        <v>-7.3</v>
      </c>
      <c r="X2158" s="20">
        <v>-6.74</v>
      </c>
      <c r="Y2158" s="20">
        <v>0</v>
      </c>
      <c r="Z2158" s="20">
        <v>0</v>
      </c>
      <c r="AA2158" s="20">
        <v>0</v>
      </c>
      <c r="AB2158" s="20">
        <v>195</v>
      </c>
      <c r="AC2158" t="s">
        <v>188</v>
      </c>
      <c r="AD2158" t="s">
        <v>290</v>
      </c>
      <c r="AE2158" s="702">
        <f t="shared" si="165"/>
        <v>44348</v>
      </c>
      <c r="AF2158" s="289">
        <v>232.2899996245479</v>
      </c>
      <c r="AG2158">
        <f t="shared" si="166"/>
        <v>360</v>
      </c>
      <c r="AH2158" s="289">
        <f t="shared" si="167"/>
        <v>0.64524999895707746</v>
      </c>
      <c r="AJ2158" s="289">
        <f t="shared" si="168"/>
        <v>18</v>
      </c>
      <c r="AK2158" s="289">
        <f t="shared" si="169"/>
        <v>11.614499981227395</v>
      </c>
    </row>
    <row r="2159" spans="1:37">
      <c r="A2159" s="703" t="s">
        <v>3696</v>
      </c>
      <c r="B2159" s="703" t="s">
        <v>2849</v>
      </c>
      <c r="C2159" s="703" t="s">
        <v>390</v>
      </c>
      <c r="D2159" s="703" t="s">
        <v>334</v>
      </c>
      <c r="E2159" s="703" t="s">
        <v>334</v>
      </c>
      <c r="F2159" s="703" t="s">
        <v>335</v>
      </c>
      <c r="G2159" s="703" t="s">
        <v>3415</v>
      </c>
      <c r="H2159" s="703" t="s">
        <v>334</v>
      </c>
      <c r="I2159" s="703" t="s">
        <v>334</v>
      </c>
      <c r="J2159" s="703" t="s">
        <v>337</v>
      </c>
      <c r="K2159" s="704">
        <v>0</v>
      </c>
      <c r="L2159" s="703" t="s">
        <v>334</v>
      </c>
      <c r="M2159" s="702">
        <v>43251</v>
      </c>
      <c r="N2159" s="702">
        <v>44516</v>
      </c>
      <c r="O2159" s="703" t="s">
        <v>338</v>
      </c>
      <c r="P2159" s="20">
        <v>485.98</v>
      </c>
      <c r="Q2159" s="20">
        <v>0</v>
      </c>
      <c r="R2159" s="20">
        <v>0</v>
      </c>
      <c r="S2159" s="20">
        <v>0</v>
      </c>
      <c r="T2159" s="20">
        <v>485.98</v>
      </c>
      <c r="U2159" s="20">
        <v>484.63</v>
      </c>
      <c r="V2159" s="20">
        <v>-1.35</v>
      </c>
      <c r="W2159" s="20">
        <v>-17.55</v>
      </c>
      <c r="X2159" s="20">
        <v>-16.2</v>
      </c>
      <c r="Y2159" s="20">
        <v>0</v>
      </c>
      <c r="Z2159" s="20">
        <v>0</v>
      </c>
      <c r="AA2159" s="20">
        <v>0</v>
      </c>
      <c r="AB2159" s="20">
        <v>468.43</v>
      </c>
      <c r="AC2159" t="s">
        <v>188</v>
      </c>
      <c r="AD2159" t="s">
        <v>290</v>
      </c>
      <c r="AE2159" s="702">
        <f t="shared" si="165"/>
        <v>44348</v>
      </c>
      <c r="AF2159" s="289">
        <v>558.02419188105671</v>
      </c>
      <c r="AG2159">
        <f t="shared" si="166"/>
        <v>360</v>
      </c>
      <c r="AH2159" s="289">
        <f t="shared" si="167"/>
        <v>1.550067199669602</v>
      </c>
      <c r="AJ2159" s="289">
        <f t="shared" si="168"/>
        <v>18</v>
      </c>
      <c r="AK2159" s="289">
        <f t="shared" si="169"/>
        <v>27.901209594052837</v>
      </c>
    </row>
    <row r="2160" spans="1:37">
      <c r="A2160" s="703" t="s">
        <v>3697</v>
      </c>
      <c r="B2160" s="703" t="s">
        <v>2849</v>
      </c>
      <c r="C2160" s="703" t="s">
        <v>390</v>
      </c>
      <c r="D2160" s="703" t="s">
        <v>334</v>
      </c>
      <c r="E2160" s="703" t="s">
        <v>334</v>
      </c>
      <c r="F2160" s="703" t="s">
        <v>335</v>
      </c>
      <c r="G2160" s="703" t="s">
        <v>3415</v>
      </c>
      <c r="H2160" s="703" t="s">
        <v>334</v>
      </c>
      <c r="I2160" s="703" t="s">
        <v>334</v>
      </c>
      <c r="J2160" s="703" t="s">
        <v>337</v>
      </c>
      <c r="K2160" s="704">
        <v>0</v>
      </c>
      <c r="L2160" s="703" t="s">
        <v>334</v>
      </c>
      <c r="M2160" s="702">
        <v>43251</v>
      </c>
      <c r="N2160" s="702">
        <v>44516</v>
      </c>
      <c r="O2160" s="703" t="s">
        <v>338</v>
      </c>
      <c r="P2160" s="20">
        <v>3850.94</v>
      </c>
      <c r="Q2160" s="20">
        <v>0</v>
      </c>
      <c r="R2160" s="20">
        <v>0</v>
      </c>
      <c r="S2160" s="20">
        <v>0</v>
      </c>
      <c r="T2160" s="20">
        <v>3850.94</v>
      </c>
      <c r="U2160" s="20">
        <v>3840.24</v>
      </c>
      <c r="V2160" s="20">
        <v>-10.7</v>
      </c>
      <c r="W2160" s="20">
        <v>-139.06</v>
      </c>
      <c r="X2160" s="20">
        <v>-128.36000000000001</v>
      </c>
      <c r="Y2160" s="20">
        <v>0</v>
      </c>
      <c r="Z2160" s="20">
        <v>0</v>
      </c>
      <c r="AA2160" s="20">
        <v>0</v>
      </c>
      <c r="AB2160" s="20">
        <v>3711.88</v>
      </c>
      <c r="AC2160" t="s">
        <v>188</v>
      </c>
      <c r="AD2160" t="s">
        <v>290</v>
      </c>
      <c r="AE2160" s="702">
        <f t="shared" si="165"/>
        <v>44348</v>
      </c>
      <c r="AF2160" s="289">
        <v>4421.8232879592506</v>
      </c>
      <c r="AG2160">
        <f t="shared" si="166"/>
        <v>360</v>
      </c>
      <c r="AH2160" s="289">
        <f t="shared" si="167"/>
        <v>12.282842466553474</v>
      </c>
      <c r="AJ2160" s="289">
        <f t="shared" si="168"/>
        <v>18</v>
      </c>
      <c r="AK2160" s="289">
        <f t="shared" si="169"/>
        <v>221.09116439796253</v>
      </c>
    </row>
    <row r="2161" spans="1:37">
      <c r="A2161" s="703" t="s">
        <v>3698</v>
      </c>
      <c r="B2161" s="703" t="s">
        <v>2849</v>
      </c>
      <c r="C2161" s="703" t="s">
        <v>390</v>
      </c>
      <c r="D2161" s="703" t="s">
        <v>334</v>
      </c>
      <c r="E2161" s="703" t="s">
        <v>334</v>
      </c>
      <c r="F2161" s="703" t="s">
        <v>335</v>
      </c>
      <c r="G2161" s="703" t="s">
        <v>3415</v>
      </c>
      <c r="H2161" s="703" t="s">
        <v>334</v>
      </c>
      <c r="I2161" s="703" t="s">
        <v>334</v>
      </c>
      <c r="J2161" s="703" t="s">
        <v>337</v>
      </c>
      <c r="K2161" s="704">
        <v>0</v>
      </c>
      <c r="L2161" s="703" t="s">
        <v>334</v>
      </c>
      <c r="M2161" s="702">
        <v>43251</v>
      </c>
      <c r="N2161" s="702">
        <v>44516</v>
      </c>
      <c r="O2161" s="703" t="s">
        <v>338</v>
      </c>
      <c r="P2161" s="20">
        <v>403.33</v>
      </c>
      <c r="Q2161" s="20">
        <v>0</v>
      </c>
      <c r="R2161" s="20">
        <v>0</v>
      </c>
      <c r="S2161" s="20">
        <v>0</v>
      </c>
      <c r="T2161" s="20">
        <v>403.33</v>
      </c>
      <c r="U2161" s="20">
        <v>402.21</v>
      </c>
      <c r="V2161" s="20">
        <v>-1.1200000000000001</v>
      </c>
      <c r="W2161" s="20">
        <v>-14.56</v>
      </c>
      <c r="X2161" s="20">
        <v>-13.44</v>
      </c>
      <c r="Y2161" s="20">
        <v>0</v>
      </c>
      <c r="Z2161" s="20">
        <v>0</v>
      </c>
      <c r="AA2161" s="20">
        <v>0</v>
      </c>
      <c r="AB2161" s="20">
        <v>388.77</v>
      </c>
      <c r="AC2161" t="s">
        <v>188</v>
      </c>
      <c r="AD2161" t="s">
        <v>290</v>
      </c>
      <c r="AE2161" s="702">
        <f t="shared" si="165"/>
        <v>44348</v>
      </c>
      <c r="AF2161" s="289">
        <v>463.12172787231287</v>
      </c>
      <c r="AG2161">
        <f t="shared" si="166"/>
        <v>360</v>
      </c>
      <c r="AH2161" s="289">
        <f t="shared" si="167"/>
        <v>1.2864492440897579</v>
      </c>
      <c r="AJ2161" s="289">
        <f t="shared" si="168"/>
        <v>18</v>
      </c>
      <c r="AK2161" s="289">
        <f t="shared" si="169"/>
        <v>23.156086393615642</v>
      </c>
    </row>
    <row r="2162" spans="1:37">
      <c r="A2162" s="703" t="s">
        <v>3699</v>
      </c>
      <c r="B2162" s="703" t="s">
        <v>2849</v>
      </c>
      <c r="C2162" s="703" t="s">
        <v>390</v>
      </c>
      <c r="D2162" s="703" t="s">
        <v>334</v>
      </c>
      <c r="E2162" s="703" t="s">
        <v>334</v>
      </c>
      <c r="F2162" s="703" t="s">
        <v>335</v>
      </c>
      <c r="G2162" s="703" t="s">
        <v>3415</v>
      </c>
      <c r="H2162" s="703" t="s">
        <v>334</v>
      </c>
      <c r="I2162" s="703" t="s">
        <v>334</v>
      </c>
      <c r="J2162" s="703" t="s">
        <v>337</v>
      </c>
      <c r="K2162" s="704">
        <v>0</v>
      </c>
      <c r="L2162" s="703" t="s">
        <v>334</v>
      </c>
      <c r="M2162" s="702">
        <v>43251</v>
      </c>
      <c r="N2162" s="702">
        <v>44516</v>
      </c>
      <c r="O2162" s="703" t="s">
        <v>338</v>
      </c>
      <c r="P2162" s="20">
        <v>122.75</v>
      </c>
      <c r="Q2162" s="20">
        <v>0</v>
      </c>
      <c r="R2162" s="20">
        <v>0</v>
      </c>
      <c r="S2162" s="20">
        <v>0</v>
      </c>
      <c r="T2162" s="20">
        <v>122.75</v>
      </c>
      <c r="U2162" s="20">
        <v>122.41</v>
      </c>
      <c r="V2162" s="20">
        <v>-0.34</v>
      </c>
      <c r="W2162" s="20">
        <v>-4.43</v>
      </c>
      <c r="X2162" s="20">
        <v>-4.09</v>
      </c>
      <c r="Y2162" s="20">
        <v>0</v>
      </c>
      <c r="Z2162" s="20">
        <v>0</v>
      </c>
      <c r="AA2162" s="20">
        <v>0</v>
      </c>
      <c r="AB2162" s="20">
        <v>118.32</v>
      </c>
      <c r="AC2162" t="s">
        <v>188</v>
      </c>
      <c r="AD2162" t="s">
        <v>290</v>
      </c>
      <c r="AE2162" s="702">
        <f t="shared" si="165"/>
        <v>44348</v>
      </c>
      <c r="AF2162" s="289">
        <v>140.94709566936854</v>
      </c>
      <c r="AG2162">
        <f t="shared" si="166"/>
        <v>360</v>
      </c>
      <c r="AH2162" s="289">
        <f t="shared" si="167"/>
        <v>0.39151971019269038</v>
      </c>
      <c r="AJ2162" s="289">
        <f t="shared" si="168"/>
        <v>18</v>
      </c>
      <c r="AK2162" s="289">
        <f t="shared" si="169"/>
        <v>7.0473547834684265</v>
      </c>
    </row>
    <row r="2163" spans="1:37">
      <c r="A2163" s="703" t="s">
        <v>3700</v>
      </c>
      <c r="B2163" s="703" t="s">
        <v>2849</v>
      </c>
      <c r="C2163" s="703" t="s">
        <v>390</v>
      </c>
      <c r="D2163" s="703" t="s">
        <v>334</v>
      </c>
      <c r="E2163" s="703" t="s">
        <v>334</v>
      </c>
      <c r="F2163" s="703" t="s">
        <v>335</v>
      </c>
      <c r="G2163" s="703" t="s">
        <v>3415</v>
      </c>
      <c r="H2163" s="703" t="s">
        <v>334</v>
      </c>
      <c r="I2163" s="703" t="s">
        <v>334</v>
      </c>
      <c r="J2163" s="703" t="s">
        <v>337</v>
      </c>
      <c r="K2163" s="704">
        <v>0</v>
      </c>
      <c r="L2163" s="703" t="s">
        <v>334</v>
      </c>
      <c r="M2163" s="702">
        <v>43251</v>
      </c>
      <c r="N2163" s="702">
        <v>44516</v>
      </c>
      <c r="O2163" s="703" t="s">
        <v>338</v>
      </c>
      <c r="P2163" s="20">
        <v>134.44</v>
      </c>
      <c r="Q2163" s="20">
        <v>0</v>
      </c>
      <c r="R2163" s="20">
        <v>0</v>
      </c>
      <c r="S2163" s="20">
        <v>0</v>
      </c>
      <c r="T2163" s="20">
        <v>134.44</v>
      </c>
      <c r="U2163" s="20">
        <v>134.07</v>
      </c>
      <c r="V2163" s="20">
        <v>-0.37</v>
      </c>
      <c r="W2163" s="20">
        <v>-4.8499999999999996</v>
      </c>
      <c r="X2163" s="20">
        <v>-4.4800000000000004</v>
      </c>
      <c r="Y2163" s="20">
        <v>0</v>
      </c>
      <c r="Z2163" s="20">
        <v>0</v>
      </c>
      <c r="AA2163" s="20">
        <v>0</v>
      </c>
      <c r="AB2163" s="20">
        <v>129.59</v>
      </c>
      <c r="AC2163" t="s">
        <v>188</v>
      </c>
      <c r="AD2163" t="s">
        <v>290</v>
      </c>
      <c r="AE2163" s="702">
        <f t="shared" si="165"/>
        <v>44348</v>
      </c>
      <c r="AF2163" s="289">
        <v>154.37008180684242</v>
      </c>
      <c r="AG2163">
        <f t="shared" si="166"/>
        <v>360</v>
      </c>
      <c r="AH2163" s="289">
        <f t="shared" si="167"/>
        <v>0.4288057827967845</v>
      </c>
      <c r="AJ2163" s="289">
        <f t="shared" si="168"/>
        <v>18</v>
      </c>
      <c r="AK2163" s="289">
        <f t="shared" si="169"/>
        <v>7.7185040903421207</v>
      </c>
    </row>
    <row r="2164" spans="1:37">
      <c r="A2164" s="703" t="s">
        <v>3701</v>
      </c>
      <c r="B2164" s="703" t="s">
        <v>2849</v>
      </c>
      <c r="C2164" s="703" t="s">
        <v>390</v>
      </c>
      <c r="D2164" s="703" t="s">
        <v>334</v>
      </c>
      <c r="E2164" s="703" t="s">
        <v>334</v>
      </c>
      <c r="F2164" s="703" t="s">
        <v>335</v>
      </c>
      <c r="G2164" s="703" t="s">
        <v>3415</v>
      </c>
      <c r="H2164" s="703" t="s">
        <v>334</v>
      </c>
      <c r="I2164" s="703" t="s">
        <v>334</v>
      </c>
      <c r="J2164" s="703" t="s">
        <v>337</v>
      </c>
      <c r="K2164" s="704">
        <v>0</v>
      </c>
      <c r="L2164" s="703" t="s">
        <v>334</v>
      </c>
      <c r="M2164" s="702">
        <v>43251</v>
      </c>
      <c r="N2164" s="702">
        <v>44516</v>
      </c>
      <c r="O2164" s="703" t="s">
        <v>338</v>
      </c>
      <c r="P2164" s="20">
        <v>4.2</v>
      </c>
      <c r="Q2164" s="20">
        <v>0</v>
      </c>
      <c r="R2164" s="20">
        <v>0</v>
      </c>
      <c r="S2164" s="20">
        <v>0</v>
      </c>
      <c r="T2164" s="20">
        <v>4.2</v>
      </c>
      <c r="U2164" s="20">
        <v>4.1900000000000004</v>
      </c>
      <c r="V2164" s="20">
        <v>-0.01</v>
      </c>
      <c r="W2164" s="20">
        <v>-0.15</v>
      </c>
      <c r="X2164" s="20">
        <v>-0.14000000000000001</v>
      </c>
      <c r="Y2164" s="20">
        <v>0</v>
      </c>
      <c r="Z2164" s="20">
        <v>0</v>
      </c>
      <c r="AA2164" s="20">
        <v>0</v>
      </c>
      <c r="AB2164" s="20">
        <v>4.05</v>
      </c>
      <c r="AC2164" t="s">
        <v>188</v>
      </c>
      <c r="AD2164" t="s">
        <v>290</v>
      </c>
      <c r="AE2164" s="702">
        <f t="shared" si="165"/>
        <v>44348</v>
      </c>
      <c r="AF2164" s="289">
        <v>4.8226297499906146</v>
      </c>
      <c r="AG2164">
        <f t="shared" si="166"/>
        <v>360</v>
      </c>
      <c r="AH2164" s="289">
        <f t="shared" si="167"/>
        <v>1.3396193749973929E-2</v>
      </c>
      <c r="AJ2164" s="289">
        <f t="shared" si="168"/>
        <v>18</v>
      </c>
      <c r="AK2164" s="289">
        <f t="shared" si="169"/>
        <v>0.24113148749953073</v>
      </c>
    </row>
    <row r="2165" spans="1:37">
      <c r="A2165" s="703" t="s">
        <v>3702</v>
      </c>
      <c r="B2165" s="703" t="s">
        <v>2849</v>
      </c>
      <c r="C2165" s="703" t="s">
        <v>390</v>
      </c>
      <c r="D2165" s="703" t="s">
        <v>334</v>
      </c>
      <c r="E2165" s="703" t="s">
        <v>334</v>
      </c>
      <c r="F2165" s="703" t="s">
        <v>335</v>
      </c>
      <c r="G2165" s="703" t="s">
        <v>3415</v>
      </c>
      <c r="H2165" s="703" t="s">
        <v>334</v>
      </c>
      <c r="I2165" s="703" t="s">
        <v>334</v>
      </c>
      <c r="J2165" s="703" t="s">
        <v>337</v>
      </c>
      <c r="K2165" s="704">
        <v>0</v>
      </c>
      <c r="L2165" s="703" t="s">
        <v>334</v>
      </c>
      <c r="M2165" s="702">
        <v>43251</v>
      </c>
      <c r="N2165" s="702">
        <v>44516</v>
      </c>
      <c r="O2165" s="703" t="s">
        <v>338</v>
      </c>
      <c r="P2165" s="20">
        <v>9.49</v>
      </c>
      <c r="Q2165" s="20">
        <v>0</v>
      </c>
      <c r="R2165" s="20">
        <v>0</v>
      </c>
      <c r="S2165" s="20">
        <v>0</v>
      </c>
      <c r="T2165" s="20">
        <v>9.49</v>
      </c>
      <c r="U2165" s="20">
        <v>9.4600000000000009</v>
      </c>
      <c r="V2165" s="20">
        <v>-0.03</v>
      </c>
      <c r="W2165" s="20">
        <v>-0.35</v>
      </c>
      <c r="X2165" s="20">
        <v>-0.32</v>
      </c>
      <c r="Y2165" s="20">
        <v>0</v>
      </c>
      <c r="Z2165" s="20">
        <v>0</v>
      </c>
      <c r="AA2165" s="20">
        <v>0</v>
      </c>
      <c r="AB2165" s="20">
        <v>9.14</v>
      </c>
      <c r="AC2165" t="s">
        <v>188</v>
      </c>
      <c r="AD2165" t="s">
        <v>290</v>
      </c>
      <c r="AE2165" s="702">
        <f t="shared" si="165"/>
        <v>44348</v>
      </c>
      <c r="AF2165" s="289">
        <v>10.89684674462165</v>
      </c>
      <c r="AG2165">
        <f t="shared" si="166"/>
        <v>360</v>
      </c>
      <c r="AH2165" s="289">
        <f t="shared" si="167"/>
        <v>3.0269018735060139E-2</v>
      </c>
      <c r="AJ2165" s="289">
        <f t="shared" si="168"/>
        <v>18</v>
      </c>
      <c r="AK2165" s="289">
        <f t="shared" si="169"/>
        <v>0.54484233723108255</v>
      </c>
    </row>
    <row r="2166" spans="1:37">
      <c r="A2166" s="703" t="s">
        <v>3703</v>
      </c>
      <c r="B2166" s="703" t="s">
        <v>2849</v>
      </c>
      <c r="C2166" s="703" t="s">
        <v>390</v>
      </c>
      <c r="D2166" s="703" t="s">
        <v>334</v>
      </c>
      <c r="E2166" s="703" t="s">
        <v>334</v>
      </c>
      <c r="F2166" s="703" t="s">
        <v>335</v>
      </c>
      <c r="G2166" s="703" t="s">
        <v>3415</v>
      </c>
      <c r="H2166" s="703" t="s">
        <v>334</v>
      </c>
      <c r="I2166" s="703" t="s">
        <v>334</v>
      </c>
      <c r="J2166" s="703" t="s">
        <v>337</v>
      </c>
      <c r="K2166" s="704">
        <v>0</v>
      </c>
      <c r="L2166" s="703" t="s">
        <v>334</v>
      </c>
      <c r="M2166" s="702">
        <v>43251</v>
      </c>
      <c r="N2166" s="702">
        <v>44516</v>
      </c>
      <c r="O2166" s="703" t="s">
        <v>338</v>
      </c>
      <c r="P2166" s="20">
        <v>135.52000000000001</v>
      </c>
      <c r="Q2166" s="20">
        <v>0</v>
      </c>
      <c r="R2166" s="20">
        <v>0</v>
      </c>
      <c r="S2166" s="20">
        <v>0</v>
      </c>
      <c r="T2166" s="20">
        <v>135.52000000000001</v>
      </c>
      <c r="U2166" s="20">
        <v>135.13999999999999</v>
      </c>
      <c r="V2166" s="20">
        <v>-0.38</v>
      </c>
      <c r="W2166" s="20">
        <v>-4.9000000000000004</v>
      </c>
      <c r="X2166" s="20">
        <v>-4.5199999999999996</v>
      </c>
      <c r="Y2166" s="20">
        <v>0</v>
      </c>
      <c r="Z2166" s="20">
        <v>0</v>
      </c>
      <c r="AA2166" s="20">
        <v>0</v>
      </c>
      <c r="AB2166" s="20">
        <v>130.62</v>
      </c>
      <c r="AC2166" t="s">
        <v>188</v>
      </c>
      <c r="AD2166" t="s">
        <v>290</v>
      </c>
      <c r="AE2166" s="702">
        <f t="shared" si="165"/>
        <v>44348</v>
      </c>
      <c r="AF2166" s="289">
        <v>155.61018659969713</v>
      </c>
      <c r="AG2166">
        <f t="shared" si="166"/>
        <v>360</v>
      </c>
      <c r="AH2166" s="289">
        <f t="shared" si="167"/>
        <v>0.43225051833249201</v>
      </c>
      <c r="AJ2166" s="289">
        <f t="shared" si="168"/>
        <v>18</v>
      </c>
      <c r="AK2166" s="289">
        <f t="shared" si="169"/>
        <v>7.7805093299848558</v>
      </c>
    </row>
    <row r="2167" spans="1:37">
      <c r="A2167" s="703" t="s">
        <v>3704</v>
      </c>
      <c r="B2167" s="703" t="s">
        <v>2849</v>
      </c>
      <c r="C2167" s="703" t="s">
        <v>390</v>
      </c>
      <c r="D2167" s="703" t="s">
        <v>334</v>
      </c>
      <c r="E2167" s="703" t="s">
        <v>334</v>
      </c>
      <c r="F2167" s="703" t="s">
        <v>335</v>
      </c>
      <c r="G2167" s="703" t="s">
        <v>3415</v>
      </c>
      <c r="H2167" s="703" t="s">
        <v>334</v>
      </c>
      <c r="I2167" s="703" t="s">
        <v>334</v>
      </c>
      <c r="J2167" s="703" t="s">
        <v>337</v>
      </c>
      <c r="K2167" s="704">
        <v>0</v>
      </c>
      <c r="L2167" s="703" t="s">
        <v>334</v>
      </c>
      <c r="M2167" s="702">
        <v>43251</v>
      </c>
      <c r="N2167" s="702">
        <v>44516</v>
      </c>
      <c r="O2167" s="703" t="s">
        <v>338</v>
      </c>
      <c r="P2167" s="20">
        <v>15.19</v>
      </c>
      <c r="Q2167" s="20">
        <v>0</v>
      </c>
      <c r="R2167" s="20">
        <v>0</v>
      </c>
      <c r="S2167" s="20">
        <v>0</v>
      </c>
      <c r="T2167" s="20">
        <v>15.19</v>
      </c>
      <c r="U2167" s="20">
        <v>15.15</v>
      </c>
      <c r="V2167" s="20">
        <v>-0.04</v>
      </c>
      <c r="W2167" s="20">
        <v>-0.55000000000000004</v>
      </c>
      <c r="X2167" s="20">
        <v>-0.51</v>
      </c>
      <c r="Y2167" s="20">
        <v>0</v>
      </c>
      <c r="Z2167" s="20">
        <v>0</v>
      </c>
      <c r="AA2167" s="20">
        <v>0</v>
      </c>
      <c r="AB2167" s="20">
        <v>14.64</v>
      </c>
      <c r="AC2167" t="s">
        <v>188</v>
      </c>
      <c r="AD2167" t="s">
        <v>290</v>
      </c>
      <c r="AE2167" s="702">
        <f t="shared" si="165"/>
        <v>44348</v>
      </c>
      <c r="AF2167" s="289">
        <v>17.441844262466052</v>
      </c>
      <c r="AG2167">
        <f t="shared" si="166"/>
        <v>360</v>
      </c>
      <c r="AH2167" s="289">
        <f t="shared" si="167"/>
        <v>4.8449567395739031E-2</v>
      </c>
      <c r="AJ2167" s="289">
        <f t="shared" si="168"/>
        <v>18</v>
      </c>
      <c r="AK2167" s="289">
        <f t="shared" si="169"/>
        <v>0.87209221312330254</v>
      </c>
    </row>
    <row r="2168" spans="1:37">
      <c r="A2168" s="703" t="s">
        <v>3705</v>
      </c>
      <c r="B2168" s="703" t="s">
        <v>2849</v>
      </c>
      <c r="C2168" s="703" t="s">
        <v>390</v>
      </c>
      <c r="D2168" s="703" t="s">
        <v>334</v>
      </c>
      <c r="E2168" s="703" t="s">
        <v>334</v>
      </c>
      <c r="F2168" s="703" t="s">
        <v>335</v>
      </c>
      <c r="G2168" s="703" t="s">
        <v>3415</v>
      </c>
      <c r="H2168" s="703" t="s">
        <v>334</v>
      </c>
      <c r="I2168" s="703" t="s">
        <v>334</v>
      </c>
      <c r="J2168" s="703" t="s">
        <v>337</v>
      </c>
      <c r="K2168" s="704">
        <v>0</v>
      </c>
      <c r="L2168" s="703" t="s">
        <v>334</v>
      </c>
      <c r="M2168" s="702">
        <v>43251</v>
      </c>
      <c r="N2168" s="702">
        <v>44516</v>
      </c>
      <c r="O2168" s="703" t="s">
        <v>338</v>
      </c>
      <c r="P2168" s="20">
        <v>39.159999999999997</v>
      </c>
      <c r="Q2168" s="20">
        <v>0</v>
      </c>
      <c r="R2168" s="20">
        <v>0</v>
      </c>
      <c r="S2168" s="20">
        <v>0</v>
      </c>
      <c r="T2168" s="20">
        <v>39.159999999999997</v>
      </c>
      <c r="U2168" s="20">
        <v>39.049999999999997</v>
      </c>
      <c r="V2168" s="20">
        <v>-0.11</v>
      </c>
      <c r="W2168" s="20">
        <v>-1.42</v>
      </c>
      <c r="X2168" s="20">
        <v>-1.31</v>
      </c>
      <c r="Y2168" s="20">
        <v>0</v>
      </c>
      <c r="Z2168" s="20">
        <v>0</v>
      </c>
      <c r="AA2168" s="20">
        <v>0</v>
      </c>
      <c r="AB2168" s="20">
        <v>37.74</v>
      </c>
      <c r="AC2168" t="s">
        <v>188</v>
      </c>
      <c r="AD2168" t="s">
        <v>290</v>
      </c>
      <c r="AE2168" s="702">
        <f t="shared" si="165"/>
        <v>44348</v>
      </c>
      <c r="AF2168" s="289">
        <v>44.965281192769623</v>
      </c>
      <c r="AG2168">
        <f t="shared" si="166"/>
        <v>360</v>
      </c>
      <c r="AH2168" s="289">
        <f t="shared" si="167"/>
        <v>0.12490355886880451</v>
      </c>
      <c r="AJ2168" s="289">
        <f t="shared" si="168"/>
        <v>18</v>
      </c>
      <c r="AK2168" s="289">
        <f t="shared" si="169"/>
        <v>2.2482640596384811</v>
      </c>
    </row>
    <row r="2169" spans="1:37">
      <c r="A2169" s="703" t="s">
        <v>3706</v>
      </c>
      <c r="B2169" s="703" t="s">
        <v>2849</v>
      </c>
      <c r="C2169" s="703" t="s">
        <v>390</v>
      </c>
      <c r="D2169" s="703" t="s">
        <v>334</v>
      </c>
      <c r="E2169" s="703" t="s">
        <v>334</v>
      </c>
      <c r="F2169" s="703" t="s">
        <v>335</v>
      </c>
      <c r="G2169" s="703" t="s">
        <v>3415</v>
      </c>
      <c r="H2169" s="703" t="s">
        <v>334</v>
      </c>
      <c r="I2169" s="703" t="s">
        <v>334</v>
      </c>
      <c r="J2169" s="703" t="s">
        <v>337</v>
      </c>
      <c r="K2169" s="704">
        <v>0</v>
      </c>
      <c r="L2169" s="703" t="s">
        <v>334</v>
      </c>
      <c r="M2169" s="702">
        <v>43251</v>
      </c>
      <c r="N2169" s="702">
        <v>44516</v>
      </c>
      <c r="O2169" s="703" t="s">
        <v>338</v>
      </c>
      <c r="P2169" s="20">
        <v>98.39</v>
      </c>
      <c r="Q2169" s="20">
        <v>0</v>
      </c>
      <c r="R2169" s="20">
        <v>0</v>
      </c>
      <c r="S2169" s="20">
        <v>0</v>
      </c>
      <c r="T2169" s="20">
        <v>98.39</v>
      </c>
      <c r="U2169" s="20">
        <v>98.12</v>
      </c>
      <c r="V2169" s="20">
        <v>-0.27</v>
      </c>
      <c r="W2169" s="20">
        <v>-3.55</v>
      </c>
      <c r="X2169" s="20">
        <v>-3.28</v>
      </c>
      <c r="Y2169" s="20">
        <v>0</v>
      </c>
      <c r="Z2169" s="20">
        <v>0</v>
      </c>
      <c r="AA2169" s="20">
        <v>0</v>
      </c>
      <c r="AB2169" s="20">
        <v>94.84</v>
      </c>
      <c r="AC2169" t="s">
        <v>188</v>
      </c>
      <c r="AD2169" t="s">
        <v>290</v>
      </c>
      <c r="AE2169" s="702">
        <f t="shared" si="165"/>
        <v>44348</v>
      </c>
      <c r="AF2169" s="289">
        <v>112.97584311942298</v>
      </c>
      <c r="AG2169">
        <f t="shared" si="166"/>
        <v>360</v>
      </c>
      <c r="AH2169" s="289">
        <f t="shared" si="167"/>
        <v>0.31382178644284159</v>
      </c>
      <c r="AJ2169" s="289">
        <f t="shared" si="168"/>
        <v>18</v>
      </c>
      <c r="AK2169" s="289">
        <f t="shared" si="169"/>
        <v>5.6487921559711483</v>
      </c>
    </row>
    <row r="2170" spans="1:37">
      <c r="A2170" s="703" t="s">
        <v>3707</v>
      </c>
      <c r="B2170" s="703" t="s">
        <v>2849</v>
      </c>
      <c r="C2170" s="703" t="s">
        <v>390</v>
      </c>
      <c r="D2170" s="703" t="s">
        <v>334</v>
      </c>
      <c r="E2170" s="703" t="s">
        <v>334</v>
      </c>
      <c r="F2170" s="703" t="s">
        <v>335</v>
      </c>
      <c r="G2170" s="703" t="s">
        <v>3415</v>
      </c>
      <c r="H2170" s="703" t="s">
        <v>334</v>
      </c>
      <c r="I2170" s="703" t="s">
        <v>334</v>
      </c>
      <c r="J2170" s="703" t="s">
        <v>337</v>
      </c>
      <c r="K2170" s="704">
        <v>0</v>
      </c>
      <c r="L2170" s="703" t="s">
        <v>334</v>
      </c>
      <c r="M2170" s="702">
        <v>43251</v>
      </c>
      <c r="N2170" s="702">
        <v>44516</v>
      </c>
      <c r="O2170" s="703" t="s">
        <v>338</v>
      </c>
      <c r="P2170" s="20">
        <v>105.76</v>
      </c>
      <c r="Q2170" s="20">
        <v>0</v>
      </c>
      <c r="R2170" s="20">
        <v>0</v>
      </c>
      <c r="S2170" s="20">
        <v>0</v>
      </c>
      <c r="T2170" s="20">
        <v>105.76</v>
      </c>
      <c r="U2170" s="20">
        <v>105.47</v>
      </c>
      <c r="V2170" s="20">
        <v>-0.28999999999999998</v>
      </c>
      <c r="W2170" s="20">
        <v>-3.82</v>
      </c>
      <c r="X2170" s="20">
        <v>-3.53</v>
      </c>
      <c r="Y2170" s="20">
        <v>0</v>
      </c>
      <c r="Z2170" s="20">
        <v>0</v>
      </c>
      <c r="AA2170" s="20">
        <v>0</v>
      </c>
      <c r="AB2170" s="20">
        <v>101.94</v>
      </c>
      <c r="AC2170" t="s">
        <v>188</v>
      </c>
      <c r="AD2170" t="s">
        <v>290</v>
      </c>
      <c r="AE2170" s="702">
        <f t="shared" si="165"/>
        <v>44348</v>
      </c>
      <c r="AF2170" s="289">
        <v>121.43841008547794</v>
      </c>
      <c r="AG2170">
        <f t="shared" si="166"/>
        <v>360</v>
      </c>
      <c r="AH2170" s="289">
        <f t="shared" si="167"/>
        <v>0.33732891690410538</v>
      </c>
      <c r="AJ2170" s="289">
        <f t="shared" si="168"/>
        <v>18</v>
      </c>
      <c r="AK2170" s="289">
        <f t="shared" si="169"/>
        <v>6.0719205042738968</v>
      </c>
    </row>
    <row r="2171" spans="1:37">
      <c r="A2171" s="703" t="s">
        <v>3708</v>
      </c>
      <c r="B2171" s="703" t="s">
        <v>2849</v>
      </c>
      <c r="C2171" s="703" t="s">
        <v>390</v>
      </c>
      <c r="D2171" s="703" t="s">
        <v>334</v>
      </c>
      <c r="E2171" s="703" t="s">
        <v>334</v>
      </c>
      <c r="F2171" s="703" t="s">
        <v>335</v>
      </c>
      <c r="G2171" s="703" t="s">
        <v>3415</v>
      </c>
      <c r="H2171" s="703" t="s">
        <v>334</v>
      </c>
      <c r="I2171" s="703" t="s">
        <v>334</v>
      </c>
      <c r="J2171" s="703" t="s">
        <v>337</v>
      </c>
      <c r="K2171" s="704">
        <v>0</v>
      </c>
      <c r="L2171" s="703" t="s">
        <v>334</v>
      </c>
      <c r="M2171" s="702">
        <v>43251</v>
      </c>
      <c r="N2171" s="702">
        <v>44516</v>
      </c>
      <c r="O2171" s="703" t="s">
        <v>338</v>
      </c>
      <c r="P2171" s="20">
        <v>26.52</v>
      </c>
      <c r="Q2171" s="20">
        <v>0</v>
      </c>
      <c r="R2171" s="20">
        <v>0</v>
      </c>
      <c r="S2171" s="20">
        <v>0</v>
      </c>
      <c r="T2171" s="20">
        <v>26.52</v>
      </c>
      <c r="U2171" s="20">
        <v>26.45</v>
      </c>
      <c r="V2171" s="20">
        <v>-7.0000000000000007E-2</v>
      </c>
      <c r="W2171" s="20">
        <v>-0.95</v>
      </c>
      <c r="X2171" s="20">
        <v>-0.88</v>
      </c>
      <c r="Y2171" s="20">
        <v>0</v>
      </c>
      <c r="Z2171" s="20">
        <v>0</v>
      </c>
      <c r="AA2171" s="20">
        <v>0</v>
      </c>
      <c r="AB2171" s="20">
        <v>25.57</v>
      </c>
      <c r="AC2171" t="s">
        <v>188</v>
      </c>
      <c r="AD2171" t="s">
        <v>290</v>
      </c>
      <c r="AE2171" s="702">
        <f t="shared" si="165"/>
        <v>44348</v>
      </c>
      <c r="AF2171" s="289">
        <v>30.451462135655017</v>
      </c>
      <c r="AG2171">
        <f t="shared" si="166"/>
        <v>360</v>
      </c>
      <c r="AH2171" s="289">
        <f t="shared" si="167"/>
        <v>8.4587394821263942E-2</v>
      </c>
      <c r="AJ2171" s="289">
        <f t="shared" si="168"/>
        <v>18</v>
      </c>
      <c r="AK2171" s="289">
        <f t="shared" si="169"/>
        <v>1.522573106782751</v>
      </c>
    </row>
    <row r="2172" spans="1:37">
      <c r="A2172" s="703" t="s">
        <v>3709</v>
      </c>
      <c r="B2172" s="703" t="s">
        <v>2849</v>
      </c>
      <c r="C2172" s="703" t="s">
        <v>390</v>
      </c>
      <c r="D2172" s="703" t="s">
        <v>334</v>
      </c>
      <c r="E2172" s="703" t="s">
        <v>334</v>
      </c>
      <c r="F2172" s="703" t="s">
        <v>335</v>
      </c>
      <c r="G2172" s="703" t="s">
        <v>3415</v>
      </c>
      <c r="H2172" s="703" t="s">
        <v>334</v>
      </c>
      <c r="I2172" s="703" t="s">
        <v>334</v>
      </c>
      <c r="J2172" s="703" t="s">
        <v>337</v>
      </c>
      <c r="K2172" s="704">
        <v>0</v>
      </c>
      <c r="L2172" s="703" t="s">
        <v>334</v>
      </c>
      <c r="M2172" s="702">
        <v>43251</v>
      </c>
      <c r="N2172" s="702">
        <v>44516</v>
      </c>
      <c r="O2172" s="703" t="s">
        <v>338</v>
      </c>
      <c r="P2172" s="20">
        <v>13.99</v>
      </c>
      <c r="Q2172" s="20">
        <v>0</v>
      </c>
      <c r="R2172" s="20">
        <v>0</v>
      </c>
      <c r="S2172" s="20">
        <v>0</v>
      </c>
      <c r="T2172" s="20">
        <v>13.99</v>
      </c>
      <c r="U2172" s="20">
        <v>13.95</v>
      </c>
      <c r="V2172" s="20">
        <v>-0.04</v>
      </c>
      <c r="W2172" s="20">
        <v>-0.51</v>
      </c>
      <c r="X2172" s="20">
        <v>-0.47</v>
      </c>
      <c r="Y2172" s="20">
        <v>0</v>
      </c>
      <c r="Z2172" s="20">
        <v>0</v>
      </c>
      <c r="AA2172" s="20">
        <v>0</v>
      </c>
      <c r="AB2172" s="20">
        <v>13.48</v>
      </c>
      <c r="AC2172" t="s">
        <v>188</v>
      </c>
      <c r="AD2172" t="s">
        <v>290</v>
      </c>
      <c r="AE2172" s="702">
        <f t="shared" si="165"/>
        <v>44348</v>
      </c>
      <c r="AF2172" s="289">
        <v>16.06395004818302</v>
      </c>
      <c r="AG2172">
        <f t="shared" si="166"/>
        <v>360</v>
      </c>
      <c r="AH2172" s="289">
        <f t="shared" si="167"/>
        <v>4.4622083467175055E-2</v>
      </c>
      <c r="AJ2172" s="289">
        <f t="shared" si="168"/>
        <v>18</v>
      </c>
      <c r="AK2172" s="289">
        <f t="shared" si="169"/>
        <v>0.803197502409151</v>
      </c>
    </row>
    <row r="2173" spans="1:37">
      <c r="A2173" s="703" t="s">
        <v>3710</v>
      </c>
      <c r="B2173" s="703" t="s">
        <v>2849</v>
      </c>
      <c r="C2173" s="703" t="s">
        <v>390</v>
      </c>
      <c r="D2173" s="703" t="s">
        <v>334</v>
      </c>
      <c r="E2173" s="703" t="s">
        <v>334</v>
      </c>
      <c r="F2173" s="703" t="s">
        <v>335</v>
      </c>
      <c r="G2173" s="703" t="s">
        <v>3415</v>
      </c>
      <c r="H2173" s="703" t="s">
        <v>334</v>
      </c>
      <c r="I2173" s="703" t="s">
        <v>334</v>
      </c>
      <c r="J2173" s="703" t="s">
        <v>337</v>
      </c>
      <c r="K2173" s="704">
        <v>0</v>
      </c>
      <c r="L2173" s="703" t="s">
        <v>334</v>
      </c>
      <c r="M2173" s="702">
        <v>43251</v>
      </c>
      <c r="N2173" s="702">
        <v>44516</v>
      </c>
      <c r="O2173" s="703" t="s">
        <v>338</v>
      </c>
      <c r="P2173" s="20">
        <v>5.22</v>
      </c>
      <c r="Q2173" s="20">
        <v>0</v>
      </c>
      <c r="R2173" s="20">
        <v>0</v>
      </c>
      <c r="S2173" s="20">
        <v>0</v>
      </c>
      <c r="T2173" s="20">
        <v>5.22</v>
      </c>
      <c r="U2173" s="20">
        <v>5.21</v>
      </c>
      <c r="V2173" s="20">
        <v>-0.01</v>
      </c>
      <c r="W2173" s="20">
        <v>-0.18</v>
      </c>
      <c r="X2173" s="20">
        <v>-0.17</v>
      </c>
      <c r="Y2173" s="20">
        <v>0</v>
      </c>
      <c r="Z2173" s="20">
        <v>0</v>
      </c>
      <c r="AA2173" s="20">
        <v>0</v>
      </c>
      <c r="AB2173" s="20">
        <v>5.04</v>
      </c>
      <c r="AC2173" t="s">
        <v>188</v>
      </c>
      <c r="AD2173" t="s">
        <v>290</v>
      </c>
      <c r="AE2173" s="702">
        <f t="shared" si="165"/>
        <v>44348</v>
      </c>
      <c r="AF2173" s="289">
        <v>5.993839832131191</v>
      </c>
      <c r="AG2173">
        <f t="shared" si="166"/>
        <v>360</v>
      </c>
      <c r="AH2173" s="289">
        <f t="shared" si="167"/>
        <v>1.664955508925331E-2</v>
      </c>
      <c r="AJ2173" s="289">
        <f t="shared" si="168"/>
        <v>18</v>
      </c>
      <c r="AK2173" s="289">
        <f t="shared" si="169"/>
        <v>0.29969199160655957</v>
      </c>
    </row>
    <row r="2174" spans="1:37">
      <c r="A2174" s="703" t="s">
        <v>3711</v>
      </c>
      <c r="B2174" s="703" t="s">
        <v>2849</v>
      </c>
      <c r="C2174" s="703" t="s">
        <v>390</v>
      </c>
      <c r="D2174" s="703" t="s">
        <v>334</v>
      </c>
      <c r="E2174" s="703" t="s">
        <v>334</v>
      </c>
      <c r="F2174" s="703" t="s">
        <v>335</v>
      </c>
      <c r="G2174" s="703" t="s">
        <v>3415</v>
      </c>
      <c r="H2174" s="703" t="s">
        <v>334</v>
      </c>
      <c r="I2174" s="703" t="s">
        <v>334</v>
      </c>
      <c r="J2174" s="703" t="s">
        <v>337</v>
      </c>
      <c r="K2174" s="704">
        <v>0</v>
      </c>
      <c r="L2174" s="703" t="s">
        <v>334</v>
      </c>
      <c r="M2174" s="702">
        <v>43251</v>
      </c>
      <c r="N2174" s="702">
        <v>44516</v>
      </c>
      <c r="O2174" s="703" t="s">
        <v>338</v>
      </c>
      <c r="P2174" s="20">
        <v>47.66</v>
      </c>
      <c r="Q2174" s="20">
        <v>0</v>
      </c>
      <c r="R2174" s="20">
        <v>0</v>
      </c>
      <c r="S2174" s="20">
        <v>0</v>
      </c>
      <c r="T2174" s="20">
        <v>47.66</v>
      </c>
      <c r="U2174" s="20">
        <v>47.53</v>
      </c>
      <c r="V2174" s="20">
        <v>-0.13</v>
      </c>
      <c r="W2174" s="20">
        <v>-1.72</v>
      </c>
      <c r="X2174" s="20">
        <v>-1.59</v>
      </c>
      <c r="Y2174" s="20">
        <v>0</v>
      </c>
      <c r="Z2174" s="20">
        <v>0</v>
      </c>
      <c r="AA2174" s="20">
        <v>0</v>
      </c>
      <c r="AB2174" s="20">
        <v>45.94</v>
      </c>
      <c r="AC2174" t="s">
        <v>188</v>
      </c>
      <c r="AD2174" t="s">
        <v>290</v>
      </c>
      <c r="AE2174" s="702">
        <f t="shared" si="165"/>
        <v>44348</v>
      </c>
      <c r="AF2174" s="289">
        <v>54.725365210607769</v>
      </c>
      <c r="AG2174">
        <f t="shared" si="166"/>
        <v>360</v>
      </c>
      <c r="AH2174" s="289">
        <f t="shared" si="167"/>
        <v>0.15201490336279935</v>
      </c>
      <c r="AJ2174" s="289">
        <f t="shared" si="168"/>
        <v>18</v>
      </c>
      <c r="AK2174" s="289">
        <f t="shared" si="169"/>
        <v>2.7362682605303883</v>
      </c>
    </row>
    <row r="2175" spans="1:37">
      <c r="A2175" s="703" t="s">
        <v>3712</v>
      </c>
      <c r="B2175" s="703" t="s">
        <v>2849</v>
      </c>
      <c r="C2175" s="703" t="s">
        <v>390</v>
      </c>
      <c r="D2175" s="703" t="s">
        <v>334</v>
      </c>
      <c r="E2175" s="703" t="s">
        <v>334</v>
      </c>
      <c r="F2175" s="703" t="s">
        <v>335</v>
      </c>
      <c r="G2175" s="703" t="s">
        <v>3415</v>
      </c>
      <c r="H2175" s="703" t="s">
        <v>334</v>
      </c>
      <c r="I2175" s="703" t="s">
        <v>334</v>
      </c>
      <c r="J2175" s="703" t="s">
        <v>337</v>
      </c>
      <c r="K2175" s="704">
        <v>0</v>
      </c>
      <c r="L2175" s="703" t="s">
        <v>334</v>
      </c>
      <c r="M2175" s="702">
        <v>43251</v>
      </c>
      <c r="N2175" s="702">
        <v>44516</v>
      </c>
      <c r="O2175" s="703" t="s">
        <v>338</v>
      </c>
      <c r="P2175" s="20">
        <v>151.65</v>
      </c>
      <c r="Q2175" s="20">
        <v>0</v>
      </c>
      <c r="R2175" s="20">
        <v>0</v>
      </c>
      <c r="S2175" s="20">
        <v>0</v>
      </c>
      <c r="T2175" s="20">
        <v>151.65</v>
      </c>
      <c r="U2175" s="20">
        <v>151.22999999999999</v>
      </c>
      <c r="V2175" s="20">
        <v>-0.42</v>
      </c>
      <c r="W2175" s="20">
        <v>-5.48</v>
      </c>
      <c r="X2175" s="20">
        <v>-5.0599999999999996</v>
      </c>
      <c r="Y2175" s="20">
        <v>0</v>
      </c>
      <c r="Z2175" s="20">
        <v>0</v>
      </c>
      <c r="AA2175" s="20">
        <v>0</v>
      </c>
      <c r="AB2175" s="20">
        <v>146.16999999999999</v>
      </c>
      <c r="AC2175" t="s">
        <v>188</v>
      </c>
      <c r="AD2175" t="s">
        <v>290</v>
      </c>
      <c r="AE2175" s="702">
        <f t="shared" si="165"/>
        <v>44348</v>
      </c>
      <c r="AF2175" s="289">
        <v>174.13138133001826</v>
      </c>
      <c r="AG2175">
        <f t="shared" si="166"/>
        <v>360</v>
      </c>
      <c r="AH2175" s="289">
        <f t="shared" si="167"/>
        <v>0.48369828147227295</v>
      </c>
      <c r="AJ2175" s="289">
        <f t="shared" si="168"/>
        <v>18</v>
      </c>
      <c r="AK2175" s="289">
        <f t="shared" si="169"/>
        <v>8.7065690665009132</v>
      </c>
    </row>
    <row r="2176" spans="1:37">
      <c r="A2176" s="703" t="s">
        <v>3713</v>
      </c>
      <c r="B2176" s="703" t="s">
        <v>2849</v>
      </c>
      <c r="C2176" s="703" t="s">
        <v>390</v>
      </c>
      <c r="D2176" s="703" t="s">
        <v>334</v>
      </c>
      <c r="E2176" s="703" t="s">
        <v>334</v>
      </c>
      <c r="F2176" s="703" t="s">
        <v>335</v>
      </c>
      <c r="G2176" s="703" t="s">
        <v>3415</v>
      </c>
      <c r="H2176" s="703" t="s">
        <v>334</v>
      </c>
      <c r="I2176" s="703" t="s">
        <v>334</v>
      </c>
      <c r="J2176" s="703" t="s">
        <v>337</v>
      </c>
      <c r="K2176" s="704">
        <v>0</v>
      </c>
      <c r="L2176" s="703" t="s">
        <v>334</v>
      </c>
      <c r="M2176" s="702">
        <v>43251</v>
      </c>
      <c r="N2176" s="702">
        <v>44516</v>
      </c>
      <c r="O2176" s="703" t="s">
        <v>338</v>
      </c>
      <c r="P2176" s="20">
        <v>96.91</v>
      </c>
      <c r="Q2176" s="20">
        <v>0</v>
      </c>
      <c r="R2176" s="20">
        <v>0</v>
      </c>
      <c r="S2176" s="20">
        <v>0</v>
      </c>
      <c r="T2176" s="20">
        <v>96.91</v>
      </c>
      <c r="U2176" s="20">
        <v>96.64</v>
      </c>
      <c r="V2176" s="20">
        <v>-0.27</v>
      </c>
      <c r="W2176" s="20">
        <v>-3.5</v>
      </c>
      <c r="X2176" s="20">
        <v>-3.23</v>
      </c>
      <c r="Y2176" s="20">
        <v>0</v>
      </c>
      <c r="Z2176" s="20">
        <v>0</v>
      </c>
      <c r="AA2176" s="20">
        <v>0</v>
      </c>
      <c r="AB2176" s="20">
        <v>93.41</v>
      </c>
      <c r="AC2176" t="s">
        <v>188</v>
      </c>
      <c r="AD2176" t="s">
        <v>290</v>
      </c>
      <c r="AE2176" s="702">
        <f t="shared" si="165"/>
        <v>44348</v>
      </c>
      <c r="AF2176" s="289">
        <v>111.27644025514056</v>
      </c>
      <c r="AG2176">
        <f t="shared" si="166"/>
        <v>360</v>
      </c>
      <c r="AH2176" s="289">
        <f t="shared" si="167"/>
        <v>0.309101222930946</v>
      </c>
      <c r="AJ2176" s="289">
        <f t="shared" si="168"/>
        <v>18</v>
      </c>
      <c r="AK2176" s="289">
        <f t="shared" si="169"/>
        <v>5.5638220127570275</v>
      </c>
    </row>
    <row r="2177" spans="1:37">
      <c r="A2177" s="703" t="s">
        <v>3714</v>
      </c>
      <c r="B2177" s="703" t="s">
        <v>2849</v>
      </c>
      <c r="C2177" s="703" t="s">
        <v>390</v>
      </c>
      <c r="D2177" s="703" t="s">
        <v>334</v>
      </c>
      <c r="E2177" s="703" t="s">
        <v>334</v>
      </c>
      <c r="F2177" s="703" t="s">
        <v>335</v>
      </c>
      <c r="G2177" s="703" t="s">
        <v>3415</v>
      </c>
      <c r="H2177" s="703" t="s">
        <v>334</v>
      </c>
      <c r="I2177" s="703" t="s">
        <v>334</v>
      </c>
      <c r="J2177" s="703" t="s">
        <v>337</v>
      </c>
      <c r="K2177" s="704">
        <v>0</v>
      </c>
      <c r="L2177" s="703" t="s">
        <v>334</v>
      </c>
      <c r="M2177" s="702">
        <v>43251</v>
      </c>
      <c r="N2177" s="702">
        <v>44516</v>
      </c>
      <c r="O2177" s="703" t="s">
        <v>338</v>
      </c>
      <c r="P2177" s="20">
        <v>87.21</v>
      </c>
      <c r="Q2177" s="20">
        <v>0</v>
      </c>
      <c r="R2177" s="20">
        <v>0</v>
      </c>
      <c r="S2177" s="20">
        <v>0</v>
      </c>
      <c r="T2177" s="20">
        <v>87.21</v>
      </c>
      <c r="U2177" s="20">
        <v>86.97</v>
      </c>
      <c r="V2177" s="20">
        <v>-0.24</v>
      </c>
      <c r="W2177" s="20">
        <v>-3.15</v>
      </c>
      <c r="X2177" s="20">
        <v>-2.91</v>
      </c>
      <c r="Y2177" s="20">
        <v>0</v>
      </c>
      <c r="Z2177" s="20">
        <v>0</v>
      </c>
      <c r="AA2177" s="20">
        <v>0</v>
      </c>
      <c r="AB2177" s="20">
        <v>84.06</v>
      </c>
      <c r="AC2177" t="s">
        <v>188</v>
      </c>
      <c r="AD2177" t="s">
        <v>290</v>
      </c>
      <c r="AE2177" s="702">
        <f t="shared" si="165"/>
        <v>44348</v>
      </c>
      <c r="AF2177" s="289">
        <v>100.13846202301939</v>
      </c>
      <c r="AG2177">
        <f t="shared" si="166"/>
        <v>360</v>
      </c>
      <c r="AH2177" s="289">
        <f t="shared" si="167"/>
        <v>0.2781623945083872</v>
      </c>
      <c r="AJ2177" s="289">
        <f t="shared" si="168"/>
        <v>18</v>
      </c>
      <c r="AK2177" s="289">
        <f t="shared" si="169"/>
        <v>5.0069231011509698</v>
      </c>
    </row>
    <row r="2178" spans="1:37">
      <c r="A2178" s="703" t="s">
        <v>3715</v>
      </c>
      <c r="B2178" s="703" t="s">
        <v>2849</v>
      </c>
      <c r="C2178" s="703" t="s">
        <v>390</v>
      </c>
      <c r="D2178" s="703" t="s">
        <v>334</v>
      </c>
      <c r="E2178" s="703" t="s">
        <v>334</v>
      </c>
      <c r="F2178" s="703" t="s">
        <v>335</v>
      </c>
      <c r="G2178" s="703" t="s">
        <v>3415</v>
      </c>
      <c r="H2178" s="703" t="s">
        <v>334</v>
      </c>
      <c r="I2178" s="703" t="s">
        <v>334</v>
      </c>
      <c r="J2178" s="703" t="s">
        <v>337</v>
      </c>
      <c r="K2178" s="704">
        <v>0</v>
      </c>
      <c r="L2178" s="703" t="s">
        <v>334</v>
      </c>
      <c r="M2178" s="702">
        <v>43251</v>
      </c>
      <c r="N2178" s="702">
        <v>44516</v>
      </c>
      <c r="O2178" s="703" t="s">
        <v>338</v>
      </c>
      <c r="P2178" s="20">
        <v>51.74</v>
      </c>
      <c r="Q2178" s="20">
        <v>0</v>
      </c>
      <c r="R2178" s="20">
        <v>0</v>
      </c>
      <c r="S2178" s="20">
        <v>0</v>
      </c>
      <c r="T2178" s="20">
        <v>51.74</v>
      </c>
      <c r="U2178" s="20">
        <v>51.6</v>
      </c>
      <c r="V2178" s="20">
        <v>-0.14000000000000001</v>
      </c>
      <c r="W2178" s="20">
        <v>-1.86</v>
      </c>
      <c r="X2178" s="20">
        <v>-1.72</v>
      </c>
      <c r="Y2178" s="20">
        <v>0</v>
      </c>
      <c r="Z2178" s="20">
        <v>0</v>
      </c>
      <c r="AA2178" s="20">
        <v>0</v>
      </c>
      <c r="AB2178" s="20">
        <v>49.88</v>
      </c>
      <c r="AC2178" t="s">
        <v>188</v>
      </c>
      <c r="AD2178" t="s">
        <v>290</v>
      </c>
      <c r="AE2178" s="702">
        <f t="shared" si="165"/>
        <v>44348</v>
      </c>
      <c r="AF2178" s="289">
        <v>59.410205539170086</v>
      </c>
      <c r="AG2178">
        <f t="shared" si="166"/>
        <v>360</v>
      </c>
      <c r="AH2178" s="289">
        <f t="shared" si="167"/>
        <v>0.1650283487199169</v>
      </c>
      <c r="AJ2178" s="289">
        <f t="shared" si="168"/>
        <v>18</v>
      </c>
      <c r="AK2178" s="289">
        <f t="shared" si="169"/>
        <v>2.9705102769585041</v>
      </c>
    </row>
    <row r="2179" spans="1:37">
      <c r="A2179" s="703" t="s">
        <v>3716</v>
      </c>
      <c r="B2179" s="703" t="s">
        <v>2849</v>
      </c>
      <c r="C2179" s="703" t="s">
        <v>390</v>
      </c>
      <c r="D2179" s="703" t="s">
        <v>334</v>
      </c>
      <c r="E2179" s="703" t="s">
        <v>334</v>
      </c>
      <c r="F2179" s="703" t="s">
        <v>335</v>
      </c>
      <c r="G2179" s="703" t="s">
        <v>3415</v>
      </c>
      <c r="H2179" s="703" t="s">
        <v>334</v>
      </c>
      <c r="I2179" s="703" t="s">
        <v>334</v>
      </c>
      <c r="J2179" s="703" t="s">
        <v>337</v>
      </c>
      <c r="K2179" s="704">
        <v>0</v>
      </c>
      <c r="L2179" s="703" t="s">
        <v>334</v>
      </c>
      <c r="M2179" s="702">
        <v>43251</v>
      </c>
      <c r="N2179" s="702">
        <v>44516</v>
      </c>
      <c r="O2179" s="703" t="s">
        <v>338</v>
      </c>
      <c r="P2179" s="20">
        <v>485.98</v>
      </c>
      <c r="Q2179" s="20">
        <v>0</v>
      </c>
      <c r="R2179" s="20">
        <v>0</v>
      </c>
      <c r="S2179" s="20">
        <v>0</v>
      </c>
      <c r="T2179" s="20">
        <v>485.98</v>
      </c>
      <c r="U2179" s="20">
        <v>484.63</v>
      </c>
      <c r="V2179" s="20">
        <v>-1.35</v>
      </c>
      <c r="W2179" s="20">
        <v>-17.55</v>
      </c>
      <c r="X2179" s="20">
        <v>-16.2</v>
      </c>
      <c r="Y2179" s="20">
        <v>0</v>
      </c>
      <c r="Z2179" s="20">
        <v>0</v>
      </c>
      <c r="AA2179" s="20">
        <v>0</v>
      </c>
      <c r="AB2179" s="20">
        <v>468.43</v>
      </c>
      <c r="AC2179" t="s">
        <v>188</v>
      </c>
      <c r="AD2179" t="s">
        <v>290</v>
      </c>
      <c r="AE2179" s="702">
        <f t="shared" si="165"/>
        <v>44348</v>
      </c>
      <c r="AF2179" s="289">
        <v>558.02419188105671</v>
      </c>
      <c r="AG2179">
        <f t="shared" si="166"/>
        <v>360</v>
      </c>
      <c r="AH2179" s="289">
        <f t="shared" si="167"/>
        <v>1.550067199669602</v>
      </c>
      <c r="AJ2179" s="289">
        <f t="shared" si="168"/>
        <v>18</v>
      </c>
      <c r="AK2179" s="289">
        <f t="shared" si="169"/>
        <v>27.901209594052837</v>
      </c>
    </row>
    <row r="2180" spans="1:37">
      <c r="A2180" s="703" t="s">
        <v>3717</v>
      </c>
      <c r="B2180" s="703" t="s">
        <v>2849</v>
      </c>
      <c r="C2180" s="703" t="s">
        <v>390</v>
      </c>
      <c r="D2180" s="703" t="s">
        <v>334</v>
      </c>
      <c r="E2180" s="703" t="s">
        <v>334</v>
      </c>
      <c r="F2180" s="703" t="s">
        <v>335</v>
      </c>
      <c r="G2180" s="703" t="s">
        <v>3415</v>
      </c>
      <c r="H2180" s="703" t="s">
        <v>334</v>
      </c>
      <c r="I2180" s="703" t="s">
        <v>334</v>
      </c>
      <c r="J2180" s="703" t="s">
        <v>337</v>
      </c>
      <c r="K2180" s="704">
        <v>0</v>
      </c>
      <c r="L2180" s="703" t="s">
        <v>334</v>
      </c>
      <c r="M2180" s="702">
        <v>43251</v>
      </c>
      <c r="N2180" s="702">
        <v>44516</v>
      </c>
      <c r="O2180" s="703" t="s">
        <v>338</v>
      </c>
      <c r="P2180" s="20">
        <v>572.53</v>
      </c>
      <c r="Q2180" s="20">
        <v>0</v>
      </c>
      <c r="R2180" s="20">
        <v>0</v>
      </c>
      <c r="S2180" s="20">
        <v>0</v>
      </c>
      <c r="T2180" s="20">
        <v>572.53</v>
      </c>
      <c r="U2180" s="20">
        <v>570.94000000000005</v>
      </c>
      <c r="V2180" s="20">
        <v>-1.59</v>
      </c>
      <c r="W2180" s="20">
        <v>-20.67</v>
      </c>
      <c r="X2180" s="20">
        <v>-19.079999999999998</v>
      </c>
      <c r="Y2180" s="20">
        <v>0</v>
      </c>
      <c r="Z2180" s="20">
        <v>0</v>
      </c>
      <c r="AA2180" s="20">
        <v>0</v>
      </c>
      <c r="AB2180" s="20">
        <v>551.86</v>
      </c>
      <c r="AC2180" t="s">
        <v>188</v>
      </c>
      <c r="AD2180" t="s">
        <v>290</v>
      </c>
      <c r="AE2180" s="702">
        <f t="shared" si="165"/>
        <v>44348</v>
      </c>
      <c r="AF2180" s="289">
        <v>657.40481208622043</v>
      </c>
      <c r="AG2180">
        <f t="shared" si="166"/>
        <v>360</v>
      </c>
      <c r="AH2180" s="289">
        <f t="shared" si="167"/>
        <v>1.826124478017279</v>
      </c>
      <c r="AJ2180" s="289">
        <f t="shared" si="168"/>
        <v>18</v>
      </c>
      <c r="AK2180" s="289">
        <f t="shared" si="169"/>
        <v>32.870240604311022</v>
      </c>
    </row>
    <row r="2181" spans="1:37">
      <c r="A2181" s="703" t="s">
        <v>3718</v>
      </c>
      <c r="B2181" s="703" t="s">
        <v>2849</v>
      </c>
      <c r="C2181" s="703" t="s">
        <v>390</v>
      </c>
      <c r="D2181" s="703" t="s">
        <v>334</v>
      </c>
      <c r="E2181" s="703" t="s">
        <v>334</v>
      </c>
      <c r="F2181" s="703" t="s">
        <v>335</v>
      </c>
      <c r="G2181" s="703" t="s">
        <v>3415</v>
      </c>
      <c r="H2181" s="703" t="s">
        <v>334</v>
      </c>
      <c r="I2181" s="703" t="s">
        <v>334</v>
      </c>
      <c r="J2181" s="703" t="s">
        <v>337</v>
      </c>
      <c r="K2181" s="704">
        <v>0</v>
      </c>
      <c r="L2181" s="703" t="s">
        <v>334</v>
      </c>
      <c r="M2181" s="702">
        <v>43251</v>
      </c>
      <c r="N2181" s="702">
        <v>44516</v>
      </c>
      <c r="O2181" s="703" t="s">
        <v>338</v>
      </c>
      <c r="P2181" s="20">
        <v>210.43</v>
      </c>
      <c r="Q2181" s="20">
        <v>0</v>
      </c>
      <c r="R2181" s="20">
        <v>0</v>
      </c>
      <c r="S2181" s="20">
        <v>0</v>
      </c>
      <c r="T2181" s="20">
        <v>210.43</v>
      </c>
      <c r="U2181" s="20">
        <v>209.85</v>
      </c>
      <c r="V2181" s="20">
        <v>-0.57999999999999996</v>
      </c>
      <c r="W2181" s="20">
        <v>-7.59</v>
      </c>
      <c r="X2181" s="20">
        <v>-7.01</v>
      </c>
      <c r="Y2181" s="20">
        <v>0</v>
      </c>
      <c r="Z2181" s="20">
        <v>0</v>
      </c>
      <c r="AA2181" s="20">
        <v>0</v>
      </c>
      <c r="AB2181" s="20">
        <v>202.84</v>
      </c>
      <c r="AC2181" t="s">
        <v>188</v>
      </c>
      <c r="AD2181" t="s">
        <v>290</v>
      </c>
      <c r="AE2181" s="702">
        <f t="shared" si="165"/>
        <v>44348</v>
      </c>
      <c r="AF2181" s="289">
        <v>241.62523292631545</v>
      </c>
      <c r="AG2181">
        <f t="shared" si="166"/>
        <v>360</v>
      </c>
      <c r="AH2181" s="289">
        <f t="shared" si="167"/>
        <v>0.67118120257309843</v>
      </c>
      <c r="AJ2181" s="289">
        <f t="shared" si="168"/>
        <v>18</v>
      </c>
      <c r="AK2181" s="289">
        <f t="shared" si="169"/>
        <v>12.081261646315772</v>
      </c>
    </row>
    <row r="2182" spans="1:37">
      <c r="A2182" s="703" t="s">
        <v>3719</v>
      </c>
      <c r="B2182" s="703" t="s">
        <v>2849</v>
      </c>
      <c r="C2182" s="703" t="s">
        <v>390</v>
      </c>
      <c r="D2182" s="703" t="s">
        <v>334</v>
      </c>
      <c r="E2182" s="703" t="s">
        <v>334</v>
      </c>
      <c r="F2182" s="703" t="s">
        <v>335</v>
      </c>
      <c r="G2182" s="703" t="s">
        <v>3415</v>
      </c>
      <c r="H2182" s="703" t="s">
        <v>334</v>
      </c>
      <c r="I2182" s="703" t="s">
        <v>334</v>
      </c>
      <c r="J2182" s="703" t="s">
        <v>337</v>
      </c>
      <c r="K2182" s="704">
        <v>0</v>
      </c>
      <c r="L2182" s="703" t="s">
        <v>334</v>
      </c>
      <c r="M2182" s="702">
        <v>43251</v>
      </c>
      <c r="N2182" s="702">
        <v>44516</v>
      </c>
      <c r="O2182" s="703" t="s">
        <v>338</v>
      </c>
      <c r="P2182" s="20">
        <v>268.89</v>
      </c>
      <c r="Q2182" s="20">
        <v>0</v>
      </c>
      <c r="R2182" s="20">
        <v>0</v>
      </c>
      <c r="S2182" s="20">
        <v>0</v>
      </c>
      <c r="T2182" s="20">
        <v>268.89</v>
      </c>
      <c r="U2182" s="20">
        <v>268.14</v>
      </c>
      <c r="V2182" s="20">
        <v>-0.75</v>
      </c>
      <c r="W2182" s="20">
        <v>-9.7100000000000009</v>
      </c>
      <c r="X2182" s="20">
        <v>-8.9600000000000009</v>
      </c>
      <c r="Y2182" s="20">
        <v>0</v>
      </c>
      <c r="Z2182" s="20">
        <v>0</v>
      </c>
      <c r="AA2182" s="20">
        <v>0</v>
      </c>
      <c r="AB2182" s="20">
        <v>259.18</v>
      </c>
      <c r="AC2182" t="s">
        <v>188</v>
      </c>
      <c r="AD2182" t="s">
        <v>290</v>
      </c>
      <c r="AE2182" s="702">
        <f t="shared" si="165"/>
        <v>44348</v>
      </c>
      <c r="AF2182" s="289">
        <v>308.75164606547048</v>
      </c>
      <c r="AG2182">
        <f t="shared" si="166"/>
        <v>360</v>
      </c>
      <c r="AH2182" s="289">
        <f t="shared" si="167"/>
        <v>0.85764346129297353</v>
      </c>
      <c r="AJ2182" s="289">
        <f t="shared" si="168"/>
        <v>18</v>
      </c>
      <c r="AK2182" s="289">
        <f t="shared" si="169"/>
        <v>15.437582303273523</v>
      </c>
    </row>
    <row r="2183" spans="1:37">
      <c r="A2183" s="703" t="s">
        <v>3720</v>
      </c>
      <c r="B2183" s="703" t="s">
        <v>484</v>
      </c>
      <c r="C2183" s="703" t="s">
        <v>485</v>
      </c>
      <c r="D2183" s="703" t="s">
        <v>334</v>
      </c>
      <c r="E2183" s="703" t="s">
        <v>334</v>
      </c>
      <c r="F2183" s="703" t="s">
        <v>487</v>
      </c>
      <c r="G2183" s="703" t="s">
        <v>3721</v>
      </c>
      <c r="H2183" s="703" t="s">
        <v>334</v>
      </c>
      <c r="I2183" s="703" t="s">
        <v>334</v>
      </c>
      <c r="J2183" s="703" t="s">
        <v>490</v>
      </c>
      <c r="K2183" s="704">
        <v>0</v>
      </c>
      <c r="L2183" s="703" t="s">
        <v>334</v>
      </c>
      <c r="M2183" s="702"/>
      <c r="N2183" s="702">
        <v>44530</v>
      </c>
      <c r="O2183" s="703" t="s">
        <v>338</v>
      </c>
      <c r="P2183" s="20">
        <v>10300</v>
      </c>
      <c r="Q2183" s="20">
        <v>0</v>
      </c>
      <c r="R2183" s="20">
        <v>-10300</v>
      </c>
      <c r="S2183" s="20">
        <v>0</v>
      </c>
      <c r="T2183" s="20">
        <v>0</v>
      </c>
      <c r="U2183" s="20">
        <v>10300</v>
      </c>
      <c r="V2183" s="20">
        <v>0</v>
      </c>
      <c r="W2183" s="20">
        <v>0</v>
      </c>
      <c r="X2183" s="20">
        <v>0</v>
      </c>
      <c r="Y2183" s="20">
        <v>0</v>
      </c>
      <c r="Z2183" s="20">
        <v>0</v>
      </c>
      <c r="AA2183" s="20">
        <v>0</v>
      </c>
      <c r="AB2183" s="20">
        <v>0</v>
      </c>
      <c r="AC2183" t="s">
        <v>491</v>
      </c>
      <c r="AD2183" t="s">
        <v>492</v>
      </c>
      <c r="AE2183" s="702">
        <f t="shared" ref="AE2183:AE2246" si="170">IF(N2183&gt;=$AG$5,DATE(YEAR(N2183),6,1),DATE(YEAR(N2183),6,1))</f>
        <v>44348</v>
      </c>
      <c r="AF2183" s="289">
        <v>0</v>
      </c>
      <c r="AG2183">
        <f t="shared" ref="AG2183:AG2246" si="171">+IF(AD2183="intangível",20*12,IF(AD2183="Diferido",120,IF(AD2183="Não vinculados",0,IF(AE2183&lt;=$AG$5,F2183*12,360))))</f>
        <v>360</v>
      </c>
      <c r="AH2183" s="289">
        <f t="shared" ref="AH2183:AH2246" si="172">IF(AG2183=0,0,AF2183/AG2183)</f>
        <v>0</v>
      </c>
      <c r="AJ2183" s="289">
        <f t="shared" ref="AJ2183:AJ2246" si="173">+IF(AND(YEAR(AE2183)&gt;=2018,YEAR(AE2183)&lt;=2022),IF(DATEDIF(AE2183,$AK$4,"m")&gt;=AG2183,AG2183,DATEDIF(AE2183,$AK$4,"m")),0)</f>
        <v>18</v>
      </c>
      <c r="AK2183" s="289">
        <f t="shared" ref="AK2183:AK2246" si="174">IF(AD2183="Imobilizado",AJ2183*AH2183,0)</f>
        <v>0</v>
      </c>
    </row>
    <row r="2184" spans="1:37">
      <c r="A2184" s="703" t="s">
        <v>3722</v>
      </c>
      <c r="B2184" s="703" t="s">
        <v>484</v>
      </c>
      <c r="C2184" s="703" t="s">
        <v>485</v>
      </c>
      <c r="D2184" s="703" t="s">
        <v>486</v>
      </c>
      <c r="E2184" s="703" t="s">
        <v>334</v>
      </c>
      <c r="F2184" s="703" t="s">
        <v>487</v>
      </c>
      <c r="G2184" s="703" t="s">
        <v>3723</v>
      </c>
      <c r="H2184" s="703" t="s">
        <v>3724</v>
      </c>
      <c r="I2184" s="703" t="s">
        <v>334</v>
      </c>
      <c r="J2184" s="703" t="s">
        <v>490</v>
      </c>
      <c r="K2184" s="704">
        <v>0</v>
      </c>
      <c r="L2184" s="703" t="s">
        <v>334</v>
      </c>
      <c r="M2184" s="702"/>
      <c r="N2184" s="702">
        <v>44530</v>
      </c>
      <c r="O2184" s="703" t="s">
        <v>338</v>
      </c>
      <c r="P2184" s="20">
        <v>127360</v>
      </c>
      <c r="Q2184" s="20">
        <v>67104.58</v>
      </c>
      <c r="R2184" s="20">
        <v>0</v>
      </c>
      <c r="S2184" s="20">
        <v>0</v>
      </c>
      <c r="T2184" s="20">
        <v>194464.58</v>
      </c>
      <c r="U2184" s="20">
        <v>127360</v>
      </c>
      <c r="V2184" s="20">
        <v>0</v>
      </c>
      <c r="W2184" s="20">
        <v>0</v>
      </c>
      <c r="X2184" s="20">
        <v>0</v>
      </c>
      <c r="Y2184" s="20">
        <v>0</v>
      </c>
      <c r="Z2184" s="20">
        <v>0</v>
      </c>
      <c r="AA2184" s="20">
        <v>0</v>
      </c>
      <c r="AB2184" s="20">
        <v>194464.58</v>
      </c>
      <c r="AC2184" t="s">
        <v>491</v>
      </c>
      <c r="AD2184" t="s">
        <v>492</v>
      </c>
      <c r="AE2184" s="702">
        <f t="shared" si="170"/>
        <v>44348</v>
      </c>
      <c r="AF2184" s="289">
        <v>223293.01638748325</v>
      </c>
      <c r="AG2184">
        <f t="shared" si="171"/>
        <v>360</v>
      </c>
      <c r="AH2184" s="289">
        <f t="shared" si="172"/>
        <v>620.25837885412011</v>
      </c>
      <c r="AJ2184" s="289">
        <f t="shared" si="173"/>
        <v>18</v>
      </c>
      <c r="AK2184" s="289">
        <f t="shared" si="174"/>
        <v>0</v>
      </c>
    </row>
    <row r="2185" spans="1:37">
      <c r="A2185" s="703" t="s">
        <v>3725</v>
      </c>
      <c r="B2185" s="703" t="s">
        <v>2849</v>
      </c>
      <c r="C2185" s="703" t="s">
        <v>332</v>
      </c>
      <c r="D2185" s="703" t="s">
        <v>334</v>
      </c>
      <c r="E2185" s="703" t="s">
        <v>334</v>
      </c>
      <c r="F2185" s="703" t="s">
        <v>335</v>
      </c>
      <c r="G2185" s="703" t="s">
        <v>3726</v>
      </c>
      <c r="H2185" s="703" t="s">
        <v>334</v>
      </c>
      <c r="I2185" s="703" t="s">
        <v>334</v>
      </c>
      <c r="J2185" s="703" t="s">
        <v>337</v>
      </c>
      <c r="K2185" s="704">
        <v>0</v>
      </c>
      <c r="L2185" s="703" t="s">
        <v>334</v>
      </c>
      <c r="M2185" s="702">
        <v>39478</v>
      </c>
      <c r="N2185" s="702">
        <v>44550</v>
      </c>
      <c r="O2185" s="703" t="s">
        <v>338</v>
      </c>
      <c r="P2185" s="20">
        <v>9780.2000000000007</v>
      </c>
      <c r="Q2185" s="20">
        <v>0</v>
      </c>
      <c r="R2185" s="20">
        <v>0</v>
      </c>
      <c r="S2185" s="20">
        <v>0</v>
      </c>
      <c r="T2185" s="20">
        <v>9780.2000000000007</v>
      </c>
      <c r="U2185" s="20">
        <v>9780.2000000000007</v>
      </c>
      <c r="V2185" s="20">
        <v>0</v>
      </c>
      <c r="W2185" s="20">
        <v>-326.01</v>
      </c>
      <c r="X2185" s="20">
        <v>-326.01</v>
      </c>
      <c r="Y2185" s="20">
        <v>0</v>
      </c>
      <c r="Z2185" s="20">
        <v>0</v>
      </c>
      <c r="AA2185" s="20">
        <v>0</v>
      </c>
      <c r="AB2185" s="20">
        <v>9454.19</v>
      </c>
      <c r="AC2185" t="s">
        <v>183</v>
      </c>
      <c r="AD2185" t="s">
        <v>290</v>
      </c>
      <c r="AE2185" s="702">
        <f t="shared" si="170"/>
        <v>44348</v>
      </c>
      <c r="AF2185" s="289">
        <v>11230.06749544243</v>
      </c>
      <c r="AG2185">
        <f t="shared" si="171"/>
        <v>360</v>
      </c>
      <c r="AH2185" s="289">
        <f t="shared" si="172"/>
        <v>31.194631931784528</v>
      </c>
      <c r="AJ2185" s="289">
        <f t="shared" si="173"/>
        <v>18</v>
      </c>
      <c r="AK2185" s="289">
        <f t="shared" si="174"/>
        <v>561.50337477212156</v>
      </c>
    </row>
    <row r="2186" spans="1:37">
      <c r="A2186" s="703" t="s">
        <v>3727</v>
      </c>
      <c r="B2186" s="703" t="s">
        <v>2849</v>
      </c>
      <c r="C2186" s="703" t="s">
        <v>332</v>
      </c>
      <c r="D2186" s="703" t="s">
        <v>334</v>
      </c>
      <c r="E2186" s="703" t="s">
        <v>334</v>
      </c>
      <c r="F2186" s="703" t="s">
        <v>335</v>
      </c>
      <c r="G2186" s="703" t="s">
        <v>3728</v>
      </c>
      <c r="H2186" s="703" t="s">
        <v>334</v>
      </c>
      <c r="I2186" s="703" t="s">
        <v>334</v>
      </c>
      <c r="J2186" s="703" t="s">
        <v>337</v>
      </c>
      <c r="K2186" s="704">
        <v>0</v>
      </c>
      <c r="L2186" s="703" t="s">
        <v>334</v>
      </c>
      <c r="M2186" s="702">
        <v>39478</v>
      </c>
      <c r="N2186" s="702">
        <v>44550</v>
      </c>
      <c r="O2186" s="703" t="s">
        <v>338</v>
      </c>
      <c r="P2186" s="20">
        <v>5746.32</v>
      </c>
      <c r="Q2186" s="20">
        <v>0</v>
      </c>
      <c r="R2186" s="20">
        <v>0</v>
      </c>
      <c r="S2186" s="20">
        <v>0</v>
      </c>
      <c r="T2186" s="20">
        <v>5746.32</v>
      </c>
      <c r="U2186" s="20">
        <v>5746.32</v>
      </c>
      <c r="V2186" s="20">
        <v>0</v>
      </c>
      <c r="W2186" s="20">
        <v>-191.54</v>
      </c>
      <c r="X2186" s="20">
        <v>-191.54</v>
      </c>
      <c r="Y2186" s="20">
        <v>0</v>
      </c>
      <c r="Z2186" s="20">
        <v>0</v>
      </c>
      <c r="AA2186" s="20">
        <v>0</v>
      </c>
      <c r="AB2186" s="20">
        <v>5554.78</v>
      </c>
      <c r="AC2186" t="s">
        <v>183</v>
      </c>
      <c r="AD2186" t="s">
        <v>290</v>
      </c>
      <c r="AE2186" s="702">
        <f t="shared" si="170"/>
        <v>44348</v>
      </c>
      <c r="AF2186" s="289">
        <v>6598.1842345157293</v>
      </c>
      <c r="AG2186">
        <f t="shared" si="171"/>
        <v>360</v>
      </c>
      <c r="AH2186" s="289">
        <f t="shared" si="172"/>
        <v>18.328289540321471</v>
      </c>
      <c r="AJ2186" s="289">
        <f t="shared" si="173"/>
        <v>18</v>
      </c>
      <c r="AK2186" s="289">
        <f t="shared" si="174"/>
        <v>329.90921172578646</v>
      </c>
    </row>
    <row r="2187" spans="1:37">
      <c r="A2187" s="703" t="s">
        <v>3729</v>
      </c>
      <c r="B2187" s="703" t="s">
        <v>2849</v>
      </c>
      <c r="C2187" s="703" t="s">
        <v>332</v>
      </c>
      <c r="D2187" s="703" t="s">
        <v>334</v>
      </c>
      <c r="E2187" s="703" t="s">
        <v>334</v>
      </c>
      <c r="F2187" s="703" t="s">
        <v>335</v>
      </c>
      <c r="G2187" s="703" t="s">
        <v>3730</v>
      </c>
      <c r="H2187" s="703" t="s">
        <v>334</v>
      </c>
      <c r="I2187" s="703" t="s">
        <v>334</v>
      </c>
      <c r="J2187" s="703" t="s">
        <v>337</v>
      </c>
      <c r="K2187" s="704">
        <v>0</v>
      </c>
      <c r="L2187" s="703" t="s">
        <v>334</v>
      </c>
      <c r="M2187" s="702">
        <v>44255</v>
      </c>
      <c r="N2187" s="702">
        <v>44550</v>
      </c>
      <c r="O2187" s="703" t="s">
        <v>338</v>
      </c>
      <c r="P2187" s="20">
        <v>416866.7</v>
      </c>
      <c r="Q2187" s="20">
        <v>0</v>
      </c>
      <c r="R2187" s="20">
        <v>0</v>
      </c>
      <c r="S2187" s="20">
        <v>0</v>
      </c>
      <c r="T2187" s="20">
        <v>416866.7</v>
      </c>
      <c r="U2187" s="20">
        <v>416866.7</v>
      </c>
      <c r="V2187" s="20">
        <v>0</v>
      </c>
      <c r="W2187" s="20">
        <v>-13895.56</v>
      </c>
      <c r="X2187" s="20">
        <v>-13895.56</v>
      </c>
      <c r="Y2187" s="20">
        <v>0</v>
      </c>
      <c r="Z2187" s="20">
        <v>0</v>
      </c>
      <c r="AA2187" s="20">
        <v>0</v>
      </c>
      <c r="AB2187" s="20">
        <v>402971.14</v>
      </c>
      <c r="AC2187" t="s">
        <v>183</v>
      </c>
      <c r="AD2187" t="s">
        <v>290</v>
      </c>
      <c r="AE2187" s="702">
        <f t="shared" si="170"/>
        <v>44348</v>
      </c>
      <c r="AF2187" s="289">
        <v>478665.17838105053</v>
      </c>
      <c r="AG2187">
        <f t="shared" si="171"/>
        <v>360</v>
      </c>
      <c r="AH2187" s="289">
        <f t="shared" si="172"/>
        <v>1329.6254955029181</v>
      </c>
      <c r="AJ2187" s="289">
        <f t="shared" si="173"/>
        <v>18</v>
      </c>
      <c r="AK2187" s="289">
        <f t="shared" si="174"/>
        <v>23933.258919052525</v>
      </c>
    </row>
    <row r="2188" spans="1:37">
      <c r="A2188" s="703" t="s">
        <v>3731</v>
      </c>
      <c r="B2188" s="703" t="s">
        <v>2849</v>
      </c>
      <c r="C2188" s="703" t="s">
        <v>390</v>
      </c>
      <c r="D2188" s="703" t="s">
        <v>334</v>
      </c>
      <c r="E2188" s="703" t="s">
        <v>334</v>
      </c>
      <c r="F2188" s="703" t="s">
        <v>335</v>
      </c>
      <c r="G2188" s="703" t="s">
        <v>3732</v>
      </c>
      <c r="H2188" s="703" t="s">
        <v>334</v>
      </c>
      <c r="I2188" s="703" t="s">
        <v>334</v>
      </c>
      <c r="J2188" s="703" t="s">
        <v>337</v>
      </c>
      <c r="K2188" s="704">
        <v>0</v>
      </c>
      <c r="L2188" s="703" t="s">
        <v>334</v>
      </c>
      <c r="M2188" s="702">
        <v>42886</v>
      </c>
      <c r="N2188" s="702">
        <v>44550</v>
      </c>
      <c r="O2188" s="703" t="s">
        <v>338</v>
      </c>
      <c r="P2188" s="20">
        <v>2689.7</v>
      </c>
      <c r="Q2188" s="20">
        <v>0</v>
      </c>
      <c r="R2188" s="20">
        <v>0</v>
      </c>
      <c r="S2188" s="20">
        <v>0</v>
      </c>
      <c r="T2188" s="20">
        <v>2689.7</v>
      </c>
      <c r="U2188" s="20">
        <v>2689.7</v>
      </c>
      <c r="V2188" s="20">
        <v>0</v>
      </c>
      <c r="W2188" s="20">
        <v>-89.66</v>
      </c>
      <c r="X2188" s="20">
        <v>-89.66</v>
      </c>
      <c r="Y2188" s="20">
        <v>0</v>
      </c>
      <c r="Z2188" s="20">
        <v>0</v>
      </c>
      <c r="AA2188" s="20">
        <v>0</v>
      </c>
      <c r="AB2188" s="20">
        <v>2600.04</v>
      </c>
      <c r="AC2188" t="s">
        <v>188</v>
      </c>
      <c r="AD2188" t="s">
        <v>290</v>
      </c>
      <c r="AE2188" s="702">
        <f t="shared" si="170"/>
        <v>44348</v>
      </c>
      <c r="AF2188" s="289">
        <v>3088.4350567975603</v>
      </c>
      <c r="AG2188">
        <f t="shared" si="171"/>
        <v>360</v>
      </c>
      <c r="AH2188" s="289">
        <f t="shared" si="172"/>
        <v>8.5789862688821117</v>
      </c>
      <c r="AJ2188" s="289">
        <f t="shared" si="173"/>
        <v>18</v>
      </c>
      <c r="AK2188" s="289">
        <f t="shared" si="174"/>
        <v>154.42175283987802</v>
      </c>
    </row>
    <row r="2189" spans="1:37">
      <c r="A2189" s="703" t="s">
        <v>3733</v>
      </c>
      <c r="B2189" s="703" t="s">
        <v>2849</v>
      </c>
      <c r="C2189" s="703" t="s">
        <v>390</v>
      </c>
      <c r="D2189" s="703" t="s">
        <v>334</v>
      </c>
      <c r="E2189" s="703" t="s">
        <v>334</v>
      </c>
      <c r="F2189" s="703" t="s">
        <v>335</v>
      </c>
      <c r="G2189" s="703" t="s">
        <v>3734</v>
      </c>
      <c r="H2189" s="703" t="s">
        <v>334</v>
      </c>
      <c r="I2189" s="703" t="s">
        <v>334</v>
      </c>
      <c r="J2189" s="703" t="s">
        <v>337</v>
      </c>
      <c r="K2189" s="704">
        <v>0</v>
      </c>
      <c r="L2189" s="703" t="s">
        <v>334</v>
      </c>
      <c r="M2189" s="702">
        <v>42886</v>
      </c>
      <c r="N2189" s="702">
        <v>44550</v>
      </c>
      <c r="O2189" s="703" t="s">
        <v>338</v>
      </c>
      <c r="P2189" s="20">
        <v>2142.61</v>
      </c>
      <c r="Q2189" s="20">
        <v>0</v>
      </c>
      <c r="R2189" s="20">
        <v>0</v>
      </c>
      <c r="S2189" s="20">
        <v>0</v>
      </c>
      <c r="T2189" s="20">
        <v>2142.61</v>
      </c>
      <c r="U2189" s="20">
        <v>2142.61</v>
      </c>
      <c r="V2189" s="20">
        <v>0</v>
      </c>
      <c r="W2189" s="20">
        <v>-71.42</v>
      </c>
      <c r="X2189" s="20">
        <v>-71.42</v>
      </c>
      <c r="Y2189" s="20">
        <v>0</v>
      </c>
      <c r="Z2189" s="20">
        <v>0</v>
      </c>
      <c r="AA2189" s="20">
        <v>0</v>
      </c>
      <c r="AB2189" s="20">
        <v>2071.19</v>
      </c>
      <c r="AC2189" t="s">
        <v>188</v>
      </c>
      <c r="AD2189" t="s">
        <v>290</v>
      </c>
      <c r="AE2189" s="702">
        <f t="shared" si="170"/>
        <v>44348</v>
      </c>
      <c r="AF2189" s="289">
        <v>2460.24160205414</v>
      </c>
      <c r="AG2189">
        <f t="shared" si="171"/>
        <v>360</v>
      </c>
      <c r="AH2189" s="289">
        <f t="shared" si="172"/>
        <v>6.8340044501503892</v>
      </c>
      <c r="AJ2189" s="289">
        <f t="shared" si="173"/>
        <v>18</v>
      </c>
      <c r="AK2189" s="289">
        <f t="shared" si="174"/>
        <v>123.012080102707</v>
      </c>
    </row>
    <row r="2190" spans="1:37">
      <c r="A2190" s="703" t="s">
        <v>3735</v>
      </c>
      <c r="B2190" s="703" t="s">
        <v>2849</v>
      </c>
      <c r="C2190" s="703" t="s">
        <v>390</v>
      </c>
      <c r="D2190" s="703" t="s">
        <v>334</v>
      </c>
      <c r="E2190" s="703" t="s">
        <v>334</v>
      </c>
      <c r="F2190" s="703" t="s">
        <v>335</v>
      </c>
      <c r="G2190" s="703" t="s">
        <v>3736</v>
      </c>
      <c r="H2190" s="703" t="s">
        <v>334</v>
      </c>
      <c r="I2190" s="703" t="s">
        <v>334</v>
      </c>
      <c r="J2190" s="703" t="s">
        <v>337</v>
      </c>
      <c r="K2190" s="704">
        <v>0</v>
      </c>
      <c r="L2190" s="703" t="s">
        <v>334</v>
      </c>
      <c r="M2190" s="702">
        <v>42886</v>
      </c>
      <c r="N2190" s="702">
        <v>44550</v>
      </c>
      <c r="O2190" s="703" t="s">
        <v>338</v>
      </c>
      <c r="P2190" s="20">
        <v>6948.55</v>
      </c>
      <c r="Q2190" s="20">
        <v>0</v>
      </c>
      <c r="R2190" s="20">
        <v>0</v>
      </c>
      <c r="S2190" s="20">
        <v>0</v>
      </c>
      <c r="T2190" s="20">
        <v>6948.55</v>
      </c>
      <c r="U2190" s="20">
        <v>6948.55</v>
      </c>
      <c r="V2190" s="20">
        <v>0</v>
      </c>
      <c r="W2190" s="20">
        <v>-231.62</v>
      </c>
      <c r="X2190" s="20">
        <v>-231.62</v>
      </c>
      <c r="Y2190" s="20">
        <v>0</v>
      </c>
      <c r="Z2190" s="20">
        <v>0</v>
      </c>
      <c r="AA2190" s="20">
        <v>0</v>
      </c>
      <c r="AB2190" s="20">
        <v>6716.93</v>
      </c>
      <c r="AC2190" t="s">
        <v>188</v>
      </c>
      <c r="AD2190" t="s">
        <v>290</v>
      </c>
      <c r="AE2190" s="702">
        <f t="shared" si="170"/>
        <v>44348</v>
      </c>
      <c r="AF2190" s="289">
        <v>7978.6390355469712</v>
      </c>
      <c r="AG2190">
        <f t="shared" si="171"/>
        <v>360</v>
      </c>
      <c r="AH2190" s="289">
        <f t="shared" si="172"/>
        <v>22.162886209852697</v>
      </c>
      <c r="AJ2190" s="289">
        <f t="shared" si="173"/>
        <v>18</v>
      </c>
      <c r="AK2190" s="289">
        <f t="shared" si="174"/>
        <v>398.93195177734856</v>
      </c>
    </row>
    <row r="2191" spans="1:37">
      <c r="A2191" s="703" t="s">
        <v>3737</v>
      </c>
      <c r="B2191" s="703" t="s">
        <v>2849</v>
      </c>
      <c r="C2191" s="703" t="s">
        <v>390</v>
      </c>
      <c r="D2191" s="703" t="s">
        <v>334</v>
      </c>
      <c r="E2191" s="703" t="s">
        <v>334</v>
      </c>
      <c r="F2191" s="703" t="s">
        <v>335</v>
      </c>
      <c r="G2191" s="703" t="s">
        <v>3738</v>
      </c>
      <c r="H2191" s="703" t="s">
        <v>334</v>
      </c>
      <c r="I2191" s="703" t="s">
        <v>334</v>
      </c>
      <c r="J2191" s="703" t="s">
        <v>337</v>
      </c>
      <c r="K2191" s="704">
        <v>0</v>
      </c>
      <c r="L2191" s="703" t="s">
        <v>334</v>
      </c>
      <c r="M2191" s="702">
        <v>42886</v>
      </c>
      <c r="N2191" s="702">
        <v>44550</v>
      </c>
      <c r="O2191" s="703" t="s">
        <v>338</v>
      </c>
      <c r="P2191" s="20">
        <v>2393.06</v>
      </c>
      <c r="Q2191" s="20">
        <v>0</v>
      </c>
      <c r="R2191" s="20">
        <v>0</v>
      </c>
      <c r="S2191" s="20">
        <v>0</v>
      </c>
      <c r="T2191" s="20">
        <v>2393.06</v>
      </c>
      <c r="U2191" s="20">
        <v>2393.06</v>
      </c>
      <c r="V2191" s="20">
        <v>0</v>
      </c>
      <c r="W2191" s="20">
        <v>-79.77</v>
      </c>
      <c r="X2191" s="20">
        <v>-79.77</v>
      </c>
      <c r="Y2191" s="20">
        <v>0</v>
      </c>
      <c r="Z2191" s="20">
        <v>0</v>
      </c>
      <c r="AA2191" s="20">
        <v>0</v>
      </c>
      <c r="AB2191" s="20">
        <v>2313.29</v>
      </c>
      <c r="AC2191" t="s">
        <v>188</v>
      </c>
      <c r="AD2191" t="s">
        <v>290</v>
      </c>
      <c r="AE2191" s="702">
        <f t="shared" si="170"/>
        <v>44348</v>
      </c>
      <c r="AF2191" s="289">
        <v>2747.819607026795</v>
      </c>
      <c r="AG2191">
        <f t="shared" si="171"/>
        <v>360</v>
      </c>
      <c r="AH2191" s="289">
        <f t="shared" si="172"/>
        <v>7.632832241741097</v>
      </c>
      <c r="AJ2191" s="289">
        <f t="shared" si="173"/>
        <v>18</v>
      </c>
      <c r="AK2191" s="289">
        <f t="shared" si="174"/>
        <v>137.39098035133975</v>
      </c>
    </row>
    <row r="2192" spans="1:37">
      <c r="A2192" s="703" t="s">
        <v>3739</v>
      </c>
      <c r="B2192" s="703" t="s">
        <v>2849</v>
      </c>
      <c r="C2192" s="703" t="s">
        <v>390</v>
      </c>
      <c r="D2192" s="703" t="s">
        <v>334</v>
      </c>
      <c r="E2192" s="703" t="s">
        <v>334</v>
      </c>
      <c r="F2192" s="703" t="s">
        <v>335</v>
      </c>
      <c r="G2192" s="703" t="s">
        <v>3740</v>
      </c>
      <c r="H2192" s="703" t="s">
        <v>334</v>
      </c>
      <c r="I2192" s="703" t="s">
        <v>334</v>
      </c>
      <c r="J2192" s="703" t="s">
        <v>337</v>
      </c>
      <c r="K2192" s="704">
        <v>0</v>
      </c>
      <c r="L2192" s="703" t="s">
        <v>334</v>
      </c>
      <c r="M2192" s="702">
        <v>42886</v>
      </c>
      <c r="N2192" s="702">
        <v>44550</v>
      </c>
      <c r="O2192" s="703" t="s">
        <v>338</v>
      </c>
      <c r="P2192" s="20">
        <v>4269.7700000000004</v>
      </c>
      <c r="Q2192" s="20">
        <v>0</v>
      </c>
      <c r="R2192" s="20">
        <v>0</v>
      </c>
      <c r="S2192" s="20">
        <v>0</v>
      </c>
      <c r="T2192" s="20">
        <v>4269.7700000000004</v>
      </c>
      <c r="U2192" s="20">
        <v>4269.7700000000004</v>
      </c>
      <c r="V2192" s="20">
        <v>0</v>
      </c>
      <c r="W2192" s="20">
        <v>-142.33000000000001</v>
      </c>
      <c r="X2192" s="20">
        <v>-142.33000000000001</v>
      </c>
      <c r="Y2192" s="20">
        <v>0</v>
      </c>
      <c r="Z2192" s="20">
        <v>0</v>
      </c>
      <c r="AA2192" s="20">
        <v>0</v>
      </c>
      <c r="AB2192" s="20">
        <v>4127.4399999999996</v>
      </c>
      <c r="AC2192" t="s">
        <v>188</v>
      </c>
      <c r="AD2192" t="s">
        <v>290</v>
      </c>
      <c r="AE2192" s="702">
        <f t="shared" si="170"/>
        <v>44348</v>
      </c>
      <c r="AF2192" s="289">
        <v>4902.7428160993868</v>
      </c>
      <c r="AG2192">
        <f t="shared" si="171"/>
        <v>360</v>
      </c>
      <c r="AH2192" s="289">
        <f t="shared" si="172"/>
        <v>13.618730044720518</v>
      </c>
      <c r="AJ2192" s="289">
        <f t="shared" si="173"/>
        <v>18</v>
      </c>
      <c r="AK2192" s="289">
        <f t="shared" si="174"/>
        <v>245.13714080496933</v>
      </c>
    </row>
    <row r="2193" spans="1:37">
      <c r="A2193" s="703" t="s">
        <v>1292</v>
      </c>
      <c r="B2193" s="703" t="s">
        <v>2849</v>
      </c>
      <c r="C2193" s="703" t="s">
        <v>472</v>
      </c>
      <c r="D2193" s="703" t="s">
        <v>334</v>
      </c>
      <c r="E2193" s="703" t="s">
        <v>334</v>
      </c>
      <c r="F2193" s="703" t="s">
        <v>474</v>
      </c>
      <c r="G2193" s="703" t="s">
        <v>519</v>
      </c>
      <c r="H2193" s="703" t="s">
        <v>1293</v>
      </c>
      <c r="I2193" s="703" t="s">
        <v>334</v>
      </c>
      <c r="J2193" s="703" t="s">
        <v>476</v>
      </c>
      <c r="K2193" s="704">
        <v>0</v>
      </c>
      <c r="L2193" s="703" t="s">
        <v>334</v>
      </c>
      <c r="M2193" s="702"/>
      <c r="N2193" s="702">
        <v>44561</v>
      </c>
      <c r="O2193" s="703" t="s">
        <v>338</v>
      </c>
      <c r="P2193" s="20">
        <v>28424.47</v>
      </c>
      <c r="Q2193" s="20">
        <v>0</v>
      </c>
      <c r="R2193" s="20">
        <v>0</v>
      </c>
      <c r="S2193" s="20">
        <v>0</v>
      </c>
      <c r="T2193" s="20">
        <v>28424.47</v>
      </c>
      <c r="U2193" s="20">
        <v>28424.47</v>
      </c>
      <c r="V2193" s="20">
        <v>0</v>
      </c>
      <c r="W2193" s="20">
        <v>-2842.45</v>
      </c>
      <c r="X2193" s="20">
        <v>-2842.45</v>
      </c>
      <c r="Y2193" s="20">
        <v>0</v>
      </c>
      <c r="Z2193" s="20">
        <v>0</v>
      </c>
      <c r="AA2193" s="20">
        <v>0</v>
      </c>
      <c r="AB2193" s="20">
        <v>25582.02</v>
      </c>
      <c r="AC2193" t="s">
        <v>477</v>
      </c>
      <c r="AD2193" t="s">
        <v>290</v>
      </c>
      <c r="AE2193" s="702">
        <f t="shared" si="170"/>
        <v>44348</v>
      </c>
      <c r="AF2193" s="289">
        <v>32638.260630884692</v>
      </c>
      <c r="AG2193">
        <f t="shared" si="171"/>
        <v>360</v>
      </c>
      <c r="AH2193" s="289">
        <f t="shared" si="172"/>
        <v>90.661835085790813</v>
      </c>
      <c r="AJ2193" s="289">
        <f t="shared" si="173"/>
        <v>18</v>
      </c>
      <c r="AK2193" s="289">
        <f t="shared" si="174"/>
        <v>1631.9130315442346</v>
      </c>
    </row>
    <row r="2194" spans="1:37">
      <c r="A2194" s="703" t="s">
        <v>3741</v>
      </c>
      <c r="B2194" s="703" t="s">
        <v>484</v>
      </c>
      <c r="C2194" s="703" t="s">
        <v>1210</v>
      </c>
      <c r="D2194" s="703" t="s">
        <v>334</v>
      </c>
      <c r="E2194" s="703" t="s">
        <v>334</v>
      </c>
      <c r="F2194" s="703" t="s">
        <v>487</v>
      </c>
      <c r="G2194" s="703" t="s">
        <v>2848</v>
      </c>
      <c r="H2194" s="703" t="s">
        <v>334</v>
      </c>
      <c r="I2194" s="703" t="s">
        <v>334</v>
      </c>
      <c r="J2194" s="703" t="s">
        <v>490</v>
      </c>
      <c r="K2194" s="704">
        <v>0</v>
      </c>
      <c r="L2194" s="703" t="s">
        <v>334</v>
      </c>
      <c r="M2194" s="702"/>
      <c r="N2194" s="702">
        <v>44561</v>
      </c>
      <c r="O2194" s="703" t="s">
        <v>338</v>
      </c>
      <c r="P2194" s="20">
        <v>108.73</v>
      </c>
      <c r="Q2194" s="20">
        <v>8354</v>
      </c>
      <c r="R2194" s="20">
        <v>0</v>
      </c>
      <c r="S2194" s="20">
        <v>0</v>
      </c>
      <c r="T2194" s="20">
        <v>8462.73</v>
      </c>
      <c r="U2194" s="20">
        <v>108.73</v>
      </c>
      <c r="V2194" s="20">
        <v>0</v>
      </c>
      <c r="W2194" s="20">
        <v>0</v>
      </c>
      <c r="X2194" s="20">
        <v>0</v>
      </c>
      <c r="Y2194" s="20">
        <v>0</v>
      </c>
      <c r="Z2194" s="20">
        <v>0</v>
      </c>
      <c r="AA2194" s="20">
        <v>0</v>
      </c>
      <c r="AB2194" s="20">
        <v>8462.73</v>
      </c>
      <c r="AC2194" t="s">
        <v>1212</v>
      </c>
      <c r="AD2194" t="s">
        <v>492</v>
      </c>
      <c r="AE2194" s="702">
        <f t="shared" si="170"/>
        <v>44348</v>
      </c>
      <c r="AF2194" s="289">
        <v>9717.2889200328718</v>
      </c>
      <c r="AG2194">
        <f t="shared" si="171"/>
        <v>360</v>
      </c>
      <c r="AH2194" s="289">
        <f t="shared" si="172"/>
        <v>26.992469222313535</v>
      </c>
      <c r="AJ2194" s="289">
        <f t="shared" si="173"/>
        <v>18</v>
      </c>
      <c r="AK2194" s="289">
        <f t="shared" si="174"/>
        <v>0</v>
      </c>
    </row>
    <row r="2195" spans="1:37">
      <c r="A2195" s="703" t="s">
        <v>3742</v>
      </c>
      <c r="B2195" s="703" t="s">
        <v>3743</v>
      </c>
      <c r="C2195" s="703" t="s">
        <v>454</v>
      </c>
      <c r="D2195" s="703" t="s">
        <v>334</v>
      </c>
      <c r="E2195" s="703" t="s">
        <v>334</v>
      </c>
      <c r="F2195" s="703" t="s">
        <v>455</v>
      </c>
      <c r="G2195" s="703" t="s">
        <v>3744</v>
      </c>
      <c r="H2195" s="703" t="s">
        <v>334</v>
      </c>
      <c r="I2195" s="703" t="s">
        <v>334</v>
      </c>
      <c r="J2195" s="703" t="s">
        <v>458</v>
      </c>
      <c r="K2195" s="704">
        <v>0</v>
      </c>
      <c r="L2195" s="703" t="s">
        <v>334</v>
      </c>
      <c r="M2195" s="702"/>
      <c r="N2195" s="702">
        <v>44592</v>
      </c>
      <c r="O2195" s="703" t="s">
        <v>338</v>
      </c>
      <c r="P2195" s="20">
        <v>0</v>
      </c>
      <c r="Q2195" s="20">
        <v>28000.49</v>
      </c>
      <c r="R2195" s="20">
        <v>0</v>
      </c>
      <c r="S2195" s="20">
        <v>0</v>
      </c>
      <c r="T2195" s="20">
        <v>28000.49</v>
      </c>
      <c r="U2195" s="20">
        <v>0</v>
      </c>
      <c r="V2195" s="20">
        <v>0</v>
      </c>
      <c r="W2195" s="20">
        <v>-757.13</v>
      </c>
      <c r="X2195" s="20">
        <v>-757.13</v>
      </c>
      <c r="Y2195" s="20">
        <v>0</v>
      </c>
      <c r="Z2195" s="20">
        <v>0</v>
      </c>
      <c r="AA2195" s="20">
        <v>0</v>
      </c>
      <c r="AB2195" s="20">
        <v>27243.360000000001</v>
      </c>
      <c r="AC2195" t="s">
        <v>459</v>
      </c>
      <c r="AD2195" t="s">
        <v>290</v>
      </c>
      <c r="AE2195" s="702">
        <f t="shared" si="170"/>
        <v>44713</v>
      </c>
      <c r="AF2195" s="289">
        <v>27500.65208275833</v>
      </c>
      <c r="AG2195">
        <f t="shared" si="171"/>
        <v>360</v>
      </c>
      <c r="AH2195" s="289">
        <f t="shared" si="172"/>
        <v>76.390700229884246</v>
      </c>
      <c r="AJ2195" s="289">
        <f t="shared" si="173"/>
        <v>6</v>
      </c>
      <c r="AK2195" s="289">
        <f t="shared" si="174"/>
        <v>458.34420137930545</v>
      </c>
    </row>
    <row r="2196" spans="1:37">
      <c r="A2196" s="703" t="s">
        <v>3745</v>
      </c>
      <c r="B2196" s="703" t="s">
        <v>3743</v>
      </c>
      <c r="C2196" s="703" t="s">
        <v>454</v>
      </c>
      <c r="D2196" s="703" t="s">
        <v>334</v>
      </c>
      <c r="E2196" s="703" t="s">
        <v>334</v>
      </c>
      <c r="F2196" s="703" t="s">
        <v>455</v>
      </c>
      <c r="G2196" s="703" t="s">
        <v>3746</v>
      </c>
      <c r="H2196" s="703" t="s">
        <v>334</v>
      </c>
      <c r="I2196" s="703" t="s">
        <v>334</v>
      </c>
      <c r="J2196" s="703" t="s">
        <v>458</v>
      </c>
      <c r="K2196" s="704">
        <v>0</v>
      </c>
      <c r="L2196" s="703" t="s">
        <v>334</v>
      </c>
      <c r="M2196" s="702"/>
      <c r="N2196" s="702">
        <v>44592</v>
      </c>
      <c r="O2196" s="703" t="s">
        <v>338</v>
      </c>
      <c r="P2196" s="20">
        <v>0</v>
      </c>
      <c r="Q2196" s="20">
        <v>413359.83</v>
      </c>
      <c r="R2196" s="20">
        <v>0</v>
      </c>
      <c r="S2196" s="20">
        <v>0</v>
      </c>
      <c r="T2196" s="20">
        <v>413359.83</v>
      </c>
      <c r="U2196" s="20">
        <v>0</v>
      </c>
      <c r="V2196" s="20">
        <v>0</v>
      </c>
      <c r="W2196" s="20">
        <v>-7269.3</v>
      </c>
      <c r="X2196" s="20">
        <v>-7269.3</v>
      </c>
      <c r="Y2196" s="20">
        <v>0</v>
      </c>
      <c r="Z2196" s="20">
        <v>0</v>
      </c>
      <c r="AA2196" s="20">
        <v>0</v>
      </c>
      <c r="AB2196" s="20">
        <v>406090.53</v>
      </c>
      <c r="AC2196" t="s">
        <v>459</v>
      </c>
      <c r="AD2196" t="s">
        <v>290</v>
      </c>
      <c r="AE2196" s="702">
        <f t="shared" si="170"/>
        <v>44713</v>
      </c>
      <c r="AF2196" s="289">
        <v>405980.92639872117</v>
      </c>
      <c r="AG2196">
        <f t="shared" si="171"/>
        <v>360</v>
      </c>
      <c r="AH2196" s="289">
        <f t="shared" si="172"/>
        <v>1127.7247955520033</v>
      </c>
      <c r="AJ2196" s="289">
        <f t="shared" si="173"/>
        <v>6</v>
      </c>
      <c r="AK2196" s="289">
        <f t="shared" si="174"/>
        <v>6766.3487733120201</v>
      </c>
    </row>
    <row r="2197" spans="1:37">
      <c r="A2197" s="703" t="s">
        <v>2174</v>
      </c>
      <c r="B2197" s="703" t="s">
        <v>3743</v>
      </c>
      <c r="C2197" s="703" t="s">
        <v>454</v>
      </c>
      <c r="D2197" s="703" t="s">
        <v>467</v>
      </c>
      <c r="E2197" s="703" t="s">
        <v>334</v>
      </c>
      <c r="F2197" s="703" t="s">
        <v>455</v>
      </c>
      <c r="G2197" s="703" t="s">
        <v>2175</v>
      </c>
      <c r="H2197" s="703" t="s">
        <v>334</v>
      </c>
      <c r="I2197" s="703" t="s">
        <v>334</v>
      </c>
      <c r="J2197" s="703" t="s">
        <v>458</v>
      </c>
      <c r="K2197" s="704">
        <v>29</v>
      </c>
      <c r="L2197" s="703" t="s">
        <v>463</v>
      </c>
      <c r="M2197" s="702"/>
      <c r="N2197" s="702">
        <v>44592</v>
      </c>
      <c r="O2197" s="703" t="s">
        <v>338</v>
      </c>
      <c r="P2197" s="20">
        <v>0</v>
      </c>
      <c r="Q2197" s="20">
        <v>4299310.84</v>
      </c>
      <c r="R2197" s="20">
        <v>0</v>
      </c>
      <c r="S2197" s="20">
        <v>0</v>
      </c>
      <c r="T2197" s="20">
        <v>4299310.84</v>
      </c>
      <c r="U2197" s="20">
        <v>0</v>
      </c>
      <c r="V2197" s="20">
        <v>0</v>
      </c>
      <c r="W2197" s="20">
        <v>-95883.21</v>
      </c>
      <c r="X2197" s="20">
        <v>-95883.21</v>
      </c>
      <c r="Y2197" s="20">
        <v>0</v>
      </c>
      <c r="Z2197" s="20">
        <v>0</v>
      </c>
      <c r="AA2197" s="20">
        <v>0</v>
      </c>
      <c r="AB2197" s="20">
        <v>4203427.63</v>
      </c>
      <c r="AC2197" t="s">
        <v>459</v>
      </c>
      <c r="AD2197" t="s">
        <v>290</v>
      </c>
      <c r="AE2197" s="702">
        <f t="shared" si="170"/>
        <v>44713</v>
      </c>
      <c r="AF2197" s="289">
        <v>4222563.6625098865</v>
      </c>
      <c r="AG2197">
        <f t="shared" si="171"/>
        <v>360</v>
      </c>
      <c r="AH2197" s="289">
        <f t="shared" si="172"/>
        <v>11729.343506971907</v>
      </c>
      <c r="AJ2197" s="289">
        <f t="shared" si="173"/>
        <v>6</v>
      </c>
      <c r="AK2197" s="289">
        <f t="shared" si="174"/>
        <v>70376.061041831446</v>
      </c>
    </row>
    <row r="2198" spans="1:37">
      <c r="A2198" s="703" t="s">
        <v>3747</v>
      </c>
      <c r="B2198" s="703" t="s">
        <v>3743</v>
      </c>
      <c r="C2198" s="703" t="s">
        <v>472</v>
      </c>
      <c r="D2198" s="703" t="s">
        <v>334</v>
      </c>
      <c r="E2198" s="703" t="s">
        <v>334</v>
      </c>
      <c r="F2198" s="703" t="s">
        <v>474</v>
      </c>
      <c r="G2198" s="703" t="s">
        <v>3748</v>
      </c>
      <c r="H2198" s="703" t="s">
        <v>334</v>
      </c>
      <c r="I2198" s="703" t="s">
        <v>334</v>
      </c>
      <c r="J2198" s="703" t="s">
        <v>476</v>
      </c>
      <c r="K2198" s="704">
        <v>0</v>
      </c>
      <c r="L2198" s="703" t="s">
        <v>334</v>
      </c>
      <c r="M2198" s="702"/>
      <c r="N2198" s="702">
        <v>44592</v>
      </c>
      <c r="O2198" s="703" t="s">
        <v>338</v>
      </c>
      <c r="P2198" s="20">
        <v>0</v>
      </c>
      <c r="Q2198" s="20">
        <v>90023.58</v>
      </c>
      <c r="R2198" s="20">
        <v>0</v>
      </c>
      <c r="S2198" s="20">
        <v>0</v>
      </c>
      <c r="T2198" s="20">
        <v>90023.58</v>
      </c>
      <c r="U2198" s="20">
        <v>0</v>
      </c>
      <c r="V2198" s="20">
        <v>0</v>
      </c>
      <c r="W2198" s="20">
        <v>-7183.22</v>
      </c>
      <c r="X2198" s="20">
        <v>-7183.22</v>
      </c>
      <c r="Y2198" s="20">
        <v>0</v>
      </c>
      <c r="Z2198" s="20">
        <v>0</v>
      </c>
      <c r="AA2198" s="20">
        <v>0</v>
      </c>
      <c r="AB2198" s="20">
        <v>82840.36</v>
      </c>
      <c r="AC2198" t="s">
        <v>477</v>
      </c>
      <c r="AD2198" t="s">
        <v>290</v>
      </c>
      <c r="AE2198" s="702">
        <f t="shared" si="170"/>
        <v>44713</v>
      </c>
      <c r="AF2198" s="289">
        <v>88416.565310977079</v>
      </c>
      <c r="AG2198">
        <f t="shared" si="171"/>
        <v>360</v>
      </c>
      <c r="AH2198" s="289">
        <f t="shared" si="172"/>
        <v>245.60157030826966</v>
      </c>
      <c r="AJ2198" s="289">
        <f t="shared" si="173"/>
        <v>6</v>
      </c>
      <c r="AK2198" s="289">
        <f t="shared" si="174"/>
        <v>1473.609421849618</v>
      </c>
    </row>
    <row r="2199" spans="1:37">
      <c r="A2199" s="703" t="s">
        <v>3749</v>
      </c>
      <c r="B2199" s="703" t="s">
        <v>3743</v>
      </c>
      <c r="C2199" s="703" t="s">
        <v>472</v>
      </c>
      <c r="D2199" s="703" t="s">
        <v>334</v>
      </c>
      <c r="E2199" s="703" t="s">
        <v>334</v>
      </c>
      <c r="F2199" s="703" t="s">
        <v>474</v>
      </c>
      <c r="G2199" s="703" t="s">
        <v>3750</v>
      </c>
      <c r="H2199" s="703" t="s">
        <v>334</v>
      </c>
      <c r="I2199" s="703" t="s">
        <v>334</v>
      </c>
      <c r="J2199" s="703" t="s">
        <v>476</v>
      </c>
      <c r="K2199" s="704">
        <v>0</v>
      </c>
      <c r="L2199" s="703" t="s">
        <v>334</v>
      </c>
      <c r="M2199" s="702"/>
      <c r="N2199" s="702">
        <v>44592</v>
      </c>
      <c r="O2199" s="703" t="s">
        <v>338</v>
      </c>
      <c r="P2199" s="20">
        <v>0</v>
      </c>
      <c r="Q2199" s="20">
        <v>163431.14000000001</v>
      </c>
      <c r="R2199" s="20">
        <v>0</v>
      </c>
      <c r="S2199" s="20">
        <v>0</v>
      </c>
      <c r="T2199" s="20">
        <v>163431.14000000001</v>
      </c>
      <c r="U2199" s="20">
        <v>0</v>
      </c>
      <c r="V2199" s="20">
        <v>0</v>
      </c>
      <c r="W2199" s="20">
        <v>-9226.7099999999991</v>
      </c>
      <c r="X2199" s="20">
        <v>-9226.7099999999991</v>
      </c>
      <c r="Y2199" s="20">
        <v>0</v>
      </c>
      <c r="Z2199" s="20">
        <v>0</v>
      </c>
      <c r="AA2199" s="20">
        <v>0</v>
      </c>
      <c r="AB2199" s="20">
        <v>154204.43</v>
      </c>
      <c r="AC2199" t="s">
        <v>477</v>
      </c>
      <c r="AD2199" t="s">
        <v>290</v>
      </c>
      <c r="AE2199" s="702">
        <f t="shared" si="170"/>
        <v>44713</v>
      </c>
      <c r="AF2199" s="289">
        <v>160513.72388942365</v>
      </c>
      <c r="AG2199">
        <f t="shared" si="171"/>
        <v>360</v>
      </c>
      <c r="AH2199" s="289">
        <f t="shared" si="172"/>
        <v>445.871455248399</v>
      </c>
      <c r="AJ2199" s="289">
        <f t="shared" si="173"/>
        <v>6</v>
      </c>
      <c r="AK2199" s="289">
        <f t="shared" si="174"/>
        <v>2675.2287314903942</v>
      </c>
    </row>
    <row r="2200" spans="1:37">
      <c r="A2200" s="703" t="s">
        <v>3751</v>
      </c>
      <c r="B2200" s="703" t="s">
        <v>484</v>
      </c>
      <c r="C2200" s="703" t="s">
        <v>1776</v>
      </c>
      <c r="D2200" s="703" t="s">
        <v>1777</v>
      </c>
      <c r="E2200" s="703" t="s">
        <v>334</v>
      </c>
      <c r="F2200" s="703" t="s">
        <v>487</v>
      </c>
      <c r="G2200" s="703" t="s">
        <v>2846</v>
      </c>
      <c r="H2200" s="703" t="s">
        <v>334</v>
      </c>
      <c r="I2200" s="703" t="s">
        <v>334</v>
      </c>
      <c r="J2200" s="703" t="s">
        <v>490</v>
      </c>
      <c r="K2200" s="704">
        <v>0</v>
      </c>
      <c r="L2200" s="703" t="s">
        <v>334</v>
      </c>
      <c r="M2200" s="702"/>
      <c r="N2200" s="702">
        <v>44592</v>
      </c>
      <c r="O2200" s="703" t="s">
        <v>338</v>
      </c>
      <c r="P2200" s="20">
        <v>0</v>
      </c>
      <c r="Q2200" s="20">
        <v>14869.9</v>
      </c>
      <c r="R2200" s="20">
        <v>0</v>
      </c>
      <c r="S2200" s="20">
        <v>0</v>
      </c>
      <c r="T2200" s="20">
        <v>14869.9</v>
      </c>
      <c r="U2200" s="20">
        <v>0</v>
      </c>
      <c r="V2200" s="20">
        <v>0</v>
      </c>
      <c r="W2200" s="20">
        <v>0</v>
      </c>
      <c r="X2200" s="20">
        <v>0</v>
      </c>
      <c r="Y2200" s="20">
        <v>0</v>
      </c>
      <c r="Z2200" s="20">
        <v>0</v>
      </c>
      <c r="AA2200" s="20">
        <v>0</v>
      </c>
      <c r="AB2200" s="20">
        <v>14869.9</v>
      </c>
      <c r="AC2200" t="s">
        <v>1779</v>
      </c>
      <c r="AD2200" t="s">
        <v>492</v>
      </c>
      <c r="AE2200" s="702">
        <f t="shared" si="170"/>
        <v>44713</v>
      </c>
      <c r="AF2200" s="289">
        <v>14604.456793627827</v>
      </c>
      <c r="AG2200">
        <f t="shared" si="171"/>
        <v>360</v>
      </c>
      <c r="AH2200" s="289">
        <f t="shared" si="172"/>
        <v>40.567935537855078</v>
      </c>
      <c r="AJ2200" s="289">
        <f t="shared" si="173"/>
        <v>6</v>
      </c>
      <c r="AK2200" s="289">
        <f t="shared" si="174"/>
        <v>0</v>
      </c>
    </row>
    <row r="2201" spans="1:37">
      <c r="A2201" s="703" t="s">
        <v>3752</v>
      </c>
      <c r="B2201" s="703" t="s">
        <v>484</v>
      </c>
      <c r="C2201" s="703" t="s">
        <v>1776</v>
      </c>
      <c r="D2201" s="703" t="s">
        <v>1777</v>
      </c>
      <c r="E2201" s="703" t="s">
        <v>334</v>
      </c>
      <c r="F2201" s="703" t="s">
        <v>487</v>
      </c>
      <c r="G2201" s="703" t="s">
        <v>3753</v>
      </c>
      <c r="H2201" s="703" t="s">
        <v>334</v>
      </c>
      <c r="I2201" s="703" t="s">
        <v>334</v>
      </c>
      <c r="J2201" s="703" t="s">
        <v>490</v>
      </c>
      <c r="K2201" s="704">
        <v>0</v>
      </c>
      <c r="L2201" s="703" t="s">
        <v>334</v>
      </c>
      <c r="M2201" s="702"/>
      <c r="N2201" s="702">
        <v>44592</v>
      </c>
      <c r="O2201" s="703" t="s">
        <v>338</v>
      </c>
      <c r="P2201" s="20">
        <v>0</v>
      </c>
      <c r="Q2201" s="20">
        <v>119999.58</v>
      </c>
      <c r="R2201" s="20">
        <v>0</v>
      </c>
      <c r="S2201" s="20">
        <v>0</v>
      </c>
      <c r="T2201" s="20">
        <v>119999.58</v>
      </c>
      <c r="U2201" s="20">
        <v>0</v>
      </c>
      <c r="V2201" s="20">
        <v>0</v>
      </c>
      <c r="W2201" s="20">
        <v>0</v>
      </c>
      <c r="X2201" s="20">
        <v>0</v>
      </c>
      <c r="Y2201" s="20">
        <v>0</v>
      </c>
      <c r="Z2201" s="20">
        <v>0</v>
      </c>
      <c r="AA2201" s="20">
        <v>0</v>
      </c>
      <c r="AB2201" s="20">
        <v>119999.58</v>
      </c>
      <c r="AC2201" t="s">
        <v>1779</v>
      </c>
      <c r="AD2201" t="s">
        <v>492</v>
      </c>
      <c r="AE2201" s="702">
        <f t="shared" si="170"/>
        <v>44713</v>
      </c>
      <c r="AF2201" s="289">
        <v>117857.46248216101</v>
      </c>
      <c r="AG2201">
        <f t="shared" si="171"/>
        <v>360</v>
      </c>
      <c r="AH2201" s="289">
        <f t="shared" si="172"/>
        <v>327.38184022822503</v>
      </c>
      <c r="AJ2201" s="289">
        <f t="shared" si="173"/>
        <v>6</v>
      </c>
      <c r="AK2201" s="289">
        <f t="shared" si="174"/>
        <v>0</v>
      </c>
    </row>
    <row r="2202" spans="1:37">
      <c r="A2202" s="703" t="s">
        <v>3754</v>
      </c>
      <c r="B2202" s="703" t="s">
        <v>484</v>
      </c>
      <c r="C2202" s="703" t="s">
        <v>1776</v>
      </c>
      <c r="D2202" s="703" t="s">
        <v>1777</v>
      </c>
      <c r="E2202" s="703" t="s">
        <v>334</v>
      </c>
      <c r="F2202" s="703" t="s">
        <v>487</v>
      </c>
      <c r="G2202" s="703" t="s">
        <v>3755</v>
      </c>
      <c r="H2202" s="703" t="s">
        <v>334</v>
      </c>
      <c r="I2202" s="703" t="s">
        <v>334</v>
      </c>
      <c r="J2202" s="703" t="s">
        <v>490</v>
      </c>
      <c r="K2202" s="704">
        <v>0</v>
      </c>
      <c r="L2202" s="703" t="s">
        <v>334</v>
      </c>
      <c r="M2202" s="702"/>
      <c r="N2202" s="702">
        <v>44592</v>
      </c>
      <c r="O2202" s="703" t="s">
        <v>338</v>
      </c>
      <c r="P2202" s="20">
        <v>0</v>
      </c>
      <c r="Q2202" s="20">
        <v>595976.1</v>
      </c>
      <c r="R2202" s="20">
        <v>0</v>
      </c>
      <c r="S2202" s="20">
        <v>0</v>
      </c>
      <c r="T2202" s="20">
        <v>595976.1</v>
      </c>
      <c r="U2202" s="20">
        <v>0</v>
      </c>
      <c r="V2202" s="20">
        <v>0</v>
      </c>
      <c r="W2202" s="20">
        <v>0</v>
      </c>
      <c r="X2202" s="20">
        <v>0</v>
      </c>
      <c r="Y2202" s="20">
        <v>0</v>
      </c>
      <c r="Z2202" s="20">
        <v>0</v>
      </c>
      <c r="AA2202" s="20">
        <v>0</v>
      </c>
      <c r="AB2202" s="20">
        <v>595976.1</v>
      </c>
      <c r="AC2202" t="s">
        <v>1779</v>
      </c>
      <c r="AD2202" t="s">
        <v>492</v>
      </c>
      <c r="AE2202" s="702">
        <f t="shared" si="170"/>
        <v>44713</v>
      </c>
      <c r="AF2202" s="289">
        <v>585337.30573069199</v>
      </c>
      <c r="AG2202">
        <f t="shared" si="171"/>
        <v>360</v>
      </c>
      <c r="AH2202" s="289">
        <f t="shared" si="172"/>
        <v>1625.9369603630332</v>
      </c>
      <c r="AJ2202" s="289">
        <f t="shared" si="173"/>
        <v>6</v>
      </c>
      <c r="AK2202" s="289">
        <f t="shared" si="174"/>
        <v>0</v>
      </c>
    </row>
    <row r="2203" spans="1:37">
      <c r="A2203" s="703" t="s">
        <v>3756</v>
      </c>
      <c r="B2203" s="703" t="s">
        <v>484</v>
      </c>
      <c r="C2203" s="703" t="s">
        <v>1776</v>
      </c>
      <c r="D2203" s="703" t="s">
        <v>1777</v>
      </c>
      <c r="E2203" s="703" t="s">
        <v>334</v>
      </c>
      <c r="F2203" s="703" t="s">
        <v>487</v>
      </c>
      <c r="G2203" s="703" t="s">
        <v>3757</v>
      </c>
      <c r="H2203" s="703" t="s">
        <v>334</v>
      </c>
      <c r="I2203" s="703" t="s">
        <v>334</v>
      </c>
      <c r="J2203" s="703" t="s">
        <v>490</v>
      </c>
      <c r="K2203" s="704">
        <v>0</v>
      </c>
      <c r="L2203" s="703" t="s">
        <v>334</v>
      </c>
      <c r="M2203" s="702"/>
      <c r="N2203" s="702">
        <v>44592</v>
      </c>
      <c r="O2203" s="703" t="s">
        <v>338</v>
      </c>
      <c r="P2203" s="20">
        <v>0</v>
      </c>
      <c r="Q2203" s="20">
        <v>54391.17</v>
      </c>
      <c r="R2203" s="20">
        <v>0</v>
      </c>
      <c r="S2203" s="20">
        <v>0</v>
      </c>
      <c r="T2203" s="20">
        <v>54391.17</v>
      </c>
      <c r="U2203" s="20">
        <v>0</v>
      </c>
      <c r="V2203" s="20">
        <v>0</v>
      </c>
      <c r="W2203" s="20">
        <v>0</v>
      </c>
      <c r="X2203" s="20">
        <v>0</v>
      </c>
      <c r="Y2203" s="20">
        <v>0</v>
      </c>
      <c r="Z2203" s="20">
        <v>0</v>
      </c>
      <c r="AA2203" s="20">
        <v>0</v>
      </c>
      <c r="AB2203" s="20">
        <v>54391.17</v>
      </c>
      <c r="AC2203" t="s">
        <v>1779</v>
      </c>
      <c r="AD2203" t="s">
        <v>492</v>
      </c>
      <c r="AE2203" s="702">
        <f t="shared" si="170"/>
        <v>44713</v>
      </c>
      <c r="AF2203" s="289">
        <v>53420.230951107005</v>
      </c>
      <c r="AG2203">
        <f t="shared" si="171"/>
        <v>360</v>
      </c>
      <c r="AH2203" s="289">
        <f t="shared" si="172"/>
        <v>148.38953041974167</v>
      </c>
      <c r="AJ2203" s="289">
        <f t="shared" si="173"/>
        <v>6</v>
      </c>
      <c r="AK2203" s="289">
        <f t="shared" si="174"/>
        <v>0</v>
      </c>
    </row>
    <row r="2204" spans="1:37">
      <c r="A2204" s="703" t="s">
        <v>3758</v>
      </c>
      <c r="B2204" s="703" t="s">
        <v>484</v>
      </c>
      <c r="C2204" s="703" t="s">
        <v>1776</v>
      </c>
      <c r="D2204" s="703" t="s">
        <v>1777</v>
      </c>
      <c r="E2204" s="703" t="s">
        <v>334</v>
      </c>
      <c r="F2204" s="703" t="s">
        <v>487</v>
      </c>
      <c r="G2204" s="703" t="s">
        <v>3759</v>
      </c>
      <c r="H2204" s="703" t="s">
        <v>334</v>
      </c>
      <c r="I2204" s="703" t="s">
        <v>334</v>
      </c>
      <c r="J2204" s="703" t="s">
        <v>490</v>
      </c>
      <c r="K2204" s="704">
        <v>0</v>
      </c>
      <c r="L2204" s="703" t="s">
        <v>334</v>
      </c>
      <c r="M2204" s="702"/>
      <c r="N2204" s="702">
        <v>44592</v>
      </c>
      <c r="O2204" s="703" t="s">
        <v>338</v>
      </c>
      <c r="P2204" s="20">
        <v>0</v>
      </c>
      <c r="Q2204" s="20">
        <v>77470.81</v>
      </c>
      <c r="R2204" s="20">
        <v>0</v>
      </c>
      <c r="S2204" s="20">
        <v>0</v>
      </c>
      <c r="T2204" s="20">
        <v>77470.81</v>
      </c>
      <c r="U2204" s="20">
        <v>0</v>
      </c>
      <c r="V2204" s="20">
        <v>0</v>
      </c>
      <c r="W2204" s="20">
        <v>0</v>
      </c>
      <c r="X2204" s="20">
        <v>0</v>
      </c>
      <c r="Y2204" s="20">
        <v>0</v>
      </c>
      <c r="Z2204" s="20">
        <v>0</v>
      </c>
      <c r="AA2204" s="20">
        <v>0</v>
      </c>
      <c r="AB2204" s="20">
        <v>77470.81</v>
      </c>
      <c r="AC2204" t="s">
        <v>1779</v>
      </c>
      <c r="AD2204" t="s">
        <v>492</v>
      </c>
      <c r="AE2204" s="702">
        <f t="shared" si="170"/>
        <v>44713</v>
      </c>
      <c r="AF2204" s="289">
        <v>76087.8753328772</v>
      </c>
      <c r="AG2204">
        <f t="shared" si="171"/>
        <v>360</v>
      </c>
      <c r="AH2204" s="289">
        <f t="shared" si="172"/>
        <v>211.35520925799221</v>
      </c>
      <c r="AJ2204" s="289">
        <f t="shared" si="173"/>
        <v>6</v>
      </c>
      <c r="AK2204" s="289">
        <f t="shared" si="174"/>
        <v>0</v>
      </c>
    </row>
    <row r="2205" spans="1:37">
      <c r="A2205" s="703" t="s">
        <v>3760</v>
      </c>
      <c r="B2205" s="703" t="s">
        <v>484</v>
      </c>
      <c r="C2205" s="703" t="s">
        <v>485</v>
      </c>
      <c r="D2205" s="703" t="s">
        <v>334</v>
      </c>
      <c r="E2205" s="703" t="s">
        <v>334</v>
      </c>
      <c r="F2205" s="703" t="s">
        <v>487</v>
      </c>
      <c r="G2205" s="703" t="s">
        <v>3761</v>
      </c>
      <c r="H2205" s="703" t="s">
        <v>334</v>
      </c>
      <c r="I2205" s="703" t="s">
        <v>334</v>
      </c>
      <c r="J2205" s="703" t="s">
        <v>490</v>
      </c>
      <c r="K2205" s="704">
        <v>0</v>
      </c>
      <c r="L2205" s="703" t="s">
        <v>334</v>
      </c>
      <c r="M2205" s="702"/>
      <c r="N2205" s="702">
        <v>44592</v>
      </c>
      <c r="O2205" s="703" t="s">
        <v>338</v>
      </c>
      <c r="P2205" s="20">
        <v>0</v>
      </c>
      <c r="Q2205" s="20">
        <v>187837.71</v>
      </c>
      <c r="R2205" s="20">
        <v>0</v>
      </c>
      <c r="S2205" s="20">
        <v>0</v>
      </c>
      <c r="T2205" s="20">
        <v>187837.71</v>
      </c>
      <c r="U2205" s="20">
        <v>0</v>
      </c>
      <c r="V2205" s="20">
        <v>0</v>
      </c>
      <c r="W2205" s="20">
        <v>0</v>
      </c>
      <c r="X2205" s="20">
        <v>0</v>
      </c>
      <c r="Y2205" s="20">
        <v>0</v>
      </c>
      <c r="Z2205" s="20">
        <v>0</v>
      </c>
      <c r="AA2205" s="20">
        <v>0</v>
      </c>
      <c r="AB2205" s="20">
        <v>187837.71</v>
      </c>
      <c r="AC2205" t="s">
        <v>491</v>
      </c>
      <c r="AD2205" t="s">
        <v>492</v>
      </c>
      <c r="AE2205" s="702">
        <f t="shared" si="170"/>
        <v>44713</v>
      </c>
      <c r="AF2205" s="289">
        <v>184484.61118830615</v>
      </c>
      <c r="AG2205">
        <f t="shared" si="171"/>
        <v>360</v>
      </c>
      <c r="AH2205" s="289">
        <f t="shared" si="172"/>
        <v>512.45725330085043</v>
      </c>
      <c r="AJ2205" s="289">
        <f t="shared" si="173"/>
        <v>6</v>
      </c>
      <c r="AK2205" s="289">
        <f t="shared" si="174"/>
        <v>0</v>
      </c>
    </row>
    <row r="2206" spans="1:37">
      <c r="A2206" s="703" t="s">
        <v>3762</v>
      </c>
      <c r="B2206" s="703" t="s">
        <v>484</v>
      </c>
      <c r="C2206" s="703" t="s">
        <v>485</v>
      </c>
      <c r="D2206" s="703" t="s">
        <v>334</v>
      </c>
      <c r="E2206" s="703" t="s">
        <v>334</v>
      </c>
      <c r="F2206" s="703" t="s">
        <v>487</v>
      </c>
      <c r="G2206" s="703" t="s">
        <v>3763</v>
      </c>
      <c r="H2206" s="703" t="s">
        <v>334</v>
      </c>
      <c r="I2206" s="703" t="s">
        <v>334</v>
      </c>
      <c r="J2206" s="703" t="s">
        <v>490</v>
      </c>
      <c r="K2206" s="704">
        <v>0</v>
      </c>
      <c r="L2206" s="703" t="s">
        <v>334</v>
      </c>
      <c r="M2206" s="702"/>
      <c r="N2206" s="702">
        <v>44592</v>
      </c>
      <c r="O2206" s="703" t="s">
        <v>338</v>
      </c>
      <c r="P2206" s="20">
        <v>0</v>
      </c>
      <c r="Q2206" s="20">
        <v>139713.51</v>
      </c>
      <c r="R2206" s="20">
        <v>0</v>
      </c>
      <c r="S2206" s="20">
        <v>0</v>
      </c>
      <c r="T2206" s="20">
        <v>139713.51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0</v>
      </c>
      <c r="AA2206" s="20">
        <v>0</v>
      </c>
      <c r="AB2206" s="20">
        <v>139713.51</v>
      </c>
      <c r="AC2206" t="s">
        <v>491</v>
      </c>
      <c r="AD2206" t="s">
        <v>492</v>
      </c>
      <c r="AE2206" s="702">
        <f t="shared" si="170"/>
        <v>44713</v>
      </c>
      <c r="AF2206" s="289">
        <v>137219.4782938076</v>
      </c>
      <c r="AG2206">
        <f t="shared" si="171"/>
        <v>360</v>
      </c>
      <c r="AH2206" s="289">
        <f t="shared" si="172"/>
        <v>381.16521748279888</v>
      </c>
      <c r="AJ2206" s="289">
        <f t="shared" si="173"/>
        <v>6</v>
      </c>
      <c r="AK2206" s="289">
        <f t="shared" si="174"/>
        <v>0</v>
      </c>
    </row>
    <row r="2207" spans="1:37">
      <c r="A2207" s="703" t="s">
        <v>3764</v>
      </c>
      <c r="B2207" s="703" t="s">
        <v>3743</v>
      </c>
      <c r="C2207" s="703" t="s">
        <v>332</v>
      </c>
      <c r="D2207" s="703" t="s">
        <v>334</v>
      </c>
      <c r="E2207" s="703" t="s">
        <v>334</v>
      </c>
      <c r="F2207" s="703" t="s">
        <v>335</v>
      </c>
      <c r="G2207" s="703" t="s">
        <v>3765</v>
      </c>
      <c r="H2207" s="703" t="s">
        <v>334</v>
      </c>
      <c r="I2207" s="703" t="s">
        <v>334</v>
      </c>
      <c r="J2207" s="703" t="s">
        <v>337</v>
      </c>
      <c r="K2207" s="704">
        <v>0</v>
      </c>
      <c r="L2207" s="703" t="s">
        <v>334</v>
      </c>
      <c r="M2207" s="702">
        <v>42886</v>
      </c>
      <c r="N2207" s="702">
        <v>44608</v>
      </c>
      <c r="O2207" s="703" t="s">
        <v>338</v>
      </c>
      <c r="P2207" s="20">
        <v>0</v>
      </c>
      <c r="Q2207" s="20">
        <v>0</v>
      </c>
      <c r="R2207" s="20">
        <v>7769.72</v>
      </c>
      <c r="S2207" s="20">
        <v>0</v>
      </c>
      <c r="T2207" s="20">
        <v>7769.72</v>
      </c>
      <c r="U2207" s="20">
        <v>0</v>
      </c>
      <c r="V2207" s="20">
        <v>0</v>
      </c>
      <c r="W2207" s="20">
        <v>-215.83</v>
      </c>
      <c r="X2207" s="20">
        <v>-215.83</v>
      </c>
      <c r="Y2207" s="20">
        <v>0</v>
      </c>
      <c r="Z2207" s="20">
        <v>0</v>
      </c>
      <c r="AA2207" s="20">
        <v>0</v>
      </c>
      <c r="AB2207" s="20">
        <v>7553.89</v>
      </c>
      <c r="AC2207" t="s">
        <v>183</v>
      </c>
      <c r="AD2207" t="s">
        <v>290</v>
      </c>
      <c r="AE2207" s="702">
        <f t="shared" si="170"/>
        <v>44713</v>
      </c>
      <c r="AF2207" s="289">
        <v>7631.0224035525453</v>
      </c>
      <c r="AG2207">
        <f t="shared" si="171"/>
        <v>360</v>
      </c>
      <c r="AH2207" s="289">
        <f t="shared" si="172"/>
        <v>21.197284454312626</v>
      </c>
      <c r="AJ2207" s="289">
        <f t="shared" si="173"/>
        <v>6</v>
      </c>
      <c r="AK2207" s="289">
        <f t="shared" si="174"/>
        <v>127.18370672587577</v>
      </c>
    </row>
    <row r="2208" spans="1:37">
      <c r="A2208" s="703" t="s">
        <v>3766</v>
      </c>
      <c r="B2208" s="703" t="s">
        <v>3743</v>
      </c>
      <c r="C2208" s="703" t="s">
        <v>390</v>
      </c>
      <c r="D2208" s="703" t="s">
        <v>334</v>
      </c>
      <c r="E2208" s="703" t="s">
        <v>334</v>
      </c>
      <c r="F2208" s="703" t="s">
        <v>335</v>
      </c>
      <c r="G2208" s="703" t="s">
        <v>3767</v>
      </c>
      <c r="H2208" s="703" t="s">
        <v>334</v>
      </c>
      <c r="I2208" s="703" t="s">
        <v>334</v>
      </c>
      <c r="J2208" s="703" t="s">
        <v>337</v>
      </c>
      <c r="K2208" s="704">
        <v>0</v>
      </c>
      <c r="L2208" s="703" t="s">
        <v>334</v>
      </c>
      <c r="M2208" s="702">
        <v>42886</v>
      </c>
      <c r="N2208" s="702">
        <v>44608</v>
      </c>
      <c r="O2208" s="703" t="s">
        <v>338</v>
      </c>
      <c r="P2208" s="20">
        <v>0</v>
      </c>
      <c r="Q2208" s="20">
        <v>0</v>
      </c>
      <c r="R2208" s="20">
        <v>20163.02</v>
      </c>
      <c r="S2208" s="20">
        <v>0</v>
      </c>
      <c r="T2208" s="20">
        <v>20163.02</v>
      </c>
      <c r="U2208" s="20">
        <v>0</v>
      </c>
      <c r="V2208" s="20">
        <v>0</v>
      </c>
      <c r="W2208" s="20">
        <v>-560.08000000000004</v>
      </c>
      <c r="X2208" s="20">
        <v>-560.08000000000004</v>
      </c>
      <c r="Y2208" s="20">
        <v>0</v>
      </c>
      <c r="Z2208" s="20">
        <v>0</v>
      </c>
      <c r="AA2208" s="20">
        <v>0</v>
      </c>
      <c r="AB2208" s="20">
        <v>19602.939999999999</v>
      </c>
      <c r="AC2208" t="s">
        <v>188</v>
      </c>
      <c r="AD2208" t="s">
        <v>290</v>
      </c>
      <c r="AE2208" s="702">
        <f t="shared" si="170"/>
        <v>44713</v>
      </c>
      <c r="AF2208" s="289">
        <v>19803.089087287321</v>
      </c>
      <c r="AG2208">
        <f t="shared" si="171"/>
        <v>360</v>
      </c>
      <c r="AH2208" s="289">
        <f t="shared" si="172"/>
        <v>55.008580798020333</v>
      </c>
      <c r="AJ2208" s="289">
        <f t="shared" si="173"/>
        <v>6</v>
      </c>
      <c r="AK2208" s="289">
        <f t="shared" si="174"/>
        <v>330.05148478812202</v>
      </c>
    </row>
    <row r="2209" spans="1:37">
      <c r="A2209" s="703" t="s">
        <v>3768</v>
      </c>
      <c r="B2209" s="703" t="s">
        <v>3743</v>
      </c>
      <c r="C2209" s="703" t="s">
        <v>390</v>
      </c>
      <c r="D2209" s="703" t="s">
        <v>334</v>
      </c>
      <c r="E2209" s="703" t="s">
        <v>334</v>
      </c>
      <c r="F2209" s="703" t="s">
        <v>335</v>
      </c>
      <c r="G2209" s="703" t="s">
        <v>3769</v>
      </c>
      <c r="H2209" s="703" t="s">
        <v>334</v>
      </c>
      <c r="I2209" s="703" t="s">
        <v>334</v>
      </c>
      <c r="J2209" s="703" t="s">
        <v>337</v>
      </c>
      <c r="K2209" s="704">
        <v>0</v>
      </c>
      <c r="L2209" s="703" t="s">
        <v>334</v>
      </c>
      <c r="M2209" s="702">
        <v>43251</v>
      </c>
      <c r="N2209" s="702">
        <v>44608</v>
      </c>
      <c r="O2209" s="703" t="s">
        <v>338</v>
      </c>
      <c r="P2209" s="20">
        <v>0</v>
      </c>
      <c r="Q2209" s="20">
        <v>0</v>
      </c>
      <c r="R2209" s="20">
        <v>2443.6</v>
      </c>
      <c r="S2209" s="20">
        <v>0</v>
      </c>
      <c r="T2209" s="20">
        <v>2443.6</v>
      </c>
      <c r="U2209" s="20">
        <v>0</v>
      </c>
      <c r="V2209" s="20">
        <v>0</v>
      </c>
      <c r="W2209" s="20">
        <v>-67.88</v>
      </c>
      <c r="X2209" s="20">
        <v>-67.88</v>
      </c>
      <c r="Y2209" s="20">
        <v>0</v>
      </c>
      <c r="Z2209" s="20">
        <v>0</v>
      </c>
      <c r="AA2209" s="20">
        <v>0</v>
      </c>
      <c r="AB2209" s="20">
        <v>2375.7199999999998</v>
      </c>
      <c r="AC2209" t="s">
        <v>188</v>
      </c>
      <c r="AD2209" t="s">
        <v>290</v>
      </c>
      <c r="AE2209" s="702">
        <f t="shared" si="170"/>
        <v>44713</v>
      </c>
      <c r="AF2209" s="289">
        <v>2399.9791942722518</v>
      </c>
      <c r="AG2209">
        <f t="shared" si="171"/>
        <v>360</v>
      </c>
      <c r="AH2209" s="289">
        <f t="shared" si="172"/>
        <v>6.6666088729784772</v>
      </c>
      <c r="AJ2209" s="289">
        <f t="shared" si="173"/>
        <v>6</v>
      </c>
      <c r="AK2209" s="289">
        <f t="shared" si="174"/>
        <v>39.999653237870859</v>
      </c>
    </row>
    <row r="2210" spans="1:37">
      <c r="A2210" s="703" t="s">
        <v>3770</v>
      </c>
      <c r="B2210" s="703" t="s">
        <v>3743</v>
      </c>
      <c r="C2210" s="703" t="s">
        <v>454</v>
      </c>
      <c r="D2210" s="703" t="s">
        <v>334</v>
      </c>
      <c r="E2210" s="703" t="s">
        <v>334</v>
      </c>
      <c r="F2210" s="703" t="s">
        <v>455</v>
      </c>
      <c r="G2210" s="703" t="s">
        <v>3771</v>
      </c>
      <c r="H2210" s="703" t="s">
        <v>334</v>
      </c>
      <c r="I2210" s="703" t="s">
        <v>334</v>
      </c>
      <c r="J2210" s="703" t="s">
        <v>458</v>
      </c>
      <c r="K2210" s="704">
        <v>0</v>
      </c>
      <c r="L2210" s="703" t="s">
        <v>334</v>
      </c>
      <c r="M2210" s="702"/>
      <c r="N2210" s="702">
        <v>44620</v>
      </c>
      <c r="O2210" s="703" t="s">
        <v>338</v>
      </c>
      <c r="P2210" s="20">
        <v>0</v>
      </c>
      <c r="Q2210" s="20">
        <v>624805.41</v>
      </c>
      <c r="R2210" s="20">
        <v>0</v>
      </c>
      <c r="S2210" s="20">
        <v>0</v>
      </c>
      <c r="T2210" s="20">
        <v>624805.41</v>
      </c>
      <c r="U2210" s="20">
        <v>0</v>
      </c>
      <c r="V2210" s="20">
        <v>0</v>
      </c>
      <c r="W2210" s="20">
        <v>-5287.31</v>
      </c>
      <c r="X2210" s="20">
        <v>-5287.31</v>
      </c>
      <c r="Y2210" s="20">
        <v>0</v>
      </c>
      <c r="Z2210" s="20">
        <v>0</v>
      </c>
      <c r="AA2210" s="20">
        <v>0</v>
      </c>
      <c r="AB2210" s="20">
        <v>619518.1</v>
      </c>
      <c r="AC2210" t="s">
        <v>459</v>
      </c>
      <c r="AD2210" t="s">
        <v>290</v>
      </c>
      <c r="AE2210" s="702">
        <f t="shared" si="170"/>
        <v>44713</v>
      </c>
      <c r="AF2210" s="289">
        <v>613651.98251299071</v>
      </c>
      <c r="AG2210">
        <f t="shared" si="171"/>
        <v>360</v>
      </c>
      <c r="AH2210" s="289">
        <f t="shared" si="172"/>
        <v>1704.5888403138631</v>
      </c>
      <c r="AJ2210" s="289">
        <f t="shared" si="173"/>
        <v>6</v>
      </c>
      <c r="AK2210" s="289">
        <f t="shared" si="174"/>
        <v>10227.533041883178</v>
      </c>
    </row>
    <row r="2211" spans="1:37">
      <c r="A2211" s="703" t="s">
        <v>3772</v>
      </c>
      <c r="B2211" s="703" t="s">
        <v>484</v>
      </c>
      <c r="C2211" s="703" t="s">
        <v>1776</v>
      </c>
      <c r="D2211" s="703" t="s">
        <v>1777</v>
      </c>
      <c r="E2211" s="703" t="s">
        <v>334</v>
      </c>
      <c r="F2211" s="703" t="s">
        <v>487</v>
      </c>
      <c r="G2211" s="703" t="s">
        <v>3773</v>
      </c>
      <c r="H2211" s="703" t="s">
        <v>334</v>
      </c>
      <c r="I2211" s="703" t="s">
        <v>334</v>
      </c>
      <c r="J2211" s="703" t="s">
        <v>490</v>
      </c>
      <c r="K2211" s="704">
        <v>0</v>
      </c>
      <c r="L2211" s="703" t="s">
        <v>334</v>
      </c>
      <c r="M2211" s="702"/>
      <c r="N2211" s="702">
        <v>44620</v>
      </c>
      <c r="O2211" s="703" t="s">
        <v>338</v>
      </c>
      <c r="P2211" s="20">
        <v>0</v>
      </c>
      <c r="Q2211" s="20">
        <v>795347.14</v>
      </c>
      <c r="R2211" s="20">
        <v>0</v>
      </c>
      <c r="S2211" s="20">
        <v>0</v>
      </c>
      <c r="T2211" s="20">
        <v>795347.14</v>
      </c>
      <c r="U2211" s="20">
        <v>0</v>
      </c>
      <c r="V2211" s="20">
        <v>0</v>
      </c>
      <c r="W2211" s="20">
        <v>0</v>
      </c>
      <c r="X2211" s="20">
        <v>0</v>
      </c>
      <c r="Y2211" s="20">
        <v>0</v>
      </c>
      <c r="Z2211" s="20">
        <v>0</v>
      </c>
      <c r="AA2211" s="20">
        <v>0</v>
      </c>
      <c r="AB2211" s="20">
        <v>795347.14</v>
      </c>
      <c r="AC2211" t="s">
        <v>1779</v>
      </c>
      <c r="AD2211" t="s">
        <v>492</v>
      </c>
      <c r="AE2211" s="702">
        <f t="shared" si="170"/>
        <v>44713</v>
      </c>
      <c r="AF2211" s="289">
        <v>781149.36496314453</v>
      </c>
      <c r="AG2211">
        <f t="shared" si="171"/>
        <v>360</v>
      </c>
      <c r="AH2211" s="289">
        <f t="shared" si="172"/>
        <v>2169.859347119846</v>
      </c>
      <c r="AJ2211" s="289">
        <f t="shared" si="173"/>
        <v>6</v>
      </c>
      <c r="AK2211" s="289">
        <f t="shared" si="174"/>
        <v>0</v>
      </c>
    </row>
    <row r="2212" spans="1:37">
      <c r="A2212" s="703" t="s">
        <v>3774</v>
      </c>
      <c r="B2212" s="703" t="s">
        <v>484</v>
      </c>
      <c r="C2212" s="703" t="s">
        <v>485</v>
      </c>
      <c r="D2212" s="703" t="s">
        <v>334</v>
      </c>
      <c r="E2212" s="703" t="s">
        <v>334</v>
      </c>
      <c r="F2212" s="703" t="s">
        <v>487</v>
      </c>
      <c r="G2212" s="703" t="s">
        <v>3763</v>
      </c>
      <c r="H2212" s="703" t="s">
        <v>334</v>
      </c>
      <c r="I2212" s="703" t="s">
        <v>334</v>
      </c>
      <c r="J2212" s="703" t="s">
        <v>490</v>
      </c>
      <c r="K2212" s="704">
        <v>0</v>
      </c>
      <c r="L2212" s="703" t="s">
        <v>334</v>
      </c>
      <c r="M2212" s="702"/>
      <c r="N2212" s="702">
        <v>44620</v>
      </c>
      <c r="O2212" s="703" t="s">
        <v>338</v>
      </c>
      <c r="P2212" s="20">
        <v>0</v>
      </c>
      <c r="Q2212" s="20">
        <v>1360</v>
      </c>
      <c r="R2212" s="20">
        <v>0</v>
      </c>
      <c r="S2212" s="20">
        <v>0</v>
      </c>
      <c r="T2212" s="20">
        <v>1360</v>
      </c>
      <c r="U2212" s="20">
        <v>0</v>
      </c>
      <c r="V2212" s="20">
        <v>0</v>
      </c>
      <c r="W2212" s="20">
        <v>0</v>
      </c>
      <c r="X2212" s="20">
        <v>0</v>
      </c>
      <c r="Y2212" s="20">
        <v>0</v>
      </c>
      <c r="Z2212" s="20">
        <v>0</v>
      </c>
      <c r="AA2212" s="20">
        <v>0</v>
      </c>
      <c r="AB2212" s="20">
        <v>1360</v>
      </c>
      <c r="AC2212" t="s">
        <v>491</v>
      </c>
      <c r="AD2212" t="s">
        <v>492</v>
      </c>
      <c r="AE2212" s="702">
        <f t="shared" si="170"/>
        <v>44713</v>
      </c>
      <c r="AF2212" s="289">
        <v>1335.7225831601993</v>
      </c>
      <c r="AG2212">
        <f t="shared" si="171"/>
        <v>360</v>
      </c>
      <c r="AH2212" s="289">
        <f t="shared" si="172"/>
        <v>3.7103405087783314</v>
      </c>
      <c r="AJ2212" s="289">
        <f t="shared" si="173"/>
        <v>6</v>
      </c>
      <c r="AK2212" s="289">
        <f t="shared" si="174"/>
        <v>0</v>
      </c>
    </row>
    <row r="2213" spans="1:37">
      <c r="A2213" s="703" t="s">
        <v>3775</v>
      </c>
      <c r="B2213" s="703" t="s">
        <v>484</v>
      </c>
      <c r="C2213" s="703" t="s">
        <v>485</v>
      </c>
      <c r="D2213" s="703" t="s">
        <v>334</v>
      </c>
      <c r="E2213" s="703" t="s">
        <v>334</v>
      </c>
      <c r="F2213" s="703" t="s">
        <v>487</v>
      </c>
      <c r="G2213" s="703" t="s">
        <v>3776</v>
      </c>
      <c r="H2213" s="703" t="s">
        <v>334</v>
      </c>
      <c r="I2213" s="703" t="s">
        <v>334</v>
      </c>
      <c r="J2213" s="703" t="s">
        <v>490</v>
      </c>
      <c r="K2213" s="704">
        <v>0</v>
      </c>
      <c r="L2213" s="703" t="s">
        <v>334</v>
      </c>
      <c r="M2213" s="702"/>
      <c r="N2213" s="702">
        <v>44620</v>
      </c>
      <c r="O2213" s="703" t="s">
        <v>338</v>
      </c>
      <c r="P2213" s="20">
        <v>0</v>
      </c>
      <c r="Q2213" s="20">
        <v>1103969.74</v>
      </c>
      <c r="R2213" s="20">
        <v>0</v>
      </c>
      <c r="S2213" s="20">
        <v>0</v>
      </c>
      <c r="T2213" s="20">
        <v>1103969.74</v>
      </c>
      <c r="U2213" s="20">
        <v>0</v>
      </c>
      <c r="V2213" s="20">
        <v>0</v>
      </c>
      <c r="W2213" s="20">
        <v>0</v>
      </c>
      <c r="X2213" s="20">
        <v>0</v>
      </c>
      <c r="Y2213" s="20">
        <v>0</v>
      </c>
      <c r="Z2213" s="20">
        <v>0</v>
      </c>
      <c r="AA2213" s="20">
        <v>0</v>
      </c>
      <c r="AB2213" s="20">
        <v>1103969.74</v>
      </c>
      <c r="AC2213" t="s">
        <v>491</v>
      </c>
      <c r="AD2213" t="s">
        <v>492</v>
      </c>
      <c r="AE2213" s="702">
        <f t="shared" si="170"/>
        <v>44713</v>
      </c>
      <c r="AF2213" s="289">
        <v>1084262.7300319804</v>
      </c>
      <c r="AG2213">
        <f t="shared" si="171"/>
        <v>360</v>
      </c>
      <c r="AH2213" s="289">
        <f t="shared" si="172"/>
        <v>3011.840916755501</v>
      </c>
      <c r="AJ2213" s="289">
        <f t="shared" si="173"/>
        <v>6</v>
      </c>
      <c r="AK2213" s="289">
        <f t="shared" si="174"/>
        <v>0</v>
      </c>
    </row>
    <row r="2214" spans="1:37">
      <c r="A2214" s="703" t="s">
        <v>3777</v>
      </c>
      <c r="B2214" s="703" t="s">
        <v>3743</v>
      </c>
      <c r="C2214" s="703" t="s">
        <v>472</v>
      </c>
      <c r="D2214" s="703" t="s">
        <v>334</v>
      </c>
      <c r="E2214" s="703" t="s">
        <v>334</v>
      </c>
      <c r="F2214" s="703" t="s">
        <v>474</v>
      </c>
      <c r="G2214" s="703" t="s">
        <v>3778</v>
      </c>
      <c r="H2214" s="703" t="s">
        <v>334</v>
      </c>
      <c r="I2214" s="703" t="s">
        <v>334</v>
      </c>
      <c r="J2214" s="703" t="s">
        <v>476</v>
      </c>
      <c r="K2214" s="704">
        <v>0</v>
      </c>
      <c r="L2214" s="703" t="s">
        <v>334</v>
      </c>
      <c r="M2214" s="702"/>
      <c r="N2214" s="702">
        <v>44651</v>
      </c>
      <c r="O2214" s="703" t="s">
        <v>338</v>
      </c>
      <c r="P2214" s="20">
        <v>0</v>
      </c>
      <c r="Q2214" s="20">
        <v>462220.48</v>
      </c>
      <c r="R2214" s="20">
        <v>0</v>
      </c>
      <c r="S2214" s="20">
        <v>0</v>
      </c>
      <c r="T2214" s="20">
        <v>462220.48</v>
      </c>
      <c r="U2214" s="20">
        <v>0</v>
      </c>
      <c r="V2214" s="20">
        <v>0</v>
      </c>
      <c r="W2214" s="20">
        <v>-11703.74</v>
      </c>
      <c r="X2214" s="20">
        <v>-11703.74</v>
      </c>
      <c r="Y2214" s="20">
        <v>0</v>
      </c>
      <c r="Z2214" s="20">
        <v>0</v>
      </c>
      <c r="AA2214" s="20">
        <v>0</v>
      </c>
      <c r="AB2214" s="20">
        <v>450516.74</v>
      </c>
      <c r="AC2214" t="s">
        <v>477</v>
      </c>
      <c r="AD2214" t="s">
        <v>290</v>
      </c>
      <c r="AE2214" s="702">
        <f t="shared" si="170"/>
        <v>44713</v>
      </c>
      <c r="AF2214" s="289">
        <v>453969.36289349053</v>
      </c>
      <c r="AG2214">
        <f t="shared" si="171"/>
        <v>360</v>
      </c>
      <c r="AH2214" s="289">
        <f t="shared" si="172"/>
        <v>1261.0260080374737</v>
      </c>
      <c r="AJ2214" s="289">
        <f t="shared" si="173"/>
        <v>6</v>
      </c>
      <c r="AK2214" s="289">
        <f t="shared" si="174"/>
        <v>7566.1560482248424</v>
      </c>
    </row>
    <row r="2215" spans="1:37">
      <c r="A2215" s="703" t="s">
        <v>3779</v>
      </c>
      <c r="B2215" s="703" t="s">
        <v>3743</v>
      </c>
      <c r="C2215" s="703" t="s">
        <v>472</v>
      </c>
      <c r="D2215" s="703" t="s">
        <v>334</v>
      </c>
      <c r="E2215" s="703" t="s">
        <v>334</v>
      </c>
      <c r="F2215" s="703" t="s">
        <v>474</v>
      </c>
      <c r="G2215" s="703" t="s">
        <v>3780</v>
      </c>
      <c r="H2215" s="703" t="s">
        <v>334</v>
      </c>
      <c r="I2215" s="703" t="s">
        <v>334</v>
      </c>
      <c r="J2215" s="703" t="s">
        <v>476</v>
      </c>
      <c r="K2215" s="704">
        <v>0</v>
      </c>
      <c r="L2215" s="703" t="s">
        <v>334</v>
      </c>
      <c r="M2215" s="702"/>
      <c r="N2215" s="702">
        <v>44651</v>
      </c>
      <c r="O2215" s="703" t="s">
        <v>338</v>
      </c>
      <c r="P2215" s="20">
        <v>0</v>
      </c>
      <c r="Q2215" s="20">
        <v>49137</v>
      </c>
      <c r="R2215" s="20">
        <v>0</v>
      </c>
      <c r="S2215" s="20">
        <v>0</v>
      </c>
      <c r="T2215" s="20">
        <v>49137</v>
      </c>
      <c r="U2215" s="20">
        <v>0</v>
      </c>
      <c r="V2215" s="20">
        <v>0</v>
      </c>
      <c r="W2215" s="20">
        <v>-2958.18</v>
      </c>
      <c r="X2215" s="20">
        <v>-2958.18</v>
      </c>
      <c r="Y2215" s="20">
        <v>0</v>
      </c>
      <c r="Z2215" s="20">
        <v>0</v>
      </c>
      <c r="AA2215" s="20">
        <v>0</v>
      </c>
      <c r="AB2215" s="20">
        <v>46178.82</v>
      </c>
      <c r="AC2215" t="s">
        <v>477</v>
      </c>
      <c r="AD2215" t="s">
        <v>290</v>
      </c>
      <c r="AE2215" s="702">
        <f t="shared" si="170"/>
        <v>44713</v>
      </c>
      <c r="AF2215" s="289">
        <v>48259.853359369641</v>
      </c>
      <c r="AG2215">
        <f t="shared" si="171"/>
        <v>360</v>
      </c>
      <c r="AH2215" s="289">
        <f t="shared" si="172"/>
        <v>134.05514822047124</v>
      </c>
      <c r="AJ2215" s="289">
        <f t="shared" si="173"/>
        <v>6</v>
      </c>
      <c r="AK2215" s="289">
        <f t="shared" si="174"/>
        <v>804.33088932282749</v>
      </c>
    </row>
    <row r="2216" spans="1:37">
      <c r="A2216" s="703" t="s">
        <v>3781</v>
      </c>
      <c r="B2216" s="703" t="s">
        <v>484</v>
      </c>
      <c r="C2216" s="703" t="s">
        <v>1210</v>
      </c>
      <c r="D2216" s="703" t="s">
        <v>334</v>
      </c>
      <c r="E2216" s="703" t="s">
        <v>334</v>
      </c>
      <c r="F2216" s="703" t="s">
        <v>487</v>
      </c>
      <c r="G2216" s="703" t="s">
        <v>3782</v>
      </c>
      <c r="H2216" s="703" t="s">
        <v>334</v>
      </c>
      <c r="I2216" s="703" t="s">
        <v>334</v>
      </c>
      <c r="J2216" s="703" t="s">
        <v>490</v>
      </c>
      <c r="K2216" s="704">
        <v>0</v>
      </c>
      <c r="L2216" s="703" t="s">
        <v>334</v>
      </c>
      <c r="M2216" s="702"/>
      <c r="N2216" s="702">
        <v>44651</v>
      </c>
      <c r="O2216" s="703" t="s">
        <v>338</v>
      </c>
      <c r="P2216" s="20">
        <v>0</v>
      </c>
      <c r="Q2216" s="20">
        <v>17440.25</v>
      </c>
      <c r="R2216" s="20">
        <v>-17440.25</v>
      </c>
      <c r="S2216" s="20">
        <v>0</v>
      </c>
      <c r="T2216" s="20">
        <v>0</v>
      </c>
      <c r="U2216" s="20">
        <v>0</v>
      </c>
      <c r="V2216" s="20">
        <v>0</v>
      </c>
      <c r="W2216" s="20">
        <v>0</v>
      </c>
      <c r="X2216" s="20">
        <v>0</v>
      </c>
      <c r="Y2216" s="20">
        <v>0</v>
      </c>
      <c r="Z2216" s="20">
        <v>0</v>
      </c>
      <c r="AA2216" s="20">
        <v>0</v>
      </c>
      <c r="AB2216" s="20">
        <v>0</v>
      </c>
      <c r="AC2216" t="s">
        <v>1212</v>
      </c>
      <c r="AD2216" t="s">
        <v>492</v>
      </c>
      <c r="AE2216" s="702">
        <f t="shared" si="170"/>
        <v>44713</v>
      </c>
      <c r="AF2216" s="289">
        <v>0</v>
      </c>
      <c r="AG2216">
        <f t="shared" si="171"/>
        <v>360</v>
      </c>
      <c r="AH2216" s="289">
        <f t="shared" si="172"/>
        <v>0</v>
      </c>
      <c r="AJ2216" s="289">
        <f t="shared" si="173"/>
        <v>6</v>
      </c>
      <c r="AK2216" s="289">
        <f t="shared" si="174"/>
        <v>0</v>
      </c>
    </row>
    <row r="2217" spans="1:37">
      <c r="A2217" s="703" t="s">
        <v>3783</v>
      </c>
      <c r="B2217" s="703" t="s">
        <v>484</v>
      </c>
      <c r="C2217" s="703" t="s">
        <v>485</v>
      </c>
      <c r="D2217" s="703" t="s">
        <v>334</v>
      </c>
      <c r="E2217" s="703" t="s">
        <v>334</v>
      </c>
      <c r="F2217" s="703" t="s">
        <v>487</v>
      </c>
      <c r="G2217" s="703" t="s">
        <v>3784</v>
      </c>
      <c r="H2217" s="703" t="s">
        <v>334</v>
      </c>
      <c r="I2217" s="703" t="s">
        <v>334</v>
      </c>
      <c r="J2217" s="703" t="s">
        <v>490</v>
      </c>
      <c r="K2217" s="704">
        <v>0</v>
      </c>
      <c r="L2217" s="703" t="s">
        <v>334</v>
      </c>
      <c r="M2217" s="702"/>
      <c r="N2217" s="702">
        <v>44651</v>
      </c>
      <c r="O2217" s="703" t="s">
        <v>338</v>
      </c>
      <c r="P2217" s="20">
        <v>0</v>
      </c>
      <c r="Q2217" s="20">
        <v>5509.19</v>
      </c>
      <c r="R2217" s="20">
        <v>0</v>
      </c>
      <c r="S2217" s="20">
        <v>0</v>
      </c>
      <c r="T2217" s="20">
        <v>5509.19</v>
      </c>
      <c r="U2217" s="20">
        <v>0</v>
      </c>
      <c r="V2217" s="20">
        <v>0</v>
      </c>
      <c r="W2217" s="20">
        <v>0</v>
      </c>
      <c r="X2217" s="20">
        <v>0</v>
      </c>
      <c r="Y2217" s="20">
        <v>0</v>
      </c>
      <c r="Z2217" s="20">
        <v>0</v>
      </c>
      <c r="AA2217" s="20">
        <v>0</v>
      </c>
      <c r="AB2217" s="20">
        <v>5509.19</v>
      </c>
      <c r="AC2217" t="s">
        <v>491</v>
      </c>
      <c r="AD2217" t="s">
        <v>492</v>
      </c>
      <c r="AE2217" s="702">
        <f t="shared" si="170"/>
        <v>44713</v>
      </c>
      <c r="AF2217" s="289">
        <v>5410.8452190590715</v>
      </c>
      <c r="AG2217">
        <f t="shared" si="171"/>
        <v>360</v>
      </c>
      <c r="AH2217" s="289">
        <f t="shared" si="172"/>
        <v>15.030125608497421</v>
      </c>
      <c r="AJ2217" s="289">
        <f t="shared" si="173"/>
        <v>6</v>
      </c>
      <c r="AK2217" s="289">
        <f t="shared" si="174"/>
        <v>0</v>
      </c>
    </row>
    <row r="2218" spans="1:37">
      <c r="A2218" s="703" t="s">
        <v>3785</v>
      </c>
      <c r="B2218" s="703" t="s">
        <v>484</v>
      </c>
      <c r="C2218" s="703" t="s">
        <v>1776</v>
      </c>
      <c r="D2218" s="703" t="s">
        <v>1777</v>
      </c>
      <c r="E2218" s="703" t="s">
        <v>334</v>
      </c>
      <c r="F2218" s="703" t="s">
        <v>487</v>
      </c>
      <c r="G2218" s="703" t="s">
        <v>3786</v>
      </c>
      <c r="H2218" s="703" t="s">
        <v>334</v>
      </c>
      <c r="I2218" s="703" t="s">
        <v>334</v>
      </c>
      <c r="J2218" s="703" t="s">
        <v>490</v>
      </c>
      <c r="K2218" s="704">
        <v>0</v>
      </c>
      <c r="L2218" s="703" t="s">
        <v>334</v>
      </c>
      <c r="M2218" s="702"/>
      <c r="N2218" s="702">
        <v>44681</v>
      </c>
      <c r="O2218" s="703" t="s">
        <v>338</v>
      </c>
      <c r="P2218" s="20">
        <v>0</v>
      </c>
      <c r="Q2218" s="20">
        <v>21025.85</v>
      </c>
      <c r="R2218" s="20">
        <v>0</v>
      </c>
      <c r="S2218" s="20">
        <v>0</v>
      </c>
      <c r="T2218" s="20">
        <v>21025.85</v>
      </c>
      <c r="U2218" s="20">
        <v>0</v>
      </c>
      <c r="V2218" s="20">
        <v>0</v>
      </c>
      <c r="W2218" s="20">
        <v>0</v>
      </c>
      <c r="X2218" s="20">
        <v>0</v>
      </c>
      <c r="Y2218" s="20">
        <v>0</v>
      </c>
      <c r="Z2218" s="20">
        <v>0</v>
      </c>
      <c r="AA2218" s="20">
        <v>0</v>
      </c>
      <c r="AB2218" s="20">
        <v>21025.85</v>
      </c>
      <c r="AC2218" t="s">
        <v>1779</v>
      </c>
      <c r="AD2218" t="s">
        <v>492</v>
      </c>
      <c r="AE2218" s="702">
        <f t="shared" si="170"/>
        <v>44713</v>
      </c>
      <c r="AF2218" s="289">
        <v>20650.516672896229</v>
      </c>
      <c r="AG2218">
        <f t="shared" si="171"/>
        <v>360</v>
      </c>
      <c r="AH2218" s="289">
        <f t="shared" si="172"/>
        <v>57.362546313600632</v>
      </c>
      <c r="AJ2218" s="289">
        <f t="shared" si="173"/>
        <v>6</v>
      </c>
      <c r="AK2218" s="289">
        <f t="shared" si="174"/>
        <v>0</v>
      </c>
    </row>
    <row r="2219" spans="1:37">
      <c r="A2219" s="703" t="s">
        <v>3787</v>
      </c>
      <c r="B2219" s="703" t="s">
        <v>3743</v>
      </c>
      <c r="C2219" s="703" t="s">
        <v>472</v>
      </c>
      <c r="D2219" s="703" t="s">
        <v>334</v>
      </c>
      <c r="E2219" s="703" t="s">
        <v>334</v>
      </c>
      <c r="F2219" s="703" t="s">
        <v>474</v>
      </c>
      <c r="G2219" s="703" t="s">
        <v>3750</v>
      </c>
      <c r="H2219" s="703" t="s">
        <v>334</v>
      </c>
      <c r="I2219" s="703" t="s">
        <v>334</v>
      </c>
      <c r="J2219" s="703" t="s">
        <v>476</v>
      </c>
      <c r="K2219" s="704">
        <v>0</v>
      </c>
      <c r="L2219" s="703" t="s">
        <v>334</v>
      </c>
      <c r="M2219" s="702"/>
      <c r="N2219" s="702">
        <v>44712</v>
      </c>
      <c r="O2219" s="703" t="s">
        <v>338</v>
      </c>
      <c r="P2219" s="20">
        <v>0</v>
      </c>
      <c r="Q2219" s="20">
        <v>430884.1</v>
      </c>
      <c r="R2219" s="20">
        <v>0</v>
      </c>
      <c r="S2219" s="20">
        <v>0</v>
      </c>
      <c r="T2219" s="20">
        <v>430884.1</v>
      </c>
      <c r="U2219" s="20">
        <v>0</v>
      </c>
      <c r="V2219" s="20">
        <v>0</v>
      </c>
      <c r="W2219" s="20">
        <v>-3898.13</v>
      </c>
      <c r="X2219" s="20">
        <v>-3898.13</v>
      </c>
      <c r="Y2219" s="20">
        <v>0</v>
      </c>
      <c r="Z2219" s="20">
        <v>0</v>
      </c>
      <c r="AA2219" s="20">
        <v>0</v>
      </c>
      <c r="AB2219" s="20">
        <v>426985.97</v>
      </c>
      <c r="AC2219" t="s">
        <v>477</v>
      </c>
      <c r="AD2219" t="s">
        <v>290</v>
      </c>
      <c r="AE2219" s="702">
        <f t="shared" si="170"/>
        <v>44713</v>
      </c>
      <c r="AF2219" s="289">
        <v>423192.3699225423</v>
      </c>
      <c r="AG2219">
        <f t="shared" si="171"/>
        <v>360</v>
      </c>
      <c r="AH2219" s="289">
        <f t="shared" si="172"/>
        <v>1175.5343608959508</v>
      </c>
      <c r="AJ2219" s="289">
        <f t="shared" si="173"/>
        <v>6</v>
      </c>
      <c r="AK2219" s="289">
        <f t="shared" si="174"/>
        <v>7053.2061653757046</v>
      </c>
    </row>
    <row r="2220" spans="1:37">
      <c r="A2220" s="703" t="s">
        <v>3788</v>
      </c>
      <c r="B2220" s="703" t="s">
        <v>484</v>
      </c>
      <c r="C2220" s="703" t="s">
        <v>1776</v>
      </c>
      <c r="D2220" s="703" t="s">
        <v>1777</v>
      </c>
      <c r="E2220" s="703" t="s">
        <v>334</v>
      </c>
      <c r="F2220" s="703" t="s">
        <v>487</v>
      </c>
      <c r="G2220" s="703" t="s">
        <v>3789</v>
      </c>
      <c r="H2220" s="703" t="s">
        <v>334</v>
      </c>
      <c r="I2220" s="703" t="s">
        <v>334</v>
      </c>
      <c r="J2220" s="703" t="s">
        <v>490</v>
      </c>
      <c r="K2220" s="704">
        <v>0</v>
      </c>
      <c r="L2220" s="703" t="s">
        <v>334</v>
      </c>
      <c r="M2220" s="702"/>
      <c r="N2220" s="702">
        <v>44742</v>
      </c>
      <c r="O2220" s="703" t="s">
        <v>338</v>
      </c>
      <c r="P2220" s="20">
        <v>0</v>
      </c>
      <c r="Q2220" s="20">
        <v>1701485.05</v>
      </c>
      <c r="R2220" s="20">
        <v>0</v>
      </c>
      <c r="S2220" s="20">
        <v>0</v>
      </c>
      <c r="T2220" s="20">
        <v>1701485.05</v>
      </c>
      <c r="U2220" s="20">
        <v>0</v>
      </c>
      <c r="V2220" s="20">
        <v>0</v>
      </c>
      <c r="W2220" s="20">
        <v>0</v>
      </c>
      <c r="X2220" s="20">
        <v>0</v>
      </c>
      <c r="Y2220" s="20">
        <v>0</v>
      </c>
      <c r="Z2220" s="20">
        <v>0</v>
      </c>
      <c r="AA2220" s="20">
        <v>0</v>
      </c>
      <c r="AB2220" s="20">
        <v>1701485.05</v>
      </c>
      <c r="AC2220" t="s">
        <v>1779</v>
      </c>
      <c r="AD2220" t="s">
        <v>492</v>
      </c>
      <c r="AE2220" s="702">
        <f t="shared" si="170"/>
        <v>44713</v>
      </c>
      <c r="AF2220" s="289">
        <v>1671111.7692606328</v>
      </c>
      <c r="AG2220">
        <f t="shared" si="171"/>
        <v>360</v>
      </c>
      <c r="AH2220" s="289">
        <f t="shared" si="172"/>
        <v>4641.9771368350912</v>
      </c>
      <c r="AJ2220" s="289">
        <f t="shared" si="173"/>
        <v>6</v>
      </c>
      <c r="AK2220" s="289">
        <f t="shared" si="174"/>
        <v>0</v>
      </c>
    </row>
    <row r="2221" spans="1:37">
      <c r="A2221" s="703" t="s">
        <v>3790</v>
      </c>
      <c r="B2221" s="703" t="s">
        <v>484</v>
      </c>
      <c r="C2221" s="703" t="s">
        <v>1214</v>
      </c>
      <c r="D2221" s="703" t="s">
        <v>334</v>
      </c>
      <c r="E2221" s="703" t="s">
        <v>334</v>
      </c>
      <c r="F2221" s="703" t="s">
        <v>487</v>
      </c>
      <c r="G2221" s="703" t="s">
        <v>3791</v>
      </c>
      <c r="H2221" s="703" t="s">
        <v>334</v>
      </c>
      <c r="I2221" s="703" t="s">
        <v>334</v>
      </c>
      <c r="J2221" s="703" t="s">
        <v>1217</v>
      </c>
      <c r="K2221" s="704">
        <v>0</v>
      </c>
      <c r="L2221" s="703" t="s">
        <v>334</v>
      </c>
      <c r="M2221" s="702"/>
      <c r="N2221" s="702">
        <v>44773</v>
      </c>
      <c r="O2221" s="703" t="s">
        <v>338</v>
      </c>
      <c r="P2221" s="20">
        <v>0</v>
      </c>
      <c r="Q2221" s="20">
        <v>171865.73</v>
      </c>
      <c r="R2221" s="20">
        <v>0</v>
      </c>
      <c r="S2221" s="20">
        <v>0</v>
      </c>
      <c r="T2221" s="20">
        <v>171865.73</v>
      </c>
      <c r="U2221" s="20">
        <v>0</v>
      </c>
      <c r="V2221" s="20">
        <v>0</v>
      </c>
      <c r="W2221" s="20">
        <v>0</v>
      </c>
      <c r="X2221" s="20">
        <v>0</v>
      </c>
      <c r="Y2221" s="20">
        <v>0</v>
      </c>
      <c r="Z2221" s="20">
        <v>0</v>
      </c>
      <c r="AA2221" s="20">
        <v>0</v>
      </c>
      <c r="AB2221" s="20">
        <v>171865.73</v>
      </c>
      <c r="AC2221" t="s">
        <v>1218</v>
      </c>
      <c r="AD2221" t="s">
        <v>492</v>
      </c>
      <c r="AE2221" s="702">
        <f t="shared" si="170"/>
        <v>44713</v>
      </c>
      <c r="AF2221" s="289">
        <v>168797.74767081864</v>
      </c>
      <c r="AG2221">
        <f t="shared" si="171"/>
        <v>360</v>
      </c>
      <c r="AH2221" s="289">
        <f t="shared" si="172"/>
        <v>468.88263241894066</v>
      </c>
      <c r="AJ2221" s="289">
        <f t="shared" si="173"/>
        <v>6</v>
      </c>
      <c r="AK2221" s="289">
        <f t="shared" si="174"/>
        <v>0</v>
      </c>
    </row>
    <row r="2222" spans="1:37">
      <c r="A2222" s="703" t="s">
        <v>3792</v>
      </c>
      <c r="B2222" s="703" t="s">
        <v>3743</v>
      </c>
      <c r="C2222" s="703" t="s">
        <v>332</v>
      </c>
      <c r="D2222" s="703" t="s">
        <v>334</v>
      </c>
      <c r="E2222" s="703" t="s">
        <v>334</v>
      </c>
      <c r="F2222" s="703" t="s">
        <v>335</v>
      </c>
      <c r="G2222" s="703" t="s">
        <v>3793</v>
      </c>
      <c r="H2222" s="703" t="s">
        <v>334</v>
      </c>
      <c r="I2222" s="703" t="s">
        <v>334</v>
      </c>
      <c r="J2222" s="703" t="s">
        <v>337</v>
      </c>
      <c r="K2222" s="704">
        <v>0</v>
      </c>
      <c r="L2222" s="703" t="s">
        <v>334</v>
      </c>
      <c r="M2222" s="702">
        <v>39478</v>
      </c>
      <c r="N2222" s="702">
        <v>44780</v>
      </c>
      <c r="O2222" s="703" t="s">
        <v>338</v>
      </c>
      <c r="P2222" s="20">
        <v>0</v>
      </c>
      <c r="Q2222" s="20">
        <v>0</v>
      </c>
      <c r="R2222" s="20">
        <v>4439.07</v>
      </c>
      <c r="S2222" s="20">
        <v>0</v>
      </c>
      <c r="T2222" s="20">
        <v>4439.07</v>
      </c>
      <c r="U2222" s="20">
        <v>0</v>
      </c>
      <c r="V2222" s="20">
        <v>0</v>
      </c>
      <c r="W2222" s="20">
        <v>-49.32</v>
      </c>
      <c r="X2222" s="20">
        <v>-49.32</v>
      </c>
      <c r="Y2222" s="20">
        <v>0</v>
      </c>
      <c r="Z2222" s="20">
        <v>0</v>
      </c>
      <c r="AA2222" s="20">
        <v>0</v>
      </c>
      <c r="AB2222" s="20">
        <v>4389.75</v>
      </c>
      <c r="AC2222" t="s">
        <v>183</v>
      </c>
      <c r="AD2222" t="s">
        <v>290</v>
      </c>
      <c r="AE2222" s="702">
        <f t="shared" si="170"/>
        <v>44713</v>
      </c>
      <c r="AF2222" s="289">
        <v>4359.8279759036359</v>
      </c>
      <c r="AG2222">
        <f t="shared" si="171"/>
        <v>360</v>
      </c>
      <c r="AH2222" s="289">
        <f t="shared" si="172"/>
        <v>12.110633266398988</v>
      </c>
      <c r="AJ2222" s="289">
        <f t="shared" si="173"/>
        <v>6</v>
      </c>
      <c r="AK2222" s="289">
        <f t="shared" si="174"/>
        <v>72.663799598393922</v>
      </c>
    </row>
    <row r="2223" spans="1:37">
      <c r="A2223" s="703" t="s">
        <v>3794</v>
      </c>
      <c r="B2223" s="703" t="s">
        <v>3743</v>
      </c>
      <c r="C2223" s="703" t="s">
        <v>332</v>
      </c>
      <c r="D2223" s="703" t="s">
        <v>334</v>
      </c>
      <c r="E2223" s="703" t="s">
        <v>334</v>
      </c>
      <c r="F2223" s="703" t="s">
        <v>335</v>
      </c>
      <c r="G2223" s="703" t="s">
        <v>3795</v>
      </c>
      <c r="H2223" s="703" t="s">
        <v>334</v>
      </c>
      <c r="I2223" s="703" t="s">
        <v>334</v>
      </c>
      <c r="J2223" s="703" t="s">
        <v>337</v>
      </c>
      <c r="K2223" s="704">
        <v>0</v>
      </c>
      <c r="L2223" s="703" t="s">
        <v>334</v>
      </c>
      <c r="M2223" s="702">
        <v>39478</v>
      </c>
      <c r="N2223" s="702">
        <v>44780</v>
      </c>
      <c r="O2223" s="703" t="s">
        <v>338</v>
      </c>
      <c r="P2223" s="20">
        <v>0</v>
      </c>
      <c r="Q2223" s="20">
        <v>0</v>
      </c>
      <c r="R2223" s="20">
        <v>5673.45</v>
      </c>
      <c r="S2223" s="20">
        <v>0</v>
      </c>
      <c r="T2223" s="20">
        <v>5673.45</v>
      </c>
      <c r="U2223" s="20">
        <v>0</v>
      </c>
      <c r="V2223" s="20">
        <v>0</v>
      </c>
      <c r="W2223" s="20">
        <v>-63.04</v>
      </c>
      <c r="X2223" s="20">
        <v>-63.04</v>
      </c>
      <c r="Y2223" s="20">
        <v>0</v>
      </c>
      <c r="Z2223" s="20">
        <v>0</v>
      </c>
      <c r="AA2223" s="20">
        <v>0</v>
      </c>
      <c r="AB2223" s="20">
        <v>5610.41</v>
      </c>
      <c r="AC2223" t="s">
        <v>183</v>
      </c>
      <c r="AD2223" t="s">
        <v>290</v>
      </c>
      <c r="AE2223" s="702">
        <f t="shared" si="170"/>
        <v>44713</v>
      </c>
      <c r="AF2223" s="289">
        <v>5572.1730069339937</v>
      </c>
      <c r="AG2223">
        <f t="shared" si="171"/>
        <v>360</v>
      </c>
      <c r="AH2223" s="289">
        <f t="shared" si="172"/>
        <v>15.478258352594427</v>
      </c>
      <c r="AJ2223" s="289">
        <f t="shared" si="173"/>
        <v>6</v>
      </c>
      <c r="AK2223" s="289">
        <f t="shared" si="174"/>
        <v>92.869550115566568</v>
      </c>
    </row>
    <row r="2224" spans="1:37">
      <c r="A2224" s="703" t="s">
        <v>3796</v>
      </c>
      <c r="B2224" s="703" t="s">
        <v>3743</v>
      </c>
      <c r="C2224" s="703" t="s">
        <v>332</v>
      </c>
      <c r="D2224" s="703" t="s">
        <v>334</v>
      </c>
      <c r="E2224" s="703" t="s">
        <v>334</v>
      </c>
      <c r="F2224" s="703" t="s">
        <v>335</v>
      </c>
      <c r="G2224" s="703" t="s">
        <v>3793</v>
      </c>
      <c r="H2224" s="703" t="s">
        <v>334</v>
      </c>
      <c r="I2224" s="703" t="s">
        <v>334</v>
      </c>
      <c r="J2224" s="703" t="s">
        <v>337</v>
      </c>
      <c r="K2224" s="704">
        <v>0</v>
      </c>
      <c r="L2224" s="703" t="s">
        <v>334</v>
      </c>
      <c r="M2224" s="702">
        <v>39478</v>
      </c>
      <c r="N2224" s="702">
        <v>44780</v>
      </c>
      <c r="O2224" s="703" t="s">
        <v>338</v>
      </c>
      <c r="P2224" s="20">
        <v>0</v>
      </c>
      <c r="Q2224" s="20">
        <v>0</v>
      </c>
      <c r="R2224" s="20">
        <v>4310.58</v>
      </c>
      <c r="S2224" s="20">
        <v>0</v>
      </c>
      <c r="T2224" s="20">
        <v>4310.58</v>
      </c>
      <c r="U2224" s="20">
        <v>0</v>
      </c>
      <c r="V2224" s="20">
        <v>0</v>
      </c>
      <c r="W2224" s="20">
        <v>-47.9</v>
      </c>
      <c r="X2224" s="20">
        <v>-47.9</v>
      </c>
      <c r="Y2224" s="20">
        <v>0</v>
      </c>
      <c r="Z2224" s="20">
        <v>0</v>
      </c>
      <c r="AA2224" s="20">
        <v>0</v>
      </c>
      <c r="AB2224" s="20">
        <v>4262.68</v>
      </c>
      <c r="AC2224" t="s">
        <v>183</v>
      </c>
      <c r="AD2224" t="s">
        <v>290</v>
      </c>
      <c r="AE2224" s="702">
        <f t="shared" si="170"/>
        <v>44713</v>
      </c>
      <c r="AF2224" s="289">
        <v>4233.6316562637439</v>
      </c>
      <c r="AG2224">
        <f t="shared" si="171"/>
        <v>360</v>
      </c>
      <c r="AH2224" s="289">
        <f t="shared" si="172"/>
        <v>11.760087934065956</v>
      </c>
      <c r="AJ2224" s="289">
        <f t="shared" si="173"/>
        <v>6</v>
      </c>
      <c r="AK2224" s="289">
        <f t="shared" si="174"/>
        <v>70.56052760439573</v>
      </c>
    </row>
    <row r="2225" spans="1:37">
      <c r="A2225" s="703" t="s">
        <v>3797</v>
      </c>
      <c r="B2225" s="703" t="s">
        <v>3743</v>
      </c>
      <c r="C2225" s="703" t="s">
        <v>332</v>
      </c>
      <c r="D2225" s="703" t="s">
        <v>334</v>
      </c>
      <c r="E2225" s="703" t="s">
        <v>334</v>
      </c>
      <c r="F2225" s="703" t="s">
        <v>335</v>
      </c>
      <c r="G2225" s="703" t="s">
        <v>3798</v>
      </c>
      <c r="H2225" s="703" t="s">
        <v>334</v>
      </c>
      <c r="I2225" s="703" t="s">
        <v>334</v>
      </c>
      <c r="J2225" s="703" t="s">
        <v>337</v>
      </c>
      <c r="K2225" s="704">
        <v>0</v>
      </c>
      <c r="L2225" s="703" t="s">
        <v>334</v>
      </c>
      <c r="M2225" s="702">
        <v>39478</v>
      </c>
      <c r="N2225" s="702">
        <v>44780</v>
      </c>
      <c r="O2225" s="703" t="s">
        <v>338</v>
      </c>
      <c r="P2225" s="20">
        <v>0</v>
      </c>
      <c r="Q2225" s="20">
        <v>0</v>
      </c>
      <c r="R2225" s="20">
        <v>99464.08</v>
      </c>
      <c r="S2225" s="20">
        <v>0</v>
      </c>
      <c r="T2225" s="20">
        <v>99464.08</v>
      </c>
      <c r="U2225" s="20">
        <v>0</v>
      </c>
      <c r="V2225" s="20">
        <v>0</v>
      </c>
      <c r="W2225" s="20">
        <v>-1105.1600000000001</v>
      </c>
      <c r="X2225" s="20">
        <v>-1105.1600000000001</v>
      </c>
      <c r="Y2225" s="20">
        <v>0</v>
      </c>
      <c r="Z2225" s="20">
        <v>0</v>
      </c>
      <c r="AA2225" s="20">
        <v>0</v>
      </c>
      <c r="AB2225" s="20">
        <v>98358.92</v>
      </c>
      <c r="AC2225" t="s">
        <v>183</v>
      </c>
      <c r="AD2225" t="s">
        <v>290</v>
      </c>
      <c r="AE2225" s="702">
        <f t="shared" si="170"/>
        <v>44713</v>
      </c>
      <c r="AF2225" s="289">
        <v>97688.542550921091</v>
      </c>
      <c r="AG2225">
        <f t="shared" si="171"/>
        <v>360</v>
      </c>
      <c r="AH2225" s="289">
        <f t="shared" si="172"/>
        <v>271.3570626414475</v>
      </c>
      <c r="AJ2225" s="289">
        <f t="shared" si="173"/>
        <v>6</v>
      </c>
      <c r="AK2225" s="289">
        <f t="shared" si="174"/>
        <v>1628.1423758486849</v>
      </c>
    </row>
    <row r="2226" spans="1:37">
      <c r="A2226" s="703" t="s">
        <v>3799</v>
      </c>
      <c r="B2226" s="703" t="s">
        <v>3743</v>
      </c>
      <c r="C2226" s="703" t="s">
        <v>332</v>
      </c>
      <c r="D2226" s="703" t="s">
        <v>334</v>
      </c>
      <c r="E2226" s="703" t="s">
        <v>334</v>
      </c>
      <c r="F2226" s="703" t="s">
        <v>335</v>
      </c>
      <c r="G2226" s="703" t="s">
        <v>3800</v>
      </c>
      <c r="H2226" s="703" t="s">
        <v>334</v>
      </c>
      <c r="I2226" s="703" t="s">
        <v>334</v>
      </c>
      <c r="J2226" s="703" t="s">
        <v>337</v>
      </c>
      <c r="K2226" s="704">
        <v>0</v>
      </c>
      <c r="L2226" s="703" t="s">
        <v>334</v>
      </c>
      <c r="M2226" s="702">
        <v>42886</v>
      </c>
      <c r="N2226" s="702">
        <v>44780</v>
      </c>
      <c r="O2226" s="703" t="s">
        <v>338</v>
      </c>
      <c r="P2226" s="20">
        <v>0</v>
      </c>
      <c r="Q2226" s="20">
        <v>0</v>
      </c>
      <c r="R2226" s="20">
        <v>4193.9799999999996</v>
      </c>
      <c r="S2226" s="20">
        <v>0</v>
      </c>
      <c r="T2226" s="20">
        <v>4193.9799999999996</v>
      </c>
      <c r="U2226" s="20">
        <v>0</v>
      </c>
      <c r="V2226" s="20">
        <v>0</v>
      </c>
      <c r="W2226" s="20">
        <v>-46.6</v>
      </c>
      <c r="X2226" s="20">
        <v>-46.6</v>
      </c>
      <c r="Y2226" s="20">
        <v>0</v>
      </c>
      <c r="Z2226" s="20">
        <v>0</v>
      </c>
      <c r="AA2226" s="20">
        <v>0</v>
      </c>
      <c r="AB2226" s="20">
        <v>4147.38</v>
      </c>
      <c r="AC2226" t="s">
        <v>183</v>
      </c>
      <c r="AD2226" t="s">
        <v>290</v>
      </c>
      <c r="AE2226" s="702">
        <f t="shared" si="170"/>
        <v>44713</v>
      </c>
      <c r="AF2226" s="289">
        <v>4119.1130877369196</v>
      </c>
      <c r="AG2226">
        <f t="shared" si="171"/>
        <v>360</v>
      </c>
      <c r="AH2226" s="289">
        <f t="shared" si="172"/>
        <v>11.441980799269221</v>
      </c>
      <c r="AJ2226" s="289">
        <f t="shared" si="173"/>
        <v>6</v>
      </c>
      <c r="AK2226" s="289">
        <f t="shared" si="174"/>
        <v>68.651884795615331</v>
      </c>
    </row>
    <row r="2227" spans="1:37">
      <c r="A2227" s="703" t="s">
        <v>3801</v>
      </c>
      <c r="B2227" s="703" t="s">
        <v>3743</v>
      </c>
      <c r="C2227" s="703" t="s">
        <v>332</v>
      </c>
      <c r="D2227" s="703" t="s">
        <v>334</v>
      </c>
      <c r="E2227" s="703" t="s">
        <v>334</v>
      </c>
      <c r="F2227" s="703" t="s">
        <v>335</v>
      </c>
      <c r="G2227" s="703" t="s">
        <v>3802</v>
      </c>
      <c r="H2227" s="703" t="s">
        <v>334</v>
      </c>
      <c r="I2227" s="703" t="s">
        <v>334</v>
      </c>
      <c r="J2227" s="703" t="s">
        <v>337</v>
      </c>
      <c r="K2227" s="704">
        <v>0</v>
      </c>
      <c r="L2227" s="703" t="s">
        <v>334</v>
      </c>
      <c r="M2227" s="702">
        <v>42886</v>
      </c>
      <c r="N2227" s="702">
        <v>44780</v>
      </c>
      <c r="O2227" s="703" t="s">
        <v>338</v>
      </c>
      <c r="P2227" s="20">
        <v>0</v>
      </c>
      <c r="Q2227" s="20">
        <v>0</v>
      </c>
      <c r="R2227" s="20">
        <v>22319.67</v>
      </c>
      <c r="S2227" s="20">
        <v>0</v>
      </c>
      <c r="T2227" s="20">
        <v>22319.67</v>
      </c>
      <c r="U2227" s="20">
        <v>0</v>
      </c>
      <c r="V2227" s="20">
        <v>0</v>
      </c>
      <c r="W2227" s="20">
        <v>-212.81</v>
      </c>
      <c r="X2227" s="20">
        <v>-212.81</v>
      </c>
      <c r="Y2227" s="20">
        <v>0</v>
      </c>
      <c r="Z2227" s="20">
        <v>0</v>
      </c>
      <c r="AA2227" s="20">
        <v>0</v>
      </c>
      <c r="AB2227" s="20">
        <v>22106.86</v>
      </c>
      <c r="AC2227" t="s">
        <v>183</v>
      </c>
      <c r="AD2227" t="s">
        <v>290</v>
      </c>
      <c r="AE2227" s="702">
        <f t="shared" si="170"/>
        <v>44713</v>
      </c>
      <c r="AF2227" s="289">
        <v>21921.240638002353</v>
      </c>
      <c r="AG2227">
        <f t="shared" si="171"/>
        <v>360</v>
      </c>
      <c r="AH2227" s="289">
        <f t="shared" si="172"/>
        <v>60.89233510556209</v>
      </c>
      <c r="AJ2227" s="289">
        <f t="shared" si="173"/>
        <v>6</v>
      </c>
      <c r="AK2227" s="289">
        <f t="shared" si="174"/>
        <v>365.35401063337252</v>
      </c>
    </row>
    <row r="2228" spans="1:37">
      <c r="A2228" s="703" t="s">
        <v>3803</v>
      </c>
      <c r="B2228" s="703" t="s">
        <v>3743</v>
      </c>
      <c r="C2228" s="703" t="s">
        <v>332</v>
      </c>
      <c r="D2228" s="703" t="s">
        <v>334</v>
      </c>
      <c r="E2228" s="703" t="s">
        <v>334</v>
      </c>
      <c r="F2228" s="703" t="s">
        <v>335</v>
      </c>
      <c r="G2228" s="703" t="s">
        <v>3804</v>
      </c>
      <c r="H2228" s="703" t="s">
        <v>334</v>
      </c>
      <c r="I2228" s="703" t="s">
        <v>334</v>
      </c>
      <c r="J2228" s="703" t="s">
        <v>337</v>
      </c>
      <c r="K2228" s="704">
        <v>0</v>
      </c>
      <c r="L2228" s="703" t="s">
        <v>334</v>
      </c>
      <c r="M2228" s="702">
        <v>42886</v>
      </c>
      <c r="N2228" s="702">
        <v>44780</v>
      </c>
      <c r="O2228" s="703" t="s">
        <v>338</v>
      </c>
      <c r="P2228" s="20">
        <v>0</v>
      </c>
      <c r="Q2228" s="20">
        <v>0</v>
      </c>
      <c r="R2228" s="20">
        <v>15504.05</v>
      </c>
      <c r="S2228" s="20">
        <v>0</v>
      </c>
      <c r="T2228" s="20">
        <v>15504.05</v>
      </c>
      <c r="U2228" s="20">
        <v>0</v>
      </c>
      <c r="V2228" s="20">
        <v>0</v>
      </c>
      <c r="W2228" s="20">
        <v>-151.76</v>
      </c>
      <c r="X2228" s="20">
        <v>-151.76</v>
      </c>
      <c r="Y2228" s="20">
        <v>0</v>
      </c>
      <c r="Z2228" s="20">
        <v>0</v>
      </c>
      <c r="AA2228" s="20">
        <v>0</v>
      </c>
      <c r="AB2228" s="20">
        <v>15352.29</v>
      </c>
      <c r="AC2228" t="s">
        <v>183</v>
      </c>
      <c r="AD2228" t="s">
        <v>290</v>
      </c>
      <c r="AE2228" s="702">
        <f t="shared" si="170"/>
        <v>44713</v>
      </c>
      <c r="AF2228" s="289">
        <v>15227.28655547418</v>
      </c>
      <c r="AG2228">
        <f t="shared" si="171"/>
        <v>360</v>
      </c>
      <c r="AH2228" s="289">
        <f t="shared" si="172"/>
        <v>42.2980182096505</v>
      </c>
      <c r="AJ2228" s="289">
        <f t="shared" si="173"/>
        <v>6</v>
      </c>
      <c r="AK2228" s="289">
        <f t="shared" si="174"/>
        <v>253.78810925790299</v>
      </c>
    </row>
    <row r="2229" spans="1:37">
      <c r="A2229" s="703" t="s">
        <v>3805</v>
      </c>
      <c r="B2229" s="703" t="s">
        <v>3743</v>
      </c>
      <c r="C2229" s="703" t="s">
        <v>332</v>
      </c>
      <c r="D2229" s="703" t="s">
        <v>334</v>
      </c>
      <c r="E2229" s="703" t="s">
        <v>334</v>
      </c>
      <c r="F2229" s="703" t="s">
        <v>335</v>
      </c>
      <c r="G2229" s="703" t="s">
        <v>3806</v>
      </c>
      <c r="H2229" s="703" t="s">
        <v>334</v>
      </c>
      <c r="I2229" s="703" t="s">
        <v>334</v>
      </c>
      <c r="J2229" s="703" t="s">
        <v>337</v>
      </c>
      <c r="K2229" s="704">
        <v>0</v>
      </c>
      <c r="L2229" s="703" t="s">
        <v>334</v>
      </c>
      <c r="M2229" s="702">
        <v>42886</v>
      </c>
      <c r="N2229" s="702">
        <v>44780</v>
      </c>
      <c r="O2229" s="703" t="s">
        <v>338</v>
      </c>
      <c r="P2229" s="20">
        <v>0</v>
      </c>
      <c r="Q2229" s="20">
        <v>0</v>
      </c>
      <c r="R2229" s="20">
        <v>7519.52</v>
      </c>
      <c r="S2229" s="20">
        <v>0</v>
      </c>
      <c r="T2229" s="20">
        <v>7519.52</v>
      </c>
      <c r="U2229" s="20">
        <v>0</v>
      </c>
      <c r="V2229" s="20">
        <v>0</v>
      </c>
      <c r="W2229" s="20">
        <v>-83.55</v>
      </c>
      <c r="X2229" s="20">
        <v>-83.55</v>
      </c>
      <c r="Y2229" s="20">
        <v>0</v>
      </c>
      <c r="Z2229" s="20">
        <v>0</v>
      </c>
      <c r="AA2229" s="20">
        <v>0</v>
      </c>
      <c r="AB2229" s="20">
        <v>7435.97</v>
      </c>
      <c r="AC2229" t="s">
        <v>183</v>
      </c>
      <c r="AD2229" t="s">
        <v>290</v>
      </c>
      <c r="AE2229" s="702">
        <f t="shared" si="170"/>
        <v>44713</v>
      </c>
      <c r="AF2229" s="289">
        <v>7385.2887342093982</v>
      </c>
      <c r="AG2229">
        <f t="shared" si="171"/>
        <v>360</v>
      </c>
      <c r="AH2229" s="289">
        <f t="shared" si="172"/>
        <v>20.514690928359439</v>
      </c>
      <c r="AJ2229" s="289">
        <f t="shared" si="173"/>
        <v>6</v>
      </c>
      <c r="AK2229" s="289">
        <f t="shared" si="174"/>
        <v>123.08814557015663</v>
      </c>
    </row>
    <row r="2230" spans="1:37">
      <c r="A2230" s="703" t="s">
        <v>3807</v>
      </c>
      <c r="B2230" s="703" t="s">
        <v>3743</v>
      </c>
      <c r="C2230" s="703" t="s">
        <v>332</v>
      </c>
      <c r="D2230" s="703" t="s">
        <v>334</v>
      </c>
      <c r="E2230" s="703" t="s">
        <v>334</v>
      </c>
      <c r="F2230" s="703" t="s">
        <v>335</v>
      </c>
      <c r="G2230" s="703" t="s">
        <v>3808</v>
      </c>
      <c r="H2230" s="703" t="s">
        <v>334</v>
      </c>
      <c r="I2230" s="703" t="s">
        <v>334</v>
      </c>
      <c r="J2230" s="703" t="s">
        <v>337</v>
      </c>
      <c r="K2230" s="704">
        <v>0</v>
      </c>
      <c r="L2230" s="703" t="s">
        <v>334</v>
      </c>
      <c r="M2230" s="702">
        <v>43646</v>
      </c>
      <c r="N2230" s="702">
        <v>44780</v>
      </c>
      <c r="O2230" s="703" t="s">
        <v>338</v>
      </c>
      <c r="P2230" s="20">
        <v>0</v>
      </c>
      <c r="Q2230" s="20">
        <v>0</v>
      </c>
      <c r="R2230" s="20">
        <v>4751.1400000000003</v>
      </c>
      <c r="S2230" s="20">
        <v>0</v>
      </c>
      <c r="T2230" s="20">
        <v>4751.1400000000003</v>
      </c>
      <c r="U2230" s="20">
        <v>0</v>
      </c>
      <c r="V2230" s="20">
        <v>0</v>
      </c>
      <c r="W2230" s="20">
        <v>-52.79</v>
      </c>
      <c r="X2230" s="20">
        <v>-52.79</v>
      </c>
      <c r="Y2230" s="20">
        <v>0</v>
      </c>
      <c r="Z2230" s="20">
        <v>0</v>
      </c>
      <c r="AA2230" s="20">
        <v>0</v>
      </c>
      <c r="AB2230" s="20">
        <v>4698.3500000000004</v>
      </c>
      <c r="AC2230" t="s">
        <v>183</v>
      </c>
      <c r="AD2230" t="s">
        <v>290</v>
      </c>
      <c r="AE2230" s="702">
        <f t="shared" si="170"/>
        <v>44713</v>
      </c>
      <c r="AF2230" s="289">
        <v>4666.327201290992</v>
      </c>
      <c r="AG2230">
        <f t="shared" si="171"/>
        <v>360</v>
      </c>
      <c r="AH2230" s="289">
        <f t="shared" si="172"/>
        <v>12.962020003586089</v>
      </c>
      <c r="AJ2230" s="289">
        <f t="shared" si="173"/>
        <v>6</v>
      </c>
      <c r="AK2230" s="289">
        <f t="shared" si="174"/>
        <v>77.772120021516528</v>
      </c>
    </row>
    <row r="2231" spans="1:37">
      <c r="A2231" s="703" t="s">
        <v>3809</v>
      </c>
      <c r="B2231" s="703" t="s">
        <v>3743</v>
      </c>
      <c r="C2231" s="703" t="s">
        <v>332</v>
      </c>
      <c r="D2231" s="703" t="s">
        <v>334</v>
      </c>
      <c r="E2231" s="703" t="s">
        <v>334</v>
      </c>
      <c r="F2231" s="703" t="s">
        <v>335</v>
      </c>
      <c r="G2231" s="703" t="s">
        <v>3810</v>
      </c>
      <c r="H2231" s="703" t="s">
        <v>334</v>
      </c>
      <c r="I2231" s="703" t="s">
        <v>334</v>
      </c>
      <c r="J2231" s="703" t="s">
        <v>337</v>
      </c>
      <c r="K2231" s="704">
        <v>0</v>
      </c>
      <c r="L2231" s="703" t="s">
        <v>334</v>
      </c>
      <c r="M2231" s="702">
        <v>43646</v>
      </c>
      <c r="N2231" s="702">
        <v>44780</v>
      </c>
      <c r="O2231" s="703" t="s">
        <v>338</v>
      </c>
      <c r="P2231" s="20">
        <v>0</v>
      </c>
      <c r="Q2231" s="20">
        <v>0</v>
      </c>
      <c r="R2231" s="20">
        <v>11702.68</v>
      </c>
      <c r="S2231" s="20">
        <v>0</v>
      </c>
      <c r="T2231" s="20">
        <v>11702.68</v>
      </c>
      <c r="U2231" s="20">
        <v>0</v>
      </c>
      <c r="V2231" s="20">
        <v>0</v>
      </c>
      <c r="W2231" s="20">
        <v>-130.03</v>
      </c>
      <c r="X2231" s="20">
        <v>-130.03</v>
      </c>
      <c r="Y2231" s="20">
        <v>0</v>
      </c>
      <c r="Z2231" s="20">
        <v>0</v>
      </c>
      <c r="AA2231" s="20">
        <v>0</v>
      </c>
      <c r="AB2231" s="20">
        <v>11572.65</v>
      </c>
      <c r="AC2231" t="s">
        <v>183</v>
      </c>
      <c r="AD2231" t="s">
        <v>290</v>
      </c>
      <c r="AE2231" s="702">
        <f t="shared" si="170"/>
        <v>44713</v>
      </c>
      <c r="AF2231" s="289">
        <v>11493.774970218528</v>
      </c>
      <c r="AG2231">
        <f t="shared" si="171"/>
        <v>360</v>
      </c>
      <c r="AH2231" s="289">
        <f t="shared" si="172"/>
        <v>31.927152695051468</v>
      </c>
      <c r="AJ2231" s="289">
        <f t="shared" si="173"/>
        <v>6</v>
      </c>
      <c r="AK2231" s="289">
        <f t="shared" si="174"/>
        <v>191.56291617030882</v>
      </c>
    </row>
    <row r="2232" spans="1:37">
      <c r="A2232" s="703" t="s">
        <v>3811</v>
      </c>
      <c r="B2232" s="703" t="s">
        <v>3743</v>
      </c>
      <c r="C2232" s="703" t="s">
        <v>332</v>
      </c>
      <c r="D2232" s="703" t="s">
        <v>334</v>
      </c>
      <c r="E2232" s="703" t="s">
        <v>334</v>
      </c>
      <c r="F2232" s="703" t="s">
        <v>335</v>
      </c>
      <c r="G2232" s="703" t="s">
        <v>3812</v>
      </c>
      <c r="H2232" s="703" t="s">
        <v>334</v>
      </c>
      <c r="I2232" s="703" t="s">
        <v>334</v>
      </c>
      <c r="J2232" s="703" t="s">
        <v>337</v>
      </c>
      <c r="K2232" s="704">
        <v>0</v>
      </c>
      <c r="L2232" s="703" t="s">
        <v>334</v>
      </c>
      <c r="M2232" s="702">
        <v>43646</v>
      </c>
      <c r="N2232" s="702">
        <v>44780</v>
      </c>
      <c r="O2232" s="703" t="s">
        <v>338</v>
      </c>
      <c r="P2232" s="20">
        <v>0</v>
      </c>
      <c r="Q2232" s="20">
        <v>0</v>
      </c>
      <c r="R2232" s="20">
        <v>4120.9399999999996</v>
      </c>
      <c r="S2232" s="20">
        <v>0</v>
      </c>
      <c r="T2232" s="20">
        <v>4120.9399999999996</v>
      </c>
      <c r="U2232" s="20">
        <v>0</v>
      </c>
      <c r="V2232" s="20">
        <v>0</v>
      </c>
      <c r="W2232" s="20">
        <v>-45.79</v>
      </c>
      <c r="X2232" s="20">
        <v>-45.79</v>
      </c>
      <c r="Y2232" s="20">
        <v>0</v>
      </c>
      <c r="Z2232" s="20">
        <v>0</v>
      </c>
      <c r="AA2232" s="20">
        <v>0</v>
      </c>
      <c r="AB2232" s="20">
        <v>4075.15</v>
      </c>
      <c r="AC2232" t="s">
        <v>183</v>
      </c>
      <c r="AD2232" t="s">
        <v>290</v>
      </c>
      <c r="AE2232" s="702">
        <f t="shared" si="170"/>
        <v>44713</v>
      </c>
      <c r="AF2232" s="289">
        <v>4047.3769278295517</v>
      </c>
      <c r="AG2232">
        <f t="shared" si="171"/>
        <v>360</v>
      </c>
      <c r="AH2232" s="289">
        <f t="shared" si="172"/>
        <v>11.242713688415421</v>
      </c>
      <c r="AJ2232" s="289">
        <f t="shared" si="173"/>
        <v>6</v>
      </c>
      <c r="AK2232" s="289">
        <f t="shared" si="174"/>
        <v>67.456282130492525</v>
      </c>
    </row>
    <row r="2233" spans="1:37">
      <c r="A2233" s="703" t="s">
        <v>3813</v>
      </c>
      <c r="B2233" s="703" t="s">
        <v>3743</v>
      </c>
      <c r="C2233" s="703" t="s">
        <v>332</v>
      </c>
      <c r="D2233" s="703" t="s">
        <v>334</v>
      </c>
      <c r="E2233" s="703" t="s">
        <v>334</v>
      </c>
      <c r="F2233" s="703" t="s">
        <v>335</v>
      </c>
      <c r="G2233" s="703" t="s">
        <v>3814</v>
      </c>
      <c r="H2233" s="703" t="s">
        <v>334</v>
      </c>
      <c r="I2233" s="703" t="s">
        <v>334</v>
      </c>
      <c r="J2233" s="703" t="s">
        <v>337</v>
      </c>
      <c r="K2233" s="704">
        <v>0</v>
      </c>
      <c r="L2233" s="703" t="s">
        <v>334</v>
      </c>
      <c r="M2233" s="702">
        <v>43496</v>
      </c>
      <c r="N2233" s="702">
        <v>44780</v>
      </c>
      <c r="O2233" s="703" t="s">
        <v>338</v>
      </c>
      <c r="P2233" s="20">
        <v>0</v>
      </c>
      <c r="Q2233" s="20">
        <v>0</v>
      </c>
      <c r="R2233" s="20">
        <v>361044.94</v>
      </c>
      <c r="S2233" s="20">
        <v>0</v>
      </c>
      <c r="T2233" s="20">
        <v>361044.94</v>
      </c>
      <c r="U2233" s="20">
        <v>0</v>
      </c>
      <c r="V2233" s="20">
        <v>0</v>
      </c>
      <c r="W2233" s="20">
        <v>-4011.61</v>
      </c>
      <c r="X2233" s="20">
        <v>-4011.61</v>
      </c>
      <c r="Y2233" s="20">
        <v>0</v>
      </c>
      <c r="Z2233" s="20">
        <v>0</v>
      </c>
      <c r="AA2233" s="20">
        <v>0</v>
      </c>
      <c r="AB2233" s="20">
        <v>357033.33</v>
      </c>
      <c r="AC2233" t="s">
        <v>183</v>
      </c>
      <c r="AD2233" t="s">
        <v>290</v>
      </c>
      <c r="AE2233" s="702">
        <f t="shared" si="170"/>
        <v>44713</v>
      </c>
      <c r="AF2233" s="289">
        <v>354599.91168655816</v>
      </c>
      <c r="AG2233">
        <f t="shared" si="171"/>
        <v>360</v>
      </c>
      <c r="AH2233" s="289">
        <f t="shared" si="172"/>
        <v>984.99975468488378</v>
      </c>
      <c r="AJ2233" s="289">
        <f t="shared" si="173"/>
        <v>6</v>
      </c>
      <c r="AK2233" s="289">
        <f t="shared" si="174"/>
        <v>5909.9985281093032</v>
      </c>
    </row>
    <row r="2234" spans="1:37">
      <c r="A2234" s="703" t="s">
        <v>3815</v>
      </c>
      <c r="B2234" s="703" t="s">
        <v>3743</v>
      </c>
      <c r="C2234" s="703" t="s">
        <v>332</v>
      </c>
      <c r="D2234" s="703" t="s">
        <v>334</v>
      </c>
      <c r="E2234" s="703" t="s">
        <v>334</v>
      </c>
      <c r="F2234" s="703" t="s">
        <v>335</v>
      </c>
      <c r="G2234" s="703" t="s">
        <v>3816</v>
      </c>
      <c r="H2234" s="703" t="s">
        <v>334</v>
      </c>
      <c r="I2234" s="703" t="s">
        <v>334</v>
      </c>
      <c r="J2234" s="703" t="s">
        <v>337</v>
      </c>
      <c r="K2234" s="704">
        <v>0</v>
      </c>
      <c r="L2234" s="703" t="s">
        <v>334</v>
      </c>
      <c r="M2234" s="702">
        <v>43496</v>
      </c>
      <c r="N2234" s="702">
        <v>44780</v>
      </c>
      <c r="O2234" s="703" t="s">
        <v>338</v>
      </c>
      <c r="P2234" s="20">
        <v>0</v>
      </c>
      <c r="Q2234" s="20">
        <v>0</v>
      </c>
      <c r="R2234" s="20">
        <v>45403.94</v>
      </c>
      <c r="S2234" s="20">
        <v>0</v>
      </c>
      <c r="T2234" s="20">
        <v>45403.94</v>
      </c>
      <c r="U2234" s="20">
        <v>0</v>
      </c>
      <c r="V2234" s="20">
        <v>0</v>
      </c>
      <c r="W2234" s="20">
        <v>-504.49</v>
      </c>
      <c r="X2234" s="20">
        <v>-504.49</v>
      </c>
      <c r="Y2234" s="20">
        <v>0</v>
      </c>
      <c r="Z2234" s="20">
        <v>0</v>
      </c>
      <c r="AA2234" s="20">
        <v>0</v>
      </c>
      <c r="AB2234" s="20">
        <v>44899.45</v>
      </c>
      <c r="AC2234" t="s">
        <v>183</v>
      </c>
      <c r="AD2234" t="s">
        <v>290</v>
      </c>
      <c r="AE2234" s="702">
        <f t="shared" si="170"/>
        <v>44713</v>
      </c>
      <c r="AF2234" s="289">
        <v>44593.432369449038</v>
      </c>
      <c r="AG2234">
        <f t="shared" si="171"/>
        <v>360</v>
      </c>
      <c r="AH2234" s="289">
        <f t="shared" si="172"/>
        <v>123.87064547069177</v>
      </c>
      <c r="AJ2234" s="289">
        <f t="shared" si="173"/>
        <v>6</v>
      </c>
      <c r="AK2234" s="289">
        <f t="shared" si="174"/>
        <v>743.22387282415059</v>
      </c>
    </row>
    <row r="2235" spans="1:37">
      <c r="A2235" s="703" t="s">
        <v>3817</v>
      </c>
      <c r="B2235" s="703" t="s">
        <v>3743</v>
      </c>
      <c r="C2235" s="703" t="s">
        <v>332</v>
      </c>
      <c r="D2235" s="703" t="s">
        <v>334</v>
      </c>
      <c r="E2235" s="703" t="s">
        <v>334</v>
      </c>
      <c r="F2235" s="703" t="s">
        <v>335</v>
      </c>
      <c r="G2235" s="703" t="s">
        <v>3818</v>
      </c>
      <c r="H2235" s="703" t="s">
        <v>334</v>
      </c>
      <c r="I2235" s="703" t="s">
        <v>334</v>
      </c>
      <c r="J2235" s="703" t="s">
        <v>337</v>
      </c>
      <c r="K2235" s="704">
        <v>0</v>
      </c>
      <c r="L2235" s="703" t="s">
        <v>334</v>
      </c>
      <c r="M2235" s="702">
        <v>43496</v>
      </c>
      <c r="N2235" s="702">
        <v>44780</v>
      </c>
      <c r="O2235" s="703" t="s">
        <v>338</v>
      </c>
      <c r="P2235" s="20">
        <v>0</v>
      </c>
      <c r="Q2235" s="20">
        <v>0</v>
      </c>
      <c r="R2235" s="20">
        <v>16986.900000000001</v>
      </c>
      <c r="S2235" s="20">
        <v>0</v>
      </c>
      <c r="T2235" s="20">
        <v>16986.900000000001</v>
      </c>
      <c r="U2235" s="20">
        <v>0</v>
      </c>
      <c r="V2235" s="20">
        <v>0</v>
      </c>
      <c r="W2235" s="20">
        <v>-188.74</v>
      </c>
      <c r="X2235" s="20">
        <v>-188.74</v>
      </c>
      <c r="Y2235" s="20">
        <v>0</v>
      </c>
      <c r="Z2235" s="20">
        <v>0</v>
      </c>
      <c r="AA2235" s="20">
        <v>0</v>
      </c>
      <c r="AB2235" s="20">
        <v>16798.16</v>
      </c>
      <c r="AC2235" t="s">
        <v>183</v>
      </c>
      <c r="AD2235" t="s">
        <v>290</v>
      </c>
      <c r="AE2235" s="702">
        <f t="shared" si="170"/>
        <v>44713</v>
      </c>
      <c r="AF2235" s="289">
        <v>16683.666138149991</v>
      </c>
      <c r="AG2235">
        <f t="shared" si="171"/>
        <v>360</v>
      </c>
      <c r="AH2235" s="289">
        <f t="shared" si="172"/>
        <v>46.343517050416644</v>
      </c>
      <c r="AJ2235" s="289">
        <f t="shared" si="173"/>
        <v>6</v>
      </c>
      <c r="AK2235" s="289">
        <f t="shared" si="174"/>
        <v>278.06110230249988</v>
      </c>
    </row>
    <row r="2236" spans="1:37">
      <c r="A2236" s="703" t="s">
        <v>3819</v>
      </c>
      <c r="B2236" s="703" t="s">
        <v>3743</v>
      </c>
      <c r="C2236" s="703" t="s">
        <v>332</v>
      </c>
      <c r="D2236" s="703" t="s">
        <v>334</v>
      </c>
      <c r="E2236" s="703" t="s">
        <v>334</v>
      </c>
      <c r="F2236" s="703" t="s">
        <v>335</v>
      </c>
      <c r="G2236" s="703" t="s">
        <v>3820</v>
      </c>
      <c r="H2236" s="703" t="s">
        <v>334</v>
      </c>
      <c r="I2236" s="703" t="s">
        <v>334</v>
      </c>
      <c r="J2236" s="703" t="s">
        <v>337</v>
      </c>
      <c r="K2236" s="704">
        <v>0</v>
      </c>
      <c r="L2236" s="703" t="s">
        <v>334</v>
      </c>
      <c r="M2236" s="702">
        <v>43496</v>
      </c>
      <c r="N2236" s="702">
        <v>44780</v>
      </c>
      <c r="O2236" s="703" t="s">
        <v>338</v>
      </c>
      <c r="P2236" s="20">
        <v>0</v>
      </c>
      <c r="Q2236" s="20">
        <v>0</v>
      </c>
      <c r="R2236" s="20">
        <v>424.07</v>
      </c>
      <c r="S2236" s="20">
        <v>0</v>
      </c>
      <c r="T2236" s="20">
        <v>424.07</v>
      </c>
      <c r="U2236" s="20">
        <v>0</v>
      </c>
      <c r="V2236" s="20">
        <v>0</v>
      </c>
      <c r="W2236" s="20">
        <v>-4.71</v>
      </c>
      <c r="X2236" s="20">
        <v>-4.71</v>
      </c>
      <c r="Y2236" s="20">
        <v>0</v>
      </c>
      <c r="Z2236" s="20">
        <v>0</v>
      </c>
      <c r="AA2236" s="20">
        <v>0</v>
      </c>
      <c r="AB2236" s="20">
        <v>419.36</v>
      </c>
      <c r="AC2236" t="s">
        <v>183</v>
      </c>
      <c r="AD2236" t="s">
        <v>290</v>
      </c>
      <c r="AE2236" s="702">
        <f t="shared" si="170"/>
        <v>44713</v>
      </c>
      <c r="AF2236" s="289">
        <v>416.49990870643063</v>
      </c>
      <c r="AG2236">
        <f t="shared" si="171"/>
        <v>360</v>
      </c>
      <c r="AH2236" s="289">
        <f t="shared" si="172"/>
        <v>1.1569441908511962</v>
      </c>
      <c r="AJ2236" s="289">
        <f t="shared" si="173"/>
        <v>6</v>
      </c>
      <c r="AK2236" s="289">
        <f t="shared" si="174"/>
        <v>6.9416651451071765</v>
      </c>
    </row>
    <row r="2237" spans="1:37">
      <c r="A2237" s="703" t="s">
        <v>3821</v>
      </c>
      <c r="B2237" s="703" t="s">
        <v>3743</v>
      </c>
      <c r="C2237" s="703" t="s">
        <v>332</v>
      </c>
      <c r="D2237" s="703" t="s">
        <v>334</v>
      </c>
      <c r="E2237" s="703" t="s">
        <v>334</v>
      </c>
      <c r="F2237" s="703" t="s">
        <v>335</v>
      </c>
      <c r="G2237" s="703" t="s">
        <v>3822</v>
      </c>
      <c r="H2237" s="703" t="s">
        <v>334</v>
      </c>
      <c r="I2237" s="703" t="s">
        <v>334</v>
      </c>
      <c r="J2237" s="703" t="s">
        <v>337</v>
      </c>
      <c r="K2237" s="704">
        <v>0</v>
      </c>
      <c r="L2237" s="703" t="s">
        <v>334</v>
      </c>
      <c r="M2237" s="702">
        <v>43496</v>
      </c>
      <c r="N2237" s="702">
        <v>44780</v>
      </c>
      <c r="O2237" s="703" t="s">
        <v>338</v>
      </c>
      <c r="P2237" s="20">
        <v>0</v>
      </c>
      <c r="Q2237" s="20">
        <v>0</v>
      </c>
      <c r="R2237" s="20">
        <v>9910</v>
      </c>
      <c r="S2237" s="20">
        <v>0</v>
      </c>
      <c r="T2237" s="20">
        <v>9910</v>
      </c>
      <c r="U2237" s="20">
        <v>0</v>
      </c>
      <c r="V2237" s="20">
        <v>0</v>
      </c>
      <c r="W2237" s="20">
        <v>-110.11</v>
      </c>
      <c r="X2237" s="20">
        <v>-110.11</v>
      </c>
      <c r="Y2237" s="20">
        <v>0</v>
      </c>
      <c r="Z2237" s="20">
        <v>0</v>
      </c>
      <c r="AA2237" s="20">
        <v>0</v>
      </c>
      <c r="AB2237" s="20">
        <v>9799.89</v>
      </c>
      <c r="AC2237" t="s">
        <v>183</v>
      </c>
      <c r="AD2237" t="s">
        <v>290</v>
      </c>
      <c r="AE2237" s="702">
        <f t="shared" si="170"/>
        <v>44713</v>
      </c>
      <c r="AF2237" s="289">
        <v>9733.0961758217454</v>
      </c>
      <c r="AG2237">
        <f t="shared" si="171"/>
        <v>360</v>
      </c>
      <c r="AH2237" s="289">
        <f t="shared" si="172"/>
        <v>27.036378266171514</v>
      </c>
      <c r="AJ2237" s="289">
        <f t="shared" si="173"/>
        <v>6</v>
      </c>
      <c r="AK2237" s="289">
        <f t="shared" si="174"/>
        <v>162.21826959702909</v>
      </c>
    </row>
    <row r="2238" spans="1:37">
      <c r="A2238" s="703" t="s">
        <v>3823</v>
      </c>
      <c r="B2238" s="703" t="s">
        <v>3743</v>
      </c>
      <c r="C2238" s="703" t="s">
        <v>332</v>
      </c>
      <c r="D2238" s="703" t="s">
        <v>334</v>
      </c>
      <c r="E2238" s="703" t="s">
        <v>334</v>
      </c>
      <c r="F2238" s="703" t="s">
        <v>335</v>
      </c>
      <c r="G2238" s="703" t="s">
        <v>3824</v>
      </c>
      <c r="H2238" s="703" t="s">
        <v>334</v>
      </c>
      <c r="I2238" s="703" t="s">
        <v>334</v>
      </c>
      <c r="J2238" s="703" t="s">
        <v>337</v>
      </c>
      <c r="K2238" s="704">
        <v>0</v>
      </c>
      <c r="L2238" s="703" t="s">
        <v>334</v>
      </c>
      <c r="M2238" s="702">
        <v>44227</v>
      </c>
      <c r="N2238" s="702">
        <v>44780</v>
      </c>
      <c r="O2238" s="703" t="s">
        <v>338</v>
      </c>
      <c r="P2238" s="20">
        <v>0</v>
      </c>
      <c r="Q2238" s="20">
        <v>0</v>
      </c>
      <c r="R2238" s="20">
        <v>101038.11</v>
      </c>
      <c r="S2238" s="20">
        <v>0</v>
      </c>
      <c r="T2238" s="20">
        <v>101038.11</v>
      </c>
      <c r="U2238" s="20">
        <v>0</v>
      </c>
      <c r="V2238" s="20">
        <v>0</v>
      </c>
      <c r="W2238" s="20">
        <v>-1122.6500000000001</v>
      </c>
      <c r="X2238" s="20">
        <v>-1122.6500000000001</v>
      </c>
      <c r="Y2238" s="20">
        <v>0</v>
      </c>
      <c r="Z2238" s="20">
        <v>0</v>
      </c>
      <c r="AA2238" s="20">
        <v>0</v>
      </c>
      <c r="AB2238" s="20">
        <v>99915.46</v>
      </c>
      <c r="AC2238" t="s">
        <v>183</v>
      </c>
      <c r="AD2238" t="s">
        <v>290</v>
      </c>
      <c r="AE2238" s="702">
        <f t="shared" si="170"/>
        <v>44713</v>
      </c>
      <c r="AF2238" s="289">
        <v>99234.474475606141</v>
      </c>
      <c r="AG2238">
        <f t="shared" si="171"/>
        <v>360</v>
      </c>
      <c r="AH2238" s="289">
        <f t="shared" si="172"/>
        <v>275.65131798779481</v>
      </c>
      <c r="AJ2238" s="289">
        <f t="shared" si="173"/>
        <v>6</v>
      </c>
      <c r="AK2238" s="289">
        <f t="shared" si="174"/>
        <v>1653.907907926769</v>
      </c>
    </row>
    <row r="2239" spans="1:37">
      <c r="A2239" s="703" t="s">
        <v>3825</v>
      </c>
      <c r="B2239" s="703" t="s">
        <v>3743</v>
      </c>
      <c r="C2239" s="703" t="s">
        <v>332</v>
      </c>
      <c r="D2239" s="703" t="s">
        <v>334</v>
      </c>
      <c r="E2239" s="703" t="s">
        <v>334</v>
      </c>
      <c r="F2239" s="703" t="s">
        <v>335</v>
      </c>
      <c r="G2239" s="703" t="s">
        <v>3826</v>
      </c>
      <c r="H2239" s="703" t="s">
        <v>334</v>
      </c>
      <c r="I2239" s="703" t="s">
        <v>334</v>
      </c>
      <c r="J2239" s="703" t="s">
        <v>337</v>
      </c>
      <c r="K2239" s="704">
        <v>0</v>
      </c>
      <c r="L2239" s="703" t="s">
        <v>334</v>
      </c>
      <c r="M2239" s="702">
        <v>44227</v>
      </c>
      <c r="N2239" s="702">
        <v>44780</v>
      </c>
      <c r="O2239" s="703" t="s">
        <v>338</v>
      </c>
      <c r="P2239" s="20">
        <v>0</v>
      </c>
      <c r="Q2239" s="20">
        <v>0</v>
      </c>
      <c r="R2239" s="20">
        <v>1110.31</v>
      </c>
      <c r="S2239" s="20">
        <v>0</v>
      </c>
      <c r="T2239" s="20">
        <v>1110.31</v>
      </c>
      <c r="U2239" s="20">
        <v>0</v>
      </c>
      <c r="V2239" s="20">
        <v>0</v>
      </c>
      <c r="W2239" s="20">
        <v>-12.34</v>
      </c>
      <c r="X2239" s="20">
        <v>-12.34</v>
      </c>
      <c r="Y2239" s="20">
        <v>0</v>
      </c>
      <c r="Z2239" s="20">
        <v>0</v>
      </c>
      <c r="AA2239" s="20">
        <v>0</v>
      </c>
      <c r="AB2239" s="20">
        <v>1097.97</v>
      </c>
      <c r="AC2239" t="s">
        <v>183</v>
      </c>
      <c r="AD2239" t="s">
        <v>290</v>
      </c>
      <c r="AE2239" s="702">
        <f t="shared" si="170"/>
        <v>44713</v>
      </c>
      <c r="AF2239" s="289">
        <v>1090.4898097857358</v>
      </c>
      <c r="AG2239">
        <f t="shared" si="171"/>
        <v>360</v>
      </c>
      <c r="AH2239" s="289">
        <f t="shared" si="172"/>
        <v>3.0291383605159328</v>
      </c>
      <c r="AJ2239" s="289">
        <f t="shared" si="173"/>
        <v>6</v>
      </c>
      <c r="AK2239" s="289">
        <f t="shared" si="174"/>
        <v>18.174830163095596</v>
      </c>
    </row>
    <row r="2240" spans="1:37">
      <c r="A2240" s="703" t="s">
        <v>3827</v>
      </c>
      <c r="B2240" s="703" t="s">
        <v>3743</v>
      </c>
      <c r="C2240" s="703" t="s">
        <v>332</v>
      </c>
      <c r="D2240" s="703" t="s">
        <v>334</v>
      </c>
      <c r="E2240" s="703" t="s">
        <v>334</v>
      </c>
      <c r="F2240" s="703" t="s">
        <v>335</v>
      </c>
      <c r="G2240" s="703" t="s">
        <v>3828</v>
      </c>
      <c r="H2240" s="703" t="s">
        <v>334</v>
      </c>
      <c r="I2240" s="703" t="s">
        <v>334</v>
      </c>
      <c r="J2240" s="703" t="s">
        <v>337</v>
      </c>
      <c r="K2240" s="704">
        <v>0</v>
      </c>
      <c r="L2240" s="703" t="s">
        <v>334</v>
      </c>
      <c r="M2240" s="702">
        <v>43496</v>
      </c>
      <c r="N2240" s="702">
        <v>44780</v>
      </c>
      <c r="O2240" s="703" t="s">
        <v>338</v>
      </c>
      <c r="P2240" s="20">
        <v>0</v>
      </c>
      <c r="Q2240" s="20">
        <v>0</v>
      </c>
      <c r="R2240" s="20">
        <v>106754.05</v>
      </c>
      <c r="S2240" s="20">
        <v>0</v>
      </c>
      <c r="T2240" s="20">
        <v>106754.05</v>
      </c>
      <c r="U2240" s="20">
        <v>0</v>
      </c>
      <c r="V2240" s="20">
        <v>0</v>
      </c>
      <c r="W2240" s="20">
        <v>-1186.1600000000001</v>
      </c>
      <c r="X2240" s="20">
        <v>-1186.1600000000001</v>
      </c>
      <c r="Y2240" s="20">
        <v>0</v>
      </c>
      <c r="Z2240" s="20">
        <v>0</v>
      </c>
      <c r="AA2240" s="20">
        <v>0</v>
      </c>
      <c r="AB2240" s="20">
        <v>105567.89</v>
      </c>
      <c r="AC2240" t="s">
        <v>183</v>
      </c>
      <c r="AD2240" t="s">
        <v>290</v>
      </c>
      <c r="AE2240" s="702">
        <f t="shared" si="170"/>
        <v>44713</v>
      </c>
      <c r="AF2240" s="289">
        <v>104848.37899177431</v>
      </c>
      <c r="AG2240">
        <f t="shared" si="171"/>
        <v>360</v>
      </c>
      <c r="AH2240" s="289">
        <f t="shared" si="172"/>
        <v>291.24549719937306</v>
      </c>
      <c r="AJ2240" s="289">
        <f t="shared" si="173"/>
        <v>6</v>
      </c>
      <c r="AK2240" s="289">
        <f t="shared" si="174"/>
        <v>1747.4729831962384</v>
      </c>
    </row>
    <row r="2241" spans="1:37">
      <c r="A2241" s="703" t="s">
        <v>3829</v>
      </c>
      <c r="B2241" s="703" t="s">
        <v>3743</v>
      </c>
      <c r="C2241" s="703" t="s">
        <v>332</v>
      </c>
      <c r="D2241" s="703" t="s">
        <v>334</v>
      </c>
      <c r="E2241" s="703" t="s">
        <v>334</v>
      </c>
      <c r="F2241" s="703" t="s">
        <v>335</v>
      </c>
      <c r="G2241" s="703" t="s">
        <v>3830</v>
      </c>
      <c r="H2241" s="703" t="s">
        <v>334</v>
      </c>
      <c r="I2241" s="703" t="s">
        <v>334</v>
      </c>
      <c r="J2241" s="703" t="s">
        <v>337</v>
      </c>
      <c r="K2241" s="704">
        <v>0</v>
      </c>
      <c r="L2241" s="703" t="s">
        <v>334</v>
      </c>
      <c r="M2241" s="702">
        <v>43496</v>
      </c>
      <c r="N2241" s="702">
        <v>44780</v>
      </c>
      <c r="O2241" s="703" t="s">
        <v>338</v>
      </c>
      <c r="P2241" s="20">
        <v>0</v>
      </c>
      <c r="Q2241" s="20">
        <v>0</v>
      </c>
      <c r="R2241" s="20">
        <v>6561.89</v>
      </c>
      <c r="S2241" s="20">
        <v>0</v>
      </c>
      <c r="T2241" s="20">
        <v>6561.89</v>
      </c>
      <c r="U2241" s="20">
        <v>0</v>
      </c>
      <c r="V2241" s="20">
        <v>0</v>
      </c>
      <c r="W2241" s="20">
        <v>-72.91</v>
      </c>
      <c r="X2241" s="20">
        <v>-72.91</v>
      </c>
      <c r="Y2241" s="20">
        <v>0</v>
      </c>
      <c r="Z2241" s="20">
        <v>0</v>
      </c>
      <c r="AA2241" s="20">
        <v>0</v>
      </c>
      <c r="AB2241" s="20">
        <v>6488.98</v>
      </c>
      <c r="AC2241" t="s">
        <v>183</v>
      </c>
      <c r="AD2241" t="s">
        <v>290</v>
      </c>
      <c r="AE2241" s="702">
        <f t="shared" si="170"/>
        <v>44713</v>
      </c>
      <c r="AF2241" s="289">
        <v>6444.7534273625579</v>
      </c>
      <c r="AG2241">
        <f t="shared" si="171"/>
        <v>360</v>
      </c>
      <c r="AH2241" s="289">
        <f t="shared" si="172"/>
        <v>17.902092853784882</v>
      </c>
      <c r="AJ2241" s="289">
        <f t="shared" si="173"/>
        <v>6</v>
      </c>
      <c r="AK2241" s="289">
        <f t="shared" si="174"/>
        <v>107.4125571227093</v>
      </c>
    </row>
    <row r="2242" spans="1:37">
      <c r="A2242" s="703" t="s">
        <v>3831</v>
      </c>
      <c r="B2242" s="703" t="s">
        <v>3743</v>
      </c>
      <c r="C2242" s="703" t="s">
        <v>332</v>
      </c>
      <c r="D2242" s="703" t="s">
        <v>334</v>
      </c>
      <c r="E2242" s="703" t="s">
        <v>334</v>
      </c>
      <c r="F2242" s="703" t="s">
        <v>335</v>
      </c>
      <c r="G2242" s="703" t="s">
        <v>3832</v>
      </c>
      <c r="H2242" s="703" t="s">
        <v>334</v>
      </c>
      <c r="I2242" s="703" t="s">
        <v>334</v>
      </c>
      <c r="J2242" s="703" t="s">
        <v>337</v>
      </c>
      <c r="K2242" s="704">
        <v>0</v>
      </c>
      <c r="L2242" s="703" t="s">
        <v>334</v>
      </c>
      <c r="M2242" s="702">
        <v>43496</v>
      </c>
      <c r="N2242" s="702">
        <v>44780</v>
      </c>
      <c r="O2242" s="703" t="s">
        <v>338</v>
      </c>
      <c r="P2242" s="20">
        <v>0</v>
      </c>
      <c r="Q2242" s="20">
        <v>0</v>
      </c>
      <c r="R2242" s="20">
        <v>12.38</v>
      </c>
      <c r="S2242" s="20">
        <v>0</v>
      </c>
      <c r="T2242" s="20">
        <v>12.38</v>
      </c>
      <c r="U2242" s="20">
        <v>0</v>
      </c>
      <c r="V2242" s="20">
        <v>0</v>
      </c>
      <c r="W2242" s="20">
        <v>-0.14000000000000001</v>
      </c>
      <c r="X2242" s="20">
        <v>-0.14000000000000001</v>
      </c>
      <c r="Y2242" s="20">
        <v>0</v>
      </c>
      <c r="Z2242" s="20">
        <v>0</v>
      </c>
      <c r="AA2242" s="20">
        <v>0</v>
      </c>
      <c r="AB2242" s="20">
        <v>12.24</v>
      </c>
      <c r="AC2242" t="s">
        <v>183</v>
      </c>
      <c r="AD2242" t="s">
        <v>290</v>
      </c>
      <c r="AE2242" s="702">
        <f t="shared" si="170"/>
        <v>44713</v>
      </c>
      <c r="AF2242" s="289">
        <v>12.159004102590636</v>
      </c>
      <c r="AG2242">
        <f t="shared" si="171"/>
        <v>360</v>
      </c>
      <c r="AH2242" s="289">
        <f t="shared" si="172"/>
        <v>3.3775011396085103E-2</v>
      </c>
      <c r="AJ2242" s="289">
        <f t="shared" si="173"/>
        <v>6</v>
      </c>
      <c r="AK2242" s="289">
        <f t="shared" si="174"/>
        <v>0.20265006837651062</v>
      </c>
    </row>
    <row r="2243" spans="1:37">
      <c r="A2243" s="703" t="s">
        <v>3833</v>
      </c>
      <c r="B2243" s="703" t="s">
        <v>3743</v>
      </c>
      <c r="C2243" s="703" t="s">
        <v>332</v>
      </c>
      <c r="D2243" s="703" t="s">
        <v>334</v>
      </c>
      <c r="E2243" s="703" t="s">
        <v>334</v>
      </c>
      <c r="F2243" s="703" t="s">
        <v>335</v>
      </c>
      <c r="G2243" s="703" t="s">
        <v>3834</v>
      </c>
      <c r="H2243" s="703" t="s">
        <v>334</v>
      </c>
      <c r="I2243" s="703" t="s">
        <v>334</v>
      </c>
      <c r="J2243" s="703" t="s">
        <v>337</v>
      </c>
      <c r="K2243" s="704">
        <v>0</v>
      </c>
      <c r="L2243" s="703" t="s">
        <v>334</v>
      </c>
      <c r="M2243" s="702">
        <v>44469</v>
      </c>
      <c r="N2243" s="702">
        <v>44780</v>
      </c>
      <c r="O2243" s="703" t="s">
        <v>338</v>
      </c>
      <c r="P2243" s="20">
        <v>0</v>
      </c>
      <c r="Q2243" s="20">
        <v>0</v>
      </c>
      <c r="R2243" s="20">
        <v>6071.83</v>
      </c>
      <c r="S2243" s="20">
        <v>0</v>
      </c>
      <c r="T2243" s="20">
        <v>6071.83</v>
      </c>
      <c r="U2243" s="20">
        <v>0</v>
      </c>
      <c r="V2243" s="20">
        <v>0</v>
      </c>
      <c r="W2243" s="20">
        <v>-67.459999999999994</v>
      </c>
      <c r="X2243" s="20">
        <v>-67.459999999999994</v>
      </c>
      <c r="Y2243" s="20">
        <v>0</v>
      </c>
      <c r="Z2243" s="20">
        <v>0</v>
      </c>
      <c r="AA2243" s="20">
        <v>0</v>
      </c>
      <c r="AB2243" s="20">
        <v>6004.37</v>
      </c>
      <c r="AC2243" t="s">
        <v>183</v>
      </c>
      <c r="AD2243" t="s">
        <v>290</v>
      </c>
      <c r="AE2243" s="702">
        <f t="shared" si="170"/>
        <v>44713</v>
      </c>
      <c r="AF2243" s="289">
        <v>5963.4415089041122</v>
      </c>
      <c r="AG2243">
        <f t="shared" si="171"/>
        <v>360</v>
      </c>
      <c r="AH2243" s="289">
        <f t="shared" si="172"/>
        <v>16.565115302511423</v>
      </c>
      <c r="AJ2243" s="289">
        <f t="shared" si="173"/>
        <v>6</v>
      </c>
      <c r="AK2243" s="289">
        <f t="shared" si="174"/>
        <v>99.390691815068536</v>
      </c>
    </row>
    <row r="2244" spans="1:37">
      <c r="A2244" s="703" t="s">
        <v>3835</v>
      </c>
      <c r="B2244" s="703" t="s">
        <v>3743</v>
      </c>
      <c r="C2244" s="703" t="s">
        <v>332</v>
      </c>
      <c r="D2244" s="703" t="s">
        <v>334</v>
      </c>
      <c r="E2244" s="703" t="s">
        <v>334</v>
      </c>
      <c r="F2244" s="703" t="s">
        <v>335</v>
      </c>
      <c r="G2244" s="703" t="s">
        <v>3836</v>
      </c>
      <c r="H2244" s="703" t="s">
        <v>334</v>
      </c>
      <c r="I2244" s="703" t="s">
        <v>334</v>
      </c>
      <c r="J2244" s="703" t="s">
        <v>337</v>
      </c>
      <c r="K2244" s="704">
        <v>0</v>
      </c>
      <c r="L2244" s="703" t="s">
        <v>334</v>
      </c>
      <c r="M2244" s="702">
        <v>44469</v>
      </c>
      <c r="N2244" s="702">
        <v>44780</v>
      </c>
      <c r="O2244" s="703" t="s">
        <v>338</v>
      </c>
      <c r="P2244" s="20">
        <v>0</v>
      </c>
      <c r="Q2244" s="20">
        <v>0</v>
      </c>
      <c r="R2244" s="20">
        <v>4263.74</v>
      </c>
      <c r="S2244" s="20">
        <v>0</v>
      </c>
      <c r="T2244" s="20">
        <v>4263.74</v>
      </c>
      <c r="U2244" s="20">
        <v>0</v>
      </c>
      <c r="V2244" s="20">
        <v>0</v>
      </c>
      <c r="W2244" s="20">
        <v>-47.37</v>
      </c>
      <c r="X2244" s="20">
        <v>-47.37</v>
      </c>
      <c r="Y2244" s="20">
        <v>0</v>
      </c>
      <c r="Z2244" s="20">
        <v>0</v>
      </c>
      <c r="AA2244" s="20">
        <v>0</v>
      </c>
      <c r="AB2244" s="20">
        <v>4216.37</v>
      </c>
      <c r="AC2244" t="s">
        <v>183</v>
      </c>
      <c r="AD2244" t="s">
        <v>290</v>
      </c>
      <c r="AE2244" s="702">
        <f t="shared" si="170"/>
        <v>44713</v>
      </c>
      <c r="AF2244" s="289">
        <v>4187.6277990613726</v>
      </c>
      <c r="AG2244">
        <f t="shared" si="171"/>
        <v>360</v>
      </c>
      <c r="AH2244" s="289">
        <f t="shared" si="172"/>
        <v>11.632299441837146</v>
      </c>
      <c r="AJ2244" s="289">
        <f t="shared" si="173"/>
        <v>6</v>
      </c>
      <c r="AK2244" s="289">
        <f t="shared" si="174"/>
        <v>69.793796651022873</v>
      </c>
    </row>
    <row r="2245" spans="1:37">
      <c r="A2245" s="703" t="s">
        <v>3837</v>
      </c>
      <c r="B2245" s="703" t="s">
        <v>3743</v>
      </c>
      <c r="C2245" s="703" t="s">
        <v>390</v>
      </c>
      <c r="D2245" s="703" t="s">
        <v>334</v>
      </c>
      <c r="E2245" s="703" t="s">
        <v>334</v>
      </c>
      <c r="F2245" s="703" t="s">
        <v>335</v>
      </c>
      <c r="G2245" s="703" t="s">
        <v>3838</v>
      </c>
      <c r="H2245" s="703" t="s">
        <v>334</v>
      </c>
      <c r="I2245" s="703" t="s">
        <v>334</v>
      </c>
      <c r="J2245" s="703" t="s">
        <v>337</v>
      </c>
      <c r="K2245" s="704">
        <v>0</v>
      </c>
      <c r="L2245" s="703" t="s">
        <v>334</v>
      </c>
      <c r="M2245" s="702">
        <v>42886</v>
      </c>
      <c r="N2245" s="702">
        <v>44780</v>
      </c>
      <c r="O2245" s="703" t="s">
        <v>338</v>
      </c>
      <c r="P2245" s="20">
        <v>0</v>
      </c>
      <c r="Q2245" s="20">
        <v>0</v>
      </c>
      <c r="R2245" s="20">
        <v>1113.1600000000001</v>
      </c>
      <c r="S2245" s="20">
        <v>0</v>
      </c>
      <c r="T2245" s="20">
        <v>1113.1600000000001</v>
      </c>
      <c r="U2245" s="20">
        <v>0</v>
      </c>
      <c r="V2245" s="20">
        <v>0</v>
      </c>
      <c r="W2245" s="20">
        <v>-12.37</v>
      </c>
      <c r="X2245" s="20">
        <v>-12.37</v>
      </c>
      <c r="Y2245" s="20">
        <v>0</v>
      </c>
      <c r="Z2245" s="20">
        <v>0</v>
      </c>
      <c r="AA2245" s="20">
        <v>0</v>
      </c>
      <c r="AB2245" s="20">
        <v>1100.79</v>
      </c>
      <c r="AC2245" t="s">
        <v>188</v>
      </c>
      <c r="AD2245" t="s">
        <v>290</v>
      </c>
      <c r="AE2245" s="702">
        <f t="shared" si="170"/>
        <v>44713</v>
      </c>
      <c r="AF2245" s="289">
        <v>1093.288934316623</v>
      </c>
      <c r="AG2245">
        <f t="shared" si="171"/>
        <v>360</v>
      </c>
      <c r="AH2245" s="289">
        <f t="shared" si="172"/>
        <v>3.036913706435064</v>
      </c>
      <c r="AJ2245" s="289">
        <f t="shared" si="173"/>
        <v>6</v>
      </c>
      <c r="AK2245" s="289">
        <f t="shared" si="174"/>
        <v>18.221482238610385</v>
      </c>
    </row>
    <row r="2246" spans="1:37">
      <c r="A2246" s="703" t="s">
        <v>3839</v>
      </c>
      <c r="B2246" s="703" t="s">
        <v>3743</v>
      </c>
      <c r="C2246" s="703" t="s">
        <v>390</v>
      </c>
      <c r="D2246" s="703" t="s">
        <v>334</v>
      </c>
      <c r="E2246" s="703" t="s">
        <v>334</v>
      </c>
      <c r="F2246" s="703" t="s">
        <v>335</v>
      </c>
      <c r="G2246" s="703" t="s">
        <v>3840</v>
      </c>
      <c r="H2246" s="703" t="s">
        <v>334</v>
      </c>
      <c r="I2246" s="703" t="s">
        <v>334</v>
      </c>
      <c r="J2246" s="703" t="s">
        <v>337</v>
      </c>
      <c r="K2246" s="704">
        <v>0</v>
      </c>
      <c r="L2246" s="703" t="s">
        <v>334</v>
      </c>
      <c r="M2246" s="702">
        <v>43251</v>
      </c>
      <c r="N2246" s="702">
        <v>44780</v>
      </c>
      <c r="O2246" s="703" t="s">
        <v>338</v>
      </c>
      <c r="P2246" s="20">
        <v>0</v>
      </c>
      <c r="Q2246" s="20">
        <v>0</v>
      </c>
      <c r="R2246" s="20">
        <v>10992.93</v>
      </c>
      <c r="S2246" s="20">
        <v>0</v>
      </c>
      <c r="T2246" s="20">
        <v>10992.93</v>
      </c>
      <c r="U2246" s="20">
        <v>0</v>
      </c>
      <c r="V2246" s="20">
        <v>0</v>
      </c>
      <c r="W2246" s="20">
        <v>-90.23</v>
      </c>
      <c r="X2246" s="20">
        <v>-90.23</v>
      </c>
      <c r="Y2246" s="20">
        <v>0</v>
      </c>
      <c r="Z2246" s="20">
        <v>0</v>
      </c>
      <c r="AA2246" s="20">
        <v>0</v>
      </c>
      <c r="AB2246" s="20">
        <v>10902.7</v>
      </c>
      <c r="AC2246" t="s">
        <v>188</v>
      </c>
      <c r="AD2246" t="s">
        <v>290</v>
      </c>
      <c r="AE2246" s="702">
        <f t="shared" si="170"/>
        <v>44713</v>
      </c>
      <c r="AF2246" s="289">
        <v>10796.6947471318</v>
      </c>
      <c r="AG2246">
        <f t="shared" si="171"/>
        <v>360</v>
      </c>
      <c r="AH2246" s="289">
        <f t="shared" si="172"/>
        <v>29.990818742032779</v>
      </c>
      <c r="AJ2246" s="289">
        <f t="shared" si="173"/>
        <v>6</v>
      </c>
      <c r="AK2246" s="289">
        <f t="shared" si="174"/>
        <v>179.94491245219666</v>
      </c>
    </row>
    <row r="2247" spans="1:37">
      <c r="A2247" s="703" t="s">
        <v>3841</v>
      </c>
      <c r="B2247" s="703" t="s">
        <v>3743</v>
      </c>
      <c r="C2247" s="703" t="s">
        <v>390</v>
      </c>
      <c r="D2247" s="703" t="s">
        <v>334</v>
      </c>
      <c r="E2247" s="703" t="s">
        <v>334</v>
      </c>
      <c r="F2247" s="703" t="s">
        <v>335</v>
      </c>
      <c r="G2247" s="703" t="s">
        <v>3842</v>
      </c>
      <c r="H2247" s="703" t="s">
        <v>334</v>
      </c>
      <c r="I2247" s="703" t="s">
        <v>334</v>
      </c>
      <c r="J2247" s="703" t="s">
        <v>337</v>
      </c>
      <c r="K2247" s="704">
        <v>0</v>
      </c>
      <c r="L2247" s="703" t="s">
        <v>334</v>
      </c>
      <c r="M2247" s="702">
        <v>43251</v>
      </c>
      <c r="N2247" s="702">
        <v>44780</v>
      </c>
      <c r="O2247" s="703" t="s">
        <v>338</v>
      </c>
      <c r="P2247" s="20">
        <v>0</v>
      </c>
      <c r="Q2247" s="20">
        <v>0</v>
      </c>
      <c r="R2247" s="20">
        <v>5503.08</v>
      </c>
      <c r="S2247" s="20">
        <v>0</v>
      </c>
      <c r="T2247" s="20">
        <v>5503.08</v>
      </c>
      <c r="U2247" s="20">
        <v>0</v>
      </c>
      <c r="V2247" s="20">
        <v>0</v>
      </c>
      <c r="W2247" s="20">
        <v>-25.07</v>
      </c>
      <c r="X2247" s="20">
        <v>-25.07</v>
      </c>
      <c r="Y2247" s="20">
        <v>0</v>
      </c>
      <c r="Z2247" s="20">
        <v>0</v>
      </c>
      <c r="AA2247" s="20">
        <v>0</v>
      </c>
      <c r="AB2247" s="20">
        <v>5478.01</v>
      </c>
      <c r="AC2247" t="s">
        <v>188</v>
      </c>
      <c r="AD2247" t="s">
        <v>290</v>
      </c>
      <c r="AE2247" s="702">
        <f t="shared" ref="AE2247:AE2310" si="175">IF(N2247&gt;=$AG$5,DATE(YEAR(N2247),6,1),DATE(YEAR(N2247),6,1))</f>
        <v>44713</v>
      </c>
      <c r="AF2247" s="289">
        <v>5404.8442889244325</v>
      </c>
      <c r="AG2247">
        <f t="shared" ref="AG2247:AG2310" si="176">+IF(AD2247="intangível",20*12,IF(AD2247="Diferido",120,IF(AD2247="Não vinculados",0,IF(AE2247&lt;=$AG$5,F2247*12,360))))</f>
        <v>360</v>
      </c>
      <c r="AH2247" s="289">
        <f t="shared" ref="AH2247:AH2310" si="177">IF(AG2247=0,0,AF2247/AG2247)</f>
        <v>15.013456358123424</v>
      </c>
      <c r="AJ2247" s="289">
        <f t="shared" ref="AJ2247:AJ2310" si="178">+IF(AND(YEAR(AE2247)&gt;=2018,YEAR(AE2247)&lt;=2022),IF(DATEDIF(AE2247,$AK$4,"m")&gt;=AG2247,AG2247,DATEDIF(AE2247,$AK$4,"m")),0)</f>
        <v>6</v>
      </c>
      <c r="AK2247" s="289">
        <f t="shared" ref="AK2247:AK2310" si="179">IF(AD2247="Imobilizado",AJ2247*AH2247,0)</f>
        <v>90.080738148740551</v>
      </c>
    </row>
    <row r="2248" spans="1:37">
      <c r="A2248" s="703" t="s">
        <v>3843</v>
      </c>
      <c r="B2248" s="703" t="s">
        <v>3743</v>
      </c>
      <c r="C2248" s="703" t="s">
        <v>390</v>
      </c>
      <c r="D2248" s="703" t="s">
        <v>334</v>
      </c>
      <c r="E2248" s="703" t="s">
        <v>334</v>
      </c>
      <c r="F2248" s="703" t="s">
        <v>335</v>
      </c>
      <c r="G2248" s="703" t="s">
        <v>3844</v>
      </c>
      <c r="H2248" s="703" t="s">
        <v>334</v>
      </c>
      <c r="I2248" s="703" t="s">
        <v>334</v>
      </c>
      <c r="J2248" s="703" t="s">
        <v>337</v>
      </c>
      <c r="K2248" s="704">
        <v>0</v>
      </c>
      <c r="L2248" s="703" t="s">
        <v>334</v>
      </c>
      <c r="M2248" s="702">
        <v>42886</v>
      </c>
      <c r="N2248" s="702">
        <v>44780</v>
      </c>
      <c r="O2248" s="703" t="s">
        <v>338</v>
      </c>
      <c r="P2248" s="20">
        <v>0</v>
      </c>
      <c r="Q2248" s="20">
        <v>0</v>
      </c>
      <c r="R2248" s="20">
        <v>405.14</v>
      </c>
      <c r="S2248" s="20">
        <v>0</v>
      </c>
      <c r="T2248" s="20">
        <v>405.14</v>
      </c>
      <c r="U2248" s="20">
        <v>0</v>
      </c>
      <c r="V2248" s="20">
        <v>0</v>
      </c>
      <c r="W2248" s="20">
        <v>-4.5</v>
      </c>
      <c r="X2248" s="20">
        <v>-4.5</v>
      </c>
      <c r="Y2248" s="20">
        <v>0</v>
      </c>
      <c r="Z2248" s="20">
        <v>0</v>
      </c>
      <c r="AA2248" s="20">
        <v>0</v>
      </c>
      <c r="AB2248" s="20">
        <v>400.64</v>
      </c>
      <c r="AC2248" t="s">
        <v>188</v>
      </c>
      <c r="AD2248" t="s">
        <v>290</v>
      </c>
      <c r="AE2248" s="702">
        <f t="shared" si="175"/>
        <v>44713</v>
      </c>
      <c r="AF2248" s="289">
        <v>397.90782892759046</v>
      </c>
      <c r="AG2248">
        <f t="shared" si="176"/>
        <v>360</v>
      </c>
      <c r="AH2248" s="289">
        <f t="shared" si="177"/>
        <v>1.1052995247988624</v>
      </c>
      <c r="AJ2248" s="289">
        <f t="shared" si="178"/>
        <v>6</v>
      </c>
      <c r="AK2248" s="289">
        <f t="shared" si="179"/>
        <v>6.6317971487931739</v>
      </c>
    </row>
    <row r="2249" spans="1:37">
      <c r="A2249" s="703" t="s">
        <v>3845</v>
      </c>
      <c r="B2249" s="703" t="s">
        <v>3743</v>
      </c>
      <c r="C2249" s="703" t="s">
        <v>390</v>
      </c>
      <c r="D2249" s="703" t="s">
        <v>334</v>
      </c>
      <c r="E2249" s="703" t="s">
        <v>334</v>
      </c>
      <c r="F2249" s="703" t="s">
        <v>335</v>
      </c>
      <c r="G2249" s="703" t="s">
        <v>3846</v>
      </c>
      <c r="H2249" s="703" t="s">
        <v>334</v>
      </c>
      <c r="I2249" s="703" t="s">
        <v>334</v>
      </c>
      <c r="J2249" s="703" t="s">
        <v>337</v>
      </c>
      <c r="K2249" s="704">
        <v>0</v>
      </c>
      <c r="L2249" s="703" t="s">
        <v>334</v>
      </c>
      <c r="M2249" s="702">
        <v>43251</v>
      </c>
      <c r="N2249" s="702">
        <v>44780</v>
      </c>
      <c r="O2249" s="703" t="s">
        <v>338</v>
      </c>
      <c r="P2249" s="20">
        <v>0</v>
      </c>
      <c r="Q2249" s="20">
        <v>0</v>
      </c>
      <c r="R2249" s="20">
        <v>1726.13</v>
      </c>
      <c r="S2249" s="20">
        <v>0</v>
      </c>
      <c r="T2249" s="20">
        <v>1726.13</v>
      </c>
      <c r="U2249" s="20">
        <v>0</v>
      </c>
      <c r="V2249" s="20">
        <v>0</v>
      </c>
      <c r="W2249" s="20">
        <v>-19.18</v>
      </c>
      <c r="X2249" s="20">
        <v>-19.18</v>
      </c>
      <c r="Y2249" s="20">
        <v>0</v>
      </c>
      <c r="Z2249" s="20">
        <v>0</v>
      </c>
      <c r="AA2249" s="20">
        <v>0</v>
      </c>
      <c r="AB2249" s="20">
        <v>1706.95</v>
      </c>
      <c r="AC2249" t="s">
        <v>188</v>
      </c>
      <c r="AD2249" t="s">
        <v>290</v>
      </c>
      <c r="AE2249" s="702">
        <f t="shared" si="175"/>
        <v>44713</v>
      </c>
      <c r="AF2249" s="289">
        <v>1695.3167812281727</v>
      </c>
      <c r="AG2249">
        <f t="shared" si="176"/>
        <v>360</v>
      </c>
      <c r="AH2249" s="289">
        <f t="shared" si="177"/>
        <v>4.7092132811893688</v>
      </c>
      <c r="AJ2249" s="289">
        <f t="shared" si="178"/>
        <v>6</v>
      </c>
      <c r="AK2249" s="289">
        <f t="shared" si="179"/>
        <v>28.255279687136213</v>
      </c>
    </row>
    <row r="2250" spans="1:37">
      <c r="A2250" s="703" t="s">
        <v>3847</v>
      </c>
      <c r="B2250" s="703" t="s">
        <v>3743</v>
      </c>
      <c r="C2250" s="703" t="s">
        <v>390</v>
      </c>
      <c r="D2250" s="703" t="s">
        <v>334</v>
      </c>
      <c r="E2250" s="703" t="s">
        <v>334</v>
      </c>
      <c r="F2250" s="703" t="s">
        <v>335</v>
      </c>
      <c r="G2250" s="703" t="s">
        <v>3848</v>
      </c>
      <c r="H2250" s="703" t="s">
        <v>334</v>
      </c>
      <c r="I2250" s="703" t="s">
        <v>334</v>
      </c>
      <c r="J2250" s="703" t="s">
        <v>337</v>
      </c>
      <c r="K2250" s="704">
        <v>0</v>
      </c>
      <c r="L2250" s="703" t="s">
        <v>334</v>
      </c>
      <c r="M2250" s="702">
        <v>43251</v>
      </c>
      <c r="N2250" s="702">
        <v>44780</v>
      </c>
      <c r="O2250" s="703" t="s">
        <v>338</v>
      </c>
      <c r="P2250" s="20">
        <v>0</v>
      </c>
      <c r="Q2250" s="20">
        <v>0</v>
      </c>
      <c r="R2250" s="20">
        <v>6336.01</v>
      </c>
      <c r="S2250" s="20">
        <v>0</v>
      </c>
      <c r="T2250" s="20">
        <v>6336.01</v>
      </c>
      <c r="U2250" s="20">
        <v>0</v>
      </c>
      <c r="V2250" s="20">
        <v>0</v>
      </c>
      <c r="W2250" s="20">
        <v>-70.400000000000006</v>
      </c>
      <c r="X2250" s="20">
        <v>-70.400000000000006</v>
      </c>
      <c r="Y2250" s="20">
        <v>0</v>
      </c>
      <c r="Z2250" s="20">
        <v>0</v>
      </c>
      <c r="AA2250" s="20">
        <v>0</v>
      </c>
      <c r="AB2250" s="20">
        <v>6265.61</v>
      </c>
      <c r="AC2250" t="s">
        <v>188</v>
      </c>
      <c r="AD2250" t="s">
        <v>290</v>
      </c>
      <c r="AE2250" s="702">
        <f t="shared" si="175"/>
        <v>44713</v>
      </c>
      <c r="AF2250" s="289">
        <v>6222.90562068298</v>
      </c>
      <c r="AG2250">
        <f t="shared" si="176"/>
        <v>360</v>
      </c>
      <c r="AH2250" s="289">
        <f t="shared" si="177"/>
        <v>17.285848946341613</v>
      </c>
      <c r="AJ2250" s="289">
        <f t="shared" si="178"/>
        <v>6</v>
      </c>
      <c r="AK2250" s="289">
        <f t="shared" si="179"/>
        <v>103.71509367804967</v>
      </c>
    </row>
    <row r="2251" spans="1:37">
      <c r="A2251" s="703" t="s">
        <v>3849</v>
      </c>
      <c r="B2251" s="703" t="s">
        <v>3743</v>
      </c>
      <c r="C2251" s="703" t="s">
        <v>390</v>
      </c>
      <c r="D2251" s="703" t="s">
        <v>334</v>
      </c>
      <c r="E2251" s="703" t="s">
        <v>334</v>
      </c>
      <c r="F2251" s="703" t="s">
        <v>335</v>
      </c>
      <c r="G2251" s="703" t="s">
        <v>3848</v>
      </c>
      <c r="H2251" s="703" t="s">
        <v>334</v>
      </c>
      <c r="I2251" s="703" t="s">
        <v>334</v>
      </c>
      <c r="J2251" s="703" t="s">
        <v>337</v>
      </c>
      <c r="K2251" s="704">
        <v>0</v>
      </c>
      <c r="L2251" s="703" t="s">
        <v>334</v>
      </c>
      <c r="M2251" s="702">
        <v>43251</v>
      </c>
      <c r="N2251" s="702">
        <v>44780</v>
      </c>
      <c r="O2251" s="703" t="s">
        <v>338</v>
      </c>
      <c r="P2251" s="20">
        <v>0</v>
      </c>
      <c r="Q2251" s="20">
        <v>0</v>
      </c>
      <c r="R2251" s="20">
        <v>2451.16</v>
      </c>
      <c r="S2251" s="20">
        <v>0</v>
      </c>
      <c r="T2251" s="20">
        <v>2451.16</v>
      </c>
      <c r="U2251" s="20">
        <v>0</v>
      </c>
      <c r="V2251" s="20">
        <v>0</v>
      </c>
      <c r="W2251" s="20">
        <v>-27.24</v>
      </c>
      <c r="X2251" s="20">
        <v>-27.24</v>
      </c>
      <c r="Y2251" s="20">
        <v>0</v>
      </c>
      <c r="Z2251" s="20">
        <v>0</v>
      </c>
      <c r="AA2251" s="20">
        <v>0</v>
      </c>
      <c r="AB2251" s="20">
        <v>2423.92</v>
      </c>
      <c r="AC2251" t="s">
        <v>188</v>
      </c>
      <c r="AD2251" t="s">
        <v>290</v>
      </c>
      <c r="AE2251" s="702">
        <f t="shared" si="175"/>
        <v>44713</v>
      </c>
      <c r="AF2251" s="289">
        <v>2407.4042403962894</v>
      </c>
      <c r="AG2251">
        <f t="shared" si="176"/>
        <v>360</v>
      </c>
      <c r="AH2251" s="289">
        <f t="shared" si="177"/>
        <v>6.687234001100804</v>
      </c>
      <c r="AJ2251" s="289">
        <f t="shared" si="178"/>
        <v>6</v>
      </c>
      <c r="AK2251" s="289">
        <f t="shared" si="179"/>
        <v>40.123404006604822</v>
      </c>
    </row>
    <row r="2252" spans="1:37">
      <c r="A2252" s="703" t="s">
        <v>3850</v>
      </c>
      <c r="B2252" s="703" t="s">
        <v>3743</v>
      </c>
      <c r="C2252" s="703" t="s">
        <v>390</v>
      </c>
      <c r="D2252" s="703" t="s">
        <v>334</v>
      </c>
      <c r="E2252" s="703" t="s">
        <v>334</v>
      </c>
      <c r="F2252" s="703" t="s">
        <v>335</v>
      </c>
      <c r="G2252" s="703" t="s">
        <v>3848</v>
      </c>
      <c r="H2252" s="703" t="s">
        <v>334</v>
      </c>
      <c r="I2252" s="703" t="s">
        <v>334</v>
      </c>
      <c r="J2252" s="703" t="s">
        <v>337</v>
      </c>
      <c r="K2252" s="704">
        <v>0</v>
      </c>
      <c r="L2252" s="703" t="s">
        <v>334</v>
      </c>
      <c r="M2252" s="702">
        <v>43251</v>
      </c>
      <c r="N2252" s="702">
        <v>44780</v>
      </c>
      <c r="O2252" s="703" t="s">
        <v>338</v>
      </c>
      <c r="P2252" s="20">
        <v>0</v>
      </c>
      <c r="Q2252" s="20">
        <v>0</v>
      </c>
      <c r="R2252" s="20">
        <v>6531.88</v>
      </c>
      <c r="S2252" s="20">
        <v>0</v>
      </c>
      <c r="T2252" s="20">
        <v>6531.88</v>
      </c>
      <c r="U2252" s="20">
        <v>0</v>
      </c>
      <c r="V2252" s="20">
        <v>0</v>
      </c>
      <c r="W2252" s="20">
        <v>-72.58</v>
      </c>
      <c r="X2252" s="20">
        <v>-72.58</v>
      </c>
      <c r="Y2252" s="20">
        <v>0</v>
      </c>
      <c r="Z2252" s="20">
        <v>0</v>
      </c>
      <c r="AA2252" s="20">
        <v>0</v>
      </c>
      <c r="AB2252" s="20">
        <v>6459.3</v>
      </c>
      <c r="AC2252" t="s">
        <v>188</v>
      </c>
      <c r="AD2252" t="s">
        <v>290</v>
      </c>
      <c r="AE2252" s="702">
        <f t="shared" si="175"/>
        <v>44713</v>
      </c>
      <c r="AF2252" s="289">
        <v>6415.2791371267949</v>
      </c>
      <c r="AG2252">
        <f t="shared" si="176"/>
        <v>360</v>
      </c>
      <c r="AH2252" s="289">
        <f t="shared" si="177"/>
        <v>17.820219825352208</v>
      </c>
      <c r="AJ2252" s="289">
        <f t="shared" si="178"/>
        <v>6</v>
      </c>
      <c r="AK2252" s="289">
        <f t="shared" si="179"/>
        <v>106.92131895211324</v>
      </c>
    </row>
    <row r="2253" spans="1:37">
      <c r="A2253" s="703" t="s">
        <v>3851</v>
      </c>
      <c r="B2253" s="703" t="s">
        <v>3743</v>
      </c>
      <c r="C2253" s="703" t="s">
        <v>390</v>
      </c>
      <c r="D2253" s="703" t="s">
        <v>334</v>
      </c>
      <c r="E2253" s="703" t="s">
        <v>334</v>
      </c>
      <c r="F2253" s="703" t="s">
        <v>335</v>
      </c>
      <c r="G2253" s="703" t="s">
        <v>3844</v>
      </c>
      <c r="H2253" s="703" t="s">
        <v>334</v>
      </c>
      <c r="I2253" s="703" t="s">
        <v>334</v>
      </c>
      <c r="J2253" s="703" t="s">
        <v>337</v>
      </c>
      <c r="K2253" s="704">
        <v>0</v>
      </c>
      <c r="L2253" s="703" t="s">
        <v>334</v>
      </c>
      <c r="M2253" s="702">
        <v>42886</v>
      </c>
      <c r="N2253" s="702">
        <v>44780</v>
      </c>
      <c r="O2253" s="703" t="s">
        <v>338</v>
      </c>
      <c r="P2253" s="20">
        <v>0</v>
      </c>
      <c r="Q2253" s="20">
        <v>0</v>
      </c>
      <c r="R2253" s="20">
        <v>14563.15</v>
      </c>
      <c r="S2253" s="20">
        <v>0</v>
      </c>
      <c r="T2253" s="20">
        <v>14563.15</v>
      </c>
      <c r="U2253" s="20">
        <v>0</v>
      </c>
      <c r="V2253" s="20">
        <v>0</v>
      </c>
      <c r="W2253" s="20">
        <v>-161.81</v>
      </c>
      <c r="X2253" s="20">
        <v>-161.81</v>
      </c>
      <c r="Y2253" s="20">
        <v>0</v>
      </c>
      <c r="Z2253" s="20">
        <v>0</v>
      </c>
      <c r="AA2253" s="20">
        <v>0</v>
      </c>
      <c r="AB2253" s="20">
        <v>14401.34</v>
      </c>
      <c r="AC2253" t="s">
        <v>188</v>
      </c>
      <c r="AD2253" t="s">
        <v>290</v>
      </c>
      <c r="AE2253" s="702">
        <f t="shared" si="175"/>
        <v>44713</v>
      </c>
      <c r="AF2253" s="289">
        <v>14303.182600698128</v>
      </c>
      <c r="AG2253">
        <f t="shared" si="176"/>
        <v>360</v>
      </c>
      <c r="AH2253" s="289">
        <f t="shared" si="177"/>
        <v>39.731062779717021</v>
      </c>
      <c r="AJ2253" s="289">
        <f t="shared" si="178"/>
        <v>6</v>
      </c>
      <c r="AK2253" s="289">
        <f t="shared" si="179"/>
        <v>238.38637667830213</v>
      </c>
    </row>
    <row r="2254" spans="1:37">
      <c r="A2254" s="703" t="s">
        <v>3852</v>
      </c>
      <c r="B2254" s="703" t="s">
        <v>3743</v>
      </c>
      <c r="C2254" s="703" t="s">
        <v>390</v>
      </c>
      <c r="D2254" s="703" t="s">
        <v>334</v>
      </c>
      <c r="E2254" s="703" t="s">
        <v>334</v>
      </c>
      <c r="F2254" s="703" t="s">
        <v>335</v>
      </c>
      <c r="G2254" s="703" t="s">
        <v>3853</v>
      </c>
      <c r="H2254" s="703" t="s">
        <v>334</v>
      </c>
      <c r="I2254" s="703" t="s">
        <v>334</v>
      </c>
      <c r="J2254" s="703" t="s">
        <v>337</v>
      </c>
      <c r="K2254" s="704">
        <v>0</v>
      </c>
      <c r="L2254" s="703" t="s">
        <v>334</v>
      </c>
      <c r="M2254" s="702">
        <v>42886</v>
      </c>
      <c r="N2254" s="702">
        <v>44780</v>
      </c>
      <c r="O2254" s="703" t="s">
        <v>338</v>
      </c>
      <c r="P2254" s="20">
        <v>0</v>
      </c>
      <c r="Q2254" s="20">
        <v>0</v>
      </c>
      <c r="R2254" s="20">
        <v>3357.22</v>
      </c>
      <c r="S2254" s="20">
        <v>0</v>
      </c>
      <c r="T2254" s="20">
        <v>3357.22</v>
      </c>
      <c r="U2254" s="20">
        <v>0</v>
      </c>
      <c r="V2254" s="20">
        <v>0</v>
      </c>
      <c r="W2254" s="20">
        <v>-37.299999999999997</v>
      </c>
      <c r="X2254" s="20">
        <v>-37.299999999999997</v>
      </c>
      <c r="Y2254" s="20">
        <v>0</v>
      </c>
      <c r="Z2254" s="20">
        <v>0</v>
      </c>
      <c r="AA2254" s="20">
        <v>0</v>
      </c>
      <c r="AB2254" s="20">
        <v>3319.92</v>
      </c>
      <c r="AC2254" t="s">
        <v>188</v>
      </c>
      <c r="AD2254" t="s">
        <v>290</v>
      </c>
      <c r="AE2254" s="702">
        <f t="shared" si="175"/>
        <v>44713</v>
      </c>
      <c r="AF2254" s="289">
        <v>3297.2901254684439</v>
      </c>
      <c r="AG2254">
        <f t="shared" si="176"/>
        <v>360</v>
      </c>
      <c r="AH2254" s="289">
        <f t="shared" si="177"/>
        <v>9.1591392374123437</v>
      </c>
      <c r="AJ2254" s="289">
        <f t="shared" si="178"/>
        <v>6</v>
      </c>
      <c r="AK2254" s="289">
        <f t="shared" si="179"/>
        <v>54.954835424474062</v>
      </c>
    </row>
    <row r="2255" spans="1:37">
      <c r="A2255" s="703" t="s">
        <v>3854</v>
      </c>
      <c r="B2255" s="703" t="s">
        <v>3743</v>
      </c>
      <c r="C2255" s="703" t="s">
        <v>390</v>
      </c>
      <c r="D2255" s="703" t="s">
        <v>334</v>
      </c>
      <c r="E2255" s="703" t="s">
        <v>334</v>
      </c>
      <c r="F2255" s="703" t="s">
        <v>335</v>
      </c>
      <c r="G2255" s="703" t="s">
        <v>3855</v>
      </c>
      <c r="H2255" s="703" t="s">
        <v>334</v>
      </c>
      <c r="I2255" s="703" t="s">
        <v>334</v>
      </c>
      <c r="J2255" s="703" t="s">
        <v>337</v>
      </c>
      <c r="K2255" s="704">
        <v>0</v>
      </c>
      <c r="L2255" s="703" t="s">
        <v>334</v>
      </c>
      <c r="M2255" s="702">
        <v>43251</v>
      </c>
      <c r="N2255" s="702">
        <v>44780</v>
      </c>
      <c r="O2255" s="703" t="s">
        <v>338</v>
      </c>
      <c r="P2255" s="20">
        <v>0</v>
      </c>
      <c r="Q2255" s="20">
        <v>0</v>
      </c>
      <c r="R2255" s="20">
        <v>13830.82</v>
      </c>
      <c r="S2255" s="20">
        <v>0</v>
      </c>
      <c r="T2255" s="20">
        <v>13830.82</v>
      </c>
      <c r="U2255" s="20">
        <v>0</v>
      </c>
      <c r="V2255" s="20">
        <v>0</v>
      </c>
      <c r="W2255" s="20">
        <v>-85.37</v>
      </c>
      <c r="X2255" s="20">
        <v>-85.37</v>
      </c>
      <c r="Y2255" s="20">
        <v>0</v>
      </c>
      <c r="Z2255" s="20">
        <v>0</v>
      </c>
      <c r="AA2255" s="20">
        <v>0</v>
      </c>
      <c r="AB2255" s="20">
        <v>13745.45</v>
      </c>
      <c r="AC2255" t="s">
        <v>188</v>
      </c>
      <c r="AD2255" t="s">
        <v>290</v>
      </c>
      <c r="AE2255" s="702">
        <f t="shared" si="175"/>
        <v>44713</v>
      </c>
      <c r="AF2255" s="289">
        <v>13583.925454135107</v>
      </c>
      <c r="AG2255">
        <f t="shared" si="176"/>
        <v>360</v>
      </c>
      <c r="AH2255" s="289">
        <f t="shared" si="177"/>
        <v>37.733126261486412</v>
      </c>
      <c r="AJ2255" s="289">
        <f t="shared" si="178"/>
        <v>6</v>
      </c>
      <c r="AK2255" s="289">
        <f t="shared" si="179"/>
        <v>226.39875756891848</v>
      </c>
    </row>
    <row r="2256" spans="1:37">
      <c r="A2256" s="703" t="s">
        <v>3856</v>
      </c>
      <c r="B2256" s="703" t="s">
        <v>3743</v>
      </c>
      <c r="C2256" s="703" t="s">
        <v>390</v>
      </c>
      <c r="D2256" s="703" t="s">
        <v>334</v>
      </c>
      <c r="E2256" s="703" t="s">
        <v>334</v>
      </c>
      <c r="F2256" s="703" t="s">
        <v>335</v>
      </c>
      <c r="G2256" s="703" t="s">
        <v>3840</v>
      </c>
      <c r="H2256" s="703" t="s">
        <v>334</v>
      </c>
      <c r="I2256" s="703" t="s">
        <v>334</v>
      </c>
      <c r="J2256" s="703" t="s">
        <v>337</v>
      </c>
      <c r="K2256" s="704">
        <v>0</v>
      </c>
      <c r="L2256" s="703" t="s">
        <v>334</v>
      </c>
      <c r="M2256" s="702">
        <v>43251</v>
      </c>
      <c r="N2256" s="702">
        <v>44780</v>
      </c>
      <c r="O2256" s="703" t="s">
        <v>338</v>
      </c>
      <c r="P2256" s="20">
        <v>0</v>
      </c>
      <c r="Q2256" s="20">
        <v>0</v>
      </c>
      <c r="R2256" s="20">
        <v>1716.83</v>
      </c>
      <c r="S2256" s="20">
        <v>0</v>
      </c>
      <c r="T2256" s="20">
        <v>1716.83</v>
      </c>
      <c r="U2256" s="20">
        <v>0</v>
      </c>
      <c r="V2256" s="20">
        <v>0</v>
      </c>
      <c r="W2256" s="20">
        <v>-19.079999999999998</v>
      </c>
      <c r="X2256" s="20">
        <v>-19.079999999999998</v>
      </c>
      <c r="Y2256" s="20">
        <v>0</v>
      </c>
      <c r="Z2256" s="20">
        <v>0</v>
      </c>
      <c r="AA2256" s="20">
        <v>0</v>
      </c>
      <c r="AB2256" s="20">
        <v>1697.75</v>
      </c>
      <c r="AC2256" t="s">
        <v>188</v>
      </c>
      <c r="AD2256" t="s">
        <v>290</v>
      </c>
      <c r="AE2256" s="702">
        <f t="shared" si="175"/>
        <v>44713</v>
      </c>
      <c r="AF2256" s="289">
        <v>1686.1827959168563</v>
      </c>
      <c r="AG2256">
        <f t="shared" si="176"/>
        <v>360</v>
      </c>
      <c r="AH2256" s="289">
        <f t="shared" si="177"/>
        <v>4.6838410997690456</v>
      </c>
      <c r="AJ2256" s="289">
        <f t="shared" si="178"/>
        <v>6</v>
      </c>
      <c r="AK2256" s="289">
        <f t="shared" si="179"/>
        <v>28.103046598614274</v>
      </c>
    </row>
    <row r="2257" spans="1:37">
      <c r="A2257" s="703" t="s">
        <v>3857</v>
      </c>
      <c r="B2257" s="703" t="s">
        <v>3743</v>
      </c>
      <c r="C2257" s="703" t="s">
        <v>390</v>
      </c>
      <c r="D2257" s="703" t="s">
        <v>334</v>
      </c>
      <c r="E2257" s="703" t="s">
        <v>334</v>
      </c>
      <c r="F2257" s="703" t="s">
        <v>335</v>
      </c>
      <c r="G2257" s="703" t="s">
        <v>3858</v>
      </c>
      <c r="H2257" s="703" t="s">
        <v>334</v>
      </c>
      <c r="I2257" s="703" t="s">
        <v>334</v>
      </c>
      <c r="J2257" s="703" t="s">
        <v>337</v>
      </c>
      <c r="K2257" s="704">
        <v>0</v>
      </c>
      <c r="L2257" s="703" t="s">
        <v>334</v>
      </c>
      <c r="M2257" s="702">
        <v>42886</v>
      </c>
      <c r="N2257" s="702">
        <v>44780</v>
      </c>
      <c r="O2257" s="703" t="s">
        <v>338</v>
      </c>
      <c r="P2257" s="20">
        <v>0</v>
      </c>
      <c r="Q2257" s="20">
        <v>0</v>
      </c>
      <c r="R2257" s="20">
        <v>5868.35</v>
      </c>
      <c r="S2257" s="20">
        <v>0</v>
      </c>
      <c r="T2257" s="20">
        <v>5868.35</v>
      </c>
      <c r="U2257" s="20">
        <v>0</v>
      </c>
      <c r="V2257" s="20">
        <v>0</v>
      </c>
      <c r="W2257" s="20">
        <v>-65.2</v>
      </c>
      <c r="X2257" s="20">
        <v>-65.2</v>
      </c>
      <c r="Y2257" s="20">
        <v>0</v>
      </c>
      <c r="Z2257" s="20">
        <v>0</v>
      </c>
      <c r="AA2257" s="20">
        <v>0</v>
      </c>
      <c r="AB2257" s="20">
        <v>5803.15</v>
      </c>
      <c r="AC2257" t="s">
        <v>188</v>
      </c>
      <c r="AD2257" t="s">
        <v>290</v>
      </c>
      <c r="AE2257" s="702">
        <f t="shared" si="175"/>
        <v>44713</v>
      </c>
      <c r="AF2257" s="289">
        <v>5763.5938388883496</v>
      </c>
      <c r="AG2257">
        <f t="shared" si="176"/>
        <v>360</v>
      </c>
      <c r="AH2257" s="289">
        <f t="shared" si="177"/>
        <v>16.009982885800973</v>
      </c>
      <c r="AJ2257" s="289">
        <f t="shared" si="178"/>
        <v>6</v>
      </c>
      <c r="AK2257" s="289">
        <f t="shared" si="179"/>
        <v>96.059897314805838</v>
      </c>
    </row>
    <row r="2258" spans="1:37">
      <c r="A2258" s="703" t="s">
        <v>3859</v>
      </c>
      <c r="B2258" s="703" t="s">
        <v>3743</v>
      </c>
      <c r="C2258" s="703" t="s">
        <v>390</v>
      </c>
      <c r="D2258" s="703" t="s">
        <v>334</v>
      </c>
      <c r="E2258" s="703" t="s">
        <v>334</v>
      </c>
      <c r="F2258" s="703" t="s">
        <v>335</v>
      </c>
      <c r="G2258" s="703" t="s">
        <v>3860</v>
      </c>
      <c r="H2258" s="703" t="s">
        <v>334</v>
      </c>
      <c r="I2258" s="703" t="s">
        <v>334</v>
      </c>
      <c r="J2258" s="703" t="s">
        <v>337</v>
      </c>
      <c r="K2258" s="704">
        <v>0</v>
      </c>
      <c r="L2258" s="703" t="s">
        <v>334</v>
      </c>
      <c r="M2258" s="702">
        <v>43251</v>
      </c>
      <c r="N2258" s="702">
        <v>44780</v>
      </c>
      <c r="O2258" s="703" t="s">
        <v>338</v>
      </c>
      <c r="P2258" s="20">
        <v>0</v>
      </c>
      <c r="Q2258" s="20">
        <v>0</v>
      </c>
      <c r="R2258" s="20">
        <v>5038.5200000000004</v>
      </c>
      <c r="S2258" s="20">
        <v>0</v>
      </c>
      <c r="T2258" s="20">
        <v>5038.5200000000004</v>
      </c>
      <c r="U2258" s="20">
        <v>0</v>
      </c>
      <c r="V2258" s="20">
        <v>0</v>
      </c>
      <c r="W2258" s="20">
        <v>-55.98</v>
      </c>
      <c r="X2258" s="20">
        <v>-55.98</v>
      </c>
      <c r="Y2258" s="20">
        <v>0</v>
      </c>
      <c r="Z2258" s="20">
        <v>0</v>
      </c>
      <c r="AA2258" s="20">
        <v>0</v>
      </c>
      <c r="AB2258" s="20">
        <v>4982.54</v>
      </c>
      <c r="AC2258" t="s">
        <v>188</v>
      </c>
      <c r="AD2258" t="s">
        <v>290</v>
      </c>
      <c r="AE2258" s="702">
        <f t="shared" si="175"/>
        <v>44713</v>
      </c>
      <c r="AF2258" s="289">
        <v>4948.5771689002404</v>
      </c>
      <c r="AG2258">
        <f t="shared" si="176"/>
        <v>360</v>
      </c>
      <c r="AH2258" s="289">
        <f t="shared" si="177"/>
        <v>13.746047691389556</v>
      </c>
      <c r="AJ2258" s="289">
        <f t="shared" si="178"/>
        <v>6</v>
      </c>
      <c r="AK2258" s="289">
        <f t="shared" si="179"/>
        <v>82.476286148337337</v>
      </c>
    </row>
    <row r="2259" spans="1:37">
      <c r="A2259" s="703" t="s">
        <v>3861</v>
      </c>
      <c r="B2259" s="703" t="s">
        <v>3743</v>
      </c>
      <c r="C2259" s="703" t="s">
        <v>390</v>
      </c>
      <c r="D2259" s="703" t="s">
        <v>334</v>
      </c>
      <c r="E2259" s="703" t="s">
        <v>334</v>
      </c>
      <c r="F2259" s="703" t="s">
        <v>335</v>
      </c>
      <c r="G2259" s="703" t="s">
        <v>3862</v>
      </c>
      <c r="H2259" s="703" t="s">
        <v>334</v>
      </c>
      <c r="I2259" s="703" t="s">
        <v>334</v>
      </c>
      <c r="J2259" s="703" t="s">
        <v>337</v>
      </c>
      <c r="K2259" s="704">
        <v>0</v>
      </c>
      <c r="L2259" s="703" t="s">
        <v>334</v>
      </c>
      <c r="M2259" s="702">
        <v>44651</v>
      </c>
      <c r="N2259" s="702">
        <v>44780</v>
      </c>
      <c r="O2259" s="703" t="s">
        <v>338</v>
      </c>
      <c r="P2259" s="20">
        <v>0</v>
      </c>
      <c r="Q2259" s="20">
        <v>0</v>
      </c>
      <c r="R2259" s="20">
        <v>17440.25</v>
      </c>
      <c r="S2259" s="20">
        <v>0</v>
      </c>
      <c r="T2259" s="20">
        <v>17440.25</v>
      </c>
      <c r="U2259" s="20">
        <v>0</v>
      </c>
      <c r="V2259" s="20">
        <v>0</v>
      </c>
      <c r="W2259" s="20">
        <v>-193.78</v>
      </c>
      <c r="X2259" s="20">
        <v>-193.78</v>
      </c>
      <c r="Y2259" s="20">
        <v>0</v>
      </c>
      <c r="Z2259" s="20">
        <v>0</v>
      </c>
      <c r="AA2259" s="20">
        <v>0</v>
      </c>
      <c r="AB2259" s="20">
        <v>17246.47</v>
      </c>
      <c r="AC2259" t="s">
        <v>188</v>
      </c>
      <c r="AD2259" t="s">
        <v>290</v>
      </c>
      <c r="AE2259" s="702">
        <f t="shared" si="175"/>
        <v>44713</v>
      </c>
      <c r="AF2259" s="289">
        <v>17128.923368352691</v>
      </c>
      <c r="AG2259">
        <f t="shared" si="176"/>
        <v>360</v>
      </c>
      <c r="AH2259" s="289">
        <f t="shared" si="177"/>
        <v>47.580342689868587</v>
      </c>
      <c r="AJ2259" s="289">
        <f t="shared" si="178"/>
        <v>6</v>
      </c>
      <c r="AK2259" s="289">
        <f t="shared" si="179"/>
        <v>285.48205613921152</v>
      </c>
    </row>
    <row r="2260" spans="1:37">
      <c r="A2260" s="703" t="s">
        <v>3863</v>
      </c>
      <c r="B2260" s="703" t="s">
        <v>3743</v>
      </c>
      <c r="C2260" s="703" t="s">
        <v>390</v>
      </c>
      <c r="D2260" s="703" t="s">
        <v>334</v>
      </c>
      <c r="E2260" s="703" t="s">
        <v>334</v>
      </c>
      <c r="F2260" s="703" t="s">
        <v>335</v>
      </c>
      <c r="G2260" s="703" t="s">
        <v>3864</v>
      </c>
      <c r="H2260" s="703" t="s">
        <v>334</v>
      </c>
      <c r="I2260" s="703" t="s">
        <v>334</v>
      </c>
      <c r="J2260" s="703" t="s">
        <v>337</v>
      </c>
      <c r="K2260" s="704">
        <v>0</v>
      </c>
      <c r="L2260" s="703" t="s">
        <v>334</v>
      </c>
      <c r="M2260" s="702">
        <v>42886</v>
      </c>
      <c r="N2260" s="702">
        <v>44780</v>
      </c>
      <c r="O2260" s="703" t="s">
        <v>338</v>
      </c>
      <c r="P2260" s="20">
        <v>0</v>
      </c>
      <c r="Q2260" s="20">
        <v>0</v>
      </c>
      <c r="R2260" s="20">
        <v>6534.9</v>
      </c>
      <c r="S2260" s="20">
        <v>0</v>
      </c>
      <c r="T2260" s="20">
        <v>6534.9</v>
      </c>
      <c r="U2260" s="20">
        <v>0</v>
      </c>
      <c r="V2260" s="20">
        <v>0</v>
      </c>
      <c r="W2260" s="20">
        <v>-72.61</v>
      </c>
      <c r="X2260" s="20">
        <v>-72.61</v>
      </c>
      <c r="Y2260" s="20">
        <v>0</v>
      </c>
      <c r="Z2260" s="20">
        <v>0</v>
      </c>
      <c r="AA2260" s="20">
        <v>0</v>
      </c>
      <c r="AB2260" s="20">
        <v>6462.29</v>
      </c>
      <c r="AC2260" t="s">
        <v>188</v>
      </c>
      <c r="AD2260" t="s">
        <v>290</v>
      </c>
      <c r="AE2260" s="702">
        <f t="shared" si="175"/>
        <v>44713</v>
      </c>
      <c r="AF2260" s="289">
        <v>6418.2452269805772</v>
      </c>
      <c r="AG2260">
        <f t="shared" si="176"/>
        <v>360</v>
      </c>
      <c r="AH2260" s="289">
        <f t="shared" si="177"/>
        <v>17.828458963834937</v>
      </c>
      <c r="AJ2260" s="289">
        <f t="shared" si="178"/>
        <v>6</v>
      </c>
      <c r="AK2260" s="289">
        <f t="shared" si="179"/>
        <v>106.97075378300963</v>
      </c>
    </row>
    <row r="2261" spans="1:37">
      <c r="A2261" s="703" t="s">
        <v>3865</v>
      </c>
      <c r="B2261" s="703" t="s">
        <v>3743</v>
      </c>
      <c r="C2261" s="703" t="s">
        <v>390</v>
      </c>
      <c r="D2261" s="703" t="s">
        <v>334</v>
      </c>
      <c r="E2261" s="703" t="s">
        <v>334</v>
      </c>
      <c r="F2261" s="703" t="s">
        <v>335</v>
      </c>
      <c r="G2261" s="703" t="s">
        <v>3866</v>
      </c>
      <c r="H2261" s="703" t="s">
        <v>334</v>
      </c>
      <c r="I2261" s="703" t="s">
        <v>334</v>
      </c>
      <c r="J2261" s="703" t="s">
        <v>337</v>
      </c>
      <c r="K2261" s="704">
        <v>0</v>
      </c>
      <c r="L2261" s="703" t="s">
        <v>334</v>
      </c>
      <c r="M2261" s="702">
        <v>42886</v>
      </c>
      <c r="N2261" s="702">
        <v>44780</v>
      </c>
      <c r="O2261" s="703" t="s">
        <v>338</v>
      </c>
      <c r="P2261" s="20">
        <v>0</v>
      </c>
      <c r="Q2261" s="20">
        <v>0</v>
      </c>
      <c r="R2261" s="20">
        <v>4631.6899999999996</v>
      </c>
      <c r="S2261" s="20">
        <v>0</v>
      </c>
      <c r="T2261" s="20">
        <v>4631.6899999999996</v>
      </c>
      <c r="U2261" s="20">
        <v>0</v>
      </c>
      <c r="V2261" s="20">
        <v>0</v>
      </c>
      <c r="W2261" s="20">
        <v>-51.46</v>
      </c>
      <c r="X2261" s="20">
        <v>-51.46</v>
      </c>
      <c r="Y2261" s="20">
        <v>0</v>
      </c>
      <c r="Z2261" s="20">
        <v>0</v>
      </c>
      <c r="AA2261" s="20">
        <v>0</v>
      </c>
      <c r="AB2261" s="20">
        <v>4580.2299999999996</v>
      </c>
      <c r="AC2261" t="s">
        <v>188</v>
      </c>
      <c r="AD2261" t="s">
        <v>290</v>
      </c>
      <c r="AE2261" s="702">
        <f t="shared" si="175"/>
        <v>44713</v>
      </c>
      <c r="AF2261" s="289">
        <v>4549.0095082332809</v>
      </c>
      <c r="AG2261">
        <f t="shared" si="176"/>
        <v>360</v>
      </c>
      <c r="AH2261" s="289">
        <f t="shared" si="177"/>
        <v>12.636137522870225</v>
      </c>
      <c r="AJ2261" s="289">
        <f t="shared" si="178"/>
        <v>6</v>
      </c>
      <c r="AK2261" s="289">
        <f t="shared" si="179"/>
        <v>75.816825137221343</v>
      </c>
    </row>
    <row r="2262" spans="1:37">
      <c r="A2262" s="703" t="s">
        <v>3867</v>
      </c>
      <c r="B2262" s="703" t="s">
        <v>3743</v>
      </c>
      <c r="C2262" s="703" t="s">
        <v>390</v>
      </c>
      <c r="D2262" s="703" t="s">
        <v>334</v>
      </c>
      <c r="E2262" s="703" t="s">
        <v>334</v>
      </c>
      <c r="F2262" s="703" t="s">
        <v>335</v>
      </c>
      <c r="G2262" s="703" t="s">
        <v>3868</v>
      </c>
      <c r="H2262" s="703" t="s">
        <v>334</v>
      </c>
      <c r="I2262" s="703" t="s">
        <v>334</v>
      </c>
      <c r="J2262" s="703" t="s">
        <v>337</v>
      </c>
      <c r="K2262" s="704">
        <v>0</v>
      </c>
      <c r="L2262" s="703" t="s">
        <v>334</v>
      </c>
      <c r="M2262" s="702">
        <v>43251</v>
      </c>
      <c r="N2262" s="702">
        <v>44780</v>
      </c>
      <c r="O2262" s="703" t="s">
        <v>338</v>
      </c>
      <c r="P2262" s="20">
        <v>0</v>
      </c>
      <c r="Q2262" s="20">
        <v>0</v>
      </c>
      <c r="R2262" s="20">
        <v>9513.7000000000007</v>
      </c>
      <c r="S2262" s="20">
        <v>0</v>
      </c>
      <c r="T2262" s="20">
        <v>9513.7000000000007</v>
      </c>
      <c r="U2262" s="20">
        <v>0</v>
      </c>
      <c r="V2262" s="20">
        <v>0</v>
      </c>
      <c r="W2262" s="20">
        <v>-95.29</v>
      </c>
      <c r="X2262" s="20">
        <v>-95.29</v>
      </c>
      <c r="Y2262" s="20">
        <v>0</v>
      </c>
      <c r="Z2262" s="20">
        <v>0</v>
      </c>
      <c r="AA2262" s="20">
        <v>0</v>
      </c>
      <c r="AB2262" s="20">
        <v>9418.41</v>
      </c>
      <c r="AC2262" t="s">
        <v>188</v>
      </c>
      <c r="AD2262" t="s">
        <v>290</v>
      </c>
      <c r="AE2262" s="702">
        <f t="shared" si="175"/>
        <v>44713</v>
      </c>
      <c r="AF2262" s="289">
        <v>9343.8705436846958</v>
      </c>
      <c r="AG2262">
        <f t="shared" si="176"/>
        <v>360</v>
      </c>
      <c r="AH2262" s="289">
        <f t="shared" si="177"/>
        <v>25.955195954679709</v>
      </c>
      <c r="AJ2262" s="289">
        <f t="shared" si="178"/>
        <v>6</v>
      </c>
      <c r="AK2262" s="289">
        <f t="shared" si="179"/>
        <v>155.73117572807826</v>
      </c>
    </row>
    <row r="2263" spans="1:37">
      <c r="A2263" s="703" t="s">
        <v>3869</v>
      </c>
      <c r="B2263" s="703" t="s">
        <v>3743</v>
      </c>
      <c r="C2263" s="703" t="s">
        <v>390</v>
      </c>
      <c r="D2263" s="703" t="s">
        <v>334</v>
      </c>
      <c r="E2263" s="703" t="s">
        <v>334</v>
      </c>
      <c r="F2263" s="703" t="s">
        <v>335</v>
      </c>
      <c r="G2263" s="703" t="s">
        <v>3840</v>
      </c>
      <c r="H2263" s="703" t="s">
        <v>334</v>
      </c>
      <c r="I2263" s="703" t="s">
        <v>334</v>
      </c>
      <c r="J2263" s="703" t="s">
        <v>337</v>
      </c>
      <c r="K2263" s="704">
        <v>0</v>
      </c>
      <c r="L2263" s="703" t="s">
        <v>334</v>
      </c>
      <c r="M2263" s="702">
        <v>43251</v>
      </c>
      <c r="N2263" s="702">
        <v>44780</v>
      </c>
      <c r="O2263" s="703" t="s">
        <v>338</v>
      </c>
      <c r="P2263" s="20">
        <v>0</v>
      </c>
      <c r="Q2263" s="20">
        <v>0</v>
      </c>
      <c r="R2263" s="20">
        <v>7028.29</v>
      </c>
      <c r="S2263" s="20">
        <v>0</v>
      </c>
      <c r="T2263" s="20">
        <v>7028.29</v>
      </c>
      <c r="U2263" s="20">
        <v>0</v>
      </c>
      <c r="V2263" s="20">
        <v>0</v>
      </c>
      <c r="W2263" s="20">
        <v>-78.09</v>
      </c>
      <c r="X2263" s="20">
        <v>-78.09</v>
      </c>
      <c r="Y2263" s="20">
        <v>0</v>
      </c>
      <c r="Z2263" s="20">
        <v>0</v>
      </c>
      <c r="AA2263" s="20">
        <v>0</v>
      </c>
      <c r="AB2263" s="20">
        <v>6950.2</v>
      </c>
      <c r="AC2263" t="s">
        <v>188</v>
      </c>
      <c r="AD2263" t="s">
        <v>290</v>
      </c>
      <c r="AE2263" s="702">
        <f t="shared" si="175"/>
        <v>44713</v>
      </c>
      <c r="AF2263" s="289">
        <v>6902.8277014698497</v>
      </c>
      <c r="AG2263">
        <f t="shared" si="176"/>
        <v>360</v>
      </c>
      <c r="AH2263" s="289">
        <f t="shared" si="177"/>
        <v>19.174521392971805</v>
      </c>
      <c r="AJ2263" s="289">
        <f t="shared" si="178"/>
        <v>6</v>
      </c>
      <c r="AK2263" s="289">
        <f t="shared" si="179"/>
        <v>115.04712835783083</v>
      </c>
    </row>
    <row r="2264" spans="1:37">
      <c r="A2264" s="703" t="s">
        <v>3870</v>
      </c>
      <c r="B2264" s="703" t="s">
        <v>3743</v>
      </c>
      <c r="C2264" s="703" t="s">
        <v>390</v>
      </c>
      <c r="D2264" s="703" t="s">
        <v>334</v>
      </c>
      <c r="E2264" s="703" t="s">
        <v>334</v>
      </c>
      <c r="F2264" s="703" t="s">
        <v>335</v>
      </c>
      <c r="G2264" s="703" t="s">
        <v>3855</v>
      </c>
      <c r="H2264" s="703" t="s">
        <v>334</v>
      </c>
      <c r="I2264" s="703" t="s">
        <v>334</v>
      </c>
      <c r="J2264" s="703" t="s">
        <v>337</v>
      </c>
      <c r="K2264" s="704">
        <v>0</v>
      </c>
      <c r="L2264" s="703" t="s">
        <v>334</v>
      </c>
      <c r="M2264" s="702">
        <v>43251</v>
      </c>
      <c r="N2264" s="702">
        <v>44780</v>
      </c>
      <c r="O2264" s="703" t="s">
        <v>338</v>
      </c>
      <c r="P2264" s="20">
        <v>0</v>
      </c>
      <c r="Q2264" s="20">
        <v>0</v>
      </c>
      <c r="R2264" s="20">
        <v>6389.63</v>
      </c>
      <c r="S2264" s="20">
        <v>0</v>
      </c>
      <c r="T2264" s="20">
        <v>6389.63</v>
      </c>
      <c r="U2264" s="20">
        <v>0</v>
      </c>
      <c r="V2264" s="20">
        <v>0</v>
      </c>
      <c r="W2264" s="20">
        <v>-71</v>
      </c>
      <c r="X2264" s="20">
        <v>-71</v>
      </c>
      <c r="Y2264" s="20">
        <v>0</v>
      </c>
      <c r="Z2264" s="20">
        <v>0</v>
      </c>
      <c r="AA2264" s="20">
        <v>0</v>
      </c>
      <c r="AB2264" s="20">
        <v>6318.63</v>
      </c>
      <c r="AC2264" t="s">
        <v>188</v>
      </c>
      <c r="AD2264" t="s">
        <v>290</v>
      </c>
      <c r="AE2264" s="702">
        <f t="shared" si="175"/>
        <v>44713</v>
      </c>
      <c r="AF2264" s="289">
        <v>6275.5684478219873</v>
      </c>
      <c r="AG2264">
        <f t="shared" si="176"/>
        <v>360</v>
      </c>
      <c r="AH2264" s="289">
        <f t="shared" si="177"/>
        <v>17.4321345772833</v>
      </c>
      <c r="AJ2264" s="289">
        <f t="shared" si="178"/>
        <v>6</v>
      </c>
      <c r="AK2264" s="289">
        <f t="shared" si="179"/>
        <v>104.5928074636998</v>
      </c>
    </row>
    <row r="2265" spans="1:37">
      <c r="A2265" s="703" t="s">
        <v>3871</v>
      </c>
      <c r="B2265" s="703" t="s">
        <v>3743</v>
      </c>
      <c r="C2265" s="703" t="s">
        <v>390</v>
      </c>
      <c r="D2265" s="703" t="s">
        <v>334</v>
      </c>
      <c r="E2265" s="703" t="s">
        <v>334</v>
      </c>
      <c r="F2265" s="703" t="s">
        <v>335</v>
      </c>
      <c r="G2265" s="703" t="s">
        <v>3842</v>
      </c>
      <c r="H2265" s="703" t="s">
        <v>334</v>
      </c>
      <c r="I2265" s="703" t="s">
        <v>334</v>
      </c>
      <c r="J2265" s="703" t="s">
        <v>337</v>
      </c>
      <c r="K2265" s="704">
        <v>0</v>
      </c>
      <c r="L2265" s="703" t="s">
        <v>334</v>
      </c>
      <c r="M2265" s="702">
        <v>43251</v>
      </c>
      <c r="N2265" s="702">
        <v>44780</v>
      </c>
      <c r="O2265" s="703" t="s">
        <v>338</v>
      </c>
      <c r="P2265" s="20">
        <v>0</v>
      </c>
      <c r="Q2265" s="20">
        <v>0</v>
      </c>
      <c r="R2265" s="20">
        <v>2431.11</v>
      </c>
      <c r="S2265" s="20">
        <v>0</v>
      </c>
      <c r="T2265" s="20">
        <v>2431.11</v>
      </c>
      <c r="U2265" s="20">
        <v>0</v>
      </c>
      <c r="V2265" s="20">
        <v>0</v>
      </c>
      <c r="W2265" s="20">
        <v>-27.01</v>
      </c>
      <c r="X2265" s="20">
        <v>-27.01</v>
      </c>
      <c r="Y2265" s="20">
        <v>0</v>
      </c>
      <c r="Z2265" s="20">
        <v>0</v>
      </c>
      <c r="AA2265" s="20">
        <v>0</v>
      </c>
      <c r="AB2265" s="20">
        <v>2404.1</v>
      </c>
      <c r="AC2265" t="s">
        <v>188</v>
      </c>
      <c r="AD2265" t="s">
        <v>290</v>
      </c>
      <c r="AE2265" s="702">
        <f t="shared" si="175"/>
        <v>44713</v>
      </c>
      <c r="AF2265" s="289">
        <v>2387.7121537842586</v>
      </c>
      <c r="AG2265">
        <f t="shared" si="176"/>
        <v>360</v>
      </c>
      <c r="AH2265" s="289">
        <f t="shared" si="177"/>
        <v>6.6325337605118291</v>
      </c>
      <c r="AJ2265" s="289">
        <f t="shared" si="178"/>
        <v>6</v>
      </c>
      <c r="AK2265" s="289">
        <f t="shared" si="179"/>
        <v>39.795202563070973</v>
      </c>
    </row>
    <row r="2266" spans="1:37">
      <c r="A2266" s="703" t="s">
        <v>3872</v>
      </c>
      <c r="B2266" s="703" t="s">
        <v>3743</v>
      </c>
      <c r="C2266" s="703" t="s">
        <v>390</v>
      </c>
      <c r="D2266" s="703" t="s">
        <v>334</v>
      </c>
      <c r="E2266" s="703" t="s">
        <v>334</v>
      </c>
      <c r="F2266" s="703" t="s">
        <v>335</v>
      </c>
      <c r="G2266" s="703" t="s">
        <v>3873</v>
      </c>
      <c r="H2266" s="703" t="s">
        <v>334</v>
      </c>
      <c r="I2266" s="703" t="s">
        <v>334</v>
      </c>
      <c r="J2266" s="703" t="s">
        <v>337</v>
      </c>
      <c r="K2266" s="704">
        <v>0</v>
      </c>
      <c r="L2266" s="703" t="s">
        <v>334</v>
      </c>
      <c r="M2266" s="702">
        <v>42886</v>
      </c>
      <c r="N2266" s="702">
        <v>44780</v>
      </c>
      <c r="O2266" s="703" t="s">
        <v>338</v>
      </c>
      <c r="P2266" s="20">
        <v>0</v>
      </c>
      <c r="Q2266" s="20">
        <v>0</v>
      </c>
      <c r="R2266" s="20">
        <v>12176.87</v>
      </c>
      <c r="S2266" s="20">
        <v>0</v>
      </c>
      <c r="T2266" s="20">
        <v>12176.87</v>
      </c>
      <c r="U2266" s="20">
        <v>0</v>
      </c>
      <c r="V2266" s="20">
        <v>0</v>
      </c>
      <c r="W2266" s="20">
        <v>-63.87</v>
      </c>
      <c r="X2266" s="20">
        <v>-63.87</v>
      </c>
      <c r="Y2266" s="20">
        <v>0</v>
      </c>
      <c r="Z2266" s="20">
        <v>0</v>
      </c>
      <c r="AA2266" s="20">
        <v>0</v>
      </c>
      <c r="AB2266" s="20">
        <v>12113</v>
      </c>
      <c r="AC2266" t="s">
        <v>188</v>
      </c>
      <c r="AD2266" t="s">
        <v>290</v>
      </c>
      <c r="AE2266" s="702">
        <f t="shared" si="175"/>
        <v>44713</v>
      </c>
      <c r="AF2266" s="289">
        <v>11959.500184710247</v>
      </c>
      <c r="AG2266">
        <f t="shared" si="176"/>
        <v>360</v>
      </c>
      <c r="AH2266" s="289">
        <f t="shared" si="177"/>
        <v>33.220833846417349</v>
      </c>
      <c r="AJ2266" s="289">
        <f t="shared" si="178"/>
        <v>6</v>
      </c>
      <c r="AK2266" s="289">
        <f t="shared" si="179"/>
        <v>199.3250030785041</v>
      </c>
    </row>
    <row r="2267" spans="1:37">
      <c r="A2267" s="703" t="s">
        <v>3874</v>
      </c>
      <c r="B2267" s="703" t="s">
        <v>3743</v>
      </c>
      <c r="C2267" s="703" t="s">
        <v>390</v>
      </c>
      <c r="D2267" s="703" t="s">
        <v>334</v>
      </c>
      <c r="E2267" s="703" t="s">
        <v>334</v>
      </c>
      <c r="F2267" s="703" t="s">
        <v>335</v>
      </c>
      <c r="G2267" s="703" t="s">
        <v>3840</v>
      </c>
      <c r="H2267" s="703" t="s">
        <v>334</v>
      </c>
      <c r="I2267" s="703" t="s">
        <v>334</v>
      </c>
      <c r="J2267" s="703" t="s">
        <v>337</v>
      </c>
      <c r="K2267" s="704">
        <v>0</v>
      </c>
      <c r="L2267" s="703" t="s">
        <v>334</v>
      </c>
      <c r="M2267" s="702">
        <v>43251</v>
      </c>
      <c r="N2267" s="702">
        <v>44780</v>
      </c>
      <c r="O2267" s="703" t="s">
        <v>338</v>
      </c>
      <c r="P2267" s="20">
        <v>0</v>
      </c>
      <c r="Q2267" s="20">
        <v>0</v>
      </c>
      <c r="R2267" s="20">
        <v>7338.01</v>
      </c>
      <c r="S2267" s="20">
        <v>0</v>
      </c>
      <c r="T2267" s="20">
        <v>7338.01</v>
      </c>
      <c r="U2267" s="20">
        <v>0</v>
      </c>
      <c r="V2267" s="20">
        <v>0</v>
      </c>
      <c r="W2267" s="20">
        <v>-81.53</v>
      </c>
      <c r="X2267" s="20">
        <v>-81.53</v>
      </c>
      <c r="Y2267" s="20">
        <v>0</v>
      </c>
      <c r="Z2267" s="20">
        <v>0</v>
      </c>
      <c r="AA2267" s="20">
        <v>0</v>
      </c>
      <c r="AB2267" s="20">
        <v>7256.48</v>
      </c>
      <c r="AC2267" t="s">
        <v>188</v>
      </c>
      <c r="AD2267" t="s">
        <v>290</v>
      </c>
      <c r="AE2267" s="702">
        <f t="shared" si="175"/>
        <v>44713</v>
      </c>
      <c r="AF2267" s="289">
        <v>7207.0188768054213</v>
      </c>
      <c r="AG2267">
        <f t="shared" si="176"/>
        <v>360</v>
      </c>
      <c r="AH2267" s="289">
        <f t="shared" si="177"/>
        <v>20.019496880015058</v>
      </c>
      <c r="AJ2267" s="289">
        <f t="shared" si="178"/>
        <v>6</v>
      </c>
      <c r="AK2267" s="289">
        <f t="shared" si="179"/>
        <v>120.11698128009036</v>
      </c>
    </row>
    <row r="2268" spans="1:37">
      <c r="A2268" s="703" t="s">
        <v>3875</v>
      </c>
      <c r="B2268" s="703" t="s">
        <v>3743</v>
      </c>
      <c r="C2268" s="703" t="s">
        <v>390</v>
      </c>
      <c r="D2268" s="703" t="s">
        <v>334</v>
      </c>
      <c r="E2268" s="703" t="s">
        <v>334</v>
      </c>
      <c r="F2268" s="703" t="s">
        <v>335</v>
      </c>
      <c r="G2268" s="703" t="s">
        <v>3855</v>
      </c>
      <c r="H2268" s="703" t="s">
        <v>334</v>
      </c>
      <c r="I2268" s="703" t="s">
        <v>334</v>
      </c>
      <c r="J2268" s="703" t="s">
        <v>337</v>
      </c>
      <c r="K2268" s="704">
        <v>0</v>
      </c>
      <c r="L2268" s="703" t="s">
        <v>334</v>
      </c>
      <c r="M2268" s="702">
        <v>43251</v>
      </c>
      <c r="N2268" s="702">
        <v>44780</v>
      </c>
      <c r="O2268" s="703" t="s">
        <v>338</v>
      </c>
      <c r="P2268" s="20">
        <v>0</v>
      </c>
      <c r="Q2268" s="20">
        <v>0</v>
      </c>
      <c r="R2268" s="20">
        <v>6113.72</v>
      </c>
      <c r="S2268" s="20">
        <v>0</v>
      </c>
      <c r="T2268" s="20">
        <v>6113.72</v>
      </c>
      <c r="U2268" s="20">
        <v>0</v>
      </c>
      <c r="V2268" s="20">
        <v>0</v>
      </c>
      <c r="W2268" s="20">
        <v>-67.930000000000007</v>
      </c>
      <c r="X2268" s="20">
        <v>-67.930000000000007</v>
      </c>
      <c r="Y2268" s="20">
        <v>0</v>
      </c>
      <c r="Z2268" s="20">
        <v>0</v>
      </c>
      <c r="AA2268" s="20">
        <v>0</v>
      </c>
      <c r="AB2268" s="20">
        <v>6045.79</v>
      </c>
      <c r="AC2268" t="s">
        <v>188</v>
      </c>
      <c r="AD2268" t="s">
        <v>290</v>
      </c>
      <c r="AE2268" s="702">
        <f t="shared" si="175"/>
        <v>44713</v>
      </c>
      <c r="AF2268" s="289">
        <v>6004.5837287633622</v>
      </c>
      <c r="AG2268">
        <f t="shared" si="176"/>
        <v>360</v>
      </c>
      <c r="AH2268" s="289">
        <f t="shared" si="177"/>
        <v>16.679399246564895</v>
      </c>
      <c r="AJ2268" s="289">
        <f t="shared" si="178"/>
        <v>6</v>
      </c>
      <c r="AK2268" s="289">
        <f t="shared" si="179"/>
        <v>100.07639547938936</v>
      </c>
    </row>
    <row r="2269" spans="1:37">
      <c r="A2269" s="703" t="s">
        <v>3876</v>
      </c>
      <c r="B2269" s="703" t="s">
        <v>3743</v>
      </c>
      <c r="C2269" s="703" t="s">
        <v>390</v>
      </c>
      <c r="D2269" s="703" t="s">
        <v>334</v>
      </c>
      <c r="E2269" s="703" t="s">
        <v>334</v>
      </c>
      <c r="F2269" s="703" t="s">
        <v>335</v>
      </c>
      <c r="G2269" s="703" t="s">
        <v>3840</v>
      </c>
      <c r="H2269" s="703" t="s">
        <v>334</v>
      </c>
      <c r="I2269" s="703" t="s">
        <v>334</v>
      </c>
      <c r="J2269" s="703" t="s">
        <v>337</v>
      </c>
      <c r="K2269" s="704">
        <v>0</v>
      </c>
      <c r="L2269" s="703" t="s">
        <v>334</v>
      </c>
      <c r="M2269" s="702">
        <v>43251</v>
      </c>
      <c r="N2269" s="702">
        <v>44780</v>
      </c>
      <c r="O2269" s="703" t="s">
        <v>338</v>
      </c>
      <c r="P2269" s="20">
        <v>0</v>
      </c>
      <c r="Q2269" s="20">
        <v>0</v>
      </c>
      <c r="R2269" s="20">
        <v>3388.32</v>
      </c>
      <c r="S2269" s="20">
        <v>0</v>
      </c>
      <c r="T2269" s="20">
        <v>3388.32</v>
      </c>
      <c r="U2269" s="20">
        <v>0</v>
      </c>
      <c r="V2269" s="20">
        <v>0</v>
      </c>
      <c r="W2269" s="20">
        <v>-37.65</v>
      </c>
      <c r="X2269" s="20">
        <v>-37.65</v>
      </c>
      <c r="Y2269" s="20">
        <v>0</v>
      </c>
      <c r="Z2269" s="20">
        <v>0</v>
      </c>
      <c r="AA2269" s="20">
        <v>0</v>
      </c>
      <c r="AB2269" s="20">
        <v>3350.67</v>
      </c>
      <c r="AC2269" t="s">
        <v>188</v>
      </c>
      <c r="AD2269" t="s">
        <v>290</v>
      </c>
      <c r="AE2269" s="702">
        <f t="shared" si="175"/>
        <v>44713</v>
      </c>
      <c r="AF2269" s="289">
        <v>3327.8349580686518</v>
      </c>
      <c r="AG2269">
        <f t="shared" si="176"/>
        <v>360</v>
      </c>
      <c r="AH2269" s="289">
        <f t="shared" si="177"/>
        <v>9.2439859946351444</v>
      </c>
      <c r="AJ2269" s="289">
        <f t="shared" si="178"/>
        <v>6</v>
      </c>
      <c r="AK2269" s="289">
        <f t="shared" si="179"/>
        <v>55.463915967810863</v>
      </c>
    </row>
    <row r="2270" spans="1:37">
      <c r="A2270" s="703" t="s">
        <v>3877</v>
      </c>
      <c r="B2270" s="703" t="s">
        <v>3743</v>
      </c>
      <c r="C2270" s="703" t="s">
        <v>390</v>
      </c>
      <c r="D2270" s="703" t="s">
        <v>334</v>
      </c>
      <c r="E2270" s="703" t="s">
        <v>334</v>
      </c>
      <c r="F2270" s="703" t="s">
        <v>335</v>
      </c>
      <c r="G2270" s="703" t="s">
        <v>3864</v>
      </c>
      <c r="H2270" s="703" t="s">
        <v>334</v>
      </c>
      <c r="I2270" s="703" t="s">
        <v>334</v>
      </c>
      <c r="J2270" s="703" t="s">
        <v>337</v>
      </c>
      <c r="K2270" s="704">
        <v>0</v>
      </c>
      <c r="L2270" s="703" t="s">
        <v>334</v>
      </c>
      <c r="M2270" s="702">
        <v>42886</v>
      </c>
      <c r="N2270" s="702">
        <v>44780</v>
      </c>
      <c r="O2270" s="703" t="s">
        <v>338</v>
      </c>
      <c r="P2270" s="20">
        <v>0</v>
      </c>
      <c r="Q2270" s="20">
        <v>0</v>
      </c>
      <c r="R2270" s="20">
        <v>663.67</v>
      </c>
      <c r="S2270" s="20">
        <v>0</v>
      </c>
      <c r="T2270" s="20">
        <v>663.67</v>
      </c>
      <c r="U2270" s="20">
        <v>0</v>
      </c>
      <c r="V2270" s="20">
        <v>0</v>
      </c>
      <c r="W2270" s="20">
        <v>-7.37</v>
      </c>
      <c r="X2270" s="20">
        <v>-7.37</v>
      </c>
      <c r="Y2270" s="20">
        <v>0</v>
      </c>
      <c r="Z2270" s="20">
        <v>0</v>
      </c>
      <c r="AA2270" s="20">
        <v>0</v>
      </c>
      <c r="AB2270" s="20">
        <v>656.3</v>
      </c>
      <c r="AC2270" t="s">
        <v>188</v>
      </c>
      <c r="AD2270" t="s">
        <v>290</v>
      </c>
      <c r="AE2270" s="702">
        <f t="shared" si="175"/>
        <v>44713</v>
      </c>
      <c r="AF2270" s="289">
        <v>651.82279909259512</v>
      </c>
      <c r="AG2270">
        <f t="shared" si="176"/>
        <v>360</v>
      </c>
      <c r="AH2270" s="289">
        <f t="shared" si="177"/>
        <v>1.8106188863683197</v>
      </c>
      <c r="AJ2270" s="289">
        <f t="shared" si="178"/>
        <v>6</v>
      </c>
      <c r="AK2270" s="289">
        <f t="shared" si="179"/>
        <v>10.863713318209918</v>
      </c>
    </row>
    <row r="2271" spans="1:37">
      <c r="A2271" s="703" t="s">
        <v>3878</v>
      </c>
      <c r="B2271" s="703" t="s">
        <v>3743</v>
      </c>
      <c r="C2271" s="703" t="s">
        <v>390</v>
      </c>
      <c r="D2271" s="703" t="s">
        <v>334</v>
      </c>
      <c r="E2271" s="703" t="s">
        <v>334</v>
      </c>
      <c r="F2271" s="703" t="s">
        <v>335</v>
      </c>
      <c r="G2271" s="703" t="s">
        <v>3855</v>
      </c>
      <c r="H2271" s="703" t="s">
        <v>334</v>
      </c>
      <c r="I2271" s="703" t="s">
        <v>334</v>
      </c>
      <c r="J2271" s="703" t="s">
        <v>337</v>
      </c>
      <c r="K2271" s="704">
        <v>0</v>
      </c>
      <c r="L2271" s="703" t="s">
        <v>334</v>
      </c>
      <c r="M2271" s="702">
        <v>43251</v>
      </c>
      <c r="N2271" s="702">
        <v>44780</v>
      </c>
      <c r="O2271" s="703" t="s">
        <v>338</v>
      </c>
      <c r="P2271" s="20">
        <v>0</v>
      </c>
      <c r="Q2271" s="20">
        <v>0</v>
      </c>
      <c r="R2271" s="20">
        <v>2351.88</v>
      </c>
      <c r="S2271" s="20">
        <v>0</v>
      </c>
      <c r="T2271" s="20">
        <v>2351.88</v>
      </c>
      <c r="U2271" s="20">
        <v>0</v>
      </c>
      <c r="V2271" s="20">
        <v>0</v>
      </c>
      <c r="W2271" s="20">
        <v>-26.13</v>
      </c>
      <c r="X2271" s="20">
        <v>-26.13</v>
      </c>
      <c r="Y2271" s="20">
        <v>0</v>
      </c>
      <c r="Z2271" s="20">
        <v>0</v>
      </c>
      <c r="AA2271" s="20">
        <v>0</v>
      </c>
      <c r="AB2271" s="20">
        <v>2325.75</v>
      </c>
      <c r="AC2271" t="s">
        <v>188</v>
      </c>
      <c r="AD2271" t="s">
        <v>290</v>
      </c>
      <c r="AE2271" s="702">
        <f t="shared" si="175"/>
        <v>44713</v>
      </c>
      <c r="AF2271" s="289">
        <v>2309.8964918255951</v>
      </c>
      <c r="AG2271">
        <f t="shared" si="176"/>
        <v>360</v>
      </c>
      <c r="AH2271" s="289">
        <f t="shared" si="177"/>
        <v>6.4163791439599862</v>
      </c>
      <c r="AJ2271" s="289">
        <f t="shared" si="178"/>
        <v>6</v>
      </c>
      <c r="AK2271" s="289">
        <f t="shared" si="179"/>
        <v>38.498274863759917</v>
      </c>
    </row>
    <row r="2272" spans="1:37">
      <c r="A2272" s="703" t="s">
        <v>3879</v>
      </c>
      <c r="B2272" s="703" t="s">
        <v>3743</v>
      </c>
      <c r="C2272" s="703" t="s">
        <v>390</v>
      </c>
      <c r="D2272" s="703" t="s">
        <v>334</v>
      </c>
      <c r="E2272" s="703" t="s">
        <v>334</v>
      </c>
      <c r="F2272" s="703" t="s">
        <v>335</v>
      </c>
      <c r="G2272" s="703" t="s">
        <v>3880</v>
      </c>
      <c r="H2272" s="703" t="s">
        <v>334</v>
      </c>
      <c r="I2272" s="703" t="s">
        <v>334</v>
      </c>
      <c r="J2272" s="703" t="s">
        <v>337</v>
      </c>
      <c r="K2272" s="704">
        <v>0</v>
      </c>
      <c r="L2272" s="703" t="s">
        <v>334</v>
      </c>
      <c r="M2272" s="702">
        <v>43251</v>
      </c>
      <c r="N2272" s="702">
        <v>44780</v>
      </c>
      <c r="O2272" s="703" t="s">
        <v>338</v>
      </c>
      <c r="P2272" s="20">
        <v>0</v>
      </c>
      <c r="Q2272" s="20">
        <v>0</v>
      </c>
      <c r="R2272" s="20">
        <v>6683.03</v>
      </c>
      <c r="S2272" s="20">
        <v>0</v>
      </c>
      <c r="T2272" s="20">
        <v>6683.03</v>
      </c>
      <c r="U2272" s="20">
        <v>0</v>
      </c>
      <c r="V2272" s="20">
        <v>0</v>
      </c>
      <c r="W2272" s="20">
        <v>-56.48</v>
      </c>
      <c r="X2272" s="20">
        <v>-56.48</v>
      </c>
      <c r="Y2272" s="20">
        <v>0</v>
      </c>
      <c r="Z2272" s="20">
        <v>0</v>
      </c>
      <c r="AA2272" s="20">
        <v>0</v>
      </c>
      <c r="AB2272" s="20">
        <v>6626.55</v>
      </c>
      <c r="AC2272" t="s">
        <v>188</v>
      </c>
      <c r="AD2272" t="s">
        <v>290</v>
      </c>
      <c r="AE2272" s="702">
        <f t="shared" si="175"/>
        <v>44713</v>
      </c>
      <c r="AF2272" s="289">
        <v>6563.7309521596362</v>
      </c>
      <c r="AG2272">
        <f t="shared" si="176"/>
        <v>360</v>
      </c>
      <c r="AH2272" s="289">
        <f t="shared" si="177"/>
        <v>18.232585978221213</v>
      </c>
      <c r="AJ2272" s="289">
        <f t="shared" si="178"/>
        <v>6</v>
      </c>
      <c r="AK2272" s="289">
        <f t="shared" si="179"/>
        <v>109.39551586932728</v>
      </c>
    </row>
    <row r="2273" spans="1:37">
      <c r="A2273" s="703" t="s">
        <v>3881</v>
      </c>
      <c r="B2273" s="703" t="s">
        <v>3743</v>
      </c>
      <c r="C2273" s="703" t="s">
        <v>390</v>
      </c>
      <c r="D2273" s="703" t="s">
        <v>334</v>
      </c>
      <c r="E2273" s="703" t="s">
        <v>334</v>
      </c>
      <c r="F2273" s="703" t="s">
        <v>335</v>
      </c>
      <c r="G2273" s="703" t="s">
        <v>3882</v>
      </c>
      <c r="H2273" s="703" t="s">
        <v>334</v>
      </c>
      <c r="I2273" s="703" t="s">
        <v>334</v>
      </c>
      <c r="J2273" s="703" t="s">
        <v>337</v>
      </c>
      <c r="K2273" s="704">
        <v>0</v>
      </c>
      <c r="L2273" s="703" t="s">
        <v>334</v>
      </c>
      <c r="M2273" s="702">
        <v>42886</v>
      </c>
      <c r="N2273" s="702">
        <v>44780</v>
      </c>
      <c r="O2273" s="703" t="s">
        <v>338</v>
      </c>
      <c r="P2273" s="20">
        <v>0</v>
      </c>
      <c r="Q2273" s="20">
        <v>0</v>
      </c>
      <c r="R2273" s="20">
        <v>6167.01</v>
      </c>
      <c r="S2273" s="20">
        <v>0</v>
      </c>
      <c r="T2273" s="20">
        <v>6167.01</v>
      </c>
      <c r="U2273" s="20">
        <v>0</v>
      </c>
      <c r="V2273" s="20">
        <v>0</v>
      </c>
      <c r="W2273" s="20">
        <v>-68.52</v>
      </c>
      <c r="X2273" s="20">
        <v>-68.52</v>
      </c>
      <c r="Y2273" s="20">
        <v>0</v>
      </c>
      <c r="Z2273" s="20">
        <v>0</v>
      </c>
      <c r="AA2273" s="20">
        <v>0</v>
      </c>
      <c r="AB2273" s="20">
        <v>6098.49</v>
      </c>
      <c r="AC2273" t="s">
        <v>188</v>
      </c>
      <c r="AD2273" t="s">
        <v>290</v>
      </c>
      <c r="AE2273" s="702">
        <f t="shared" si="175"/>
        <v>44713</v>
      </c>
      <c r="AF2273" s="289">
        <v>6056.9224467461618</v>
      </c>
      <c r="AG2273">
        <f t="shared" si="176"/>
        <v>360</v>
      </c>
      <c r="AH2273" s="289">
        <f t="shared" si="177"/>
        <v>16.824784574294895</v>
      </c>
      <c r="AJ2273" s="289">
        <f t="shared" si="178"/>
        <v>6</v>
      </c>
      <c r="AK2273" s="289">
        <f t="shared" si="179"/>
        <v>100.94870744576937</v>
      </c>
    </row>
    <row r="2274" spans="1:37">
      <c r="A2274" s="703" t="s">
        <v>3883</v>
      </c>
      <c r="B2274" s="703" t="s">
        <v>3743</v>
      </c>
      <c r="C2274" s="703" t="s">
        <v>390</v>
      </c>
      <c r="D2274" s="703" t="s">
        <v>334</v>
      </c>
      <c r="E2274" s="703" t="s">
        <v>334</v>
      </c>
      <c r="F2274" s="703" t="s">
        <v>335</v>
      </c>
      <c r="G2274" s="703" t="s">
        <v>3884</v>
      </c>
      <c r="H2274" s="703" t="s">
        <v>334</v>
      </c>
      <c r="I2274" s="703" t="s">
        <v>334</v>
      </c>
      <c r="J2274" s="703" t="s">
        <v>337</v>
      </c>
      <c r="K2274" s="704">
        <v>0</v>
      </c>
      <c r="L2274" s="703" t="s">
        <v>334</v>
      </c>
      <c r="M2274" s="702">
        <v>43251</v>
      </c>
      <c r="N2274" s="702">
        <v>44780</v>
      </c>
      <c r="O2274" s="703" t="s">
        <v>338</v>
      </c>
      <c r="P2274" s="20">
        <v>0</v>
      </c>
      <c r="Q2274" s="20">
        <v>0</v>
      </c>
      <c r="R2274" s="20">
        <v>684.99</v>
      </c>
      <c r="S2274" s="20">
        <v>0</v>
      </c>
      <c r="T2274" s="20">
        <v>684.99</v>
      </c>
      <c r="U2274" s="20">
        <v>0</v>
      </c>
      <c r="V2274" s="20">
        <v>0</v>
      </c>
      <c r="W2274" s="20">
        <v>-7.61</v>
      </c>
      <c r="X2274" s="20">
        <v>-7.61</v>
      </c>
      <c r="Y2274" s="20">
        <v>0</v>
      </c>
      <c r="Z2274" s="20">
        <v>0</v>
      </c>
      <c r="AA2274" s="20">
        <v>0</v>
      </c>
      <c r="AB2274" s="20">
        <v>677.38</v>
      </c>
      <c r="AC2274" t="s">
        <v>188</v>
      </c>
      <c r="AD2274" t="s">
        <v>290</v>
      </c>
      <c r="AE2274" s="702">
        <f t="shared" si="175"/>
        <v>44713</v>
      </c>
      <c r="AF2274" s="289">
        <v>672.76221488154761</v>
      </c>
      <c r="AG2274">
        <f t="shared" si="176"/>
        <v>360</v>
      </c>
      <c r="AH2274" s="289">
        <f t="shared" si="177"/>
        <v>1.8687839302265212</v>
      </c>
      <c r="AJ2274" s="289">
        <f t="shared" si="178"/>
        <v>6</v>
      </c>
      <c r="AK2274" s="289">
        <f t="shared" si="179"/>
        <v>11.212703581359127</v>
      </c>
    </row>
    <row r="2275" spans="1:37">
      <c r="A2275" s="703" t="s">
        <v>3885</v>
      </c>
      <c r="B2275" s="703" t="s">
        <v>3743</v>
      </c>
      <c r="C2275" s="703" t="s">
        <v>574</v>
      </c>
      <c r="D2275" s="703" t="s">
        <v>334</v>
      </c>
      <c r="E2275" s="703" t="s">
        <v>334</v>
      </c>
      <c r="F2275" s="703" t="s">
        <v>335</v>
      </c>
      <c r="G2275" s="703" t="s">
        <v>3886</v>
      </c>
      <c r="H2275" s="703" t="s">
        <v>334</v>
      </c>
      <c r="I2275" s="703" t="s">
        <v>334</v>
      </c>
      <c r="J2275" s="703" t="s">
        <v>577</v>
      </c>
      <c r="K2275" s="704">
        <v>0</v>
      </c>
      <c r="L2275" s="703" t="s">
        <v>334</v>
      </c>
      <c r="M2275" s="702">
        <v>43555</v>
      </c>
      <c r="N2275" s="702">
        <v>44780</v>
      </c>
      <c r="O2275" s="703" t="s">
        <v>338</v>
      </c>
      <c r="P2275" s="20">
        <v>0</v>
      </c>
      <c r="Q2275" s="20">
        <v>0</v>
      </c>
      <c r="R2275" s="20">
        <v>2119267.52</v>
      </c>
      <c r="S2275" s="20">
        <v>0</v>
      </c>
      <c r="T2275" s="20">
        <v>2119267.52</v>
      </c>
      <c r="U2275" s="20">
        <v>0</v>
      </c>
      <c r="V2275" s="20">
        <v>0</v>
      </c>
      <c r="W2275" s="20">
        <v>-23547.42</v>
      </c>
      <c r="X2275" s="20">
        <v>-23547.42</v>
      </c>
      <c r="Y2275" s="20">
        <v>0</v>
      </c>
      <c r="Z2275" s="20">
        <v>0</v>
      </c>
      <c r="AA2275" s="20">
        <v>0</v>
      </c>
      <c r="AB2275" s="20">
        <v>2095720.1</v>
      </c>
      <c r="AC2275" t="s">
        <v>578</v>
      </c>
      <c r="AD2275" t="s">
        <v>290</v>
      </c>
      <c r="AE2275" s="702">
        <f t="shared" si="175"/>
        <v>44713</v>
      </c>
      <c r="AF2275" s="289">
        <v>2081436.3869278743</v>
      </c>
      <c r="AG2275">
        <f t="shared" si="176"/>
        <v>360</v>
      </c>
      <c r="AH2275" s="289">
        <f t="shared" si="177"/>
        <v>5781.7677414663176</v>
      </c>
      <c r="AJ2275" s="289">
        <f t="shared" si="178"/>
        <v>6</v>
      </c>
      <c r="AK2275" s="289">
        <f t="shared" si="179"/>
        <v>34690.606448797902</v>
      </c>
    </row>
    <row r="2276" spans="1:37">
      <c r="A2276" s="703" t="s">
        <v>3887</v>
      </c>
      <c r="B2276" s="703" t="s">
        <v>3743</v>
      </c>
      <c r="C2276" s="703" t="s">
        <v>574</v>
      </c>
      <c r="D2276" s="703" t="s">
        <v>334</v>
      </c>
      <c r="E2276" s="703" t="s">
        <v>334</v>
      </c>
      <c r="F2276" s="703" t="s">
        <v>335</v>
      </c>
      <c r="G2276" s="703" t="s">
        <v>3888</v>
      </c>
      <c r="H2276" s="703" t="s">
        <v>334</v>
      </c>
      <c r="I2276" s="703" t="s">
        <v>334</v>
      </c>
      <c r="J2276" s="703" t="s">
        <v>577</v>
      </c>
      <c r="K2276" s="704">
        <v>0</v>
      </c>
      <c r="L2276" s="703" t="s">
        <v>334</v>
      </c>
      <c r="M2276" s="702">
        <v>43496</v>
      </c>
      <c r="N2276" s="702">
        <v>44780</v>
      </c>
      <c r="O2276" s="703" t="s">
        <v>338</v>
      </c>
      <c r="P2276" s="20">
        <v>0</v>
      </c>
      <c r="Q2276" s="20">
        <v>0</v>
      </c>
      <c r="R2276" s="20">
        <v>683558.47</v>
      </c>
      <c r="S2276" s="20">
        <v>0</v>
      </c>
      <c r="T2276" s="20">
        <v>683558.47</v>
      </c>
      <c r="U2276" s="20">
        <v>0</v>
      </c>
      <c r="V2276" s="20">
        <v>0</v>
      </c>
      <c r="W2276" s="20">
        <v>-7595.09</v>
      </c>
      <c r="X2276" s="20">
        <v>-7595.09</v>
      </c>
      <c r="Y2276" s="20">
        <v>0</v>
      </c>
      <c r="Z2276" s="20">
        <v>0</v>
      </c>
      <c r="AA2276" s="20">
        <v>0</v>
      </c>
      <c r="AB2276" s="20">
        <v>675963.38</v>
      </c>
      <c r="AC2276" t="s">
        <v>578</v>
      </c>
      <c r="AD2276" t="s">
        <v>290</v>
      </c>
      <c r="AE2276" s="702">
        <f t="shared" si="175"/>
        <v>44713</v>
      </c>
      <c r="AF2276" s="289">
        <v>671356.23918340693</v>
      </c>
      <c r="AG2276">
        <f t="shared" si="176"/>
        <v>360</v>
      </c>
      <c r="AH2276" s="289">
        <f t="shared" si="177"/>
        <v>1864.8784421761304</v>
      </c>
      <c r="AJ2276" s="289">
        <f t="shared" si="178"/>
        <v>6</v>
      </c>
      <c r="AK2276" s="289">
        <f t="shared" si="179"/>
        <v>11189.270653056783</v>
      </c>
    </row>
    <row r="2277" spans="1:37">
      <c r="A2277" s="703" t="s">
        <v>3889</v>
      </c>
      <c r="B2277" s="703" t="s">
        <v>3743</v>
      </c>
      <c r="C2277" s="703" t="s">
        <v>586</v>
      </c>
      <c r="D2277" s="703" t="s">
        <v>334</v>
      </c>
      <c r="E2277" s="703" t="s">
        <v>334</v>
      </c>
      <c r="F2277" s="703" t="s">
        <v>335</v>
      </c>
      <c r="G2277" s="703" t="s">
        <v>3890</v>
      </c>
      <c r="H2277" s="703" t="s">
        <v>334</v>
      </c>
      <c r="I2277" s="703" t="s">
        <v>334</v>
      </c>
      <c r="J2277" s="703" t="s">
        <v>337</v>
      </c>
      <c r="K2277" s="704">
        <v>0</v>
      </c>
      <c r="L2277" s="703" t="s">
        <v>334</v>
      </c>
      <c r="M2277" s="702">
        <v>43616</v>
      </c>
      <c r="N2277" s="702">
        <v>44780</v>
      </c>
      <c r="O2277" s="703" t="s">
        <v>338</v>
      </c>
      <c r="P2277" s="20">
        <v>0</v>
      </c>
      <c r="Q2277" s="20">
        <v>0</v>
      </c>
      <c r="R2277" s="20">
        <v>582434.66</v>
      </c>
      <c r="S2277" s="20">
        <v>0</v>
      </c>
      <c r="T2277" s="20">
        <v>582434.66</v>
      </c>
      <c r="U2277" s="20">
        <v>0</v>
      </c>
      <c r="V2277" s="20">
        <v>0</v>
      </c>
      <c r="W2277" s="20">
        <v>-6471.5</v>
      </c>
      <c r="X2277" s="20">
        <v>-6471.5</v>
      </c>
      <c r="Y2277" s="20">
        <v>0</v>
      </c>
      <c r="Z2277" s="20">
        <v>0</v>
      </c>
      <c r="AA2277" s="20">
        <v>0</v>
      </c>
      <c r="AB2277" s="20">
        <v>575963.16</v>
      </c>
      <c r="AC2277" t="s">
        <v>589</v>
      </c>
      <c r="AD2277" t="s">
        <v>290</v>
      </c>
      <c r="AE2277" s="702">
        <f t="shared" si="175"/>
        <v>44713</v>
      </c>
      <c r="AF2277" s="289">
        <v>572037.59454208263</v>
      </c>
      <c r="AG2277">
        <f t="shared" si="176"/>
        <v>360</v>
      </c>
      <c r="AH2277" s="289">
        <f t="shared" si="177"/>
        <v>1588.9933181724518</v>
      </c>
      <c r="AJ2277" s="289">
        <f t="shared" si="178"/>
        <v>6</v>
      </c>
      <c r="AK2277" s="289">
        <f t="shared" si="179"/>
        <v>9533.959909034711</v>
      </c>
    </row>
    <row r="2278" spans="1:37">
      <c r="A2278" s="703" t="s">
        <v>3891</v>
      </c>
      <c r="B2278" s="703" t="s">
        <v>3743</v>
      </c>
      <c r="C2278" s="703" t="s">
        <v>586</v>
      </c>
      <c r="D2278" s="703" t="s">
        <v>334</v>
      </c>
      <c r="E2278" s="703" t="s">
        <v>334</v>
      </c>
      <c r="F2278" s="703" t="s">
        <v>335</v>
      </c>
      <c r="G2278" s="703" t="s">
        <v>3892</v>
      </c>
      <c r="H2278" s="703" t="s">
        <v>334</v>
      </c>
      <c r="I2278" s="703" t="s">
        <v>334</v>
      </c>
      <c r="J2278" s="703" t="s">
        <v>337</v>
      </c>
      <c r="K2278" s="704">
        <v>0</v>
      </c>
      <c r="L2278" s="703" t="s">
        <v>334</v>
      </c>
      <c r="M2278" s="702">
        <v>44104</v>
      </c>
      <c r="N2278" s="702">
        <v>44780</v>
      </c>
      <c r="O2278" s="703" t="s">
        <v>338</v>
      </c>
      <c r="P2278" s="20">
        <v>0</v>
      </c>
      <c r="Q2278" s="20">
        <v>0</v>
      </c>
      <c r="R2278" s="20">
        <v>8454.94</v>
      </c>
      <c r="S2278" s="20">
        <v>0</v>
      </c>
      <c r="T2278" s="20">
        <v>8454.94</v>
      </c>
      <c r="U2278" s="20">
        <v>0</v>
      </c>
      <c r="V2278" s="20">
        <v>0</v>
      </c>
      <c r="W2278" s="20">
        <v>-93.94</v>
      </c>
      <c r="X2278" s="20">
        <v>-93.94</v>
      </c>
      <c r="Y2278" s="20">
        <v>0</v>
      </c>
      <c r="Z2278" s="20">
        <v>0</v>
      </c>
      <c r="AA2278" s="20">
        <v>0</v>
      </c>
      <c r="AB2278" s="20">
        <v>8361</v>
      </c>
      <c r="AC2278" t="s">
        <v>589</v>
      </c>
      <c r="AD2278" t="s">
        <v>290</v>
      </c>
      <c r="AE2278" s="702">
        <f t="shared" si="175"/>
        <v>44713</v>
      </c>
      <c r="AF2278" s="289">
        <v>8304.01051269448</v>
      </c>
      <c r="AG2278">
        <f t="shared" si="176"/>
        <v>360</v>
      </c>
      <c r="AH2278" s="289">
        <f t="shared" si="177"/>
        <v>23.066695868595779</v>
      </c>
      <c r="AJ2278" s="289">
        <f t="shared" si="178"/>
        <v>6</v>
      </c>
      <c r="AK2278" s="289">
        <f t="shared" si="179"/>
        <v>138.40017521157466</v>
      </c>
    </row>
    <row r="2279" spans="1:37">
      <c r="A2279" s="703" t="s">
        <v>3893</v>
      </c>
      <c r="B2279" s="703" t="s">
        <v>3743</v>
      </c>
      <c r="C2279" s="703" t="s">
        <v>586</v>
      </c>
      <c r="D2279" s="703" t="s">
        <v>334</v>
      </c>
      <c r="E2279" s="703" t="s">
        <v>334</v>
      </c>
      <c r="F2279" s="703" t="s">
        <v>335</v>
      </c>
      <c r="G2279" s="703" t="s">
        <v>3894</v>
      </c>
      <c r="H2279" s="703" t="s">
        <v>334</v>
      </c>
      <c r="I2279" s="703" t="s">
        <v>334</v>
      </c>
      <c r="J2279" s="703" t="s">
        <v>337</v>
      </c>
      <c r="K2279" s="704">
        <v>0</v>
      </c>
      <c r="L2279" s="703" t="s">
        <v>334</v>
      </c>
      <c r="M2279" s="702">
        <v>44530</v>
      </c>
      <c r="N2279" s="702">
        <v>44780</v>
      </c>
      <c r="O2279" s="703" t="s">
        <v>338</v>
      </c>
      <c r="P2279" s="20">
        <v>0</v>
      </c>
      <c r="Q2279" s="20">
        <v>0</v>
      </c>
      <c r="R2279" s="20">
        <v>10300</v>
      </c>
      <c r="S2279" s="20">
        <v>0</v>
      </c>
      <c r="T2279" s="20">
        <v>10300</v>
      </c>
      <c r="U2279" s="20">
        <v>0</v>
      </c>
      <c r="V2279" s="20">
        <v>0</v>
      </c>
      <c r="W2279" s="20">
        <v>-114.44</v>
      </c>
      <c r="X2279" s="20">
        <v>-114.44</v>
      </c>
      <c r="Y2279" s="20">
        <v>0</v>
      </c>
      <c r="Z2279" s="20">
        <v>0</v>
      </c>
      <c r="AA2279" s="20">
        <v>0</v>
      </c>
      <c r="AB2279" s="20">
        <v>10185.56</v>
      </c>
      <c r="AC2279" t="s">
        <v>589</v>
      </c>
      <c r="AD2279" t="s">
        <v>290</v>
      </c>
      <c r="AE2279" s="702">
        <f t="shared" si="175"/>
        <v>44713</v>
      </c>
      <c r="AF2279" s="289">
        <v>10116.134269522096</v>
      </c>
      <c r="AG2279">
        <f t="shared" si="176"/>
        <v>360</v>
      </c>
      <c r="AH2279" s="289">
        <f t="shared" si="177"/>
        <v>28.100372970894711</v>
      </c>
      <c r="AJ2279" s="289">
        <f t="shared" si="178"/>
        <v>6</v>
      </c>
      <c r="AK2279" s="289">
        <f t="shared" si="179"/>
        <v>168.60223782536826</v>
      </c>
    </row>
    <row r="2280" spans="1:37">
      <c r="A2280" s="703" t="s">
        <v>3895</v>
      </c>
      <c r="B2280" s="703" t="s">
        <v>3743</v>
      </c>
      <c r="C2280" s="703" t="s">
        <v>1124</v>
      </c>
      <c r="D2280" s="703" t="s">
        <v>334</v>
      </c>
      <c r="E2280" s="703" t="s">
        <v>334</v>
      </c>
      <c r="F2280" s="703" t="s">
        <v>335</v>
      </c>
      <c r="G2280" s="703" t="s">
        <v>3896</v>
      </c>
      <c r="H2280" s="703" t="s">
        <v>334</v>
      </c>
      <c r="I2280" s="703" t="s">
        <v>334</v>
      </c>
      <c r="J2280" s="703" t="s">
        <v>337</v>
      </c>
      <c r="K2280" s="704">
        <v>0</v>
      </c>
      <c r="L2280" s="703" t="s">
        <v>334</v>
      </c>
      <c r="M2280" s="702">
        <v>43769</v>
      </c>
      <c r="N2280" s="702">
        <v>44780</v>
      </c>
      <c r="O2280" s="703" t="s">
        <v>338</v>
      </c>
      <c r="P2280" s="20">
        <v>0</v>
      </c>
      <c r="Q2280" s="20">
        <v>0</v>
      </c>
      <c r="R2280" s="20">
        <v>3839.9</v>
      </c>
      <c r="S2280" s="20">
        <v>0</v>
      </c>
      <c r="T2280" s="20">
        <v>3839.9</v>
      </c>
      <c r="U2280" s="20">
        <v>0</v>
      </c>
      <c r="V2280" s="20">
        <v>0</v>
      </c>
      <c r="W2280" s="20">
        <v>-42.67</v>
      </c>
      <c r="X2280" s="20">
        <v>-42.67</v>
      </c>
      <c r="Y2280" s="20">
        <v>0</v>
      </c>
      <c r="Z2280" s="20">
        <v>0</v>
      </c>
      <c r="AA2280" s="20">
        <v>0</v>
      </c>
      <c r="AB2280" s="20">
        <v>3797.23</v>
      </c>
      <c r="AC2280" t="s">
        <v>1127</v>
      </c>
      <c r="AD2280" t="s">
        <v>290</v>
      </c>
      <c r="AE2280" s="702">
        <f t="shared" si="175"/>
        <v>44713</v>
      </c>
      <c r="AF2280" s="289">
        <v>3771.3537846153299</v>
      </c>
      <c r="AG2280">
        <f t="shared" si="176"/>
        <v>360</v>
      </c>
      <c r="AH2280" s="289">
        <f t="shared" si="177"/>
        <v>10.475982735042583</v>
      </c>
      <c r="AJ2280" s="289">
        <f t="shared" si="178"/>
        <v>6</v>
      </c>
      <c r="AK2280" s="289">
        <f t="shared" si="179"/>
        <v>62.855896410255497</v>
      </c>
    </row>
    <row r="2281" spans="1:37">
      <c r="A2281" s="703" t="s">
        <v>3897</v>
      </c>
      <c r="B2281" s="703" t="s">
        <v>3743</v>
      </c>
      <c r="C2281" s="703" t="s">
        <v>574</v>
      </c>
      <c r="D2281" s="703" t="s">
        <v>334</v>
      </c>
      <c r="E2281" s="703" t="s">
        <v>334</v>
      </c>
      <c r="F2281" s="703" t="s">
        <v>335</v>
      </c>
      <c r="G2281" s="703" t="s">
        <v>3898</v>
      </c>
      <c r="H2281" s="703" t="s">
        <v>334</v>
      </c>
      <c r="I2281" s="703" t="s">
        <v>334</v>
      </c>
      <c r="J2281" s="703" t="s">
        <v>577</v>
      </c>
      <c r="K2281" s="704">
        <v>0</v>
      </c>
      <c r="L2281" s="703" t="s">
        <v>334</v>
      </c>
      <c r="M2281" s="702">
        <v>43251</v>
      </c>
      <c r="N2281" s="702">
        <v>44789</v>
      </c>
      <c r="O2281" s="703" t="s">
        <v>338</v>
      </c>
      <c r="P2281" s="20">
        <v>0</v>
      </c>
      <c r="Q2281" s="20">
        <v>0</v>
      </c>
      <c r="R2281" s="20">
        <v>3537490.58</v>
      </c>
      <c r="S2281" s="20">
        <v>0</v>
      </c>
      <c r="T2281" s="20">
        <v>3537490.58</v>
      </c>
      <c r="U2281" s="20">
        <v>0</v>
      </c>
      <c r="V2281" s="20">
        <v>0</v>
      </c>
      <c r="W2281" s="20">
        <v>-39305.449999999997</v>
      </c>
      <c r="X2281" s="20">
        <v>-39305.449999999997</v>
      </c>
      <c r="Y2281" s="20">
        <v>0</v>
      </c>
      <c r="Z2281" s="20">
        <v>0</v>
      </c>
      <c r="AA2281" s="20">
        <v>0</v>
      </c>
      <c r="AB2281" s="20">
        <v>3498185.13</v>
      </c>
      <c r="AC2281" t="s">
        <v>578</v>
      </c>
      <c r="AD2281" t="s">
        <v>290</v>
      </c>
      <c r="AE2281" s="702">
        <f t="shared" si="175"/>
        <v>44713</v>
      </c>
      <c r="AF2281" s="289">
        <v>3474342.6878106408</v>
      </c>
      <c r="AG2281">
        <f t="shared" si="176"/>
        <v>360</v>
      </c>
      <c r="AH2281" s="289">
        <f t="shared" si="177"/>
        <v>9650.9519105851141</v>
      </c>
      <c r="AJ2281" s="289">
        <f t="shared" si="178"/>
        <v>6</v>
      </c>
      <c r="AK2281" s="289">
        <f t="shared" si="179"/>
        <v>57905.711463510685</v>
      </c>
    </row>
    <row r="2282" spans="1:37">
      <c r="A2282" s="703" t="s">
        <v>3899</v>
      </c>
      <c r="B2282" s="703" t="s">
        <v>3743</v>
      </c>
      <c r="C2282" s="703" t="s">
        <v>332</v>
      </c>
      <c r="D2282" s="703" t="s">
        <v>334</v>
      </c>
      <c r="E2282" s="703" t="s">
        <v>334</v>
      </c>
      <c r="F2282" s="703" t="s">
        <v>335</v>
      </c>
      <c r="G2282" s="703" t="s">
        <v>3900</v>
      </c>
      <c r="H2282" s="703" t="s">
        <v>334</v>
      </c>
      <c r="I2282" s="703" t="s">
        <v>334</v>
      </c>
      <c r="J2282" s="703" t="s">
        <v>337</v>
      </c>
      <c r="K2282" s="704">
        <v>0</v>
      </c>
      <c r="L2282" s="703" t="s">
        <v>334</v>
      </c>
      <c r="M2282" s="702">
        <v>43496</v>
      </c>
      <c r="N2282" s="702">
        <v>44790</v>
      </c>
      <c r="O2282" s="703" t="s">
        <v>338</v>
      </c>
      <c r="P2282" s="20">
        <v>0</v>
      </c>
      <c r="Q2282" s="20">
        <v>0</v>
      </c>
      <c r="R2282" s="20">
        <v>14582.58</v>
      </c>
      <c r="S2282" s="20">
        <v>0</v>
      </c>
      <c r="T2282" s="20">
        <v>14582.58</v>
      </c>
      <c r="U2282" s="20">
        <v>0</v>
      </c>
      <c r="V2282" s="20">
        <v>0</v>
      </c>
      <c r="W2282" s="20">
        <v>-162.03</v>
      </c>
      <c r="X2282" s="20">
        <v>-162.03</v>
      </c>
      <c r="Y2282" s="20">
        <v>0</v>
      </c>
      <c r="Z2282" s="20">
        <v>0</v>
      </c>
      <c r="AA2282" s="20">
        <v>0</v>
      </c>
      <c r="AB2282" s="20">
        <v>14420.55</v>
      </c>
      <c r="AC2282" t="s">
        <v>183</v>
      </c>
      <c r="AD2282" t="s">
        <v>290</v>
      </c>
      <c r="AE2282" s="702">
        <f t="shared" si="175"/>
        <v>44713</v>
      </c>
      <c r="AF2282" s="289">
        <v>14322.26575495607</v>
      </c>
      <c r="AG2282">
        <f t="shared" si="176"/>
        <v>360</v>
      </c>
      <c r="AH2282" s="289">
        <f t="shared" si="177"/>
        <v>39.784071541544641</v>
      </c>
      <c r="AJ2282" s="289">
        <f t="shared" si="178"/>
        <v>6</v>
      </c>
      <c r="AK2282" s="289">
        <f t="shared" si="179"/>
        <v>238.70442924926783</v>
      </c>
    </row>
    <row r="2283" spans="1:37">
      <c r="A2283" s="703" t="s">
        <v>3901</v>
      </c>
      <c r="B2283" s="703" t="s">
        <v>3743</v>
      </c>
      <c r="C2283" s="703" t="s">
        <v>332</v>
      </c>
      <c r="D2283" s="703" t="s">
        <v>334</v>
      </c>
      <c r="E2283" s="703" t="s">
        <v>334</v>
      </c>
      <c r="F2283" s="703" t="s">
        <v>335</v>
      </c>
      <c r="G2283" s="703" t="s">
        <v>3902</v>
      </c>
      <c r="H2283" s="703" t="s">
        <v>334</v>
      </c>
      <c r="I2283" s="703" t="s">
        <v>334</v>
      </c>
      <c r="J2283" s="703" t="s">
        <v>337</v>
      </c>
      <c r="K2283" s="704">
        <v>0</v>
      </c>
      <c r="L2283" s="703" t="s">
        <v>334</v>
      </c>
      <c r="M2283" s="702">
        <v>43496</v>
      </c>
      <c r="N2283" s="702">
        <v>44790</v>
      </c>
      <c r="O2283" s="703" t="s">
        <v>338</v>
      </c>
      <c r="P2283" s="20">
        <v>0</v>
      </c>
      <c r="Q2283" s="20">
        <v>0</v>
      </c>
      <c r="R2283" s="20">
        <v>970619.96</v>
      </c>
      <c r="S2283" s="20">
        <v>0</v>
      </c>
      <c r="T2283" s="20">
        <v>970619.96</v>
      </c>
      <c r="U2283" s="20">
        <v>0</v>
      </c>
      <c r="V2283" s="20">
        <v>0</v>
      </c>
      <c r="W2283" s="20">
        <v>-10784.67</v>
      </c>
      <c r="X2283" s="20">
        <v>-10784.67</v>
      </c>
      <c r="Y2283" s="20">
        <v>0</v>
      </c>
      <c r="Z2283" s="20">
        <v>0</v>
      </c>
      <c r="AA2283" s="20">
        <v>0</v>
      </c>
      <c r="AB2283" s="20">
        <v>959835.29</v>
      </c>
      <c r="AC2283" t="s">
        <v>183</v>
      </c>
      <c r="AD2283" t="s">
        <v>290</v>
      </c>
      <c r="AE2283" s="702">
        <f t="shared" si="175"/>
        <v>44713</v>
      </c>
      <c r="AF2283" s="289">
        <v>953293.38252797734</v>
      </c>
      <c r="AG2283">
        <f t="shared" si="176"/>
        <v>360</v>
      </c>
      <c r="AH2283" s="289">
        <f t="shared" si="177"/>
        <v>2648.037173688826</v>
      </c>
      <c r="AJ2283" s="289">
        <f t="shared" si="178"/>
        <v>6</v>
      </c>
      <c r="AK2283" s="289">
        <f t="shared" si="179"/>
        <v>15888.223042132955</v>
      </c>
    </row>
    <row r="2284" spans="1:37">
      <c r="A2284" s="703" t="s">
        <v>3903</v>
      </c>
      <c r="B2284" s="703" t="s">
        <v>3743</v>
      </c>
      <c r="C2284" s="703" t="s">
        <v>332</v>
      </c>
      <c r="D2284" s="703" t="s">
        <v>334</v>
      </c>
      <c r="E2284" s="703" t="s">
        <v>334</v>
      </c>
      <c r="F2284" s="703" t="s">
        <v>335</v>
      </c>
      <c r="G2284" s="703" t="s">
        <v>3904</v>
      </c>
      <c r="H2284" s="703" t="s">
        <v>334</v>
      </c>
      <c r="I2284" s="703" t="s">
        <v>334</v>
      </c>
      <c r="J2284" s="703" t="s">
        <v>337</v>
      </c>
      <c r="K2284" s="704">
        <v>0</v>
      </c>
      <c r="L2284" s="703" t="s">
        <v>334</v>
      </c>
      <c r="M2284" s="702">
        <v>43496</v>
      </c>
      <c r="N2284" s="702">
        <v>44790</v>
      </c>
      <c r="O2284" s="703" t="s">
        <v>338</v>
      </c>
      <c r="P2284" s="20">
        <v>0</v>
      </c>
      <c r="Q2284" s="20">
        <v>0</v>
      </c>
      <c r="R2284" s="20">
        <v>96738.6</v>
      </c>
      <c r="S2284" s="20">
        <v>0</v>
      </c>
      <c r="T2284" s="20">
        <v>96738.6</v>
      </c>
      <c r="U2284" s="20">
        <v>0</v>
      </c>
      <c r="V2284" s="20">
        <v>0</v>
      </c>
      <c r="W2284" s="20">
        <v>-1074.8699999999999</v>
      </c>
      <c r="X2284" s="20">
        <v>-1074.8699999999999</v>
      </c>
      <c r="Y2284" s="20">
        <v>0</v>
      </c>
      <c r="Z2284" s="20">
        <v>0</v>
      </c>
      <c r="AA2284" s="20">
        <v>0</v>
      </c>
      <c r="AB2284" s="20">
        <v>95663.73</v>
      </c>
      <c r="AC2284" t="s">
        <v>183</v>
      </c>
      <c r="AD2284" t="s">
        <v>290</v>
      </c>
      <c r="AE2284" s="702">
        <f t="shared" si="175"/>
        <v>44713</v>
      </c>
      <c r="AF2284" s="289">
        <v>95011.715208309746</v>
      </c>
      <c r="AG2284">
        <f t="shared" si="176"/>
        <v>360</v>
      </c>
      <c r="AH2284" s="289">
        <f t="shared" si="177"/>
        <v>263.92143113419377</v>
      </c>
      <c r="AJ2284" s="289">
        <f t="shared" si="178"/>
        <v>6</v>
      </c>
      <c r="AK2284" s="289">
        <f t="shared" si="179"/>
        <v>1583.5285868051626</v>
      </c>
    </row>
    <row r="2285" spans="1:37">
      <c r="A2285" s="703" t="s">
        <v>3905</v>
      </c>
      <c r="B2285" s="703" t="s">
        <v>3743</v>
      </c>
      <c r="C2285" s="703" t="s">
        <v>332</v>
      </c>
      <c r="D2285" s="703" t="s">
        <v>334</v>
      </c>
      <c r="E2285" s="703" t="s">
        <v>334</v>
      </c>
      <c r="F2285" s="703" t="s">
        <v>335</v>
      </c>
      <c r="G2285" s="703" t="s">
        <v>3906</v>
      </c>
      <c r="H2285" s="703" t="s">
        <v>334</v>
      </c>
      <c r="I2285" s="703" t="s">
        <v>334</v>
      </c>
      <c r="J2285" s="703" t="s">
        <v>337</v>
      </c>
      <c r="K2285" s="704">
        <v>0</v>
      </c>
      <c r="L2285" s="703" t="s">
        <v>334</v>
      </c>
      <c r="M2285" s="702">
        <v>43496</v>
      </c>
      <c r="N2285" s="702">
        <v>44790</v>
      </c>
      <c r="O2285" s="703" t="s">
        <v>338</v>
      </c>
      <c r="P2285" s="20">
        <v>0</v>
      </c>
      <c r="Q2285" s="20">
        <v>0</v>
      </c>
      <c r="R2285" s="20">
        <v>25283.95</v>
      </c>
      <c r="S2285" s="20">
        <v>0</v>
      </c>
      <c r="T2285" s="20">
        <v>25283.95</v>
      </c>
      <c r="U2285" s="20">
        <v>0</v>
      </c>
      <c r="V2285" s="20">
        <v>0</v>
      </c>
      <c r="W2285" s="20">
        <v>-280.93</v>
      </c>
      <c r="X2285" s="20">
        <v>-280.93</v>
      </c>
      <c r="Y2285" s="20">
        <v>0</v>
      </c>
      <c r="Z2285" s="20">
        <v>0</v>
      </c>
      <c r="AA2285" s="20">
        <v>0</v>
      </c>
      <c r="AB2285" s="20">
        <v>25003.02</v>
      </c>
      <c r="AC2285" t="s">
        <v>183</v>
      </c>
      <c r="AD2285" t="s">
        <v>290</v>
      </c>
      <c r="AE2285" s="702">
        <f t="shared" si="175"/>
        <v>44713</v>
      </c>
      <c r="AF2285" s="289">
        <v>24832.605151833322</v>
      </c>
      <c r="AG2285">
        <f t="shared" si="176"/>
        <v>360</v>
      </c>
      <c r="AH2285" s="289">
        <f t="shared" si="177"/>
        <v>68.979458755092566</v>
      </c>
      <c r="AJ2285" s="289">
        <f t="shared" si="178"/>
        <v>6</v>
      </c>
      <c r="AK2285" s="289">
        <f t="shared" si="179"/>
        <v>413.87675253055539</v>
      </c>
    </row>
    <row r="2286" spans="1:37">
      <c r="A2286" s="703" t="s">
        <v>3907</v>
      </c>
      <c r="B2286" s="703" t="s">
        <v>3743</v>
      </c>
      <c r="C2286" s="703" t="s">
        <v>332</v>
      </c>
      <c r="D2286" s="703" t="s">
        <v>334</v>
      </c>
      <c r="E2286" s="703" t="s">
        <v>334</v>
      </c>
      <c r="F2286" s="703" t="s">
        <v>335</v>
      </c>
      <c r="G2286" s="703" t="s">
        <v>3908</v>
      </c>
      <c r="H2286" s="703" t="s">
        <v>334</v>
      </c>
      <c r="I2286" s="703" t="s">
        <v>334</v>
      </c>
      <c r="J2286" s="703" t="s">
        <v>337</v>
      </c>
      <c r="K2286" s="704">
        <v>0</v>
      </c>
      <c r="L2286" s="703" t="s">
        <v>334</v>
      </c>
      <c r="M2286" s="702">
        <v>43496</v>
      </c>
      <c r="N2286" s="702">
        <v>44790</v>
      </c>
      <c r="O2286" s="703" t="s">
        <v>338</v>
      </c>
      <c r="P2286" s="20">
        <v>0</v>
      </c>
      <c r="Q2286" s="20">
        <v>0</v>
      </c>
      <c r="R2286" s="20">
        <v>23453</v>
      </c>
      <c r="S2286" s="20">
        <v>0</v>
      </c>
      <c r="T2286" s="20">
        <v>23453</v>
      </c>
      <c r="U2286" s="20">
        <v>0</v>
      </c>
      <c r="V2286" s="20">
        <v>0</v>
      </c>
      <c r="W2286" s="20">
        <v>-260.58999999999997</v>
      </c>
      <c r="X2286" s="20">
        <v>-260.58999999999997</v>
      </c>
      <c r="Y2286" s="20">
        <v>0</v>
      </c>
      <c r="Z2286" s="20">
        <v>0</v>
      </c>
      <c r="AA2286" s="20">
        <v>0</v>
      </c>
      <c r="AB2286" s="20">
        <v>23192.41</v>
      </c>
      <c r="AC2286" t="s">
        <v>183</v>
      </c>
      <c r="AD2286" t="s">
        <v>290</v>
      </c>
      <c r="AE2286" s="702">
        <f t="shared" si="175"/>
        <v>44713</v>
      </c>
      <c r="AF2286" s="289">
        <v>23034.339516805994</v>
      </c>
      <c r="AG2286">
        <f t="shared" si="176"/>
        <v>360</v>
      </c>
      <c r="AH2286" s="289">
        <f t="shared" si="177"/>
        <v>63.984276435572205</v>
      </c>
      <c r="AJ2286" s="289">
        <f t="shared" si="178"/>
        <v>6</v>
      </c>
      <c r="AK2286" s="289">
        <f t="shared" si="179"/>
        <v>383.90565861343322</v>
      </c>
    </row>
    <row r="2287" spans="1:37">
      <c r="A2287" s="703" t="s">
        <v>3909</v>
      </c>
      <c r="B2287" s="703" t="s">
        <v>3743</v>
      </c>
      <c r="C2287" s="703" t="s">
        <v>332</v>
      </c>
      <c r="D2287" s="703" t="s">
        <v>334</v>
      </c>
      <c r="E2287" s="703" t="s">
        <v>334</v>
      </c>
      <c r="F2287" s="703" t="s">
        <v>335</v>
      </c>
      <c r="G2287" s="703" t="s">
        <v>3910</v>
      </c>
      <c r="H2287" s="703" t="s">
        <v>334</v>
      </c>
      <c r="I2287" s="703" t="s">
        <v>334</v>
      </c>
      <c r="J2287" s="703" t="s">
        <v>337</v>
      </c>
      <c r="K2287" s="704">
        <v>0</v>
      </c>
      <c r="L2287" s="703" t="s">
        <v>334</v>
      </c>
      <c r="M2287" s="702">
        <v>44227</v>
      </c>
      <c r="N2287" s="702">
        <v>44790</v>
      </c>
      <c r="O2287" s="703" t="s">
        <v>338</v>
      </c>
      <c r="P2287" s="20">
        <v>0</v>
      </c>
      <c r="Q2287" s="20">
        <v>0</v>
      </c>
      <c r="R2287" s="20">
        <v>14115.46</v>
      </c>
      <c r="S2287" s="20">
        <v>0</v>
      </c>
      <c r="T2287" s="20">
        <v>14115.46</v>
      </c>
      <c r="U2287" s="20">
        <v>0</v>
      </c>
      <c r="V2287" s="20">
        <v>0</v>
      </c>
      <c r="W2287" s="20">
        <v>-156.84</v>
      </c>
      <c r="X2287" s="20">
        <v>-156.84</v>
      </c>
      <c r="Y2287" s="20">
        <v>0</v>
      </c>
      <c r="Z2287" s="20">
        <v>0</v>
      </c>
      <c r="AA2287" s="20">
        <v>0</v>
      </c>
      <c r="AB2287" s="20">
        <v>13958.62</v>
      </c>
      <c r="AC2287" t="s">
        <v>183</v>
      </c>
      <c r="AD2287" t="s">
        <v>290</v>
      </c>
      <c r="AE2287" s="702">
        <f t="shared" si="175"/>
        <v>44713</v>
      </c>
      <c r="AF2287" s="289">
        <v>13863.48433359887</v>
      </c>
      <c r="AG2287">
        <f t="shared" si="176"/>
        <v>360</v>
      </c>
      <c r="AH2287" s="289">
        <f t="shared" si="177"/>
        <v>38.509678704441306</v>
      </c>
      <c r="AJ2287" s="289">
        <f t="shared" si="178"/>
        <v>6</v>
      </c>
      <c r="AK2287" s="289">
        <f t="shared" si="179"/>
        <v>231.05807222664782</v>
      </c>
    </row>
    <row r="2288" spans="1:37">
      <c r="A2288" s="703" t="s">
        <v>3911</v>
      </c>
      <c r="B2288" s="703" t="s">
        <v>3743</v>
      </c>
      <c r="C2288" s="703" t="s">
        <v>332</v>
      </c>
      <c r="D2288" s="703" t="s">
        <v>334</v>
      </c>
      <c r="E2288" s="703" t="s">
        <v>334</v>
      </c>
      <c r="F2288" s="703" t="s">
        <v>335</v>
      </c>
      <c r="G2288" s="703" t="s">
        <v>3912</v>
      </c>
      <c r="H2288" s="703" t="s">
        <v>334</v>
      </c>
      <c r="I2288" s="703" t="s">
        <v>334</v>
      </c>
      <c r="J2288" s="703" t="s">
        <v>337</v>
      </c>
      <c r="K2288" s="704">
        <v>0</v>
      </c>
      <c r="L2288" s="703" t="s">
        <v>334</v>
      </c>
      <c r="M2288" s="702">
        <v>44227</v>
      </c>
      <c r="N2288" s="702">
        <v>44790</v>
      </c>
      <c r="O2288" s="703" t="s">
        <v>338</v>
      </c>
      <c r="P2288" s="20">
        <v>0</v>
      </c>
      <c r="Q2288" s="20">
        <v>0</v>
      </c>
      <c r="R2288" s="20">
        <v>432427.43</v>
      </c>
      <c r="S2288" s="20">
        <v>0</v>
      </c>
      <c r="T2288" s="20">
        <v>432427.43</v>
      </c>
      <c r="U2288" s="20">
        <v>0</v>
      </c>
      <c r="V2288" s="20">
        <v>0</v>
      </c>
      <c r="W2288" s="20">
        <v>-4804.75</v>
      </c>
      <c r="X2288" s="20">
        <v>-4804.75</v>
      </c>
      <c r="Y2288" s="20">
        <v>0</v>
      </c>
      <c r="Z2288" s="20">
        <v>0</v>
      </c>
      <c r="AA2288" s="20">
        <v>0</v>
      </c>
      <c r="AB2288" s="20">
        <v>427622.68</v>
      </c>
      <c r="AC2288" t="s">
        <v>183</v>
      </c>
      <c r="AD2288" t="s">
        <v>290</v>
      </c>
      <c r="AE2288" s="702">
        <f t="shared" si="175"/>
        <v>44713</v>
      </c>
      <c r="AF2288" s="289">
        <v>424708.14987421042</v>
      </c>
      <c r="AG2288">
        <f t="shared" si="176"/>
        <v>360</v>
      </c>
      <c r="AH2288" s="289">
        <f t="shared" si="177"/>
        <v>1179.7448607616957</v>
      </c>
      <c r="AJ2288" s="289">
        <f t="shared" si="178"/>
        <v>6</v>
      </c>
      <c r="AK2288" s="289">
        <f t="shared" si="179"/>
        <v>7078.4691645701741</v>
      </c>
    </row>
    <row r="2289" spans="1:37">
      <c r="A2289" s="703" t="s">
        <v>3913</v>
      </c>
      <c r="B2289" s="703" t="s">
        <v>3743</v>
      </c>
      <c r="C2289" s="703" t="s">
        <v>332</v>
      </c>
      <c r="D2289" s="703" t="s">
        <v>334</v>
      </c>
      <c r="E2289" s="703" t="s">
        <v>334</v>
      </c>
      <c r="F2289" s="703" t="s">
        <v>335</v>
      </c>
      <c r="G2289" s="703" t="s">
        <v>3914</v>
      </c>
      <c r="H2289" s="703" t="s">
        <v>334</v>
      </c>
      <c r="I2289" s="703" t="s">
        <v>334</v>
      </c>
      <c r="J2289" s="703" t="s">
        <v>337</v>
      </c>
      <c r="K2289" s="704">
        <v>0</v>
      </c>
      <c r="L2289" s="703" t="s">
        <v>334</v>
      </c>
      <c r="M2289" s="702">
        <v>43496</v>
      </c>
      <c r="N2289" s="702">
        <v>44790</v>
      </c>
      <c r="O2289" s="703" t="s">
        <v>338</v>
      </c>
      <c r="P2289" s="20">
        <v>0</v>
      </c>
      <c r="Q2289" s="20">
        <v>0</v>
      </c>
      <c r="R2289" s="20">
        <v>7820.92</v>
      </c>
      <c r="S2289" s="20">
        <v>0</v>
      </c>
      <c r="T2289" s="20">
        <v>7820.92</v>
      </c>
      <c r="U2289" s="20">
        <v>0</v>
      </c>
      <c r="V2289" s="20">
        <v>0</v>
      </c>
      <c r="W2289" s="20">
        <v>-86.9</v>
      </c>
      <c r="X2289" s="20">
        <v>-86.9</v>
      </c>
      <c r="Y2289" s="20">
        <v>0</v>
      </c>
      <c r="Z2289" s="20">
        <v>0</v>
      </c>
      <c r="AA2289" s="20">
        <v>0</v>
      </c>
      <c r="AB2289" s="20">
        <v>7734.02</v>
      </c>
      <c r="AC2289" t="s">
        <v>183</v>
      </c>
      <c r="AD2289" t="s">
        <v>290</v>
      </c>
      <c r="AE2289" s="702">
        <f t="shared" si="175"/>
        <v>44713</v>
      </c>
      <c r="AF2289" s="289">
        <v>7681.3084302126936</v>
      </c>
      <c r="AG2289">
        <f t="shared" si="176"/>
        <v>360</v>
      </c>
      <c r="AH2289" s="289">
        <f t="shared" si="177"/>
        <v>21.336967861701925</v>
      </c>
      <c r="AJ2289" s="289">
        <f t="shared" si="178"/>
        <v>6</v>
      </c>
      <c r="AK2289" s="289">
        <f t="shared" si="179"/>
        <v>128.02180717021156</v>
      </c>
    </row>
    <row r="2290" spans="1:37">
      <c r="A2290" s="703" t="s">
        <v>3915</v>
      </c>
      <c r="B2290" s="703" t="s">
        <v>3743</v>
      </c>
      <c r="C2290" s="703" t="s">
        <v>586</v>
      </c>
      <c r="D2290" s="703" t="s">
        <v>334</v>
      </c>
      <c r="E2290" s="703" t="s">
        <v>334</v>
      </c>
      <c r="F2290" s="703" t="s">
        <v>335</v>
      </c>
      <c r="G2290" s="703" t="s">
        <v>3916</v>
      </c>
      <c r="H2290" s="703" t="s">
        <v>334</v>
      </c>
      <c r="I2290" s="703" t="s">
        <v>334</v>
      </c>
      <c r="J2290" s="703" t="s">
        <v>337</v>
      </c>
      <c r="K2290" s="704">
        <v>0</v>
      </c>
      <c r="L2290" s="703" t="s">
        <v>334</v>
      </c>
      <c r="M2290" s="702">
        <v>44104</v>
      </c>
      <c r="N2290" s="702">
        <v>44790</v>
      </c>
      <c r="O2290" s="703" t="s">
        <v>338</v>
      </c>
      <c r="P2290" s="20">
        <v>0</v>
      </c>
      <c r="Q2290" s="20">
        <v>0</v>
      </c>
      <c r="R2290" s="20">
        <v>9600</v>
      </c>
      <c r="S2290" s="20">
        <v>0</v>
      </c>
      <c r="T2290" s="20">
        <v>9600</v>
      </c>
      <c r="U2290" s="20">
        <v>0</v>
      </c>
      <c r="V2290" s="20">
        <v>0</v>
      </c>
      <c r="W2290" s="20">
        <v>-106.67</v>
      </c>
      <c r="X2290" s="20">
        <v>-106.67</v>
      </c>
      <c r="Y2290" s="20">
        <v>0</v>
      </c>
      <c r="Z2290" s="20">
        <v>0</v>
      </c>
      <c r="AA2290" s="20">
        <v>0</v>
      </c>
      <c r="AB2290" s="20">
        <v>9493.33</v>
      </c>
      <c r="AC2290" t="s">
        <v>589</v>
      </c>
      <c r="AD2290" t="s">
        <v>290</v>
      </c>
      <c r="AE2290" s="702">
        <f t="shared" si="175"/>
        <v>44713</v>
      </c>
      <c r="AF2290" s="289">
        <v>9428.6299987778766</v>
      </c>
      <c r="AG2290">
        <f t="shared" si="176"/>
        <v>360</v>
      </c>
      <c r="AH2290" s="289">
        <f t="shared" si="177"/>
        <v>26.190638885494103</v>
      </c>
      <c r="AJ2290" s="289">
        <f t="shared" si="178"/>
        <v>6</v>
      </c>
      <c r="AK2290" s="289">
        <f t="shared" si="179"/>
        <v>157.1438333129646</v>
      </c>
    </row>
    <row r="2291" spans="1:37">
      <c r="A2291" s="703" t="s">
        <v>3917</v>
      </c>
      <c r="B2291" s="703" t="s">
        <v>3743</v>
      </c>
      <c r="C2291" s="703" t="s">
        <v>586</v>
      </c>
      <c r="D2291" s="703" t="s">
        <v>334</v>
      </c>
      <c r="E2291" s="703" t="s">
        <v>334</v>
      </c>
      <c r="F2291" s="703" t="s">
        <v>335</v>
      </c>
      <c r="G2291" s="703" t="s">
        <v>3918</v>
      </c>
      <c r="H2291" s="703" t="s">
        <v>334</v>
      </c>
      <c r="I2291" s="703" t="s">
        <v>334</v>
      </c>
      <c r="J2291" s="703" t="s">
        <v>337</v>
      </c>
      <c r="K2291" s="704">
        <v>0</v>
      </c>
      <c r="L2291" s="703" t="s">
        <v>334</v>
      </c>
      <c r="M2291" s="702">
        <v>43131</v>
      </c>
      <c r="N2291" s="702">
        <v>44791</v>
      </c>
      <c r="O2291" s="703" t="s">
        <v>338</v>
      </c>
      <c r="P2291" s="20">
        <v>0</v>
      </c>
      <c r="Q2291" s="20">
        <v>0</v>
      </c>
      <c r="R2291" s="20">
        <v>92411.42</v>
      </c>
      <c r="S2291" s="20">
        <v>0</v>
      </c>
      <c r="T2291" s="20">
        <v>92411.42</v>
      </c>
      <c r="U2291" s="20">
        <v>0</v>
      </c>
      <c r="V2291" s="20">
        <v>0</v>
      </c>
      <c r="W2291" s="20">
        <v>-1026.79</v>
      </c>
      <c r="X2291" s="20">
        <v>-1026.79</v>
      </c>
      <c r="Y2291" s="20">
        <v>0</v>
      </c>
      <c r="Z2291" s="20">
        <v>0</v>
      </c>
      <c r="AA2291" s="20">
        <v>0</v>
      </c>
      <c r="AB2291" s="20">
        <v>91384.63</v>
      </c>
      <c r="AC2291" t="s">
        <v>589</v>
      </c>
      <c r="AD2291" t="s">
        <v>290</v>
      </c>
      <c r="AE2291" s="702">
        <f t="shared" si="175"/>
        <v>44713</v>
      </c>
      <c r="AF2291" s="289">
        <v>90761.779879339767</v>
      </c>
      <c r="AG2291">
        <f t="shared" si="176"/>
        <v>360</v>
      </c>
      <c r="AH2291" s="289">
        <f t="shared" si="177"/>
        <v>252.11605522038823</v>
      </c>
      <c r="AJ2291" s="289">
        <f t="shared" si="178"/>
        <v>6</v>
      </c>
      <c r="AK2291" s="289">
        <f t="shared" si="179"/>
        <v>1512.6963313223293</v>
      </c>
    </row>
    <row r="2292" spans="1:37">
      <c r="A2292" s="703" t="s">
        <v>3919</v>
      </c>
      <c r="B2292" s="703" t="s">
        <v>3743</v>
      </c>
      <c r="C2292" s="703" t="s">
        <v>586</v>
      </c>
      <c r="D2292" s="703" t="s">
        <v>334</v>
      </c>
      <c r="E2292" s="703" t="s">
        <v>334</v>
      </c>
      <c r="F2292" s="703" t="s">
        <v>335</v>
      </c>
      <c r="G2292" s="703" t="s">
        <v>3920</v>
      </c>
      <c r="H2292" s="703" t="s">
        <v>334</v>
      </c>
      <c r="I2292" s="703" t="s">
        <v>334</v>
      </c>
      <c r="J2292" s="703" t="s">
        <v>337</v>
      </c>
      <c r="K2292" s="704">
        <v>0</v>
      </c>
      <c r="L2292" s="703" t="s">
        <v>334</v>
      </c>
      <c r="M2292" s="702">
        <v>43131</v>
      </c>
      <c r="N2292" s="702">
        <v>44791</v>
      </c>
      <c r="O2292" s="703" t="s">
        <v>338</v>
      </c>
      <c r="P2292" s="20">
        <v>0</v>
      </c>
      <c r="Q2292" s="20">
        <v>0</v>
      </c>
      <c r="R2292" s="20">
        <v>339434.14</v>
      </c>
      <c r="S2292" s="20">
        <v>0</v>
      </c>
      <c r="T2292" s="20">
        <v>339434.14</v>
      </c>
      <c r="U2292" s="20">
        <v>0</v>
      </c>
      <c r="V2292" s="20">
        <v>0</v>
      </c>
      <c r="W2292" s="20">
        <v>-3771.49</v>
      </c>
      <c r="X2292" s="20">
        <v>-3771.49</v>
      </c>
      <c r="Y2292" s="20">
        <v>0</v>
      </c>
      <c r="Z2292" s="20">
        <v>0</v>
      </c>
      <c r="AA2292" s="20">
        <v>0</v>
      </c>
      <c r="AB2292" s="20">
        <v>335662.65</v>
      </c>
      <c r="AC2292" t="s">
        <v>589</v>
      </c>
      <c r="AD2292" t="s">
        <v>290</v>
      </c>
      <c r="AE2292" s="702">
        <f t="shared" si="175"/>
        <v>44713</v>
      </c>
      <c r="AF2292" s="289">
        <v>333374.88698055933</v>
      </c>
      <c r="AG2292">
        <f t="shared" si="176"/>
        <v>360</v>
      </c>
      <c r="AH2292" s="289">
        <f t="shared" si="177"/>
        <v>926.04135272377596</v>
      </c>
      <c r="AJ2292" s="289">
        <f t="shared" si="178"/>
        <v>6</v>
      </c>
      <c r="AK2292" s="289">
        <f t="shared" si="179"/>
        <v>5556.2481163426555</v>
      </c>
    </row>
    <row r="2293" spans="1:37">
      <c r="A2293" s="703" t="s">
        <v>3921</v>
      </c>
      <c r="B2293" s="703" t="s">
        <v>3743</v>
      </c>
      <c r="C2293" s="703" t="s">
        <v>586</v>
      </c>
      <c r="D2293" s="703" t="s">
        <v>334</v>
      </c>
      <c r="E2293" s="703" t="s">
        <v>334</v>
      </c>
      <c r="F2293" s="703" t="s">
        <v>335</v>
      </c>
      <c r="G2293" s="703" t="s">
        <v>3922</v>
      </c>
      <c r="H2293" s="703" t="s">
        <v>334</v>
      </c>
      <c r="I2293" s="703" t="s">
        <v>334</v>
      </c>
      <c r="J2293" s="703" t="s">
        <v>337</v>
      </c>
      <c r="K2293" s="704">
        <v>0</v>
      </c>
      <c r="L2293" s="703" t="s">
        <v>334</v>
      </c>
      <c r="M2293" s="702">
        <v>43131</v>
      </c>
      <c r="N2293" s="702">
        <v>44791</v>
      </c>
      <c r="O2293" s="703" t="s">
        <v>338</v>
      </c>
      <c r="P2293" s="20">
        <v>0</v>
      </c>
      <c r="Q2293" s="20">
        <v>0</v>
      </c>
      <c r="R2293" s="20">
        <v>133630.01999999999</v>
      </c>
      <c r="S2293" s="20">
        <v>0</v>
      </c>
      <c r="T2293" s="20">
        <v>133630.01999999999</v>
      </c>
      <c r="U2293" s="20">
        <v>0</v>
      </c>
      <c r="V2293" s="20">
        <v>0</v>
      </c>
      <c r="W2293" s="20">
        <v>-1484.78</v>
      </c>
      <c r="X2293" s="20">
        <v>-1484.78</v>
      </c>
      <c r="Y2293" s="20">
        <v>0</v>
      </c>
      <c r="Z2293" s="20">
        <v>0</v>
      </c>
      <c r="AA2293" s="20">
        <v>0</v>
      </c>
      <c r="AB2293" s="20">
        <v>132145.24</v>
      </c>
      <c r="AC2293" t="s">
        <v>589</v>
      </c>
      <c r="AD2293" t="s">
        <v>290</v>
      </c>
      <c r="AE2293" s="702">
        <f t="shared" si="175"/>
        <v>44713</v>
      </c>
      <c r="AF2293" s="289">
        <v>131244.58492805078</v>
      </c>
      <c r="AG2293">
        <f t="shared" si="176"/>
        <v>360</v>
      </c>
      <c r="AH2293" s="289">
        <f t="shared" si="177"/>
        <v>364.56829146680775</v>
      </c>
      <c r="AJ2293" s="289">
        <f t="shared" si="178"/>
        <v>6</v>
      </c>
      <c r="AK2293" s="289">
        <f t="shared" si="179"/>
        <v>2187.4097488008465</v>
      </c>
    </row>
    <row r="2294" spans="1:37">
      <c r="A2294" s="703" t="s">
        <v>3923</v>
      </c>
      <c r="B2294" s="703" t="s">
        <v>3743</v>
      </c>
      <c r="C2294" s="703" t="s">
        <v>586</v>
      </c>
      <c r="D2294" s="703" t="s">
        <v>334</v>
      </c>
      <c r="E2294" s="703" t="s">
        <v>334</v>
      </c>
      <c r="F2294" s="703" t="s">
        <v>335</v>
      </c>
      <c r="G2294" s="703" t="s">
        <v>3924</v>
      </c>
      <c r="H2294" s="703" t="s">
        <v>334</v>
      </c>
      <c r="I2294" s="703" t="s">
        <v>334</v>
      </c>
      <c r="J2294" s="703" t="s">
        <v>337</v>
      </c>
      <c r="K2294" s="704">
        <v>0</v>
      </c>
      <c r="L2294" s="703" t="s">
        <v>334</v>
      </c>
      <c r="M2294" s="702">
        <v>43131</v>
      </c>
      <c r="N2294" s="702">
        <v>44791</v>
      </c>
      <c r="O2294" s="703" t="s">
        <v>338</v>
      </c>
      <c r="P2294" s="20">
        <v>0</v>
      </c>
      <c r="Q2294" s="20">
        <v>0</v>
      </c>
      <c r="R2294" s="20">
        <v>32658.49</v>
      </c>
      <c r="S2294" s="20">
        <v>0</v>
      </c>
      <c r="T2294" s="20">
        <v>32658.49</v>
      </c>
      <c r="U2294" s="20">
        <v>0</v>
      </c>
      <c r="V2294" s="20">
        <v>0</v>
      </c>
      <c r="W2294" s="20">
        <v>-362.87</v>
      </c>
      <c r="X2294" s="20">
        <v>-362.87</v>
      </c>
      <c r="Y2294" s="20">
        <v>0</v>
      </c>
      <c r="Z2294" s="20">
        <v>0</v>
      </c>
      <c r="AA2294" s="20">
        <v>0</v>
      </c>
      <c r="AB2294" s="20">
        <v>32295.62</v>
      </c>
      <c r="AC2294" t="s">
        <v>589</v>
      </c>
      <c r="AD2294" t="s">
        <v>290</v>
      </c>
      <c r="AE2294" s="702">
        <f t="shared" si="175"/>
        <v>44713</v>
      </c>
      <c r="AF2294" s="289">
        <v>32075.501930082013</v>
      </c>
      <c r="AG2294">
        <f t="shared" si="176"/>
        <v>360</v>
      </c>
      <c r="AH2294" s="289">
        <f t="shared" si="177"/>
        <v>89.098616472450033</v>
      </c>
      <c r="AJ2294" s="289">
        <f t="shared" si="178"/>
        <v>6</v>
      </c>
      <c r="AK2294" s="289">
        <f t="shared" si="179"/>
        <v>534.5916988347002</v>
      </c>
    </row>
    <row r="2295" spans="1:37">
      <c r="A2295" s="703" t="s">
        <v>3925</v>
      </c>
      <c r="B2295" s="703" t="s">
        <v>3743</v>
      </c>
      <c r="C2295" s="703" t="s">
        <v>586</v>
      </c>
      <c r="D2295" s="703" t="s">
        <v>334</v>
      </c>
      <c r="E2295" s="703" t="s">
        <v>334</v>
      </c>
      <c r="F2295" s="703" t="s">
        <v>335</v>
      </c>
      <c r="G2295" s="703" t="s">
        <v>3926</v>
      </c>
      <c r="H2295" s="703" t="s">
        <v>334</v>
      </c>
      <c r="I2295" s="703" t="s">
        <v>334</v>
      </c>
      <c r="J2295" s="703" t="s">
        <v>337</v>
      </c>
      <c r="K2295" s="704">
        <v>0</v>
      </c>
      <c r="L2295" s="703" t="s">
        <v>334</v>
      </c>
      <c r="M2295" s="702">
        <v>43131</v>
      </c>
      <c r="N2295" s="702">
        <v>44791</v>
      </c>
      <c r="O2295" s="703" t="s">
        <v>338</v>
      </c>
      <c r="P2295" s="20">
        <v>0</v>
      </c>
      <c r="Q2295" s="20">
        <v>0</v>
      </c>
      <c r="R2295" s="20">
        <v>50950.63</v>
      </c>
      <c r="S2295" s="20">
        <v>0</v>
      </c>
      <c r="T2295" s="20">
        <v>50950.63</v>
      </c>
      <c r="U2295" s="20">
        <v>0</v>
      </c>
      <c r="V2295" s="20">
        <v>0</v>
      </c>
      <c r="W2295" s="20">
        <v>-566.12</v>
      </c>
      <c r="X2295" s="20">
        <v>-566.12</v>
      </c>
      <c r="Y2295" s="20">
        <v>0</v>
      </c>
      <c r="Z2295" s="20">
        <v>0</v>
      </c>
      <c r="AA2295" s="20">
        <v>0</v>
      </c>
      <c r="AB2295" s="20">
        <v>50384.51</v>
      </c>
      <c r="AC2295" t="s">
        <v>589</v>
      </c>
      <c r="AD2295" t="s">
        <v>290</v>
      </c>
      <c r="AE2295" s="702">
        <f t="shared" si="175"/>
        <v>44713</v>
      </c>
      <c r="AF2295" s="289">
        <v>50041.108174440829</v>
      </c>
      <c r="AG2295">
        <f t="shared" si="176"/>
        <v>360</v>
      </c>
      <c r="AH2295" s="289">
        <f t="shared" si="177"/>
        <v>139.00307826233563</v>
      </c>
      <c r="AJ2295" s="289">
        <f t="shared" si="178"/>
        <v>6</v>
      </c>
      <c r="AK2295" s="289">
        <f t="shared" si="179"/>
        <v>834.01846957401381</v>
      </c>
    </row>
    <row r="2296" spans="1:37">
      <c r="A2296" s="703" t="s">
        <v>3927</v>
      </c>
      <c r="B2296" s="703" t="s">
        <v>3743</v>
      </c>
      <c r="C2296" s="703" t="s">
        <v>586</v>
      </c>
      <c r="D2296" s="703" t="s">
        <v>334</v>
      </c>
      <c r="E2296" s="703" t="s">
        <v>334</v>
      </c>
      <c r="F2296" s="703" t="s">
        <v>335</v>
      </c>
      <c r="G2296" s="703" t="s">
        <v>3928</v>
      </c>
      <c r="H2296" s="703" t="s">
        <v>334</v>
      </c>
      <c r="I2296" s="703" t="s">
        <v>334</v>
      </c>
      <c r="J2296" s="703" t="s">
        <v>337</v>
      </c>
      <c r="K2296" s="704">
        <v>0</v>
      </c>
      <c r="L2296" s="703" t="s">
        <v>334</v>
      </c>
      <c r="M2296" s="702">
        <v>43131</v>
      </c>
      <c r="N2296" s="702">
        <v>44791</v>
      </c>
      <c r="O2296" s="703" t="s">
        <v>338</v>
      </c>
      <c r="P2296" s="20">
        <v>0</v>
      </c>
      <c r="Q2296" s="20">
        <v>0</v>
      </c>
      <c r="R2296" s="20">
        <v>206540.55</v>
      </c>
      <c r="S2296" s="20">
        <v>0</v>
      </c>
      <c r="T2296" s="20">
        <v>206540.55</v>
      </c>
      <c r="U2296" s="20">
        <v>0</v>
      </c>
      <c r="V2296" s="20">
        <v>0</v>
      </c>
      <c r="W2296" s="20">
        <v>-2294.9</v>
      </c>
      <c r="X2296" s="20">
        <v>-2294.9</v>
      </c>
      <c r="Y2296" s="20">
        <v>0</v>
      </c>
      <c r="Z2296" s="20">
        <v>0</v>
      </c>
      <c r="AA2296" s="20">
        <v>0</v>
      </c>
      <c r="AB2296" s="20">
        <v>204245.65</v>
      </c>
      <c r="AC2296" t="s">
        <v>589</v>
      </c>
      <c r="AD2296" t="s">
        <v>290</v>
      </c>
      <c r="AE2296" s="702">
        <f t="shared" si="175"/>
        <v>44713</v>
      </c>
      <c r="AF2296" s="289">
        <v>202853.58600980017</v>
      </c>
      <c r="AG2296">
        <f t="shared" si="176"/>
        <v>360</v>
      </c>
      <c r="AH2296" s="289">
        <f t="shared" si="177"/>
        <v>563.48218336055606</v>
      </c>
      <c r="AJ2296" s="289">
        <f t="shared" si="178"/>
        <v>6</v>
      </c>
      <c r="AK2296" s="289">
        <f t="shared" si="179"/>
        <v>3380.8931001633364</v>
      </c>
    </row>
    <row r="2297" spans="1:37">
      <c r="A2297" s="703" t="s">
        <v>3929</v>
      </c>
      <c r="B2297" s="703" t="s">
        <v>3743</v>
      </c>
      <c r="C2297" s="703" t="s">
        <v>586</v>
      </c>
      <c r="D2297" s="703" t="s">
        <v>334</v>
      </c>
      <c r="E2297" s="703" t="s">
        <v>334</v>
      </c>
      <c r="F2297" s="703" t="s">
        <v>335</v>
      </c>
      <c r="G2297" s="703" t="s">
        <v>3930</v>
      </c>
      <c r="H2297" s="703" t="s">
        <v>334</v>
      </c>
      <c r="I2297" s="703" t="s">
        <v>334</v>
      </c>
      <c r="J2297" s="703" t="s">
        <v>337</v>
      </c>
      <c r="K2297" s="704">
        <v>0</v>
      </c>
      <c r="L2297" s="703" t="s">
        <v>334</v>
      </c>
      <c r="M2297" s="702">
        <v>43131</v>
      </c>
      <c r="N2297" s="702">
        <v>44791</v>
      </c>
      <c r="O2297" s="703" t="s">
        <v>338</v>
      </c>
      <c r="P2297" s="20">
        <v>0</v>
      </c>
      <c r="Q2297" s="20">
        <v>0</v>
      </c>
      <c r="R2297" s="20">
        <v>142708.70000000001</v>
      </c>
      <c r="S2297" s="20">
        <v>0</v>
      </c>
      <c r="T2297" s="20">
        <v>142708.70000000001</v>
      </c>
      <c r="U2297" s="20">
        <v>0</v>
      </c>
      <c r="V2297" s="20">
        <v>0</v>
      </c>
      <c r="W2297" s="20">
        <v>-1585.65</v>
      </c>
      <c r="X2297" s="20">
        <v>-1585.65</v>
      </c>
      <c r="Y2297" s="20">
        <v>0</v>
      </c>
      <c r="Z2297" s="20">
        <v>0</v>
      </c>
      <c r="AA2297" s="20">
        <v>0</v>
      </c>
      <c r="AB2297" s="20">
        <v>141123.04999999999</v>
      </c>
      <c r="AC2297" t="s">
        <v>589</v>
      </c>
      <c r="AD2297" t="s">
        <v>290</v>
      </c>
      <c r="AE2297" s="702">
        <f t="shared" si="175"/>
        <v>44713</v>
      </c>
      <c r="AF2297" s="289">
        <v>140161.20103193671</v>
      </c>
      <c r="AG2297">
        <f t="shared" si="176"/>
        <v>360</v>
      </c>
      <c r="AH2297" s="289">
        <f t="shared" si="177"/>
        <v>389.33666953315753</v>
      </c>
      <c r="AJ2297" s="289">
        <f t="shared" si="178"/>
        <v>6</v>
      </c>
      <c r="AK2297" s="289">
        <f t="shared" si="179"/>
        <v>2336.0200171989454</v>
      </c>
    </row>
    <row r="2298" spans="1:37">
      <c r="A2298" s="703" t="s">
        <v>3931</v>
      </c>
      <c r="B2298" s="703" t="s">
        <v>3743</v>
      </c>
      <c r="C2298" s="703" t="s">
        <v>586</v>
      </c>
      <c r="D2298" s="703" t="s">
        <v>334</v>
      </c>
      <c r="E2298" s="703" t="s">
        <v>334</v>
      </c>
      <c r="F2298" s="703" t="s">
        <v>335</v>
      </c>
      <c r="G2298" s="703" t="s">
        <v>3932</v>
      </c>
      <c r="H2298" s="703" t="s">
        <v>334</v>
      </c>
      <c r="I2298" s="703" t="s">
        <v>334</v>
      </c>
      <c r="J2298" s="703" t="s">
        <v>337</v>
      </c>
      <c r="K2298" s="704">
        <v>0</v>
      </c>
      <c r="L2298" s="703" t="s">
        <v>334</v>
      </c>
      <c r="M2298" s="702">
        <v>44043</v>
      </c>
      <c r="N2298" s="702">
        <v>44791</v>
      </c>
      <c r="O2298" s="703" t="s">
        <v>338</v>
      </c>
      <c r="P2298" s="20">
        <v>0</v>
      </c>
      <c r="Q2298" s="20">
        <v>0</v>
      </c>
      <c r="R2298" s="20">
        <v>5564.64</v>
      </c>
      <c r="S2298" s="20">
        <v>0</v>
      </c>
      <c r="T2298" s="20">
        <v>5564.64</v>
      </c>
      <c r="U2298" s="20">
        <v>0</v>
      </c>
      <c r="V2298" s="20">
        <v>0</v>
      </c>
      <c r="W2298" s="20">
        <v>-61.83</v>
      </c>
      <c r="X2298" s="20">
        <v>-61.83</v>
      </c>
      <c r="Y2298" s="20">
        <v>0</v>
      </c>
      <c r="Z2298" s="20">
        <v>0</v>
      </c>
      <c r="AA2298" s="20">
        <v>0</v>
      </c>
      <c r="AB2298" s="20">
        <v>5502.81</v>
      </c>
      <c r="AC2298" t="s">
        <v>589</v>
      </c>
      <c r="AD2298" t="s">
        <v>290</v>
      </c>
      <c r="AE2298" s="702">
        <f t="shared" si="175"/>
        <v>44713</v>
      </c>
      <c r="AF2298" s="289">
        <v>5465.305378791596</v>
      </c>
      <c r="AG2298">
        <f t="shared" si="176"/>
        <v>360</v>
      </c>
      <c r="AH2298" s="289">
        <f t="shared" si="177"/>
        <v>15.181403829976656</v>
      </c>
      <c r="AJ2298" s="289">
        <f t="shared" si="178"/>
        <v>6</v>
      </c>
      <c r="AK2298" s="289">
        <f t="shared" si="179"/>
        <v>91.088422979859928</v>
      </c>
    </row>
    <row r="2299" spans="1:37">
      <c r="A2299" s="703" t="s">
        <v>3933</v>
      </c>
      <c r="B2299" s="703" t="s">
        <v>3743</v>
      </c>
      <c r="C2299" s="703" t="s">
        <v>586</v>
      </c>
      <c r="D2299" s="703" t="s">
        <v>334</v>
      </c>
      <c r="E2299" s="703" t="s">
        <v>334</v>
      </c>
      <c r="F2299" s="703" t="s">
        <v>335</v>
      </c>
      <c r="G2299" s="703" t="s">
        <v>3934</v>
      </c>
      <c r="H2299" s="703" t="s">
        <v>334</v>
      </c>
      <c r="I2299" s="703" t="s">
        <v>334</v>
      </c>
      <c r="J2299" s="703" t="s">
        <v>337</v>
      </c>
      <c r="K2299" s="704">
        <v>0</v>
      </c>
      <c r="L2299" s="703" t="s">
        <v>334</v>
      </c>
      <c r="M2299" s="702">
        <v>44043</v>
      </c>
      <c r="N2299" s="702">
        <v>44791</v>
      </c>
      <c r="O2299" s="703" t="s">
        <v>338</v>
      </c>
      <c r="P2299" s="20">
        <v>0</v>
      </c>
      <c r="Q2299" s="20">
        <v>0</v>
      </c>
      <c r="R2299" s="20">
        <v>2351.66</v>
      </c>
      <c r="S2299" s="20">
        <v>0</v>
      </c>
      <c r="T2299" s="20">
        <v>2351.66</v>
      </c>
      <c r="U2299" s="20">
        <v>0</v>
      </c>
      <c r="V2299" s="20">
        <v>0</v>
      </c>
      <c r="W2299" s="20">
        <v>-26.13</v>
      </c>
      <c r="X2299" s="20">
        <v>-26.13</v>
      </c>
      <c r="Y2299" s="20">
        <v>0</v>
      </c>
      <c r="Z2299" s="20">
        <v>0</v>
      </c>
      <c r="AA2299" s="20">
        <v>0</v>
      </c>
      <c r="AB2299" s="20">
        <v>2325.5300000000002</v>
      </c>
      <c r="AC2299" t="s">
        <v>589</v>
      </c>
      <c r="AD2299" t="s">
        <v>290</v>
      </c>
      <c r="AE2299" s="702">
        <f t="shared" si="175"/>
        <v>44713</v>
      </c>
      <c r="AF2299" s="289">
        <v>2309.6804190547896</v>
      </c>
      <c r="AG2299">
        <f t="shared" si="176"/>
        <v>360</v>
      </c>
      <c r="AH2299" s="289">
        <f t="shared" si="177"/>
        <v>6.4157789418188598</v>
      </c>
      <c r="AJ2299" s="289">
        <f t="shared" si="178"/>
        <v>6</v>
      </c>
      <c r="AK2299" s="289">
        <f t="shared" si="179"/>
        <v>38.494673650913157</v>
      </c>
    </row>
    <row r="2300" spans="1:37">
      <c r="A2300" s="703" t="s">
        <v>3935</v>
      </c>
      <c r="B2300" s="703" t="s">
        <v>3743</v>
      </c>
      <c r="C2300" s="703" t="s">
        <v>586</v>
      </c>
      <c r="D2300" s="703" t="s">
        <v>334</v>
      </c>
      <c r="E2300" s="703" t="s">
        <v>334</v>
      </c>
      <c r="F2300" s="703" t="s">
        <v>335</v>
      </c>
      <c r="G2300" s="703" t="s">
        <v>3936</v>
      </c>
      <c r="H2300" s="703" t="s">
        <v>334</v>
      </c>
      <c r="I2300" s="703" t="s">
        <v>334</v>
      </c>
      <c r="J2300" s="703" t="s">
        <v>337</v>
      </c>
      <c r="K2300" s="704">
        <v>0</v>
      </c>
      <c r="L2300" s="703" t="s">
        <v>334</v>
      </c>
      <c r="M2300" s="702">
        <v>44377</v>
      </c>
      <c r="N2300" s="702">
        <v>44791</v>
      </c>
      <c r="O2300" s="703" t="s">
        <v>338</v>
      </c>
      <c r="P2300" s="20">
        <v>0</v>
      </c>
      <c r="Q2300" s="20">
        <v>0</v>
      </c>
      <c r="R2300" s="20">
        <v>278447.23</v>
      </c>
      <c r="S2300" s="20">
        <v>0</v>
      </c>
      <c r="T2300" s="20">
        <v>278447.23</v>
      </c>
      <c r="U2300" s="20">
        <v>0</v>
      </c>
      <c r="V2300" s="20">
        <v>0</v>
      </c>
      <c r="W2300" s="20">
        <v>-3093.86</v>
      </c>
      <c r="X2300" s="20">
        <v>-3093.86</v>
      </c>
      <c r="Y2300" s="20">
        <v>0</v>
      </c>
      <c r="Z2300" s="20">
        <v>0</v>
      </c>
      <c r="AA2300" s="20">
        <v>0</v>
      </c>
      <c r="AB2300" s="20">
        <v>275353.37</v>
      </c>
      <c r="AC2300" t="s">
        <v>589</v>
      </c>
      <c r="AD2300" t="s">
        <v>290</v>
      </c>
      <c r="AE2300" s="702">
        <f t="shared" si="175"/>
        <v>44713</v>
      </c>
      <c r="AF2300" s="289">
        <v>273476.65685985447</v>
      </c>
      <c r="AG2300">
        <f t="shared" si="176"/>
        <v>360</v>
      </c>
      <c r="AH2300" s="289">
        <f t="shared" si="177"/>
        <v>759.65738016626244</v>
      </c>
      <c r="AJ2300" s="289">
        <f t="shared" si="178"/>
        <v>6</v>
      </c>
      <c r="AK2300" s="289">
        <f t="shared" si="179"/>
        <v>4557.9442809975744</v>
      </c>
    </row>
    <row r="2301" spans="1:37">
      <c r="A2301" s="703" t="s">
        <v>2885</v>
      </c>
      <c r="B2301" s="703" t="s">
        <v>3743</v>
      </c>
      <c r="C2301" s="703" t="s">
        <v>1577</v>
      </c>
      <c r="D2301" s="703" t="s">
        <v>334</v>
      </c>
      <c r="E2301" s="703" t="s">
        <v>334</v>
      </c>
      <c r="F2301" s="703" t="s">
        <v>502</v>
      </c>
      <c r="G2301" s="703" t="s">
        <v>2886</v>
      </c>
      <c r="H2301" s="703" t="s">
        <v>334</v>
      </c>
      <c r="I2301" s="703" t="s">
        <v>334</v>
      </c>
      <c r="J2301" s="703" t="s">
        <v>1579</v>
      </c>
      <c r="K2301" s="704">
        <v>0</v>
      </c>
      <c r="L2301" s="703" t="s">
        <v>334</v>
      </c>
      <c r="M2301" s="702"/>
      <c r="N2301" s="702">
        <v>44804</v>
      </c>
      <c r="O2301" s="703" t="s">
        <v>338</v>
      </c>
      <c r="P2301" s="20">
        <v>0</v>
      </c>
      <c r="Q2301" s="20">
        <v>207067.44</v>
      </c>
      <c r="R2301" s="20">
        <v>0</v>
      </c>
      <c r="S2301" s="20">
        <v>0</v>
      </c>
      <c r="T2301" s="20">
        <v>207067.44</v>
      </c>
      <c r="U2301" s="20">
        <v>0</v>
      </c>
      <c r="V2301" s="20">
        <v>0</v>
      </c>
      <c r="W2301" s="20">
        <v>-6535.95</v>
      </c>
      <c r="X2301" s="20">
        <v>-6535.95</v>
      </c>
      <c r="Y2301" s="20">
        <v>0</v>
      </c>
      <c r="Z2301" s="20">
        <v>0</v>
      </c>
      <c r="AA2301" s="20">
        <v>0</v>
      </c>
      <c r="AB2301" s="20">
        <v>200531.49</v>
      </c>
      <c r="AC2301" t="s">
        <v>1580</v>
      </c>
      <c r="AD2301" t="s">
        <v>290</v>
      </c>
      <c r="AE2301" s="702">
        <f t="shared" si="175"/>
        <v>44713</v>
      </c>
      <c r="AF2301" s="289">
        <v>203371.07047438939</v>
      </c>
      <c r="AG2301">
        <f t="shared" si="176"/>
        <v>360</v>
      </c>
      <c r="AH2301" s="289">
        <f t="shared" si="177"/>
        <v>564.91964020663715</v>
      </c>
      <c r="AJ2301" s="289">
        <f t="shared" si="178"/>
        <v>6</v>
      </c>
      <c r="AK2301" s="289">
        <f t="shared" si="179"/>
        <v>3389.5178412398227</v>
      </c>
    </row>
    <row r="2302" spans="1:37">
      <c r="A2302" s="703" t="s">
        <v>3937</v>
      </c>
      <c r="B2302" s="703" t="s">
        <v>3743</v>
      </c>
      <c r="C2302" s="703" t="s">
        <v>332</v>
      </c>
      <c r="D2302" s="703" t="s">
        <v>334</v>
      </c>
      <c r="E2302" s="703" t="s">
        <v>334</v>
      </c>
      <c r="F2302" s="703" t="s">
        <v>335</v>
      </c>
      <c r="G2302" s="703" t="s">
        <v>3938</v>
      </c>
      <c r="H2302" s="703" t="s">
        <v>334</v>
      </c>
      <c r="I2302" s="703" t="s">
        <v>334</v>
      </c>
      <c r="J2302" s="703" t="s">
        <v>337</v>
      </c>
      <c r="K2302" s="704">
        <v>0</v>
      </c>
      <c r="L2302" s="703" t="s">
        <v>334</v>
      </c>
      <c r="M2302" s="702">
        <v>43496</v>
      </c>
      <c r="N2302" s="702">
        <v>44825</v>
      </c>
      <c r="O2302" s="703" t="s">
        <v>338</v>
      </c>
      <c r="P2302" s="20">
        <v>0</v>
      </c>
      <c r="Q2302" s="20">
        <v>0</v>
      </c>
      <c r="R2302" s="20">
        <v>25886.400000000001</v>
      </c>
      <c r="S2302" s="20">
        <v>0</v>
      </c>
      <c r="T2302" s="20">
        <v>25886.400000000001</v>
      </c>
      <c r="U2302" s="20">
        <v>0</v>
      </c>
      <c r="V2302" s="20">
        <v>0</v>
      </c>
      <c r="W2302" s="20">
        <v>-215.72</v>
      </c>
      <c r="X2302" s="20">
        <v>-215.72</v>
      </c>
      <c r="Y2302" s="20">
        <v>0</v>
      </c>
      <c r="Z2302" s="20">
        <v>0</v>
      </c>
      <c r="AA2302" s="20">
        <v>0</v>
      </c>
      <c r="AB2302" s="20">
        <v>25670.68</v>
      </c>
      <c r="AC2302" t="s">
        <v>183</v>
      </c>
      <c r="AD2302" t="s">
        <v>290</v>
      </c>
      <c r="AE2302" s="702">
        <f t="shared" si="175"/>
        <v>44713</v>
      </c>
      <c r="AF2302" s="289">
        <v>25424.300791704543</v>
      </c>
      <c r="AG2302">
        <f t="shared" si="176"/>
        <v>360</v>
      </c>
      <c r="AH2302" s="289">
        <f t="shared" si="177"/>
        <v>70.623057754734845</v>
      </c>
      <c r="AJ2302" s="289">
        <f t="shared" si="178"/>
        <v>6</v>
      </c>
      <c r="AK2302" s="289">
        <f t="shared" si="179"/>
        <v>423.73834652840907</v>
      </c>
    </row>
    <row r="2303" spans="1:37">
      <c r="A2303" s="703" t="s">
        <v>3939</v>
      </c>
      <c r="B2303" s="703" t="s">
        <v>3743</v>
      </c>
      <c r="C2303" s="703" t="s">
        <v>332</v>
      </c>
      <c r="D2303" s="703" t="s">
        <v>334</v>
      </c>
      <c r="E2303" s="703" t="s">
        <v>334</v>
      </c>
      <c r="F2303" s="703" t="s">
        <v>335</v>
      </c>
      <c r="G2303" s="703" t="s">
        <v>3940</v>
      </c>
      <c r="H2303" s="703" t="s">
        <v>334</v>
      </c>
      <c r="I2303" s="703" t="s">
        <v>334</v>
      </c>
      <c r="J2303" s="703" t="s">
        <v>337</v>
      </c>
      <c r="K2303" s="704">
        <v>0</v>
      </c>
      <c r="L2303" s="703" t="s">
        <v>334</v>
      </c>
      <c r="M2303" s="702">
        <v>43496</v>
      </c>
      <c r="N2303" s="702">
        <v>44825</v>
      </c>
      <c r="O2303" s="703" t="s">
        <v>338</v>
      </c>
      <c r="P2303" s="20">
        <v>0</v>
      </c>
      <c r="Q2303" s="20">
        <v>0</v>
      </c>
      <c r="R2303" s="20">
        <v>32214.44</v>
      </c>
      <c r="S2303" s="20">
        <v>0</v>
      </c>
      <c r="T2303" s="20">
        <v>32214.44</v>
      </c>
      <c r="U2303" s="20">
        <v>0</v>
      </c>
      <c r="V2303" s="20">
        <v>0</v>
      </c>
      <c r="W2303" s="20">
        <v>-268.45</v>
      </c>
      <c r="X2303" s="20">
        <v>-268.45</v>
      </c>
      <c r="Y2303" s="20">
        <v>0</v>
      </c>
      <c r="Z2303" s="20">
        <v>0</v>
      </c>
      <c r="AA2303" s="20">
        <v>0</v>
      </c>
      <c r="AB2303" s="20">
        <v>31945.99</v>
      </c>
      <c r="AC2303" t="s">
        <v>183</v>
      </c>
      <c r="AD2303" t="s">
        <v>290</v>
      </c>
      <c r="AE2303" s="702">
        <f t="shared" si="175"/>
        <v>44713</v>
      </c>
      <c r="AF2303" s="289">
        <v>31639.378685190619</v>
      </c>
      <c r="AG2303">
        <f t="shared" si="176"/>
        <v>360</v>
      </c>
      <c r="AH2303" s="289">
        <f t="shared" si="177"/>
        <v>87.887163014418391</v>
      </c>
      <c r="AJ2303" s="289">
        <f t="shared" si="178"/>
        <v>6</v>
      </c>
      <c r="AK2303" s="289">
        <f t="shared" si="179"/>
        <v>527.32297808651037</v>
      </c>
    </row>
    <row r="2304" spans="1:37">
      <c r="A2304" s="703" t="s">
        <v>3941</v>
      </c>
      <c r="B2304" s="703" t="s">
        <v>3743</v>
      </c>
      <c r="C2304" s="703" t="s">
        <v>332</v>
      </c>
      <c r="D2304" s="703" t="s">
        <v>334</v>
      </c>
      <c r="E2304" s="703" t="s">
        <v>334</v>
      </c>
      <c r="F2304" s="703" t="s">
        <v>335</v>
      </c>
      <c r="G2304" s="703" t="s">
        <v>3942</v>
      </c>
      <c r="H2304" s="703" t="s">
        <v>334</v>
      </c>
      <c r="I2304" s="703" t="s">
        <v>334</v>
      </c>
      <c r="J2304" s="703" t="s">
        <v>337</v>
      </c>
      <c r="K2304" s="704">
        <v>0</v>
      </c>
      <c r="L2304" s="703" t="s">
        <v>334</v>
      </c>
      <c r="M2304" s="702">
        <v>39478</v>
      </c>
      <c r="N2304" s="702">
        <v>44825</v>
      </c>
      <c r="O2304" s="703" t="s">
        <v>338</v>
      </c>
      <c r="P2304" s="20">
        <v>0</v>
      </c>
      <c r="Q2304" s="20">
        <v>0</v>
      </c>
      <c r="R2304" s="20">
        <v>2592.58</v>
      </c>
      <c r="S2304" s="20">
        <v>0</v>
      </c>
      <c r="T2304" s="20">
        <v>2592.58</v>
      </c>
      <c r="U2304" s="20">
        <v>0</v>
      </c>
      <c r="V2304" s="20">
        <v>0</v>
      </c>
      <c r="W2304" s="20">
        <v>-21.6</v>
      </c>
      <c r="X2304" s="20">
        <v>-21.6</v>
      </c>
      <c r="Y2304" s="20">
        <v>0</v>
      </c>
      <c r="Z2304" s="20">
        <v>0</v>
      </c>
      <c r="AA2304" s="20">
        <v>0</v>
      </c>
      <c r="AB2304" s="20">
        <v>2570.98</v>
      </c>
      <c r="AC2304" t="s">
        <v>183</v>
      </c>
      <c r="AD2304" t="s">
        <v>290</v>
      </c>
      <c r="AE2304" s="702">
        <f t="shared" si="175"/>
        <v>44713</v>
      </c>
      <c r="AF2304" s="289">
        <v>2546.2997460657857</v>
      </c>
      <c r="AG2304">
        <f t="shared" si="176"/>
        <v>360</v>
      </c>
      <c r="AH2304" s="289">
        <f t="shared" si="177"/>
        <v>7.0730548501827384</v>
      </c>
      <c r="AJ2304" s="289">
        <f t="shared" si="178"/>
        <v>6</v>
      </c>
      <c r="AK2304" s="289">
        <f t="shared" si="179"/>
        <v>42.438329101096429</v>
      </c>
    </row>
    <row r="2305" spans="1:37">
      <c r="A2305" s="703" t="s">
        <v>3943</v>
      </c>
      <c r="B2305" s="703" t="s">
        <v>3743</v>
      </c>
      <c r="C2305" s="703" t="s">
        <v>332</v>
      </c>
      <c r="D2305" s="703" t="s">
        <v>334</v>
      </c>
      <c r="E2305" s="703" t="s">
        <v>334</v>
      </c>
      <c r="F2305" s="703" t="s">
        <v>335</v>
      </c>
      <c r="G2305" s="703" t="s">
        <v>3944</v>
      </c>
      <c r="H2305" s="703" t="s">
        <v>334</v>
      </c>
      <c r="I2305" s="703" t="s">
        <v>334</v>
      </c>
      <c r="J2305" s="703" t="s">
        <v>337</v>
      </c>
      <c r="K2305" s="704">
        <v>0</v>
      </c>
      <c r="L2305" s="703" t="s">
        <v>334</v>
      </c>
      <c r="M2305" s="702">
        <v>39478</v>
      </c>
      <c r="N2305" s="702">
        <v>44825</v>
      </c>
      <c r="O2305" s="703" t="s">
        <v>338</v>
      </c>
      <c r="P2305" s="20">
        <v>0</v>
      </c>
      <c r="Q2305" s="20">
        <v>0</v>
      </c>
      <c r="R2305" s="20">
        <v>60950.98</v>
      </c>
      <c r="S2305" s="20">
        <v>0</v>
      </c>
      <c r="T2305" s="20">
        <v>60950.98</v>
      </c>
      <c r="U2305" s="20">
        <v>0</v>
      </c>
      <c r="V2305" s="20">
        <v>0</v>
      </c>
      <c r="W2305" s="20">
        <v>-507.92</v>
      </c>
      <c r="X2305" s="20">
        <v>-507.92</v>
      </c>
      <c r="Y2305" s="20">
        <v>0</v>
      </c>
      <c r="Z2305" s="20">
        <v>0</v>
      </c>
      <c r="AA2305" s="20">
        <v>0</v>
      </c>
      <c r="AB2305" s="20">
        <v>60443.06</v>
      </c>
      <c r="AC2305" t="s">
        <v>183</v>
      </c>
      <c r="AD2305" t="s">
        <v>290</v>
      </c>
      <c r="AE2305" s="702">
        <f t="shared" si="175"/>
        <v>44713</v>
      </c>
      <c r="AF2305" s="289">
        <v>59862.941508636497</v>
      </c>
      <c r="AG2305">
        <f t="shared" si="176"/>
        <v>360</v>
      </c>
      <c r="AH2305" s="289">
        <f t="shared" si="177"/>
        <v>166.28594863510139</v>
      </c>
      <c r="AJ2305" s="289">
        <f t="shared" si="178"/>
        <v>6</v>
      </c>
      <c r="AK2305" s="289">
        <f t="shared" si="179"/>
        <v>997.7156918106084</v>
      </c>
    </row>
    <row r="2306" spans="1:37">
      <c r="A2306" s="703" t="s">
        <v>3945</v>
      </c>
      <c r="B2306" s="703" t="s">
        <v>3743</v>
      </c>
      <c r="C2306" s="703" t="s">
        <v>332</v>
      </c>
      <c r="D2306" s="703" t="s">
        <v>334</v>
      </c>
      <c r="E2306" s="703" t="s">
        <v>334</v>
      </c>
      <c r="F2306" s="703" t="s">
        <v>335</v>
      </c>
      <c r="G2306" s="703" t="s">
        <v>3946</v>
      </c>
      <c r="H2306" s="703" t="s">
        <v>334</v>
      </c>
      <c r="I2306" s="703" t="s">
        <v>334</v>
      </c>
      <c r="J2306" s="703" t="s">
        <v>337</v>
      </c>
      <c r="K2306" s="704">
        <v>0</v>
      </c>
      <c r="L2306" s="703" t="s">
        <v>334</v>
      </c>
      <c r="M2306" s="702">
        <v>39478</v>
      </c>
      <c r="N2306" s="702">
        <v>44825</v>
      </c>
      <c r="O2306" s="703" t="s">
        <v>338</v>
      </c>
      <c r="P2306" s="20">
        <v>0</v>
      </c>
      <c r="Q2306" s="20">
        <v>0</v>
      </c>
      <c r="R2306" s="20">
        <v>535</v>
      </c>
      <c r="S2306" s="20">
        <v>0</v>
      </c>
      <c r="T2306" s="20">
        <v>535</v>
      </c>
      <c r="U2306" s="20">
        <v>0</v>
      </c>
      <c r="V2306" s="20">
        <v>0</v>
      </c>
      <c r="W2306" s="20">
        <v>-4.46</v>
      </c>
      <c r="X2306" s="20">
        <v>-4.46</v>
      </c>
      <c r="Y2306" s="20">
        <v>0</v>
      </c>
      <c r="Z2306" s="20">
        <v>0</v>
      </c>
      <c r="AA2306" s="20">
        <v>0</v>
      </c>
      <c r="AB2306" s="20">
        <v>530.54</v>
      </c>
      <c r="AC2306" t="s">
        <v>183</v>
      </c>
      <c r="AD2306" t="s">
        <v>290</v>
      </c>
      <c r="AE2306" s="702">
        <f t="shared" si="175"/>
        <v>44713</v>
      </c>
      <c r="AF2306" s="289">
        <v>525.44969264022541</v>
      </c>
      <c r="AG2306">
        <f t="shared" si="176"/>
        <v>360</v>
      </c>
      <c r="AH2306" s="289">
        <f t="shared" si="177"/>
        <v>1.4595824795561816</v>
      </c>
      <c r="AJ2306" s="289">
        <f t="shared" si="178"/>
        <v>6</v>
      </c>
      <c r="AK2306" s="289">
        <f t="shared" si="179"/>
        <v>8.7574948773370895</v>
      </c>
    </row>
    <row r="2307" spans="1:37">
      <c r="A2307" s="703" t="s">
        <v>3947</v>
      </c>
      <c r="B2307" s="703" t="s">
        <v>3743</v>
      </c>
      <c r="C2307" s="703" t="s">
        <v>332</v>
      </c>
      <c r="D2307" s="703" t="s">
        <v>334</v>
      </c>
      <c r="E2307" s="703" t="s">
        <v>334</v>
      </c>
      <c r="F2307" s="703" t="s">
        <v>335</v>
      </c>
      <c r="G2307" s="703" t="s">
        <v>3948</v>
      </c>
      <c r="H2307" s="703" t="s">
        <v>334</v>
      </c>
      <c r="I2307" s="703" t="s">
        <v>334</v>
      </c>
      <c r="J2307" s="703" t="s">
        <v>337</v>
      </c>
      <c r="K2307" s="704">
        <v>0</v>
      </c>
      <c r="L2307" s="703" t="s">
        <v>334</v>
      </c>
      <c r="M2307" s="702">
        <v>39478</v>
      </c>
      <c r="N2307" s="702">
        <v>44825</v>
      </c>
      <c r="O2307" s="703" t="s">
        <v>338</v>
      </c>
      <c r="P2307" s="20">
        <v>0</v>
      </c>
      <c r="Q2307" s="20">
        <v>0</v>
      </c>
      <c r="R2307" s="20">
        <v>61844.71</v>
      </c>
      <c r="S2307" s="20">
        <v>0</v>
      </c>
      <c r="T2307" s="20">
        <v>61844.71</v>
      </c>
      <c r="U2307" s="20">
        <v>0</v>
      </c>
      <c r="V2307" s="20">
        <v>0</v>
      </c>
      <c r="W2307" s="20">
        <v>-515.37</v>
      </c>
      <c r="X2307" s="20">
        <v>-515.37</v>
      </c>
      <c r="Y2307" s="20">
        <v>0</v>
      </c>
      <c r="Z2307" s="20">
        <v>0</v>
      </c>
      <c r="AA2307" s="20">
        <v>0</v>
      </c>
      <c r="AB2307" s="20">
        <v>61329.34</v>
      </c>
      <c r="AC2307" t="s">
        <v>183</v>
      </c>
      <c r="AD2307" t="s">
        <v>290</v>
      </c>
      <c r="AE2307" s="702">
        <f t="shared" si="175"/>
        <v>44713</v>
      </c>
      <c r="AF2307" s="289">
        <v>60740.717497053964</v>
      </c>
      <c r="AG2307">
        <f t="shared" si="176"/>
        <v>360</v>
      </c>
      <c r="AH2307" s="289">
        <f t="shared" si="177"/>
        <v>168.72421526959434</v>
      </c>
      <c r="AJ2307" s="289">
        <f t="shared" si="178"/>
        <v>6</v>
      </c>
      <c r="AK2307" s="289">
        <f t="shared" si="179"/>
        <v>1012.3452916175661</v>
      </c>
    </row>
    <row r="2308" spans="1:37">
      <c r="A2308" s="703" t="s">
        <v>3949</v>
      </c>
      <c r="B2308" s="703" t="s">
        <v>3743</v>
      </c>
      <c r="C2308" s="703" t="s">
        <v>332</v>
      </c>
      <c r="D2308" s="703" t="s">
        <v>334</v>
      </c>
      <c r="E2308" s="703" t="s">
        <v>334</v>
      </c>
      <c r="F2308" s="703" t="s">
        <v>335</v>
      </c>
      <c r="G2308" s="703" t="s">
        <v>3950</v>
      </c>
      <c r="H2308" s="703" t="s">
        <v>334</v>
      </c>
      <c r="I2308" s="703" t="s">
        <v>334</v>
      </c>
      <c r="J2308" s="703" t="s">
        <v>337</v>
      </c>
      <c r="K2308" s="704">
        <v>0</v>
      </c>
      <c r="L2308" s="703" t="s">
        <v>334</v>
      </c>
      <c r="M2308" s="702">
        <v>39478</v>
      </c>
      <c r="N2308" s="702">
        <v>44825</v>
      </c>
      <c r="O2308" s="703" t="s">
        <v>338</v>
      </c>
      <c r="P2308" s="20">
        <v>0</v>
      </c>
      <c r="Q2308" s="20">
        <v>0</v>
      </c>
      <c r="R2308" s="20">
        <v>2</v>
      </c>
      <c r="S2308" s="20">
        <v>0</v>
      </c>
      <c r="T2308" s="20">
        <v>2</v>
      </c>
      <c r="U2308" s="20">
        <v>0</v>
      </c>
      <c r="V2308" s="20">
        <v>0</v>
      </c>
      <c r="W2308" s="20">
        <v>-0.02</v>
      </c>
      <c r="X2308" s="20">
        <v>-0.02</v>
      </c>
      <c r="Y2308" s="20">
        <v>0</v>
      </c>
      <c r="Z2308" s="20">
        <v>0</v>
      </c>
      <c r="AA2308" s="20">
        <v>0</v>
      </c>
      <c r="AB2308" s="20">
        <v>1.98</v>
      </c>
      <c r="AC2308" t="s">
        <v>183</v>
      </c>
      <c r="AD2308" t="s">
        <v>290</v>
      </c>
      <c r="AE2308" s="702">
        <f t="shared" si="175"/>
        <v>44713</v>
      </c>
      <c r="AF2308" s="289">
        <v>1.9642979164120575</v>
      </c>
      <c r="AG2308">
        <f t="shared" si="176"/>
        <v>360</v>
      </c>
      <c r="AH2308" s="289">
        <f t="shared" si="177"/>
        <v>5.4563831011446044E-3</v>
      </c>
      <c r="AJ2308" s="289">
        <f t="shared" si="178"/>
        <v>6</v>
      </c>
      <c r="AK2308" s="289">
        <f t="shared" si="179"/>
        <v>3.2738298606867625E-2</v>
      </c>
    </row>
    <row r="2309" spans="1:37">
      <c r="A2309" s="703" t="s">
        <v>3951</v>
      </c>
      <c r="B2309" s="703" t="s">
        <v>3743</v>
      </c>
      <c r="C2309" s="703" t="s">
        <v>332</v>
      </c>
      <c r="D2309" s="703" t="s">
        <v>334</v>
      </c>
      <c r="E2309" s="703" t="s">
        <v>334</v>
      </c>
      <c r="F2309" s="703" t="s">
        <v>335</v>
      </c>
      <c r="G2309" s="703" t="s">
        <v>3952</v>
      </c>
      <c r="H2309" s="703" t="s">
        <v>334</v>
      </c>
      <c r="I2309" s="703" t="s">
        <v>334</v>
      </c>
      <c r="J2309" s="703" t="s">
        <v>337</v>
      </c>
      <c r="K2309" s="704">
        <v>0</v>
      </c>
      <c r="L2309" s="703" t="s">
        <v>334</v>
      </c>
      <c r="M2309" s="702">
        <v>39478</v>
      </c>
      <c r="N2309" s="702">
        <v>44825</v>
      </c>
      <c r="O2309" s="703" t="s">
        <v>338</v>
      </c>
      <c r="P2309" s="20">
        <v>0</v>
      </c>
      <c r="Q2309" s="20">
        <v>0</v>
      </c>
      <c r="R2309" s="20">
        <v>75461.89</v>
      </c>
      <c r="S2309" s="20">
        <v>0</v>
      </c>
      <c r="T2309" s="20">
        <v>75461.89</v>
      </c>
      <c r="U2309" s="20">
        <v>0</v>
      </c>
      <c r="V2309" s="20">
        <v>0</v>
      </c>
      <c r="W2309" s="20">
        <v>-628.85</v>
      </c>
      <c r="X2309" s="20">
        <v>-628.85</v>
      </c>
      <c r="Y2309" s="20">
        <v>0</v>
      </c>
      <c r="Z2309" s="20">
        <v>0</v>
      </c>
      <c r="AA2309" s="20">
        <v>0</v>
      </c>
      <c r="AB2309" s="20">
        <v>74833.039999999994</v>
      </c>
      <c r="AC2309" t="s">
        <v>183</v>
      </c>
      <c r="AD2309" t="s">
        <v>290</v>
      </c>
      <c r="AE2309" s="702">
        <f t="shared" si="175"/>
        <v>44713</v>
      </c>
      <c r="AF2309" s="289">
        <v>74114.816647757936</v>
      </c>
      <c r="AG2309">
        <f t="shared" si="176"/>
        <v>360</v>
      </c>
      <c r="AH2309" s="289">
        <f t="shared" si="177"/>
        <v>205.8744906882165</v>
      </c>
      <c r="AJ2309" s="289">
        <f t="shared" si="178"/>
        <v>6</v>
      </c>
      <c r="AK2309" s="289">
        <f t="shared" si="179"/>
        <v>1235.246944129299</v>
      </c>
    </row>
    <row r="2310" spans="1:37">
      <c r="A2310" s="703" t="s">
        <v>3953</v>
      </c>
      <c r="B2310" s="703" t="s">
        <v>3743</v>
      </c>
      <c r="C2310" s="703" t="s">
        <v>332</v>
      </c>
      <c r="D2310" s="703" t="s">
        <v>334</v>
      </c>
      <c r="E2310" s="703" t="s">
        <v>334</v>
      </c>
      <c r="F2310" s="703" t="s">
        <v>335</v>
      </c>
      <c r="G2310" s="703" t="s">
        <v>3954</v>
      </c>
      <c r="H2310" s="703" t="s">
        <v>334</v>
      </c>
      <c r="I2310" s="703" t="s">
        <v>334</v>
      </c>
      <c r="J2310" s="703" t="s">
        <v>337</v>
      </c>
      <c r="K2310" s="704">
        <v>0</v>
      </c>
      <c r="L2310" s="703" t="s">
        <v>334</v>
      </c>
      <c r="M2310" s="702">
        <v>42886</v>
      </c>
      <c r="N2310" s="702">
        <v>44825</v>
      </c>
      <c r="O2310" s="703" t="s">
        <v>338</v>
      </c>
      <c r="P2310" s="20">
        <v>0</v>
      </c>
      <c r="Q2310" s="20">
        <v>0</v>
      </c>
      <c r="R2310" s="20">
        <v>4555.87</v>
      </c>
      <c r="S2310" s="20">
        <v>0</v>
      </c>
      <c r="T2310" s="20">
        <v>4555.87</v>
      </c>
      <c r="U2310" s="20">
        <v>0</v>
      </c>
      <c r="V2310" s="20">
        <v>0</v>
      </c>
      <c r="W2310" s="20">
        <v>-37.97</v>
      </c>
      <c r="X2310" s="20">
        <v>-37.97</v>
      </c>
      <c r="Y2310" s="20">
        <v>0</v>
      </c>
      <c r="Z2310" s="20">
        <v>0</v>
      </c>
      <c r="AA2310" s="20">
        <v>0</v>
      </c>
      <c r="AB2310" s="20">
        <v>4517.8999999999996</v>
      </c>
      <c r="AC2310" t="s">
        <v>183</v>
      </c>
      <c r="AD2310" t="s">
        <v>290</v>
      </c>
      <c r="AE2310" s="702">
        <f t="shared" si="175"/>
        <v>44713</v>
      </c>
      <c r="AF2310" s="289">
        <v>4474.5429742221004</v>
      </c>
      <c r="AG2310">
        <f t="shared" si="176"/>
        <v>360</v>
      </c>
      <c r="AH2310" s="289">
        <f t="shared" si="177"/>
        <v>12.429286039505834</v>
      </c>
      <c r="AJ2310" s="289">
        <f t="shared" si="178"/>
        <v>6</v>
      </c>
      <c r="AK2310" s="289">
        <f t="shared" si="179"/>
        <v>74.57571623703501</v>
      </c>
    </row>
    <row r="2311" spans="1:37">
      <c r="A2311" s="703" t="s">
        <v>3955</v>
      </c>
      <c r="B2311" s="703" t="s">
        <v>3743</v>
      </c>
      <c r="C2311" s="703" t="s">
        <v>332</v>
      </c>
      <c r="D2311" s="703" t="s">
        <v>334</v>
      </c>
      <c r="E2311" s="703" t="s">
        <v>334</v>
      </c>
      <c r="F2311" s="703" t="s">
        <v>335</v>
      </c>
      <c r="G2311" s="703" t="s">
        <v>3956</v>
      </c>
      <c r="H2311" s="703" t="s">
        <v>334</v>
      </c>
      <c r="I2311" s="703" t="s">
        <v>334</v>
      </c>
      <c r="J2311" s="703" t="s">
        <v>337</v>
      </c>
      <c r="K2311" s="704">
        <v>0</v>
      </c>
      <c r="L2311" s="703" t="s">
        <v>334</v>
      </c>
      <c r="M2311" s="702">
        <v>42886</v>
      </c>
      <c r="N2311" s="702">
        <v>44825</v>
      </c>
      <c r="O2311" s="703" t="s">
        <v>338</v>
      </c>
      <c r="P2311" s="20">
        <v>0</v>
      </c>
      <c r="Q2311" s="20">
        <v>0</v>
      </c>
      <c r="R2311" s="20">
        <v>743.97</v>
      </c>
      <c r="S2311" s="20">
        <v>0</v>
      </c>
      <c r="T2311" s="20">
        <v>743.97</v>
      </c>
      <c r="U2311" s="20">
        <v>0</v>
      </c>
      <c r="V2311" s="20">
        <v>0</v>
      </c>
      <c r="W2311" s="20">
        <v>-6.2</v>
      </c>
      <c r="X2311" s="20">
        <v>-6.2</v>
      </c>
      <c r="Y2311" s="20">
        <v>0</v>
      </c>
      <c r="Z2311" s="20">
        <v>0</v>
      </c>
      <c r="AA2311" s="20">
        <v>0</v>
      </c>
      <c r="AB2311" s="20">
        <v>737.77</v>
      </c>
      <c r="AC2311" t="s">
        <v>183</v>
      </c>
      <c r="AD2311" t="s">
        <v>290</v>
      </c>
      <c r="AE2311" s="702">
        <f t="shared" ref="AE2311:AE2374" si="180">IF(N2311&gt;=$AG$5,DATE(YEAR(N2311),6,1),DATE(YEAR(N2311),6,1))</f>
        <v>44713</v>
      </c>
      <c r="AF2311" s="289">
        <v>730.68936043653923</v>
      </c>
      <c r="AG2311">
        <f t="shared" ref="AG2311:AG2374" si="181">+IF(AD2311="intangível",20*12,IF(AD2311="Diferido",120,IF(AD2311="Não vinculados",0,IF(AE2311&lt;=$AG$5,F2311*12,360))))</f>
        <v>360</v>
      </c>
      <c r="AH2311" s="289">
        <f t="shared" ref="AH2311:AH2374" si="182">IF(AG2311=0,0,AF2311/AG2311)</f>
        <v>2.0296926678792757</v>
      </c>
      <c r="AJ2311" s="289">
        <f t="shared" ref="AJ2311:AJ2374" si="183">+IF(AND(YEAR(AE2311)&gt;=2018,YEAR(AE2311)&lt;=2022),IF(DATEDIF(AE2311,$AK$4,"m")&gt;=AG2311,AG2311,DATEDIF(AE2311,$AK$4,"m")),0)</f>
        <v>6</v>
      </c>
      <c r="AK2311" s="289">
        <f t="shared" ref="AK2311:AK2374" si="184">IF(AD2311="Imobilizado",AJ2311*AH2311,0)</f>
        <v>12.178156007275653</v>
      </c>
    </row>
    <row r="2312" spans="1:37">
      <c r="A2312" s="703" t="s">
        <v>3957</v>
      </c>
      <c r="B2312" s="703" t="s">
        <v>3743</v>
      </c>
      <c r="C2312" s="703" t="s">
        <v>332</v>
      </c>
      <c r="D2312" s="703" t="s">
        <v>334</v>
      </c>
      <c r="E2312" s="703" t="s">
        <v>334</v>
      </c>
      <c r="F2312" s="703" t="s">
        <v>335</v>
      </c>
      <c r="G2312" s="703" t="s">
        <v>3958</v>
      </c>
      <c r="H2312" s="703" t="s">
        <v>334</v>
      </c>
      <c r="I2312" s="703" t="s">
        <v>334</v>
      </c>
      <c r="J2312" s="703" t="s">
        <v>337</v>
      </c>
      <c r="K2312" s="704">
        <v>0</v>
      </c>
      <c r="L2312" s="703" t="s">
        <v>334</v>
      </c>
      <c r="M2312" s="702">
        <v>42886</v>
      </c>
      <c r="N2312" s="702">
        <v>44825</v>
      </c>
      <c r="O2312" s="703" t="s">
        <v>338</v>
      </c>
      <c r="P2312" s="20">
        <v>0</v>
      </c>
      <c r="Q2312" s="20">
        <v>0</v>
      </c>
      <c r="R2312" s="20">
        <v>10</v>
      </c>
      <c r="S2312" s="20">
        <v>0</v>
      </c>
      <c r="T2312" s="20">
        <v>10</v>
      </c>
      <c r="U2312" s="20">
        <v>0</v>
      </c>
      <c r="V2312" s="20">
        <v>0</v>
      </c>
      <c r="W2312" s="20">
        <v>-0.08</v>
      </c>
      <c r="X2312" s="20">
        <v>-0.08</v>
      </c>
      <c r="Y2312" s="20">
        <v>0</v>
      </c>
      <c r="Z2312" s="20">
        <v>0</v>
      </c>
      <c r="AA2312" s="20">
        <v>0</v>
      </c>
      <c r="AB2312" s="20">
        <v>9.92</v>
      </c>
      <c r="AC2312" t="s">
        <v>183</v>
      </c>
      <c r="AD2312" t="s">
        <v>290</v>
      </c>
      <c r="AE2312" s="702">
        <f t="shared" si="180"/>
        <v>44713</v>
      </c>
      <c r="AF2312" s="289">
        <v>9.8214895820602877</v>
      </c>
      <c r="AG2312">
        <f t="shared" si="181"/>
        <v>360</v>
      </c>
      <c r="AH2312" s="289">
        <f t="shared" si="182"/>
        <v>2.7281915505723023E-2</v>
      </c>
      <c r="AJ2312" s="289">
        <f t="shared" si="183"/>
        <v>6</v>
      </c>
      <c r="AK2312" s="289">
        <f t="shared" si="184"/>
        <v>0.16369149303433814</v>
      </c>
    </row>
    <row r="2313" spans="1:37">
      <c r="A2313" s="703" t="s">
        <v>3959</v>
      </c>
      <c r="B2313" s="703" t="s">
        <v>3743</v>
      </c>
      <c r="C2313" s="703" t="s">
        <v>332</v>
      </c>
      <c r="D2313" s="703" t="s">
        <v>334</v>
      </c>
      <c r="E2313" s="703" t="s">
        <v>334</v>
      </c>
      <c r="F2313" s="703" t="s">
        <v>335</v>
      </c>
      <c r="G2313" s="703" t="s">
        <v>3960</v>
      </c>
      <c r="H2313" s="703" t="s">
        <v>334</v>
      </c>
      <c r="I2313" s="703" t="s">
        <v>334</v>
      </c>
      <c r="J2313" s="703" t="s">
        <v>337</v>
      </c>
      <c r="K2313" s="704">
        <v>0</v>
      </c>
      <c r="L2313" s="703" t="s">
        <v>334</v>
      </c>
      <c r="M2313" s="702">
        <v>42886</v>
      </c>
      <c r="N2313" s="702">
        <v>44825</v>
      </c>
      <c r="O2313" s="703" t="s">
        <v>338</v>
      </c>
      <c r="P2313" s="20">
        <v>0</v>
      </c>
      <c r="Q2313" s="20">
        <v>0</v>
      </c>
      <c r="R2313" s="20">
        <v>62</v>
      </c>
      <c r="S2313" s="20">
        <v>0</v>
      </c>
      <c r="T2313" s="20">
        <v>62</v>
      </c>
      <c r="U2313" s="20">
        <v>0</v>
      </c>
      <c r="V2313" s="20">
        <v>0</v>
      </c>
      <c r="W2313" s="20">
        <v>-0.52</v>
      </c>
      <c r="X2313" s="20">
        <v>-0.52</v>
      </c>
      <c r="Y2313" s="20">
        <v>0</v>
      </c>
      <c r="Z2313" s="20">
        <v>0</v>
      </c>
      <c r="AA2313" s="20">
        <v>0</v>
      </c>
      <c r="AB2313" s="20">
        <v>61.48</v>
      </c>
      <c r="AC2313" t="s">
        <v>183</v>
      </c>
      <c r="AD2313" t="s">
        <v>290</v>
      </c>
      <c r="AE2313" s="702">
        <f t="shared" si="180"/>
        <v>44713</v>
      </c>
      <c r="AF2313" s="289">
        <v>60.893235408773791</v>
      </c>
      <c r="AG2313">
        <f t="shared" si="181"/>
        <v>360</v>
      </c>
      <c r="AH2313" s="289">
        <f t="shared" si="182"/>
        <v>0.16914787613548274</v>
      </c>
      <c r="AJ2313" s="289">
        <f t="shared" si="183"/>
        <v>6</v>
      </c>
      <c r="AK2313" s="289">
        <f t="shared" si="184"/>
        <v>1.0148872568128964</v>
      </c>
    </row>
    <row r="2314" spans="1:37">
      <c r="A2314" s="703" t="s">
        <v>3961</v>
      </c>
      <c r="B2314" s="703" t="s">
        <v>3743</v>
      </c>
      <c r="C2314" s="703" t="s">
        <v>332</v>
      </c>
      <c r="D2314" s="703" t="s">
        <v>334</v>
      </c>
      <c r="E2314" s="703" t="s">
        <v>334</v>
      </c>
      <c r="F2314" s="703" t="s">
        <v>335</v>
      </c>
      <c r="G2314" s="703" t="s">
        <v>3962</v>
      </c>
      <c r="H2314" s="703" t="s">
        <v>334</v>
      </c>
      <c r="I2314" s="703" t="s">
        <v>334</v>
      </c>
      <c r="J2314" s="703" t="s">
        <v>337</v>
      </c>
      <c r="K2314" s="704">
        <v>0</v>
      </c>
      <c r="L2314" s="703" t="s">
        <v>334</v>
      </c>
      <c r="M2314" s="702">
        <v>42886</v>
      </c>
      <c r="N2314" s="702">
        <v>44825</v>
      </c>
      <c r="O2314" s="703" t="s">
        <v>338</v>
      </c>
      <c r="P2314" s="20">
        <v>0</v>
      </c>
      <c r="Q2314" s="20">
        <v>0</v>
      </c>
      <c r="R2314" s="20">
        <v>63</v>
      </c>
      <c r="S2314" s="20">
        <v>0</v>
      </c>
      <c r="T2314" s="20">
        <v>63</v>
      </c>
      <c r="U2314" s="20">
        <v>0</v>
      </c>
      <c r="V2314" s="20">
        <v>0</v>
      </c>
      <c r="W2314" s="20">
        <v>-0.53</v>
      </c>
      <c r="X2314" s="20">
        <v>-0.53</v>
      </c>
      <c r="Y2314" s="20">
        <v>0</v>
      </c>
      <c r="Z2314" s="20">
        <v>0</v>
      </c>
      <c r="AA2314" s="20">
        <v>0</v>
      </c>
      <c r="AB2314" s="20">
        <v>62.47</v>
      </c>
      <c r="AC2314" t="s">
        <v>183</v>
      </c>
      <c r="AD2314" t="s">
        <v>290</v>
      </c>
      <c r="AE2314" s="702">
        <f t="shared" si="180"/>
        <v>44713</v>
      </c>
      <c r="AF2314" s="289">
        <v>61.875384366979816</v>
      </c>
      <c r="AG2314">
        <f t="shared" si="181"/>
        <v>360</v>
      </c>
      <c r="AH2314" s="289">
        <f t="shared" si="182"/>
        <v>0.17187606768605504</v>
      </c>
      <c r="AJ2314" s="289">
        <f t="shared" si="183"/>
        <v>6</v>
      </c>
      <c r="AK2314" s="289">
        <f t="shared" si="184"/>
        <v>1.0312564061163303</v>
      </c>
    </row>
    <row r="2315" spans="1:37">
      <c r="A2315" s="703" t="s">
        <v>3963</v>
      </c>
      <c r="B2315" s="703" t="s">
        <v>3743</v>
      </c>
      <c r="C2315" s="703" t="s">
        <v>332</v>
      </c>
      <c r="D2315" s="703" t="s">
        <v>334</v>
      </c>
      <c r="E2315" s="703" t="s">
        <v>334</v>
      </c>
      <c r="F2315" s="703" t="s">
        <v>335</v>
      </c>
      <c r="G2315" s="703" t="s">
        <v>3964</v>
      </c>
      <c r="H2315" s="703" t="s">
        <v>334</v>
      </c>
      <c r="I2315" s="703" t="s">
        <v>334</v>
      </c>
      <c r="J2315" s="703" t="s">
        <v>337</v>
      </c>
      <c r="K2315" s="704">
        <v>0</v>
      </c>
      <c r="L2315" s="703" t="s">
        <v>334</v>
      </c>
      <c r="M2315" s="702">
        <v>42886</v>
      </c>
      <c r="N2315" s="702">
        <v>44825</v>
      </c>
      <c r="O2315" s="703" t="s">
        <v>338</v>
      </c>
      <c r="P2315" s="20">
        <v>0</v>
      </c>
      <c r="Q2315" s="20">
        <v>0</v>
      </c>
      <c r="R2315" s="20">
        <v>2840.68</v>
      </c>
      <c r="S2315" s="20">
        <v>0</v>
      </c>
      <c r="T2315" s="20">
        <v>2840.68</v>
      </c>
      <c r="U2315" s="20">
        <v>0</v>
      </c>
      <c r="V2315" s="20">
        <v>0</v>
      </c>
      <c r="W2315" s="20">
        <v>-23.67</v>
      </c>
      <c r="X2315" s="20">
        <v>-23.67</v>
      </c>
      <c r="Y2315" s="20">
        <v>0</v>
      </c>
      <c r="Z2315" s="20">
        <v>0</v>
      </c>
      <c r="AA2315" s="20">
        <v>0</v>
      </c>
      <c r="AB2315" s="20">
        <v>2817.01</v>
      </c>
      <c r="AC2315" t="s">
        <v>183</v>
      </c>
      <c r="AD2315" t="s">
        <v>290</v>
      </c>
      <c r="AE2315" s="702">
        <f t="shared" si="180"/>
        <v>44713</v>
      </c>
      <c r="AF2315" s="289">
        <v>2789.9709025967018</v>
      </c>
      <c r="AG2315">
        <f t="shared" si="181"/>
        <v>360</v>
      </c>
      <c r="AH2315" s="289">
        <f t="shared" si="182"/>
        <v>7.7499191738797268</v>
      </c>
      <c r="AJ2315" s="289">
        <f t="shared" si="183"/>
        <v>6</v>
      </c>
      <c r="AK2315" s="289">
        <f t="shared" si="184"/>
        <v>46.499515043278365</v>
      </c>
    </row>
    <row r="2316" spans="1:37">
      <c r="A2316" s="703" t="s">
        <v>3965</v>
      </c>
      <c r="B2316" s="703" t="s">
        <v>3743</v>
      </c>
      <c r="C2316" s="703" t="s">
        <v>332</v>
      </c>
      <c r="D2316" s="703" t="s">
        <v>334</v>
      </c>
      <c r="E2316" s="703" t="s">
        <v>334</v>
      </c>
      <c r="F2316" s="703" t="s">
        <v>335</v>
      </c>
      <c r="G2316" s="703" t="s">
        <v>3966</v>
      </c>
      <c r="H2316" s="703" t="s">
        <v>334</v>
      </c>
      <c r="I2316" s="703" t="s">
        <v>334</v>
      </c>
      <c r="J2316" s="703" t="s">
        <v>337</v>
      </c>
      <c r="K2316" s="704">
        <v>0</v>
      </c>
      <c r="L2316" s="703" t="s">
        <v>334</v>
      </c>
      <c r="M2316" s="702">
        <v>42886</v>
      </c>
      <c r="N2316" s="702">
        <v>44825</v>
      </c>
      <c r="O2316" s="703" t="s">
        <v>338</v>
      </c>
      <c r="P2316" s="20">
        <v>0</v>
      </c>
      <c r="Q2316" s="20">
        <v>0</v>
      </c>
      <c r="R2316" s="20">
        <v>26853.13</v>
      </c>
      <c r="S2316" s="20">
        <v>0</v>
      </c>
      <c r="T2316" s="20">
        <v>26853.13</v>
      </c>
      <c r="U2316" s="20">
        <v>0</v>
      </c>
      <c r="V2316" s="20">
        <v>0</v>
      </c>
      <c r="W2316" s="20">
        <v>-223.78</v>
      </c>
      <c r="X2316" s="20">
        <v>-223.78</v>
      </c>
      <c r="Y2316" s="20">
        <v>0</v>
      </c>
      <c r="Z2316" s="20">
        <v>0</v>
      </c>
      <c r="AA2316" s="20">
        <v>0</v>
      </c>
      <c r="AB2316" s="20">
        <v>26629.35</v>
      </c>
      <c r="AC2316" t="s">
        <v>183</v>
      </c>
      <c r="AD2316" t="s">
        <v>290</v>
      </c>
      <c r="AE2316" s="702">
        <f t="shared" si="180"/>
        <v>44713</v>
      </c>
      <c r="AF2316" s="289">
        <v>26373.773654071058</v>
      </c>
      <c r="AG2316">
        <f t="shared" si="181"/>
        <v>360</v>
      </c>
      <c r="AH2316" s="289">
        <f t="shared" si="182"/>
        <v>73.260482372419602</v>
      </c>
      <c r="AJ2316" s="289">
        <f t="shared" si="183"/>
        <v>6</v>
      </c>
      <c r="AK2316" s="289">
        <f t="shared" si="184"/>
        <v>439.56289423451761</v>
      </c>
    </row>
    <row r="2317" spans="1:37">
      <c r="A2317" s="703" t="s">
        <v>3967</v>
      </c>
      <c r="B2317" s="703" t="s">
        <v>3743</v>
      </c>
      <c r="C2317" s="703" t="s">
        <v>332</v>
      </c>
      <c r="D2317" s="703" t="s">
        <v>334</v>
      </c>
      <c r="E2317" s="703" t="s">
        <v>334</v>
      </c>
      <c r="F2317" s="703" t="s">
        <v>335</v>
      </c>
      <c r="G2317" s="703" t="s">
        <v>3968</v>
      </c>
      <c r="H2317" s="703" t="s">
        <v>334</v>
      </c>
      <c r="I2317" s="703" t="s">
        <v>334</v>
      </c>
      <c r="J2317" s="703" t="s">
        <v>337</v>
      </c>
      <c r="K2317" s="704">
        <v>0</v>
      </c>
      <c r="L2317" s="703" t="s">
        <v>334</v>
      </c>
      <c r="M2317" s="702">
        <v>42886</v>
      </c>
      <c r="N2317" s="702">
        <v>44825</v>
      </c>
      <c r="O2317" s="703" t="s">
        <v>338</v>
      </c>
      <c r="P2317" s="20">
        <v>0</v>
      </c>
      <c r="Q2317" s="20">
        <v>0</v>
      </c>
      <c r="R2317" s="20">
        <v>4472.82</v>
      </c>
      <c r="S2317" s="20">
        <v>0</v>
      </c>
      <c r="T2317" s="20">
        <v>4472.82</v>
      </c>
      <c r="U2317" s="20">
        <v>0</v>
      </c>
      <c r="V2317" s="20">
        <v>0</v>
      </c>
      <c r="W2317" s="20">
        <v>-37.270000000000003</v>
      </c>
      <c r="X2317" s="20">
        <v>-37.270000000000003</v>
      </c>
      <c r="Y2317" s="20">
        <v>0</v>
      </c>
      <c r="Z2317" s="20">
        <v>0</v>
      </c>
      <c r="AA2317" s="20">
        <v>0</v>
      </c>
      <c r="AB2317" s="20">
        <v>4435.55</v>
      </c>
      <c r="AC2317" t="s">
        <v>183</v>
      </c>
      <c r="AD2317" t="s">
        <v>290</v>
      </c>
      <c r="AE2317" s="702">
        <f t="shared" si="180"/>
        <v>44713</v>
      </c>
      <c r="AF2317" s="289">
        <v>4392.9755032430894</v>
      </c>
      <c r="AG2317">
        <f t="shared" si="181"/>
        <v>360</v>
      </c>
      <c r="AH2317" s="289">
        <f t="shared" si="182"/>
        <v>12.202709731230804</v>
      </c>
      <c r="AJ2317" s="289">
        <f t="shared" si="183"/>
        <v>6</v>
      </c>
      <c r="AK2317" s="289">
        <f t="shared" si="184"/>
        <v>73.216258387384826</v>
      </c>
    </row>
    <row r="2318" spans="1:37">
      <c r="A2318" s="703" t="s">
        <v>3969</v>
      </c>
      <c r="B2318" s="703" t="s">
        <v>3743</v>
      </c>
      <c r="C2318" s="703" t="s">
        <v>332</v>
      </c>
      <c r="D2318" s="703" t="s">
        <v>334</v>
      </c>
      <c r="E2318" s="703" t="s">
        <v>334</v>
      </c>
      <c r="F2318" s="703" t="s">
        <v>335</v>
      </c>
      <c r="G2318" s="703" t="s">
        <v>3970</v>
      </c>
      <c r="H2318" s="703" t="s">
        <v>334</v>
      </c>
      <c r="I2318" s="703" t="s">
        <v>334</v>
      </c>
      <c r="J2318" s="703" t="s">
        <v>337</v>
      </c>
      <c r="K2318" s="704">
        <v>0</v>
      </c>
      <c r="L2318" s="703" t="s">
        <v>334</v>
      </c>
      <c r="M2318" s="702">
        <v>42886</v>
      </c>
      <c r="N2318" s="702">
        <v>44825</v>
      </c>
      <c r="O2318" s="703" t="s">
        <v>338</v>
      </c>
      <c r="P2318" s="20">
        <v>0</v>
      </c>
      <c r="Q2318" s="20">
        <v>0</v>
      </c>
      <c r="R2318" s="20">
        <v>6374.45</v>
      </c>
      <c r="S2318" s="20">
        <v>0</v>
      </c>
      <c r="T2318" s="20">
        <v>6374.45</v>
      </c>
      <c r="U2318" s="20">
        <v>0</v>
      </c>
      <c r="V2318" s="20">
        <v>0</v>
      </c>
      <c r="W2318" s="20">
        <v>-53.12</v>
      </c>
      <c r="X2318" s="20">
        <v>-53.12</v>
      </c>
      <c r="Y2318" s="20">
        <v>0</v>
      </c>
      <c r="Z2318" s="20">
        <v>0</v>
      </c>
      <c r="AA2318" s="20">
        <v>0</v>
      </c>
      <c r="AB2318" s="20">
        <v>6321.33</v>
      </c>
      <c r="AC2318" t="s">
        <v>183</v>
      </c>
      <c r="AD2318" t="s">
        <v>290</v>
      </c>
      <c r="AE2318" s="702">
        <f t="shared" si="180"/>
        <v>44713</v>
      </c>
      <c r="AF2318" s="289">
        <v>6260.65942663642</v>
      </c>
      <c r="AG2318">
        <f t="shared" si="181"/>
        <v>360</v>
      </c>
      <c r="AH2318" s="289">
        <f t="shared" si="182"/>
        <v>17.390720629545612</v>
      </c>
      <c r="AJ2318" s="289">
        <f t="shared" si="183"/>
        <v>6</v>
      </c>
      <c r="AK2318" s="289">
        <f t="shared" si="184"/>
        <v>104.34432377727367</v>
      </c>
    </row>
    <row r="2319" spans="1:37">
      <c r="A2319" s="703" t="s">
        <v>3971</v>
      </c>
      <c r="B2319" s="703" t="s">
        <v>3743</v>
      </c>
      <c r="C2319" s="703" t="s">
        <v>332</v>
      </c>
      <c r="D2319" s="703" t="s">
        <v>334</v>
      </c>
      <c r="E2319" s="703" t="s">
        <v>334</v>
      </c>
      <c r="F2319" s="703" t="s">
        <v>335</v>
      </c>
      <c r="G2319" s="703" t="s">
        <v>3972</v>
      </c>
      <c r="H2319" s="703" t="s">
        <v>334</v>
      </c>
      <c r="I2319" s="703" t="s">
        <v>334</v>
      </c>
      <c r="J2319" s="703" t="s">
        <v>337</v>
      </c>
      <c r="K2319" s="704">
        <v>0</v>
      </c>
      <c r="L2319" s="703" t="s">
        <v>334</v>
      </c>
      <c r="M2319" s="702">
        <v>42886</v>
      </c>
      <c r="N2319" s="702">
        <v>44825</v>
      </c>
      <c r="O2319" s="703" t="s">
        <v>338</v>
      </c>
      <c r="P2319" s="20">
        <v>0</v>
      </c>
      <c r="Q2319" s="20">
        <v>0</v>
      </c>
      <c r="R2319" s="20">
        <v>10</v>
      </c>
      <c r="S2319" s="20">
        <v>0</v>
      </c>
      <c r="T2319" s="20">
        <v>10</v>
      </c>
      <c r="U2319" s="20">
        <v>0</v>
      </c>
      <c r="V2319" s="20">
        <v>0</v>
      </c>
      <c r="W2319" s="20">
        <v>-0.08</v>
      </c>
      <c r="X2319" s="20">
        <v>-0.08</v>
      </c>
      <c r="Y2319" s="20">
        <v>0</v>
      </c>
      <c r="Z2319" s="20">
        <v>0</v>
      </c>
      <c r="AA2319" s="20">
        <v>0</v>
      </c>
      <c r="AB2319" s="20">
        <v>9.92</v>
      </c>
      <c r="AC2319" t="s">
        <v>183</v>
      </c>
      <c r="AD2319" t="s">
        <v>290</v>
      </c>
      <c r="AE2319" s="702">
        <f t="shared" si="180"/>
        <v>44713</v>
      </c>
      <c r="AF2319" s="289">
        <v>9.8214895820602877</v>
      </c>
      <c r="AG2319">
        <f t="shared" si="181"/>
        <v>360</v>
      </c>
      <c r="AH2319" s="289">
        <f t="shared" si="182"/>
        <v>2.7281915505723023E-2</v>
      </c>
      <c r="AJ2319" s="289">
        <f t="shared" si="183"/>
        <v>6</v>
      </c>
      <c r="AK2319" s="289">
        <f t="shared" si="184"/>
        <v>0.16369149303433814</v>
      </c>
    </row>
    <row r="2320" spans="1:37">
      <c r="A2320" s="703" t="s">
        <v>3973</v>
      </c>
      <c r="B2320" s="703" t="s">
        <v>3743</v>
      </c>
      <c r="C2320" s="703" t="s">
        <v>332</v>
      </c>
      <c r="D2320" s="703" t="s">
        <v>334</v>
      </c>
      <c r="E2320" s="703" t="s">
        <v>334</v>
      </c>
      <c r="F2320" s="703" t="s">
        <v>335</v>
      </c>
      <c r="G2320" s="703" t="s">
        <v>3974</v>
      </c>
      <c r="H2320" s="703" t="s">
        <v>334</v>
      </c>
      <c r="I2320" s="703" t="s">
        <v>334</v>
      </c>
      <c r="J2320" s="703" t="s">
        <v>337</v>
      </c>
      <c r="K2320" s="704">
        <v>0</v>
      </c>
      <c r="L2320" s="703" t="s">
        <v>334</v>
      </c>
      <c r="M2320" s="702">
        <v>43496</v>
      </c>
      <c r="N2320" s="702">
        <v>44825</v>
      </c>
      <c r="O2320" s="703" t="s">
        <v>338</v>
      </c>
      <c r="P2320" s="20">
        <v>0</v>
      </c>
      <c r="Q2320" s="20">
        <v>0</v>
      </c>
      <c r="R2320" s="20">
        <v>7342.7</v>
      </c>
      <c r="S2320" s="20">
        <v>0</v>
      </c>
      <c r="T2320" s="20">
        <v>7342.7</v>
      </c>
      <c r="U2320" s="20">
        <v>0</v>
      </c>
      <c r="V2320" s="20">
        <v>0</v>
      </c>
      <c r="W2320" s="20">
        <v>-61.19</v>
      </c>
      <c r="X2320" s="20">
        <v>-61.19</v>
      </c>
      <c r="Y2320" s="20">
        <v>0</v>
      </c>
      <c r="Z2320" s="20">
        <v>0</v>
      </c>
      <c r="AA2320" s="20">
        <v>0</v>
      </c>
      <c r="AB2320" s="20">
        <v>7281.51</v>
      </c>
      <c r="AC2320" t="s">
        <v>183</v>
      </c>
      <c r="AD2320" t="s">
        <v>290</v>
      </c>
      <c r="AE2320" s="702">
        <f t="shared" si="180"/>
        <v>44713</v>
      </c>
      <c r="AF2320" s="289">
        <v>7211.6251554194068</v>
      </c>
      <c r="AG2320">
        <f t="shared" si="181"/>
        <v>360</v>
      </c>
      <c r="AH2320" s="289">
        <f t="shared" si="182"/>
        <v>20.032292098387241</v>
      </c>
      <c r="AJ2320" s="289">
        <f t="shared" si="183"/>
        <v>6</v>
      </c>
      <c r="AK2320" s="289">
        <f t="shared" si="184"/>
        <v>120.19375259032344</v>
      </c>
    </row>
    <row r="2321" spans="1:37">
      <c r="A2321" s="703" t="s">
        <v>3975</v>
      </c>
      <c r="B2321" s="703" t="s">
        <v>3743</v>
      </c>
      <c r="C2321" s="703" t="s">
        <v>332</v>
      </c>
      <c r="D2321" s="703" t="s">
        <v>334</v>
      </c>
      <c r="E2321" s="703" t="s">
        <v>334</v>
      </c>
      <c r="F2321" s="703" t="s">
        <v>335</v>
      </c>
      <c r="G2321" s="703" t="s">
        <v>3976</v>
      </c>
      <c r="H2321" s="703" t="s">
        <v>334</v>
      </c>
      <c r="I2321" s="703" t="s">
        <v>334</v>
      </c>
      <c r="J2321" s="703" t="s">
        <v>337</v>
      </c>
      <c r="K2321" s="704">
        <v>0</v>
      </c>
      <c r="L2321" s="703" t="s">
        <v>334</v>
      </c>
      <c r="M2321" s="702">
        <v>43708</v>
      </c>
      <c r="N2321" s="702">
        <v>44825</v>
      </c>
      <c r="O2321" s="703" t="s">
        <v>338</v>
      </c>
      <c r="P2321" s="20">
        <v>0</v>
      </c>
      <c r="Q2321" s="20">
        <v>0</v>
      </c>
      <c r="R2321" s="20">
        <v>15480.16</v>
      </c>
      <c r="S2321" s="20">
        <v>0</v>
      </c>
      <c r="T2321" s="20">
        <v>15480.16</v>
      </c>
      <c r="U2321" s="20">
        <v>0</v>
      </c>
      <c r="V2321" s="20">
        <v>0</v>
      </c>
      <c r="W2321" s="20">
        <v>-129</v>
      </c>
      <c r="X2321" s="20">
        <v>-129</v>
      </c>
      <c r="Y2321" s="20">
        <v>0</v>
      </c>
      <c r="Z2321" s="20">
        <v>0</v>
      </c>
      <c r="AA2321" s="20">
        <v>0</v>
      </c>
      <c r="AB2321" s="20">
        <v>15351.16</v>
      </c>
      <c r="AC2321" t="s">
        <v>183</v>
      </c>
      <c r="AD2321" t="s">
        <v>290</v>
      </c>
      <c r="AE2321" s="702">
        <f t="shared" si="180"/>
        <v>44713</v>
      </c>
      <c r="AF2321" s="289">
        <v>15203.82301686264</v>
      </c>
      <c r="AG2321">
        <f t="shared" si="181"/>
        <v>360</v>
      </c>
      <c r="AH2321" s="289">
        <f t="shared" si="182"/>
        <v>42.232841713507334</v>
      </c>
      <c r="AJ2321" s="289">
        <f t="shared" si="183"/>
        <v>6</v>
      </c>
      <c r="AK2321" s="289">
        <f t="shared" si="184"/>
        <v>253.39705028104402</v>
      </c>
    </row>
    <row r="2322" spans="1:37">
      <c r="A2322" s="703" t="s">
        <v>3977</v>
      </c>
      <c r="B2322" s="703" t="s">
        <v>3743</v>
      </c>
      <c r="C2322" s="703" t="s">
        <v>332</v>
      </c>
      <c r="D2322" s="703" t="s">
        <v>334</v>
      </c>
      <c r="E2322" s="703" t="s">
        <v>334</v>
      </c>
      <c r="F2322" s="703" t="s">
        <v>335</v>
      </c>
      <c r="G2322" s="703" t="s">
        <v>3978</v>
      </c>
      <c r="H2322" s="703" t="s">
        <v>334</v>
      </c>
      <c r="I2322" s="703" t="s">
        <v>334</v>
      </c>
      <c r="J2322" s="703" t="s">
        <v>337</v>
      </c>
      <c r="K2322" s="704">
        <v>0</v>
      </c>
      <c r="L2322" s="703" t="s">
        <v>334</v>
      </c>
      <c r="M2322" s="702">
        <v>43708</v>
      </c>
      <c r="N2322" s="702">
        <v>44825</v>
      </c>
      <c r="O2322" s="703" t="s">
        <v>338</v>
      </c>
      <c r="P2322" s="20">
        <v>0</v>
      </c>
      <c r="Q2322" s="20">
        <v>0</v>
      </c>
      <c r="R2322" s="20">
        <v>14189.9</v>
      </c>
      <c r="S2322" s="20">
        <v>0</v>
      </c>
      <c r="T2322" s="20">
        <v>14189.9</v>
      </c>
      <c r="U2322" s="20">
        <v>0</v>
      </c>
      <c r="V2322" s="20">
        <v>0</v>
      </c>
      <c r="W2322" s="20">
        <v>-118.25</v>
      </c>
      <c r="X2322" s="20">
        <v>-118.25</v>
      </c>
      <c r="Y2322" s="20">
        <v>0</v>
      </c>
      <c r="Z2322" s="20">
        <v>0</v>
      </c>
      <c r="AA2322" s="20">
        <v>0</v>
      </c>
      <c r="AB2322" s="20">
        <v>14071.65</v>
      </c>
      <c r="AC2322" t="s">
        <v>183</v>
      </c>
      <c r="AD2322" t="s">
        <v>290</v>
      </c>
      <c r="AE2322" s="702">
        <f t="shared" si="180"/>
        <v>44713</v>
      </c>
      <c r="AF2322" s="289">
        <v>13936.595502047727</v>
      </c>
      <c r="AG2322">
        <f t="shared" si="181"/>
        <v>360</v>
      </c>
      <c r="AH2322" s="289">
        <f t="shared" si="182"/>
        <v>38.712765283465906</v>
      </c>
      <c r="AJ2322" s="289">
        <f t="shared" si="183"/>
        <v>6</v>
      </c>
      <c r="AK2322" s="289">
        <f t="shared" si="184"/>
        <v>232.27659170079545</v>
      </c>
    </row>
    <row r="2323" spans="1:37">
      <c r="A2323" s="703" t="s">
        <v>3979</v>
      </c>
      <c r="B2323" s="703" t="s">
        <v>3743</v>
      </c>
      <c r="C2323" s="703" t="s">
        <v>332</v>
      </c>
      <c r="D2323" s="703" t="s">
        <v>334</v>
      </c>
      <c r="E2323" s="703" t="s">
        <v>334</v>
      </c>
      <c r="F2323" s="703" t="s">
        <v>335</v>
      </c>
      <c r="G2323" s="703" t="s">
        <v>3980</v>
      </c>
      <c r="H2323" s="703" t="s">
        <v>334</v>
      </c>
      <c r="I2323" s="703" t="s">
        <v>334</v>
      </c>
      <c r="J2323" s="703" t="s">
        <v>337</v>
      </c>
      <c r="K2323" s="704">
        <v>0</v>
      </c>
      <c r="L2323" s="703" t="s">
        <v>334</v>
      </c>
      <c r="M2323" s="702">
        <v>43708</v>
      </c>
      <c r="N2323" s="702">
        <v>44825</v>
      </c>
      <c r="O2323" s="703" t="s">
        <v>338</v>
      </c>
      <c r="P2323" s="20">
        <v>0</v>
      </c>
      <c r="Q2323" s="20">
        <v>0</v>
      </c>
      <c r="R2323" s="20">
        <v>14189.9</v>
      </c>
      <c r="S2323" s="20">
        <v>0</v>
      </c>
      <c r="T2323" s="20">
        <v>14189.9</v>
      </c>
      <c r="U2323" s="20">
        <v>0</v>
      </c>
      <c r="V2323" s="20">
        <v>0</v>
      </c>
      <c r="W2323" s="20">
        <v>-118.25</v>
      </c>
      <c r="X2323" s="20">
        <v>-118.25</v>
      </c>
      <c r="Y2323" s="20">
        <v>0</v>
      </c>
      <c r="Z2323" s="20">
        <v>0</v>
      </c>
      <c r="AA2323" s="20">
        <v>0</v>
      </c>
      <c r="AB2323" s="20">
        <v>14071.65</v>
      </c>
      <c r="AC2323" t="s">
        <v>183</v>
      </c>
      <c r="AD2323" t="s">
        <v>290</v>
      </c>
      <c r="AE2323" s="702">
        <f t="shared" si="180"/>
        <v>44713</v>
      </c>
      <c r="AF2323" s="289">
        <v>13936.595502047727</v>
      </c>
      <c r="AG2323">
        <f t="shared" si="181"/>
        <v>360</v>
      </c>
      <c r="AH2323" s="289">
        <f t="shared" si="182"/>
        <v>38.712765283465906</v>
      </c>
      <c r="AJ2323" s="289">
        <f t="shared" si="183"/>
        <v>6</v>
      </c>
      <c r="AK2323" s="289">
        <f t="shared" si="184"/>
        <v>232.27659170079545</v>
      </c>
    </row>
    <row r="2324" spans="1:37">
      <c r="A2324" s="703" t="s">
        <v>3981</v>
      </c>
      <c r="B2324" s="703" t="s">
        <v>3743</v>
      </c>
      <c r="C2324" s="703" t="s">
        <v>332</v>
      </c>
      <c r="D2324" s="703" t="s">
        <v>334</v>
      </c>
      <c r="E2324" s="703" t="s">
        <v>334</v>
      </c>
      <c r="F2324" s="703" t="s">
        <v>335</v>
      </c>
      <c r="G2324" s="703" t="s">
        <v>3982</v>
      </c>
      <c r="H2324" s="703" t="s">
        <v>334</v>
      </c>
      <c r="I2324" s="703" t="s">
        <v>334</v>
      </c>
      <c r="J2324" s="703" t="s">
        <v>337</v>
      </c>
      <c r="K2324" s="704">
        <v>0</v>
      </c>
      <c r="L2324" s="703" t="s">
        <v>334</v>
      </c>
      <c r="M2324" s="702">
        <v>43708</v>
      </c>
      <c r="N2324" s="702">
        <v>44825</v>
      </c>
      <c r="O2324" s="703" t="s">
        <v>338</v>
      </c>
      <c r="P2324" s="20">
        <v>0</v>
      </c>
      <c r="Q2324" s="20">
        <v>0</v>
      </c>
      <c r="R2324" s="20">
        <v>822</v>
      </c>
      <c r="S2324" s="20">
        <v>0</v>
      </c>
      <c r="T2324" s="20">
        <v>822</v>
      </c>
      <c r="U2324" s="20">
        <v>0</v>
      </c>
      <c r="V2324" s="20">
        <v>0</v>
      </c>
      <c r="W2324" s="20">
        <v>-6.85</v>
      </c>
      <c r="X2324" s="20">
        <v>-6.85</v>
      </c>
      <c r="Y2324" s="20">
        <v>0</v>
      </c>
      <c r="Z2324" s="20">
        <v>0</v>
      </c>
      <c r="AA2324" s="20">
        <v>0</v>
      </c>
      <c r="AB2324" s="20">
        <v>815.15</v>
      </c>
      <c r="AC2324" t="s">
        <v>183</v>
      </c>
      <c r="AD2324" t="s">
        <v>290</v>
      </c>
      <c r="AE2324" s="702">
        <f t="shared" si="180"/>
        <v>44713</v>
      </c>
      <c r="AF2324" s="289">
        <v>807.32644364535565</v>
      </c>
      <c r="AG2324">
        <f t="shared" si="181"/>
        <v>360</v>
      </c>
      <c r="AH2324" s="289">
        <f t="shared" si="182"/>
        <v>2.2425734545704326</v>
      </c>
      <c r="AJ2324" s="289">
        <f t="shared" si="183"/>
        <v>6</v>
      </c>
      <c r="AK2324" s="289">
        <f t="shared" si="184"/>
        <v>13.455440727422594</v>
      </c>
    </row>
    <row r="2325" spans="1:37">
      <c r="A2325" s="703" t="s">
        <v>3983</v>
      </c>
      <c r="B2325" s="703" t="s">
        <v>3743</v>
      </c>
      <c r="C2325" s="703" t="s">
        <v>332</v>
      </c>
      <c r="D2325" s="703" t="s">
        <v>334</v>
      </c>
      <c r="E2325" s="703" t="s">
        <v>334</v>
      </c>
      <c r="F2325" s="703" t="s">
        <v>335</v>
      </c>
      <c r="G2325" s="703" t="s">
        <v>3984</v>
      </c>
      <c r="H2325" s="703" t="s">
        <v>334</v>
      </c>
      <c r="I2325" s="703" t="s">
        <v>334</v>
      </c>
      <c r="J2325" s="703" t="s">
        <v>337</v>
      </c>
      <c r="K2325" s="704">
        <v>0</v>
      </c>
      <c r="L2325" s="703" t="s">
        <v>334</v>
      </c>
      <c r="M2325" s="702">
        <v>43708</v>
      </c>
      <c r="N2325" s="702">
        <v>44825</v>
      </c>
      <c r="O2325" s="703" t="s">
        <v>338</v>
      </c>
      <c r="P2325" s="20">
        <v>0</v>
      </c>
      <c r="Q2325" s="20">
        <v>0</v>
      </c>
      <c r="R2325" s="20">
        <v>1084</v>
      </c>
      <c r="S2325" s="20">
        <v>0</v>
      </c>
      <c r="T2325" s="20">
        <v>1084</v>
      </c>
      <c r="U2325" s="20">
        <v>0</v>
      </c>
      <c r="V2325" s="20">
        <v>0</v>
      </c>
      <c r="W2325" s="20">
        <v>-9.0299999999999994</v>
      </c>
      <c r="X2325" s="20">
        <v>-9.0299999999999994</v>
      </c>
      <c r="Y2325" s="20">
        <v>0</v>
      </c>
      <c r="Z2325" s="20">
        <v>0</v>
      </c>
      <c r="AA2325" s="20">
        <v>0</v>
      </c>
      <c r="AB2325" s="20">
        <v>1074.97</v>
      </c>
      <c r="AC2325" t="s">
        <v>183</v>
      </c>
      <c r="AD2325" t="s">
        <v>290</v>
      </c>
      <c r="AE2325" s="702">
        <f t="shared" si="180"/>
        <v>44713</v>
      </c>
      <c r="AF2325" s="289">
        <v>1064.6494706953351</v>
      </c>
      <c r="AG2325">
        <f t="shared" si="181"/>
        <v>360</v>
      </c>
      <c r="AH2325" s="289">
        <f t="shared" si="182"/>
        <v>2.9573596408203753</v>
      </c>
      <c r="AJ2325" s="289">
        <f t="shared" si="183"/>
        <v>6</v>
      </c>
      <c r="AK2325" s="289">
        <f t="shared" si="184"/>
        <v>17.744157844922253</v>
      </c>
    </row>
    <row r="2326" spans="1:37">
      <c r="A2326" s="703" t="s">
        <v>3985</v>
      </c>
      <c r="B2326" s="703" t="s">
        <v>3743</v>
      </c>
      <c r="C2326" s="703" t="s">
        <v>332</v>
      </c>
      <c r="D2326" s="703" t="s">
        <v>334</v>
      </c>
      <c r="E2326" s="703" t="s">
        <v>334</v>
      </c>
      <c r="F2326" s="703" t="s">
        <v>335</v>
      </c>
      <c r="G2326" s="703" t="s">
        <v>3986</v>
      </c>
      <c r="H2326" s="703" t="s">
        <v>334</v>
      </c>
      <c r="I2326" s="703" t="s">
        <v>334</v>
      </c>
      <c r="J2326" s="703" t="s">
        <v>337</v>
      </c>
      <c r="K2326" s="704">
        <v>0</v>
      </c>
      <c r="L2326" s="703" t="s">
        <v>334</v>
      </c>
      <c r="M2326" s="702">
        <v>43708</v>
      </c>
      <c r="N2326" s="702">
        <v>44825</v>
      </c>
      <c r="O2326" s="703" t="s">
        <v>338</v>
      </c>
      <c r="P2326" s="20">
        <v>0</v>
      </c>
      <c r="Q2326" s="20">
        <v>0</v>
      </c>
      <c r="R2326" s="20">
        <v>1084</v>
      </c>
      <c r="S2326" s="20">
        <v>0</v>
      </c>
      <c r="T2326" s="20">
        <v>1084</v>
      </c>
      <c r="U2326" s="20">
        <v>0</v>
      </c>
      <c r="V2326" s="20">
        <v>0</v>
      </c>
      <c r="W2326" s="20">
        <v>-9.0299999999999994</v>
      </c>
      <c r="X2326" s="20">
        <v>-9.0299999999999994</v>
      </c>
      <c r="Y2326" s="20">
        <v>0</v>
      </c>
      <c r="Z2326" s="20">
        <v>0</v>
      </c>
      <c r="AA2326" s="20">
        <v>0</v>
      </c>
      <c r="AB2326" s="20">
        <v>1074.97</v>
      </c>
      <c r="AC2326" t="s">
        <v>183</v>
      </c>
      <c r="AD2326" t="s">
        <v>290</v>
      </c>
      <c r="AE2326" s="702">
        <f t="shared" si="180"/>
        <v>44713</v>
      </c>
      <c r="AF2326" s="289">
        <v>1064.6494706953351</v>
      </c>
      <c r="AG2326">
        <f t="shared" si="181"/>
        <v>360</v>
      </c>
      <c r="AH2326" s="289">
        <f t="shared" si="182"/>
        <v>2.9573596408203753</v>
      </c>
      <c r="AJ2326" s="289">
        <f t="shared" si="183"/>
        <v>6</v>
      </c>
      <c r="AK2326" s="289">
        <f t="shared" si="184"/>
        <v>17.744157844922253</v>
      </c>
    </row>
    <row r="2327" spans="1:37">
      <c r="A2327" s="703" t="s">
        <v>3987</v>
      </c>
      <c r="B2327" s="703" t="s">
        <v>3743</v>
      </c>
      <c r="C2327" s="703" t="s">
        <v>332</v>
      </c>
      <c r="D2327" s="703" t="s">
        <v>334</v>
      </c>
      <c r="E2327" s="703" t="s">
        <v>334</v>
      </c>
      <c r="F2327" s="703" t="s">
        <v>335</v>
      </c>
      <c r="G2327" s="703" t="s">
        <v>3988</v>
      </c>
      <c r="H2327" s="703" t="s">
        <v>334</v>
      </c>
      <c r="I2327" s="703" t="s">
        <v>334</v>
      </c>
      <c r="J2327" s="703" t="s">
        <v>337</v>
      </c>
      <c r="K2327" s="704">
        <v>0</v>
      </c>
      <c r="L2327" s="703" t="s">
        <v>334</v>
      </c>
      <c r="M2327" s="702">
        <v>44196</v>
      </c>
      <c r="N2327" s="702">
        <v>44825</v>
      </c>
      <c r="O2327" s="703" t="s">
        <v>338</v>
      </c>
      <c r="P2327" s="20">
        <v>0</v>
      </c>
      <c r="Q2327" s="20">
        <v>0</v>
      </c>
      <c r="R2327" s="20">
        <v>5910.01</v>
      </c>
      <c r="S2327" s="20">
        <v>0</v>
      </c>
      <c r="T2327" s="20">
        <v>5910.01</v>
      </c>
      <c r="U2327" s="20">
        <v>0</v>
      </c>
      <c r="V2327" s="20">
        <v>0</v>
      </c>
      <c r="W2327" s="20">
        <v>-49.25</v>
      </c>
      <c r="X2327" s="20">
        <v>-49.25</v>
      </c>
      <c r="Y2327" s="20">
        <v>0</v>
      </c>
      <c r="Z2327" s="20">
        <v>0</v>
      </c>
      <c r="AA2327" s="20">
        <v>0</v>
      </c>
      <c r="AB2327" s="20">
        <v>5860.76</v>
      </c>
      <c r="AC2327" t="s">
        <v>183</v>
      </c>
      <c r="AD2327" t="s">
        <v>290</v>
      </c>
      <c r="AE2327" s="702">
        <f t="shared" si="180"/>
        <v>44713</v>
      </c>
      <c r="AF2327" s="289">
        <v>5804.510164487212</v>
      </c>
      <c r="AG2327">
        <f t="shared" si="181"/>
        <v>360</v>
      </c>
      <c r="AH2327" s="289">
        <f t="shared" si="182"/>
        <v>16.123639345797812</v>
      </c>
      <c r="AJ2327" s="289">
        <f t="shared" si="183"/>
        <v>6</v>
      </c>
      <c r="AK2327" s="289">
        <f t="shared" si="184"/>
        <v>96.741836074786875</v>
      </c>
    </row>
    <row r="2328" spans="1:37">
      <c r="A2328" s="703" t="s">
        <v>3989</v>
      </c>
      <c r="B2328" s="703" t="s">
        <v>3743</v>
      </c>
      <c r="C2328" s="703" t="s">
        <v>332</v>
      </c>
      <c r="D2328" s="703" t="s">
        <v>334</v>
      </c>
      <c r="E2328" s="703" t="s">
        <v>334</v>
      </c>
      <c r="F2328" s="703" t="s">
        <v>335</v>
      </c>
      <c r="G2328" s="703" t="s">
        <v>3990</v>
      </c>
      <c r="H2328" s="703" t="s">
        <v>334</v>
      </c>
      <c r="I2328" s="703" t="s">
        <v>334</v>
      </c>
      <c r="J2328" s="703" t="s">
        <v>337</v>
      </c>
      <c r="K2328" s="704">
        <v>0</v>
      </c>
      <c r="L2328" s="703" t="s">
        <v>334</v>
      </c>
      <c r="M2328" s="702">
        <v>44196</v>
      </c>
      <c r="N2328" s="702">
        <v>44825</v>
      </c>
      <c r="O2328" s="703" t="s">
        <v>338</v>
      </c>
      <c r="P2328" s="20">
        <v>0</v>
      </c>
      <c r="Q2328" s="20">
        <v>0</v>
      </c>
      <c r="R2328" s="20">
        <v>5417.51</v>
      </c>
      <c r="S2328" s="20">
        <v>0</v>
      </c>
      <c r="T2328" s="20">
        <v>5417.51</v>
      </c>
      <c r="U2328" s="20">
        <v>0</v>
      </c>
      <c r="V2328" s="20">
        <v>0</v>
      </c>
      <c r="W2328" s="20">
        <v>-45.15</v>
      </c>
      <c r="X2328" s="20">
        <v>-45.15</v>
      </c>
      <c r="Y2328" s="20">
        <v>0</v>
      </c>
      <c r="Z2328" s="20">
        <v>0</v>
      </c>
      <c r="AA2328" s="20">
        <v>0</v>
      </c>
      <c r="AB2328" s="20">
        <v>5372.36</v>
      </c>
      <c r="AC2328" t="s">
        <v>183</v>
      </c>
      <c r="AD2328" t="s">
        <v>290</v>
      </c>
      <c r="AE2328" s="702">
        <f t="shared" si="180"/>
        <v>44713</v>
      </c>
      <c r="AF2328" s="289">
        <v>5320.8018025707433</v>
      </c>
      <c r="AG2328">
        <f t="shared" si="181"/>
        <v>360</v>
      </c>
      <c r="AH2328" s="289">
        <f t="shared" si="182"/>
        <v>14.780005007140954</v>
      </c>
      <c r="AJ2328" s="289">
        <f t="shared" si="183"/>
        <v>6</v>
      </c>
      <c r="AK2328" s="289">
        <f t="shared" si="184"/>
        <v>88.680030042845715</v>
      </c>
    </row>
    <row r="2329" spans="1:37">
      <c r="A2329" s="703" t="s">
        <v>3991</v>
      </c>
      <c r="B2329" s="703" t="s">
        <v>3743</v>
      </c>
      <c r="C2329" s="703" t="s">
        <v>332</v>
      </c>
      <c r="D2329" s="703" t="s">
        <v>334</v>
      </c>
      <c r="E2329" s="703" t="s">
        <v>334</v>
      </c>
      <c r="F2329" s="703" t="s">
        <v>335</v>
      </c>
      <c r="G2329" s="703" t="s">
        <v>3992</v>
      </c>
      <c r="H2329" s="703" t="s">
        <v>334</v>
      </c>
      <c r="I2329" s="703" t="s">
        <v>334</v>
      </c>
      <c r="J2329" s="703" t="s">
        <v>337</v>
      </c>
      <c r="K2329" s="704">
        <v>0</v>
      </c>
      <c r="L2329" s="703" t="s">
        <v>334</v>
      </c>
      <c r="M2329" s="702">
        <v>44196</v>
      </c>
      <c r="N2329" s="702">
        <v>44825</v>
      </c>
      <c r="O2329" s="703" t="s">
        <v>338</v>
      </c>
      <c r="P2329" s="20">
        <v>0</v>
      </c>
      <c r="Q2329" s="20">
        <v>0</v>
      </c>
      <c r="R2329" s="20">
        <v>5417.51</v>
      </c>
      <c r="S2329" s="20">
        <v>0</v>
      </c>
      <c r="T2329" s="20">
        <v>5417.51</v>
      </c>
      <c r="U2329" s="20">
        <v>0</v>
      </c>
      <c r="V2329" s="20">
        <v>0</v>
      </c>
      <c r="W2329" s="20">
        <v>-45.15</v>
      </c>
      <c r="X2329" s="20">
        <v>-45.15</v>
      </c>
      <c r="Y2329" s="20">
        <v>0</v>
      </c>
      <c r="Z2329" s="20">
        <v>0</v>
      </c>
      <c r="AA2329" s="20">
        <v>0</v>
      </c>
      <c r="AB2329" s="20">
        <v>5372.36</v>
      </c>
      <c r="AC2329" t="s">
        <v>183</v>
      </c>
      <c r="AD2329" t="s">
        <v>290</v>
      </c>
      <c r="AE2329" s="702">
        <f t="shared" si="180"/>
        <v>44713</v>
      </c>
      <c r="AF2329" s="289">
        <v>5320.8018025707433</v>
      </c>
      <c r="AG2329">
        <f t="shared" si="181"/>
        <v>360</v>
      </c>
      <c r="AH2329" s="289">
        <f t="shared" si="182"/>
        <v>14.780005007140954</v>
      </c>
      <c r="AJ2329" s="289">
        <f t="shared" si="183"/>
        <v>6</v>
      </c>
      <c r="AK2329" s="289">
        <f t="shared" si="184"/>
        <v>88.680030042845715</v>
      </c>
    </row>
    <row r="2330" spans="1:37">
      <c r="A2330" s="703" t="s">
        <v>3993</v>
      </c>
      <c r="B2330" s="703" t="s">
        <v>3743</v>
      </c>
      <c r="C2330" s="703" t="s">
        <v>332</v>
      </c>
      <c r="D2330" s="703" t="s">
        <v>334</v>
      </c>
      <c r="E2330" s="703" t="s">
        <v>334</v>
      </c>
      <c r="F2330" s="703" t="s">
        <v>335</v>
      </c>
      <c r="G2330" s="703" t="s">
        <v>3994</v>
      </c>
      <c r="H2330" s="703" t="s">
        <v>334</v>
      </c>
      <c r="I2330" s="703" t="s">
        <v>334</v>
      </c>
      <c r="J2330" s="703" t="s">
        <v>337</v>
      </c>
      <c r="K2330" s="704">
        <v>0</v>
      </c>
      <c r="L2330" s="703" t="s">
        <v>334</v>
      </c>
      <c r="M2330" s="702">
        <v>44196</v>
      </c>
      <c r="N2330" s="702">
        <v>44825</v>
      </c>
      <c r="O2330" s="703" t="s">
        <v>338</v>
      </c>
      <c r="P2330" s="20">
        <v>0</v>
      </c>
      <c r="Q2330" s="20">
        <v>0</v>
      </c>
      <c r="R2330" s="20">
        <v>314</v>
      </c>
      <c r="S2330" s="20">
        <v>0</v>
      </c>
      <c r="T2330" s="20">
        <v>314</v>
      </c>
      <c r="U2330" s="20">
        <v>0</v>
      </c>
      <c r="V2330" s="20">
        <v>0</v>
      </c>
      <c r="W2330" s="20">
        <v>-2.62</v>
      </c>
      <c r="X2330" s="20">
        <v>-2.62</v>
      </c>
      <c r="Y2330" s="20">
        <v>0</v>
      </c>
      <c r="Z2330" s="20">
        <v>0</v>
      </c>
      <c r="AA2330" s="20">
        <v>0</v>
      </c>
      <c r="AB2330" s="20">
        <v>311.38</v>
      </c>
      <c r="AC2330" t="s">
        <v>183</v>
      </c>
      <c r="AD2330" t="s">
        <v>290</v>
      </c>
      <c r="AE2330" s="702">
        <f t="shared" si="180"/>
        <v>44713</v>
      </c>
      <c r="AF2330" s="289">
        <v>308.39477287669303</v>
      </c>
      <c r="AG2330">
        <f t="shared" si="181"/>
        <v>360</v>
      </c>
      <c r="AH2330" s="289">
        <f t="shared" si="182"/>
        <v>0.85665214687970281</v>
      </c>
      <c r="AJ2330" s="289">
        <f t="shared" si="183"/>
        <v>6</v>
      </c>
      <c r="AK2330" s="289">
        <f t="shared" si="184"/>
        <v>5.1399128812782173</v>
      </c>
    </row>
    <row r="2331" spans="1:37">
      <c r="A2331" s="703" t="s">
        <v>3995</v>
      </c>
      <c r="B2331" s="703" t="s">
        <v>3743</v>
      </c>
      <c r="C2331" s="703" t="s">
        <v>332</v>
      </c>
      <c r="D2331" s="703" t="s">
        <v>334</v>
      </c>
      <c r="E2331" s="703" t="s">
        <v>334</v>
      </c>
      <c r="F2331" s="703" t="s">
        <v>335</v>
      </c>
      <c r="G2331" s="703" t="s">
        <v>3996</v>
      </c>
      <c r="H2331" s="703" t="s">
        <v>334</v>
      </c>
      <c r="I2331" s="703" t="s">
        <v>334</v>
      </c>
      <c r="J2331" s="703" t="s">
        <v>337</v>
      </c>
      <c r="K2331" s="704">
        <v>0</v>
      </c>
      <c r="L2331" s="703" t="s">
        <v>334</v>
      </c>
      <c r="M2331" s="702">
        <v>44196</v>
      </c>
      <c r="N2331" s="702">
        <v>44825</v>
      </c>
      <c r="O2331" s="703" t="s">
        <v>338</v>
      </c>
      <c r="P2331" s="20">
        <v>0</v>
      </c>
      <c r="Q2331" s="20">
        <v>0</v>
      </c>
      <c r="R2331" s="20">
        <v>413</v>
      </c>
      <c r="S2331" s="20">
        <v>0</v>
      </c>
      <c r="T2331" s="20">
        <v>413</v>
      </c>
      <c r="U2331" s="20">
        <v>0</v>
      </c>
      <c r="V2331" s="20">
        <v>0</v>
      </c>
      <c r="W2331" s="20">
        <v>-3.44</v>
      </c>
      <c r="X2331" s="20">
        <v>-3.44</v>
      </c>
      <c r="Y2331" s="20">
        <v>0</v>
      </c>
      <c r="Z2331" s="20">
        <v>0</v>
      </c>
      <c r="AA2331" s="20">
        <v>0</v>
      </c>
      <c r="AB2331" s="20">
        <v>409.56</v>
      </c>
      <c r="AC2331" t="s">
        <v>183</v>
      </c>
      <c r="AD2331" t="s">
        <v>290</v>
      </c>
      <c r="AE2331" s="702">
        <f t="shared" si="180"/>
        <v>44713</v>
      </c>
      <c r="AF2331" s="289">
        <v>405.62751973908985</v>
      </c>
      <c r="AG2331">
        <f t="shared" si="181"/>
        <v>360</v>
      </c>
      <c r="AH2331" s="289">
        <f t="shared" si="182"/>
        <v>1.1267431103863608</v>
      </c>
      <c r="AJ2331" s="289">
        <f t="shared" si="183"/>
        <v>6</v>
      </c>
      <c r="AK2331" s="289">
        <f t="shared" si="184"/>
        <v>6.7604586623181646</v>
      </c>
    </row>
    <row r="2332" spans="1:37">
      <c r="A2332" s="703" t="s">
        <v>3997</v>
      </c>
      <c r="B2332" s="703" t="s">
        <v>3743</v>
      </c>
      <c r="C2332" s="703" t="s">
        <v>332</v>
      </c>
      <c r="D2332" s="703" t="s">
        <v>334</v>
      </c>
      <c r="E2332" s="703" t="s">
        <v>334</v>
      </c>
      <c r="F2332" s="703" t="s">
        <v>335</v>
      </c>
      <c r="G2332" s="703" t="s">
        <v>3998</v>
      </c>
      <c r="H2332" s="703" t="s">
        <v>334</v>
      </c>
      <c r="I2332" s="703" t="s">
        <v>334</v>
      </c>
      <c r="J2332" s="703" t="s">
        <v>337</v>
      </c>
      <c r="K2332" s="704">
        <v>0</v>
      </c>
      <c r="L2332" s="703" t="s">
        <v>334</v>
      </c>
      <c r="M2332" s="702">
        <v>44196</v>
      </c>
      <c r="N2332" s="702">
        <v>44825</v>
      </c>
      <c r="O2332" s="703" t="s">
        <v>338</v>
      </c>
      <c r="P2332" s="20">
        <v>0</v>
      </c>
      <c r="Q2332" s="20">
        <v>0</v>
      </c>
      <c r="R2332" s="20">
        <v>3245.97</v>
      </c>
      <c r="S2332" s="20">
        <v>0</v>
      </c>
      <c r="T2332" s="20">
        <v>3245.97</v>
      </c>
      <c r="U2332" s="20">
        <v>0</v>
      </c>
      <c r="V2332" s="20">
        <v>0</v>
      </c>
      <c r="W2332" s="20">
        <v>-27.05</v>
      </c>
      <c r="X2332" s="20">
        <v>-27.05</v>
      </c>
      <c r="Y2332" s="20">
        <v>0</v>
      </c>
      <c r="Z2332" s="20">
        <v>0</v>
      </c>
      <c r="AA2332" s="20">
        <v>0</v>
      </c>
      <c r="AB2332" s="20">
        <v>3218.92</v>
      </c>
      <c r="AC2332" t="s">
        <v>183</v>
      </c>
      <c r="AD2332" t="s">
        <v>290</v>
      </c>
      <c r="AE2332" s="702">
        <f t="shared" si="180"/>
        <v>44713</v>
      </c>
      <c r="AF2332" s="289">
        <v>3188.0260538680232</v>
      </c>
      <c r="AG2332">
        <f t="shared" si="181"/>
        <v>360</v>
      </c>
      <c r="AH2332" s="289">
        <f t="shared" si="182"/>
        <v>8.8556279274111755</v>
      </c>
      <c r="AJ2332" s="289">
        <f t="shared" si="183"/>
        <v>6</v>
      </c>
      <c r="AK2332" s="289">
        <f t="shared" si="184"/>
        <v>53.13376756446705</v>
      </c>
    </row>
    <row r="2333" spans="1:37">
      <c r="A2333" s="703" t="s">
        <v>3999</v>
      </c>
      <c r="B2333" s="703" t="s">
        <v>3743</v>
      </c>
      <c r="C2333" s="703" t="s">
        <v>332</v>
      </c>
      <c r="D2333" s="703" t="s">
        <v>334</v>
      </c>
      <c r="E2333" s="703" t="s">
        <v>334</v>
      </c>
      <c r="F2333" s="703" t="s">
        <v>335</v>
      </c>
      <c r="G2333" s="703" t="s">
        <v>4000</v>
      </c>
      <c r="H2333" s="703" t="s">
        <v>334</v>
      </c>
      <c r="I2333" s="703" t="s">
        <v>334</v>
      </c>
      <c r="J2333" s="703" t="s">
        <v>337</v>
      </c>
      <c r="K2333" s="704">
        <v>0</v>
      </c>
      <c r="L2333" s="703" t="s">
        <v>334</v>
      </c>
      <c r="M2333" s="702">
        <v>44196</v>
      </c>
      <c r="N2333" s="702">
        <v>44825</v>
      </c>
      <c r="O2333" s="703" t="s">
        <v>338</v>
      </c>
      <c r="P2333" s="20">
        <v>0</v>
      </c>
      <c r="Q2333" s="20">
        <v>0</v>
      </c>
      <c r="R2333" s="20">
        <v>2</v>
      </c>
      <c r="S2333" s="20">
        <v>0</v>
      </c>
      <c r="T2333" s="20">
        <v>2</v>
      </c>
      <c r="U2333" s="20">
        <v>0</v>
      </c>
      <c r="V2333" s="20">
        <v>0</v>
      </c>
      <c r="W2333" s="20">
        <v>-0.02</v>
      </c>
      <c r="X2333" s="20">
        <v>-0.02</v>
      </c>
      <c r="Y2333" s="20">
        <v>0</v>
      </c>
      <c r="Z2333" s="20">
        <v>0</v>
      </c>
      <c r="AA2333" s="20">
        <v>0</v>
      </c>
      <c r="AB2333" s="20">
        <v>1.98</v>
      </c>
      <c r="AC2333" t="s">
        <v>183</v>
      </c>
      <c r="AD2333" t="s">
        <v>290</v>
      </c>
      <c r="AE2333" s="702">
        <f t="shared" si="180"/>
        <v>44713</v>
      </c>
      <c r="AF2333" s="289">
        <v>1.9642979164120575</v>
      </c>
      <c r="AG2333">
        <f t="shared" si="181"/>
        <v>360</v>
      </c>
      <c r="AH2333" s="289">
        <f t="shared" si="182"/>
        <v>5.4563831011446044E-3</v>
      </c>
      <c r="AJ2333" s="289">
        <f t="shared" si="183"/>
        <v>6</v>
      </c>
      <c r="AK2333" s="289">
        <f t="shared" si="184"/>
        <v>3.2738298606867625E-2</v>
      </c>
    </row>
    <row r="2334" spans="1:37">
      <c r="A2334" s="703" t="s">
        <v>4001</v>
      </c>
      <c r="B2334" s="703" t="s">
        <v>3743</v>
      </c>
      <c r="C2334" s="703" t="s">
        <v>332</v>
      </c>
      <c r="D2334" s="703" t="s">
        <v>334</v>
      </c>
      <c r="E2334" s="703" t="s">
        <v>334</v>
      </c>
      <c r="F2334" s="703" t="s">
        <v>335</v>
      </c>
      <c r="G2334" s="703" t="s">
        <v>4002</v>
      </c>
      <c r="H2334" s="703" t="s">
        <v>334</v>
      </c>
      <c r="I2334" s="703" t="s">
        <v>334</v>
      </c>
      <c r="J2334" s="703" t="s">
        <v>337</v>
      </c>
      <c r="K2334" s="704">
        <v>0</v>
      </c>
      <c r="L2334" s="703" t="s">
        <v>334</v>
      </c>
      <c r="M2334" s="702">
        <v>39478</v>
      </c>
      <c r="N2334" s="702">
        <v>44825</v>
      </c>
      <c r="O2334" s="703" t="s">
        <v>338</v>
      </c>
      <c r="P2334" s="20">
        <v>0</v>
      </c>
      <c r="Q2334" s="20">
        <v>0</v>
      </c>
      <c r="R2334" s="20">
        <v>7180.79</v>
      </c>
      <c r="S2334" s="20">
        <v>0</v>
      </c>
      <c r="T2334" s="20">
        <v>7180.79</v>
      </c>
      <c r="U2334" s="20">
        <v>0</v>
      </c>
      <c r="V2334" s="20">
        <v>0</v>
      </c>
      <c r="W2334" s="20">
        <v>-59.84</v>
      </c>
      <c r="X2334" s="20">
        <v>-59.84</v>
      </c>
      <c r="Y2334" s="20">
        <v>0</v>
      </c>
      <c r="Z2334" s="20">
        <v>0</v>
      </c>
      <c r="AA2334" s="20">
        <v>0</v>
      </c>
      <c r="AB2334" s="20">
        <v>7120.95</v>
      </c>
      <c r="AC2334" t="s">
        <v>183</v>
      </c>
      <c r="AD2334" t="s">
        <v>290</v>
      </c>
      <c r="AE2334" s="702">
        <f t="shared" si="180"/>
        <v>44713</v>
      </c>
      <c r="AF2334" s="289">
        <v>7052.605417596269</v>
      </c>
      <c r="AG2334">
        <f t="shared" si="181"/>
        <v>360</v>
      </c>
      <c r="AH2334" s="289">
        <f t="shared" si="182"/>
        <v>19.590570604434081</v>
      </c>
      <c r="AJ2334" s="289">
        <f t="shared" si="183"/>
        <v>6</v>
      </c>
      <c r="AK2334" s="289">
        <f t="shared" si="184"/>
        <v>117.54342362660449</v>
      </c>
    </row>
    <row r="2335" spans="1:37">
      <c r="A2335" s="703" t="s">
        <v>4003</v>
      </c>
      <c r="B2335" s="703" t="s">
        <v>3743</v>
      </c>
      <c r="C2335" s="703" t="s">
        <v>332</v>
      </c>
      <c r="D2335" s="703" t="s">
        <v>334</v>
      </c>
      <c r="E2335" s="703" t="s">
        <v>334</v>
      </c>
      <c r="F2335" s="703" t="s">
        <v>335</v>
      </c>
      <c r="G2335" s="703" t="s">
        <v>4004</v>
      </c>
      <c r="H2335" s="703" t="s">
        <v>334</v>
      </c>
      <c r="I2335" s="703" t="s">
        <v>334</v>
      </c>
      <c r="J2335" s="703" t="s">
        <v>337</v>
      </c>
      <c r="K2335" s="704">
        <v>0</v>
      </c>
      <c r="L2335" s="703" t="s">
        <v>334</v>
      </c>
      <c r="M2335" s="702">
        <v>42613</v>
      </c>
      <c r="N2335" s="702">
        <v>44825</v>
      </c>
      <c r="O2335" s="703" t="s">
        <v>338</v>
      </c>
      <c r="P2335" s="20">
        <v>0</v>
      </c>
      <c r="Q2335" s="20">
        <v>0</v>
      </c>
      <c r="R2335" s="20">
        <v>6682</v>
      </c>
      <c r="S2335" s="20">
        <v>0</v>
      </c>
      <c r="T2335" s="20">
        <v>6682</v>
      </c>
      <c r="U2335" s="20">
        <v>0</v>
      </c>
      <c r="V2335" s="20">
        <v>0</v>
      </c>
      <c r="W2335" s="20">
        <v>-55.68</v>
      </c>
      <c r="X2335" s="20">
        <v>-55.68</v>
      </c>
      <c r="Y2335" s="20">
        <v>0</v>
      </c>
      <c r="Z2335" s="20">
        <v>0</v>
      </c>
      <c r="AA2335" s="20">
        <v>0</v>
      </c>
      <c r="AB2335" s="20">
        <v>6626.32</v>
      </c>
      <c r="AC2335" t="s">
        <v>183</v>
      </c>
      <c r="AD2335" t="s">
        <v>290</v>
      </c>
      <c r="AE2335" s="702">
        <f t="shared" si="180"/>
        <v>44713</v>
      </c>
      <c r="AF2335" s="289">
        <v>6562.7193387326843</v>
      </c>
      <c r="AG2335">
        <f t="shared" si="181"/>
        <v>360</v>
      </c>
      <c r="AH2335" s="289">
        <f t="shared" si="182"/>
        <v>18.229775940924124</v>
      </c>
      <c r="AJ2335" s="289">
        <f t="shared" si="183"/>
        <v>6</v>
      </c>
      <c r="AK2335" s="289">
        <f t="shared" si="184"/>
        <v>109.37865564554474</v>
      </c>
    </row>
    <row r="2336" spans="1:37">
      <c r="A2336" s="703" t="s">
        <v>4005</v>
      </c>
      <c r="B2336" s="703" t="s">
        <v>3743</v>
      </c>
      <c r="C2336" s="703" t="s">
        <v>332</v>
      </c>
      <c r="D2336" s="703" t="s">
        <v>334</v>
      </c>
      <c r="E2336" s="703" t="s">
        <v>334</v>
      </c>
      <c r="F2336" s="703" t="s">
        <v>335</v>
      </c>
      <c r="G2336" s="703" t="s">
        <v>4006</v>
      </c>
      <c r="H2336" s="703" t="s">
        <v>334</v>
      </c>
      <c r="I2336" s="703" t="s">
        <v>334</v>
      </c>
      <c r="J2336" s="703" t="s">
        <v>337</v>
      </c>
      <c r="K2336" s="704">
        <v>0</v>
      </c>
      <c r="L2336" s="703" t="s">
        <v>334</v>
      </c>
      <c r="M2336" s="702">
        <v>42613</v>
      </c>
      <c r="N2336" s="702">
        <v>44825</v>
      </c>
      <c r="O2336" s="703" t="s">
        <v>338</v>
      </c>
      <c r="P2336" s="20">
        <v>0</v>
      </c>
      <c r="Q2336" s="20">
        <v>0</v>
      </c>
      <c r="R2336" s="20">
        <v>263197.82</v>
      </c>
      <c r="S2336" s="20">
        <v>0</v>
      </c>
      <c r="T2336" s="20">
        <v>263197.82</v>
      </c>
      <c r="U2336" s="20">
        <v>0</v>
      </c>
      <c r="V2336" s="20">
        <v>0</v>
      </c>
      <c r="W2336" s="20">
        <v>-2193.3200000000002</v>
      </c>
      <c r="X2336" s="20">
        <v>-2193.3200000000002</v>
      </c>
      <c r="Y2336" s="20">
        <v>0</v>
      </c>
      <c r="Z2336" s="20">
        <v>0</v>
      </c>
      <c r="AA2336" s="20">
        <v>0</v>
      </c>
      <c r="AB2336" s="20">
        <v>261004.5</v>
      </c>
      <c r="AC2336" t="s">
        <v>183</v>
      </c>
      <c r="AD2336" t="s">
        <v>290</v>
      </c>
      <c r="AE2336" s="702">
        <f t="shared" si="180"/>
        <v>44713</v>
      </c>
      <c r="AF2336" s="289">
        <v>258499.46471509789</v>
      </c>
      <c r="AG2336">
        <f t="shared" si="181"/>
        <v>360</v>
      </c>
      <c r="AH2336" s="289">
        <f t="shared" si="182"/>
        <v>718.05406865304963</v>
      </c>
      <c r="AJ2336" s="289">
        <f t="shared" si="183"/>
        <v>6</v>
      </c>
      <c r="AK2336" s="289">
        <f t="shared" si="184"/>
        <v>4308.3244119182982</v>
      </c>
    </row>
    <row r="2337" spans="1:37">
      <c r="A2337" s="703" t="s">
        <v>4007</v>
      </c>
      <c r="B2337" s="703" t="s">
        <v>3743</v>
      </c>
      <c r="C2337" s="703" t="s">
        <v>332</v>
      </c>
      <c r="D2337" s="703" t="s">
        <v>334</v>
      </c>
      <c r="E2337" s="703" t="s">
        <v>334</v>
      </c>
      <c r="F2337" s="703" t="s">
        <v>335</v>
      </c>
      <c r="G2337" s="703" t="s">
        <v>4008</v>
      </c>
      <c r="H2337" s="703" t="s">
        <v>334</v>
      </c>
      <c r="I2337" s="703" t="s">
        <v>334</v>
      </c>
      <c r="J2337" s="703" t="s">
        <v>337</v>
      </c>
      <c r="K2337" s="704">
        <v>0</v>
      </c>
      <c r="L2337" s="703" t="s">
        <v>334</v>
      </c>
      <c r="M2337" s="702">
        <v>43496</v>
      </c>
      <c r="N2337" s="702">
        <v>44825</v>
      </c>
      <c r="O2337" s="703" t="s">
        <v>338</v>
      </c>
      <c r="P2337" s="20">
        <v>0</v>
      </c>
      <c r="Q2337" s="20">
        <v>0</v>
      </c>
      <c r="R2337" s="20">
        <v>42098.51</v>
      </c>
      <c r="S2337" s="20">
        <v>0</v>
      </c>
      <c r="T2337" s="20">
        <v>42098.51</v>
      </c>
      <c r="U2337" s="20">
        <v>0</v>
      </c>
      <c r="V2337" s="20">
        <v>0</v>
      </c>
      <c r="W2337" s="20">
        <v>-350.82</v>
      </c>
      <c r="X2337" s="20">
        <v>-350.82</v>
      </c>
      <c r="Y2337" s="20">
        <v>0</v>
      </c>
      <c r="Z2337" s="20">
        <v>0</v>
      </c>
      <c r="AA2337" s="20">
        <v>0</v>
      </c>
      <c r="AB2337" s="20">
        <v>41747.69</v>
      </c>
      <c r="AC2337" t="s">
        <v>183</v>
      </c>
      <c r="AD2337" t="s">
        <v>290</v>
      </c>
      <c r="AE2337" s="702">
        <f t="shared" si="180"/>
        <v>44713</v>
      </c>
      <c r="AF2337" s="289">
        <v>41347.007738526081</v>
      </c>
      <c r="AG2337">
        <f t="shared" si="181"/>
        <v>360</v>
      </c>
      <c r="AH2337" s="289">
        <f t="shared" si="182"/>
        <v>114.85279927368356</v>
      </c>
      <c r="AJ2337" s="289">
        <f t="shared" si="183"/>
        <v>6</v>
      </c>
      <c r="AK2337" s="289">
        <f t="shared" si="184"/>
        <v>689.11679564210135</v>
      </c>
    </row>
    <row r="2338" spans="1:37">
      <c r="A2338" s="703" t="s">
        <v>4009</v>
      </c>
      <c r="B2338" s="703" t="s">
        <v>3743</v>
      </c>
      <c r="C2338" s="703" t="s">
        <v>332</v>
      </c>
      <c r="D2338" s="703" t="s">
        <v>334</v>
      </c>
      <c r="E2338" s="703" t="s">
        <v>334</v>
      </c>
      <c r="F2338" s="703" t="s">
        <v>335</v>
      </c>
      <c r="G2338" s="703" t="s">
        <v>4010</v>
      </c>
      <c r="H2338" s="703" t="s">
        <v>334</v>
      </c>
      <c r="I2338" s="703" t="s">
        <v>334</v>
      </c>
      <c r="J2338" s="703" t="s">
        <v>337</v>
      </c>
      <c r="K2338" s="704">
        <v>0</v>
      </c>
      <c r="L2338" s="703" t="s">
        <v>334</v>
      </c>
      <c r="M2338" s="702">
        <v>43496</v>
      </c>
      <c r="N2338" s="702">
        <v>44825</v>
      </c>
      <c r="O2338" s="703" t="s">
        <v>338</v>
      </c>
      <c r="P2338" s="20">
        <v>0</v>
      </c>
      <c r="Q2338" s="20">
        <v>0</v>
      </c>
      <c r="R2338" s="20">
        <v>26702.7</v>
      </c>
      <c r="S2338" s="20">
        <v>0</v>
      </c>
      <c r="T2338" s="20">
        <v>26702.7</v>
      </c>
      <c r="U2338" s="20">
        <v>0</v>
      </c>
      <c r="V2338" s="20">
        <v>0</v>
      </c>
      <c r="W2338" s="20">
        <v>-222.52</v>
      </c>
      <c r="X2338" s="20">
        <v>-222.52</v>
      </c>
      <c r="Y2338" s="20">
        <v>0</v>
      </c>
      <c r="Z2338" s="20">
        <v>0</v>
      </c>
      <c r="AA2338" s="20">
        <v>0</v>
      </c>
      <c r="AB2338" s="20">
        <v>26480.18</v>
      </c>
      <c r="AC2338" t="s">
        <v>183</v>
      </c>
      <c r="AD2338" t="s">
        <v>290</v>
      </c>
      <c r="AE2338" s="702">
        <f t="shared" si="180"/>
        <v>44713</v>
      </c>
      <c r="AF2338" s="289">
        <v>26226.028986288125</v>
      </c>
      <c r="AG2338">
        <f t="shared" si="181"/>
        <v>360</v>
      </c>
      <c r="AH2338" s="289">
        <f t="shared" si="182"/>
        <v>72.850080517467021</v>
      </c>
      <c r="AJ2338" s="289">
        <f t="shared" si="183"/>
        <v>6</v>
      </c>
      <c r="AK2338" s="289">
        <f t="shared" si="184"/>
        <v>437.10048310480215</v>
      </c>
    </row>
    <row r="2339" spans="1:37">
      <c r="A2339" s="703" t="s">
        <v>4011</v>
      </c>
      <c r="B2339" s="703" t="s">
        <v>3743</v>
      </c>
      <c r="C2339" s="703" t="s">
        <v>332</v>
      </c>
      <c r="D2339" s="703" t="s">
        <v>334</v>
      </c>
      <c r="E2339" s="703" t="s">
        <v>334</v>
      </c>
      <c r="F2339" s="703" t="s">
        <v>335</v>
      </c>
      <c r="G2339" s="703" t="s">
        <v>4012</v>
      </c>
      <c r="H2339" s="703" t="s">
        <v>334</v>
      </c>
      <c r="I2339" s="703" t="s">
        <v>334</v>
      </c>
      <c r="J2339" s="703" t="s">
        <v>337</v>
      </c>
      <c r="K2339" s="704">
        <v>0</v>
      </c>
      <c r="L2339" s="703" t="s">
        <v>334</v>
      </c>
      <c r="M2339" s="702">
        <v>43496</v>
      </c>
      <c r="N2339" s="702">
        <v>44825</v>
      </c>
      <c r="O2339" s="703" t="s">
        <v>338</v>
      </c>
      <c r="P2339" s="20">
        <v>0</v>
      </c>
      <c r="Q2339" s="20">
        <v>0</v>
      </c>
      <c r="R2339" s="20">
        <v>1040.32</v>
      </c>
      <c r="S2339" s="20">
        <v>0</v>
      </c>
      <c r="T2339" s="20">
        <v>1040.32</v>
      </c>
      <c r="U2339" s="20">
        <v>0</v>
      </c>
      <c r="V2339" s="20">
        <v>0</v>
      </c>
      <c r="W2339" s="20">
        <v>-8.67</v>
      </c>
      <c r="X2339" s="20">
        <v>-8.67</v>
      </c>
      <c r="Y2339" s="20">
        <v>0</v>
      </c>
      <c r="Z2339" s="20">
        <v>0</v>
      </c>
      <c r="AA2339" s="20">
        <v>0</v>
      </c>
      <c r="AB2339" s="20">
        <v>1031.6500000000001</v>
      </c>
      <c r="AC2339" t="s">
        <v>183</v>
      </c>
      <c r="AD2339" t="s">
        <v>290</v>
      </c>
      <c r="AE2339" s="702">
        <f t="shared" si="180"/>
        <v>44713</v>
      </c>
      <c r="AF2339" s="289">
        <v>1021.7492042008957</v>
      </c>
      <c r="AG2339">
        <f t="shared" si="181"/>
        <v>360</v>
      </c>
      <c r="AH2339" s="289">
        <f t="shared" si="182"/>
        <v>2.8381922338913772</v>
      </c>
      <c r="AJ2339" s="289">
        <f t="shared" si="183"/>
        <v>6</v>
      </c>
      <c r="AK2339" s="289">
        <f t="shared" si="184"/>
        <v>17.029153403348264</v>
      </c>
    </row>
    <row r="2340" spans="1:37">
      <c r="A2340" s="703" t="s">
        <v>4013</v>
      </c>
      <c r="B2340" s="703" t="s">
        <v>3743</v>
      </c>
      <c r="C2340" s="703" t="s">
        <v>332</v>
      </c>
      <c r="D2340" s="703" t="s">
        <v>334</v>
      </c>
      <c r="E2340" s="703" t="s">
        <v>334</v>
      </c>
      <c r="F2340" s="703" t="s">
        <v>335</v>
      </c>
      <c r="G2340" s="703" t="s">
        <v>4014</v>
      </c>
      <c r="H2340" s="703" t="s">
        <v>334</v>
      </c>
      <c r="I2340" s="703" t="s">
        <v>334</v>
      </c>
      <c r="J2340" s="703" t="s">
        <v>337</v>
      </c>
      <c r="K2340" s="704">
        <v>0</v>
      </c>
      <c r="L2340" s="703" t="s">
        <v>334</v>
      </c>
      <c r="M2340" s="702">
        <v>42886</v>
      </c>
      <c r="N2340" s="702">
        <v>44825</v>
      </c>
      <c r="O2340" s="703" t="s">
        <v>338</v>
      </c>
      <c r="P2340" s="20">
        <v>0</v>
      </c>
      <c r="Q2340" s="20">
        <v>0</v>
      </c>
      <c r="R2340" s="20">
        <v>8718.6</v>
      </c>
      <c r="S2340" s="20">
        <v>0</v>
      </c>
      <c r="T2340" s="20">
        <v>8718.6</v>
      </c>
      <c r="U2340" s="20">
        <v>0</v>
      </c>
      <c r="V2340" s="20">
        <v>0</v>
      </c>
      <c r="W2340" s="20">
        <v>-72.66</v>
      </c>
      <c r="X2340" s="20">
        <v>-72.66</v>
      </c>
      <c r="Y2340" s="20">
        <v>0</v>
      </c>
      <c r="Z2340" s="20">
        <v>0</v>
      </c>
      <c r="AA2340" s="20">
        <v>0</v>
      </c>
      <c r="AB2340" s="20">
        <v>8645.94</v>
      </c>
      <c r="AC2340" t="s">
        <v>183</v>
      </c>
      <c r="AD2340" t="s">
        <v>290</v>
      </c>
      <c r="AE2340" s="702">
        <f t="shared" si="180"/>
        <v>44713</v>
      </c>
      <c r="AF2340" s="289">
        <v>8562.9639070150824</v>
      </c>
      <c r="AG2340">
        <f t="shared" si="181"/>
        <v>360</v>
      </c>
      <c r="AH2340" s="289">
        <f t="shared" si="182"/>
        <v>23.786010852819672</v>
      </c>
      <c r="AJ2340" s="289">
        <f t="shared" si="183"/>
        <v>6</v>
      </c>
      <c r="AK2340" s="289">
        <f t="shared" si="184"/>
        <v>142.71606511691803</v>
      </c>
    </row>
    <row r="2341" spans="1:37">
      <c r="A2341" s="703" t="s">
        <v>4015</v>
      </c>
      <c r="B2341" s="703" t="s">
        <v>3743</v>
      </c>
      <c r="C2341" s="703" t="s">
        <v>332</v>
      </c>
      <c r="D2341" s="703" t="s">
        <v>334</v>
      </c>
      <c r="E2341" s="703" t="s">
        <v>334</v>
      </c>
      <c r="F2341" s="703" t="s">
        <v>335</v>
      </c>
      <c r="G2341" s="703" t="s">
        <v>4016</v>
      </c>
      <c r="H2341" s="703" t="s">
        <v>334</v>
      </c>
      <c r="I2341" s="703" t="s">
        <v>334</v>
      </c>
      <c r="J2341" s="703" t="s">
        <v>337</v>
      </c>
      <c r="K2341" s="704">
        <v>0</v>
      </c>
      <c r="L2341" s="703" t="s">
        <v>334</v>
      </c>
      <c r="M2341" s="702">
        <v>43708</v>
      </c>
      <c r="N2341" s="702">
        <v>44825</v>
      </c>
      <c r="O2341" s="703" t="s">
        <v>338</v>
      </c>
      <c r="P2341" s="20">
        <v>0</v>
      </c>
      <c r="Q2341" s="20">
        <v>0</v>
      </c>
      <c r="R2341" s="20">
        <v>12982.59</v>
      </c>
      <c r="S2341" s="20">
        <v>0</v>
      </c>
      <c r="T2341" s="20">
        <v>12982.59</v>
      </c>
      <c r="U2341" s="20">
        <v>0</v>
      </c>
      <c r="V2341" s="20">
        <v>0</v>
      </c>
      <c r="W2341" s="20">
        <v>-108.19</v>
      </c>
      <c r="X2341" s="20">
        <v>-108.19</v>
      </c>
      <c r="Y2341" s="20">
        <v>0</v>
      </c>
      <c r="Z2341" s="20">
        <v>0</v>
      </c>
      <c r="AA2341" s="20">
        <v>0</v>
      </c>
      <c r="AB2341" s="20">
        <v>12874.4</v>
      </c>
      <c r="AC2341" t="s">
        <v>183</v>
      </c>
      <c r="AD2341" t="s">
        <v>290</v>
      </c>
      <c r="AE2341" s="702">
        <f t="shared" si="180"/>
        <v>44713</v>
      </c>
      <c r="AF2341" s="289">
        <v>12750.837243316006</v>
      </c>
      <c r="AG2341">
        <f t="shared" si="181"/>
        <v>360</v>
      </c>
      <c r="AH2341" s="289">
        <f t="shared" si="182"/>
        <v>35.418992342544463</v>
      </c>
      <c r="AJ2341" s="289">
        <f t="shared" si="183"/>
        <v>6</v>
      </c>
      <c r="AK2341" s="289">
        <f t="shared" si="184"/>
        <v>212.51395405526677</v>
      </c>
    </row>
    <row r="2342" spans="1:37">
      <c r="A2342" s="703" t="s">
        <v>4017</v>
      </c>
      <c r="B2342" s="703" t="s">
        <v>3743</v>
      </c>
      <c r="C2342" s="703" t="s">
        <v>332</v>
      </c>
      <c r="D2342" s="703" t="s">
        <v>334</v>
      </c>
      <c r="E2342" s="703" t="s">
        <v>334</v>
      </c>
      <c r="F2342" s="703" t="s">
        <v>335</v>
      </c>
      <c r="G2342" s="703" t="s">
        <v>4018</v>
      </c>
      <c r="H2342" s="703" t="s">
        <v>334</v>
      </c>
      <c r="I2342" s="703" t="s">
        <v>334</v>
      </c>
      <c r="J2342" s="703" t="s">
        <v>337</v>
      </c>
      <c r="K2342" s="704">
        <v>0</v>
      </c>
      <c r="L2342" s="703" t="s">
        <v>334</v>
      </c>
      <c r="M2342" s="702">
        <v>44196</v>
      </c>
      <c r="N2342" s="702">
        <v>44825</v>
      </c>
      <c r="O2342" s="703" t="s">
        <v>338</v>
      </c>
      <c r="P2342" s="20">
        <v>0</v>
      </c>
      <c r="Q2342" s="20">
        <v>0</v>
      </c>
      <c r="R2342" s="20">
        <v>11686.57</v>
      </c>
      <c r="S2342" s="20">
        <v>0</v>
      </c>
      <c r="T2342" s="20">
        <v>11686.57</v>
      </c>
      <c r="U2342" s="20">
        <v>0</v>
      </c>
      <c r="V2342" s="20">
        <v>0</v>
      </c>
      <c r="W2342" s="20">
        <v>-97.39</v>
      </c>
      <c r="X2342" s="20">
        <v>-97.39</v>
      </c>
      <c r="Y2342" s="20">
        <v>0</v>
      </c>
      <c r="Z2342" s="20">
        <v>0</v>
      </c>
      <c r="AA2342" s="20">
        <v>0</v>
      </c>
      <c r="AB2342" s="20">
        <v>11589.18</v>
      </c>
      <c r="AC2342" t="s">
        <v>183</v>
      </c>
      <c r="AD2342" t="s">
        <v>290</v>
      </c>
      <c r="AE2342" s="702">
        <f t="shared" si="180"/>
        <v>44713</v>
      </c>
      <c r="AF2342" s="289">
        <v>11477.952550501828</v>
      </c>
      <c r="AG2342">
        <f t="shared" si="181"/>
        <v>360</v>
      </c>
      <c r="AH2342" s="289">
        <f t="shared" si="182"/>
        <v>31.883201529171746</v>
      </c>
      <c r="AJ2342" s="289">
        <f t="shared" si="183"/>
        <v>6</v>
      </c>
      <c r="AK2342" s="289">
        <f t="shared" si="184"/>
        <v>191.29920917503048</v>
      </c>
    </row>
    <row r="2343" spans="1:37">
      <c r="A2343" s="703" t="s">
        <v>4019</v>
      </c>
      <c r="B2343" s="703" t="s">
        <v>3743</v>
      </c>
      <c r="C2343" s="703" t="s">
        <v>332</v>
      </c>
      <c r="D2343" s="703" t="s">
        <v>334</v>
      </c>
      <c r="E2343" s="703" t="s">
        <v>334</v>
      </c>
      <c r="F2343" s="703" t="s">
        <v>335</v>
      </c>
      <c r="G2343" s="703" t="s">
        <v>4020</v>
      </c>
      <c r="H2343" s="703" t="s">
        <v>334</v>
      </c>
      <c r="I2343" s="703" t="s">
        <v>334</v>
      </c>
      <c r="J2343" s="703" t="s">
        <v>337</v>
      </c>
      <c r="K2343" s="704">
        <v>0</v>
      </c>
      <c r="L2343" s="703" t="s">
        <v>334</v>
      </c>
      <c r="M2343" s="702">
        <v>43708</v>
      </c>
      <c r="N2343" s="702">
        <v>44825</v>
      </c>
      <c r="O2343" s="703" t="s">
        <v>338</v>
      </c>
      <c r="P2343" s="20">
        <v>0</v>
      </c>
      <c r="Q2343" s="20">
        <v>0</v>
      </c>
      <c r="R2343" s="20">
        <v>232157.64</v>
      </c>
      <c r="S2343" s="20">
        <v>0</v>
      </c>
      <c r="T2343" s="20">
        <v>232157.64</v>
      </c>
      <c r="U2343" s="20">
        <v>0</v>
      </c>
      <c r="V2343" s="20">
        <v>0</v>
      </c>
      <c r="W2343" s="20">
        <v>-1934.65</v>
      </c>
      <c r="X2343" s="20">
        <v>-1934.65</v>
      </c>
      <c r="Y2343" s="20">
        <v>0</v>
      </c>
      <c r="Z2343" s="20">
        <v>0</v>
      </c>
      <c r="AA2343" s="20">
        <v>0</v>
      </c>
      <c r="AB2343" s="20">
        <v>230222.99</v>
      </c>
      <c r="AC2343" t="s">
        <v>183</v>
      </c>
      <c r="AD2343" t="s">
        <v>290</v>
      </c>
      <c r="AE2343" s="702">
        <f t="shared" si="180"/>
        <v>44713</v>
      </c>
      <c r="AF2343" s="289">
        <v>228013.38426557029</v>
      </c>
      <c r="AG2343">
        <f t="shared" si="181"/>
        <v>360</v>
      </c>
      <c r="AH2343" s="289">
        <f t="shared" si="182"/>
        <v>633.37051184880636</v>
      </c>
      <c r="AJ2343" s="289">
        <f t="shared" si="183"/>
        <v>6</v>
      </c>
      <c r="AK2343" s="289">
        <f t="shared" si="184"/>
        <v>3800.2230710928379</v>
      </c>
    </row>
    <row r="2344" spans="1:37">
      <c r="A2344" s="703" t="s">
        <v>4021</v>
      </c>
      <c r="B2344" s="703" t="s">
        <v>3743</v>
      </c>
      <c r="C2344" s="703" t="s">
        <v>332</v>
      </c>
      <c r="D2344" s="703" t="s">
        <v>334</v>
      </c>
      <c r="E2344" s="703" t="s">
        <v>334</v>
      </c>
      <c r="F2344" s="703" t="s">
        <v>335</v>
      </c>
      <c r="G2344" s="703" t="s">
        <v>4022</v>
      </c>
      <c r="H2344" s="703" t="s">
        <v>334</v>
      </c>
      <c r="I2344" s="703" t="s">
        <v>334</v>
      </c>
      <c r="J2344" s="703" t="s">
        <v>337</v>
      </c>
      <c r="K2344" s="704">
        <v>0</v>
      </c>
      <c r="L2344" s="703" t="s">
        <v>334</v>
      </c>
      <c r="M2344" s="702">
        <v>44196</v>
      </c>
      <c r="N2344" s="702">
        <v>44825</v>
      </c>
      <c r="O2344" s="703" t="s">
        <v>338</v>
      </c>
      <c r="P2344" s="20">
        <v>0</v>
      </c>
      <c r="Q2344" s="20">
        <v>0</v>
      </c>
      <c r="R2344" s="20">
        <v>111158.42</v>
      </c>
      <c r="S2344" s="20">
        <v>0</v>
      </c>
      <c r="T2344" s="20">
        <v>111158.42</v>
      </c>
      <c r="U2344" s="20">
        <v>0</v>
      </c>
      <c r="V2344" s="20">
        <v>0</v>
      </c>
      <c r="W2344" s="20">
        <v>-926.32</v>
      </c>
      <c r="X2344" s="20">
        <v>-926.32</v>
      </c>
      <c r="Y2344" s="20">
        <v>0</v>
      </c>
      <c r="Z2344" s="20">
        <v>0</v>
      </c>
      <c r="AA2344" s="20">
        <v>0</v>
      </c>
      <c r="AB2344" s="20">
        <v>110232.1</v>
      </c>
      <c r="AC2344" t="s">
        <v>183</v>
      </c>
      <c r="AD2344" t="s">
        <v>290</v>
      </c>
      <c r="AE2344" s="702">
        <f t="shared" si="180"/>
        <v>44713</v>
      </c>
      <c r="AF2344" s="289">
        <v>109174.12639882819</v>
      </c>
      <c r="AG2344">
        <f t="shared" si="181"/>
        <v>360</v>
      </c>
      <c r="AH2344" s="289">
        <f t="shared" si="182"/>
        <v>303.26146221896721</v>
      </c>
      <c r="AJ2344" s="289">
        <f t="shared" si="183"/>
        <v>6</v>
      </c>
      <c r="AK2344" s="289">
        <f t="shared" si="184"/>
        <v>1819.5687733138034</v>
      </c>
    </row>
    <row r="2345" spans="1:37">
      <c r="A2345" s="703" t="s">
        <v>4023</v>
      </c>
      <c r="B2345" s="703" t="s">
        <v>3743</v>
      </c>
      <c r="C2345" s="703" t="s">
        <v>332</v>
      </c>
      <c r="D2345" s="703" t="s">
        <v>334</v>
      </c>
      <c r="E2345" s="703" t="s">
        <v>334</v>
      </c>
      <c r="F2345" s="703" t="s">
        <v>335</v>
      </c>
      <c r="G2345" s="703" t="s">
        <v>4024</v>
      </c>
      <c r="H2345" s="703" t="s">
        <v>334</v>
      </c>
      <c r="I2345" s="703" t="s">
        <v>334</v>
      </c>
      <c r="J2345" s="703" t="s">
        <v>337</v>
      </c>
      <c r="K2345" s="704">
        <v>0</v>
      </c>
      <c r="L2345" s="703" t="s">
        <v>334</v>
      </c>
      <c r="M2345" s="702">
        <v>42886</v>
      </c>
      <c r="N2345" s="702">
        <v>44825</v>
      </c>
      <c r="O2345" s="703" t="s">
        <v>338</v>
      </c>
      <c r="P2345" s="20">
        <v>0</v>
      </c>
      <c r="Q2345" s="20">
        <v>0</v>
      </c>
      <c r="R2345" s="20">
        <v>164.24</v>
      </c>
      <c r="S2345" s="20">
        <v>0</v>
      </c>
      <c r="T2345" s="20">
        <v>164.24</v>
      </c>
      <c r="U2345" s="20">
        <v>0</v>
      </c>
      <c r="V2345" s="20">
        <v>0</v>
      </c>
      <c r="W2345" s="20">
        <v>-1.37</v>
      </c>
      <c r="X2345" s="20">
        <v>-1.37</v>
      </c>
      <c r="Y2345" s="20">
        <v>0</v>
      </c>
      <c r="Z2345" s="20">
        <v>0</v>
      </c>
      <c r="AA2345" s="20">
        <v>0</v>
      </c>
      <c r="AB2345" s="20">
        <v>162.87</v>
      </c>
      <c r="AC2345" t="s">
        <v>183</v>
      </c>
      <c r="AD2345" t="s">
        <v>290</v>
      </c>
      <c r="AE2345" s="702">
        <f t="shared" si="180"/>
        <v>44713</v>
      </c>
      <c r="AF2345" s="289">
        <v>161.30814489575818</v>
      </c>
      <c r="AG2345">
        <f t="shared" si="181"/>
        <v>360</v>
      </c>
      <c r="AH2345" s="289">
        <f t="shared" si="182"/>
        <v>0.44807818026599494</v>
      </c>
      <c r="AJ2345" s="289">
        <f t="shared" si="183"/>
        <v>6</v>
      </c>
      <c r="AK2345" s="289">
        <f t="shared" si="184"/>
        <v>2.6884690815959695</v>
      </c>
    </row>
    <row r="2346" spans="1:37">
      <c r="A2346" s="703" t="s">
        <v>4025</v>
      </c>
      <c r="B2346" s="703" t="s">
        <v>3743</v>
      </c>
      <c r="C2346" s="703" t="s">
        <v>332</v>
      </c>
      <c r="D2346" s="703" t="s">
        <v>334</v>
      </c>
      <c r="E2346" s="703" t="s">
        <v>334</v>
      </c>
      <c r="F2346" s="703" t="s">
        <v>335</v>
      </c>
      <c r="G2346" s="703" t="s">
        <v>4026</v>
      </c>
      <c r="H2346" s="703" t="s">
        <v>334</v>
      </c>
      <c r="I2346" s="703" t="s">
        <v>334</v>
      </c>
      <c r="J2346" s="703" t="s">
        <v>337</v>
      </c>
      <c r="K2346" s="704">
        <v>0</v>
      </c>
      <c r="L2346" s="703" t="s">
        <v>334</v>
      </c>
      <c r="M2346" s="702">
        <v>39478</v>
      </c>
      <c r="N2346" s="702">
        <v>44825</v>
      </c>
      <c r="O2346" s="703" t="s">
        <v>338</v>
      </c>
      <c r="P2346" s="20">
        <v>0</v>
      </c>
      <c r="Q2346" s="20">
        <v>0</v>
      </c>
      <c r="R2346" s="20">
        <v>6835.14</v>
      </c>
      <c r="S2346" s="20">
        <v>0</v>
      </c>
      <c r="T2346" s="20">
        <v>6835.14</v>
      </c>
      <c r="U2346" s="20">
        <v>0</v>
      </c>
      <c r="V2346" s="20">
        <v>0</v>
      </c>
      <c r="W2346" s="20">
        <v>-56.96</v>
      </c>
      <c r="X2346" s="20">
        <v>-56.96</v>
      </c>
      <c r="Y2346" s="20">
        <v>0</v>
      </c>
      <c r="Z2346" s="20">
        <v>0</v>
      </c>
      <c r="AA2346" s="20">
        <v>0</v>
      </c>
      <c r="AB2346" s="20">
        <v>6778.18</v>
      </c>
      <c r="AC2346" t="s">
        <v>183</v>
      </c>
      <c r="AD2346" t="s">
        <v>290</v>
      </c>
      <c r="AE2346" s="702">
        <f t="shared" si="180"/>
        <v>44713</v>
      </c>
      <c r="AF2346" s="289">
        <v>6713.1256301923549</v>
      </c>
      <c r="AG2346">
        <f t="shared" si="181"/>
        <v>360</v>
      </c>
      <c r="AH2346" s="289">
        <f t="shared" si="182"/>
        <v>18.647571194978763</v>
      </c>
      <c r="AJ2346" s="289">
        <f t="shared" si="183"/>
        <v>6</v>
      </c>
      <c r="AK2346" s="289">
        <f t="shared" si="184"/>
        <v>111.88542716987257</v>
      </c>
    </row>
    <row r="2347" spans="1:37">
      <c r="A2347" s="703" t="s">
        <v>4027</v>
      </c>
      <c r="B2347" s="703" t="s">
        <v>3743</v>
      </c>
      <c r="C2347" s="703" t="s">
        <v>332</v>
      </c>
      <c r="D2347" s="703" t="s">
        <v>334</v>
      </c>
      <c r="E2347" s="703" t="s">
        <v>334</v>
      </c>
      <c r="F2347" s="703" t="s">
        <v>335</v>
      </c>
      <c r="G2347" s="703" t="s">
        <v>4028</v>
      </c>
      <c r="H2347" s="703" t="s">
        <v>334</v>
      </c>
      <c r="I2347" s="703" t="s">
        <v>334</v>
      </c>
      <c r="J2347" s="703" t="s">
        <v>337</v>
      </c>
      <c r="K2347" s="704">
        <v>0</v>
      </c>
      <c r="L2347" s="703" t="s">
        <v>334</v>
      </c>
      <c r="M2347" s="702">
        <v>42886</v>
      </c>
      <c r="N2347" s="702">
        <v>44825</v>
      </c>
      <c r="O2347" s="703" t="s">
        <v>338</v>
      </c>
      <c r="P2347" s="20">
        <v>0</v>
      </c>
      <c r="Q2347" s="20">
        <v>0</v>
      </c>
      <c r="R2347" s="20">
        <v>9534.32</v>
      </c>
      <c r="S2347" s="20">
        <v>0</v>
      </c>
      <c r="T2347" s="20">
        <v>9534.32</v>
      </c>
      <c r="U2347" s="20">
        <v>0</v>
      </c>
      <c r="V2347" s="20">
        <v>0</v>
      </c>
      <c r="W2347" s="20">
        <v>-79.45</v>
      </c>
      <c r="X2347" s="20">
        <v>-79.45</v>
      </c>
      <c r="Y2347" s="20">
        <v>0</v>
      </c>
      <c r="Z2347" s="20">
        <v>0</v>
      </c>
      <c r="AA2347" s="20">
        <v>0</v>
      </c>
      <c r="AB2347" s="20">
        <v>9454.8700000000008</v>
      </c>
      <c r="AC2347" t="s">
        <v>183</v>
      </c>
      <c r="AD2347" t="s">
        <v>290</v>
      </c>
      <c r="AE2347" s="702">
        <f t="shared" si="180"/>
        <v>44713</v>
      </c>
      <c r="AF2347" s="289">
        <v>9364.1224552029053</v>
      </c>
      <c r="AG2347">
        <f t="shared" si="181"/>
        <v>360</v>
      </c>
      <c r="AH2347" s="289">
        <f t="shared" si="182"/>
        <v>26.011451264452514</v>
      </c>
      <c r="AJ2347" s="289">
        <f t="shared" si="183"/>
        <v>6</v>
      </c>
      <c r="AK2347" s="289">
        <f t="shared" si="184"/>
        <v>156.06870758671508</v>
      </c>
    </row>
    <row r="2348" spans="1:37">
      <c r="A2348" s="703" t="s">
        <v>4029</v>
      </c>
      <c r="B2348" s="703" t="s">
        <v>3743</v>
      </c>
      <c r="C2348" s="703" t="s">
        <v>332</v>
      </c>
      <c r="D2348" s="703" t="s">
        <v>334</v>
      </c>
      <c r="E2348" s="703" t="s">
        <v>334</v>
      </c>
      <c r="F2348" s="703" t="s">
        <v>335</v>
      </c>
      <c r="G2348" s="703" t="s">
        <v>4030</v>
      </c>
      <c r="H2348" s="703" t="s">
        <v>334</v>
      </c>
      <c r="I2348" s="703" t="s">
        <v>334</v>
      </c>
      <c r="J2348" s="703" t="s">
        <v>337</v>
      </c>
      <c r="K2348" s="704">
        <v>0</v>
      </c>
      <c r="L2348" s="703" t="s">
        <v>334</v>
      </c>
      <c r="M2348" s="702">
        <v>39478</v>
      </c>
      <c r="N2348" s="702">
        <v>44825</v>
      </c>
      <c r="O2348" s="703" t="s">
        <v>338</v>
      </c>
      <c r="P2348" s="20">
        <v>0</v>
      </c>
      <c r="Q2348" s="20">
        <v>0</v>
      </c>
      <c r="R2348" s="20">
        <v>10132.94</v>
      </c>
      <c r="S2348" s="20">
        <v>0</v>
      </c>
      <c r="T2348" s="20">
        <v>10132.94</v>
      </c>
      <c r="U2348" s="20">
        <v>0</v>
      </c>
      <c r="V2348" s="20">
        <v>0</v>
      </c>
      <c r="W2348" s="20">
        <v>-84.44</v>
      </c>
      <c r="X2348" s="20">
        <v>-84.44</v>
      </c>
      <c r="Y2348" s="20">
        <v>0</v>
      </c>
      <c r="Z2348" s="20">
        <v>0</v>
      </c>
      <c r="AA2348" s="20">
        <v>0</v>
      </c>
      <c r="AB2348" s="20">
        <v>10048.5</v>
      </c>
      <c r="AC2348" t="s">
        <v>183</v>
      </c>
      <c r="AD2348" t="s">
        <v>290</v>
      </c>
      <c r="AE2348" s="702">
        <f t="shared" si="180"/>
        <v>44713</v>
      </c>
      <c r="AF2348" s="289">
        <v>9952.0564645641971</v>
      </c>
      <c r="AG2348">
        <f t="shared" si="181"/>
        <v>360</v>
      </c>
      <c r="AH2348" s="289">
        <f t="shared" si="182"/>
        <v>27.644601290456102</v>
      </c>
      <c r="AJ2348" s="289">
        <f t="shared" si="183"/>
        <v>6</v>
      </c>
      <c r="AK2348" s="289">
        <f t="shared" si="184"/>
        <v>165.8676077427366</v>
      </c>
    </row>
    <row r="2349" spans="1:37">
      <c r="A2349" s="703" t="s">
        <v>4031</v>
      </c>
      <c r="B2349" s="703" t="s">
        <v>3743</v>
      </c>
      <c r="C2349" s="703" t="s">
        <v>332</v>
      </c>
      <c r="D2349" s="703" t="s">
        <v>334</v>
      </c>
      <c r="E2349" s="703" t="s">
        <v>334</v>
      </c>
      <c r="F2349" s="703" t="s">
        <v>335</v>
      </c>
      <c r="G2349" s="703" t="s">
        <v>4032</v>
      </c>
      <c r="H2349" s="703" t="s">
        <v>334</v>
      </c>
      <c r="I2349" s="703" t="s">
        <v>334</v>
      </c>
      <c r="J2349" s="703" t="s">
        <v>337</v>
      </c>
      <c r="K2349" s="704">
        <v>0</v>
      </c>
      <c r="L2349" s="703" t="s">
        <v>334</v>
      </c>
      <c r="M2349" s="702">
        <v>39478</v>
      </c>
      <c r="N2349" s="702">
        <v>44825</v>
      </c>
      <c r="O2349" s="703" t="s">
        <v>338</v>
      </c>
      <c r="P2349" s="20">
        <v>0</v>
      </c>
      <c r="Q2349" s="20">
        <v>0</v>
      </c>
      <c r="R2349" s="20">
        <v>880.34</v>
      </c>
      <c r="S2349" s="20">
        <v>0</v>
      </c>
      <c r="T2349" s="20">
        <v>880.34</v>
      </c>
      <c r="U2349" s="20">
        <v>0</v>
      </c>
      <c r="V2349" s="20">
        <v>0</v>
      </c>
      <c r="W2349" s="20">
        <v>-7.34</v>
      </c>
      <c r="X2349" s="20">
        <v>-7.34</v>
      </c>
      <c r="Y2349" s="20">
        <v>0</v>
      </c>
      <c r="Z2349" s="20">
        <v>0</v>
      </c>
      <c r="AA2349" s="20">
        <v>0</v>
      </c>
      <c r="AB2349" s="20">
        <v>873</v>
      </c>
      <c r="AC2349" t="s">
        <v>183</v>
      </c>
      <c r="AD2349" t="s">
        <v>290</v>
      </c>
      <c r="AE2349" s="702">
        <f t="shared" si="180"/>
        <v>44713</v>
      </c>
      <c r="AF2349" s="289">
        <v>864.62501386709539</v>
      </c>
      <c r="AG2349">
        <f t="shared" si="181"/>
        <v>360</v>
      </c>
      <c r="AH2349" s="289">
        <f t="shared" si="182"/>
        <v>2.4017361496308207</v>
      </c>
      <c r="AJ2349" s="289">
        <f t="shared" si="183"/>
        <v>6</v>
      </c>
      <c r="AK2349" s="289">
        <f t="shared" si="184"/>
        <v>14.410416897784923</v>
      </c>
    </row>
    <row r="2350" spans="1:37">
      <c r="A2350" s="703" t="s">
        <v>4033</v>
      </c>
      <c r="B2350" s="703" t="s">
        <v>3743</v>
      </c>
      <c r="C2350" s="703" t="s">
        <v>332</v>
      </c>
      <c r="D2350" s="703" t="s">
        <v>334</v>
      </c>
      <c r="E2350" s="703" t="s">
        <v>334</v>
      </c>
      <c r="F2350" s="703" t="s">
        <v>335</v>
      </c>
      <c r="G2350" s="703" t="s">
        <v>4034</v>
      </c>
      <c r="H2350" s="703" t="s">
        <v>334</v>
      </c>
      <c r="I2350" s="703" t="s">
        <v>334</v>
      </c>
      <c r="J2350" s="703" t="s">
        <v>337</v>
      </c>
      <c r="K2350" s="704">
        <v>0</v>
      </c>
      <c r="L2350" s="703" t="s">
        <v>334</v>
      </c>
      <c r="M2350" s="702">
        <v>42886</v>
      </c>
      <c r="N2350" s="702">
        <v>44825</v>
      </c>
      <c r="O2350" s="703" t="s">
        <v>338</v>
      </c>
      <c r="P2350" s="20">
        <v>0</v>
      </c>
      <c r="Q2350" s="20">
        <v>0</v>
      </c>
      <c r="R2350" s="20">
        <v>5035.4799999999996</v>
      </c>
      <c r="S2350" s="20">
        <v>0</v>
      </c>
      <c r="T2350" s="20">
        <v>5035.4799999999996</v>
      </c>
      <c r="U2350" s="20">
        <v>0</v>
      </c>
      <c r="V2350" s="20">
        <v>0</v>
      </c>
      <c r="W2350" s="20">
        <v>-41.96</v>
      </c>
      <c r="X2350" s="20">
        <v>-41.96</v>
      </c>
      <c r="Y2350" s="20">
        <v>0</v>
      </c>
      <c r="Z2350" s="20">
        <v>0</v>
      </c>
      <c r="AA2350" s="20">
        <v>0</v>
      </c>
      <c r="AB2350" s="20">
        <v>4993.5200000000004</v>
      </c>
      <c r="AC2350" t="s">
        <v>183</v>
      </c>
      <c r="AD2350" t="s">
        <v>290</v>
      </c>
      <c r="AE2350" s="702">
        <f t="shared" si="180"/>
        <v>44713</v>
      </c>
      <c r="AF2350" s="289">
        <v>4945.5914360672932</v>
      </c>
      <c r="AG2350">
        <f t="shared" si="181"/>
        <v>360</v>
      </c>
      <c r="AH2350" s="289">
        <f t="shared" si="182"/>
        <v>13.737753989075815</v>
      </c>
      <c r="AJ2350" s="289">
        <f t="shared" si="183"/>
        <v>6</v>
      </c>
      <c r="AK2350" s="289">
        <f t="shared" si="184"/>
        <v>82.426523934454892</v>
      </c>
    </row>
    <row r="2351" spans="1:37">
      <c r="A2351" s="703" t="s">
        <v>4035</v>
      </c>
      <c r="B2351" s="703" t="s">
        <v>3743</v>
      </c>
      <c r="C2351" s="703" t="s">
        <v>332</v>
      </c>
      <c r="D2351" s="703" t="s">
        <v>334</v>
      </c>
      <c r="E2351" s="703" t="s">
        <v>334</v>
      </c>
      <c r="F2351" s="703" t="s">
        <v>335</v>
      </c>
      <c r="G2351" s="703" t="s">
        <v>4036</v>
      </c>
      <c r="H2351" s="703" t="s">
        <v>334</v>
      </c>
      <c r="I2351" s="703" t="s">
        <v>334</v>
      </c>
      <c r="J2351" s="703" t="s">
        <v>337</v>
      </c>
      <c r="K2351" s="704">
        <v>0</v>
      </c>
      <c r="L2351" s="703" t="s">
        <v>334</v>
      </c>
      <c r="M2351" s="702">
        <v>42886</v>
      </c>
      <c r="N2351" s="702">
        <v>44825</v>
      </c>
      <c r="O2351" s="703" t="s">
        <v>338</v>
      </c>
      <c r="P2351" s="20">
        <v>0</v>
      </c>
      <c r="Q2351" s="20">
        <v>0</v>
      </c>
      <c r="R2351" s="20">
        <v>21975.14</v>
      </c>
      <c r="S2351" s="20">
        <v>0</v>
      </c>
      <c r="T2351" s="20">
        <v>21975.14</v>
      </c>
      <c r="U2351" s="20">
        <v>0</v>
      </c>
      <c r="V2351" s="20">
        <v>0</v>
      </c>
      <c r="W2351" s="20">
        <v>-183.13</v>
      </c>
      <c r="X2351" s="20">
        <v>-183.13</v>
      </c>
      <c r="Y2351" s="20">
        <v>0</v>
      </c>
      <c r="Z2351" s="20">
        <v>0</v>
      </c>
      <c r="AA2351" s="20">
        <v>0</v>
      </c>
      <c r="AB2351" s="20">
        <v>21792.01</v>
      </c>
      <c r="AC2351" t="s">
        <v>183</v>
      </c>
      <c r="AD2351" t="s">
        <v>290</v>
      </c>
      <c r="AE2351" s="702">
        <f t="shared" si="180"/>
        <v>44713</v>
      </c>
      <c r="AF2351" s="289">
        <v>21582.860857431628</v>
      </c>
      <c r="AG2351">
        <f t="shared" si="181"/>
        <v>360</v>
      </c>
      <c r="AH2351" s="289">
        <f t="shared" si="182"/>
        <v>59.95239127064341</v>
      </c>
      <c r="AJ2351" s="289">
        <f t="shared" si="183"/>
        <v>6</v>
      </c>
      <c r="AK2351" s="289">
        <f t="shared" si="184"/>
        <v>359.71434762386048</v>
      </c>
    </row>
    <row r="2352" spans="1:37">
      <c r="A2352" s="703" t="s">
        <v>4037</v>
      </c>
      <c r="B2352" s="703" t="s">
        <v>3743</v>
      </c>
      <c r="C2352" s="703" t="s">
        <v>332</v>
      </c>
      <c r="D2352" s="703" t="s">
        <v>334</v>
      </c>
      <c r="E2352" s="703" t="s">
        <v>334</v>
      </c>
      <c r="F2352" s="703" t="s">
        <v>335</v>
      </c>
      <c r="G2352" s="703" t="s">
        <v>4038</v>
      </c>
      <c r="H2352" s="703" t="s">
        <v>334</v>
      </c>
      <c r="I2352" s="703" t="s">
        <v>334</v>
      </c>
      <c r="J2352" s="703" t="s">
        <v>337</v>
      </c>
      <c r="K2352" s="704">
        <v>0</v>
      </c>
      <c r="L2352" s="703" t="s">
        <v>334</v>
      </c>
      <c r="M2352" s="702">
        <v>39478</v>
      </c>
      <c r="N2352" s="702">
        <v>44825</v>
      </c>
      <c r="O2352" s="703" t="s">
        <v>338</v>
      </c>
      <c r="P2352" s="20">
        <v>0</v>
      </c>
      <c r="Q2352" s="20">
        <v>0</v>
      </c>
      <c r="R2352" s="20">
        <v>18272.900000000001</v>
      </c>
      <c r="S2352" s="20">
        <v>0</v>
      </c>
      <c r="T2352" s="20">
        <v>18272.900000000001</v>
      </c>
      <c r="U2352" s="20">
        <v>0</v>
      </c>
      <c r="V2352" s="20">
        <v>0</v>
      </c>
      <c r="W2352" s="20">
        <v>-152.27000000000001</v>
      </c>
      <c r="X2352" s="20">
        <v>-152.27000000000001</v>
      </c>
      <c r="Y2352" s="20">
        <v>0</v>
      </c>
      <c r="Z2352" s="20">
        <v>0</v>
      </c>
      <c r="AA2352" s="20">
        <v>0</v>
      </c>
      <c r="AB2352" s="20">
        <v>18120.63</v>
      </c>
      <c r="AC2352" t="s">
        <v>183</v>
      </c>
      <c r="AD2352" t="s">
        <v>290</v>
      </c>
      <c r="AE2352" s="702">
        <f t="shared" si="180"/>
        <v>44713</v>
      </c>
      <c r="AF2352" s="289">
        <v>17946.709698402945</v>
      </c>
      <c r="AG2352">
        <f t="shared" si="181"/>
        <v>360</v>
      </c>
      <c r="AH2352" s="289">
        <f t="shared" si="182"/>
        <v>49.851971384452625</v>
      </c>
      <c r="AJ2352" s="289">
        <f t="shared" si="183"/>
        <v>6</v>
      </c>
      <c r="AK2352" s="289">
        <f t="shared" si="184"/>
        <v>299.11182830671578</v>
      </c>
    </row>
    <row r="2353" spans="1:37">
      <c r="A2353" s="703" t="s">
        <v>4039</v>
      </c>
      <c r="B2353" s="703" t="s">
        <v>3743</v>
      </c>
      <c r="C2353" s="703" t="s">
        <v>332</v>
      </c>
      <c r="D2353" s="703" t="s">
        <v>334</v>
      </c>
      <c r="E2353" s="703" t="s">
        <v>334</v>
      </c>
      <c r="F2353" s="703" t="s">
        <v>335</v>
      </c>
      <c r="G2353" s="703" t="s">
        <v>4040</v>
      </c>
      <c r="H2353" s="703" t="s">
        <v>334</v>
      </c>
      <c r="I2353" s="703" t="s">
        <v>334</v>
      </c>
      <c r="J2353" s="703" t="s">
        <v>337</v>
      </c>
      <c r="K2353" s="704">
        <v>0</v>
      </c>
      <c r="L2353" s="703" t="s">
        <v>334</v>
      </c>
      <c r="M2353" s="702">
        <v>39478</v>
      </c>
      <c r="N2353" s="702">
        <v>44825</v>
      </c>
      <c r="O2353" s="703" t="s">
        <v>338</v>
      </c>
      <c r="P2353" s="20">
        <v>0</v>
      </c>
      <c r="Q2353" s="20">
        <v>0</v>
      </c>
      <c r="R2353" s="20">
        <v>26006.16</v>
      </c>
      <c r="S2353" s="20">
        <v>0</v>
      </c>
      <c r="T2353" s="20">
        <v>26006.16</v>
      </c>
      <c r="U2353" s="20">
        <v>0</v>
      </c>
      <c r="V2353" s="20">
        <v>0</v>
      </c>
      <c r="W2353" s="20">
        <v>-216.72</v>
      </c>
      <c r="X2353" s="20">
        <v>-216.72</v>
      </c>
      <c r="Y2353" s="20">
        <v>0</v>
      </c>
      <c r="Z2353" s="20">
        <v>0</v>
      </c>
      <c r="AA2353" s="20">
        <v>0</v>
      </c>
      <c r="AB2353" s="20">
        <v>25789.439999999999</v>
      </c>
      <c r="AC2353" t="s">
        <v>183</v>
      </c>
      <c r="AD2353" t="s">
        <v>290</v>
      </c>
      <c r="AE2353" s="702">
        <f t="shared" si="180"/>
        <v>44713</v>
      </c>
      <c r="AF2353" s="289">
        <v>25541.922950939297</v>
      </c>
      <c r="AG2353">
        <f t="shared" si="181"/>
        <v>360</v>
      </c>
      <c r="AH2353" s="289">
        <f t="shared" si="182"/>
        <v>70.949785974831386</v>
      </c>
      <c r="AJ2353" s="289">
        <f t="shared" si="183"/>
        <v>6</v>
      </c>
      <c r="AK2353" s="289">
        <f t="shared" si="184"/>
        <v>425.69871584898829</v>
      </c>
    </row>
    <row r="2354" spans="1:37">
      <c r="A2354" s="703" t="s">
        <v>4041</v>
      </c>
      <c r="B2354" s="703" t="s">
        <v>3743</v>
      </c>
      <c r="C2354" s="703" t="s">
        <v>332</v>
      </c>
      <c r="D2354" s="703" t="s">
        <v>334</v>
      </c>
      <c r="E2354" s="703" t="s">
        <v>334</v>
      </c>
      <c r="F2354" s="703" t="s">
        <v>335</v>
      </c>
      <c r="G2354" s="703" t="s">
        <v>4042</v>
      </c>
      <c r="H2354" s="703" t="s">
        <v>334</v>
      </c>
      <c r="I2354" s="703" t="s">
        <v>334</v>
      </c>
      <c r="J2354" s="703" t="s">
        <v>337</v>
      </c>
      <c r="K2354" s="704">
        <v>0</v>
      </c>
      <c r="L2354" s="703" t="s">
        <v>334</v>
      </c>
      <c r="M2354" s="702">
        <v>39478</v>
      </c>
      <c r="N2354" s="702">
        <v>44825</v>
      </c>
      <c r="O2354" s="703" t="s">
        <v>338</v>
      </c>
      <c r="P2354" s="20">
        <v>0</v>
      </c>
      <c r="Q2354" s="20">
        <v>0</v>
      </c>
      <c r="R2354" s="20">
        <v>30316.9</v>
      </c>
      <c r="S2354" s="20">
        <v>0</v>
      </c>
      <c r="T2354" s="20">
        <v>30316.9</v>
      </c>
      <c r="U2354" s="20">
        <v>0</v>
      </c>
      <c r="V2354" s="20">
        <v>0</v>
      </c>
      <c r="W2354" s="20">
        <v>-252.64</v>
      </c>
      <c r="X2354" s="20">
        <v>-252.64</v>
      </c>
      <c r="Y2354" s="20">
        <v>0</v>
      </c>
      <c r="Z2354" s="20">
        <v>0</v>
      </c>
      <c r="AA2354" s="20">
        <v>0</v>
      </c>
      <c r="AB2354" s="20">
        <v>30064.26</v>
      </c>
      <c r="AC2354" t="s">
        <v>183</v>
      </c>
      <c r="AD2354" t="s">
        <v>290</v>
      </c>
      <c r="AE2354" s="702">
        <f t="shared" si="180"/>
        <v>44713</v>
      </c>
      <c r="AF2354" s="289">
        <v>29775.711751036353</v>
      </c>
      <c r="AG2354">
        <f t="shared" si="181"/>
        <v>360</v>
      </c>
      <c r="AH2354" s="289">
        <f t="shared" si="182"/>
        <v>82.710310419545422</v>
      </c>
      <c r="AJ2354" s="289">
        <f t="shared" si="183"/>
        <v>6</v>
      </c>
      <c r="AK2354" s="289">
        <f t="shared" si="184"/>
        <v>496.26186251727256</v>
      </c>
    </row>
    <row r="2355" spans="1:37">
      <c r="A2355" s="703" t="s">
        <v>4043</v>
      </c>
      <c r="B2355" s="703" t="s">
        <v>3743</v>
      </c>
      <c r="C2355" s="703" t="s">
        <v>332</v>
      </c>
      <c r="D2355" s="703" t="s">
        <v>334</v>
      </c>
      <c r="E2355" s="703" t="s">
        <v>334</v>
      </c>
      <c r="F2355" s="703" t="s">
        <v>335</v>
      </c>
      <c r="G2355" s="703" t="s">
        <v>4044</v>
      </c>
      <c r="H2355" s="703" t="s">
        <v>334</v>
      </c>
      <c r="I2355" s="703" t="s">
        <v>334</v>
      </c>
      <c r="J2355" s="703" t="s">
        <v>337</v>
      </c>
      <c r="K2355" s="704">
        <v>0</v>
      </c>
      <c r="L2355" s="703" t="s">
        <v>334</v>
      </c>
      <c r="M2355" s="702">
        <v>43708</v>
      </c>
      <c r="N2355" s="702">
        <v>44825</v>
      </c>
      <c r="O2355" s="703" t="s">
        <v>338</v>
      </c>
      <c r="P2355" s="20">
        <v>0</v>
      </c>
      <c r="Q2355" s="20">
        <v>0</v>
      </c>
      <c r="R2355" s="20">
        <v>204476.69</v>
      </c>
      <c r="S2355" s="20">
        <v>0</v>
      </c>
      <c r="T2355" s="20">
        <v>204476.69</v>
      </c>
      <c r="U2355" s="20">
        <v>0</v>
      </c>
      <c r="V2355" s="20">
        <v>0</v>
      </c>
      <c r="W2355" s="20">
        <v>-1703.97</v>
      </c>
      <c r="X2355" s="20">
        <v>-1703.97</v>
      </c>
      <c r="Y2355" s="20">
        <v>0</v>
      </c>
      <c r="Z2355" s="20">
        <v>0</v>
      </c>
      <c r="AA2355" s="20">
        <v>0</v>
      </c>
      <c r="AB2355" s="20">
        <v>202772.72</v>
      </c>
      <c r="AC2355" t="s">
        <v>183</v>
      </c>
      <c r="AD2355" t="s">
        <v>290</v>
      </c>
      <c r="AE2355" s="702">
        <f t="shared" si="180"/>
        <v>44713</v>
      </c>
      <c r="AF2355" s="289">
        <v>200826.56806091708</v>
      </c>
      <c r="AG2355">
        <f t="shared" si="181"/>
        <v>360</v>
      </c>
      <c r="AH2355" s="289">
        <f t="shared" si="182"/>
        <v>557.85157794699194</v>
      </c>
      <c r="AJ2355" s="289">
        <f t="shared" si="183"/>
        <v>6</v>
      </c>
      <c r="AK2355" s="289">
        <f t="shared" si="184"/>
        <v>3347.1094676819516</v>
      </c>
    </row>
    <row r="2356" spans="1:37">
      <c r="A2356" s="703" t="s">
        <v>4045</v>
      </c>
      <c r="B2356" s="703" t="s">
        <v>3743</v>
      </c>
      <c r="C2356" s="703" t="s">
        <v>332</v>
      </c>
      <c r="D2356" s="703" t="s">
        <v>334</v>
      </c>
      <c r="E2356" s="703" t="s">
        <v>334</v>
      </c>
      <c r="F2356" s="703" t="s">
        <v>335</v>
      </c>
      <c r="G2356" s="703" t="s">
        <v>4046</v>
      </c>
      <c r="H2356" s="703" t="s">
        <v>334</v>
      </c>
      <c r="I2356" s="703" t="s">
        <v>334</v>
      </c>
      <c r="J2356" s="703" t="s">
        <v>337</v>
      </c>
      <c r="K2356" s="704">
        <v>0</v>
      </c>
      <c r="L2356" s="703" t="s">
        <v>334</v>
      </c>
      <c r="M2356" s="702">
        <v>43708</v>
      </c>
      <c r="N2356" s="702">
        <v>44825</v>
      </c>
      <c r="O2356" s="703" t="s">
        <v>338</v>
      </c>
      <c r="P2356" s="20">
        <v>0</v>
      </c>
      <c r="Q2356" s="20">
        <v>0</v>
      </c>
      <c r="R2356" s="20">
        <v>167360.47</v>
      </c>
      <c r="S2356" s="20">
        <v>0</v>
      </c>
      <c r="T2356" s="20">
        <v>167360.47</v>
      </c>
      <c r="U2356" s="20">
        <v>0</v>
      </c>
      <c r="V2356" s="20">
        <v>0</v>
      </c>
      <c r="W2356" s="20">
        <v>-1394.67</v>
      </c>
      <c r="X2356" s="20">
        <v>-1394.67</v>
      </c>
      <c r="Y2356" s="20">
        <v>0</v>
      </c>
      <c r="Z2356" s="20">
        <v>0</v>
      </c>
      <c r="AA2356" s="20">
        <v>0</v>
      </c>
      <c r="AB2356" s="20">
        <v>165965.79999999999</v>
      </c>
      <c r="AC2356" t="s">
        <v>183</v>
      </c>
      <c r="AD2356" t="s">
        <v>290</v>
      </c>
      <c r="AE2356" s="702">
        <f t="shared" si="180"/>
        <v>44713</v>
      </c>
      <c r="AF2356" s="289">
        <v>164372.91125537132</v>
      </c>
      <c r="AG2356">
        <f t="shared" si="181"/>
        <v>360</v>
      </c>
      <c r="AH2356" s="289">
        <f t="shared" si="182"/>
        <v>456.59142015380922</v>
      </c>
      <c r="AJ2356" s="289">
        <f t="shared" si="183"/>
        <v>6</v>
      </c>
      <c r="AK2356" s="289">
        <f t="shared" si="184"/>
        <v>2739.5485209228555</v>
      </c>
    </row>
    <row r="2357" spans="1:37">
      <c r="A2357" s="703" t="s">
        <v>4047</v>
      </c>
      <c r="B2357" s="703" t="s">
        <v>3743</v>
      </c>
      <c r="C2357" s="703" t="s">
        <v>332</v>
      </c>
      <c r="D2357" s="703" t="s">
        <v>334</v>
      </c>
      <c r="E2357" s="703" t="s">
        <v>334</v>
      </c>
      <c r="F2357" s="703" t="s">
        <v>335</v>
      </c>
      <c r="G2357" s="703" t="s">
        <v>4048</v>
      </c>
      <c r="H2357" s="703" t="s">
        <v>334</v>
      </c>
      <c r="I2357" s="703" t="s">
        <v>334</v>
      </c>
      <c r="J2357" s="703" t="s">
        <v>337</v>
      </c>
      <c r="K2357" s="704">
        <v>0</v>
      </c>
      <c r="L2357" s="703" t="s">
        <v>334</v>
      </c>
      <c r="M2357" s="702">
        <v>43708</v>
      </c>
      <c r="N2357" s="702">
        <v>44825</v>
      </c>
      <c r="O2357" s="703" t="s">
        <v>338</v>
      </c>
      <c r="P2357" s="20">
        <v>0</v>
      </c>
      <c r="Q2357" s="20">
        <v>0</v>
      </c>
      <c r="R2357" s="20">
        <v>212542.29</v>
      </c>
      <c r="S2357" s="20">
        <v>0</v>
      </c>
      <c r="T2357" s="20">
        <v>212542.29</v>
      </c>
      <c r="U2357" s="20">
        <v>0</v>
      </c>
      <c r="V2357" s="20">
        <v>0</v>
      </c>
      <c r="W2357" s="20">
        <v>-1771.19</v>
      </c>
      <c r="X2357" s="20">
        <v>-1771.19</v>
      </c>
      <c r="Y2357" s="20">
        <v>0</v>
      </c>
      <c r="Z2357" s="20">
        <v>0</v>
      </c>
      <c r="AA2357" s="20">
        <v>0</v>
      </c>
      <c r="AB2357" s="20">
        <v>210771.1</v>
      </c>
      <c r="AC2357" t="s">
        <v>183</v>
      </c>
      <c r="AD2357" t="s">
        <v>290</v>
      </c>
      <c r="AE2357" s="702">
        <f t="shared" si="180"/>
        <v>44713</v>
      </c>
      <c r="AF2357" s="289">
        <v>208748.18869822365</v>
      </c>
      <c r="AG2357">
        <f t="shared" si="181"/>
        <v>360</v>
      </c>
      <c r="AH2357" s="289">
        <f t="shared" si="182"/>
        <v>579.85607971728791</v>
      </c>
      <c r="AJ2357" s="289">
        <f t="shared" si="183"/>
        <v>6</v>
      </c>
      <c r="AK2357" s="289">
        <f t="shared" si="184"/>
        <v>3479.1364783037275</v>
      </c>
    </row>
    <row r="2358" spans="1:37">
      <c r="A2358" s="703" t="s">
        <v>4049</v>
      </c>
      <c r="B2358" s="703" t="s">
        <v>3743</v>
      </c>
      <c r="C2358" s="703" t="s">
        <v>332</v>
      </c>
      <c r="D2358" s="703" t="s">
        <v>334</v>
      </c>
      <c r="E2358" s="703" t="s">
        <v>334</v>
      </c>
      <c r="F2358" s="703" t="s">
        <v>335</v>
      </c>
      <c r="G2358" s="703" t="s">
        <v>4050</v>
      </c>
      <c r="H2358" s="703" t="s">
        <v>334</v>
      </c>
      <c r="I2358" s="703" t="s">
        <v>334</v>
      </c>
      <c r="J2358" s="703" t="s">
        <v>337</v>
      </c>
      <c r="K2358" s="704">
        <v>0</v>
      </c>
      <c r="L2358" s="703" t="s">
        <v>334</v>
      </c>
      <c r="M2358" s="702">
        <v>43708</v>
      </c>
      <c r="N2358" s="702">
        <v>44825</v>
      </c>
      <c r="O2358" s="703" t="s">
        <v>338</v>
      </c>
      <c r="P2358" s="20">
        <v>0</v>
      </c>
      <c r="Q2358" s="20">
        <v>0</v>
      </c>
      <c r="R2358" s="20">
        <v>210509.14</v>
      </c>
      <c r="S2358" s="20">
        <v>0</v>
      </c>
      <c r="T2358" s="20">
        <v>210509.14</v>
      </c>
      <c r="U2358" s="20">
        <v>0</v>
      </c>
      <c r="V2358" s="20">
        <v>0</v>
      </c>
      <c r="W2358" s="20">
        <v>-1754.24</v>
      </c>
      <c r="X2358" s="20">
        <v>-1754.24</v>
      </c>
      <c r="Y2358" s="20">
        <v>0</v>
      </c>
      <c r="Z2358" s="20">
        <v>0</v>
      </c>
      <c r="AA2358" s="20">
        <v>0</v>
      </c>
      <c r="AB2358" s="20">
        <v>208754.9</v>
      </c>
      <c r="AC2358" t="s">
        <v>183</v>
      </c>
      <c r="AD2358" t="s">
        <v>290</v>
      </c>
      <c r="AE2358" s="702">
        <f t="shared" si="180"/>
        <v>44713</v>
      </c>
      <c r="AF2358" s="289">
        <v>206751.33254384706</v>
      </c>
      <c r="AG2358">
        <f t="shared" si="181"/>
        <v>360</v>
      </c>
      <c r="AH2358" s="289">
        <f t="shared" si="182"/>
        <v>574.3092570662418</v>
      </c>
      <c r="AJ2358" s="289">
        <f t="shared" si="183"/>
        <v>6</v>
      </c>
      <c r="AK2358" s="289">
        <f t="shared" si="184"/>
        <v>3445.8555423974508</v>
      </c>
    </row>
    <row r="2359" spans="1:37">
      <c r="A2359" s="703" t="s">
        <v>4051</v>
      </c>
      <c r="B2359" s="703" t="s">
        <v>3743</v>
      </c>
      <c r="C2359" s="703" t="s">
        <v>332</v>
      </c>
      <c r="D2359" s="703" t="s">
        <v>334</v>
      </c>
      <c r="E2359" s="703" t="s">
        <v>334</v>
      </c>
      <c r="F2359" s="703" t="s">
        <v>335</v>
      </c>
      <c r="G2359" s="703" t="s">
        <v>4052</v>
      </c>
      <c r="H2359" s="703" t="s">
        <v>334</v>
      </c>
      <c r="I2359" s="703" t="s">
        <v>334</v>
      </c>
      <c r="J2359" s="703" t="s">
        <v>337</v>
      </c>
      <c r="K2359" s="704">
        <v>0</v>
      </c>
      <c r="L2359" s="703" t="s">
        <v>334</v>
      </c>
      <c r="M2359" s="702">
        <v>43708</v>
      </c>
      <c r="N2359" s="702">
        <v>44825</v>
      </c>
      <c r="O2359" s="703" t="s">
        <v>338</v>
      </c>
      <c r="P2359" s="20">
        <v>0</v>
      </c>
      <c r="Q2359" s="20">
        <v>0</v>
      </c>
      <c r="R2359" s="20">
        <v>1146418.06</v>
      </c>
      <c r="S2359" s="20">
        <v>0</v>
      </c>
      <c r="T2359" s="20">
        <v>1146418.06</v>
      </c>
      <c r="U2359" s="20">
        <v>0</v>
      </c>
      <c r="V2359" s="20">
        <v>0</v>
      </c>
      <c r="W2359" s="20">
        <v>-9553.48</v>
      </c>
      <c r="X2359" s="20">
        <v>-9553.48</v>
      </c>
      <c r="Y2359" s="20">
        <v>0</v>
      </c>
      <c r="Z2359" s="20">
        <v>0</v>
      </c>
      <c r="AA2359" s="20">
        <v>0</v>
      </c>
      <c r="AB2359" s="20">
        <v>1136864.58</v>
      </c>
      <c r="AC2359" t="s">
        <v>183</v>
      </c>
      <c r="AD2359" t="s">
        <v>290</v>
      </c>
      <c r="AE2359" s="702">
        <f t="shared" si="180"/>
        <v>44713</v>
      </c>
      <c r="AF2359" s="289">
        <v>1125953.3032975767</v>
      </c>
      <c r="AG2359">
        <f t="shared" si="181"/>
        <v>360</v>
      </c>
      <c r="AH2359" s="289">
        <f t="shared" si="182"/>
        <v>3127.6480647154908</v>
      </c>
      <c r="AJ2359" s="289">
        <f t="shared" si="183"/>
        <v>6</v>
      </c>
      <c r="AK2359" s="289">
        <f t="shared" si="184"/>
        <v>18765.888388292944</v>
      </c>
    </row>
    <row r="2360" spans="1:37">
      <c r="A2360" s="703" t="s">
        <v>4053</v>
      </c>
      <c r="B2360" s="703" t="s">
        <v>3743</v>
      </c>
      <c r="C2360" s="703" t="s">
        <v>332</v>
      </c>
      <c r="D2360" s="703" t="s">
        <v>334</v>
      </c>
      <c r="E2360" s="703" t="s">
        <v>334</v>
      </c>
      <c r="F2360" s="703" t="s">
        <v>335</v>
      </c>
      <c r="G2360" s="703" t="s">
        <v>4054</v>
      </c>
      <c r="H2360" s="703" t="s">
        <v>334</v>
      </c>
      <c r="I2360" s="703" t="s">
        <v>334</v>
      </c>
      <c r="J2360" s="703" t="s">
        <v>337</v>
      </c>
      <c r="K2360" s="704">
        <v>0</v>
      </c>
      <c r="L2360" s="703" t="s">
        <v>334</v>
      </c>
      <c r="M2360" s="702">
        <v>44196</v>
      </c>
      <c r="N2360" s="702">
        <v>44825</v>
      </c>
      <c r="O2360" s="703" t="s">
        <v>338</v>
      </c>
      <c r="P2360" s="20">
        <v>0</v>
      </c>
      <c r="Q2360" s="20">
        <v>0</v>
      </c>
      <c r="R2360" s="20">
        <v>108435.73</v>
      </c>
      <c r="S2360" s="20">
        <v>0</v>
      </c>
      <c r="T2360" s="20">
        <v>108435.73</v>
      </c>
      <c r="U2360" s="20">
        <v>0</v>
      </c>
      <c r="V2360" s="20">
        <v>0</v>
      </c>
      <c r="W2360" s="20">
        <v>-903.63</v>
      </c>
      <c r="X2360" s="20">
        <v>-903.63</v>
      </c>
      <c r="Y2360" s="20">
        <v>0</v>
      </c>
      <c r="Z2360" s="20">
        <v>0</v>
      </c>
      <c r="AA2360" s="20">
        <v>0</v>
      </c>
      <c r="AB2360" s="20">
        <v>107532.1</v>
      </c>
      <c r="AC2360" t="s">
        <v>183</v>
      </c>
      <c r="AD2360" t="s">
        <v>290</v>
      </c>
      <c r="AE2360" s="702">
        <f t="shared" si="180"/>
        <v>44713</v>
      </c>
      <c r="AF2360" s="289">
        <v>106500.03925181022</v>
      </c>
      <c r="AG2360">
        <f t="shared" si="181"/>
        <v>360</v>
      </c>
      <c r="AH2360" s="289">
        <f t="shared" si="182"/>
        <v>295.83344236613948</v>
      </c>
      <c r="AJ2360" s="289">
        <f t="shared" si="183"/>
        <v>6</v>
      </c>
      <c r="AK2360" s="289">
        <f t="shared" si="184"/>
        <v>1775.0006541968369</v>
      </c>
    </row>
    <row r="2361" spans="1:37">
      <c r="A2361" s="703" t="s">
        <v>4055</v>
      </c>
      <c r="B2361" s="703" t="s">
        <v>3743</v>
      </c>
      <c r="C2361" s="703" t="s">
        <v>332</v>
      </c>
      <c r="D2361" s="703" t="s">
        <v>334</v>
      </c>
      <c r="E2361" s="703" t="s">
        <v>334</v>
      </c>
      <c r="F2361" s="703" t="s">
        <v>335</v>
      </c>
      <c r="G2361" s="703" t="s">
        <v>4056</v>
      </c>
      <c r="H2361" s="703" t="s">
        <v>334</v>
      </c>
      <c r="I2361" s="703" t="s">
        <v>334</v>
      </c>
      <c r="J2361" s="703" t="s">
        <v>337</v>
      </c>
      <c r="K2361" s="704">
        <v>0</v>
      </c>
      <c r="L2361" s="703" t="s">
        <v>334</v>
      </c>
      <c r="M2361" s="702">
        <v>44196</v>
      </c>
      <c r="N2361" s="702">
        <v>44825</v>
      </c>
      <c r="O2361" s="703" t="s">
        <v>338</v>
      </c>
      <c r="P2361" s="20">
        <v>0</v>
      </c>
      <c r="Q2361" s="20">
        <v>0</v>
      </c>
      <c r="R2361" s="20">
        <v>88766.22</v>
      </c>
      <c r="S2361" s="20">
        <v>0</v>
      </c>
      <c r="T2361" s="20">
        <v>88766.22</v>
      </c>
      <c r="U2361" s="20">
        <v>0</v>
      </c>
      <c r="V2361" s="20">
        <v>0</v>
      </c>
      <c r="W2361" s="20">
        <v>-739.72</v>
      </c>
      <c r="X2361" s="20">
        <v>-739.72</v>
      </c>
      <c r="Y2361" s="20">
        <v>0</v>
      </c>
      <c r="Z2361" s="20">
        <v>0</v>
      </c>
      <c r="AA2361" s="20">
        <v>0</v>
      </c>
      <c r="AB2361" s="20">
        <v>88026.5</v>
      </c>
      <c r="AC2361" t="s">
        <v>183</v>
      </c>
      <c r="AD2361" t="s">
        <v>290</v>
      </c>
      <c r="AE2361" s="702">
        <f t="shared" si="180"/>
        <v>44713</v>
      </c>
      <c r="AF2361" s="289">
        <v>87181.65049688716</v>
      </c>
      <c r="AG2361">
        <f t="shared" si="181"/>
        <v>360</v>
      </c>
      <c r="AH2361" s="289">
        <f t="shared" si="182"/>
        <v>242.1712513802421</v>
      </c>
      <c r="AJ2361" s="289">
        <f t="shared" si="183"/>
        <v>6</v>
      </c>
      <c r="AK2361" s="289">
        <f t="shared" si="184"/>
        <v>1453.0275082814526</v>
      </c>
    </row>
    <row r="2362" spans="1:37">
      <c r="A2362" s="703" t="s">
        <v>4057</v>
      </c>
      <c r="B2362" s="703" t="s">
        <v>3743</v>
      </c>
      <c r="C2362" s="703" t="s">
        <v>332</v>
      </c>
      <c r="D2362" s="703" t="s">
        <v>334</v>
      </c>
      <c r="E2362" s="703" t="s">
        <v>334</v>
      </c>
      <c r="F2362" s="703" t="s">
        <v>335</v>
      </c>
      <c r="G2362" s="703" t="s">
        <v>4058</v>
      </c>
      <c r="H2362" s="703" t="s">
        <v>334</v>
      </c>
      <c r="I2362" s="703" t="s">
        <v>334</v>
      </c>
      <c r="J2362" s="703" t="s">
        <v>337</v>
      </c>
      <c r="K2362" s="704">
        <v>0</v>
      </c>
      <c r="L2362" s="703" t="s">
        <v>334</v>
      </c>
      <c r="M2362" s="702">
        <v>44196</v>
      </c>
      <c r="N2362" s="702">
        <v>44825</v>
      </c>
      <c r="O2362" s="703" t="s">
        <v>338</v>
      </c>
      <c r="P2362" s="20">
        <v>0</v>
      </c>
      <c r="Q2362" s="20">
        <v>0</v>
      </c>
      <c r="R2362" s="20">
        <v>94624.12</v>
      </c>
      <c r="S2362" s="20">
        <v>0</v>
      </c>
      <c r="T2362" s="20">
        <v>94624.12</v>
      </c>
      <c r="U2362" s="20">
        <v>0</v>
      </c>
      <c r="V2362" s="20">
        <v>0</v>
      </c>
      <c r="W2362" s="20">
        <v>-788.53</v>
      </c>
      <c r="X2362" s="20">
        <v>-788.53</v>
      </c>
      <c r="Y2362" s="20">
        <v>0</v>
      </c>
      <c r="Z2362" s="20">
        <v>0</v>
      </c>
      <c r="AA2362" s="20">
        <v>0</v>
      </c>
      <c r="AB2362" s="20">
        <v>93835.59</v>
      </c>
      <c r="AC2362" t="s">
        <v>183</v>
      </c>
      <c r="AD2362" t="s">
        <v>290</v>
      </c>
      <c r="AE2362" s="702">
        <f t="shared" si="180"/>
        <v>44713</v>
      </c>
      <c r="AF2362" s="289">
        <v>92934.980879162234</v>
      </c>
      <c r="AG2362">
        <f t="shared" si="181"/>
        <v>360</v>
      </c>
      <c r="AH2362" s="289">
        <f t="shared" si="182"/>
        <v>258.15272466433953</v>
      </c>
      <c r="AJ2362" s="289">
        <f t="shared" si="183"/>
        <v>6</v>
      </c>
      <c r="AK2362" s="289">
        <f t="shared" si="184"/>
        <v>1548.9163479860372</v>
      </c>
    </row>
    <row r="2363" spans="1:37">
      <c r="A2363" s="703" t="s">
        <v>4059</v>
      </c>
      <c r="B2363" s="703" t="s">
        <v>3743</v>
      </c>
      <c r="C2363" s="703" t="s">
        <v>332</v>
      </c>
      <c r="D2363" s="703" t="s">
        <v>334</v>
      </c>
      <c r="E2363" s="703" t="s">
        <v>334</v>
      </c>
      <c r="F2363" s="703" t="s">
        <v>335</v>
      </c>
      <c r="G2363" s="703" t="s">
        <v>4060</v>
      </c>
      <c r="H2363" s="703" t="s">
        <v>334</v>
      </c>
      <c r="I2363" s="703" t="s">
        <v>334</v>
      </c>
      <c r="J2363" s="703" t="s">
        <v>337</v>
      </c>
      <c r="K2363" s="704">
        <v>0</v>
      </c>
      <c r="L2363" s="703" t="s">
        <v>334</v>
      </c>
      <c r="M2363" s="702">
        <v>44196</v>
      </c>
      <c r="N2363" s="702">
        <v>44825</v>
      </c>
      <c r="O2363" s="703" t="s">
        <v>338</v>
      </c>
      <c r="P2363" s="20">
        <v>0</v>
      </c>
      <c r="Q2363" s="20">
        <v>0</v>
      </c>
      <c r="R2363" s="20">
        <v>93606.18</v>
      </c>
      <c r="S2363" s="20">
        <v>0</v>
      </c>
      <c r="T2363" s="20">
        <v>93606.18</v>
      </c>
      <c r="U2363" s="20">
        <v>0</v>
      </c>
      <c r="V2363" s="20">
        <v>0</v>
      </c>
      <c r="W2363" s="20">
        <v>-780.05</v>
      </c>
      <c r="X2363" s="20">
        <v>-780.05</v>
      </c>
      <c r="Y2363" s="20">
        <v>0</v>
      </c>
      <c r="Z2363" s="20">
        <v>0</v>
      </c>
      <c r="AA2363" s="20">
        <v>0</v>
      </c>
      <c r="AB2363" s="20">
        <v>92826.13</v>
      </c>
      <c r="AC2363" t="s">
        <v>183</v>
      </c>
      <c r="AD2363" t="s">
        <v>290</v>
      </c>
      <c r="AE2363" s="702">
        <f t="shared" si="180"/>
        <v>44713</v>
      </c>
      <c r="AF2363" s="289">
        <v>91935.212168646001</v>
      </c>
      <c r="AG2363">
        <f t="shared" si="181"/>
        <v>360</v>
      </c>
      <c r="AH2363" s="289">
        <f t="shared" si="182"/>
        <v>255.37558935735001</v>
      </c>
      <c r="AJ2363" s="289">
        <f t="shared" si="183"/>
        <v>6</v>
      </c>
      <c r="AK2363" s="289">
        <f t="shared" si="184"/>
        <v>1532.2535361441001</v>
      </c>
    </row>
    <row r="2364" spans="1:37">
      <c r="A2364" s="703" t="s">
        <v>4061</v>
      </c>
      <c r="B2364" s="703" t="s">
        <v>3743</v>
      </c>
      <c r="C2364" s="703" t="s">
        <v>332</v>
      </c>
      <c r="D2364" s="703" t="s">
        <v>334</v>
      </c>
      <c r="E2364" s="703" t="s">
        <v>334</v>
      </c>
      <c r="F2364" s="703" t="s">
        <v>335</v>
      </c>
      <c r="G2364" s="703" t="s">
        <v>4062</v>
      </c>
      <c r="H2364" s="703" t="s">
        <v>334</v>
      </c>
      <c r="I2364" s="703" t="s">
        <v>334</v>
      </c>
      <c r="J2364" s="703" t="s">
        <v>337</v>
      </c>
      <c r="K2364" s="704">
        <v>0</v>
      </c>
      <c r="L2364" s="703" t="s">
        <v>334</v>
      </c>
      <c r="M2364" s="702">
        <v>44196</v>
      </c>
      <c r="N2364" s="702">
        <v>44825</v>
      </c>
      <c r="O2364" s="703" t="s">
        <v>338</v>
      </c>
      <c r="P2364" s="20">
        <v>0</v>
      </c>
      <c r="Q2364" s="20">
        <v>0</v>
      </c>
      <c r="R2364" s="20">
        <v>107576.77</v>
      </c>
      <c r="S2364" s="20">
        <v>0</v>
      </c>
      <c r="T2364" s="20">
        <v>107576.77</v>
      </c>
      <c r="U2364" s="20">
        <v>0</v>
      </c>
      <c r="V2364" s="20">
        <v>0</v>
      </c>
      <c r="W2364" s="20">
        <v>-896.47</v>
      </c>
      <c r="X2364" s="20">
        <v>-896.47</v>
      </c>
      <c r="Y2364" s="20">
        <v>0</v>
      </c>
      <c r="Z2364" s="20">
        <v>0</v>
      </c>
      <c r="AA2364" s="20">
        <v>0</v>
      </c>
      <c r="AB2364" s="20">
        <v>106680.3</v>
      </c>
      <c r="AC2364" t="s">
        <v>183</v>
      </c>
      <c r="AD2364" t="s">
        <v>290</v>
      </c>
      <c r="AE2364" s="702">
        <f t="shared" si="180"/>
        <v>44713</v>
      </c>
      <c r="AF2364" s="289">
        <v>105656.41258266957</v>
      </c>
      <c r="AG2364">
        <f t="shared" si="181"/>
        <v>360</v>
      </c>
      <c r="AH2364" s="289">
        <f t="shared" si="182"/>
        <v>293.49003495185991</v>
      </c>
      <c r="AJ2364" s="289">
        <f t="shared" si="183"/>
        <v>6</v>
      </c>
      <c r="AK2364" s="289">
        <f t="shared" si="184"/>
        <v>1760.9402097111595</v>
      </c>
    </row>
    <row r="2365" spans="1:37">
      <c r="A2365" s="703" t="s">
        <v>4063</v>
      </c>
      <c r="B2365" s="703" t="s">
        <v>3743</v>
      </c>
      <c r="C2365" s="703" t="s">
        <v>332</v>
      </c>
      <c r="D2365" s="703" t="s">
        <v>334</v>
      </c>
      <c r="E2365" s="703" t="s">
        <v>334</v>
      </c>
      <c r="F2365" s="703" t="s">
        <v>335</v>
      </c>
      <c r="G2365" s="703" t="s">
        <v>4064</v>
      </c>
      <c r="H2365" s="703" t="s">
        <v>334</v>
      </c>
      <c r="I2365" s="703" t="s">
        <v>334</v>
      </c>
      <c r="J2365" s="703" t="s">
        <v>337</v>
      </c>
      <c r="K2365" s="704">
        <v>0</v>
      </c>
      <c r="L2365" s="703" t="s">
        <v>334</v>
      </c>
      <c r="M2365" s="702">
        <v>39478</v>
      </c>
      <c r="N2365" s="702">
        <v>44825</v>
      </c>
      <c r="O2365" s="703" t="s">
        <v>338</v>
      </c>
      <c r="P2365" s="20">
        <v>0</v>
      </c>
      <c r="Q2365" s="20">
        <v>0</v>
      </c>
      <c r="R2365" s="20">
        <v>102.32</v>
      </c>
      <c r="S2365" s="20">
        <v>0</v>
      </c>
      <c r="T2365" s="20">
        <v>102.32</v>
      </c>
      <c r="U2365" s="20">
        <v>0</v>
      </c>
      <c r="V2365" s="20">
        <v>0</v>
      </c>
      <c r="W2365" s="20">
        <v>-0.85</v>
      </c>
      <c r="X2365" s="20">
        <v>-0.85</v>
      </c>
      <c r="Y2365" s="20">
        <v>0</v>
      </c>
      <c r="Z2365" s="20">
        <v>0</v>
      </c>
      <c r="AA2365" s="20">
        <v>0</v>
      </c>
      <c r="AB2365" s="20">
        <v>101.47</v>
      </c>
      <c r="AC2365" t="s">
        <v>183</v>
      </c>
      <c r="AD2365" t="s">
        <v>290</v>
      </c>
      <c r="AE2365" s="702">
        <f t="shared" si="180"/>
        <v>44713</v>
      </c>
      <c r="AF2365" s="289">
        <v>100.49348140364086</v>
      </c>
      <c r="AG2365">
        <f t="shared" si="181"/>
        <v>360</v>
      </c>
      <c r="AH2365" s="289">
        <f t="shared" si="182"/>
        <v>0.27914855945455791</v>
      </c>
      <c r="AJ2365" s="289">
        <f t="shared" si="183"/>
        <v>6</v>
      </c>
      <c r="AK2365" s="289">
        <f t="shared" si="184"/>
        <v>1.6748913567273473</v>
      </c>
    </row>
    <row r="2366" spans="1:37">
      <c r="A2366" s="703" t="s">
        <v>4065</v>
      </c>
      <c r="B2366" s="703" t="s">
        <v>3743</v>
      </c>
      <c r="C2366" s="703" t="s">
        <v>332</v>
      </c>
      <c r="D2366" s="703" t="s">
        <v>334</v>
      </c>
      <c r="E2366" s="703" t="s">
        <v>334</v>
      </c>
      <c r="F2366" s="703" t="s">
        <v>335</v>
      </c>
      <c r="G2366" s="703" t="s">
        <v>4066</v>
      </c>
      <c r="H2366" s="703" t="s">
        <v>334</v>
      </c>
      <c r="I2366" s="703" t="s">
        <v>334</v>
      </c>
      <c r="J2366" s="703" t="s">
        <v>337</v>
      </c>
      <c r="K2366" s="704">
        <v>0</v>
      </c>
      <c r="L2366" s="703" t="s">
        <v>334</v>
      </c>
      <c r="M2366" s="702">
        <v>39478</v>
      </c>
      <c r="N2366" s="702">
        <v>44825</v>
      </c>
      <c r="O2366" s="703" t="s">
        <v>338</v>
      </c>
      <c r="P2366" s="20">
        <v>0</v>
      </c>
      <c r="Q2366" s="20">
        <v>0</v>
      </c>
      <c r="R2366" s="20">
        <v>1844.64</v>
      </c>
      <c r="S2366" s="20">
        <v>0</v>
      </c>
      <c r="T2366" s="20">
        <v>1844.64</v>
      </c>
      <c r="U2366" s="20">
        <v>0</v>
      </c>
      <c r="V2366" s="20">
        <v>0</v>
      </c>
      <c r="W2366" s="20">
        <v>-15.37</v>
      </c>
      <c r="X2366" s="20">
        <v>-15.37</v>
      </c>
      <c r="Y2366" s="20">
        <v>0</v>
      </c>
      <c r="Z2366" s="20">
        <v>0</v>
      </c>
      <c r="AA2366" s="20">
        <v>0</v>
      </c>
      <c r="AB2366" s="20">
        <v>1829.27</v>
      </c>
      <c r="AC2366" t="s">
        <v>183</v>
      </c>
      <c r="AD2366" t="s">
        <v>290</v>
      </c>
      <c r="AE2366" s="702">
        <f t="shared" si="180"/>
        <v>44713</v>
      </c>
      <c r="AF2366" s="289">
        <v>1811.7112542651691</v>
      </c>
      <c r="AG2366">
        <f t="shared" si="181"/>
        <v>360</v>
      </c>
      <c r="AH2366" s="289">
        <f t="shared" si="182"/>
        <v>5.0325312618476925</v>
      </c>
      <c r="AJ2366" s="289">
        <f t="shared" si="183"/>
        <v>6</v>
      </c>
      <c r="AK2366" s="289">
        <f t="shared" si="184"/>
        <v>30.195187571086155</v>
      </c>
    </row>
    <row r="2367" spans="1:37">
      <c r="A2367" s="703" t="s">
        <v>4067</v>
      </c>
      <c r="B2367" s="703" t="s">
        <v>3743</v>
      </c>
      <c r="C2367" s="703" t="s">
        <v>332</v>
      </c>
      <c r="D2367" s="703" t="s">
        <v>334</v>
      </c>
      <c r="E2367" s="703" t="s">
        <v>334</v>
      </c>
      <c r="F2367" s="703" t="s">
        <v>335</v>
      </c>
      <c r="G2367" s="703" t="s">
        <v>4068</v>
      </c>
      <c r="H2367" s="703" t="s">
        <v>334</v>
      </c>
      <c r="I2367" s="703" t="s">
        <v>334</v>
      </c>
      <c r="J2367" s="703" t="s">
        <v>337</v>
      </c>
      <c r="K2367" s="704">
        <v>0</v>
      </c>
      <c r="L2367" s="703" t="s">
        <v>334</v>
      </c>
      <c r="M2367" s="702">
        <v>39478</v>
      </c>
      <c r="N2367" s="702">
        <v>44825</v>
      </c>
      <c r="O2367" s="703" t="s">
        <v>338</v>
      </c>
      <c r="P2367" s="20">
        <v>0</v>
      </c>
      <c r="Q2367" s="20">
        <v>0</v>
      </c>
      <c r="R2367" s="20">
        <v>3505.56</v>
      </c>
      <c r="S2367" s="20">
        <v>0</v>
      </c>
      <c r="T2367" s="20">
        <v>3505.56</v>
      </c>
      <c r="U2367" s="20">
        <v>0</v>
      </c>
      <c r="V2367" s="20">
        <v>0</v>
      </c>
      <c r="W2367" s="20">
        <v>-29.21</v>
      </c>
      <c r="X2367" s="20">
        <v>-29.21</v>
      </c>
      <c r="Y2367" s="20">
        <v>0</v>
      </c>
      <c r="Z2367" s="20">
        <v>0</v>
      </c>
      <c r="AA2367" s="20">
        <v>0</v>
      </c>
      <c r="AB2367" s="20">
        <v>3476.35</v>
      </c>
      <c r="AC2367" t="s">
        <v>183</v>
      </c>
      <c r="AD2367" t="s">
        <v>290</v>
      </c>
      <c r="AE2367" s="702">
        <f t="shared" si="180"/>
        <v>44713</v>
      </c>
      <c r="AF2367" s="289">
        <v>3442.982101928726</v>
      </c>
      <c r="AG2367">
        <f t="shared" si="181"/>
        <v>360</v>
      </c>
      <c r="AH2367" s="289">
        <f t="shared" si="182"/>
        <v>9.5638391720242382</v>
      </c>
      <c r="AJ2367" s="289">
        <f t="shared" si="183"/>
        <v>6</v>
      </c>
      <c r="AK2367" s="289">
        <f t="shared" si="184"/>
        <v>57.383035032145429</v>
      </c>
    </row>
    <row r="2368" spans="1:37">
      <c r="A2368" s="703" t="s">
        <v>4069</v>
      </c>
      <c r="B2368" s="703" t="s">
        <v>3743</v>
      </c>
      <c r="C2368" s="703" t="s">
        <v>332</v>
      </c>
      <c r="D2368" s="703" t="s">
        <v>334</v>
      </c>
      <c r="E2368" s="703" t="s">
        <v>334</v>
      </c>
      <c r="F2368" s="703" t="s">
        <v>335</v>
      </c>
      <c r="G2368" s="703" t="s">
        <v>4070</v>
      </c>
      <c r="H2368" s="703" t="s">
        <v>334</v>
      </c>
      <c r="I2368" s="703" t="s">
        <v>334</v>
      </c>
      <c r="J2368" s="703" t="s">
        <v>337</v>
      </c>
      <c r="K2368" s="704">
        <v>0</v>
      </c>
      <c r="L2368" s="703" t="s">
        <v>334</v>
      </c>
      <c r="M2368" s="702">
        <v>39478</v>
      </c>
      <c r="N2368" s="702">
        <v>44825</v>
      </c>
      <c r="O2368" s="703" t="s">
        <v>338</v>
      </c>
      <c r="P2368" s="20">
        <v>0</v>
      </c>
      <c r="Q2368" s="20">
        <v>0</v>
      </c>
      <c r="R2368" s="20">
        <v>275238.28000000003</v>
      </c>
      <c r="S2368" s="20">
        <v>0</v>
      </c>
      <c r="T2368" s="20">
        <v>275238.28000000003</v>
      </c>
      <c r="U2368" s="20">
        <v>0</v>
      </c>
      <c r="V2368" s="20">
        <v>0</v>
      </c>
      <c r="W2368" s="20">
        <v>-2293.65</v>
      </c>
      <c r="X2368" s="20">
        <v>-2293.65</v>
      </c>
      <c r="Y2368" s="20">
        <v>0</v>
      </c>
      <c r="Z2368" s="20">
        <v>0</v>
      </c>
      <c r="AA2368" s="20">
        <v>0</v>
      </c>
      <c r="AB2368" s="20">
        <v>272944.63</v>
      </c>
      <c r="AC2368" t="s">
        <v>183</v>
      </c>
      <c r="AD2368" t="s">
        <v>290</v>
      </c>
      <c r="AE2368" s="702">
        <f t="shared" si="180"/>
        <v>44713</v>
      </c>
      <c r="AF2368" s="289">
        <v>270324.98996041925</v>
      </c>
      <c r="AG2368">
        <f t="shared" si="181"/>
        <v>360</v>
      </c>
      <c r="AH2368" s="289">
        <f t="shared" si="182"/>
        <v>750.90274989005343</v>
      </c>
      <c r="AJ2368" s="289">
        <f t="shared" si="183"/>
        <v>6</v>
      </c>
      <c r="AK2368" s="289">
        <f t="shared" si="184"/>
        <v>4505.416499340321</v>
      </c>
    </row>
    <row r="2369" spans="1:37">
      <c r="A2369" s="703" t="s">
        <v>4071</v>
      </c>
      <c r="B2369" s="703" t="s">
        <v>3743</v>
      </c>
      <c r="C2369" s="703" t="s">
        <v>332</v>
      </c>
      <c r="D2369" s="703" t="s">
        <v>334</v>
      </c>
      <c r="E2369" s="703" t="s">
        <v>334</v>
      </c>
      <c r="F2369" s="703" t="s">
        <v>335</v>
      </c>
      <c r="G2369" s="703" t="s">
        <v>4072</v>
      </c>
      <c r="H2369" s="703" t="s">
        <v>334</v>
      </c>
      <c r="I2369" s="703" t="s">
        <v>334</v>
      </c>
      <c r="J2369" s="703" t="s">
        <v>337</v>
      </c>
      <c r="K2369" s="704">
        <v>0</v>
      </c>
      <c r="L2369" s="703" t="s">
        <v>334</v>
      </c>
      <c r="M2369" s="702">
        <v>39478</v>
      </c>
      <c r="N2369" s="702">
        <v>44825</v>
      </c>
      <c r="O2369" s="703" t="s">
        <v>338</v>
      </c>
      <c r="P2369" s="20">
        <v>0</v>
      </c>
      <c r="Q2369" s="20">
        <v>0</v>
      </c>
      <c r="R2369" s="20">
        <v>513.55999999999995</v>
      </c>
      <c r="S2369" s="20">
        <v>0</v>
      </c>
      <c r="T2369" s="20">
        <v>513.55999999999995</v>
      </c>
      <c r="U2369" s="20">
        <v>0</v>
      </c>
      <c r="V2369" s="20">
        <v>0</v>
      </c>
      <c r="W2369" s="20">
        <v>-4.28</v>
      </c>
      <c r="X2369" s="20">
        <v>-4.28</v>
      </c>
      <c r="Y2369" s="20">
        <v>0</v>
      </c>
      <c r="Z2369" s="20">
        <v>0</v>
      </c>
      <c r="AA2369" s="20">
        <v>0</v>
      </c>
      <c r="AB2369" s="20">
        <v>509.28</v>
      </c>
      <c r="AC2369" t="s">
        <v>183</v>
      </c>
      <c r="AD2369" t="s">
        <v>290</v>
      </c>
      <c r="AE2369" s="702">
        <f t="shared" si="180"/>
        <v>44713</v>
      </c>
      <c r="AF2369" s="289">
        <v>504.39241897628801</v>
      </c>
      <c r="AG2369">
        <f t="shared" si="181"/>
        <v>360</v>
      </c>
      <c r="AH2369" s="289">
        <f t="shared" si="182"/>
        <v>1.4010900527119112</v>
      </c>
      <c r="AJ2369" s="289">
        <f t="shared" si="183"/>
        <v>6</v>
      </c>
      <c r="AK2369" s="289">
        <f t="shared" si="184"/>
        <v>8.4065403162714674</v>
      </c>
    </row>
    <row r="2370" spans="1:37">
      <c r="A2370" s="703" t="s">
        <v>4073</v>
      </c>
      <c r="B2370" s="703" t="s">
        <v>3743</v>
      </c>
      <c r="C2370" s="703" t="s">
        <v>332</v>
      </c>
      <c r="D2370" s="703" t="s">
        <v>334</v>
      </c>
      <c r="E2370" s="703" t="s">
        <v>334</v>
      </c>
      <c r="F2370" s="703" t="s">
        <v>335</v>
      </c>
      <c r="G2370" s="703" t="s">
        <v>4074</v>
      </c>
      <c r="H2370" s="703" t="s">
        <v>334</v>
      </c>
      <c r="I2370" s="703" t="s">
        <v>334</v>
      </c>
      <c r="J2370" s="703" t="s">
        <v>337</v>
      </c>
      <c r="K2370" s="704">
        <v>0</v>
      </c>
      <c r="L2370" s="703" t="s">
        <v>334</v>
      </c>
      <c r="M2370" s="702">
        <v>39478</v>
      </c>
      <c r="N2370" s="702">
        <v>44825</v>
      </c>
      <c r="O2370" s="703" t="s">
        <v>338</v>
      </c>
      <c r="P2370" s="20">
        <v>0</v>
      </c>
      <c r="Q2370" s="20">
        <v>0</v>
      </c>
      <c r="R2370" s="20">
        <v>1655.64</v>
      </c>
      <c r="S2370" s="20">
        <v>0</v>
      </c>
      <c r="T2370" s="20">
        <v>1655.64</v>
      </c>
      <c r="U2370" s="20">
        <v>0</v>
      </c>
      <c r="V2370" s="20">
        <v>0</v>
      </c>
      <c r="W2370" s="20">
        <v>-13.8</v>
      </c>
      <c r="X2370" s="20">
        <v>-13.8</v>
      </c>
      <c r="Y2370" s="20">
        <v>0</v>
      </c>
      <c r="Z2370" s="20">
        <v>0</v>
      </c>
      <c r="AA2370" s="20">
        <v>0</v>
      </c>
      <c r="AB2370" s="20">
        <v>1641.84</v>
      </c>
      <c r="AC2370" t="s">
        <v>183</v>
      </c>
      <c r="AD2370" t="s">
        <v>290</v>
      </c>
      <c r="AE2370" s="702">
        <f t="shared" si="180"/>
        <v>44713</v>
      </c>
      <c r="AF2370" s="289">
        <v>1626.0851011642296</v>
      </c>
      <c r="AG2370">
        <f t="shared" si="181"/>
        <v>360</v>
      </c>
      <c r="AH2370" s="289">
        <f t="shared" si="182"/>
        <v>4.5169030587895271</v>
      </c>
      <c r="AJ2370" s="289">
        <f t="shared" si="183"/>
        <v>6</v>
      </c>
      <c r="AK2370" s="289">
        <f t="shared" si="184"/>
        <v>27.101418352737163</v>
      </c>
    </row>
    <row r="2371" spans="1:37">
      <c r="A2371" s="703" t="s">
        <v>4075</v>
      </c>
      <c r="B2371" s="703" t="s">
        <v>3743</v>
      </c>
      <c r="C2371" s="703" t="s">
        <v>332</v>
      </c>
      <c r="D2371" s="703" t="s">
        <v>334</v>
      </c>
      <c r="E2371" s="703" t="s">
        <v>334</v>
      </c>
      <c r="F2371" s="703" t="s">
        <v>335</v>
      </c>
      <c r="G2371" s="703" t="s">
        <v>4076</v>
      </c>
      <c r="H2371" s="703" t="s">
        <v>334</v>
      </c>
      <c r="I2371" s="703" t="s">
        <v>334</v>
      </c>
      <c r="J2371" s="703" t="s">
        <v>337</v>
      </c>
      <c r="K2371" s="704">
        <v>0</v>
      </c>
      <c r="L2371" s="703" t="s">
        <v>334</v>
      </c>
      <c r="M2371" s="702">
        <v>39478</v>
      </c>
      <c r="N2371" s="702">
        <v>44825</v>
      </c>
      <c r="O2371" s="703" t="s">
        <v>338</v>
      </c>
      <c r="P2371" s="20">
        <v>0</v>
      </c>
      <c r="Q2371" s="20">
        <v>0</v>
      </c>
      <c r="R2371" s="20">
        <v>240.4</v>
      </c>
      <c r="S2371" s="20">
        <v>0</v>
      </c>
      <c r="T2371" s="20">
        <v>240.4</v>
      </c>
      <c r="U2371" s="20">
        <v>0</v>
      </c>
      <c r="V2371" s="20">
        <v>0</v>
      </c>
      <c r="W2371" s="20">
        <v>-2</v>
      </c>
      <c r="X2371" s="20">
        <v>-2</v>
      </c>
      <c r="Y2371" s="20">
        <v>0</v>
      </c>
      <c r="Z2371" s="20">
        <v>0</v>
      </c>
      <c r="AA2371" s="20">
        <v>0</v>
      </c>
      <c r="AB2371" s="20">
        <v>238.4</v>
      </c>
      <c r="AC2371" t="s">
        <v>183</v>
      </c>
      <c r="AD2371" t="s">
        <v>290</v>
      </c>
      <c r="AE2371" s="702">
        <f t="shared" si="180"/>
        <v>44713</v>
      </c>
      <c r="AF2371" s="289">
        <v>236.10860955272932</v>
      </c>
      <c r="AG2371">
        <f t="shared" si="181"/>
        <v>360</v>
      </c>
      <c r="AH2371" s="289">
        <f t="shared" si="182"/>
        <v>0.65585724875758145</v>
      </c>
      <c r="AJ2371" s="289">
        <f t="shared" si="183"/>
        <v>6</v>
      </c>
      <c r="AK2371" s="289">
        <f t="shared" si="184"/>
        <v>3.9351434925454889</v>
      </c>
    </row>
    <row r="2372" spans="1:37">
      <c r="A2372" s="703" t="s">
        <v>4077</v>
      </c>
      <c r="B2372" s="703" t="s">
        <v>3743</v>
      </c>
      <c r="C2372" s="703" t="s">
        <v>332</v>
      </c>
      <c r="D2372" s="703" t="s">
        <v>334</v>
      </c>
      <c r="E2372" s="703" t="s">
        <v>334</v>
      </c>
      <c r="F2372" s="703" t="s">
        <v>335</v>
      </c>
      <c r="G2372" s="703" t="s">
        <v>4078</v>
      </c>
      <c r="H2372" s="703" t="s">
        <v>334</v>
      </c>
      <c r="I2372" s="703" t="s">
        <v>334</v>
      </c>
      <c r="J2372" s="703" t="s">
        <v>337</v>
      </c>
      <c r="K2372" s="704">
        <v>0</v>
      </c>
      <c r="L2372" s="703" t="s">
        <v>334</v>
      </c>
      <c r="M2372" s="702">
        <v>39478</v>
      </c>
      <c r="N2372" s="702">
        <v>44825</v>
      </c>
      <c r="O2372" s="703" t="s">
        <v>338</v>
      </c>
      <c r="P2372" s="20">
        <v>0</v>
      </c>
      <c r="Q2372" s="20">
        <v>0</v>
      </c>
      <c r="R2372" s="20">
        <v>903.87</v>
      </c>
      <c r="S2372" s="20">
        <v>0</v>
      </c>
      <c r="T2372" s="20">
        <v>903.87</v>
      </c>
      <c r="U2372" s="20">
        <v>0</v>
      </c>
      <c r="V2372" s="20">
        <v>0</v>
      </c>
      <c r="W2372" s="20">
        <v>-7.53</v>
      </c>
      <c r="X2372" s="20">
        <v>-7.53</v>
      </c>
      <c r="Y2372" s="20">
        <v>0</v>
      </c>
      <c r="Z2372" s="20">
        <v>0</v>
      </c>
      <c r="AA2372" s="20">
        <v>0</v>
      </c>
      <c r="AB2372" s="20">
        <v>896.34</v>
      </c>
      <c r="AC2372" t="s">
        <v>183</v>
      </c>
      <c r="AD2372" t="s">
        <v>290</v>
      </c>
      <c r="AE2372" s="702">
        <f t="shared" si="180"/>
        <v>44713</v>
      </c>
      <c r="AF2372" s="289">
        <v>887.73497885368317</v>
      </c>
      <c r="AG2372">
        <f t="shared" si="181"/>
        <v>360</v>
      </c>
      <c r="AH2372" s="289">
        <f t="shared" si="182"/>
        <v>2.4659304968157865</v>
      </c>
      <c r="AJ2372" s="289">
        <f t="shared" si="183"/>
        <v>6</v>
      </c>
      <c r="AK2372" s="289">
        <f t="shared" si="184"/>
        <v>14.795582980894718</v>
      </c>
    </row>
    <row r="2373" spans="1:37">
      <c r="A2373" s="703" t="s">
        <v>4079</v>
      </c>
      <c r="B2373" s="703" t="s">
        <v>3743</v>
      </c>
      <c r="C2373" s="703" t="s">
        <v>332</v>
      </c>
      <c r="D2373" s="703" t="s">
        <v>334</v>
      </c>
      <c r="E2373" s="703" t="s">
        <v>334</v>
      </c>
      <c r="F2373" s="703" t="s">
        <v>335</v>
      </c>
      <c r="G2373" s="703" t="s">
        <v>4080</v>
      </c>
      <c r="H2373" s="703" t="s">
        <v>334</v>
      </c>
      <c r="I2373" s="703" t="s">
        <v>334</v>
      </c>
      <c r="J2373" s="703" t="s">
        <v>337</v>
      </c>
      <c r="K2373" s="704">
        <v>0</v>
      </c>
      <c r="L2373" s="703" t="s">
        <v>334</v>
      </c>
      <c r="M2373" s="702">
        <v>39478</v>
      </c>
      <c r="N2373" s="702">
        <v>44825</v>
      </c>
      <c r="O2373" s="703" t="s">
        <v>338</v>
      </c>
      <c r="P2373" s="20">
        <v>0</v>
      </c>
      <c r="Q2373" s="20">
        <v>0</v>
      </c>
      <c r="R2373" s="20">
        <v>71219.53</v>
      </c>
      <c r="S2373" s="20">
        <v>0</v>
      </c>
      <c r="T2373" s="20">
        <v>71219.53</v>
      </c>
      <c r="U2373" s="20">
        <v>0</v>
      </c>
      <c r="V2373" s="20">
        <v>0</v>
      </c>
      <c r="W2373" s="20">
        <v>-593.5</v>
      </c>
      <c r="X2373" s="20">
        <v>-593.5</v>
      </c>
      <c r="Y2373" s="20">
        <v>0</v>
      </c>
      <c r="Z2373" s="20">
        <v>0</v>
      </c>
      <c r="AA2373" s="20">
        <v>0</v>
      </c>
      <c r="AB2373" s="20">
        <v>70626.03</v>
      </c>
      <c r="AC2373" t="s">
        <v>183</v>
      </c>
      <c r="AD2373" t="s">
        <v>290</v>
      </c>
      <c r="AE2373" s="702">
        <f t="shared" si="180"/>
        <v>44713</v>
      </c>
      <c r="AF2373" s="289">
        <v>69948.187193423015</v>
      </c>
      <c r="AG2373">
        <f t="shared" si="181"/>
        <v>360</v>
      </c>
      <c r="AH2373" s="289">
        <f t="shared" si="182"/>
        <v>194.30051998173059</v>
      </c>
      <c r="AJ2373" s="289">
        <f t="shared" si="183"/>
        <v>6</v>
      </c>
      <c r="AK2373" s="289">
        <f t="shared" si="184"/>
        <v>1165.8031198903836</v>
      </c>
    </row>
    <row r="2374" spans="1:37">
      <c r="A2374" s="703" t="s">
        <v>4081</v>
      </c>
      <c r="B2374" s="703" t="s">
        <v>3743</v>
      </c>
      <c r="C2374" s="703" t="s">
        <v>332</v>
      </c>
      <c r="D2374" s="703" t="s">
        <v>334</v>
      </c>
      <c r="E2374" s="703" t="s">
        <v>334</v>
      </c>
      <c r="F2374" s="703" t="s">
        <v>335</v>
      </c>
      <c r="G2374" s="703" t="s">
        <v>4082</v>
      </c>
      <c r="H2374" s="703" t="s">
        <v>334</v>
      </c>
      <c r="I2374" s="703" t="s">
        <v>334</v>
      </c>
      <c r="J2374" s="703" t="s">
        <v>337</v>
      </c>
      <c r="K2374" s="704">
        <v>0</v>
      </c>
      <c r="L2374" s="703" t="s">
        <v>334</v>
      </c>
      <c r="M2374" s="702">
        <v>39478</v>
      </c>
      <c r="N2374" s="702">
        <v>44825</v>
      </c>
      <c r="O2374" s="703" t="s">
        <v>338</v>
      </c>
      <c r="P2374" s="20">
        <v>0</v>
      </c>
      <c r="Q2374" s="20">
        <v>0</v>
      </c>
      <c r="R2374" s="20">
        <v>1346.77</v>
      </c>
      <c r="S2374" s="20">
        <v>0</v>
      </c>
      <c r="T2374" s="20">
        <v>1346.77</v>
      </c>
      <c r="U2374" s="20">
        <v>0</v>
      </c>
      <c r="V2374" s="20">
        <v>0</v>
      </c>
      <c r="W2374" s="20">
        <v>-11.22</v>
      </c>
      <c r="X2374" s="20">
        <v>-11.22</v>
      </c>
      <c r="Y2374" s="20">
        <v>0</v>
      </c>
      <c r="Z2374" s="20">
        <v>0</v>
      </c>
      <c r="AA2374" s="20">
        <v>0</v>
      </c>
      <c r="AB2374" s="20">
        <v>1335.55</v>
      </c>
      <c r="AC2374" t="s">
        <v>183</v>
      </c>
      <c r="AD2374" t="s">
        <v>290</v>
      </c>
      <c r="AE2374" s="702">
        <f t="shared" si="180"/>
        <v>44713</v>
      </c>
      <c r="AF2374" s="289">
        <v>1322.7287524431333</v>
      </c>
      <c r="AG2374">
        <f t="shared" si="181"/>
        <v>360</v>
      </c>
      <c r="AH2374" s="289">
        <f t="shared" si="182"/>
        <v>3.6742465345642592</v>
      </c>
      <c r="AJ2374" s="289">
        <f t="shared" si="183"/>
        <v>6</v>
      </c>
      <c r="AK2374" s="289">
        <f t="shared" si="184"/>
        <v>22.045479207385554</v>
      </c>
    </row>
    <row r="2375" spans="1:37">
      <c r="A2375" s="703" t="s">
        <v>4083</v>
      </c>
      <c r="B2375" s="703" t="s">
        <v>3743</v>
      </c>
      <c r="C2375" s="703" t="s">
        <v>332</v>
      </c>
      <c r="D2375" s="703" t="s">
        <v>334</v>
      </c>
      <c r="E2375" s="703" t="s">
        <v>334</v>
      </c>
      <c r="F2375" s="703" t="s">
        <v>335</v>
      </c>
      <c r="G2375" s="703" t="s">
        <v>4084</v>
      </c>
      <c r="H2375" s="703" t="s">
        <v>334</v>
      </c>
      <c r="I2375" s="703" t="s">
        <v>334</v>
      </c>
      <c r="J2375" s="703" t="s">
        <v>337</v>
      </c>
      <c r="K2375" s="704">
        <v>0</v>
      </c>
      <c r="L2375" s="703" t="s">
        <v>334</v>
      </c>
      <c r="M2375" s="702">
        <v>39478</v>
      </c>
      <c r="N2375" s="702">
        <v>44825</v>
      </c>
      <c r="O2375" s="703" t="s">
        <v>338</v>
      </c>
      <c r="P2375" s="20">
        <v>0</v>
      </c>
      <c r="Q2375" s="20">
        <v>0</v>
      </c>
      <c r="R2375" s="20">
        <v>150.84</v>
      </c>
      <c r="S2375" s="20">
        <v>0</v>
      </c>
      <c r="T2375" s="20">
        <v>150.84</v>
      </c>
      <c r="U2375" s="20">
        <v>0</v>
      </c>
      <c r="V2375" s="20">
        <v>0</v>
      </c>
      <c r="W2375" s="20">
        <v>-1.26</v>
      </c>
      <c r="X2375" s="20">
        <v>-1.26</v>
      </c>
      <c r="Y2375" s="20">
        <v>0</v>
      </c>
      <c r="Z2375" s="20">
        <v>0</v>
      </c>
      <c r="AA2375" s="20">
        <v>0</v>
      </c>
      <c r="AB2375" s="20">
        <v>149.58000000000001</v>
      </c>
      <c r="AC2375" t="s">
        <v>183</v>
      </c>
      <c r="AD2375" t="s">
        <v>290</v>
      </c>
      <c r="AE2375" s="702">
        <f t="shared" ref="AE2375:AE2438" si="185">IF(N2375&gt;=$AG$5,DATE(YEAR(N2375),6,1),DATE(YEAR(N2375),6,1))</f>
        <v>44713</v>
      </c>
      <c r="AF2375" s="289">
        <v>148.14734885579736</v>
      </c>
      <c r="AG2375">
        <f t="shared" ref="AG2375:AG2438" si="186">+IF(AD2375="intangível",20*12,IF(AD2375="Diferido",120,IF(AD2375="Não vinculados",0,IF(AE2375&lt;=$AG$5,F2375*12,360))))</f>
        <v>360</v>
      </c>
      <c r="AH2375" s="289">
        <f t="shared" ref="AH2375:AH2438" si="187">IF(AG2375=0,0,AF2375/AG2375)</f>
        <v>0.41152041348832602</v>
      </c>
      <c r="AJ2375" s="289">
        <f t="shared" ref="AJ2375:AJ2438" si="188">+IF(AND(YEAR(AE2375)&gt;=2018,YEAR(AE2375)&lt;=2022),IF(DATEDIF(AE2375,$AK$4,"m")&gt;=AG2375,AG2375,DATEDIF(AE2375,$AK$4,"m")),0)</f>
        <v>6</v>
      </c>
      <c r="AK2375" s="289">
        <f t="shared" ref="AK2375:AK2438" si="189">IF(AD2375="Imobilizado",AJ2375*AH2375,0)</f>
        <v>2.4691224809299559</v>
      </c>
    </row>
    <row r="2376" spans="1:37">
      <c r="A2376" s="703" t="s">
        <v>4085</v>
      </c>
      <c r="B2376" s="703" t="s">
        <v>3743</v>
      </c>
      <c r="C2376" s="703" t="s">
        <v>332</v>
      </c>
      <c r="D2376" s="703" t="s">
        <v>334</v>
      </c>
      <c r="E2376" s="703" t="s">
        <v>334</v>
      </c>
      <c r="F2376" s="703" t="s">
        <v>335</v>
      </c>
      <c r="G2376" s="703" t="s">
        <v>4086</v>
      </c>
      <c r="H2376" s="703" t="s">
        <v>334</v>
      </c>
      <c r="I2376" s="703" t="s">
        <v>334</v>
      </c>
      <c r="J2376" s="703" t="s">
        <v>337</v>
      </c>
      <c r="K2376" s="704">
        <v>0</v>
      </c>
      <c r="L2376" s="703" t="s">
        <v>334</v>
      </c>
      <c r="M2376" s="702">
        <v>39478</v>
      </c>
      <c r="N2376" s="702">
        <v>44825</v>
      </c>
      <c r="O2376" s="703" t="s">
        <v>338</v>
      </c>
      <c r="P2376" s="20">
        <v>0</v>
      </c>
      <c r="Q2376" s="20">
        <v>0</v>
      </c>
      <c r="R2376" s="20">
        <v>789.28</v>
      </c>
      <c r="S2376" s="20">
        <v>0</v>
      </c>
      <c r="T2376" s="20">
        <v>789.28</v>
      </c>
      <c r="U2376" s="20">
        <v>0</v>
      </c>
      <c r="V2376" s="20">
        <v>0</v>
      </c>
      <c r="W2376" s="20">
        <v>-6.58</v>
      </c>
      <c r="X2376" s="20">
        <v>-6.58</v>
      </c>
      <c r="Y2376" s="20">
        <v>0</v>
      </c>
      <c r="Z2376" s="20">
        <v>0</v>
      </c>
      <c r="AA2376" s="20">
        <v>0</v>
      </c>
      <c r="AB2376" s="20">
        <v>782.7</v>
      </c>
      <c r="AC2376" t="s">
        <v>183</v>
      </c>
      <c r="AD2376" t="s">
        <v>290</v>
      </c>
      <c r="AE2376" s="702">
        <f t="shared" si="185"/>
        <v>44713</v>
      </c>
      <c r="AF2376" s="289">
        <v>775.19052973285443</v>
      </c>
      <c r="AG2376">
        <f t="shared" si="186"/>
        <v>360</v>
      </c>
      <c r="AH2376" s="289">
        <f t="shared" si="187"/>
        <v>2.1533070270357069</v>
      </c>
      <c r="AJ2376" s="289">
        <f t="shared" si="188"/>
        <v>6</v>
      </c>
      <c r="AK2376" s="289">
        <f t="shared" si="189"/>
        <v>12.919842162214241</v>
      </c>
    </row>
    <row r="2377" spans="1:37">
      <c r="A2377" s="703" t="s">
        <v>4087</v>
      </c>
      <c r="B2377" s="703" t="s">
        <v>3743</v>
      </c>
      <c r="C2377" s="703" t="s">
        <v>332</v>
      </c>
      <c r="D2377" s="703" t="s">
        <v>334</v>
      </c>
      <c r="E2377" s="703" t="s">
        <v>334</v>
      </c>
      <c r="F2377" s="703" t="s">
        <v>335</v>
      </c>
      <c r="G2377" s="703" t="s">
        <v>4088</v>
      </c>
      <c r="H2377" s="703" t="s">
        <v>334</v>
      </c>
      <c r="I2377" s="703" t="s">
        <v>334</v>
      </c>
      <c r="J2377" s="703" t="s">
        <v>337</v>
      </c>
      <c r="K2377" s="704">
        <v>0</v>
      </c>
      <c r="L2377" s="703" t="s">
        <v>334</v>
      </c>
      <c r="M2377" s="702">
        <v>39478</v>
      </c>
      <c r="N2377" s="702">
        <v>44825</v>
      </c>
      <c r="O2377" s="703" t="s">
        <v>338</v>
      </c>
      <c r="P2377" s="20">
        <v>0</v>
      </c>
      <c r="Q2377" s="20">
        <v>0</v>
      </c>
      <c r="R2377" s="20">
        <v>10185.01</v>
      </c>
      <c r="S2377" s="20">
        <v>0</v>
      </c>
      <c r="T2377" s="20">
        <v>10185.01</v>
      </c>
      <c r="U2377" s="20">
        <v>0</v>
      </c>
      <c r="V2377" s="20">
        <v>0</v>
      </c>
      <c r="W2377" s="20">
        <v>-84.88</v>
      </c>
      <c r="X2377" s="20">
        <v>-84.88</v>
      </c>
      <c r="Y2377" s="20">
        <v>0</v>
      </c>
      <c r="Z2377" s="20">
        <v>0</v>
      </c>
      <c r="AA2377" s="20">
        <v>0</v>
      </c>
      <c r="AB2377" s="20">
        <v>10100.129999999999</v>
      </c>
      <c r="AC2377" t="s">
        <v>183</v>
      </c>
      <c r="AD2377" t="s">
        <v>290</v>
      </c>
      <c r="AE2377" s="702">
        <f t="shared" si="185"/>
        <v>44713</v>
      </c>
      <c r="AF2377" s="289">
        <v>10003.196960817984</v>
      </c>
      <c r="AG2377">
        <f t="shared" si="186"/>
        <v>360</v>
      </c>
      <c r="AH2377" s="289">
        <f t="shared" si="187"/>
        <v>27.786658224494399</v>
      </c>
      <c r="AJ2377" s="289">
        <f t="shared" si="188"/>
        <v>6</v>
      </c>
      <c r="AK2377" s="289">
        <f t="shared" si="189"/>
        <v>166.71994934696639</v>
      </c>
    </row>
    <row r="2378" spans="1:37">
      <c r="A2378" s="703" t="s">
        <v>4089</v>
      </c>
      <c r="B2378" s="703" t="s">
        <v>3743</v>
      </c>
      <c r="C2378" s="703" t="s">
        <v>332</v>
      </c>
      <c r="D2378" s="703" t="s">
        <v>334</v>
      </c>
      <c r="E2378" s="703" t="s">
        <v>334</v>
      </c>
      <c r="F2378" s="703" t="s">
        <v>335</v>
      </c>
      <c r="G2378" s="703" t="s">
        <v>4090</v>
      </c>
      <c r="H2378" s="703" t="s">
        <v>334</v>
      </c>
      <c r="I2378" s="703" t="s">
        <v>334</v>
      </c>
      <c r="J2378" s="703" t="s">
        <v>337</v>
      </c>
      <c r="K2378" s="704">
        <v>0</v>
      </c>
      <c r="L2378" s="703" t="s">
        <v>334</v>
      </c>
      <c r="M2378" s="702">
        <v>42886</v>
      </c>
      <c r="N2378" s="702">
        <v>44825</v>
      </c>
      <c r="O2378" s="703" t="s">
        <v>338</v>
      </c>
      <c r="P2378" s="20">
        <v>0</v>
      </c>
      <c r="Q2378" s="20">
        <v>0</v>
      </c>
      <c r="R2378" s="20">
        <v>5860.34</v>
      </c>
      <c r="S2378" s="20">
        <v>0</v>
      </c>
      <c r="T2378" s="20">
        <v>5860.34</v>
      </c>
      <c r="U2378" s="20">
        <v>0</v>
      </c>
      <c r="V2378" s="20">
        <v>0</v>
      </c>
      <c r="W2378" s="20">
        <v>-48.84</v>
      </c>
      <c r="X2378" s="20">
        <v>-48.84</v>
      </c>
      <c r="Y2378" s="20">
        <v>0</v>
      </c>
      <c r="Z2378" s="20">
        <v>0</v>
      </c>
      <c r="AA2378" s="20">
        <v>0</v>
      </c>
      <c r="AB2378" s="20">
        <v>5811.5</v>
      </c>
      <c r="AC2378" t="s">
        <v>183</v>
      </c>
      <c r="AD2378" t="s">
        <v>290</v>
      </c>
      <c r="AE2378" s="702">
        <f t="shared" si="185"/>
        <v>44713</v>
      </c>
      <c r="AF2378" s="289">
        <v>5755.7268257331189</v>
      </c>
      <c r="AG2378">
        <f t="shared" si="186"/>
        <v>360</v>
      </c>
      <c r="AH2378" s="289">
        <f t="shared" si="187"/>
        <v>15.988130071480885</v>
      </c>
      <c r="AJ2378" s="289">
        <f t="shared" si="188"/>
        <v>6</v>
      </c>
      <c r="AK2378" s="289">
        <f t="shared" si="189"/>
        <v>95.928780428885318</v>
      </c>
    </row>
    <row r="2379" spans="1:37">
      <c r="A2379" s="703" t="s">
        <v>4091</v>
      </c>
      <c r="B2379" s="703" t="s">
        <v>3743</v>
      </c>
      <c r="C2379" s="703" t="s">
        <v>332</v>
      </c>
      <c r="D2379" s="703" t="s">
        <v>334</v>
      </c>
      <c r="E2379" s="703" t="s">
        <v>334</v>
      </c>
      <c r="F2379" s="703" t="s">
        <v>335</v>
      </c>
      <c r="G2379" s="703" t="s">
        <v>4092</v>
      </c>
      <c r="H2379" s="703" t="s">
        <v>334</v>
      </c>
      <c r="I2379" s="703" t="s">
        <v>334</v>
      </c>
      <c r="J2379" s="703" t="s">
        <v>337</v>
      </c>
      <c r="K2379" s="704">
        <v>0</v>
      </c>
      <c r="L2379" s="703" t="s">
        <v>334</v>
      </c>
      <c r="M2379" s="702">
        <v>42886</v>
      </c>
      <c r="N2379" s="702">
        <v>44825</v>
      </c>
      <c r="O2379" s="703" t="s">
        <v>338</v>
      </c>
      <c r="P2379" s="20">
        <v>0</v>
      </c>
      <c r="Q2379" s="20">
        <v>0</v>
      </c>
      <c r="R2379" s="20">
        <v>3848.62</v>
      </c>
      <c r="S2379" s="20">
        <v>0</v>
      </c>
      <c r="T2379" s="20">
        <v>3848.62</v>
      </c>
      <c r="U2379" s="20">
        <v>0</v>
      </c>
      <c r="V2379" s="20">
        <v>0</v>
      </c>
      <c r="W2379" s="20">
        <v>-32.07</v>
      </c>
      <c r="X2379" s="20">
        <v>-32.07</v>
      </c>
      <c r="Y2379" s="20">
        <v>0</v>
      </c>
      <c r="Z2379" s="20">
        <v>0</v>
      </c>
      <c r="AA2379" s="20">
        <v>0</v>
      </c>
      <c r="AB2379" s="20">
        <v>3816.55</v>
      </c>
      <c r="AC2379" t="s">
        <v>183</v>
      </c>
      <c r="AD2379" t="s">
        <v>290</v>
      </c>
      <c r="AE2379" s="702">
        <f t="shared" si="185"/>
        <v>44713</v>
      </c>
      <c r="AF2379" s="289">
        <v>3779.9181235308865</v>
      </c>
      <c r="AG2379">
        <f t="shared" si="186"/>
        <v>360</v>
      </c>
      <c r="AH2379" s="289">
        <f t="shared" si="187"/>
        <v>10.499772565363573</v>
      </c>
      <c r="AJ2379" s="289">
        <f t="shared" si="188"/>
        <v>6</v>
      </c>
      <c r="AK2379" s="289">
        <f t="shared" si="189"/>
        <v>62.998635392181441</v>
      </c>
    </row>
    <row r="2380" spans="1:37">
      <c r="A2380" s="703" t="s">
        <v>4093</v>
      </c>
      <c r="B2380" s="703" t="s">
        <v>3743</v>
      </c>
      <c r="C2380" s="703" t="s">
        <v>332</v>
      </c>
      <c r="D2380" s="703" t="s">
        <v>334</v>
      </c>
      <c r="E2380" s="703" t="s">
        <v>334</v>
      </c>
      <c r="F2380" s="703" t="s">
        <v>335</v>
      </c>
      <c r="G2380" s="703" t="s">
        <v>4094</v>
      </c>
      <c r="H2380" s="703" t="s">
        <v>334</v>
      </c>
      <c r="I2380" s="703" t="s">
        <v>334</v>
      </c>
      <c r="J2380" s="703" t="s">
        <v>337</v>
      </c>
      <c r="K2380" s="704">
        <v>0</v>
      </c>
      <c r="L2380" s="703" t="s">
        <v>334</v>
      </c>
      <c r="M2380" s="702">
        <v>42886</v>
      </c>
      <c r="N2380" s="702">
        <v>44825</v>
      </c>
      <c r="O2380" s="703" t="s">
        <v>338</v>
      </c>
      <c r="P2380" s="20">
        <v>0</v>
      </c>
      <c r="Q2380" s="20">
        <v>0</v>
      </c>
      <c r="R2380" s="20">
        <v>9977.34</v>
      </c>
      <c r="S2380" s="20">
        <v>0</v>
      </c>
      <c r="T2380" s="20">
        <v>9977.34</v>
      </c>
      <c r="U2380" s="20">
        <v>0</v>
      </c>
      <c r="V2380" s="20">
        <v>0</v>
      </c>
      <c r="W2380" s="20">
        <v>-83.14</v>
      </c>
      <c r="X2380" s="20">
        <v>-83.14</v>
      </c>
      <c r="Y2380" s="20">
        <v>0</v>
      </c>
      <c r="Z2380" s="20">
        <v>0</v>
      </c>
      <c r="AA2380" s="20">
        <v>0</v>
      </c>
      <c r="AB2380" s="20">
        <v>9894.2000000000007</v>
      </c>
      <c r="AC2380" t="s">
        <v>183</v>
      </c>
      <c r="AD2380" t="s">
        <v>290</v>
      </c>
      <c r="AE2380" s="702">
        <f t="shared" si="185"/>
        <v>44713</v>
      </c>
      <c r="AF2380" s="289">
        <v>9799.2340866673385</v>
      </c>
      <c r="AG2380">
        <f t="shared" si="186"/>
        <v>360</v>
      </c>
      <c r="AH2380" s="289">
        <f t="shared" si="187"/>
        <v>27.22009468518705</v>
      </c>
      <c r="AJ2380" s="289">
        <f t="shared" si="188"/>
        <v>6</v>
      </c>
      <c r="AK2380" s="289">
        <f t="shared" si="189"/>
        <v>163.3205681111223</v>
      </c>
    </row>
    <row r="2381" spans="1:37">
      <c r="A2381" s="703" t="s">
        <v>4095</v>
      </c>
      <c r="B2381" s="703" t="s">
        <v>3743</v>
      </c>
      <c r="C2381" s="703" t="s">
        <v>332</v>
      </c>
      <c r="D2381" s="703" t="s">
        <v>334</v>
      </c>
      <c r="E2381" s="703" t="s">
        <v>334</v>
      </c>
      <c r="F2381" s="703" t="s">
        <v>335</v>
      </c>
      <c r="G2381" s="703" t="s">
        <v>4096</v>
      </c>
      <c r="H2381" s="703" t="s">
        <v>334</v>
      </c>
      <c r="I2381" s="703" t="s">
        <v>334</v>
      </c>
      <c r="J2381" s="703" t="s">
        <v>337</v>
      </c>
      <c r="K2381" s="704">
        <v>0</v>
      </c>
      <c r="L2381" s="703" t="s">
        <v>334</v>
      </c>
      <c r="M2381" s="702">
        <v>42886</v>
      </c>
      <c r="N2381" s="702">
        <v>44825</v>
      </c>
      <c r="O2381" s="703" t="s">
        <v>338</v>
      </c>
      <c r="P2381" s="20">
        <v>0</v>
      </c>
      <c r="Q2381" s="20">
        <v>0</v>
      </c>
      <c r="R2381" s="20">
        <v>7159.4</v>
      </c>
      <c r="S2381" s="20">
        <v>0</v>
      </c>
      <c r="T2381" s="20">
        <v>7159.4</v>
      </c>
      <c r="U2381" s="20">
        <v>0</v>
      </c>
      <c r="V2381" s="20">
        <v>0</v>
      </c>
      <c r="W2381" s="20">
        <v>-59.66</v>
      </c>
      <c r="X2381" s="20">
        <v>-59.66</v>
      </c>
      <c r="Y2381" s="20">
        <v>0</v>
      </c>
      <c r="Z2381" s="20">
        <v>0</v>
      </c>
      <c r="AA2381" s="20">
        <v>0</v>
      </c>
      <c r="AB2381" s="20">
        <v>7099.74</v>
      </c>
      <c r="AC2381" t="s">
        <v>183</v>
      </c>
      <c r="AD2381" t="s">
        <v>290</v>
      </c>
      <c r="AE2381" s="702">
        <f t="shared" si="185"/>
        <v>44713</v>
      </c>
      <c r="AF2381" s="289">
        <v>7031.5972513802426</v>
      </c>
      <c r="AG2381">
        <f t="shared" si="186"/>
        <v>360</v>
      </c>
      <c r="AH2381" s="289">
        <f t="shared" si="187"/>
        <v>19.532214587167342</v>
      </c>
      <c r="AJ2381" s="289">
        <f t="shared" si="188"/>
        <v>6</v>
      </c>
      <c r="AK2381" s="289">
        <f t="shared" si="189"/>
        <v>117.19328752300405</v>
      </c>
    </row>
    <row r="2382" spans="1:37">
      <c r="A2382" s="703" t="s">
        <v>4097</v>
      </c>
      <c r="B2382" s="703" t="s">
        <v>3743</v>
      </c>
      <c r="C2382" s="703" t="s">
        <v>332</v>
      </c>
      <c r="D2382" s="703" t="s">
        <v>334</v>
      </c>
      <c r="E2382" s="703" t="s">
        <v>334</v>
      </c>
      <c r="F2382" s="703" t="s">
        <v>335</v>
      </c>
      <c r="G2382" s="703" t="s">
        <v>4098</v>
      </c>
      <c r="H2382" s="703" t="s">
        <v>334</v>
      </c>
      <c r="I2382" s="703" t="s">
        <v>334</v>
      </c>
      <c r="J2382" s="703" t="s">
        <v>337</v>
      </c>
      <c r="K2382" s="704">
        <v>0</v>
      </c>
      <c r="L2382" s="703" t="s">
        <v>334</v>
      </c>
      <c r="M2382" s="702">
        <v>42886</v>
      </c>
      <c r="N2382" s="702">
        <v>44825</v>
      </c>
      <c r="O2382" s="703" t="s">
        <v>338</v>
      </c>
      <c r="P2382" s="20">
        <v>0</v>
      </c>
      <c r="Q2382" s="20">
        <v>0</v>
      </c>
      <c r="R2382" s="20">
        <v>6343.94</v>
      </c>
      <c r="S2382" s="20">
        <v>0</v>
      </c>
      <c r="T2382" s="20">
        <v>6343.94</v>
      </c>
      <c r="U2382" s="20">
        <v>0</v>
      </c>
      <c r="V2382" s="20">
        <v>0</v>
      </c>
      <c r="W2382" s="20">
        <v>-52.87</v>
      </c>
      <c r="X2382" s="20">
        <v>-52.87</v>
      </c>
      <c r="Y2382" s="20">
        <v>0</v>
      </c>
      <c r="Z2382" s="20">
        <v>0</v>
      </c>
      <c r="AA2382" s="20">
        <v>0</v>
      </c>
      <c r="AB2382" s="20">
        <v>6291.07</v>
      </c>
      <c r="AC2382" t="s">
        <v>183</v>
      </c>
      <c r="AD2382" t="s">
        <v>290</v>
      </c>
      <c r="AE2382" s="702">
        <f t="shared" si="185"/>
        <v>44713</v>
      </c>
      <c r="AF2382" s="289">
        <v>6230.6940619215538</v>
      </c>
      <c r="AG2382">
        <f t="shared" si="186"/>
        <v>360</v>
      </c>
      <c r="AH2382" s="289">
        <f t="shared" si="187"/>
        <v>17.30748350533765</v>
      </c>
      <c r="AJ2382" s="289">
        <f t="shared" si="188"/>
        <v>6</v>
      </c>
      <c r="AK2382" s="289">
        <f t="shared" si="189"/>
        <v>103.8449010320259</v>
      </c>
    </row>
    <row r="2383" spans="1:37">
      <c r="A2383" s="703" t="s">
        <v>4099</v>
      </c>
      <c r="B2383" s="703" t="s">
        <v>3743</v>
      </c>
      <c r="C2383" s="703" t="s">
        <v>332</v>
      </c>
      <c r="D2383" s="703" t="s">
        <v>334</v>
      </c>
      <c r="E2383" s="703" t="s">
        <v>334</v>
      </c>
      <c r="F2383" s="703" t="s">
        <v>335</v>
      </c>
      <c r="G2383" s="703" t="s">
        <v>4100</v>
      </c>
      <c r="H2383" s="703" t="s">
        <v>334</v>
      </c>
      <c r="I2383" s="703" t="s">
        <v>334</v>
      </c>
      <c r="J2383" s="703" t="s">
        <v>337</v>
      </c>
      <c r="K2383" s="704">
        <v>0</v>
      </c>
      <c r="L2383" s="703" t="s">
        <v>334</v>
      </c>
      <c r="M2383" s="702">
        <v>43708</v>
      </c>
      <c r="N2383" s="702">
        <v>44825</v>
      </c>
      <c r="O2383" s="703" t="s">
        <v>338</v>
      </c>
      <c r="P2383" s="20">
        <v>0</v>
      </c>
      <c r="Q2383" s="20">
        <v>0</v>
      </c>
      <c r="R2383" s="20">
        <v>2302.46</v>
      </c>
      <c r="S2383" s="20">
        <v>0</v>
      </c>
      <c r="T2383" s="20">
        <v>2302.46</v>
      </c>
      <c r="U2383" s="20">
        <v>0</v>
      </c>
      <c r="V2383" s="20">
        <v>0</v>
      </c>
      <c r="W2383" s="20">
        <v>-19.190000000000001</v>
      </c>
      <c r="X2383" s="20">
        <v>-19.190000000000001</v>
      </c>
      <c r="Y2383" s="20">
        <v>0</v>
      </c>
      <c r="Z2383" s="20">
        <v>0</v>
      </c>
      <c r="AA2383" s="20">
        <v>0</v>
      </c>
      <c r="AB2383" s="20">
        <v>2283.27</v>
      </c>
      <c r="AC2383" t="s">
        <v>183</v>
      </c>
      <c r="AD2383" t="s">
        <v>290</v>
      </c>
      <c r="AE2383" s="702">
        <f t="shared" si="185"/>
        <v>44713</v>
      </c>
      <c r="AF2383" s="289">
        <v>2261.3586903110527</v>
      </c>
      <c r="AG2383">
        <f t="shared" si="186"/>
        <v>360</v>
      </c>
      <c r="AH2383" s="289">
        <f t="shared" si="187"/>
        <v>6.2815519175307015</v>
      </c>
      <c r="AJ2383" s="289">
        <f t="shared" si="188"/>
        <v>6</v>
      </c>
      <c r="AK2383" s="289">
        <f t="shared" si="189"/>
        <v>37.689311505184207</v>
      </c>
    </row>
    <row r="2384" spans="1:37">
      <c r="A2384" s="703" t="s">
        <v>4101</v>
      </c>
      <c r="B2384" s="703" t="s">
        <v>3743</v>
      </c>
      <c r="C2384" s="703" t="s">
        <v>332</v>
      </c>
      <c r="D2384" s="703" t="s">
        <v>334</v>
      </c>
      <c r="E2384" s="703" t="s">
        <v>334</v>
      </c>
      <c r="F2384" s="703" t="s">
        <v>335</v>
      </c>
      <c r="G2384" s="703" t="s">
        <v>4102</v>
      </c>
      <c r="H2384" s="703" t="s">
        <v>334</v>
      </c>
      <c r="I2384" s="703" t="s">
        <v>334</v>
      </c>
      <c r="J2384" s="703" t="s">
        <v>337</v>
      </c>
      <c r="K2384" s="704">
        <v>0</v>
      </c>
      <c r="L2384" s="703" t="s">
        <v>334</v>
      </c>
      <c r="M2384" s="702">
        <v>43708</v>
      </c>
      <c r="N2384" s="702">
        <v>44825</v>
      </c>
      <c r="O2384" s="703" t="s">
        <v>338</v>
      </c>
      <c r="P2384" s="20">
        <v>0</v>
      </c>
      <c r="Q2384" s="20">
        <v>0</v>
      </c>
      <c r="R2384" s="20">
        <v>2302.4499999999998</v>
      </c>
      <c r="S2384" s="20">
        <v>0</v>
      </c>
      <c r="T2384" s="20">
        <v>2302.4499999999998</v>
      </c>
      <c r="U2384" s="20">
        <v>0</v>
      </c>
      <c r="V2384" s="20">
        <v>0</v>
      </c>
      <c r="W2384" s="20">
        <v>-19.190000000000001</v>
      </c>
      <c r="X2384" s="20">
        <v>-19.190000000000001</v>
      </c>
      <c r="Y2384" s="20">
        <v>0</v>
      </c>
      <c r="Z2384" s="20">
        <v>0</v>
      </c>
      <c r="AA2384" s="20">
        <v>0</v>
      </c>
      <c r="AB2384" s="20">
        <v>2283.2600000000002</v>
      </c>
      <c r="AC2384" t="s">
        <v>183</v>
      </c>
      <c r="AD2384" t="s">
        <v>290</v>
      </c>
      <c r="AE2384" s="702">
        <f t="shared" si="185"/>
        <v>44713</v>
      </c>
      <c r="AF2384" s="289">
        <v>2261.3488688214707</v>
      </c>
      <c r="AG2384">
        <f t="shared" si="186"/>
        <v>360</v>
      </c>
      <c r="AH2384" s="289">
        <f t="shared" si="187"/>
        <v>6.2815246356151961</v>
      </c>
      <c r="AJ2384" s="289">
        <f t="shared" si="188"/>
        <v>6</v>
      </c>
      <c r="AK2384" s="289">
        <f t="shared" si="189"/>
        <v>37.689147813691179</v>
      </c>
    </row>
    <row r="2385" spans="1:37">
      <c r="A2385" s="703" t="s">
        <v>4103</v>
      </c>
      <c r="B2385" s="703" t="s">
        <v>3743</v>
      </c>
      <c r="C2385" s="703" t="s">
        <v>332</v>
      </c>
      <c r="D2385" s="703" t="s">
        <v>334</v>
      </c>
      <c r="E2385" s="703" t="s">
        <v>334</v>
      </c>
      <c r="F2385" s="703" t="s">
        <v>335</v>
      </c>
      <c r="G2385" s="703" t="s">
        <v>4104</v>
      </c>
      <c r="H2385" s="703" t="s">
        <v>334</v>
      </c>
      <c r="I2385" s="703" t="s">
        <v>334</v>
      </c>
      <c r="J2385" s="703" t="s">
        <v>337</v>
      </c>
      <c r="K2385" s="704">
        <v>0</v>
      </c>
      <c r="L2385" s="703" t="s">
        <v>334</v>
      </c>
      <c r="M2385" s="702">
        <v>43708</v>
      </c>
      <c r="N2385" s="702">
        <v>44825</v>
      </c>
      <c r="O2385" s="703" t="s">
        <v>338</v>
      </c>
      <c r="P2385" s="20">
        <v>0</v>
      </c>
      <c r="Q2385" s="20">
        <v>0</v>
      </c>
      <c r="R2385" s="20">
        <v>2302.4499999999998</v>
      </c>
      <c r="S2385" s="20">
        <v>0</v>
      </c>
      <c r="T2385" s="20">
        <v>2302.4499999999998</v>
      </c>
      <c r="U2385" s="20">
        <v>0</v>
      </c>
      <c r="V2385" s="20">
        <v>0</v>
      </c>
      <c r="W2385" s="20">
        <v>-19.190000000000001</v>
      </c>
      <c r="X2385" s="20">
        <v>-19.190000000000001</v>
      </c>
      <c r="Y2385" s="20">
        <v>0</v>
      </c>
      <c r="Z2385" s="20">
        <v>0</v>
      </c>
      <c r="AA2385" s="20">
        <v>0</v>
      </c>
      <c r="AB2385" s="20">
        <v>2283.2600000000002</v>
      </c>
      <c r="AC2385" t="s">
        <v>183</v>
      </c>
      <c r="AD2385" t="s">
        <v>290</v>
      </c>
      <c r="AE2385" s="702">
        <f t="shared" si="185"/>
        <v>44713</v>
      </c>
      <c r="AF2385" s="289">
        <v>2261.3488688214707</v>
      </c>
      <c r="AG2385">
        <f t="shared" si="186"/>
        <v>360</v>
      </c>
      <c r="AH2385" s="289">
        <f t="shared" si="187"/>
        <v>6.2815246356151961</v>
      </c>
      <c r="AJ2385" s="289">
        <f t="shared" si="188"/>
        <v>6</v>
      </c>
      <c r="AK2385" s="289">
        <f t="shared" si="189"/>
        <v>37.689147813691179</v>
      </c>
    </row>
    <row r="2386" spans="1:37">
      <c r="A2386" s="703" t="s">
        <v>4105</v>
      </c>
      <c r="B2386" s="703" t="s">
        <v>3743</v>
      </c>
      <c r="C2386" s="703" t="s">
        <v>332</v>
      </c>
      <c r="D2386" s="703" t="s">
        <v>334</v>
      </c>
      <c r="E2386" s="703" t="s">
        <v>334</v>
      </c>
      <c r="F2386" s="703" t="s">
        <v>335</v>
      </c>
      <c r="G2386" s="703" t="s">
        <v>4106</v>
      </c>
      <c r="H2386" s="703" t="s">
        <v>334</v>
      </c>
      <c r="I2386" s="703" t="s">
        <v>334</v>
      </c>
      <c r="J2386" s="703" t="s">
        <v>337</v>
      </c>
      <c r="K2386" s="704">
        <v>0</v>
      </c>
      <c r="L2386" s="703" t="s">
        <v>334</v>
      </c>
      <c r="M2386" s="702">
        <v>43708</v>
      </c>
      <c r="N2386" s="702">
        <v>44825</v>
      </c>
      <c r="O2386" s="703" t="s">
        <v>338</v>
      </c>
      <c r="P2386" s="20">
        <v>0</v>
      </c>
      <c r="Q2386" s="20">
        <v>0</v>
      </c>
      <c r="R2386" s="20">
        <v>2302.4499999999998</v>
      </c>
      <c r="S2386" s="20">
        <v>0</v>
      </c>
      <c r="T2386" s="20">
        <v>2302.4499999999998</v>
      </c>
      <c r="U2386" s="20">
        <v>0</v>
      </c>
      <c r="V2386" s="20">
        <v>0</v>
      </c>
      <c r="W2386" s="20">
        <v>-19.190000000000001</v>
      </c>
      <c r="X2386" s="20">
        <v>-19.190000000000001</v>
      </c>
      <c r="Y2386" s="20">
        <v>0</v>
      </c>
      <c r="Z2386" s="20">
        <v>0</v>
      </c>
      <c r="AA2386" s="20">
        <v>0</v>
      </c>
      <c r="AB2386" s="20">
        <v>2283.2600000000002</v>
      </c>
      <c r="AC2386" t="s">
        <v>183</v>
      </c>
      <c r="AD2386" t="s">
        <v>290</v>
      </c>
      <c r="AE2386" s="702">
        <f t="shared" si="185"/>
        <v>44713</v>
      </c>
      <c r="AF2386" s="289">
        <v>2261.3488688214707</v>
      </c>
      <c r="AG2386">
        <f t="shared" si="186"/>
        <v>360</v>
      </c>
      <c r="AH2386" s="289">
        <f t="shared" si="187"/>
        <v>6.2815246356151961</v>
      </c>
      <c r="AJ2386" s="289">
        <f t="shared" si="188"/>
        <v>6</v>
      </c>
      <c r="AK2386" s="289">
        <f t="shared" si="189"/>
        <v>37.689147813691179</v>
      </c>
    </row>
    <row r="2387" spans="1:37">
      <c r="A2387" s="703" t="s">
        <v>4107</v>
      </c>
      <c r="B2387" s="703" t="s">
        <v>3743</v>
      </c>
      <c r="C2387" s="703" t="s">
        <v>332</v>
      </c>
      <c r="D2387" s="703" t="s">
        <v>334</v>
      </c>
      <c r="E2387" s="703" t="s">
        <v>334</v>
      </c>
      <c r="F2387" s="703" t="s">
        <v>335</v>
      </c>
      <c r="G2387" s="703" t="s">
        <v>4108</v>
      </c>
      <c r="H2387" s="703" t="s">
        <v>334</v>
      </c>
      <c r="I2387" s="703" t="s">
        <v>334</v>
      </c>
      <c r="J2387" s="703" t="s">
        <v>337</v>
      </c>
      <c r="K2387" s="704">
        <v>0</v>
      </c>
      <c r="L2387" s="703" t="s">
        <v>334</v>
      </c>
      <c r="M2387" s="702">
        <v>43708</v>
      </c>
      <c r="N2387" s="702">
        <v>44825</v>
      </c>
      <c r="O2387" s="703" t="s">
        <v>338</v>
      </c>
      <c r="P2387" s="20">
        <v>0</v>
      </c>
      <c r="Q2387" s="20">
        <v>0</v>
      </c>
      <c r="R2387" s="20">
        <v>2302.4499999999998</v>
      </c>
      <c r="S2387" s="20">
        <v>0</v>
      </c>
      <c r="T2387" s="20">
        <v>2302.4499999999998</v>
      </c>
      <c r="U2387" s="20">
        <v>0</v>
      </c>
      <c r="V2387" s="20">
        <v>0</v>
      </c>
      <c r="W2387" s="20">
        <v>-19.190000000000001</v>
      </c>
      <c r="X2387" s="20">
        <v>-19.190000000000001</v>
      </c>
      <c r="Y2387" s="20">
        <v>0</v>
      </c>
      <c r="Z2387" s="20">
        <v>0</v>
      </c>
      <c r="AA2387" s="20">
        <v>0</v>
      </c>
      <c r="AB2387" s="20">
        <v>2283.2600000000002</v>
      </c>
      <c r="AC2387" t="s">
        <v>183</v>
      </c>
      <c r="AD2387" t="s">
        <v>290</v>
      </c>
      <c r="AE2387" s="702">
        <f t="shared" si="185"/>
        <v>44713</v>
      </c>
      <c r="AF2387" s="289">
        <v>2261.3488688214707</v>
      </c>
      <c r="AG2387">
        <f t="shared" si="186"/>
        <v>360</v>
      </c>
      <c r="AH2387" s="289">
        <f t="shared" si="187"/>
        <v>6.2815246356151961</v>
      </c>
      <c r="AJ2387" s="289">
        <f t="shared" si="188"/>
        <v>6</v>
      </c>
      <c r="AK2387" s="289">
        <f t="shared" si="189"/>
        <v>37.689147813691179</v>
      </c>
    </row>
    <row r="2388" spans="1:37">
      <c r="A2388" s="703" t="s">
        <v>4109</v>
      </c>
      <c r="B2388" s="703" t="s">
        <v>3743</v>
      </c>
      <c r="C2388" s="703" t="s">
        <v>332</v>
      </c>
      <c r="D2388" s="703" t="s">
        <v>334</v>
      </c>
      <c r="E2388" s="703" t="s">
        <v>334</v>
      </c>
      <c r="F2388" s="703" t="s">
        <v>335</v>
      </c>
      <c r="G2388" s="703" t="s">
        <v>4110</v>
      </c>
      <c r="H2388" s="703" t="s">
        <v>334</v>
      </c>
      <c r="I2388" s="703" t="s">
        <v>334</v>
      </c>
      <c r="J2388" s="703" t="s">
        <v>337</v>
      </c>
      <c r="K2388" s="704">
        <v>0</v>
      </c>
      <c r="L2388" s="703" t="s">
        <v>334</v>
      </c>
      <c r="M2388" s="702">
        <v>43708</v>
      </c>
      <c r="N2388" s="702">
        <v>44825</v>
      </c>
      <c r="O2388" s="703" t="s">
        <v>338</v>
      </c>
      <c r="P2388" s="20">
        <v>0</v>
      </c>
      <c r="Q2388" s="20">
        <v>0</v>
      </c>
      <c r="R2388" s="20">
        <v>2302.4499999999998</v>
      </c>
      <c r="S2388" s="20">
        <v>0</v>
      </c>
      <c r="T2388" s="20">
        <v>2302.4499999999998</v>
      </c>
      <c r="U2388" s="20">
        <v>0</v>
      </c>
      <c r="V2388" s="20">
        <v>0</v>
      </c>
      <c r="W2388" s="20">
        <v>-19.190000000000001</v>
      </c>
      <c r="X2388" s="20">
        <v>-19.190000000000001</v>
      </c>
      <c r="Y2388" s="20">
        <v>0</v>
      </c>
      <c r="Z2388" s="20">
        <v>0</v>
      </c>
      <c r="AA2388" s="20">
        <v>0</v>
      </c>
      <c r="AB2388" s="20">
        <v>2283.2600000000002</v>
      </c>
      <c r="AC2388" t="s">
        <v>183</v>
      </c>
      <c r="AD2388" t="s">
        <v>290</v>
      </c>
      <c r="AE2388" s="702">
        <f t="shared" si="185"/>
        <v>44713</v>
      </c>
      <c r="AF2388" s="289">
        <v>2261.3488688214707</v>
      </c>
      <c r="AG2388">
        <f t="shared" si="186"/>
        <v>360</v>
      </c>
      <c r="AH2388" s="289">
        <f t="shared" si="187"/>
        <v>6.2815246356151961</v>
      </c>
      <c r="AJ2388" s="289">
        <f t="shared" si="188"/>
        <v>6</v>
      </c>
      <c r="AK2388" s="289">
        <f t="shared" si="189"/>
        <v>37.689147813691179</v>
      </c>
    </row>
    <row r="2389" spans="1:37">
      <c r="A2389" s="703" t="s">
        <v>4111</v>
      </c>
      <c r="B2389" s="703" t="s">
        <v>3743</v>
      </c>
      <c r="C2389" s="703" t="s">
        <v>332</v>
      </c>
      <c r="D2389" s="703" t="s">
        <v>334</v>
      </c>
      <c r="E2389" s="703" t="s">
        <v>334</v>
      </c>
      <c r="F2389" s="703" t="s">
        <v>335</v>
      </c>
      <c r="G2389" s="703" t="s">
        <v>4112</v>
      </c>
      <c r="H2389" s="703" t="s">
        <v>334</v>
      </c>
      <c r="I2389" s="703" t="s">
        <v>334</v>
      </c>
      <c r="J2389" s="703" t="s">
        <v>337</v>
      </c>
      <c r="K2389" s="704">
        <v>0</v>
      </c>
      <c r="L2389" s="703" t="s">
        <v>334</v>
      </c>
      <c r="M2389" s="702">
        <v>43708</v>
      </c>
      <c r="N2389" s="702">
        <v>44825</v>
      </c>
      <c r="O2389" s="703" t="s">
        <v>338</v>
      </c>
      <c r="P2389" s="20">
        <v>0</v>
      </c>
      <c r="Q2389" s="20">
        <v>0</v>
      </c>
      <c r="R2389" s="20">
        <v>2302.4499999999998</v>
      </c>
      <c r="S2389" s="20">
        <v>0</v>
      </c>
      <c r="T2389" s="20">
        <v>2302.4499999999998</v>
      </c>
      <c r="U2389" s="20">
        <v>0</v>
      </c>
      <c r="V2389" s="20">
        <v>0</v>
      </c>
      <c r="W2389" s="20">
        <v>-19.190000000000001</v>
      </c>
      <c r="X2389" s="20">
        <v>-19.190000000000001</v>
      </c>
      <c r="Y2389" s="20">
        <v>0</v>
      </c>
      <c r="Z2389" s="20">
        <v>0</v>
      </c>
      <c r="AA2389" s="20">
        <v>0</v>
      </c>
      <c r="AB2389" s="20">
        <v>2283.2600000000002</v>
      </c>
      <c r="AC2389" t="s">
        <v>183</v>
      </c>
      <c r="AD2389" t="s">
        <v>290</v>
      </c>
      <c r="AE2389" s="702">
        <f t="shared" si="185"/>
        <v>44713</v>
      </c>
      <c r="AF2389" s="289">
        <v>2261.3488688214707</v>
      </c>
      <c r="AG2389">
        <f t="shared" si="186"/>
        <v>360</v>
      </c>
      <c r="AH2389" s="289">
        <f t="shared" si="187"/>
        <v>6.2815246356151961</v>
      </c>
      <c r="AJ2389" s="289">
        <f t="shared" si="188"/>
        <v>6</v>
      </c>
      <c r="AK2389" s="289">
        <f t="shared" si="189"/>
        <v>37.689147813691179</v>
      </c>
    </row>
    <row r="2390" spans="1:37">
      <c r="A2390" s="703" t="s">
        <v>4113</v>
      </c>
      <c r="B2390" s="703" t="s">
        <v>3743</v>
      </c>
      <c r="C2390" s="703" t="s">
        <v>332</v>
      </c>
      <c r="D2390" s="703" t="s">
        <v>334</v>
      </c>
      <c r="E2390" s="703" t="s">
        <v>334</v>
      </c>
      <c r="F2390" s="703" t="s">
        <v>335</v>
      </c>
      <c r="G2390" s="703" t="s">
        <v>4114</v>
      </c>
      <c r="H2390" s="703" t="s">
        <v>334</v>
      </c>
      <c r="I2390" s="703" t="s">
        <v>334</v>
      </c>
      <c r="J2390" s="703" t="s">
        <v>337</v>
      </c>
      <c r="K2390" s="704">
        <v>0</v>
      </c>
      <c r="L2390" s="703" t="s">
        <v>334</v>
      </c>
      <c r="M2390" s="702">
        <v>43708</v>
      </c>
      <c r="N2390" s="702">
        <v>44825</v>
      </c>
      <c r="O2390" s="703" t="s">
        <v>338</v>
      </c>
      <c r="P2390" s="20">
        <v>0</v>
      </c>
      <c r="Q2390" s="20">
        <v>0</v>
      </c>
      <c r="R2390" s="20">
        <v>2302.4499999999998</v>
      </c>
      <c r="S2390" s="20">
        <v>0</v>
      </c>
      <c r="T2390" s="20">
        <v>2302.4499999999998</v>
      </c>
      <c r="U2390" s="20">
        <v>0</v>
      </c>
      <c r="V2390" s="20">
        <v>0</v>
      </c>
      <c r="W2390" s="20">
        <v>-19.190000000000001</v>
      </c>
      <c r="X2390" s="20">
        <v>-19.190000000000001</v>
      </c>
      <c r="Y2390" s="20">
        <v>0</v>
      </c>
      <c r="Z2390" s="20">
        <v>0</v>
      </c>
      <c r="AA2390" s="20">
        <v>0</v>
      </c>
      <c r="AB2390" s="20">
        <v>2283.2600000000002</v>
      </c>
      <c r="AC2390" t="s">
        <v>183</v>
      </c>
      <c r="AD2390" t="s">
        <v>290</v>
      </c>
      <c r="AE2390" s="702">
        <f t="shared" si="185"/>
        <v>44713</v>
      </c>
      <c r="AF2390" s="289">
        <v>2261.3488688214707</v>
      </c>
      <c r="AG2390">
        <f t="shared" si="186"/>
        <v>360</v>
      </c>
      <c r="AH2390" s="289">
        <f t="shared" si="187"/>
        <v>6.2815246356151961</v>
      </c>
      <c r="AJ2390" s="289">
        <f t="shared" si="188"/>
        <v>6</v>
      </c>
      <c r="AK2390" s="289">
        <f t="shared" si="189"/>
        <v>37.689147813691179</v>
      </c>
    </row>
    <row r="2391" spans="1:37">
      <c r="A2391" s="703" t="s">
        <v>4115</v>
      </c>
      <c r="B2391" s="703" t="s">
        <v>3743</v>
      </c>
      <c r="C2391" s="703" t="s">
        <v>332</v>
      </c>
      <c r="D2391" s="703" t="s">
        <v>334</v>
      </c>
      <c r="E2391" s="703" t="s">
        <v>334</v>
      </c>
      <c r="F2391" s="703" t="s">
        <v>335</v>
      </c>
      <c r="G2391" s="703" t="s">
        <v>4116</v>
      </c>
      <c r="H2391" s="703" t="s">
        <v>334</v>
      </c>
      <c r="I2391" s="703" t="s">
        <v>334</v>
      </c>
      <c r="J2391" s="703" t="s">
        <v>337</v>
      </c>
      <c r="K2391" s="704">
        <v>0</v>
      </c>
      <c r="L2391" s="703" t="s">
        <v>334</v>
      </c>
      <c r="M2391" s="702">
        <v>43708</v>
      </c>
      <c r="N2391" s="702">
        <v>44825</v>
      </c>
      <c r="O2391" s="703" t="s">
        <v>338</v>
      </c>
      <c r="P2391" s="20">
        <v>0</v>
      </c>
      <c r="Q2391" s="20">
        <v>0</v>
      </c>
      <c r="R2391" s="20">
        <v>2302.4499999999998</v>
      </c>
      <c r="S2391" s="20">
        <v>0</v>
      </c>
      <c r="T2391" s="20">
        <v>2302.4499999999998</v>
      </c>
      <c r="U2391" s="20">
        <v>0</v>
      </c>
      <c r="V2391" s="20">
        <v>0</v>
      </c>
      <c r="W2391" s="20">
        <v>-19.190000000000001</v>
      </c>
      <c r="X2391" s="20">
        <v>-19.190000000000001</v>
      </c>
      <c r="Y2391" s="20">
        <v>0</v>
      </c>
      <c r="Z2391" s="20">
        <v>0</v>
      </c>
      <c r="AA2391" s="20">
        <v>0</v>
      </c>
      <c r="AB2391" s="20">
        <v>2283.2600000000002</v>
      </c>
      <c r="AC2391" t="s">
        <v>183</v>
      </c>
      <c r="AD2391" t="s">
        <v>290</v>
      </c>
      <c r="AE2391" s="702">
        <f t="shared" si="185"/>
        <v>44713</v>
      </c>
      <c r="AF2391" s="289">
        <v>2261.3488688214707</v>
      </c>
      <c r="AG2391">
        <f t="shared" si="186"/>
        <v>360</v>
      </c>
      <c r="AH2391" s="289">
        <f t="shared" si="187"/>
        <v>6.2815246356151961</v>
      </c>
      <c r="AJ2391" s="289">
        <f t="shared" si="188"/>
        <v>6</v>
      </c>
      <c r="AK2391" s="289">
        <f t="shared" si="189"/>
        <v>37.689147813691179</v>
      </c>
    </row>
    <row r="2392" spans="1:37">
      <c r="A2392" s="703" t="s">
        <v>4117</v>
      </c>
      <c r="B2392" s="703" t="s">
        <v>3743</v>
      </c>
      <c r="C2392" s="703" t="s">
        <v>332</v>
      </c>
      <c r="D2392" s="703" t="s">
        <v>334</v>
      </c>
      <c r="E2392" s="703" t="s">
        <v>334</v>
      </c>
      <c r="F2392" s="703" t="s">
        <v>335</v>
      </c>
      <c r="G2392" s="703" t="s">
        <v>4118</v>
      </c>
      <c r="H2392" s="703" t="s">
        <v>334</v>
      </c>
      <c r="I2392" s="703" t="s">
        <v>334</v>
      </c>
      <c r="J2392" s="703" t="s">
        <v>337</v>
      </c>
      <c r="K2392" s="704">
        <v>0</v>
      </c>
      <c r="L2392" s="703" t="s">
        <v>334</v>
      </c>
      <c r="M2392" s="702">
        <v>43708</v>
      </c>
      <c r="N2392" s="702">
        <v>44825</v>
      </c>
      <c r="O2392" s="703" t="s">
        <v>338</v>
      </c>
      <c r="P2392" s="20">
        <v>0</v>
      </c>
      <c r="Q2392" s="20">
        <v>0</v>
      </c>
      <c r="R2392" s="20">
        <v>60735.76</v>
      </c>
      <c r="S2392" s="20">
        <v>0</v>
      </c>
      <c r="T2392" s="20">
        <v>60735.76</v>
      </c>
      <c r="U2392" s="20">
        <v>0</v>
      </c>
      <c r="V2392" s="20">
        <v>0</v>
      </c>
      <c r="W2392" s="20">
        <v>-506.13</v>
      </c>
      <c r="X2392" s="20">
        <v>-506.13</v>
      </c>
      <c r="Y2392" s="20">
        <v>0</v>
      </c>
      <c r="Z2392" s="20">
        <v>0</v>
      </c>
      <c r="AA2392" s="20">
        <v>0</v>
      </c>
      <c r="AB2392" s="20">
        <v>60229.63</v>
      </c>
      <c r="AC2392" t="s">
        <v>183</v>
      </c>
      <c r="AD2392" t="s">
        <v>290</v>
      </c>
      <c r="AE2392" s="702">
        <f t="shared" si="185"/>
        <v>44713</v>
      </c>
      <c r="AF2392" s="289">
        <v>59651.563409851391</v>
      </c>
      <c r="AG2392">
        <f t="shared" si="186"/>
        <v>360</v>
      </c>
      <c r="AH2392" s="289">
        <f t="shared" si="187"/>
        <v>165.69878724958718</v>
      </c>
      <c r="AJ2392" s="289">
        <f t="shared" si="188"/>
        <v>6</v>
      </c>
      <c r="AK2392" s="289">
        <f t="shared" si="189"/>
        <v>994.19272349752305</v>
      </c>
    </row>
    <row r="2393" spans="1:37">
      <c r="A2393" s="703" t="s">
        <v>4119</v>
      </c>
      <c r="B2393" s="703" t="s">
        <v>3743</v>
      </c>
      <c r="C2393" s="703" t="s">
        <v>332</v>
      </c>
      <c r="D2393" s="703" t="s">
        <v>334</v>
      </c>
      <c r="E2393" s="703" t="s">
        <v>334</v>
      </c>
      <c r="F2393" s="703" t="s">
        <v>335</v>
      </c>
      <c r="G2393" s="703" t="s">
        <v>4120</v>
      </c>
      <c r="H2393" s="703" t="s">
        <v>334</v>
      </c>
      <c r="I2393" s="703" t="s">
        <v>334</v>
      </c>
      <c r="J2393" s="703" t="s">
        <v>337</v>
      </c>
      <c r="K2393" s="704">
        <v>0</v>
      </c>
      <c r="L2393" s="703" t="s">
        <v>334</v>
      </c>
      <c r="M2393" s="702">
        <v>43708</v>
      </c>
      <c r="N2393" s="702">
        <v>44825</v>
      </c>
      <c r="O2393" s="703" t="s">
        <v>338</v>
      </c>
      <c r="P2393" s="20">
        <v>0</v>
      </c>
      <c r="Q2393" s="20">
        <v>0</v>
      </c>
      <c r="R2393" s="20">
        <v>2302.4499999999998</v>
      </c>
      <c r="S2393" s="20">
        <v>0</v>
      </c>
      <c r="T2393" s="20">
        <v>2302.4499999999998</v>
      </c>
      <c r="U2393" s="20">
        <v>0</v>
      </c>
      <c r="V2393" s="20">
        <v>0</v>
      </c>
      <c r="W2393" s="20">
        <v>-19.190000000000001</v>
      </c>
      <c r="X2393" s="20">
        <v>-19.190000000000001</v>
      </c>
      <c r="Y2393" s="20">
        <v>0</v>
      </c>
      <c r="Z2393" s="20">
        <v>0</v>
      </c>
      <c r="AA2393" s="20">
        <v>0</v>
      </c>
      <c r="AB2393" s="20">
        <v>2283.2600000000002</v>
      </c>
      <c r="AC2393" t="s">
        <v>183</v>
      </c>
      <c r="AD2393" t="s">
        <v>290</v>
      </c>
      <c r="AE2393" s="702">
        <f t="shared" si="185"/>
        <v>44713</v>
      </c>
      <c r="AF2393" s="289">
        <v>2261.3488688214707</v>
      </c>
      <c r="AG2393">
        <f t="shared" si="186"/>
        <v>360</v>
      </c>
      <c r="AH2393" s="289">
        <f t="shared" si="187"/>
        <v>6.2815246356151961</v>
      </c>
      <c r="AJ2393" s="289">
        <f t="shared" si="188"/>
        <v>6</v>
      </c>
      <c r="AK2393" s="289">
        <f t="shared" si="189"/>
        <v>37.689147813691179</v>
      </c>
    </row>
    <row r="2394" spans="1:37">
      <c r="A2394" s="703" t="s">
        <v>4121</v>
      </c>
      <c r="B2394" s="703" t="s">
        <v>3743</v>
      </c>
      <c r="C2394" s="703" t="s">
        <v>332</v>
      </c>
      <c r="D2394" s="703" t="s">
        <v>334</v>
      </c>
      <c r="E2394" s="703" t="s">
        <v>334</v>
      </c>
      <c r="F2394" s="703" t="s">
        <v>335</v>
      </c>
      <c r="G2394" s="703" t="s">
        <v>4122</v>
      </c>
      <c r="H2394" s="703" t="s">
        <v>334</v>
      </c>
      <c r="I2394" s="703" t="s">
        <v>334</v>
      </c>
      <c r="J2394" s="703" t="s">
        <v>337</v>
      </c>
      <c r="K2394" s="704">
        <v>0</v>
      </c>
      <c r="L2394" s="703" t="s">
        <v>334</v>
      </c>
      <c r="M2394" s="702">
        <v>43708</v>
      </c>
      <c r="N2394" s="702">
        <v>44825</v>
      </c>
      <c r="O2394" s="703" t="s">
        <v>338</v>
      </c>
      <c r="P2394" s="20">
        <v>0</v>
      </c>
      <c r="Q2394" s="20">
        <v>0</v>
      </c>
      <c r="R2394" s="20">
        <v>2302.4499999999998</v>
      </c>
      <c r="S2394" s="20">
        <v>0</v>
      </c>
      <c r="T2394" s="20">
        <v>2302.4499999999998</v>
      </c>
      <c r="U2394" s="20">
        <v>0</v>
      </c>
      <c r="V2394" s="20">
        <v>0</v>
      </c>
      <c r="W2394" s="20">
        <v>-19.190000000000001</v>
      </c>
      <c r="X2394" s="20">
        <v>-19.190000000000001</v>
      </c>
      <c r="Y2394" s="20">
        <v>0</v>
      </c>
      <c r="Z2394" s="20">
        <v>0</v>
      </c>
      <c r="AA2394" s="20">
        <v>0</v>
      </c>
      <c r="AB2394" s="20">
        <v>2283.2600000000002</v>
      </c>
      <c r="AC2394" t="s">
        <v>183</v>
      </c>
      <c r="AD2394" t="s">
        <v>290</v>
      </c>
      <c r="AE2394" s="702">
        <f t="shared" si="185"/>
        <v>44713</v>
      </c>
      <c r="AF2394" s="289">
        <v>2261.3488688214707</v>
      </c>
      <c r="AG2394">
        <f t="shared" si="186"/>
        <v>360</v>
      </c>
      <c r="AH2394" s="289">
        <f t="shared" si="187"/>
        <v>6.2815246356151961</v>
      </c>
      <c r="AJ2394" s="289">
        <f t="shared" si="188"/>
        <v>6</v>
      </c>
      <c r="AK2394" s="289">
        <f t="shared" si="189"/>
        <v>37.689147813691179</v>
      </c>
    </row>
    <row r="2395" spans="1:37">
      <c r="A2395" s="703" t="s">
        <v>4123</v>
      </c>
      <c r="B2395" s="703" t="s">
        <v>3743</v>
      </c>
      <c r="C2395" s="703" t="s">
        <v>332</v>
      </c>
      <c r="D2395" s="703" t="s">
        <v>334</v>
      </c>
      <c r="E2395" s="703" t="s">
        <v>334</v>
      </c>
      <c r="F2395" s="703" t="s">
        <v>335</v>
      </c>
      <c r="G2395" s="703" t="s">
        <v>4124</v>
      </c>
      <c r="H2395" s="703" t="s">
        <v>334</v>
      </c>
      <c r="I2395" s="703" t="s">
        <v>334</v>
      </c>
      <c r="J2395" s="703" t="s">
        <v>337</v>
      </c>
      <c r="K2395" s="704">
        <v>0</v>
      </c>
      <c r="L2395" s="703" t="s">
        <v>334</v>
      </c>
      <c r="M2395" s="702">
        <v>43708</v>
      </c>
      <c r="N2395" s="702">
        <v>44825</v>
      </c>
      <c r="O2395" s="703" t="s">
        <v>338</v>
      </c>
      <c r="P2395" s="20">
        <v>0</v>
      </c>
      <c r="Q2395" s="20">
        <v>0</v>
      </c>
      <c r="R2395" s="20">
        <v>5559.15</v>
      </c>
      <c r="S2395" s="20">
        <v>0</v>
      </c>
      <c r="T2395" s="20">
        <v>5559.15</v>
      </c>
      <c r="U2395" s="20">
        <v>0</v>
      </c>
      <c r="V2395" s="20">
        <v>0</v>
      </c>
      <c r="W2395" s="20">
        <v>-46.33</v>
      </c>
      <c r="X2395" s="20">
        <v>-46.33</v>
      </c>
      <c r="Y2395" s="20">
        <v>0</v>
      </c>
      <c r="Z2395" s="20">
        <v>0</v>
      </c>
      <c r="AA2395" s="20">
        <v>0</v>
      </c>
      <c r="AB2395" s="20">
        <v>5512.82</v>
      </c>
      <c r="AC2395" t="s">
        <v>183</v>
      </c>
      <c r="AD2395" t="s">
        <v>290</v>
      </c>
      <c r="AE2395" s="702">
        <f t="shared" si="185"/>
        <v>44713</v>
      </c>
      <c r="AF2395" s="289">
        <v>5459.9133810110443</v>
      </c>
      <c r="AG2395">
        <f t="shared" si="186"/>
        <v>360</v>
      </c>
      <c r="AH2395" s="289">
        <f t="shared" si="187"/>
        <v>15.166426058364012</v>
      </c>
      <c r="AJ2395" s="289">
        <f t="shared" si="188"/>
        <v>6</v>
      </c>
      <c r="AK2395" s="289">
        <f t="shared" si="189"/>
        <v>90.998556350184074</v>
      </c>
    </row>
    <row r="2396" spans="1:37">
      <c r="A2396" s="703" t="s">
        <v>4125</v>
      </c>
      <c r="B2396" s="703" t="s">
        <v>3743</v>
      </c>
      <c r="C2396" s="703" t="s">
        <v>332</v>
      </c>
      <c r="D2396" s="703" t="s">
        <v>334</v>
      </c>
      <c r="E2396" s="703" t="s">
        <v>334</v>
      </c>
      <c r="F2396" s="703" t="s">
        <v>335</v>
      </c>
      <c r="G2396" s="703" t="s">
        <v>4126</v>
      </c>
      <c r="H2396" s="703" t="s">
        <v>334</v>
      </c>
      <c r="I2396" s="703" t="s">
        <v>334</v>
      </c>
      <c r="J2396" s="703" t="s">
        <v>337</v>
      </c>
      <c r="K2396" s="704">
        <v>0</v>
      </c>
      <c r="L2396" s="703" t="s">
        <v>334</v>
      </c>
      <c r="M2396" s="702">
        <v>44196</v>
      </c>
      <c r="N2396" s="702">
        <v>44825</v>
      </c>
      <c r="O2396" s="703" t="s">
        <v>338</v>
      </c>
      <c r="P2396" s="20">
        <v>0</v>
      </c>
      <c r="Q2396" s="20">
        <v>0</v>
      </c>
      <c r="R2396" s="20">
        <v>25852.959999999999</v>
      </c>
      <c r="S2396" s="20">
        <v>0</v>
      </c>
      <c r="T2396" s="20">
        <v>25852.959999999999</v>
      </c>
      <c r="U2396" s="20">
        <v>0</v>
      </c>
      <c r="V2396" s="20">
        <v>0</v>
      </c>
      <c r="W2396" s="20">
        <v>-215.44</v>
      </c>
      <c r="X2396" s="20">
        <v>-215.44</v>
      </c>
      <c r="Y2396" s="20">
        <v>0</v>
      </c>
      <c r="Z2396" s="20">
        <v>0</v>
      </c>
      <c r="AA2396" s="20">
        <v>0</v>
      </c>
      <c r="AB2396" s="20">
        <v>25637.52</v>
      </c>
      <c r="AC2396" t="s">
        <v>183</v>
      </c>
      <c r="AD2396" t="s">
        <v>290</v>
      </c>
      <c r="AE2396" s="702">
        <f t="shared" si="185"/>
        <v>44713</v>
      </c>
      <c r="AF2396" s="289">
        <v>25391.45773054213</v>
      </c>
      <c r="AG2396">
        <f t="shared" si="186"/>
        <v>360</v>
      </c>
      <c r="AH2396" s="289">
        <f t="shared" si="187"/>
        <v>70.53182702928369</v>
      </c>
      <c r="AJ2396" s="289">
        <f t="shared" si="188"/>
        <v>6</v>
      </c>
      <c r="AK2396" s="289">
        <f t="shared" si="189"/>
        <v>423.19096217570211</v>
      </c>
    </row>
    <row r="2397" spans="1:37">
      <c r="A2397" s="703" t="s">
        <v>4127</v>
      </c>
      <c r="B2397" s="703" t="s">
        <v>3743</v>
      </c>
      <c r="C2397" s="703" t="s">
        <v>332</v>
      </c>
      <c r="D2397" s="703" t="s">
        <v>334</v>
      </c>
      <c r="E2397" s="703" t="s">
        <v>334</v>
      </c>
      <c r="F2397" s="703" t="s">
        <v>335</v>
      </c>
      <c r="G2397" s="703" t="s">
        <v>4128</v>
      </c>
      <c r="H2397" s="703" t="s">
        <v>334</v>
      </c>
      <c r="I2397" s="703" t="s">
        <v>334</v>
      </c>
      <c r="J2397" s="703" t="s">
        <v>337</v>
      </c>
      <c r="K2397" s="704">
        <v>0</v>
      </c>
      <c r="L2397" s="703" t="s">
        <v>334</v>
      </c>
      <c r="M2397" s="702">
        <v>39478</v>
      </c>
      <c r="N2397" s="702">
        <v>44825</v>
      </c>
      <c r="O2397" s="703" t="s">
        <v>338</v>
      </c>
      <c r="P2397" s="20">
        <v>0</v>
      </c>
      <c r="Q2397" s="20">
        <v>0</v>
      </c>
      <c r="R2397" s="20">
        <v>1137.3399999999999</v>
      </c>
      <c r="S2397" s="20">
        <v>0</v>
      </c>
      <c r="T2397" s="20">
        <v>1137.3399999999999</v>
      </c>
      <c r="U2397" s="20">
        <v>0</v>
      </c>
      <c r="V2397" s="20">
        <v>0</v>
      </c>
      <c r="W2397" s="20">
        <v>-9.48</v>
      </c>
      <c r="X2397" s="20">
        <v>-9.48</v>
      </c>
      <c r="Y2397" s="20">
        <v>0</v>
      </c>
      <c r="Z2397" s="20">
        <v>0</v>
      </c>
      <c r="AA2397" s="20">
        <v>0</v>
      </c>
      <c r="AB2397" s="20">
        <v>1127.8599999999999</v>
      </c>
      <c r="AC2397" t="s">
        <v>183</v>
      </c>
      <c r="AD2397" t="s">
        <v>290</v>
      </c>
      <c r="AE2397" s="702">
        <f t="shared" si="185"/>
        <v>44713</v>
      </c>
      <c r="AF2397" s="289">
        <v>1117.0372961260446</v>
      </c>
      <c r="AG2397">
        <f t="shared" si="186"/>
        <v>360</v>
      </c>
      <c r="AH2397" s="289">
        <f t="shared" si="187"/>
        <v>3.1028813781279014</v>
      </c>
      <c r="AJ2397" s="289">
        <f t="shared" si="188"/>
        <v>6</v>
      </c>
      <c r="AK2397" s="289">
        <f t="shared" si="189"/>
        <v>18.61728826876741</v>
      </c>
    </row>
    <row r="2398" spans="1:37">
      <c r="A2398" s="703" t="s">
        <v>4129</v>
      </c>
      <c r="B2398" s="703" t="s">
        <v>3743</v>
      </c>
      <c r="C2398" s="703" t="s">
        <v>332</v>
      </c>
      <c r="D2398" s="703" t="s">
        <v>334</v>
      </c>
      <c r="E2398" s="703" t="s">
        <v>334</v>
      </c>
      <c r="F2398" s="703" t="s">
        <v>335</v>
      </c>
      <c r="G2398" s="703" t="s">
        <v>4130</v>
      </c>
      <c r="H2398" s="703" t="s">
        <v>334</v>
      </c>
      <c r="I2398" s="703" t="s">
        <v>334</v>
      </c>
      <c r="J2398" s="703" t="s">
        <v>337</v>
      </c>
      <c r="K2398" s="704">
        <v>0</v>
      </c>
      <c r="L2398" s="703" t="s">
        <v>334</v>
      </c>
      <c r="M2398" s="702">
        <v>39478</v>
      </c>
      <c r="N2398" s="702">
        <v>44825</v>
      </c>
      <c r="O2398" s="703" t="s">
        <v>338</v>
      </c>
      <c r="P2398" s="20">
        <v>0</v>
      </c>
      <c r="Q2398" s="20">
        <v>0</v>
      </c>
      <c r="R2398" s="20">
        <v>1655.64</v>
      </c>
      <c r="S2398" s="20">
        <v>0</v>
      </c>
      <c r="T2398" s="20">
        <v>1655.64</v>
      </c>
      <c r="U2398" s="20">
        <v>0</v>
      </c>
      <c r="V2398" s="20">
        <v>0</v>
      </c>
      <c r="W2398" s="20">
        <v>-13.8</v>
      </c>
      <c r="X2398" s="20">
        <v>-13.8</v>
      </c>
      <c r="Y2398" s="20">
        <v>0</v>
      </c>
      <c r="Z2398" s="20">
        <v>0</v>
      </c>
      <c r="AA2398" s="20">
        <v>0</v>
      </c>
      <c r="AB2398" s="20">
        <v>1641.84</v>
      </c>
      <c r="AC2398" t="s">
        <v>183</v>
      </c>
      <c r="AD2398" t="s">
        <v>290</v>
      </c>
      <c r="AE2398" s="702">
        <f t="shared" si="185"/>
        <v>44713</v>
      </c>
      <c r="AF2398" s="289">
        <v>1626.0851011642296</v>
      </c>
      <c r="AG2398">
        <f t="shared" si="186"/>
        <v>360</v>
      </c>
      <c r="AH2398" s="289">
        <f t="shared" si="187"/>
        <v>4.5169030587895271</v>
      </c>
      <c r="AJ2398" s="289">
        <f t="shared" si="188"/>
        <v>6</v>
      </c>
      <c r="AK2398" s="289">
        <f t="shared" si="189"/>
        <v>27.101418352737163</v>
      </c>
    </row>
    <row r="2399" spans="1:37">
      <c r="A2399" s="703" t="s">
        <v>4131</v>
      </c>
      <c r="B2399" s="703" t="s">
        <v>3743</v>
      </c>
      <c r="C2399" s="703" t="s">
        <v>332</v>
      </c>
      <c r="D2399" s="703" t="s">
        <v>334</v>
      </c>
      <c r="E2399" s="703" t="s">
        <v>334</v>
      </c>
      <c r="F2399" s="703" t="s">
        <v>335</v>
      </c>
      <c r="G2399" s="703" t="s">
        <v>4132</v>
      </c>
      <c r="H2399" s="703" t="s">
        <v>334</v>
      </c>
      <c r="I2399" s="703" t="s">
        <v>334</v>
      </c>
      <c r="J2399" s="703" t="s">
        <v>337</v>
      </c>
      <c r="K2399" s="704">
        <v>0</v>
      </c>
      <c r="L2399" s="703" t="s">
        <v>334</v>
      </c>
      <c r="M2399" s="702">
        <v>43708</v>
      </c>
      <c r="N2399" s="702">
        <v>44825</v>
      </c>
      <c r="O2399" s="703" t="s">
        <v>338</v>
      </c>
      <c r="P2399" s="20">
        <v>0</v>
      </c>
      <c r="Q2399" s="20">
        <v>0</v>
      </c>
      <c r="R2399" s="20">
        <v>2302.4499999999998</v>
      </c>
      <c r="S2399" s="20">
        <v>0</v>
      </c>
      <c r="T2399" s="20">
        <v>2302.4499999999998</v>
      </c>
      <c r="U2399" s="20">
        <v>0</v>
      </c>
      <c r="V2399" s="20">
        <v>0</v>
      </c>
      <c r="W2399" s="20">
        <v>-19.190000000000001</v>
      </c>
      <c r="X2399" s="20">
        <v>-19.190000000000001</v>
      </c>
      <c r="Y2399" s="20">
        <v>0</v>
      </c>
      <c r="Z2399" s="20">
        <v>0</v>
      </c>
      <c r="AA2399" s="20">
        <v>0</v>
      </c>
      <c r="AB2399" s="20">
        <v>2283.2600000000002</v>
      </c>
      <c r="AC2399" t="s">
        <v>183</v>
      </c>
      <c r="AD2399" t="s">
        <v>290</v>
      </c>
      <c r="AE2399" s="702">
        <f t="shared" si="185"/>
        <v>44713</v>
      </c>
      <c r="AF2399" s="289">
        <v>2261.3488688214707</v>
      </c>
      <c r="AG2399">
        <f t="shared" si="186"/>
        <v>360</v>
      </c>
      <c r="AH2399" s="289">
        <f t="shared" si="187"/>
        <v>6.2815246356151961</v>
      </c>
      <c r="AJ2399" s="289">
        <f t="shared" si="188"/>
        <v>6</v>
      </c>
      <c r="AK2399" s="289">
        <f t="shared" si="189"/>
        <v>37.689147813691179</v>
      </c>
    </row>
    <row r="2400" spans="1:37">
      <c r="A2400" s="703" t="s">
        <v>4133</v>
      </c>
      <c r="B2400" s="703" t="s">
        <v>3743</v>
      </c>
      <c r="C2400" s="703" t="s">
        <v>332</v>
      </c>
      <c r="D2400" s="703" t="s">
        <v>334</v>
      </c>
      <c r="E2400" s="703" t="s">
        <v>334</v>
      </c>
      <c r="F2400" s="703" t="s">
        <v>335</v>
      </c>
      <c r="G2400" s="703" t="s">
        <v>4134</v>
      </c>
      <c r="H2400" s="703" t="s">
        <v>334</v>
      </c>
      <c r="I2400" s="703" t="s">
        <v>334</v>
      </c>
      <c r="J2400" s="703" t="s">
        <v>337</v>
      </c>
      <c r="K2400" s="704">
        <v>0</v>
      </c>
      <c r="L2400" s="703" t="s">
        <v>334</v>
      </c>
      <c r="M2400" s="702">
        <v>43708</v>
      </c>
      <c r="N2400" s="702">
        <v>44825</v>
      </c>
      <c r="O2400" s="703" t="s">
        <v>338</v>
      </c>
      <c r="P2400" s="20">
        <v>0</v>
      </c>
      <c r="Q2400" s="20">
        <v>0</v>
      </c>
      <c r="R2400" s="20">
        <v>2302.4499999999998</v>
      </c>
      <c r="S2400" s="20">
        <v>0</v>
      </c>
      <c r="T2400" s="20">
        <v>2302.4499999999998</v>
      </c>
      <c r="U2400" s="20">
        <v>0</v>
      </c>
      <c r="V2400" s="20">
        <v>0</v>
      </c>
      <c r="W2400" s="20">
        <v>-19.190000000000001</v>
      </c>
      <c r="X2400" s="20">
        <v>-19.190000000000001</v>
      </c>
      <c r="Y2400" s="20">
        <v>0</v>
      </c>
      <c r="Z2400" s="20">
        <v>0</v>
      </c>
      <c r="AA2400" s="20">
        <v>0</v>
      </c>
      <c r="AB2400" s="20">
        <v>2283.2600000000002</v>
      </c>
      <c r="AC2400" t="s">
        <v>183</v>
      </c>
      <c r="AD2400" t="s">
        <v>290</v>
      </c>
      <c r="AE2400" s="702">
        <f t="shared" si="185"/>
        <v>44713</v>
      </c>
      <c r="AF2400" s="289">
        <v>2261.3488688214707</v>
      </c>
      <c r="AG2400">
        <f t="shared" si="186"/>
        <v>360</v>
      </c>
      <c r="AH2400" s="289">
        <f t="shared" si="187"/>
        <v>6.2815246356151961</v>
      </c>
      <c r="AJ2400" s="289">
        <f t="shared" si="188"/>
        <v>6</v>
      </c>
      <c r="AK2400" s="289">
        <f t="shared" si="189"/>
        <v>37.689147813691179</v>
      </c>
    </row>
    <row r="2401" spans="1:37">
      <c r="A2401" s="703" t="s">
        <v>4135</v>
      </c>
      <c r="B2401" s="703" t="s">
        <v>3743</v>
      </c>
      <c r="C2401" s="703" t="s">
        <v>332</v>
      </c>
      <c r="D2401" s="703" t="s">
        <v>334</v>
      </c>
      <c r="E2401" s="703" t="s">
        <v>334</v>
      </c>
      <c r="F2401" s="703" t="s">
        <v>335</v>
      </c>
      <c r="G2401" s="703" t="s">
        <v>4136</v>
      </c>
      <c r="H2401" s="703" t="s">
        <v>334</v>
      </c>
      <c r="I2401" s="703" t="s">
        <v>334</v>
      </c>
      <c r="J2401" s="703" t="s">
        <v>337</v>
      </c>
      <c r="K2401" s="704">
        <v>0</v>
      </c>
      <c r="L2401" s="703" t="s">
        <v>334</v>
      </c>
      <c r="M2401" s="702">
        <v>39478</v>
      </c>
      <c r="N2401" s="702">
        <v>44825</v>
      </c>
      <c r="O2401" s="703" t="s">
        <v>338</v>
      </c>
      <c r="P2401" s="20">
        <v>0</v>
      </c>
      <c r="Q2401" s="20">
        <v>0</v>
      </c>
      <c r="R2401" s="20">
        <v>30538.02</v>
      </c>
      <c r="S2401" s="20">
        <v>0</v>
      </c>
      <c r="T2401" s="20">
        <v>30538.02</v>
      </c>
      <c r="U2401" s="20">
        <v>0</v>
      </c>
      <c r="V2401" s="20">
        <v>0</v>
      </c>
      <c r="W2401" s="20">
        <v>-254.48</v>
      </c>
      <c r="X2401" s="20">
        <v>-254.48</v>
      </c>
      <c r="Y2401" s="20">
        <v>0</v>
      </c>
      <c r="Z2401" s="20">
        <v>0</v>
      </c>
      <c r="AA2401" s="20">
        <v>0</v>
      </c>
      <c r="AB2401" s="20">
        <v>30283.54</v>
      </c>
      <c r="AC2401" t="s">
        <v>183</v>
      </c>
      <c r="AD2401" t="s">
        <v>290</v>
      </c>
      <c r="AE2401" s="702">
        <f t="shared" si="185"/>
        <v>44713</v>
      </c>
      <c r="AF2401" s="289">
        <v>29992.884528674873</v>
      </c>
      <c r="AG2401">
        <f t="shared" si="186"/>
        <v>360</v>
      </c>
      <c r="AH2401" s="289">
        <f t="shared" si="187"/>
        <v>83.313568135207987</v>
      </c>
      <c r="AJ2401" s="289">
        <f t="shared" si="188"/>
        <v>6</v>
      </c>
      <c r="AK2401" s="289">
        <f t="shared" si="189"/>
        <v>499.88140881124792</v>
      </c>
    </row>
    <row r="2402" spans="1:37">
      <c r="A2402" s="703" t="s">
        <v>4137</v>
      </c>
      <c r="B2402" s="703" t="s">
        <v>3743</v>
      </c>
      <c r="C2402" s="703" t="s">
        <v>332</v>
      </c>
      <c r="D2402" s="703" t="s">
        <v>334</v>
      </c>
      <c r="E2402" s="703" t="s">
        <v>334</v>
      </c>
      <c r="F2402" s="703" t="s">
        <v>335</v>
      </c>
      <c r="G2402" s="703" t="s">
        <v>4138</v>
      </c>
      <c r="H2402" s="703" t="s">
        <v>334</v>
      </c>
      <c r="I2402" s="703" t="s">
        <v>334</v>
      </c>
      <c r="J2402" s="703" t="s">
        <v>337</v>
      </c>
      <c r="K2402" s="704">
        <v>0</v>
      </c>
      <c r="L2402" s="703" t="s">
        <v>334</v>
      </c>
      <c r="M2402" s="702">
        <v>42613</v>
      </c>
      <c r="N2402" s="702">
        <v>44825</v>
      </c>
      <c r="O2402" s="703" t="s">
        <v>338</v>
      </c>
      <c r="P2402" s="20">
        <v>0</v>
      </c>
      <c r="Q2402" s="20">
        <v>0</v>
      </c>
      <c r="R2402" s="20">
        <v>46802.59</v>
      </c>
      <c r="S2402" s="20">
        <v>0</v>
      </c>
      <c r="T2402" s="20">
        <v>46802.59</v>
      </c>
      <c r="U2402" s="20">
        <v>0</v>
      </c>
      <c r="V2402" s="20">
        <v>0</v>
      </c>
      <c r="W2402" s="20">
        <v>-390.02</v>
      </c>
      <c r="X2402" s="20">
        <v>-390.02</v>
      </c>
      <c r="Y2402" s="20">
        <v>0</v>
      </c>
      <c r="Z2402" s="20">
        <v>0</v>
      </c>
      <c r="AA2402" s="20">
        <v>0</v>
      </c>
      <c r="AB2402" s="20">
        <v>46412.57</v>
      </c>
      <c r="AC2402" t="s">
        <v>183</v>
      </c>
      <c r="AD2402" t="s">
        <v>290</v>
      </c>
      <c r="AE2402" s="702">
        <f t="shared" si="185"/>
        <v>44713</v>
      </c>
      <c r="AF2402" s="289">
        <v>45967.115009843896</v>
      </c>
      <c r="AG2402">
        <f t="shared" si="186"/>
        <v>360</v>
      </c>
      <c r="AH2402" s="289">
        <f t="shared" si="187"/>
        <v>127.6864305828997</v>
      </c>
      <c r="AJ2402" s="289">
        <f t="shared" si="188"/>
        <v>6</v>
      </c>
      <c r="AK2402" s="289">
        <f t="shared" si="189"/>
        <v>766.11858349739828</v>
      </c>
    </row>
    <row r="2403" spans="1:37">
      <c r="A2403" s="703" t="s">
        <v>4139</v>
      </c>
      <c r="B2403" s="703" t="s">
        <v>3743</v>
      </c>
      <c r="C2403" s="703" t="s">
        <v>332</v>
      </c>
      <c r="D2403" s="703" t="s">
        <v>334</v>
      </c>
      <c r="E2403" s="703" t="s">
        <v>334</v>
      </c>
      <c r="F2403" s="703" t="s">
        <v>335</v>
      </c>
      <c r="G2403" s="703" t="s">
        <v>4140</v>
      </c>
      <c r="H2403" s="703" t="s">
        <v>334</v>
      </c>
      <c r="I2403" s="703" t="s">
        <v>334</v>
      </c>
      <c r="J2403" s="703" t="s">
        <v>337</v>
      </c>
      <c r="K2403" s="704">
        <v>0</v>
      </c>
      <c r="L2403" s="703" t="s">
        <v>334</v>
      </c>
      <c r="M2403" s="702">
        <v>42613</v>
      </c>
      <c r="N2403" s="702">
        <v>44825</v>
      </c>
      <c r="O2403" s="703" t="s">
        <v>338</v>
      </c>
      <c r="P2403" s="20">
        <v>0</v>
      </c>
      <c r="Q2403" s="20">
        <v>0</v>
      </c>
      <c r="R2403" s="20">
        <v>63.12</v>
      </c>
      <c r="S2403" s="20">
        <v>0</v>
      </c>
      <c r="T2403" s="20">
        <v>63.12</v>
      </c>
      <c r="U2403" s="20">
        <v>0</v>
      </c>
      <c r="V2403" s="20">
        <v>0</v>
      </c>
      <c r="W2403" s="20">
        <v>-0.53</v>
      </c>
      <c r="X2403" s="20">
        <v>-0.53</v>
      </c>
      <c r="Y2403" s="20">
        <v>0</v>
      </c>
      <c r="Z2403" s="20">
        <v>0</v>
      </c>
      <c r="AA2403" s="20">
        <v>0</v>
      </c>
      <c r="AB2403" s="20">
        <v>62.59</v>
      </c>
      <c r="AC2403" t="s">
        <v>183</v>
      </c>
      <c r="AD2403" t="s">
        <v>290</v>
      </c>
      <c r="AE2403" s="702">
        <f t="shared" si="185"/>
        <v>44713</v>
      </c>
      <c r="AF2403" s="289">
        <v>61.993242241964523</v>
      </c>
      <c r="AG2403">
        <f t="shared" si="186"/>
        <v>360</v>
      </c>
      <c r="AH2403" s="289">
        <f t="shared" si="187"/>
        <v>0.17220345067212367</v>
      </c>
      <c r="AJ2403" s="289">
        <f t="shared" si="188"/>
        <v>6</v>
      </c>
      <c r="AK2403" s="289">
        <f t="shared" si="189"/>
        <v>1.0332207040327419</v>
      </c>
    </row>
    <row r="2404" spans="1:37">
      <c r="A2404" s="703" t="s">
        <v>4141</v>
      </c>
      <c r="B2404" s="703" t="s">
        <v>3743</v>
      </c>
      <c r="C2404" s="703" t="s">
        <v>332</v>
      </c>
      <c r="D2404" s="703" t="s">
        <v>334</v>
      </c>
      <c r="E2404" s="703" t="s">
        <v>334</v>
      </c>
      <c r="F2404" s="703" t="s">
        <v>335</v>
      </c>
      <c r="G2404" s="703" t="s">
        <v>4142</v>
      </c>
      <c r="H2404" s="703" t="s">
        <v>334</v>
      </c>
      <c r="I2404" s="703" t="s">
        <v>334</v>
      </c>
      <c r="J2404" s="703" t="s">
        <v>337</v>
      </c>
      <c r="K2404" s="704">
        <v>0</v>
      </c>
      <c r="L2404" s="703" t="s">
        <v>334</v>
      </c>
      <c r="M2404" s="702">
        <v>42613</v>
      </c>
      <c r="N2404" s="702">
        <v>44825</v>
      </c>
      <c r="O2404" s="703" t="s">
        <v>338</v>
      </c>
      <c r="P2404" s="20">
        <v>0</v>
      </c>
      <c r="Q2404" s="20">
        <v>0</v>
      </c>
      <c r="R2404" s="20">
        <v>537178.17000000004</v>
      </c>
      <c r="S2404" s="20">
        <v>0</v>
      </c>
      <c r="T2404" s="20">
        <v>537178.17000000004</v>
      </c>
      <c r="U2404" s="20">
        <v>0</v>
      </c>
      <c r="V2404" s="20">
        <v>0</v>
      </c>
      <c r="W2404" s="20">
        <v>-4476.4799999999996</v>
      </c>
      <c r="X2404" s="20">
        <v>-4476.4799999999996</v>
      </c>
      <c r="Y2404" s="20">
        <v>0</v>
      </c>
      <c r="Z2404" s="20">
        <v>0</v>
      </c>
      <c r="AA2404" s="20">
        <v>0</v>
      </c>
      <c r="AB2404" s="20">
        <v>532701.68999999994</v>
      </c>
      <c r="AC2404" t="s">
        <v>183</v>
      </c>
      <c r="AD2404" t="s">
        <v>290</v>
      </c>
      <c r="AE2404" s="702">
        <f t="shared" si="185"/>
        <v>44713</v>
      </c>
      <c r="AF2404" s="289">
        <v>527588.9800365211</v>
      </c>
      <c r="AG2404">
        <f t="shared" si="186"/>
        <v>360</v>
      </c>
      <c r="AH2404" s="289">
        <f t="shared" si="187"/>
        <v>1465.5249445458919</v>
      </c>
      <c r="AJ2404" s="289">
        <f t="shared" si="188"/>
        <v>6</v>
      </c>
      <c r="AK2404" s="289">
        <f t="shared" si="189"/>
        <v>8793.149667275351</v>
      </c>
    </row>
    <row r="2405" spans="1:37">
      <c r="A2405" s="703" t="s">
        <v>4143</v>
      </c>
      <c r="B2405" s="703" t="s">
        <v>3743</v>
      </c>
      <c r="C2405" s="703" t="s">
        <v>332</v>
      </c>
      <c r="D2405" s="703" t="s">
        <v>334</v>
      </c>
      <c r="E2405" s="703" t="s">
        <v>334</v>
      </c>
      <c r="F2405" s="703" t="s">
        <v>335</v>
      </c>
      <c r="G2405" s="703" t="s">
        <v>4144</v>
      </c>
      <c r="H2405" s="703" t="s">
        <v>334</v>
      </c>
      <c r="I2405" s="703" t="s">
        <v>334</v>
      </c>
      <c r="J2405" s="703" t="s">
        <v>337</v>
      </c>
      <c r="K2405" s="704">
        <v>0</v>
      </c>
      <c r="L2405" s="703" t="s">
        <v>334</v>
      </c>
      <c r="M2405" s="702">
        <v>43496</v>
      </c>
      <c r="N2405" s="702">
        <v>44825</v>
      </c>
      <c r="O2405" s="703" t="s">
        <v>338</v>
      </c>
      <c r="P2405" s="20">
        <v>0</v>
      </c>
      <c r="Q2405" s="20">
        <v>0</v>
      </c>
      <c r="R2405" s="20">
        <v>160118.35999999999</v>
      </c>
      <c r="S2405" s="20">
        <v>0</v>
      </c>
      <c r="T2405" s="20">
        <v>160118.35999999999</v>
      </c>
      <c r="U2405" s="20">
        <v>0</v>
      </c>
      <c r="V2405" s="20">
        <v>0</v>
      </c>
      <c r="W2405" s="20">
        <v>-1334.32</v>
      </c>
      <c r="X2405" s="20">
        <v>-1334.32</v>
      </c>
      <c r="Y2405" s="20">
        <v>0</v>
      </c>
      <c r="Z2405" s="20">
        <v>0</v>
      </c>
      <c r="AA2405" s="20">
        <v>0</v>
      </c>
      <c r="AB2405" s="20">
        <v>158784.04</v>
      </c>
      <c r="AC2405" t="s">
        <v>183</v>
      </c>
      <c r="AD2405" t="s">
        <v>290</v>
      </c>
      <c r="AE2405" s="702">
        <f t="shared" si="185"/>
        <v>44713</v>
      </c>
      <c r="AF2405" s="289">
        <v>157260.08046365785</v>
      </c>
      <c r="AG2405">
        <f t="shared" si="186"/>
        <v>360</v>
      </c>
      <c r="AH2405" s="289">
        <f t="shared" si="187"/>
        <v>436.83355684349402</v>
      </c>
      <c r="AJ2405" s="289">
        <f t="shared" si="188"/>
        <v>6</v>
      </c>
      <c r="AK2405" s="289">
        <f t="shared" si="189"/>
        <v>2621.001341060964</v>
      </c>
    </row>
    <row r="2406" spans="1:37">
      <c r="A2406" s="703" t="s">
        <v>4145</v>
      </c>
      <c r="B2406" s="703" t="s">
        <v>3743</v>
      </c>
      <c r="C2406" s="703" t="s">
        <v>332</v>
      </c>
      <c r="D2406" s="703" t="s">
        <v>334</v>
      </c>
      <c r="E2406" s="703" t="s">
        <v>334</v>
      </c>
      <c r="F2406" s="703" t="s">
        <v>335</v>
      </c>
      <c r="G2406" s="703" t="s">
        <v>4146</v>
      </c>
      <c r="H2406" s="703" t="s">
        <v>334</v>
      </c>
      <c r="I2406" s="703" t="s">
        <v>334</v>
      </c>
      <c r="J2406" s="703" t="s">
        <v>337</v>
      </c>
      <c r="K2406" s="704">
        <v>0</v>
      </c>
      <c r="L2406" s="703" t="s">
        <v>334</v>
      </c>
      <c r="M2406" s="702">
        <v>43496</v>
      </c>
      <c r="N2406" s="702">
        <v>44825</v>
      </c>
      <c r="O2406" s="703" t="s">
        <v>338</v>
      </c>
      <c r="P2406" s="20">
        <v>0</v>
      </c>
      <c r="Q2406" s="20">
        <v>0</v>
      </c>
      <c r="R2406" s="20">
        <v>117154.72</v>
      </c>
      <c r="S2406" s="20">
        <v>0</v>
      </c>
      <c r="T2406" s="20">
        <v>117154.72</v>
      </c>
      <c r="U2406" s="20">
        <v>0</v>
      </c>
      <c r="V2406" s="20">
        <v>0</v>
      </c>
      <c r="W2406" s="20">
        <v>-976.29</v>
      </c>
      <c r="X2406" s="20">
        <v>-976.29</v>
      </c>
      <c r="Y2406" s="20">
        <v>0</v>
      </c>
      <c r="Z2406" s="20">
        <v>0</v>
      </c>
      <c r="AA2406" s="20">
        <v>0</v>
      </c>
      <c r="AB2406" s="20">
        <v>116178.43</v>
      </c>
      <c r="AC2406" t="s">
        <v>183</v>
      </c>
      <c r="AD2406" t="s">
        <v>290</v>
      </c>
      <c r="AE2406" s="702">
        <f t="shared" si="185"/>
        <v>44713</v>
      </c>
      <c r="AF2406" s="289">
        <v>115063.386196919</v>
      </c>
      <c r="AG2406">
        <f t="shared" si="186"/>
        <v>360</v>
      </c>
      <c r="AH2406" s="289">
        <f t="shared" si="187"/>
        <v>319.6205172136639</v>
      </c>
      <c r="AJ2406" s="289">
        <f t="shared" si="188"/>
        <v>6</v>
      </c>
      <c r="AK2406" s="289">
        <f t="shared" si="189"/>
        <v>1917.7231032819834</v>
      </c>
    </row>
    <row r="2407" spans="1:37">
      <c r="A2407" s="703" t="s">
        <v>4147</v>
      </c>
      <c r="B2407" s="703" t="s">
        <v>3743</v>
      </c>
      <c r="C2407" s="703" t="s">
        <v>332</v>
      </c>
      <c r="D2407" s="703" t="s">
        <v>334</v>
      </c>
      <c r="E2407" s="703" t="s">
        <v>334</v>
      </c>
      <c r="F2407" s="703" t="s">
        <v>335</v>
      </c>
      <c r="G2407" s="703" t="s">
        <v>4148</v>
      </c>
      <c r="H2407" s="703" t="s">
        <v>334</v>
      </c>
      <c r="I2407" s="703" t="s">
        <v>334</v>
      </c>
      <c r="J2407" s="703" t="s">
        <v>337</v>
      </c>
      <c r="K2407" s="704">
        <v>0</v>
      </c>
      <c r="L2407" s="703" t="s">
        <v>334</v>
      </c>
      <c r="M2407" s="702">
        <v>43496</v>
      </c>
      <c r="N2407" s="702">
        <v>44825</v>
      </c>
      <c r="O2407" s="703" t="s">
        <v>338</v>
      </c>
      <c r="P2407" s="20">
        <v>0</v>
      </c>
      <c r="Q2407" s="20">
        <v>0</v>
      </c>
      <c r="R2407" s="20">
        <v>156753.16</v>
      </c>
      <c r="S2407" s="20">
        <v>0</v>
      </c>
      <c r="T2407" s="20">
        <v>156753.16</v>
      </c>
      <c r="U2407" s="20">
        <v>0</v>
      </c>
      <c r="V2407" s="20">
        <v>0</v>
      </c>
      <c r="W2407" s="20">
        <v>-1306.28</v>
      </c>
      <c r="X2407" s="20">
        <v>-1306.28</v>
      </c>
      <c r="Y2407" s="20">
        <v>0</v>
      </c>
      <c r="Z2407" s="20">
        <v>0</v>
      </c>
      <c r="AA2407" s="20">
        <v>0</v>
      </c>
      <c r="AB2407" s="20">
        <v>155446.88</v>
      </c>
      <c r="AC2407" t="s">
        <v>183</v>
      </c>
      <c r="AD2407" t="s">
        <v>290</v>
      </c>
      <c r="AE2407" s="702">
        <f t="shared" si="185"/>
        <v>44713</v>
      </c>
      <c r="AF2407" s="289">
        <v>153954.95278950292</v>
      </c>
      <c r="AG2407">
        <f t="shared" si="186"/>
        <v>360</v>
      </c>
      <c r="AH2407" s="289">
        <f t="shared" si="187"/>
        <v>427.6526466375081</v>
      </c>
      <c r="AJ2407" s="289">
        <f t="shared" si="188"/>
        <v>6</v>
      </c>
      <c r="AK2407" s="289">
        <f t="shared" si="189"/>
        <v>2565.9158798250487</v>
      </c>
    </row>
    <row r="2408" spans="1:37">
      <c r="A2408" s="703" t="s">
        <v>4149</v>
      </c>
      <c r="B2408" s="703" t="s">
        <v>3743</v>
      </c>
      <c r="C2408" s="703" t="s">
        <v>390</v>
      </c>
      <c r="D2408" s="703" t="s">
        <v>334</v>
      </c>
      <c r="E2408" s="703" t="s">
        <v>334</v>
      </c>
      <c r="F2408" s="703" t="s">
        <v>335</v>
      </c>
      <c r="G2408" s="703" t="s">
        <v>4150</v>
      </c>
      <c r="H2408" s="703" t="s">
        <v>334</v>
      </c>
      <c r="I2408" s="703" t="s">
        <v>334</v>
      </c>
      <c r="J2408" s="703" t="s">
        <v>337</v>
      </c>
      <c r="K2408" s="704">
        <v>0</v>
      </c>
      <c r="L2408" s="703" t="s">
        <v>334</v>
      </c>
      <c r="M2408" s="702">
        <v>42886</v>
      </c>
      <c r="N2408" s="702">
        <v>44825</v>
      </c>
      <c r="O2408" s="703" t="s">
        <v>338</v>
      </c>
      <c r="P2408" s="20">
        <v>0</v>
      </c>
      <c r="Q2408" s="20">
        <v>0</v>
      </c>
      <c r="R2408" s="20">
        <v>4675.37</v>
      </c>
      <c r="S2408" s="20">
        <v>0</v>
      </c>
      <c r="T2408" s="20">
        <v>4675.37</v>
      </c>
      <c r="U2408" s="20">
        <v>0</v>
      </c>
      <c r="V2408" s="20">
        <v>0</v>
      </c>
      <c r="W2408" s="20">
        <v>-38.96</v>
      </c>
      <c r="X2408" s="20">
        <v>-38.96</v>
      </c>
      <c r="Y2408" s="20">
        <v>0</v>
      </c>
      <c r="Z2408" s="20">
        <v>0</v>
      </c>
      <c r="AA2408" s="20">
        <v>0</v>
      </c>
      <c r="AB2408" s="20">
        <v>4636.41</v>
      </c>
      <c r="AC2408" t="s">
        <v>188</v>
      </c>
      <c r="AD2408" t="s">
        <v>290</v>
      </c>
      <c r="AE2408" s="702">
        <f t="shared" si="185"/>
        <v>44713</v>
      </c>
      <c r="AF2408" s="289">
        <v>4591.909774727721</v>
      </c>
      <c r="AG2408">
        <f t="shared" si="186"/>
        <v>360</v>
      </c>
      <c r="AH2408" s="289">
        <f t="shared" si="187"/>
        <v>12.755304929799225</v>
      </c>
      <c r="AJ2408" s="289">
        <f t="shared" si="188"/>
        <v>6</v>
      </c>
      <c r="AK2408" s="289">
        <f t="shared" si="189"/>
        <v>76.531829578795353</v>
      </c>
    </row>
    <row r="2409" spans="1:37">
      <c r="A2409" s="703" t="s">
        <v>4151</v>
      </c>
      <c r="B2409" s="703" t="s">
        <v>3743</v>
      </c>
      <c r="C2409" s="703" t="s">
        <v>390</v>
      </c>
      <c r="D2409" s="703" t="s">
        <v>334</v>
      </c>
      <c r="E2409" s="703" t="s">
        <v>334</v>
      </c>
      <c r="F2409" s="703" t="s">
        <v>335</v>
      </c>
      <c r="G2409" s="703" t="s">
        <v>4152</v>
      </c>
      <c r="H2409" s="703" t="s">
        <v>334</v>
      </c>
      <c r="I2409" s="703" t="s">
        <v>334</v>
      </c>
      <c r="J2409" s="703" t="s">
        <v>337</v>
      </c>
      <c r="K2409" s="704">
        <v>0</v>
      </c>
      <c r="L2409" s="703" t="s">
        <v>334</v>
      </c>
      <c r="M2409" s="702">
        <v>42886</v>
      </c>
      <c r="N2409" s="702">
        <v>44825</v>
      </c>
      <c r="O2409" s="703" t="s">
        <v>338</v>
      </c>
      <c r="P2409" s="20">
        <v>0</v>
      </c>
      <c r="Q2409" s="20">
        <v>0</v>
      </c>
      <c r="R2409" s="20">
        <v>6211.2</v>
      </c>
      <c r="S2409" s="20">
        <v>0</v>
      </c>
      <c r="T2409" s="20">
        <v>6211.2</v>
      </c>
      <c r="U2409" s="20">
        <v>0</v>
      </c>
      <c r="V2409" s="20">
        <v>0</v>
      </c>
      <c r="W2409" s="20">
        <v>-51.76</v>
      </c>
      <c r="X2409" s="20">
        <v>-51.76</v>
      </c>
      <c r="Y2409" s="20">
        <v>0</v>
      </c>
      <c r="Z2409" s="20">
        <v>0</v>
      </c>
      <c r="AA2409" s="20">
        <v>0</v>
      </c>
      <c r="AB2409" s="20">
        <v>6159.44</v>
      </c>
      <c r="AC2409" t="s">
        <v>188</v>
      </c>
      <c r="AD2409" t="s">
        <v>290</v>
      </c>
      <c r="AE2409" s="702">
        <f t="shared" si="185"/>
        <v>44713</v>
      </c>
      <c r="AF2409" s="289">
        <v>6100.3236092092857</v>
      </c>
      <c r="AG2409">
        <f t="shared" si="186"/>
        <v>360</v>
      </c>
      <c r="AH2409" s="289">
        <f t="shared" si="187"/>
        <v>16.945343358914684</v>
      </c>
      <c r="AJ2409" s="289">
        <f t="shared" si="188"/>
        <v>6</v>
      </c>
      <c r="AK2409" s="289">
        <f t="shared" si="189"/>
        <v>101.6720601534881</v>
      </c>
    </row>
    <row r="2410" spans="1:37">
      <c r="A2410" s="703" t="s">
        <v>4153</v>
      </c>
      <c r="B2410" s="703" t="s">
        <v>3743</v>
      </c>
      <c r="C2410" s="703" t="s">
        <v>390</v>
      </c>
      <c r="D2410" s="703" t="s">
        <v>334</v>
      </c>
      <c r="E2410" s="703" t="s">
        <v>334</v>
      </c>
      <c r="F2410" s="703" t="s">
        <v>335</v>
      </c>
      <c r="G2410" s="703" t="s">
        <v>4154</v>
      </c>
      <c r="H2410" s="703" t="s">
        <v>334</v>
      </c>
      <c r="I2410" s="703" t="s">
        <v>334</v>
      </c>
      <c r="J2410" s="703" t="s">
        <v>337</v>
      </c>
      <c r="K2410" s="704">
        <v>0</v>
      </c>
      <c r="L2410" s="703" t="s">
        <v>334</v>
      </c>
      <c r="M2410" s="702">
        <v>42886</v>
      </c>
      <c r="N2410" s="702">
        <v>44825</v>
      </c>
      <c r="O2410" s="703" t="s">
        <v>338</v>
      </c>
      <c r="P2410" s="20">
        <v>0</v>
      </c>
      <c r="Q2410" s="20">
        <v>0</v>
      </c>
      <c r="R2410" s="20">
        <v>345.03</v>
      </c>
      <c r="S2410" s="20">
        <v>0</v>
      </c>
      <c r="T2410" s="20">
        <v>345.03</v>
      </c>
      <c r="U2410" s="20">
        <v>0</v>
      </c>
      <c r="V2410" s="20">
        <v>0</v>
      </c>
      <c r="W2410" s="20">
        <v>-2.88</v>
      </c>
      <c r="X2410" s="20">
        <v>-2.88</v>
      </c>
      <c r="Y2410" s="20">
        <v>0</v>
      </c>
      <c r="Z2410" s="20">
        <v>0</v>
      </c>
      <c r="AA2410" s="20">
        <v>0</v>
      </c>
      <c r="AB2410" s="20">
        <v>342.15</v>
      </c>
      <c r="AC2410" t="s">
        <v>188</v>
      </c>
      <c r="AD2410" t="s">
        <v>290</v>
      </c>
      <c r="AE2410" s="702">
        <f t="shared" si="185"/>
        <v>44713</v>
      </c>
      <c r="AF2410" s="289">
        <v>338.8708550498261</v>
      </c>
      <c r="AG2410">
        <f t="shared" si="186"/>
        <v>360</v>
      </c>
      <c r="AH2410" s="289">
        <f t="shared" si="187"/>
        <v>0.94130793069396135</v>
      </c>
      <c r="AJ2410" s="289">
        <f t="shared" si="188"/>
        <v>6</v>
      </c>
      <c r="AK2410" s="289">
        <f t="shared" si="189"/>
        <v>5.6478475841637685</v>
      </c>
    </row>
    <row r="2411" spans="1:37">
      <c r="A2411" s="703" t="s">
        <v>4155</v>
      </c>
      <c r="B2411" s="703" t="s">
        <v>3743</v>
      </c>
      <c r="C2411" s="703" t="s">
        <v>390</v>
      </c>
      <c r="D2411" s="703" t="s">
        <v>334</v>
      </c>
      <c r="E2411" s="703" t="s">
        <v>334</v>
      </c>
      <c r="F2411" s="703" t="s">
        <v>335</v>
      </c>
      <c r="G2411" s="703" t="s">
        <v>4156</v>
      </c>
      <c r="H2411" s="703" t="s">
        <v>334</v>
      </c>
      <c r="I2411" s="703" t="s">
        <v>334</v>
      </c>
      <c r="J2411" s="703" t="s">
        <v>337</v>
      </c>
      <c r="K2411" s="704">
        <v>0</v>
      </c>
      <c r="L2411" s="703" t="s">
        <v>334</v>
      </c>
      <c r="M2411" s="702">
        <v>42886</v>
      </c>
      <c r="N2411" s="702">
        <v>44825</v>
      </c>
      <c r="O2411" s="703" t="s">
        <v>338</v>
      </c>
      <c r="P2411" s="20">
        <v>0</v>
      </c>
      <c r="Q2411" s="20">
        <v>0</v>
      </c>
      <c r="R2411" s="20">
        <v>495.98</v>
      </c>
      <c r="S2411" s="20">
        <v>0</v>
      </c>
      <c r="T2411" s="20">
        <v>495.98</v>
      </c>
      <c r="U2411" s="20">
        <v>0</v>
      </c>
      <c r="V2411" s="20">
        <v>0</v>
      </c>
      <c r="W2411" s="20">
        <v>-4.13</v>
      </c>
      <c r="X2411" s="20">
        <v>-4.13</v>
      </c>
      <c r="Y2411" s="20">
        <v>0</v>
      </c>
      <c r="Z2411" s="20">
        <v>0</v>
      </c>
      <c r="AA2411" s="20">
        <v>0</v>
      </c>
      <c r="AB2411" s="20">
        <v>491.85</v>
      </c>
      <c r="AC2411" t="s">
        <v>188</v>
      </c>
      <c r="AD2411" t="s">
        <v>290</v>
      </c>
      <c r="AE2411" s="702">
        <f t="shared" si="185"/>
        <v>44713</v>
      </c>
      <c r="AF2411" s="289">
        <v>487.12624029102614</v>
      </c>
      <c r="AG2411">
        <f t="shared" si="186"/>
        <v>360</v>
      </c>
      <c r="AH2411" s="289">
        <f t="shared" si="187"/>
        <v>1.3531284452528505</v>
      </c>
      <c r="AJ2411" s="289">
        <f t="shared" si="188"/>
        <v>6</v>
      </c>
      <c r="AK2411" s="289">
        <f t="shared" si="189"/>
        <v>8.1187706715171029</v>
      </c>
    </row>
    <row r="2412" spans="1:37">
      <c r="A2412" s="703" t="s">
        <v>4157</v>
      </c>
      <c r="B2412" s="703" t="s">
        <v>3743</v>
      </c>
      <c r="C2412" s="703" t="s">
        <v>390</v>
      </c>
      <c r="D2412" s="703" t="s">
        <v>334</v>
      </c>
      <c r="E2412" s="703" t="s">
        <v>334</v>
      </c>
      <c r="F2412" s="703" t="s">
        <v>335</v>
      </c>
      <c r="G2412" s="703" t="s">
        <v>4158</v>
      </c>
      <c r="H2412" s="703" t="s">
        <v>334</v>
      </c>
      <c r="I2412" s="703" t="s">
        <v>334</v>
      </c>
      <c r="J2412" s="703" t="s">
        <v>337</v>
      </c>
      <c r="K2412" s="704">
        <v>0</v>
      </c>
      <c r="L2412" s="703" t="s">
        <v>334</v>
      </c>
      <c r="M2412" s="702">
        <v>42886</v>
      </c>
      <c r="N2412" s="702">
        <v>44825</v>
      </c>
      <c r="O2412" s="703" t="s">
        <v>338</v>
      </c>
      <c r="P2412" s="20">
        <v>0</v>
      </c>
      <c r="Q2412" s="20">
        <v>0</v>
      </c>
      <c r="R2412" s="20">
        <v>36</v>
      </c>
      <c r="S2412" s="20">
        <v>0</v>
      </c>
      <c r="T2412" s="20">
        <v>36</v>
      </c>
      <c r="U2412" s="20">
        <v>0</v>
      </c>
      <c r="V2412" s="20">
        <v>0</v>
      </c>
      <c r="W2412" s="20">
        <v>-0.3</v>
      </c>
      <c r="X2412" s="20">
        <v>-0.3</v>
      </c>
      <c r="Y2412" s="20">
        <v>0</v>
      </c>
      <c r="Z2412" s="20">
        <v>0</v>
      </c>
      <c r="AA2412" s="20">
        <v>0</v>
      </c>
      <c r="AB2412" s="20">
        <v>35.700000000000003</v>
      </c>
      <c r="AC2412" t="s">
        <v>188</v>
      </c>
      <c r="AD2412" t="s">
        <v>290</v>
      </c>
      <c r="AE2412" s="702">
        <f t="shared" si="185"/>
        <v>44713</v>
      </c>
      <c r="AF2412" s="289">
        <v>35.357362495417036</v>
      </c>
      <c r="AG2412">
        <f t="shared" si="186"/>
        <v>360</v>
      </c>
      <c r="AH2412" s="289">
        <f t="shared" si="187"/>
        <v>9.8214895820602874E-2</v>
      </c>
      <c r="AJ2412" s="289">
        <f t="shared" si="188"/>
        <v>6</v>
      </c>
      <c r="AK2412" s="289">
        <f t="shared" si="189"/>
        <v>0.58928937492361722</v>
      </c>
    </row>
    <row r="2413" spans="1:37">
      <c r="A2413" s="703" t="s">
        <v>4159</v>
      </c>
      <c r="B2413" s="703" t="s">
        <v>3743</v>
      </c>
      <c r="C2413" s="703" t="s">
        <v>390</v>
      </c>
      <c r="D2413" s="703" t="s">
        <v>334</v>
      </c>
      <c r="E2413" s="703" t="s">
        <v>334</v>
      </c>
      <c r="F2413" s="703" t="s">
        <v>335</v>
      </c>
      <c r="G2413" s="703" t="s">
        <v>4160</v>
      </c>
      <c r="H2413" s="703" t="s">
        <v>334</v>
      </c>
      <c r="I2413" s="703" t="s">
        <v>334</v>
      </c>
      <c r="J2413" s="703" t="s">
        <v>337</v>
      </c>
      <c r="K2413" s="704">
        <v>0</v>
      </c>
      <c r="L2413" s="703" t="s">
        <v>334</v>
      </c>
      <c r="M2413" s="702">
        <v>42886</v>
      </c>
      <c r="N2413" s="702">
        <v>44825</v>
      </c>
      <c r="O2413" s="703" t="s">
        <v>338</v>
      </c>
      <c r="P2413" s="20">
        <v>0</v>
      </c>
      <c r="Q2413" s="20">
        <v>0</v>
      </c>
      <c r="R2413" s="20">
        <v>1</v>
      </c>
      <c r="S2413" s="20">
        <v>0</v>
      </c>
      <c r="T2413" s="20">
        <v>1</v>
      </c>
      <c r="U2413" s="20">
        <v>0</v>
      </c>
      <c r="V2413" s="20">
        <v>0</v>
      </c>
      <c r="W2413" s="20">
        <v>-0.01</v>
      </c>
      <c r="X2413" s="20">
        <v>-0.01</v>
      </c>
      <c r="Y2413" s="20">
        <v>0</v>
      </c>
      <c r="Z2413" s="20">
        <v>0</v>
      </c>
      <c r="AA2413" s="20">
        <v>0</v>
      </c>
      <c r="AB2413" s="20">
        <v>0.99</v>
      </c>
      <c r="AC2413" t="s">
        <v>188</v>
      </c>
      <c r="AD2413" t="s">
        <v>290</v>
      </c>
      <c r="AE2413" s="702">
        <f t="shared" si="185"/>
        <v>44713</v>
      </c>
      <c r="AF2413" s="289">
        <v>0.98214895820602877</v>
      </c>
      <c r="AG2413">
        <f t="shared" si="186"/>
        <v>360</v>
      </c>
      <c r="AH2413" s="289">
        <f t="shared" si="187"/>
        <v>2.7281915505723022E-3</v>
      </c>
      <c r="AJ2413" s="289">
        <f t="shared" si="188"/>
        <v>6</v>
      </c>
      <c r="AK2413" s="289">
        <f t="shared" si="189"/>
        <v>1.6369149303433812E-2</v>
      </c>
    </row>
    <row r="2414" spans="1:37">
      <c r="A2414" s="703" t="s">
        <v>4161</v>
      </c>
      <c r="B2414" s="703" t="s">
        <v>3743</v>
      </c>
      <c r="C2414" s="703" t="s">
        <v>390</v>
      </c>
      <c r="D2414" s="703" t="s">
        <v>334</v>
      </c>
      <c r="E2414" s="703" t="s">
        <v>334</v>
      </c>
      <c r="F2414" s="703" t="s">
        <v>335</v>
      </c>
      <c r="G2414" s="703" t="s">
        <v>4162</v>
      </c>
      <c r="H2414" s="703" t="s">
        <v>334</v>
      </c>
      <c r="I2414" s="703" t="s">
        <v>334</v>
      </c>
      <c r="J2414" s="703" t="s">
        <v>337</v>
      </c>
      <c r="K2414" s="704">
        <v>0</v>
      </c>
      <c r="L2414" s="703" t="s">
        <v>334</v>
      </c>
      <c r="M2414" s="702">
        <v>42886</v>
      </c>
      <c r="N2414" s="702">
        <v>44825</v>
      </c>
      <c r="O2414" s="703" t="s">
        <v>338</v>
      </c>
      <c r="P2414" s="20">
        <v>0</v>
      </c>
      <c r="Q2414" s="20">
        <v>0</v>
      </c>
      <c r="R2414" s="20">
        <v>605</v>
      </c>
      <c r="S2414" s="20">
        <v>0</v>
      </c>
      <c r="T2414" s="20">
        <v>605</v>
      </c>
      <c r="U2414" s="20">
        <v>0</v>
      </c>
      <c r="V2414" s="20">
        <v>0</v>
      </c>
      <c r="W2414" s="20">
        <v>-5.04</v>
      </c>
      <c r="X2414" s="20">
        <v>-5.04</v>
      </c>
      <c r="Y2414" s="20">
        <v>0</v>
      </c>
      <c r="Z2414" s="20">
        <v>0</v>
      </c>
      <c r="AA2414" s="20">
        <v>0</v>
      </c>
      <c r="AB2414" s="20">
        <v>599.96</v>
      </c>
      <c r="AC2414" t="s">
        <v>188</v>
      </c>
      <c r="AD2414" t="s">
        <v>290</v>
      </c>
      <c r="AE2414" s="702">
        <f t="shared" si="185"/>
        <v>44713</v>
      </c>
      <c r="AF2414" s="289">
        <v>594.20011971464737</v>
      </c>
      <c r="AG2414">
        <f t="shared" si="186"/>
        <v>360</v>
      </c>
      <c r="AH2414" s="289">
        <f t="shared" si="187"/>
        <v>1.6505558880962428</v>
      </c>
      <c r="AJ2414" s="289">
        <f t="shared" si="188"/>
        <v>6</v>
      </c>
      <c r="AK2414" s="289">
        <f t="shared" si="189"/>
        <v>9.903335328577457</v>
      </c>
    </row>
    <row r="2415" spans="1:37">
      <c r="A2415" s="703" t="s">
        <v>4163</v>
      </c>
      <c r="B2415" s="703" t="s">
        <v>3743</v>
      </c>
      <c r="C2415" s="703" t="s">
        <v>390</v>
      </c>
      <c r="D2415" s="703" t="s">
        <v>334</v>
      </c>
      <c r="E2415" s="703" t="s">
        <v>334</v>
      </c>
      <c r="F2415" s="703" t="s">
        <v>335</v>
      </c>
      <c r="G2415" s="703" t="s">
        <v>4164</v>
      </c>
      <c r="H2415" s="703" t="s">
        <v>334</v>
      </c>
      <c r="I2415" s="703" t="s">
        <v>334</v>
      </c>
      <c r="J2415" s="703" t="s">
        <v>337</v>
      </c>
      <c r="K2415" s="704">
        <v>0</v>
      </c>
      <c r="L2415" s="703" t="s">
        <v>334</v>
      </c>
      <c r="M2415" s="702">
        <v>42886</v>
      </c>
      <c r="N2415" s="702">
        <v>44825</v>
      </c>
      <c r="O2415" s="703" t="s">
        <v>338</v>
      </c>
      <c r="P2415" s="20">
        <v>0</v>
      </c>
      <c r="Q2415" s="20">
        <v>0</v>
      </c>
      <c r="R2415" s="20">
        <v>9</v>
      </c>
      <c r="S2415" s="20">
        <v>0</v>
      </c>
      <c r="T2415" s="20">
        <v>9</v>
      </c>
      <c r="U2415" s="20">
        <v>0</v>
      </c>
      <c r="V2415" s="20">
        <v>0</v>
      </c>
      <c r="W2415" s="20">
        <v>-0.08</v>
      </c>
      <c r="X2415" s="20">
        <v>-0.08</v>
      </c>
      <c r="Y2415" s="20">
        <v>0</v>
      </c>
      <c r="Z2415" s="20">
        <v>0</v>
      </c>
      <c r="AA2415" s="20">
        <v>0</v>
      </c>
      <c r="AB2415" s="20">
        <v>8.92</v>
      </c>
      <c r="AC2415" t="s">
        <v>188</v>
      </c>
      <c r="AD2415" t="s">
        <v>290</v>
      </c>
      <c r="AE2415" s="702">
        <f t="shared" si="185"/>
        <v>44713</v>
      </c>
      <c r="AF2415" s="289">
        <v>8.8393406238542589</v>
      </c>
      <c r="AG2415">
        <f t="shared" si="186"/>
        <v>360</v>
      </c>
      <c r="AH2415" s="289">
        <f t="shared" si="187"/>
        <v>2.4553723955150718E-2</v>
      </c>
      <c r="AJ2415" s="289">
        <f t="shared" si="188"/>
        <v>6</v>
      </c>
      <c r="AK2415" s="289">
        <f t="shared" si="189"/>
        <v>0.1473223437309043</v>
      </c>
    </row>
    <row r="2416" spans="1:37">
      <c r="A2416" s="703" t="s">
        <v>4165</v>
      </c>
      <c r="B2416" s="703" t="s">
        <v>3743</v>
      </c>
      <c r="C2416" s="703" t="s">
        <v>390</v>
      </c>
      <c r="D2416" s="703" t="s">
        <v>334</v>
      </c>
      <c r="E2416" s="703" t="s">
        <v>334</v>
      </c>
      <c r="F2416" s="703" t="s">
        <v>335</v>
      </c>
      <c r="G2416" s="703" t="s">
        <v>4166</v>
      </c>
      <c r="H2416" s="703" t="s">
        <v>334</v>
      </c>
      <c r="I2416" s="703" t="s">
        <v>334</v>
      </c>
      <c r="J2416" s="703" t="s">
        <v>337</v>
      </c>
      <c r="K2416" s="704">
        <v>0</v>
      </c>
      <c r="L2416" s="703" t="s">
        <v>334</v>
      </c>
      <c r="M2416" s="702">
        <v>42886</v>
      </c>
      <c r="N2416" s="702">
        <v>44825</v>
      </c>
      <c r="O2416" s="703" t="s">
        <v>338</v>
      </c>
      <c r="P2416" s="20">
        <v>0</v>
      </c>
      <c r="Q2416" s="20">
        <v>0</v>
      </c>
      <c r="R2416" s="20">
        <v>3481.39</v>
      </c>
      <c r="S2416" s="20">
        <v>0</v>
      </c>
      <c r="T2416" s="20">
        <v>3481.39</v>
      </c>
      <c r="U2416" s="20">
        <v>0</v>
      </c>
      <c r="V2416" s="20">
        <v>0</v>
      </c>
      <c r="W2416" s="20">
        <v>-29.01</v>
      </c>
      <c r="X2416" s="20">
        <v>-29.01</v>
      </c>
      <c r="Y2416" s="20">
        <v>0</v>
      </c>
      <c r="Z2416" s="20">
        <v>0</v>
      </c>
      <c r="AA2416" s="20">
        <v>0</v>
      </c>
      <c r="AB2416" s="20">
        <v>3452.38</v>
      </c>
      <c r="AC2416" t="s">
        <v>188</v>
      </c>
      <c r="AD2416" t="s">
        <v>290</v>
      </c>
      <c r="AE2416" s="702">
        <f t="shared" si="185"/>
        <v>44713</v>
      </c>
      <c r="AF2416" s="289">
        <v>3419.2435616088865</v>
      </c>
      <c r="AG2416">
        <f t="shared" si="186"/>
        <v>360</v>
      </c>
      <c r="AH2416" s="289">
        <f t="shared" si="187"/>
        <v>9.4978987822469065</v>
      </c>
      <c r="AJ2416" s="289">
        <f t="shared" si="188"/>
        <v>6</v>
      </c>
      <c r="AK2416" s="289">
        <f t="shared" si="189"/>
        <v>56.987392693481439</v>
      </c>
    </row>
    <row r="2417" spans="1:37">
      <c r="A2417" s="703" t="s">
        <v>4167</v>
      </c>
      <c r="B2417" s="703" t="s">
        <v>3743</v>
      </c>
      <c r="C2417" s="703" t="s">
        <v>390</v>
      </c>
      <c r="D2417" s="703" t="s">
        <v>334</v>
      </c>
      <c r="E2417" s="703" t="s">
        <v>334</v>
      </c>
      <c r="F2417" s="703" t="s">
        <v>335</v>
      </c>
      <c r="G2417" s="703" t="s">
        <v>4168</v>
      </c>
      <c r="H2417" s="703" t="s">
        <v>334</v>
      </c>
      <c r="I2417" s="703" t="s">
        <v>334</v>
      </c>
      <c r="J2417" s="703" t="s">
        <v>337</v>
      </c>
      <c r="K2417" s="704">
        <v>0</v>
      </c>
      <c r="L2417" s="703" t="s">
        <v>334</v>
      </c>
      <c r="M2417" s="702">
        <v>42886</v>
      </c>
      <c r="N2417" s="702">
        <v>44825</v>
      </c>
      <c r="O2417" s="703" t="s">
        <v>338</v>
      </c>
      <c r="P2417" s="20">
        <v>0</v>
      </c>
      <c r="Q2417" s="20">
        <v>0</v>
      </c>
      <c r="R2417" s="20">
        <v>1</v>
      </c>
      <c r="S2417" s="20">
        <v>0</v>
      </c>
      <c r="T2417" s="20">
        <v>1</v>
      </c>
      <c r="U2417" s="20">
        <v>0</v>
      </c>
      <c r="V2417" s="20">
        <v>0</v>
      </c>
      <c r="W2417" s="20">
        <v>-0.01</v>
      </c>
      <c r="X2417" s="20">
        <v>-0.01</v>
      </c>
      <c r="Y2417" s="20">
        <v>0</v>
      </c>
      <c r="Z2417" s="20">
        <v>0</v>
      </c>
      <c r="AA2417" s="20">
        <v>0</v>
      </c>
      <c r="AB2417" s="20">
        <v>0.99</v>
      </c>
      <c r="AC2417" t="s">
        <v>188</v>
      </c>
      <c r="AD2417" t="s">
        <v>290</v>
      </c>
      <c r="AE2417" s="702">
        <f t="shared" si="185"/>
        <v>44713</v>
      </c>
      <c r="AF2417" s="289">
        <v>0.98214895820602877</v>
      </c>
      <c r="AG2417">
        <f t="shared" si="186"/>
        <v>360</v>
      </c>
      <c r="AH2417" s="289">
        <f t="shared" si="187"/>
        <v>2.7281915505723022E-3</v>
      </c>
      <c r="AJ2417" s="289">
        <f t="shared" si="188"/>
        <v>6</v>
      </c>
      <c r="AK2417" s="289">
        <f t="shared" si="189"/>
        <v>1.6369149303433812E-2</v>
      </c>
    </row>
    <row r="2418" spans="1:37">
      <c r="A2418" s="703" t="s">
        <v>4169</v>
      </c>
      <c r="B2418" s="703" t="s">
        <v>3743</v>
      </c>
      <c r="C2418" s="703" t="s">
        <v>390</v>
      </c>
      <c r="D2418" s="703" t="s">
        <v>334</v>
      </c>
      <c r="E2418" s="703" t="s">
        <v>334</v>
      </c>
      <c r="F2418" s="703" t="s">
        <v>335</v>
      </c>
      <c r="G2418" s="703" t="s">
        <v>4170</v>
      </c>
      <c r="H2418" s="703" t="s">
        <v>334</v>
      </c>
      <c r="I2418" s="703" t="s">
        <v>334</v>
      </c>
      <c r="J2418" s="703" t="s">
        <v>337</v>
      </c>
      <c r="K2418" s="704">
        <v>0</v>
      </c>
      <c r="L2418" s="703" t="s">
        <v>334</v>
      </c>
      <c r="M2418" s="702">
        <v>42886</v>
      </c>
      <c r="N2418" s="702">
        <v>44825</v>
      </c>
      <c r="O2418" s="703" t="s">
        <v>338</v>
      </c>
      <c r="P2418" s="20">
        <v>0</v>
      </c>
      <c r="Q2418" s="20">
        <v>0</v>
      </c>
      <c r="R2418" s="20">
        <v>1</v>
      </c>
      <c r="S2418" s="20">
        <v>0</v>
      </c>
      <c r="T2418" s="20">
        <v>1</v>
      </c>
      <c r="U2418" s="20">
        <v>0</v>
      </c>
      <c r="V2418" s="20">
        <v>0</v>
      </c>
      <c r="W2418" s="20">
        <v>-0.01</v>
      </c>
      <c r="X2418" s="20">
        <v>-0.01</v>
      </c>
      <c r="Y2418" s="20">
        <v>0</v>
      </c>
      <c r="Z2418" s="20">
        <v>0</v>
      </c>
      <c r="AA2418" s="20">
        <v>0</v>
      </c>
      <c r="AB2418" s="20">
        <v>0.99</v>
      </c>
      <c r="AC2418" t="s">
        <v>188</v>
      </c>
      <c r="AD2418" t="s">
        <v>290</v>
      </c>
      <c r="AE2418" s="702">
        <f t="shared" si="185"/>
        <v>44713</v>
      </c>
      <c r="AF2418" s="289">
        <v>0.98214895820602877</v>
      </c>
      <c r="AG2418">
        <f t="shared" si="186"/>
        <v>360</v>
      </c>
      <c r="AH2418" s="289">
        <f t="shared" si="187"/>
        <v>2.7281915505723022E-3</v>
      </c>
      <c r="AJ2418" s="289">
        <f t="shared" si="188"/>
        <v>6</v>
      </c>
      <c r="AK2418" s="289">
        <f t="shared" si="189"/>
        <v>1.6369149303433812E-2</v>
      </c>
    </row>
    <row r="2419" spans="1:37">
      <c r="A2419" s="703" t="s">
        <v>4171</v>
      </c>
      <c r="B2419" s="703" t="s">
        <v>3743</v>
      </c>
      <c r="C2419" s="703" t="s">
        <v>390</v>
      </c>
      <c r="D2419" s="703" t="s">
        <v>334</v>
      </c>
      <c r="E2419" s="703" t="s">
        <v>334</v>
      </c>
      <c r="F2419" s="703" t="s">
        <v>335</v>
      </c>
      <c r="G2419" s="703" t="s">
        <v>4172</v>
      </c>
      <c r="H2419" s="703" t="s">
        <v>334</v>
      </c>
      <c r="I2419" s="703" t="s">
        <v>334</v>
      </c>
      <c r="J2419" s="703" t="s">
        <v>337</v>
      </c>
      <c r="K2419" s="704">
        <v>0</v>
      </c>
      <c r="L2419" s="703" t="s">
        <v>334</v>
      </c>
      <c r="M2419" s="702">
        <v>42886</v>
      </c>
      <c r="N2419" s="702">
        <v>44825</v>
      </c>
      <c r="O2419" s="703" t="s">
        <v>338</v>
      </c>
      <c r="P2419" s="20">
        <v>0</v>
      </c>
      <c r="Q2419" s="20">
        <v>0</v>
      </c>
      <c r="R2419" s="20">
        <v>5716.06</v>
      </c>
      <c r="S2419" s="20">
        <v>0</v>
      </c>
      <c r="T2419" s="20">
        <v>5716.06</v>
      </c>
      <c r="U2419" s="20">
        <v>0</v>
      </c>
      <c r="V2419" s="20">
        <v>0</v>
      </c>
      <c r="W2419" s="20">
        <v>-47.63</v>
      </c>
      <c r="X2419" s="20">
        <v>-47.63</v>
      </c>
      <c r="Y2419" s="20">
        <v>0</v>
      </c>
      <c r="Z2419" s="20">
        <v>0</v>
      </c>
      <c r="AA2419" s="20">
        <v>0</v>
      </c>
      <c r="AB2419" s="20">
        <v>5668.43</v>
      </c>
      <c r="AC2419" t="s">
        <v>188</v>
      </c>
      <c r="AD2419" t="s">
        <v>290</v>
      </c>
      <c r="AE2419" s="702">
        <f t="shared" si="185"/>
        <v>44713</v>
      </c>
      <c r="AF2419" s="289">
        <v>5614.0223740431529</v>
      </c>
      <c r="AG2419">
        <f t="shared" si="186"/>
        <v>360</v>
      </c>
      <c r="AH2419" s="289">
        <f t="shared" si="187"/>
        <v>15.594506594564313</v>
      </c>
      <c r="AJ2419" s="289">
        <f t="shared" si="188"/>
        <v>6</v>
      </c>
      <c r="AK2419" s="289">
        <f t="shared" si="189"/>
        <v>93.567039567385876</v>
      </c>
    </row>
    <row r="2420" spans="1:37">
      <c r="A2420" s="703" t="s">
        <v>4173</v>
      </c>
      <c r="B2420" s="703" t="s">
        <v>3743</v>
      </c>
      <c r="C2420" s="703" t="s">
        <v>390</v>
      </c>
      <c r="D2420" s="703" t="s">
        <v>334</v>
      </c>
      <c r="E2420" s="703" t="s">
        <v>334</v>
      </c>
      <c r="F2420" s="703" t="s">
        <v>335</v>
      </c>
      <c r="G2420" s="703" t="s">
        <v>4174</v>
      </c>
      <c r="H2420" s="703" t="s">
        <v>334</v>
      </c>
      <c r="I2420" s="703" t="s">
        <v>334</v>
      </c>
      <c r="J2420" s="703" t="s">
        <v>337</v>
      </c>
      <c r="K2420" s="704">
        <v>0</v>
      </c>
      <c r="L2420" s="703" t="s">
        <v>334</v>
      </c>
      <c r="M2420" s="702">
        <v>43251</v>
      </c>
      <c r="N2420" s="702">
        <v>44825</v>
      </c>
      <c r="O2420" s="703" t="s">
        <v>338</v>
      </c>
      <c r="P2420" s="20">
        <v>0</v>
      </c>
      <c r="Q2420" s="20">
        <v>0</v>
      </c>
      <c r="R2420" s="20">
        <v>17102.02</v>
      </c>
      <c r="S2420" s="20">
        <v>0</v>
      </c>
      <c r="T2420" s="20">
        <v>17102.02</v>
      </c>
      <c r="U2420" s="20">
        <v>0</v>
      </c>
      <c r="V2420" s="20">
        <v>0</v>
      </c>
      <c r="W2420" s="20">
        <v>-142.52000000000001</v>
      </c>
      <c r="X2420" s="20">
        <v>-142.52000000000001</v>
      </c>
      <c r="Y2420" s="20">
        <v>0</v>
      </c>
      <c r="Z2420" s="20">
        <v>0</v>
      </c>
      <c r="AA2420" s="20">
        <v>0</v>
      </c>
      <c r="AB2420" s="20">
        <v>16959.5</v>
      </c>
      <c r="AC2420" t="s">
        <v>188</v>
      </c>
      <c r="AD2420" t="s">
        <v>290</v>
      </c>
      <c r="AE2420" s="702">
        <f t="shared" si="185"/>
        <v>44713</v>
      </c>
      <c r="AF2420" s="289">
        <v>16796.73112621867</v>
      </c>
      <c r="AG2420">
        <f t="shared" si="186"/>
        <v>360</v>
      </c>
      <c r="AH2420" s="289">
        <f t="shared" si="187"/>
        <v>46.65758646171853</v>
      </c>
      <c r="AJ2420" s="289">
        <f t="shared" si="188"/>
        <v>6</v>
      </c>
      <c r="AK2420" s="289">
        <f t="shared" si="189"/>
        <v>279.9455187703112</v>
      </c>
    </row>
    <row r="2421" spans="1:37">
      <c r="A2421" s="703" t="s">
        <v>4175</v>
      </c>
      <c r="B2421" s="703" t="s">
        <v>3743</v>
      </c>
      <c r="C2421" s="703" t="s">
        <v>390</v>
      </c>
      <c r="D2421" s="703" t="s">
        <v>334</v>
      </c>
      <c r="E2421" s="703" t="s">
        <v>334</v>
      </c>
      <c r="F2421" s="703" t="s">
        <v>335</v>
      </c>
      <c r="G2421" s="703" t="s">
        <v>4176</v>
      </c>
      <c r="H2421" s="703" t="s">
        <v>334</v>
      </c>
      <c r="I2421" s="703" t="s">
        <v>334</v>
      </c>
      <c r="J2421" s="703" t="s">
        <v>337</v>
      </c>
      <c r="K2421" s="704">
        <v>0</v>
      </c>
      <c r="L2421" s="703" t="s">
        <v>334</v>
      </c>
      <c r="M2421" s="702">
        <v>43251</v>
      </c>
      <c r="N2421" s="702">
        <v>44825</v>
      </c>
      <c r="O2421" s="703" t="s">
        <v>338</v>
      </c>
      <c r="P2421" s="20">
        <v>0</v>
      </c>
      <c r="Q2421" s="20">
        <v>0</v>
      </c>
      <c r="R2421" s="20">
        <v>15364.67</v>
      </c>
      <c r="S2421" s="20">
        <v>0</v>
      </c>
      <c r="T2421" s="20">
        <v>15364.67</v>
      </c>
      <c r="U2421" s="20">
        <v>0</v>
      </c>
      <c r="V2421" s="20">
        <v>0</v>
      </c>
      <c r="W2421" s="20">
        <v>-128.04</v>
      </c>
      <c r="X2421" s="20">
        <v>-128.04</v>
      </c>
      <c r="Y2421" s="20">
        <v>0</v>
      </c>
      <c r="Z2421" s="20">
        <v>0</v>
      </c>
      <c r="AA2421" s="20">
        <v>0</v>
      </c>
      <c r="AB2421" s="20">
        <v>15236.63</v>
      </c>
      <c r="AC2421" t="s">
        <v>188</v>
      </c>
      <c r="AD2421" t="s">
        <v>290</v>
      </c>
      <c r="AE2421" s="702">
        <f t="shared" si="185"/>
        <v>44713</v>
      </c>
      <c r="AF2421" s="289">
        <v>15090.394633679425</v>
      </c>
      <c r="AG2421">
        <f t="shared" si="186"/>
        <v>360</v>
      </c>
      <c r="AH2421" s="289">
        <f t="shared" si="187"/>
        <v>41.917762871331739</v>
      </c>
      <c r="AJ2421" s="289">
        <f t="shared" si="188"/>
        <v>6</v>
      </c>
      <c r="AK2421" s="289">
        <f t="shared" si="189"/>
        <v>251.50657722799042</v>
      </c>
    </row>
    <row r="2422" spans="1:37">
      <c r="A2422" s="703" t="s">
        <v>4177</v>
      </c>
      <c r="B2422" s="703" t="s">
        <v>3743</v>
      </c>
      <c r="C2422" s="703" t="s">
        <v>390</v>
      </c>
      <c r="D2422" s="703" t="s">
        <v>334</v>
      </c>
      <c r="E2422" s="703" t="s">
        <v>334</v>
      </c>
      <c r="F2422" s="703" t="s">
        <v>335</v>
      </c>
      <c r="G2422" s="703" t="s">
        <v>4178</v>
      </c>
      <c r="H2422" s="703" t="s">
        <v>334</v>
      </c>
      <c r="I2422" s="703" t="s">
        <v>334</v>
      </c>
      <c r="J2422" s="703" t="s">
        <v>337</v>
      </c>
      <c r="K2422" s="704">
        <v>0</v>
      </c>
      <c r="L2422" s="703" t="s">
        <v>334</v>
      </c>
      <c r="M2422" s="702">
        <v>43251</v>
      </c>
      <c r="N2422" s="702">
        <v>44825</v>
      </c>
      <c r="O2422" s="703" t="s">
        <v>338</v>
      </c>
      <c r="P2422" s="20">
        <v>0</v>
      </c>
      <c r="Q2422" s="20">
        <v>0</v>
      </c>
      <c r="R2422" s="20">
        <v>7</v>
      </c>
      <c r="S2422" s="20">
        <v>0</v>
      </c>
      <c r="T2422" s="20">
        <v>7</v>
      </c>
      <c r="U2422" s="20">
        <v>0</v>
      </c>
      <c r="V2422" s="20">
        <v>0</v>
      </c>
      <c r="W2422" s="20">
        <v>-0.06</v>
      </c>
      <c r="X2422" s="20">
        <v>-0.06</v>
      </c>
      <c r="Y2422" s="20">
        <v>0</v>
      </c>
      <c r="Z2422" s="20">
        <v>0</v>
      </c>
      <c r="AA2422" s="20">
        <v>0</v>
      </c>
      <c r="AB2422" s="20">
        <v>6.94</v>
      </c>
      <c r="AC2422" t="s">
        <v>188</v>
      </c>
      <c r="AD2422" t="s">
        <v>290</v>
      </c>
      <c r="AE2422" s="702">
        <f t="shared" si="185"/>
        <v>44713</v>
      </c>
      <c r="AF2422" s="289">
        <v>6.8750427074422014</v>
      </c>
      <c r="AG2422">
        <f t="shared" si="186"/>
        <v>360</v>
      </c>
      <c r="AH2422" s="289">
        <f t="shared" si="187"/>
        <v>1.9097340854006113E-2</v>
      </c>
      <c r="AJ2422" s="289">
        <f t="shared" si="188"/>
        <v>6</v>
      </c>
      <c r="AK2422" s="289">
        <f t="shared" si="189"/>
        <v>0.11458404512403668</v>
      </c>
    </row>
    <row r="2423" spans="1:37">
      <c r="A2423" s="703" t="s">
        <v>4179</v>
      </c>
      <c r="B2423" s="703" t="s">
        <v>3743</v>
      </c>
      <c r="C2423" s="703" t="s">
        <v>390</v>
      </c>
      <c r="D2423" s="703" t="s">
        <v>334</v>
      </c>
      <c r="E2423" s="703" t="s">
        <v>334</v>
      </c>
      <c r="F2423" s="703" t="s">
        <v>335</v>
      </c>
      <c r="G2423" s="703" t="s">
        <v>4180</v>
      </c>
      <c r="H2423" s="703" t="s">
        <v>334</v>
      </c>
      <c r="I2423" s="703" t="s">
        <v>334</v>
      </c>
      <c r="J2423" s="703" t="s">
        <v>337</v>
      </c>
      <c r="K2423" s="704">
        <v>0</v>
      </c>
      <c r="L2423" s="703" t="s">
        <v>334</v>
      </c>
      <c r="M2423" s="702">
        <v>43251</v>
      </c>
      <c r="N2423" s="702">
        <v>44825</v>
      </c>
      <c r="O2423" s="703" t="s">
        <v>338</v>
      </c>
      <c r="P2423" s="20">
        <v>0</v>
      </c>
      <c r="Q2423" s="20">
        <v>0</v>
      </c>
      <c r="R2423" s="20">
        <v>4607.96</v>
      </c>
      <c r="S2423" s="20">
        <v>0</v>
      </c>
      <c r="T2423" s="20">
        <v>4607.96</v>
      </c>
      <c r="U2423" s="20">
        <v>0</v>
      </c>
      <c r="V2423" s="20">
        <v>0</v>
      </c>
      <c r="W2423" s="20">
        <v>-38.4</v>
      </c>
      <c r="X2423" s="20">
        <v>-38.4</v>
      </c>
      <c r="Y2423" s="20">
        <v>0</v>
      </c>
      <c r="Z2423" s="20">
        <v>0</v>
      </c>
      <c r="AA2423" s="20">
        <v>0</v>
      </c>
      <c r="AB2423" s="20">
        <v>4569.5600000000004</v>
      </c>
      <c r="AC2423" t="s">
        <v>188</v>
      </c>
      <c r="AD2423" t="s">
        <v>290</v>
      </c>
      <c r="AE2423" s="702">
        <f t="shared" si="185"/>
        <v>44713</v>
      </c>
      <c r="AF2423" s="289">
        <v>4525.7031134550525</v>
      </c>
      <c r="AG2423">
        <f t="shared" si="186"/>
        <v>360</v>
      </c>
      <c r="AH2423" s="289">
        <f t="shared" si="187"/>
        <v>12.571397537375146</v>
      </c>
      <c r="AJ2423" s="289">
        <f t="shared" si="188"/>
        <v>6</v>
      </c>
      <c r="AK2423" s="289">
        <f t="shared" si="189"/>
        <v>75.428385224250874</v>
      </c>
    </row>
    <row r="2424" spans="1:37">
      <c r="A2424" s="703" t="s">
        <v>4181</v>
      </c>
      <c r="B2424" s="703" t="s">
        <v>3743</v>
      </c>
      <c r="C2424" s="703" t="s">
        <v>390</v>
      </c>
      <c r="D2424" s="703" t="s">
        <v>334</v>
      </c>
      <c r="E2424" s="703" t="s">
        <v>334</v>
      </c>
      <c r="F2424" s="703" t="s">
        <v>335</v>
      </c>
      <c r="G2424" s="703" t="s">
        <v>4182</v>
      </c>
      <c r="H2424" s="703" t="s">
        <v>334</v>
      </c>
      <c r="I2424" s="703" t="s">
        <v>334</v>
      </c>
      <c r="J2424" s="703" t="s">
        <v>337</v>
      </c>
      <c r="K2424" s="704">
        <v>0</v>
      </c>
      <c r="L2424" s="703" t="s">
        <v>334</v>
      </c>
      <c r="M2424" s="702">
        <v>43251</v>
      </c>
      <c r="N2424" s="702">
        <v>44825</v>
      </c>
      <c r="O2424" s="703" t="s">
        <v>338</v>
      </c>
      <c r="P2424" s="20">
        <v>0</v>
      </c>
      <c r="Q2424" s="20">
        <v>0</v>
      </c>
      <c r="R2424" s="20">
        <v>4789.9399999999996</v>
      </c>
      <c r="S2424" s="20">
        <v>0</v>
      </c>
      <c r="T2424" s="20">
        <v>4789.9399999999996</v>
      </c>
      <c r="U2424" s="20">
        <v>0</v>
      </c>
      <c r="V2424" s="20">
        <v>0</v>
      </c>
      <c r="W2424" s="20">
        <v>-39.92</v>
      </c>
      <c r="X2424" s="20">
        <v>-39.92</v>
      </c>
      <c r="Y2424" s="20">
        <v>0</v>
      </c>
      <c r="Z2424" s="20">
        <v>0</v>
      </c>
      <c r="AA2424" s="20">
        <v>0</v>
      </c>
      <c r="AB2424" s="20">
        <v>4750.0200000000004</v>
      </c>
      <c r="AC2424" t="s">
        <v>188</v>
      </c>
      <c r="AD2424" t="s">
        <v>290</v>
      </c>
      <c r="AE2424" s="702">
        <f t="shared" si="185"/>
        <v>44713</v>
      </c>
      <c r="AF2424" s="289">
        <v>4704.4345808693852</v>
      </c>
      <c r="AG2424">
        <f t="shared" si="186"/>
        <v>360</v>
      </c>
      <c r="AH2424" s="289">
        <f t="shared" si="187"/>
        <v>13.067873835748292</v>
      </c>
      <c r="AJ2424" s="289">
        <f t="shared" si="188"/>
        <v>6</v>
      </c>
      <c r="AK2424" s="289">
        <f t="shared" si="189"/>
        <v>78.407243014489751</v>
      </c>
    </row>
    <row r="2425" spans="1:37">
      <c r="A2425" s="703" t="s">
        <v>4183</v>
      </c>
      <c r="B2425" s="703" t="s">
        <v>3743</v>
      </c>
      <c r="C2425" s="703" t="s">
        <v>390</v>
      </c>
      <c r="D2425" s="703" t="s">
        <v>334</v>
      </c>
      <c r="E2425" s="703" t="s">
        <v>334</v>
      </c>
      <c r="F2425" s="703" t="s">
        <v>335</v>
      </c>
      <c r="G2425" s="703" t="s">
        <v>4184</v>
      </c>
      <c r="H2425" s="703" t="s">
        <v>334</v>
      </c>
      <c r="I2425" s="703" t="s">
        <v>334</v>
      </c>
      <c r="J2425" s="703" t="s">
        <v>337</v>
      </c>
      <c r="K2425" s="704">
        <v>0</v>
      </c>
      <c r="L2425" s="703" t="s">
        <v>334</v>
      </c>
      <c r="M2425" s="702">
        <v>43251</v>
      </c>
      <c r="N2425" s="702">
        <v>44825</v>
      </c>
      <c r="O2425" s="703" t="s">
        <v>338</v>
      </c>
      <c r="P2425" s="20">
        <v>0</v>
      </c>
      <c r="Q2425" s="20">
        <v>0</v>
      </c>
      <c r="R2425" s="20">
        <v>9386.43</v>
      </c>
      <c r="S2425" s="20">
        <v>0</v>
      </c>
      <c r="T2425" s="20">
        <v>9386.43</v>
      </c>
      <c r="U2425" s="20">
        <v>0</v>
      </c>
      <c r="V2425" s="20">
        <v>0</v>
      </c>
      <c r="W2425" s="20">
        <v>-78.22</v>
      </c>
      <c r="X2425" s="20">
        <v>-78.22</v>
      </c>
      <c r="Y2425" s="20">
        <v>0</v>
      </c>
      <c r="Z2425" s="20">
        <v>0</v>
      </c>
      <c r="AA2425" s="20">
        <v>0</v>
      </c>
      <c r="AB2425" s="20">
        <v>9308.2099999999991</v>
      </c>
      <c r="AC2425" t="s">
        <v>188</v>
      </c>
      <c r="AD2425" t="s">
        <v>290</v>
      </c>
      <c r="AE2425" s="702">
        <f t="shared" si="185"/>
        <v>44713</v>
      </c>
      <c r="AF2425" s="289">
        <v>9218.8724457738135</v>
      </c>
      <c r="AG2425">
        <f t="shared" si="186"/>
        <v>360</v>
      </c>
      <c r="AH2425" s="289">
        <f t="shared" si="187"/>
        <v>25.607979016038371</v>
      </c>
      <c r="AJ2425" s="289">
        <f t="shared" si="188"/>
        <v>6</v>
      </c>
      <c r="AK2425" s="289">
        <f t="shared" si="189"/>
        <v>153.64787409623023</v>
      </c>
    </row>
    <row r="2426" spans="1:37">
      <c r="A2426" s="703" t="s">
        <v>4185</v>
      </c>
      <c r="B2426" s="703" t="s">
        <v>3743</v>
      </c>
      <c r="C2426" s="703" t="s">
        <v>390</v>
      </c>
      <c r="D2426" s="703" t="s">
        <v>334</v>
      </c>
      <c r="E2426" s="703" t="s">
        <v>334</v>
      </c>
      <c r="F2426" s="703" t="s">
        <v>335</v>
      </c>
      <c r="G2426" s="703" t="s">
        <v>4186</v>
      </c>
      <c r="H2426" s="703" t="s">
        <v>334</v>
      </c>
      <c r="I2426" s="703" t="s">
        <v>334</v>
      </c>
      <c r="J2426" s="703" t="s">
        <v>337</v>
      </c>
      <c r="K2426" s="704">
        <v>0</v>
      </c>
      <c r="L2426" s="703" t="s">
        <v>334</v>
      </c>
      <c r="M2426" s="702">
        <v>43251</v>
      </c>
      <c r="N2426" s="702">
        <v>44825</v>
      </c>
      <c r="O2426" s="703" t="s">
        <v>338</v>
      </c>
      <c r="P2426" s="20">
        <v>0</v>
      </c>
      <c r="Q2426" s="20">
        <v>0</v>
      </c>
      <c r="R2426" s="20">
        <v>1603.41</v>
      </c>
      <c r="S2426" s="20">
        <v>0</v>
      </c>
      <c r="T2426" s="20">
        <v>1603.41</v>
      </c>
      <c r="U2426" s="20">
        <v>0</v>
      </c>
      <c r="V2426" s="20">
        <v>0</v>
      </c>
      <c r="W2426" s="20">
        <v>-13.36</v>
      </c>
      <c r="X2426" s="20">
        <v>-13.36</v>
      </c>
      <c r="Y2426" s="20">
        <v>0</v>
      </c>
      <c r="Z2426" s="20">
        <v>0</v>
      </c>
      <c r="AA2426" s="20">
        <v>0</v>
      </c>
      <c r="AB2426" s="20">
        <v>1590.05</v>
      </c>
      <c r="AC2426" t="s">
        <v>188</v>
      </c>
      <c r="AD2426" t="s">
        <v>290</v>
      </c>
      <c r="AE2426" s="702">
        <f t="shared" si="185"/>
        <v>44713</v>
      </c>
      <c r="AF2426" s="289">
        <v>1574.7874610771287</v>
      </c>
      <c r="AG2426">
        <f t="shared" si="186"/>
        <v>360</v>
      </c>
      <c r="AH2426" s="289">
        <f t="shared" si="187"/>
        <v>4.3744096141031354</v>
      </c>
      <c r="AJ2426" s="289">
        <f t="shared" si="188"/>
        <v>6</v>
      </c>
      <c r="AK2426" s="289">
        <f t="shared" si="189"/>
        <v>26.246457684618811</v>
      </c>
    </row>
    <row r="2427" spans="1:37">
      <c r="A2427" s="703" t="s">
        <v>4187</v>
      </c>
      <c r="B2427" s="703" t="s">
        <v>3743</v>
      </c>
      <c r="C2427" s="703" t="s">
        <v>390</v>
      </c>
      <c r="D2427" s="703" t="s">
        <v>334</v>
      </c>
      <c r="E2427" s="703" t="s">
        <v>334</v>
      </c>
      <c r="F2427" s="703" t="s">
        <v>335</v>
      </c>
      <c r="G2427" s="703" t="s">
        <v>4188</v>
      </c>
      <c r="H2427" s="703" t="s">
        <v>334</v>
      </c>
      <c r="I2427" s="703" t="s">
        <v>334</v>
      </c>
      <c r="J2427" s="703" t="s">
        <v>337</v>
      </c>
      <c r="K2427" s="704">
        <v>0</v>
      </c>
      <c r="L2427" s="703" t="s">
        <v>334</v>
      </c>
      <c r="M2427" s="702">
        <v>42886</v>
      </c>
      <c r="N2427" s="702">
        <v>44825</v>
      </c>
      <c r="O2427" s="703" t="s">
        <v>338</v>
      </c>
      <c r="P2427" s="20">
        <v>0</v>
      </c>
      <c r="Q2427" s="20">
        <v>0</v>
      </c>
      <c r="R2427" s="20">
        <v>12867.9</v>
      </c>
      <c r="S2427" s="20">
        <v>0</v>
      </c>
      <c r="T2427" s="20">
        <v>12867.9</v>
      </c>
      <c r="U2427" s="20">
        <v>0</v>
      </c>
      <c r="V2427" s="20">
        <v>0</v>
      </c>
      <c r="W2427" s="20">
        <v>-107.23</v>
      </c>
      <c r="X2427" s="20">
        <v>-107.23</v>
      </c>
      <c r="Y2427" s="20">
        <v>0</v>
      </c>
      <c r="Z2427" s="20">
        <v>0</v>
      </c>
      <c r="AA2427" s="20">
        <v>0</v>
      </c>
      <c r="AB2427" s="20">
        <v>12760.67</v>
      </c>
      <c r="AC2427" t="s">
        <v>188</v>
      </c>
      <c r="AD2427" t="s">
        <v>290</v>
      </c>
      <c r="AE2427" s="702">
        <f t="shared" si="185"/>
        <v>44713</v>
      </c>
      <c r="AF2427" s="289">
        <v>12638.194579299357</v>
      </c>
      <c r="AG2427">
        <f t="shared" si="186"/>
        <v>360</v>
      </c>
      <c r="AH2427" s="289">
        <f t="shared" si="187"/>
        <v>35.106096053609328</v>
      </c>
      <c r="AJ2427" s="289">
        <f t="shared" si="188"/>
        <v>6</v>
      </c>
      <c r="AK2427" s="289">
        <f t="shared" si="189"/>
        <v>210.63657632165598</v>
      </c>
    </row>
    <row r="2428" spans="1:37">
      <c r="A2428" s="703" t="s">
        <v>4189</v>
      </c>
      <c r="B2428" s="703" t="s">
        <v>3743</v>
      </c>
      <c r="C2428" s="703" t="s">
        <v>390</v>
      </c>
      <c r="D2428" s="703" t="s">
        <v>334</v>
      </c>
      <c r="E2428" s="703" t="s">
        <v>334</v>
      </c>
      <c r="F2428" s="703" t="s">
        <v>335</v>
      </c>
      <c r="G2428" s="703" t="s">
        <v>4190</v>
      </c>
      <c r="H2428" s="703" t="s">
        <v>334</v>
      </c>
      <c r="I2428" s="703" t="s">
        <v>334</v>
      </c>
      <c r="J2428" s="703" t="s">
        <v>337</v>
      </c>
      <c r="K2428" s="704">
        <v>0</v>
      </c>
      <c r="L2428" s="703" t="s">
        <v>334</v>
      </c>
      <c r="M2428" s="702">
        <v>43251</v>
      </c>
      <c r="N2428" s="702">
        <v>44825</v>
      </c>
      <c r="O2428" s="703" t="s">
        <v>338</v>
      </c>
      <c r="P2428" s="20">
        <v>0</v>
      </c>
      <c r="Q2428" s="20">
        <v>0</v>
      </c>
      <c r="R2428" s="20">
        <v>28</v>
      </c>
      <c r="S2428" s="20">
        <v>0</v>
      </c>
      <c r="T2428" s="20">
        <v>28</v>
      </c>
      <c r="U2428" s="20">
        <v>0</v>
      </c>
      <c r="V2428" s="20">
        <v>0</v>
      </c>
      <c r="W2428" s="20">
        <v>-0.23</v>
      </c>
      <c r="X2428" s="20">
        <v>-0.23</v>
      </c>
      <c r="Y2428" s="20">
        <v>0</v>
      </c>
      <c r="Z2428" s="20">
        <v>0</v>
      </c>
      <c r="AA2428" s="20">
        <v>0</v>
      </c>
      <c r="AB2428" s="20">
        <v>27.77</v>
      </c>
      <c r="AC2428" t="s">
        <v>188</v>
      </c>
      <c r="AD2428" t="s">
        <v>290</v>
      </c>
      <c r="AE2428" s="702">
        <f t="shared" si="185"/>
        <v>44713</v>
      </c>
      <c r="AF2428" s="289">
        <v>27.500170829768805</v>
      </c>
      <c r="AG2428">
        <f t="shared" si="186"/>
        <v>360</v>
      </c>
      <c r="AH2428" s="289">
        <f t="shared" si="187"/>
        <v>7.6389363416024453E-2</v>
      </c>
      <c r="AJ2428" s="289">
        <f t="shared" si="188"/>
        <v>6</v>
      </c>
      <c r="AK2428" s="289">
        <f t="shared" si="189"/>
        <v>0.45833618049614672</v>
      </c>
    </row>
    <row r="2429" spans="1:37">
      <c r="A2429" s="703" t="s">
        <v>4191</v>
      </c>
      <c r="B2429" s="703" t="s">
        <v>3743</v>
      </c>
      <c r="C2429" s="703" t="s">
        <v>390</v>
      </c>
      <c r="D2429" s="703" t="s">
        <v>334</v>
      </c>
      <c r="E2429" s="703" t="s">
        <v>334</v>
      </c>
      <c r="F2429" s="703" t="s">
        <v>335</v>
      </c>
      <c r="G2429" s="703" t="s">
        <v>4192</v>
      </c>
      <c r="H2429" s="703" t="s">
        <v>334</v>
      </c>
      <c r="I2429" s="703" t="s">
        <v>334</v>
      </c>
      <c r="J2429" s="703" t="s">
        <v>337</v>
      </c>
      <c r="K2429" s="704">
        <v>0</v>
      </c>
      <c r="L2429" s="703" t="s">
        <v>334</v>
      </c>
      <c r="M2429" s="702">
        <v>43251</v>
      </c>
      <c r="N2429" s="702">
        <v>44825</v>
      </c>
      <c r="O2429" s="703" t="s">
        <v>338</v>
      </c>
      <c r="P2429" s="20">
        <v>0</v>
      </c>
      <c r="Q2429" s="20">
        <v>0</v>
      </c>
      <c r="R2429" s="20">
        <v>780.31</v>
      </c>
      <c r="S2429" s="20">
        <v>0</v>
      </c>
      <c r="T2429" s="20">
        <v>780.31</v>
      </c>
      <c r="U2429" s="20">
        <v>0</v>
      </c>
      <c r="V2429" s="20">
        <v>0</v>
      </c>
      <c r="W2429" s="20">
        <v>-6.5</v>
      </c>
      <c r="X2429" s="20">
        <v>-6.5</v>
      </c>
      <c r="Y2429" s="20">
        <v>0</v>
      </c>
      <c r="Z2429" s="20">
        <v>0</v>
      </c>
      <c r="AA2429" s="20">
        <v>0</v>
      </c>
      <c r="AB2429" s="20">
        <v>773.81</v>
      </c>
      <c r="AC2429" t="s">
        <v>188</v>
      </c>
      <c r="AD2429" t="s">
        <v>290</v>
      </c>
      <c r="AE2429" s="702">
        <f t="shared" si="185"/>
        <v>44713</v>
      </c>
      <c r="AF2429" s="289">
        <v>766.38065357774633</v>
      </c>
      <c r="AG2429">
        <f t="shared" si="186"/>
        <v>360</v>
      </c>
      <c r="AH2429" s="289">
        <f t="shared" si="187"/>
        <v>2.1288351488270729</v>
      </c>
      <c r="AJ2429" s="289">
        <f t="shared" si="188"/>
        <v>6</v>
      </c>
      <c r="AK2429" s="289">
        <f t="shared" si="189"/>
        <v>12.773010892962438</v>
      </c>
    </row>
    <row r="2430" spans="1:37">
      <c r="A2430" s="703" t="s">
        <v>4193</v>
      </c>
      <c r="B2430" s="703" t="s">
        <v>3743</v>
      </c>
      <c r="C2430" s="703" t="s">
        <v>390</v>
      </c>
      <c r="D2430" s="703" t="s">
        <v>334</v>
      </c>
      <c r="E2430" s="703" t="s">
        <v>334</v>
      </c>
      <c r="F2430" s="703" t="s">
        <v>335</v>
      </c>
      <c r="G2430" s="703" t="s">
        <v>4194</v>
      </c>
      <c r="H2430" s="703" t="s">
        <v>334</v>
      </c>
      <c r="I2430" s="703" t="s">
        <v>334</v>
      </c>
      <c r="J2430" s="703" t="s">
        <v>337</v>
      </c>
      <c r="K2430" s="704">
        <v>0</v>
      </c>
      <c r="L2430" s="703" t="s">
        <v>334</v>
      </c>
      <c r="M2430" s="702">
        <v>43251</v>
      </c>
      <c r="N2430" s="702">
        <v>44825</v>
      </c>
      <c r="O2430" s="703" t="s">
        <v>338</v>
      </c>
      <c r="P2430" s="20">
        <v>0</v>
      </c>
      <c r="Q2430" s="20">
        <v>0</v>
      </c>
      <c r="R2430" s="20">
        <v>1</v>
      </c>
      <c r="S2430" s="20">
        <v>0</v>
      </c>
      <c r="T2430" s="20">
        <v>1</v>
      </c>
      <c r="U2430" s="20">
        <v>0</v>
      </c>
      <c r="V2430" s="20">
        <v>0</v>
      </c>
      <c r="W2430" s="20">
        <v>-0.01</v>
      </c>
      <c r="X2430" s="20">
        <v>-0.01</v>
      </c>
      <c r="Y2430" s="20">
        <v>0</v>
      </c>
      <c r="Z2430" s="20">
        <v>0</v>
      </c>
      <c r="AA2430" s="20">
        <v>0</v>
      </c>
      <c r="AB2430" s="20">
        <v>0.99</v>
      </c>
      <c r="AC2430" t="s">
        <v>188</v>
      </c>
      <c r="AD2430" t="s">
        <v>290</v>
      </c>
      <c r="AE2430" s="702">
        <f t="shared" si="185"/>
        <v>44713</v>
      </c>
      <c r="AF2430" s="289">
        <v>0.98214895820602877</v>
      </c>
      <c r="AG2430">
        <f t="shared" si="186"/>
        <v>360</v>
      </c>
      <c r="AH2430" s="289">
        <f t="shared" si="187"/>
        <v>2.7281915505723022E-3</v>
      </c>
      <c r="AJ2430" s="289">
        <f t="shared" si="188"/>
        <v>6</v>
      </c>
      <c r="AK2430" s="289">
        <f t="shared" si="189"/>
        <v>1.6369149303433812E-2</v>
      </c>
    </row>
    <row r="2431" spans="1:37">
      <c r="A2431" s="703" t="s">
        <v>4195</v>
      </c>
      <c r="B2431" s="703" t="s">
        <v>3743</v>
      </c>
      <c r="C2431" s="703" t="s">
        <v>390</v>
      </c>
      <c r="D2431" s="703" t="s">
        <v>334</v>
      </c>
      <c r="E2431" s="703" t="s">
        <v>334</v>
      </c>
      <c r="F2431" s="703" t="s">
        <v>335</v>
      </c>
      <c r="G2431" s="703" t="s">
        <v>4196</v>
      </c>
      <c r="H2431" s="703" t="s">
        <v>334</v>
      </c>
      <c r="I2431" s="703" t="s">
        <v>334</v>
      </c>
      <c r="J2431" s="703" t="s">
        <v>337</v>
      </c>
      <c r="K2431" s="704">
        <v>0</v>
      </c>
      <c r="L2431" s="703" t="s">
        <v>334</v>
      </c>
      <c r="M2431" s="702">
        <v>43251</v>
      </c>
      <c r="N2431" s="702">
        <v>44825</v>
      </c>
      <c r="O2431" s="703" t="s">
        <v>338</v>
      </c>
      <c r="P2431" s="20">
        <v>0</v>
      </c>
      <c r="Q2431" s="20">
        <v>0</v>
      </c>
      <c r="R2431" s="20">
        <v>19099.919999999998</v>
      </c>
      <c r="S2431" s="20">
        <v>0</v>
      </c>
      <c r="T2431" s="20">
        <v>19099.919999999998</v>
      </c>
      <c r="U2431" s="20">
        <v>0</v>
      </c>
      <c r="V2431" s="20">
        <v>0</v>
      </c>
      <c r="W2431" s="20">
        <v>-159.16999999999999</v>
      </c>
      <c r="X2431" s="20">
        <v>-159.16999999999999</v>
      </c>
      <c r="Y2431" s="20">
        <v>0</v>
      </c>
      <c r="Z2431" s="20">
        <v>0</v>
      </c>
      <c r="AA2431" s="20">
        <v>0</v>
      </c>
      <c r="AB2431" s="20">
        <v>18940.75</v>
      </c>
      <c r="AC2431" t="s">
        <v>188</v>
      </c>
      <c r="AD2431" t="s">
        <v>290</v>
      </c>
      <c r="AE2431" s="702">
        <f t="shared" si="185"/>
        <v>44713</v>
      </c>
      <c r="AF2431" s="289">
        <v>18758.966529818492</v>
      </c>
      <c r="AG2431">
        <f t="shared" si="186"/>
        <v>360</v>
      </c>
      <c r="AH2431" s="289">
        <f t="shared" si="187"/>
        <v>52.108240360606921</v>
      </c>
      <c r="AJ2431" s="289">
        <f t="shared" si="188"/>
        <v>6</v>
      </c>
      <c r="AK2431" s="289">
        <f t="shared" si="189"/>
        <v>312.64944216364154</v>
      </c>
    </row>
    <row r="2432" spans="1:37">
      <c r="A2432" s="703" t="s">
        <v>4197</v>
      </c>
      <c r="B2432" s="703" t="s">
        <v>3743</v>
      </c>
      <c r="C2432" s="703" t="s">
        <v>390</v>
      </c>
      <c r="D2432" s="703" t="s">
        <v>334</v>
      </c>
      <c r="E2432" s="703" t="s">
        <v>334</v>
      </c>
      <c r="F2432" s="703" t="s">
        <v>335</v>
      </c>
      <c r="G2432" s="703" t="s">
        <v>4198</v>
      </c>
      <c r="H2432" s="703" t="s">
        <v>334</v>
      </c>
      <c r="I2432" s="703" t="s">
        <v>334</v>
      </c>
      <c r="J2432" s="703" t="s">
        <v>337</v>
      </c>
      <c r="K2432" s="704">
        <v>0</v>
      </c>
      <c r="L2432" s="703" t="s">
        <v>334</v>
      </c>
      <c r="M2432" s="702">
        <v>43251</v>
      </c>
      <c r="N2432" s="702">
        <v>44825</v>
      </c>
      <c r="O2432" s="703" t="s">
        <v>338</v>
      </c>
      <c r="P2432" s="20">
        <v>0</v>
      </c>
      <c r="Q2432" s="20">
        <v>0</v>
      </c>
      <c r="R2432" s="20">
        <v>113.12</v>
      </c>
      <c r="S2432" s="20">
        <v>0</v>
      </c>
      <c r="T2432" s="20">
        <v>113.12</v>
      </c>
      <c r="U2432" s="20">
        <v>0</v>
      </c>
      <c r="V2432" s="20">
        <v>0</v>
      </c>
      <c r="W2432" s="20">
        <v>-0.94</v>
      </c>
      <c r="X2432" s="20">
        <v>-0.94</v>
      </c>
      <c r="Y2432" s="20">
        <v>0</v>
      </c>
      <c r="Z2432" s="20">
        <v>0</v>
      </c>
      <c r="AA2432" s="20">
        <v>0</v>
      </c>
      <c r="AB2432" s="20">
        <v>112.18</v>
      </c>
      <c r="AC2432" t="s">
        <v>188</v>
      </c>
      <c r="AD2432" t="s">
        <v>290</v>
      </c>
      <c r="AE2432" s="702">
        <f t="shared" si="185"/>
        <v>44713</v>
      </c>
      <c r="AF2432" s="289">
        <v>111.10069015226598</v>
      </c>
      <c r="AG2432">
        <f t="shared" si="186"/>
        <v>360</v>
      </c>
      <c r="AH2432" s="289">
        <f t="shared" si="187"/>
        <v>0.30861302820073883</v>
      </c>
      <c r="AJ2432" s="289">
        <f t="shared" si="188"/>
        <v>6</v>
      </c>
      <c r="AK2432" s="289">
        <f t="shared" si="189"/>
        <v>1.8516781692044328</v>
      </c>
    </row>
    <row r="2433" spans="1:37">
      <c r="A2433" s="703" t="s">
        <v>4199</v>
      </c>
      <c r="B2433" s="703" t="s">
        <v>3743</v>
      </c>
      <c r="C2433" s="703" t="s">
        <v>390</v>
      </c>
      <c r="D2433" s="703" t="s">
        <v>334</v>
      </c>
      <c r="E2433" s="703" t="s">
        <v>334</v>
      </c>
      <c r="F2433" s="703" t="s">
        <v>335</v>
      </c>
      <c r="G2433" s="703" t="s">
        <v>4200</v>
      </c>
      <c r="H2433" s="703" t="s">
        <v>334</v>
      </c>
      <c r="I2433" s="703" t="s">
        <v>334</v>
      </c>
      <c r="J2433" s="703" t="s">
        <v>337</v>
      </c>
      <c r="K2433" s="704">
        <v>0</v>
      </c>
      <c r="L2433" s="703" t="s">
        <v>334</v>
      </c>
      <c r="M2433" s="702">
        <v>43251</v>
      </c>
      <c r="N2433" s="702">
        <v>44825</v>
      </c>
      <c r="O2433" s="703" t="s">
        <v>338</v>
      </c>
      <c r="P2433" s="20">
        <v>0</v>
      </c>
      <c r="Q2433" s="20">
        <v>0</v>
      </c>
      <c r="R2433" s="20">
        <v>320.97000000000003</v>
      </c>
      <c r="S2433" s="20">
        <v>0</v>
      </c>
      <c r="T2433" s="20">
        <v>320.97000000000003</v>
      </c>
      <c r="U2433" s="20">
        <v>0</v>
      </c>
      <c r="V2433" s="20">
        <v>0</v>
      </c>
      <c r="W2433" s="20">
        <v>-2.67</v>
      </c>
      <c r="X2433" s="20">
        <v>-2.67</v>
      </c>
      <c r="Y2433" s="20">
        <v>0</v>
      </c>
      <c r="Z2433" s="20">
        <v>0</v>
      </c>
      <c r="AA2433" s="20">
        <v>0</v>
      </c>
      <c r="AB2433" s="20">
        <v>318.3</v>
      </c>
      <c r="AC2433" t="s">
        <v>188</v>
      </c>
      <c r="AD2433" t="s">
        <v>290</v>
      </c>
      <c r="AE2433" s="702">
        <f t="shared" si="185"/>
        <v>44713</v>
      </c>
      <c r="AF2433" s="289">
        <v>315.24035111538905</v>
      </c>
      <c r="AG2433">
        <f t="shared" si="186"/>
        <v>360</v>
      </c>
      <c r="AH2433" s="289">
        <f t="shared" si="187"/>
        <v>0.87566764198719182</v>
      </c>
      <c r="AJ2433" s="289">
        <f t="shared" si="188"/>
        <v>6</v>
      </c>
      <c r="AK2433" s="289">
        <f t="shared" si="189"/>
        <v>5.2540058519231509</v>
      </c>
    </row>
    <row r="2434" spans="1:37">
      <c r="A2434" s="703" t="s">
        <v>4201</v>
      </c>
      <c r="B2434" s="703" t="s">
        <v>3743</v>
      </c>
      <c r="C2434" s="703" t="s">
        <v>390</v>
      </c>
      <c r="D2434" s="703" t="s">
        <v>334</v>
      </c>
      <c r="E2434" s="703" t="s">
        <v>334</v>
      </c>
      <c r="F2434" s="703" t="s">
        <v>335</v>
      </c>
      <c r="G2434" s="703" t="s">
        <v>4202</v>
      </c>
      <c r="H2434" s="703" t="s">
        <v>334</v>
      </c>
      <c r="I2434" s="703" t="s">
        <v>334</v>
      </c>
      <c r="J2434" s="703" t="s">
        <v>337</v>
      </c>
      <c r="K2434" s="704">
        <v>0</v>
      </c>
      <c r="L2434" s="703" t="s">
        <v>334</v>
      </c>
      <c r="M2434" s="702">
        <v>43251</v>
      </c>
      <c r="N2434" s="702">
        <v>44825</v>
      </c>
      <c r="O2434" s="703" t="s">
        <v>338</v>
      </c>
      <c r="P2434" s="20">
        <v>0</v>
      </c>
      <c r="Q2434" s="20">
        <v>0</v>
      </c>
      <c r="R2434" s="20">
        <v>113.12</v>
      </c>
      <c r="S2434" s="20">
        <v>0</v>
      </c>
      <c r="T2434" s="20">
        <v>113.12</v>
      </c>
      <c r="U2434" s="20">
        <v>0</v>
      </c>
      <c r="V2434" s="20">
        <v>0</v>
      </c>
      <c r="W2434" s="20">
        <v>-0.94</v>
      </c>
      <c r="X2434" s="20">
        <v>-0.94</v>
      </c>
      <c r="Y2434" s="20">
        <v>0</v>
      </c>
      <c r="Z2434" s="20">
        <v>0</v>
      </c>
      <c r="AA2434" s="20">
        <v>0</v>
      </c>
      <c r="AB2434" s="20">
        <v>112.18</v>
      </c>
      <c r="AC2434" t="s">
        <v>188</v>
      </c>
      <c r="AD2434" t="s">
        <v>290</v>
      </c>
      <c r="AE2434" s="702">
        <f t="shared" si="185"/>
        <v>44713</v>
      </c>
      <c r="AF2434" s="289">
        <v>111.10069015226598</v>
      </c>
      <c r="AG2434">
        <f t="shared" si="186"/>
        <v>360</v>
      </c>
      <c r="AH2434" s="289">
        <f t="shared" si="187"/>
        <v>0.30861302820073883</v>
      </c>
      <c r="AJ2434" s="289">
        <f t="shared" si="188"/>
        <v>6</v>
      </c>
      <c r="AK2434" s="289">
        <f t="shared" si="189"/>
        <v>1.8516781692044328</v>
      </c>
    </row>
    <row r="2435" spans="1:37">
      <c r="A2435" s="703" t="s">
        <v>4203</v>
      </c>
      <c r="B2435" s="703" t="s">
        <v>3743</v>
      </c>
      <c r="C2435" s="703" t="s">
        <v>390</v>
      </c>
      <c r="D2435" s="703" t="s">
        <v>334</v>
      </c>
      <c r="E2435" s="703" t="s">
        <v>334</v>
      </c>
      <c r="F2435" s="703" t="s">
        <v>335</v>
      </c>
      <c r="G2435" s="703" t="s">
        <v>4204</v>
      </c>
      <c r="H2435" s="703" t="s">
        <v>334</v>
      </c>
      <c r="I2435" s="703" t="s">
        <v>334</v>
      </c>
      <c r="J2435" s="703" t="s">
        <v>337</v>
      </c>
      <c r="K2435" s="704">
        <v>0</v>
      </c>
      <c r="L2435" s="703" t="s">
        <v>334</v>
      </c>
      <c r="M2435" s="702">
        <v>43251</v>
      </c>
      <c r="N2435" s="702">
        <v>44825</v>
      </c>
      <c r="O2435" s="703" t="s">
        <v>338</v>
      </c>
      <c r="P2435" s="20">
        <v>0</v>
      </c>
      <c r="Q2435" s="20">
        <v>0</v>
      </c>
      <c r="R2435" s="20">
        <v>2020.39</v>
      </c>
      <c r="S2435" s="20">
        <v>0</v>
      </c>
      <c r="T2435" s="20">
        <v>2020.39</v>
      </c>
      <c r="U2435" s="20">
        <v>0</v>
      </c>
      <c r="V2435" s="20">
        <v>0</v>
      </c>
      <c r="W2435" s="20">
        <v>-16.84</v>
      </c>
      <c r="X2435" s="20">
        <v>-16.84</v>
      </c>
      <c r="Y2435" s="20">
        <v>0</v>
      </c>
      <c r="Z2435" s="20">
        <v>0</v>
      </c>
      <c r="AA2435" s="20">
        <v>0</v>
      </c>
      <c r="AB2435" s="20">
        <v>2003.55</v>
      </c>
      <c r="AC2435" t="s">
        <v>188</v>
      </c>
      <c r="AD2435" t="s">
        <v>290</v>
      </c>
      <c r="AE2435" s="702">
        <f t="shared" si="185"/>
        <v>44713</v>
      </c>
      <c r="AF2435" s="289">
        <v>1984.3239336698784</v>
      </c>
      <c r="AG2435">
        <f t="shared" si="186"/>
        <v>360</v>
      </c>
      <c r="AH2435" s="289">
        <f t="shared" si="187"/>
        <v>5.5120109268607731</v>
      </c>
      <c r="AJ2435" s="289">
        <f t="shared" si="188"/>
        <v>6</v>
      </c>
      <c r="AK2435" s="289">
        <f t="shared" si="189"/>
        <v>33.072065561164635</v>
      </c>
    </row>
    <row r="2436" spans="1:37">
      <c r="A2436" s="703" t="s">
        <v>4205</v>
      </c>
      <c r="B2436" s="703" t="s">
        <v>3743</v>
      </c>
      <c r="C2436" s="703" t="s">
        <v>390</v>
      </c>
      <c r="D2436" s="703" t="s">
        <v>334</v>
      </c>
      <c r="E2436" s="703" t="s">
        <v>334</v>
      </c>
      <c r="F2436" s="703" t="s">
        <v>335</v>
      </c>
      <c r="G2436" s="703" t="s">
        <v>4206</v>
      </c>
      <c r="H2436" s="703" t="s">
        <v>334</v>
      </c>
      <c r="I2436" s="703" t="s">
        <v>334</v>
      </c>
      <c r="J2436" s="703" t="s">
        <v>337</v>
      </c>
      <c r="K2436" s="704">
        <v>0</v>
      </c>
      <c r="L2436" s="703" t="s">
        <v>334</v>
      </c>
      <c r="M2436" s="702">
        <v>43251</v>
      </c>
      <c r="N2436" s="702">
        <v>44825</v>
      </c>
      <c r="O2436" s="703" t="s">
        <v>338</v>
      </c>
      <c r="P2436" s="20">
        <v>0</v>
      </c>
      <c r="Q2436" s="20">
        <v>0</v>
      </c>
      <c r="R2436" s="20">
        <v>328.97</v>
      </c>
      <c r="S2436" s="20">
        <v>0</v>
      </c>
      <c r="T2436" s="20">
        <v>328.97</v>
      </c>
      <c r="U2436" s="20">
        <v>0</v>
      </c>
      <c r="V2436" s="20">
        <v>0</v>
      </c>
      <c r="W2436" s="20">
        <v>-2.74</v>
      </c>
      <c r="X2436" s="20">
        <v>-2.74</v>
      </c>
      <c r="Y2436" s="20">
        <v>0</v>
      </c>
      <c r="Z2436" s="20">
        <v>0</v>
      </c>
      <c r="AA2436" s="20">
        <v>0</v>
      </c>
      <c r="AB2436" s="20">
        <v>326.23</v>
      </c>
      <c r="AC2436" t="s">
        <v>188</v>
      </c>
      <c r="AD2436" t="s">
        <v>290</v>
      </c>
      <c r="AE2436" s="702">
        <f t="shared" si="185"/>
        <v>44713</v>
      </c>
      <c r="AF2436" s="289">
        <v>323.0975427810373</v>
      </c>
      <c r="AG2436">
        <f t="shared" si="186"/>
        <v>360</v>
      </c>
      <c r="AH2436" s="289">
        <f t="shared" si="187"/>
        <v>0.89749317439177034</v>
      </c>
      <c r="AJ2436" s="289">
        <f t="shared" si="188"/>
        <v>6</v>
      </c>
      <c r="AK2436" s="289">
        <f t="shared" si="189"/>
        <v>5.3849590463506223</v>
      </c>
    </row>
    <row r="2437" spans="1:37">
      <c r="A2437" s="703" t="s">
        <v>4207</v>
      </c>
      <c r="B2437" s="703" t="s">
        <v>3743</v>
      </c>
      <c r="C2437" s="703" t="s">
        <v>390</v>
      </c>
      <c r="D2437" s="703" t="s">
        <v>334</v>
      </c>
      <c r="E2437" s="703" t="s">
        <v>334</v>
      </c>
      <c r="F2437" s="703" t="s">
        <v>335</v>
      </c>
      <c r="G2437" s="703" t="s">
        <v>4208</v>
      </c>
      <c r="H2437" s="703" t="s">
        <v>334</v>
      </c>
      <c r="I2437" s="703" t="s">
        <v>334</v>
      </c>
      <c r="J2437" s="703" t="s">
        <v>337</v>
      </c>
      <c r="K2437" s="704">
        <v>0</v>
      </c>
      <c r="L2437" s="703" t="s">
        <v>334</v>
      </c>
      <c r="M2437" s="702">
        <v>43251</v>
      </c>
      <c r="N2437" s="702">
        <v>44825</v>
      </c>
      <c r="O2437" s="703" t="s">
        <v>338</v>
      </c>
      <c r="P2437" s="20">
        <v>0</v>
      </c>
      <c r="Q2437" s="20">
        <v>0</v>
      </c>
      <c r="R2437" s="20">
        <v>11</v>
      </c>
      <c r="S2437" s="20">
        <v>0</v>
      </c>
      <c r="T2437" s="20">
        <v>11</v>
      </c>
      <c r="U2437" s="20">
        <v>0</v>
      </c>
      <c r="V2437" s="20">
        <v>0</v>
      </c>
      <c r="W2437" s="20">
        <v>-0.09</v>
      </c>
      <c r="X2437" s="20">
        <v>-0.09</v>
      </c>
      <c r="Y2437" s="20">
        <v>0</v>
      </c>
      <c r="Z2437" s="20">
        <v>0</v>
      </c>
      <c r="AA2437" s="20">
        <v>0</v>
      </c>
      <c r="AB2437" s="20">
        <v>10.91</v>
      </c>
      <c r="AC2437" t="s">
        <v>188</v>
      </c>
      <c r="AD2437" t="s">
        <v>290</v>
      </c>
      <c r="AE2437" s="702">
        <f t="shared" si="185"/>
        <v>44713</v>
      </c>
      <c r="AF2437" s="289">
        <v>10.803638540266316</v>
      </c>
      <c r="AG2437">
        <f t="shared" si="186"/>
        <v>360</v>
      </c>
      <c r="AH2437" s="289">
        <f t="shared" si="187"/>
        <v>3.0010107056295324E-2</v>
      </c>
      <c r="AJ2437" s="289">
        <f t="shared" si="188"/>
        <v>6</v>
      </c>
      <c r="AK2437" s="289">
        <f t="shared" si="189"/>
        <v>0.18006064233777194</v>
      </c>
    </row>
    <row r="2438" spans="1:37">
      <c r="A2438" s="703" t="s">
        <v>4209</v>
      </c>
      <c r="B2438" s="703" t="s">
        <v>3743</v>
      </c>
      <c r="C2438" s="703" t="s">
        <v>390</v>
      </c>
      <c r="D2438" s="703" t="s">
        <v>334</v>
      </c>
      <c r="E2438" s="703" t="s">
        <v>334</v>
      </c>
      <c r="F2438" s="703" t="s">
        <v>335</v>
      </c>
      <c r="G2438" s="703" t="s">
        <v>4210</v>
      </c>
      <c r="H2438" s="703" t="s">
        <v>334</v>
      </c>
      <c r="I2438" s="703" t="s">
        <v>334</v>
      </c>
      <c r="J2438" s="703" t="s">
        <v>337</v>
      </c>
      <c r="K2438" s="704">
        <v>0</v>
      </c>
      <c r="L2438" s="703" t="s">
        <v>334</v>
      </c>
      <c r="M2438" s="702">
        <v>42886</v>
      </c>
      <c r="N2438" s="702">
        <v>44825</v>
      </c>
      <c r="O2438" s="703" t="s">
        <v>338</v>
      </c>
      <c r="P2438" s="20">
        <v>0</v>
      </c>
      <c r="Q2438" s="20">
        <v>0</v>
      </c>
      <c r="R2438" s="20">
        <v>6781.52</v>
      </c>
      <c r="S2438" s="20">
        <v>0</v>
      </c>
      <c r="T2438" s="20">
        <v>6781.52</v>
      </c>
      <c r="U2438" s="20">
        <v>0</v>
      </c>
      <c r="V2438" s="20">
        <v>0</v>
      </c>
      <c r="W2438" s="20">
        <v>-56.51</v>
      </c>
      <c r="X2438" s="20">
        <v>-56.51</v>
      </c>
      <c r="Y2438" s="20">
        <v>0</v>
      </c>
      <c r="Z2438" s="20">
        <v>0</v>
      </c>
      <c r="AA2438" s="20">
        <v>0</v>
      </c>
      <c r="AB2438" s="20">
        <v>6725.01</v>
      </c>
      <c r="AC2438" t="s">
        <v>188</v>
      </c>
      <c r="AD2438" t="s">
        <v>290</v>
      </c>
      <c r="AE2438" s="702">
        <f t="shared" si="185"/>
        <v>44713</v>
      </c>
      <c r="AF2438" s="289">
        <v>6660.4628030533486</v>
      </c>
      <c r="AG2438">
        <f t="shared" si="186"/>
        <v>360</v>
      </c>
      <c r="AH2438" s="289">
        <f t="shared" si="187"/>
        <v>18.501285564037079</v>
      </c>
      <c r="AJ2438" s="289">
        <f t="shared" si="188"/>
        <v>6</v>
      </c>
      <c r="AK2438" s="289">
        <f t="shared" si="189"/>
        <v>111.00771338422248</v>
      </c>
    </row>
    <row r="2439" spans="1:37">
      <c r="A2439" s="703" t="s">
        <v>4211</v>
      </c>
      <c r="B2439" s="703" t="s">
        <v>3743</v>
      </c>
      <c r="C2439" s="703" t="s">
        <v>390</v>
      </c>
      <c r="D2439" s="703" t="s">
        <v>334</v>
      </c>
      <c r="E2439" s="703" t="s">
        <v>334</v>
      </c>
      <c r="F2439" s="703" t="s">
        <v>335</v>
      </c>
      <c r="G2439" s="703" t="s">
        <v>4212</v>
      </c>
      <c r="H2439" s="703" t="s">
        <v>334</v>
      </c>
      <c r="I2439" s="703" t="s">
        <v>334</v>
      </c>
      <c r="J2439" s="703" t="s">
        <v>337</v>
      </c>
      <c r="K2439" s="704">
        <v>0</v>
      </c>
      <c r="L2439" s="703" t="s">
        <v>334</v>
      </c>
      <c r="M2439" s="702">
        <v>42886</v>
      </c>
      <c r="N2439" s="702">
        <v>44825</v>
      </c>
      <c r="O2439" s="703" t="s">
        <v>338</v>
      </c>
      <c r="P2439" s="20">
        <v>0</v>
      </c>
      <c r="Q2439" s="20">
        <v>0</v>
      </c>
      <c r="R2439" s="20">
        <v>8950.82</v>
      </c>
      <c r="S2439" s="20">
        <v>0</v>
      </c>
      <c r="T2439" s="20">
        <v>8950.82</v>
      </c>
      <c r="U2439" s="20">
        <v>0</v>
      </c>
      <c r="V2439" s="20">
        <v>0</v>
      </c>
      <c r="W2439" s="20">
        <v>-74.59</v>
      </c>
      <c r="X2439" s="20">
        <v>-74.59</v>
      </c>
      <c r="Y2439" s="20">
        <v>0</v>
      </c>
      <c r="Z2439" s="20">
        <v>0</v>
      </c>
      <c r="AA2439" s="20">
        <v>0</v>
      </c>
      <c r="AB2439" s="20">
        <v>8876.23</v>
      </c>
      <c r="AC2439" t="s">
        <v>188</v>
      </c>
      <c r="AD2439" t="s">
        <v>290</v>
      </c>
      <c r="AE2439" s="702">
        <f t="shared" ref="AE2439:AE2502" si="190">IF(N2439&gt;=$AG$5,DATE(YEAR(N2439),6,1),DATE(YEAR(N2439),6,1))</f>
        <v>44713</v>
      </c>
      <c r="AF2439" s="289">
        <v>8791.038538089686</v>
      </c>
      <c r="AG2439">
        <f t="shared" ref="AG2439:AG2502" si="191">+IF(AD2439="intangível",20*12,IF(AD2439="Diferido",120,IF(AD2439="Não vinculados",0,IF(AE2439&lt;=$AG$5,F2439*12,360))))</f>
        <v>360</v>
      </c>
      <c r="AH2439" s="289">
        <f t="shared" ref="AH2439:AH2502" si="192">IF(AG2439=0,0,AF2439/AG2439)</f>
        <v>24.419551494693572</v>
      </c>
      <c r="AJ2439" s="289">
        <f t="shared" ref="AJ2439:AJ2502" si="193">+IF(AND(YEAR(AE2439)&gt;=2018,YEAR(AE2439)&lt;=2022),IF(DATEDIF(AE2439,$AK$4,"m")&gt;=AG2439,AG2439,DATEDIF(AE2439,$AK$4,"m")),0)</f>
        <v>6</v>
      </c>
      <c r="AK2439" s="289">
        <f t="shared" ref="AK2439:AK2502" si="194">IF(AD2439="Imobilizado",AJ2439*AH2439,0)</f>
        <v>146.51730896816144</v>
      </c>
    </row>
    <row r="2440" spans="1:37">
      <c r="A2440" s="703" t="s">
        <v>4213</v>
      </c>
      <c r="B2440" s="703" t="s">
        <v>3743</v>
      </c>
      <c r="C2440" s="703" t="s">
        <v>390</v>
      </c>
      <c r="D2440" s="703" t="s">
        <v>334</v>
      </c>
      <c r="E2440" s="703" t="s">
        <v>334</v>
      </c>
      <c r="F2440" s="703" t="s">
        <v>335</v>
      </c>
      <c r="G2440" s="703" t="s">
        <v>4214</v>
      </c>
      <c r="H2440" s="703" t="s">
        <v>334</v>
      </c>
      <c r="I2440" s="703" t="s">
        <v>334</v>
      </c>
      <c r="J2440" s="703" t="s">
        <v>337</v>
      </c>
      <c r="K2440" s="704">
        <v>0</v>
      </c>
      <c r="L2440" s="703" t="s">
        <v>334</v>
      </c>
      <c r="M2440" s="702">
        <v>42886</v>
      </c>
      <c r="N2440" s="702">
        <v>44825</v>
      </c>
      <c r="O2440" s="703" t="s">
        <v>338</v>
      </c>
      <c r="P2440" s="20">
        <v>0</v>
      </c>
      <c r="Q2440" s="20">
        <v>0</v>
      </c>
      <c r="R2440" s="20">
        <v>1903.29</v>
      </c>
      <c r="S2440" s="20">
        <v>0</v>
      </c>
      <c r="T2440" s="20">
        <v>1903.29</v>
      </c>
      <c r="U2440" s="20">
        <v>0</v>
      </c>
      <c r="V2440" s="20">
        <v>0</v>
      </c>
      <c r="W2440" s="20">
        <v>-15.86</v>
      </c>
      <c r="X2440" s="20">
        <v>-15.86</v>
      </c>
      <c r="Y2440" s="20">
        <v>0</v>
      </c>
      <c r="Z2440" s="20">
        <v>0</v>
      </c>
      <c r="AA2440" s="20">
        <v>0</v>
      </c>
      <c r="AB2440" s="20">
        <v>1887.43</v>
      </c>
      <c r="AC2440" t="s">
        <v>188</v>
      </c>
      <c r="AD2440" t="s">
        <v>290</v>
      </c>
      <c r="AE2440" s="702">
        <f t="shared" si="190"/>
        <v>44713</v>
      </c>
      <c r="AF2440" s="289">
        <v>1869.3142906639523</v>
      </c>
      <c r="AG2440">
        <f t="shared" si="191"/>
        <v>360</v>
      </c>
      <c r="AH2440" s="289">
        <f t="shared" si="192"/>
        <v>5.1925396962887564</v>
      </c>
      <c r="AJ2440" s="289">
        <f t="shared" si="193"/>
        <v>6</v>
      </c>
      <c r="AK2440" s="289">
        <f t="shared" si="194"/>
        <v>31.155238177732539</v>
      </c>
    </row>
    <row r="2441" spans="1:37">
      <c r="A2441" s="703" t="s">
        <v>4215</v>
      </c>
      <c r="B2441" s="703" t="s">
        <v>3743</v>
      </c>
      <c r="C2441" s="703" t="s">
        <v>390</v>
      </c>
      <c r="D2441" s="703" t="s">
        <v>334</v>
      </c>
      <c r="E2441" s="703" t="s">
        <v>334</v>
      </c>
      <c r="F2441" s="703" t="s">
        <v>335</v>
      </c>
      <c r="G2441" s="703" t="s">
        <v>4216</v>
      </c>
      <c r="H2441" s="703" t="s">
        <v>334</v>
      </c>
      <c r="I2441" s="703" t="s">
        <v>334</v>
      </c>
      <c r="J2441" s="703" t="s">
        <v>337</v>
      </c>
      <c r="K2441" s="704">
        <v>0</v>
      </c>
      <c r="L2441" s="703" t="s">
        <v>334</v>
      </c>
      <c r="M2441" s="702">
        <v>42886</v>
      </c>
      <c r="N2441" s="702">
        <v>44825</v>
      </c>
      <c r="O2441" s="703" t="s">
        <v>338</v>
      </c>
      <c r="P2441" s="20">
        <v>0</v>
      </c>
      <c r="Q2441" s="20">
        <v>0</v>
      </c>
      <c r="R2441" s="20">
        <v>2041.52</v>
      </c>
      <c r="S2441" s="20">
        <v>0</v>
      </c>
      <c r="T2441" s="20">
        <v>2041.52</v>
      </c>
      <c r="U2441" s="20">
        <v>0</v>
      </c>
      <c r="V2441" s="20">
        <v>0</v>
      </c>
      <c r="W2441" s="20">
        <v>-17.010000000000002</v>
      </c>
      <c r="X2441" s="20">
        <v>-17.010000000000002</v>
      </c>
      <c r="Y2441" s="20">
        <v>0</v>
      </c>
      <c r="Z2441" s="20">
        <v>0</v>
      </c>
      <c r="AA2441" s="20">
        <v>0</v>
      </c>
      <c r="AB2441" s="20">
        <v>2024.51</v>
      </c>
      <c r="AC2441" t="s">
        <v>188</v>
      </c>
      <c r="AD2441" t="s">
        <v>290</v>
      </c>
      <c r="AE2441" s="702">
        <f t="shared" si="190"/>
        <v>44713</v>
      </c>
      <c r="AF2441" s="289">
        <v>2005.0767411567717</v>
      </c>
      <c r="AG2441">
        <f t="shared" si="191"/>
        <v>360</v>
      </c>
      <c r="AH2441" s="289">
        <f t="shared" si="192"/>
        <v>5.5696576143243659</v>
      </c>
      <c r="AJ2441" s="289">
        <f t="shared" si="193"/>
        <v>6</v>
      </c>
      <c r="AK2441" s="289">
        <f t="shared" si="194"/>
        <v>33.417945685946194</v>
      </c>
    </row>
    <row r="2442" spans="1:37">
      <c r="A2442" s="703" t="s">
        <v>4217</v>
      </c>
      <c r="B2442" s="703" t="s">
        <v>3743</v>
      </c>
      <c r="C2442" s="703" t="s">
        <v>390</v>
      </c>
      <c r="D2442" s="703" t="s">
        <v>334</v>
      </c>
      <c r="E2442" s="703" t="s">
        <v>334</v>
      </c>
      <c r="F2442" s="703" t="s">
        <v>335</v>
      </c>
      <c r="G2442" s="703" t="s">
        <v>4218</v>
      </c>
      <c r="H2442" s="703" t="s">
        <v>334</v>
      </c>
      <c r="I2442" s="703" t="s">
        <v>334</v>
      </c>
      <c r="J2442" s="703" t="s">
        <v>337</v>
      </c>
      <c r="K2442" s="704">
        <v>0</v>
      </c>
      <c r="L2442" s="703" t="s">
        <v>334</v>
      </c>
      <c r="M2442" s="702">
        <v>42886</v>
      </c>
      <c r="N2442" s="702">
        <v>44825</v>
      </c>
      <c r="O2442" s="703" t="s">
        <v>338</v>
      </c>
      <c r="P2442" s="20">
        <v>0</v>
      </c>
      <c r="Q2442" s="20">
        <v>0</v>
      </c>
      <c r="R2442" s="20">
        <v>2238.98</v>
      </c>
      <c r="S2442" s="20">
        <v>0</v>
      </c>
      <c r="T2442" s="20">
        <v>2238.98</v>
      </c>
      <c r="U2442" s="20">
        <v>0</v>
      </c>
      <c r="V2442" s="20">
        <v>0</v>
      </c>
      <c r="W2442" s="20">
        <v>-18.66</v>
      </c>
      <c r="X2442" s="20">
        <v>-18.66</v>
      </c>
      <c r="Y2442" s="20">
        <v>0</v>
      </c>
      <c r="Z2442" s="20">
        <v>0</v>
      </c>
      <c r="AA2442" s="20">
        <v>0</v>
      </c>
      <c r="AB2442" s="20">
        <v>2220.3200000000002</v>
      </c>
      <c r="AC2442" t="s">
        <v>188</v>
      </c>
      <c r="AD2442" t="s">
        <v>290</v>
      </c>
      <c r="AE2442" s="702">
        <f t="shared" si="190"/>
        <v>44713</v>
      </c>
      <c r="AF2442" s="289">
        <v>2199.0118744441343</v>
      </c>
      <c r="AG2442">
        <f t="shared" si="191"/>
        <v>360</v>
      </c>
      <c r="AH2442" s="289">
        <f t="shared" si="192"/>
        <v>6.1083663179003729</v>
      </c>
      <c r="AJ2442" s="289">
        <f t="shared" si="193"/>
        <v>6</v>
      </c>
      <c r="AK2442" s="289">
        <f t="shared" si="194"/>
        <v>36.650197907402237</v>
      </c>
    </row>
    <row r="2443" spans="1:37">
      <c r="A2443" s="703" t="s">
        <v>4219</v>
      </c>
      <c r="B2443" s="703" t="s">
        <v>3743</v>
      </c>
      <c r="C2443" s="703" t="s">
        <v>390</v>
      </c>
      <c r="D2443" s="703" t="s">
        <v>334</v>
      </c>
      <c r="E2443" s="703" t="s">
        <v>334</v>
      </c>
      <c r="F2443" s="703" t="s">
        <v>335</v>
      </c>
      <c r="G2443" s="703" t="s">
        <v>4220</v>
      </c>
      <c r="H2443" s="703" t="s">
        <v>334</v>
      </c>
      <c r="I2443" s="703" t="s">
        <v>334</v>
      </c>
      <c r="J2443" s="703" t="s">
        <v>337</v>
      </c>
      <c r="K2443" s="704">
        <v>0</v>
      </c>
      <c r="L2443" s="703" t="s">
        <v>334</v>
      </c>
      <c r="M2443" s="702">
        <v>42886</v>
      </c>
      <c r="N2443" s="702">
        <v>44825</v>
      </c>
      <c r="O2443" s="703" t="s">
        <v>338</v>
      </c>
      <c r="P2443" s="20">
        <v>0</v>
      </c>
      <c r="Q2443" s="20">
        <v>0</v>
      </c>
      <c r="R2443" s="20">
        <v>1751.49</v>
      </c>
      <c r="S2443" s="20">
        <v>0</v>
      </c>
      <c r="T2443" s="20">
        <v>1751.49</v>
      </c>
      <c r="U2443" s="20">
        <v>0</v>
      </c>
      <c r="V2443" s="20">
        <v>0</v>
      </c>
      <c r="W2443" s="20">
        <v>-14.6</v>
      </c>
      <c r="X2443" s="20">
        <v>-14.6</v>
      </c>
      <c r="Y2443" s="20">
        <v>0</v>
      </c>
      <c r="Z2443" s="20">
        <v>0</v>
      </c>
      <c r="AA2443" s="20">
        <v>0</v>
      </c>
      <c r="AB2443" s="20">
        <v>1736.89</v>
      </c>
      <c r="AC2443" t="s">
        <v>188</v>
      </c>
      <c r="AD2443" t="s">
        <v>290</v>
      </c>
      <c r="AE2443" s="702">
        <f t="shared" si="190"/>
        <v>44713</v>
      </c>
      <c r="AF2443" s="289">
        <v>1720.2240788082772</v>
      </c>
      <c r="AG2443">
        <f t="shared" si="191"/>
        <v>360</v>
      </c>
      <c r="AH2443" s="289">
        <f t="shared" si="192"/>
        <v>4.778400218911881</v>
      </c>
      <c r="AJ2443" s="289">
        <f t="shared" si="193"/>
        <v>6</v>
      </c>
      <c r="AK2443" s="289">
        <f t="shared" si="194"/>
        <v>28.670401313471288</v>
      </c>
    </row>
    <row r="2444" spans="1:37">
      <c r="A2444" s="703" t="s">
        <v>4221</v>
      </c>
      <c r="B2444" s="703" t="s">
        <v>3743</v>
      </c>
      <c r="C2444" s="703" t="s">
        <v>390</v>
      </c>
      <c r="D2444" s="703" t="s">
        <v>334</v>
      </c>
      <c r="E2444" s="703" t="s">
        <v>334</v>
      </c>
      <c r="F2444" s="703" t="s">
        <v>335</v>
      </c>
      <c r="G2444" s="703" t="s">
        <v>4222</v>
      </c>
      <c r="H2444" s="703" t="s">
        <v>334</v>
      </c>
      <c r="I2444" s="703" t="s">
        <v>334</v>
      </c>
      <c r="J2444" s="703" t="s">
        <v>337</v>
      </c>
      <c r="K2444" s="704">
        <v>0</v>
      </c>
      <c r="L2444" s="703" t="s">
        <v>334</v>
      </c>
      <c r="M2444" s="702">
        <v>42886</v>
      </c>
      <c r="N2444" s="702">
        <v>44825</v>
      </c>
      <c r="O2444" s="703" t="s">
        <v>338</v>
      </c>
      <c r="P2444" s="20">
        <v>0</v>
      </c>
      <c r="Q2444" s="20">
        <v>0</v>
      </c>
      <c r="R2444" s="20">
        <v>897.19</v>
      </c>
      <c r="S2444" s="20">
        <v>0</v>
      </c>
      <c r="T2444" s="20">
        <v>897.19</v>
      </c>
      <c r="U2444" s="20">
        <v>0</v>
      </c>
      <c r="V2444" s="20">
        <v>0</v>
      </c>
      <c r="W2444" s="20">
        <v>-7.48</v>
      </c>
      <c r="X2444" s="20">
        <v>-7.48</v>
      </c>
      <c r="Y2444" s="20">
        <v>0</v>
      </c>
      <c r="Z2444" s="20">
        <v>0</v>
      </c>
      <c r="AA2444" s="20">
        <v>0</v>
      </c>
      <c r="AB2444" s="20">
        <v>889.71</v>
      </c>
      <c r="AC2444" t="s">
        <v>188</v>
      </c>
      <c r="AD2444" t="s">
        <v>290</v>
      </c>
      <c r="AE2444" s="702">
        <f t="shared" si="190"/>
        <v>44713</v>
      </c>
      <c r="AF2444" s="289">
        <v>881.17422381286701</v>
      </c>
      <c r="AG2444">
        <f t="shared" si="191"/>
        <v>360</v>
      </c>
      <c r="AH2444" s="289">
        <f t="shared" si="192"/>
        <v>2.447706177257964</v>
      </c>
      <c r="AJ2444" s="289">
        <f t="shared" si="193"/>
        <v>6</v>
      </c>
      <c r="AK2444" s="289">
        <f t="shared" si="194"/>
        <v>14.686237063547784</v>
      </c>
    </row>
    <row r="2445" spans="1:37">
      <c r="A2445" s="703" t="s">
        <v>4223</v>
      </c>
      <c r="B2445" s="703" t="s">
        <v>3743</v>
      </c>
      <c r="C2445" s="703" t="s">
        <v>390</v>
      </c>
      <c r="D2445" s="703" t="s">
        <v>334</v>
      </c>
      <c r="E2445" s="703" t="s">
        <v>334</v>
      </c>
      <c r="F2445" s="703" t="s">
        <v>335</v>
      </c>
      <c r="G2445" s="703" t="s">
        <v>4224</v>
      </c>
      <c r="H2445" s="703" t="s">
        <v>334</v>
      </c>
      <c r="I2445" s="703" t="s">
        <v>334</v>
      </c>
      <c r="J2445" s="703" t="s">
        <v>337</v>
      </c>
      <c r="K2445" s="704">
        <v>0</v>
      </c>
      <c r="L2445" s="703" t="s">
        <v>334</v>
      </c>
      <c r="M2445" s="702">
        <v>42886</v>
      </c>
      <c r="N2445" s="702">
        <v>44825</v>
      </c>
      <c r="O2445" s="703" t="s">
        <v>338</v>
      </c>
      <c r="P2445" s="20">
        <v>0</v>
      </c>
      <c r="Q2445" s="20">
        <v>0</v>
      </c>
      <c r="R2445" s="20">
        <v>1272.8900000000001</v>
      </c>
      <c r="S2445" s="20">
        <v>0</v>
      </c>
      <c r="T2445" s="20">
        <v>1272.8900000000001</v>
      </c>
      <c r="U2445" s="20">
        <v>0</v>
      </c>
      <c r="V2445" s="20">
        <v>0</v>
      </c>
      <c r="W2445" s="20">
        <v>-10.61</v>
      </c>
      <c r="X2445" s="20">
        <v>-10.61</v>
      </c>
      <c r="Y2445" s="20">
        <v>0</v>
      </c>
      <c r="Z2445" s="20">
        <v>0</v>
      </c>
      <c r="AA2445" s="20">
        <v>0</v>
      </c>
      <c r="AB2445" s="20">
        <v>1262.28</v>
      </c>
      <c r="AC2445" t="s">
        <v>188</v>
      </c>
      <c r="AD2445" t="s">
        <v>290</v>
      </c>
      <c r="AE2445" s="702">
        <f t="shared" si="190"/>
        <v>44713</v>
      </c>
      <c r="AF2445" s="289">
        <v>1250.1675874108719</v>
      </c>
      <c r="AG2445">
        <f t="shared" si="191"/>
        <v>360</v>
      </c>
      <c r="AH2445" s="289">
        <f t="shared" si="192"/>
        <v>3.4726877428079774</v>
      </c>
      <c r="AJ2445" s="289">
        <f t="shared" si="193"/>
        <v>6</v>
      </c>
      <c r="AK2445" s="289">
        <f t="shared" si="194"/>
        <v>20.836126456847865</v>
      </c>
    </row>
    <row r="2446" spans="1:37">
      <c r="A2446" s="703" t="s">
        <v>4225</v>
      </c>
      <c r="B2446" s="703" t="s">
        <v>3743</v>
      </c>
      <c r="C2446" s="703" t="s">
        <v>390</v>
      </c>
      <c r="D2446" s="703" t="s">
        <v>334</v>
      </c>
      <c r="E2446" s="703" t="s">
        <v>334</v>
      </c>
      <c r="F2446" s="703" t="s">
        <v>335</v>
      </c>
      <c r="G2446" s="703" t="s">
        <v>4226</v>
      </c>
      <c r="H2446" s="703" t="s">
        <v>334</v>
      </c>
      <c r="I2446" s="703" t="s">
        <v>334</v>
      </c>
      <c r="J2446" s="703" t="s">
        <v>337</v>
      </c>
      <c r="K2446" s="704">
        <v>0</v>
      </c>
      <c r="L2446" s="703" t="s">
        <v>334</v>
      </c>
      <c r="M2446" s="702">
        <v>42886</v>
      </c>
      <c r="N2446" s="702">
        <v>44825</v>
      </c>
      <c r="O2446" s="703" t="s">
        <v>338</v>
      </c>
      <c r="P2446" s="20">
        <v>0</v>
      </c>
      <c r="Q2446" s="20">
        <v>0</v>
      </c>
      <c r="R2446" s="20">
        <v>1491.1</v>
      </c>
      <c r="S2446" s="20">
        <v>0</v>
      </c>
      <c r="T2446" s="20">
        <v>1491.1</v>
      </c>
      <c r="U2446" s="20">
        <v>0</v>
      </c>
      <c r="V2446" s="20">
        <v>0</v>
      </c>
      <c r="W2446" s="20">
        <v>-12.43</v>
      </c>
      <c r="X2446" s="20">
        <v>-12.43</v>
      </c>
      <c r="Y2446" s="20">
        <v>0</v>
      </c>
      <c r="Z2446" s="20">
        <v>0</v>
      </c>
      <c r="AA2446" s="20">
        <v>0</v>
      </c>
      <c r="AB2446" s="20">
        <v>1478.67</v>
      </c>
      <c r="AC2446" t="s">
        <v>188</v>
      </c>
      <c r="AD2446" t="s">
        <v>290</v>
      </c>
      <c r="AE2446" s="702">
        <f t="shared" si="190"/>
        <v>44713</v>
      </c>
      <c r="AF2446" s="289">
        <v>1464.4823115810095</v>
      </c>
      <c r="AG2446">
        <f t="shared" si="191"/>
        <v>360</v>
      </c>
      <c r="AH2446" s="289">
        <f t="shared" si="192"/>
        <v>4.0680064210583602</v>
      </c>
      <c r="AJ2446" s="289">
        <f t="shared" si="193"/>
        <v>6</v>
      </c>
      <c r="AK2446" s="289">
        <f t="shared" si="194"/>
        <v>24.408038526350161</v>
      </c>
    </row>
    <row r="2447" spans="1:37">
      <c r="A2447" s="703" t="s">
        <v>4227</v>
      </c>
      <c r="B2447" s="703" t="s">
        <v>3743</v>
      </c>
      <c r="C2447" s="703" t="s">
        <v>390</v>
      </c>
      <c r="D2447" s="703" t="s">
        <v>334</v>
      </c>
      <c r="E2447" s="703" t="s">
        <v>334</v>
      </c>
      <c r="F2447" s="703" t="s">
        <v>335</v>
      </c>
      <c r="G2447" s="703" t="s">
        <v>4228</v>
      </c>
      <c r="H2447" s="703" t="s">
        <v>334</v>
      </c>
      <c r="I2447" s="703" t="s">
        <v>334</v>
      </c>
      <c r="J2447" s="703" t="s">
        <v>337</v>
      </c>
      <c r="K2447" s="704">
        <v>0</v>
      </c>
      <c r="L2447" s="703" t="s">
        <v>334</v>
      </c>
      <c r="M2447" s="702">
        <v>42886</v>
      </c>
      <c r="N2447" s="702">
        <v>44825</v>
      </c>
      <c r="O2447" s="703" t="s">
        <v>338</v>
      </c>
      <c r="P2447" s="20">
        <v>0</v>
      </c>
      <c r="Q2447" s="20">
        <v>0</v>
      </c>
      <c r="R2447" s="20">
        <v>2295.73</v>
      </c>
      <c r="S2447" s="20">
        <v>0</v>
      </c>
      <c r="T2447" s="20">
        <v>2295.73</v>
      </c>
      <c r="U2447" s="20">
        <v>0</v>
      </c>
      <c r="V2447" s="20">
        <v>0</v>
      </c>
      <c r="W2447" s="20">
        <v>-19.13</v>
      </c>
      <c r="X2447" s="20">
        <v>-19.13</v>
      </c>
      <c r="Y2447" s="20">
        <v>0</v>
      </c>
      <c r="Z2447" s="20">
        <v>0</v>
      </c>
      <c r="AA2447" s="20">
        <v>0</v>
      </c>
      <c r="AB2447" s="20">
        <v>2276.6</v>
      </c>
      <c r="AC2447" t="s">
        <v>188</v>
      </c>
      <c r="AD2447" t="s">
        <v>290</v>
      </c>
      <c r="AE2447" s="702">
        <f t="shared" si="190"/>
        <v>44713</v>
      </c>
      <c r="AF2447" s="289">
        <v>2254.7488278223263</v>
      </c>
      <c r="AG2447">
        <f t="shared" si="191"/>
        <v>360</v>
      </c>
      <c r="AH2447" s="289">
        <f t="shared" si="192"/>
        <v>6.2631911883953508</v>
      </c>
      <c r="AJ2447" s="289">
        <f t="shared" si="193"/>
        <v>6</v>
      </c>
      <c r="AK2447" s="289">
        <f t="shared" si="194"/>
        <v>37.579147130372107</v>
      </c>
    </row>
    <row r="2448" spans="1:37">
      <c r="A2448" s="703" t="s">
        <v>4229</v>
      </c>
      <c r="B2448" s="703" t="s">
        <v>3743</v>
      </c>
      <c r="C2448" s="703" t="s">
        <v>390</v>
      </c>
      <c r="D2448" s="703" t="s">
        <v>334</v>
      </c>
      <c r="E2448" s="703" t="s">
        <v>334</v>
      </c>
      <c r="F2448" s="703" t="s">
        <v>335</v>
      </c>
      <c r="G2448" s="703" t="s">
        <v>4230</v>
      </c>
      <c r="H2448" s="703" t="s">
        <v>334</v>
      </c>
      <c r="I2448" s="703" t="s">
        <v>334</v>
      </c>
      <c r="J2448" s="703" t="s">
        <v>337</v>
      </c>
      <c r="K2448" s="704">
        <v>0</v>
      </c>
      <c r="L2448" s="703" t="s">
        <v>334</v>
      </c>
      <c r="M2448" s="702">
        <v>42886</v>
      </c>
      <c r="N2448" s="702">
        <v>44825</v>
      </c>
      <c r="O2448" s="703" t="s">
        <v>338</v>
      </c>
      <c r="P2448" s="20">
        <v>0</v>
      </c>
      <c r="Q2448" s="20">
        <v>0</v>
      </c>
      <c r="R2448" s="20">
        <v>1089.3699999999999</v>
      </c>
      <c r="S2448" s="20">
        <v>0</v>
      </c>
      <c r="T2448" s="20">
        <v>1089.3699999999999</v>
      </c>
      <c r="U2448" s="20">
        <v>0</v>
      </c>
      <c r="V2448" s="20">
        <v>0</v>
      </c>
      <c r="W2448" s="20">
        <v>-9.08</v>
      </c>
      <c r="X2448" s="20">
        <v>-9.08</v>
      </c>
      <c r="Y2448" s="20">
        <v>0</v>
      </c>
      <c r="Z2448" s="20">
        <v>0</v>
      </c>
      <c r="AA2448" s="20">
        <v>0</v>
      </c>
      <c r="AB2448" s="20">
        <v>1080.29</v>
      </c>
      <c r="AC2448" t="s">
        <v>188</v>
      </c>
      <c r="AD2448" t="s">
        <v>290</v>
      </c>
      <c r="AE2448" s="702">
        <f t="shared" si="190"/>
        <v>44713</v>
      </c>
      <c r="AF2448" s="289">
        <v>1069.9236106009014</v>
      </c>
      <c r="AG2448">
        <f t="shared" si="191"/>
        <v>360</v>
      </c>
      <c r="AH2448" s="289">
        <f t="shared" si="192"/>
        <v>2.9720100294469485</v>
      </c>
      <c r="AJ2448" s="289">
        <f t="shared" si="193"/>
        <v>6</v>
      </c>
      <c r="AK2448" s="289">
        <f t="shared" si="194"/>
        <v>17.83206017668169</v>
      </c>
    </row>
    <row r="2449" spans="1:37">
      <c r="A2449" s="703" t="s">
        <v>4231</v>
      </c>
      <c r="B2449" s="703" t="s">
        <v>3743</v>
      </c>
      <c r="C2449" s="703" t="s">
        <v>390</v>
      </c>
      <c r="D2449" s="703" t="s">
        <v>334</v>
      </c>
      <c r="E2449" s="703" t="s">
        <v>334</v>
      </c>
      <c r="F2449" s="703" t="s">
        <v>335</v>
      </c>
      <c r="G2449" s="703" t="s">
        <v>4232</v>
      </c>
      <c r="H2449" s="703" t="s">
        <v>334</v>
      </c>
      <c r="I2449" s="703" t="s">
        <v>334</v>
      </c>
      <c r="J2449" s="703" t="s">
        <v>337</v>
      </c>
      <c r="K2449" s="704">
        <v>0</v>
      </c>
      <c r="L2449" s="703" t="s">
        <v>334</v>
      </c>
      <c r="M2449" s="702">
        <v>42886</v>
      </c>
      <c r="N2449" s="702">
        <v>44825</v>
      </c>
      <c r="O2449" s="703" t="s">
        <v>338</v>
      </c>
      <c r="P2449" s="20">
        <v>0</v>
      </c>
      <c r="Q2449" s="20">
        <v>0</v>
      </c>
      <c r="R2449" s="20">
        <v>815.17</v>
      </c>
      <c r="S2449" s="20">
        <v>0</v>
      </c>
      <c r="T2449" s="20">
        <v>815.17</v>
      </c>
      <c r="U2449" s="20">
        <v>0</v>
      </c>
      <c r="V2449" s="20">
        <v>0</v>
      </c>
      <c r="W2449" s="20">
        <v>-6.79</v>
      </c>
      <c r="X2449" s="20">
        <v>-6.79</v>
      </c>
      <c r="Y2449" s="20">
        <v>0</v>
      </c>
      <c r="Z2449" s="20">
        <v>0</v>
      </c>
      <c r="AA2449" s="20">
        <v>0</v>
      </c>
      <c r="AB2449" s="20">
        <v>808.38</v>
      </c>
      <c r="AC2449" t="s">
        <v>188</v>
      </c>
      <c r="AD2449" t="s">
        <v>290</v>
      </c>
      <c r="AE2449" s="702">
        <f t="shared" si="190"/>
        <v>44713</v>
      </c>
      <c r="AF2449" s="289">
        <v>800.61836626080844</v>
      </c>
      <c r="AG2449">
        <f t="shared" si="191"/>
        <v>360</v>
      </c>
      <c r="AH2449" s="289">
        <f t="shared" si="192"/>
        <v>2.2239399062800236</v>
      </c>
      <c r="AJ2449" s="289">
        <f t="shared" si="193"/>
        <v>6</v>
      </c>
      <c r="AK2449" s="289">
        <f t="shared" si="194"/>
        <v>13.343639437680142</v>
      </c>
    </row>
    <row r="2450" spans="1:37">
      <c r="A2450" s="703" t="s">
        <v>4233</v>
      </c>
      <c r="B2450" s="703" t="s">
        <v>3743</v>
      </c>
      <c r="C2450" s="703" t="s">
        <v>390</v>
      </c>
      <c r="D2450" s="703" t="s">
        <v>334</v>
      </c>
      <c r="E2450" s="703" t="s">
        <v>334</v>
      </c>
      <c r="F2450" s="703" t="s">
        <v>335</v>
      </c>
      <c r="G2450" s="703" t="s">
        <v>4234</v>
      </c>
      <c r="H2450" s="703" t="s">
        <v>334</v>
      </c>
      <c r="I2450" s="703" t="s">
        <v>334</v>
      </c>
      <c r="J2450" s="703" t="s">
        <v>337</v>
      </c>
      <c r="K2450" s="704">
        <v>0</v>
      </c>
      <c r="L2450" s="703" t="s">
        <v>334</v>
      </c>
      <c r="M2450" s="702">
        <v>42886</v>
      </c>
      <c r="N2450" s="702">
        <v>44825</v>
      </c>
      <c r="O2450" s="703" t="s">
        <v>338</v>
      </c>
      <c r="P2450" s="20">
        <v>0</v>
      </c>
      <c r="Q2450" s="20">
        <v>0</v>
      </c>
      <c r="R2450" s="20">
        <v>1225.8599999999999</v>
      </c>
      <c r="S2450" s="20">
        <v>0</v>
      </c>
      <c r="T2450" s="20">
        <v>1225.8599999999999</v>
      </c>
      <c r="U2450" s="20">
        <v>0</v>
      </c>
      <c r="V2450" s="20">
        <v>0</v>
      </c>
      <c r="W2450" s="20">
        <v>-10.220000000000001</v>
      </c>
      <c r="X2450" s="20">
        <v>-10.220000000000001</v>
      </c>
      <c r="Y2450" s="20">
        <v>0</v>
      </c>
      <c r="Z2450" s="20">
        <v>0</v>
      </c>
      <c r="AA2450" s="20">
        <v>0</v>
      </c>
      <c r="AB2450" s="20">
        <v>1215.6400000000001</v>
      </c>
      <c r="AC2450" t="s">
        <v>188</v>
      </c>
      <c r="AD2450" t="s">
        <v>290</v>
      </c>
      <c r="AE2450" s="702">
        <f t="shared" si="190"/>
        <v>44713</v>
      </c>
      <c r="AF2450" s="289">
        <v>1203.9771219064423</v>
      </c>
      <c r="AG2450">
        <f t="shared" si="191"/>
        <v>360</v>
      </c>
      <c r="AH2450" s="289">
        <f t="shared" si="192"/>
        <v>3.3443808941845621</v>
      </c>
      <c r="AJ2450" s="289">
        <f t="shared" si="193"/>
        <v>6</v>
      </c>
      <c r="AK2450" s="289">
        <f t="shared" si="194"/>
        <v>20.066285365107372</v>
      </c>
    </row>
    <row r="2451" spans="1:37">
      <c r="A2451" s="703" t="s">
        <v>4235</v>
      </c>
      <c r="B2451" s="703" t="s">
        <v>3743</v>
      </c>
      <c r="C2451" s="703" t="s">
        <v>390</v>
      </c>
      <c r="D2451" s="703" t="s">
        <v>334</v>
      </c>
      <c r="E2451" s="703" t="s">
        <v>334</v>
      </c>
      <c r="F2451" s="703" t="s">
        <v>335</v>
      </c>
      <c r="G2451" s="703" t="s">
        <v>4236</v>
      </c>
      <c r="H2451" s="703" t="s">
        <v>334</v>
      </c>
      <c r="I2451" s="703" t="s">
        <v>334</v>
      </c>
      <c r="J2451" s="703" t="s">
        <v>337</v>
      </c>
      <c r="K2451" s="704">
        <v>0</v>
      </c>
      <c r="L2451" s="703" t="s">
        <v>334</v>
      </c>
      <c r="M2451" s="702">
        <v>42886</v>
      </c>
      <c r="N2451" s="702">
        <v>44825</v>
      </c>
      <c r="O2451" s="703" t="s">
        <v>338</v>
      </c>
      <c r="P2451" s="20">
        <v>0</v>
      </c>
      <c r="Q2451" s="20">
        <v>0</v>
      </c>
      <c r="R2451" s="20">
        <v>1017.48</v>
      </c>
      <c r="S2451" s="20">
        <v>0</v>
      </c>
      <c r="T2451" s="20">
        <v>1017.48</v>
      </c>
      <c r="U2451" s="20">
        <v>0</v>
      </c>
      <c r="V2451" s="20">
        <v>0</v>
      </c>
      <c r="W2451" s="20">
        <v>-8.48</v>
      </c>
      <c r="X2451" s="20">
        <v>-8.48</v>
      </c>
      <c r="Y2451" s="20">
        <v>0</v>
      </c>
      <c r="Z2451" s="20">
        <v>0</v>
      </c>
      <c r="AA2451" s="20">
        <v>0</v>
      </c>
      <c r="AB2451" s="20">
        <v>1009</v>
      </c>
      <c r="AC2451" t="s">
        <v>188</v>
      </c>
      <c r="AD2451" t="s">
        <v>290</v>
      </c>
      <c r="AE2451" s="702">
        <f t="shared" si="190"/>
        <v>44713</v>
      </c>
      <c r="AF2451" s="289">
        <v>999.31692199547012</v>
      </c>
      <c r="AG2451">
        <f t="shared" si="191"/>
        <v>360</v>
      </c>
      <c r="AH2451" s="289">
        <f t="shared" si="192"/>
        <v>2.775880338876306</v>
      </c>
      <c r="AJ2451" s="289">
        <f t="shared" si="193"/>
        <v>6</v>
      </c>
      <c r="AK2451" s="289">
        <f t="shared" si="194"/>
        <v>16.655282033257837</v>
      </c>
    </row>
    <row r="2452" spans="1:37">
      <c r="A2452" s="703" t="s">
        <v>4237</v>
      </c>
      <c r="B2452" s="703" t="s">
        <v>3743</v>
      </c>
      <c r="C2452" s="703" t="s">
        <v>390</v>
      </c>
      <c r="D2452" s="703" t="s">
        <v>334</v>
      </c>
      <c r="E2452" s="703" t="s">
        <v>334</v>
      </c>
      <c r="F2452" s="703" t="s">
        <v>335</v>
      </c>
      <c r="G2452" s="703" t="s">
        <v>4238</v>
      </c>
      <c r="H2452" s="703" t="s">
        <v>334</v>
      </c>
      <c r="I2452" s="703" t="s">
        <v>334</v>
      </c>
      <c r="J2452" s="703" t="s">
        <v>337</v>
      </c>
      <c r="K2452" s="704">
        <v>0</v>
      </c>
      <c r="L2452" s="703" t="s">
        <v>334</v>
      </c>
      <c r="M2452" s="702">
        <v>42886</v>
      </c>
      <c r="N2452" s="702">
        <v>44825</v>
      </c>
      <c r="O2452" s="703" t="s">
        <v>338</v>
      </c>
      <c r="P2452" s="20">
        <v>0</v>
      </c>
      <c r="Q2452" s="20">
        <v>0</v>
      </c>
      <c r="R2452" s="20">
        <v>6653.25</v>
      </c>
      <c r="S2452" s="20">
        <v>0</v>
      </c>
      <c r="T2452" s="20">
        <v>6653.25</v>
      </c>
      <c r="U2452" s="20">
        <v>0</v>
      </c>
      <c r="V2452" s="20">
        <v>0</v>
      </c>
      <c r="W2452" s="20">
        <v>-55.44</v>
      </c>
      <c r="X2452" s="20">
        <v>-55.44</v>
      </c>
      <c r="Y2452" s="20">
        <v>0</v>
      </c>
      <c r="Z2452" s="20">
        <v>0</v>
      </c>
      <c r="AA2452" s="20">
        <v>0</v>
      </c>
      <c r="AB2452" s="20">
        <v>6597.81</v>
      </c>
      <c r="AC2452" t="s">
        <v>188</v>
      </c>
      <c r="AD2452" t="s">
        <v>290</v>
      </c>
      <c r="AE2452" s="702">
        <f t="shared" si="190"/>
        <v>44713</v>
      </c>
      <c r="AF2452" s="289">
        <v>6534.4825561842608</v>
      </c>
      <c r="AG2452">
        <f t="shared" si="191"/>
        <v>360</v>
      </c>
      <c r="AH2452" s="289">
        <f t="shared" si="192"/>
        <v>18.151340433845171</v>
      </c>
      <c r="AJ2452" s="289">
        <f t="shared" si="193"/>
        <v>6</v>
      </c>
      <c r="AK2452" s="289">
        <f t="shared" si="194"/>
        <v>108.90804260307102</v>
      </c>
    </row>
    <row r="2453" spans="1:37">
      <c r="A2453" s="703" t="s">
        <v>4239</v>
      </c>
      <c r="B2453" s="703" t="s">
        <v>3743</v>
      </c>
      <c r="C2453" s="703" t="s">
        <v>390</v>
      </c>
      <c r="D2453" s="703" t="s">
        <v>334</v>
      </c>
      <c r="E2453" s="703" t="s">
        <v>334</v>
      </c>
      <c r="F2453" s="703" t="s">
        <v>335</v>
      </c>
      <c r="G2453" s="703" t="s">
        <v>4240</v>
      </c>
      <c r="H2453" s="703" t="s">
        <v>334</v>
      </c>
      <c r="I2453" s="703" t="s">
        <v>334</v>
      </c>
      <c r="J2453" s="703" t="s">
        <v>337</v>
      </c>
      <c r="K2453" s="704">
        <v>0</v>
      </c>
      <c r="L2453" s="703" t="s">
        <v>334</v>
      </c>
      <c r="M2453" s="702">
        <v>42886</v>
      </c>
      <c r="N2453" s="702">
        <v>44825</v>
      </c>
      <c r="O2453" s="703" t="s">
        <v>338</v>
      </c>
      <c r="P2453" s="20">
        <v>0</v>
      </c>
      <c r="Q2453" s="20">
        <v>0</v>
      </c>
      <c r="R2453" s="20">
        <v>725.85</v>
      </c>
      <c r="S2453" s="20">
        <v>0</v>
      </c>
      <c r="T2453" s="20">
        <v>725.85</v>
      </c>
      <c r="U2453" s="20">
        <v>0</v>
      </c>
      <c r="V2453" s="20">
        <v>0</v>
      </c>
      <c r="W2453" s="20">
        <v>-6.05</v>
      </c>
      <c r="X2453" s="20">
        <v>-6.05</v>
      </c>
      <c r="Y2453" s="20">
        <v>0</v>
      </c>
      <c r="Z2453" s="20">
        <v>0</v>
      </c>
      <c r="AA2453" s="20">
        <v>0</v>
      </c>
      <c r="AB2453" s="20">
        <v>719.8</v>
      </c>
      <c r="AC2453" t="s">
        <v>188</v>
      </c>
      <c r="AD2453" t="s">
        <v>290</v>
      </c>
      <c r="AE2453" s="702">
        <f t="shared" si="190"/>
        <v>44713</v>
      </c>
      <c r="AF2453" s="289">
        <v>712.89282131384607</v>
      </c>
      <c r="AG2453">
        <f t="shared" si="191"/>
        <v>360</v>
      </c>
      <c r="AH2453" s="289">
        <f t="shared" si="192"/>
        <v>1.9802578369829058</v>
      </c>
      <c r="AJ2453" s="289">
        <f t="shared" si="193"/>
        <v>6</v>
      </c>
      <c r="AK2453" s="289">
        <f t="shared" si="194"/>
        <v>11.881547021897434</v>
      </c>
    </row>
    <row r="2454" spans="1:37">
      <c r="A2454" s="703" t="s">
        <v>4241</v>
      </c>
      <c r="B2454" s="703" t="s">
        <v>3743</v>
      </c>
      <c r="C2454" s="703" t="s">
        <v>390</v>
      </c>
      <c r="D2454" s="703" t="s">
        <v>334</v>
      </c>
      <c r="E2454" s="703" t="s">
        <v>334</v>
      </c>
      <c r="F2454" s="703" t="s">
        <v>335</v>
      </c>
      <c r="G2454" s="703" t="s">
        <v>4242</v>
      </c>
      <c r="H2454" s="703" t="s">
        <v>334</v>
      </c>
      <c r="I2454" s="703" t="s">
        <v>334</v>
      </c>
      <c r="J2454" s="703" t="s">
        <v>337</v>
      </c>
      <c r="K2454" s="704">
        <v>0</v>
      </c>
      <c r="L2454" s="703" t="s">
        <v>334</v>
      </c>
      <c r="M2454" s="702">
        <v>42886</v>
      </c>
      <c r="N2454" s="702">
        <v>44825</v>
      </c>
      <c r="O2454" s="703" t="s">
        <v>338</v>
      </c>
      <c r="P2454" s="20">
        <v>0</v>
      </c>
      <c r="Q2454" s="20">
        <v>0</v>
      </c>
      <c r="R2454" s="20">
        <v>298.36</v>
      </c>
      <c r="S2454" s="20">
        <v>0</v>
      </c>
      <c r="T2454" s="20">
        <v>298.36</v>
      </c>
      <c r="U2454" s="20">
        <v>0</v>
      </c>
      <c r="V2454" s="20">
        <v>0</v>
      </c>
      <c r="W2454" s="20">
        <v>-2.4900000000000002</v>
      </c>
      <c r="X2454" s="20">
        <v>-2.4900000000000002</v>
      </c>
      <c r="Y2454" s="20">
        <v>0</v>
      </c>
      <c r="Z2454" s="20">
        <v>0</v>
      </c>
      <c r="AA2454" s="20">
        <v>0</v>
      </c>
      <c r="AB2454" s="20">
        <v>295.87</v>
      </c>
      <c r="AC2454" t="s">
        <v>188</v>
      </c>
      <c r="AD2454" t="s">
        <v>290</v>
      </c>
      <c r="AE2454" s="702">
        <f t="shared" si="190"/>
        <v>44713</v>
      </c>
      <c r="AF2454" s="289">
        <v>293.03396317035077</v>
      </c>
      <c r="AG2454">
        <f t="shared" si="191"/>
        <v>360</v>
      </c>
      <c r="AH2454" s="289">
        <f t="shared" si="192"/>
        <v>0.81398323102875214</v>
      </c>
      <c r="AJ2454" s="289">
        <f t="shared" si="193"/>
        <v>6</v>
      </c>
      <c r="AK2454" s="289">
        <f t="shared" si="194"/>
        <v>4.8838993861725131</v>
      </c>
    </row>
    <row r="2455" spans="1:37">
      <c r="A2455" s="703" t="s">
        <v>4243</v>
      </c>
      <c r="B2455" s="703" t="s">
        <v>3743</v>
      </c>
      <c r="C2455" s="703" t="s">
        <v>390</v>
      </c>
      <c r="D2455" s="703" t="s">
        <v>334</v>
      </c>
      <c r="E2455" s="703" t="s">
        <v>334</v>
      </c>
      <c r="F2455" s="703" t="s">
        <v>335</v>
      </c>
      <c r="G2455" s="703" t="s">
        <v>4244</v>
      </c>
      <c r="H2455" s="703" t="s">
        <v>334</v>
      </c>
      <c r="I2455" s="703" t="s">
        <v>334</v>
      </c>
      <c r="J2455" s="703" t="s">
        <v>337</v>
      </c>
      <c r="K2455" s="704">
        <v>0</v>
      </c>
      <c r="L2455" s="703" t="s">
        <v>334</v>
      </c>
      <c r="M2455" s="702">
        <v>42886</v>
      </c>
      <c r="N2455" s="702">
        <v>44825</v>
      </c>
      <c r="O2455" s="703" t="s">
        <v>338</v>
      </c>
      <c r="P2455" s="20">
        <v>0</v>
      </c>
      <c r="Q2455" s="20">
        <v>0</v>
      </c>
      <c r="R2455" s="20">
        <v>679.13</v>
      </c>
      <c r="S2455" s="20">
        <v>0</v>
      </c>
      <c r="T2455" s="20">
        <v>679.13</v>
      </c>
      <c r="U2455" s="20">
        <v>0</v>
      </c>
      <c r="V2455" s="20">
        <v>0</v>
      </c>
      <c r="W2455" s="20">
        <v>-5.66</v>
      </c>
      <c r="X2455" s="20">
        <v>-5.66</v>
      </c>
      <c r="Y2455" s="20">
        <v>0</v>
      </c>
      <c r="Z2455" s="20">
        <v>0</v>
      </c>
      <c r="AA2455" s="20">
        <v>0</v>
      </c>
      <c r="AB2455" s="20">
        <v>673.47</v>
      </c>
      <c r="AC2455" t="s">
        <v>188</v>
      </c>
      <c r="AD2455" t="s">
        <v>290</v>
      </c>
      <c r="AE2455" s="702">
        <f t="shared" si="190"/>
        <v>44713</v>
      </c>
      <c r="AF2455" s="289">
        <v>667.0068219864603</v>
      </c>
      <c r="AG2455">
        <f t="shared" si="191"/>
        <v>360</v>
      </c>
      <c r="AH2455" s="289">
        <f t="shared" si="192"/>
        <v>1.8527967277401676</v>
      </c>
      <c r="AJ2455" s="289">
        <f t="shared" si="193"/>
        <v>6</v>
      </c>
      <c r="AK2455" s="289">
        <f t="shared" si="194"/>
        <v>11.116780366441006</v>
      </c>
    </row>
    <row r="2456" spans="1:37">
      <c r="A2456" s="703" t="s">
        <v>4245</v>
      </c>
      <c r="B2456" s="703" t="s">
        <v>3743</v>
      </c>
      <c r="C2456" s="703" t="s">
        <v>390</v>
      </c>
      <c r="D2456" s="703" t="s">
        <v>334</v>
      </c>
      <c r="E2456" s="703" t="s">
        <v>334</v>
      </c>
      <c r="F2456" s="703" t="s">
        <v>335</v>
      </c>
      <c r="G2456" s="703" t="s">
        <v>4246</v>
      </c>
      <c r="H2456" s="703" t="s">
        <v>334</v>
      </c>
      <c r="I2456" s="703" t="s">
        <v>334</v>
      </c>
      <c r="J2456" s="703" t="s">
        <v>337</v>
      </c>
      <c r="K2456" s="704">
        <v>0</v>
      </c>
      <c r="L2456" s="703" t="s">
        <v>334</v>
      </c>
      <c r="M2456" s="702">
        <v>42886</v>
      </c>
      <c r="N2456" s="702">
        <v>44825</v>
      </c>
      <c r="O2456" s="703" t="s">
        <v>338</v>
      </c>
      <c r="P2456" s="20">
        <v>0</v>
      </c>
      <c r="Q2456" s="20">
        <v>0</v>
      </c>
      <c r="R2456" s="20">
        <v>246.17</v>
      </c>
      <c r="S2456" s="20">
        <v>0</v>
      </c>
      <c r="T2456" s="20">
        <v>246.17</v>
      </c>
      <c r="U2456" s="20">
        <v>0</v>
      </c>
      <c r="V2456" s="20">
        <v>0</v>
      </c>
      <c r="W2456" s="20">
        <v>-2.0499999999999998</v>
      </c>
      <c r="X2456" s="20">
        <v>-2.0499999999999998</v>
      </c>
      <c r="Y2456" s="20">
        <v>0</v>
      </c>
      <c r="Z2456" s="20">
        <v>0</v>
      </c>
      <c r="AA2456" s="20">
        <v>0</v>
      </c>
      <c r="AB2456" s="20">
        <v>244.12</v>
      </c>
      <c r="AC2456" t="s">
        <v>188</v>
      </c>
      <c r="AD2456" t="s">
        <v>290</v>
      </c>
      <c r="AE2456" s="702">
        <f t="shared" si="190"/>
        <v>44713</v>
      </c>
      <c r="AF2456" s="289">
        <v>241.77560904157809</v>
      </c>
      <c r="AG2456">
        <f t="shared" si="191"/>
        <v>360</v>
      </c>
      <c r="AH2456" s="289">
        <f t="shared" si="192"/>
        <v>0.67159891400438354</v>
      </c>
      <c r="AJ2456" s="289">
        <f t="shared" si="193"/>
        <v>6</v>
      </c>
      <c r="AK2456" s="289">
        <f t="shared" si="194"/>
        <v>4.029593484026301</v>
      </c>
    </row>
    <row r="2457" spans="1:37">
      <c r="A2457" s="703" t="s">
        <v>4247</v>
      </c>
      <c r="B2457" s="703" t="s">
        <v>3743</v>
      </c>
      <c r="C2457" s="703" t="s">
        <v>390</v>
      </c>
      <c r="D2457" s="703" t="s">
        <v>334</v>
      </c>
      <c r="E2457" s="703" t="s">
        <v>334</v>
      </c>
      <c r="F2457" s="703" t="s">
        <v>335</v>
      </c>
      <c r="G2457" s="703" t="s">
        <v>4248</v>
      </c>
      <c r="H2457" s="703" t="s">
        <v>334</v>
      </c>
      <c r="I2457" s="703" t="s">
        <v>334</v>
      </c>
      <c r="J2457" s="703" t="s">
        <v>337</v>
      </c>
      <c r="K2457" s="704">
        <v>0</v>
      </c>
      <c r="L2457" s="703" t="s">
        <v>334</v>
      </c>
      <c r="M2457" s="702">
        <v>42886</v>
      </c>
      <c r="N2457" s="702">
        <v>44825</v>
      </c>
      <c r="O2457" s="703" t="s">
        <v>338</v>
      </c>
      <c r="P2457" s="20">
        <v>0</v>
      </c>
      <c r="Q2457" s="20">
        <v>0</v>
      </c>
      <c r="R2457" s="20">
        <v>3030.14</v>
      </c>
      <c r="S2457" s="20">
        <v>0</v>
      </c>
      <c r="T2457" s="20">
        <v>3030.14</v>
      </c>
      <c r="U2457" s="20">
        <v>0</v>
      </c>
      <c r="V2457" s="20">
        <v>0</v>
      </c>
      <c r="W2457" s="20">
        <v>-25.25</v>
      </c>
      <c r="X2457" s="20">
        <v>-25.25</v>
      </c>
      <c r="Y2457" s="20">
        <v>0</v>
      </c>
      <c r="Z2457" s="20">
        <v>0</v>
      </c>
      <c r="AA2457" s="20">
        <v>0</v>
      </c>
      <c r="AB2457" s="20">
        <v>3004.89</v>
      </c>
      <c r="AC2457" t="s">
        <v>188</v>
      </c>
      <c r="AD2457" t="s">
        <v>290</v>
      </c>
      <c r="AE2457" s="702">
        <f t="shared" si="190"/>
        <v>44713</v>
      </c>
      <c r="AF2457" s="289">
        <v>2976.048844218416</v>
      </c>
      <c r="AG2457">
        <f t="shared" si="191"/>
        <v>360</v>
      </c>
      <c r="AH2457" s="289">
        <f t="shared" si="192"/>
        <v>8.2668023450511559</v>
      </c>
      <c r="AJ2457" s="289">
        <f t="shared" si="193"/>
        <v>6</v>
      </c>
      <c r="AK2457" s="289">
        <f t="shared" si="194"/>
        <v>49.600814070306939</v>
      </c>
    </row>
    <row r="2458" spans="1:37">
      <c r="A2458" s="703" t="s">
        <v>4249</v>
      </c>
      <c r="B2458" s="703" t="s">
        <v>3743</v>
      </c>
      <c r="C2458" s="703" t="s">
        <v>390</v>
      </c>
      <c r="D2458" s="703" t="s">
        <v>334</v>
      </c>
      <c r="E2458" s="703" t="s">
        <v>334</v>
      </c>
      <c r="F2458" s="703" t="s">
        <v>335</v>
      </c>
      <c r="G2458" s="703" t="s">
        <v>4250</v>
      </c>
      <c r="H2458" s="703" t="s">
        <v>334</v>
      </c>
      <c r="I2458" s="703" t="s">
        <v>334</v>
      </c>
      <c r="J2458" s="703" t="s">
        <v>337</v>
      </c>
      <c r="K2458" s="704">
        <v>0</v>
      </c>
      <c r="L2458" s="703" t="s">
        <v>334</v>
      </c>
      <c r="M2458" s="702">
        <v>42886</v>
      </c>
      <c r="N2458" s="702">
        <v>44825</v>
      </c>
      <c r="O2458" s="703" t="s">
        <v>338</v>
      </c>
      <c r="P2458" s="20">
        <v>0</v>
      </c>
      <c r="Q2458" s="20">
        <v>0</v>
      </c>
      <c r="R2458" s="20">
        <v>343.42</v>
      </c>
      <c r="S2458" s="20">
        <v>0</v>
      </c>
      <c r="T2458" s="20">
        <v>343.42</v>
      </c>
      <c r="U2458" s="20">
        <v>0</v>
      </c>
      <c r="V2458" s="20">
        <v>0</v>
      </c>
      <c r="W2458" s="20">
        <v>-2.86</v>
      </c>
      <c r="X2458" s="20">
        <v>-2.86</v>
      </c>
      <c r="Y2458" s="20">
        <v>0</v>
      </c>
      <c r="Z2458" s="20">
        <v>0</v>
      </c>
      <c r="AA2458" s="20">
        <v>0</v>
      </c>
      <c r="AB2458" s="20">
        <v>340.56</v>
      </c>
      <c r="AC2458" t="s">
        <v>188</v>
      </c>
      <c r="AD2458" t="s">
        <v>290</v>
      </c>
      <c r="AE2458" s="702">
        <f t="shared" si="190"/>
        <v>44713</v>
      </c>
      <c r="AF2458" s="289">
        <v>337.28959522711443</v>
      </c>
      <c r="AG2458">
        <f t="shared" si="191"/>
        <v>360</v>
      </c>
      <c r="AH2458" s="289">
        <f t="shared" si="192"/>
        <v>0.93691554229754004</v>
      </c>
      <c r="AJ2458" s="289">
        <f t="shared" si="193"/>
        <v>6</v>
      </c>
      <c r="AK2458" s="289">
        <f t="shared" si="194"/>
        <v>5.62149325378524</v>
      </c>
    </row>
    <row r="2459" spans="1:37">
      <c r="A2459" s="703" t="s">
        <v>4251</v>
      </c>
      <c r="B2459" s="703" t="s">
        <v>3743</v>
      </c>
      <c r="C2459" s="703" t="s">
        <v>390</v>
      </c>
      <c r="D2459" s="703" t="s">
        <v>334</v>
      </c>
      <c r="E2459" s="703" t="s">
        <v>334</v>
      </c>
      <c r="F2459" s="703" t="s">
        <v>335</v>
      </c>
      <c r="G2459" s="703" t="s">
        <v>4252</v>
      </c>
      <c r="H2459" s="703" t="s">
        <v>334</v>
      </c>
      <c r="I2459" s="703" t="s">
        <v>334</v>
      </c>
      <c r="J2459" s="703" t="s">
        <v>337</v>
      </c>
      <c r="K2459" s="704">
        <v>0</v>
      </c>
      <c r="L2459" s="703" t="s">
        <v>334</v>
      </c>
      <c r="M2459" s="702">
        <v>42886</v>
      </c>
      <c r="N2459" s="702">
        <v>44825</v>
      </c>
      <c r="O2459" s="703" t="s">
        <v>338</v>
      </c>
      <c r="P2459" s="20">
        <v>0</v>
      </c>
      <c r="Q2459" s="20">
        <v>0</v>
      </c>
      <c r="R2459" s="20">
        <v>1572.77</v>
      </c>
      <c r="S2459" s="20">
        <v>0</v>
      </c>
      <c r="T2459" s="20">
        <v>1572.77</v>
      </c>
      <c r="U2459" s="20">
        <v>0</v>
      </c>
      <c r="V2459" s="20">
        <v>0</v>
      </c>
      <c r="W2459" s="20">
        <v>-13.11</v>
      </c>
      <c r="X2459" s="20">
        <v>-13.11</v>
      </c>
      <c r="Y2459" s="20">
        <v>0</v>
      </c>
      <c r="Z2459" s="20">
        <v>0</v>
      </c>
      <c r="AA2459" s="20">
        <v>0</v>
      </c>
      <c r="AB2459" s="20">
        <v>1559.66</v>
      </c>
      <c r="AC2459" t="s">
        <v>188</v>
      </c>
      <c r="AD2459" t="s">
        <v>290</v>
      </c>
      <c r="AE2459" s="702">
        <f t="shared" si="190"/>
        <v>44713</v>
      </c>
      <c r="AF2459" s="289">
        <v>1544.694416997696</v>
      </c>
      <c r="AG2459">
        <f t="shared" si="191"/>
        <v>360</v>
      </c>
      <c r="AH2459" s="289">
        <f t="shared" si="192"/>
        <v>4.2908178249936002</v>
      </c>
      <c r="AJ2459" s="289">
        <f t="shared" si="193"/>
        <v>6</v>
      </c>
      <c r="AK2459" s="289">
        <f t="shared" si="194"/>
        <v>25.744906949961603</v>
      </c>
    </row>
    <row r="2460" spans="1:37">
      <c r="A2460" s="703" t="s">
        <v>4253</v>
      </c>
      <c r="B2460" s="703" t="s">
        <v>3743</v>
      </c>
      <c r="C2460" s="703" t="s">
        <v>390</v>
      </c>
      <c r="D2460" s="703" t="s">
        <v>334</v>
      </c>
      <c r="E2460" s="703" t="s">
        <v>334</v>
      </c>
      <c r="F2460" s="703" t="s">
        <v>335</v>
      </c>
      <c r="G2460" s="703" t="s">
        <v>4254</v>
      </c>
      <c r="H2460" s="703" t="s">
        <v>334</v>
      </c>
      <c r="I2460" s="703" t="s">
        <v>334</v>
      </c>
      <c r="J2460" s="703" t="s">
        <v>337</v>
      </c>
      <c r="K2460" s="704">
        <v>0</v>
      </c>
      <c r="L2460" s="703" t="s">
        <v>334</v>
      </c>
      <c r="M2460" s="702">
        <v>42886</v>
      </c>
      <c r="N2460" s="702">
        <v>44825</v>
      </c>
      <c r="O2460" s="703" t="s">
        <v>338</v>
      </c>
      <c r="P2460" s="20">
        <v>0</v>
      </c>
      <c r="Q2460" s="20">
        <v>0</v>
      </c>
      <c r="R2460" s="20">
        <v>95.02</v>
      </c>
      <c r="S2460" s="20">
        <v>0</v>
      </c>
      <c r="T2460" s="20">
        <v>95.02</v>
      </c>
      <c r="U2460" s="20">
        <v>0</v>
      </c>
      <c r="V2460" s="20">
        <v>0</v>
      </c>
      <c r="W2460" s="20">
        <v>-0.79</v>
      </c>
      <c r="X2460" s="20">
        <v>-0.79</v>
      </c>
      <c r="Y2460" s="20">
        <v>0</v>
      </c>
      <c r="Z2460" s="20">
        <v>0</v>
      </c>
      <c r="AA2460" s="20">
        <v>0</v>
      </c>
      <c r="AB2460" s="20">
        <v>94.23</v>
      </c>
      <c r="AC2460" t="s">
        <v>188</v>
      </c>
      <c r="AD2460" t="s">
        <v>290</v>
      </c>
      <c r="AE2460" s="702">
        <f t="shared" si="190"/>
        <v>44713</v>
      </c>
      <c r="AF2460" s="289">
        <v>93.32379400873684</v>
      </c>
      <c r="AG2460">
        <f t="shared" si="191"/>
        <v>360</v>
      </c>
      <c r="AH2460" s="289">
        <f t="shared" si="192"/>
        <v>0.25923276113538013</v>
      </c>
      <c r="AJ2460" s="289">
        <f t="shared" si="193"/>
        <v>6</v>
      </c>
      <c r="AK2460" s="289">
        <f t="shared" si="194"/>
        <v>1.5553965668122807</v>
      </c>
    </row>
    <row r="2461" spans="1:37">
      <c r="A2461" s="703" t="s">
        <v>4255</v>
      </c>
      <c r="B2461" s="703" t="s">
        <v>3743</v>
      </c>
      <c r="C2461" s="703" t="s">
        <v>390</v>
      </c>
      <c r="D2461" s="703" t="s">
        <v>334</v>
      </c>
      <c r="E2461" s="703" t="s">
        <v>334</v>
      </c>
      <c r="F2461" s="703" t="s">
        <v>335</v>
      </c>
      <c r="G2461" s="703" t="s">
        <v>4256</v>
      </c>
      <c r="H2461" s="703" t="s">
        <v>334</v>
      </c>
      <c r="I2461" s="703" t="s">
        <v>334</v>
      </c>
      <c r="J2461" s="703" t="s">
        <v>337</v>
      </c>
      <c r="K2461" s="704">
        <v>0</v>
      </c>
      <c r="L2461" s="703" t="s">
        <v>334</v>
      </c>
      <c r="M2461" s="702">
        <v>43251</v>
      </c>
      <c r="N2461" s="702">
        <v>44825</v>
      </c>
      <c r="O2461" s="703" t="s">
        <v>338</v>
      </c>
      <c r="P2461" s="20">
        <v>0</v>
      </c>
      <c r="Q2461" s="20">
        <v>0</v>
      </c>
      <c r="R2461" s="20">
        <v>18606.93</v>
      </c>
      <c r="S2461" s="20">
        <v>0</v>
      </c>
      <c r="T2461" s="20">
        <v>18606.93</v>
      </c>
      <c r="U2461" s="20">
        <v>0</v>
      </c>
      <c r="V2461" s="20">
        <v>0</v>
      </c>
      <c r="W2461" s="20">
        <v>-155.06</v>
      </c>
      <c r="X2461" s="20">
        <v>-155.06</v>
      </c>
      <c r="Y2461" s="20">
        <v>0</v>
      </c>
      <c r="Z2461" s="20">
        <v>0</v>
      </c>
      <c r="AA2461" s="20">
        <v>0</v>
      </c>
      <c r="AB2461" s="20">
        <v>18451.87</v>
      </c>
      <c r="AC2461" t="s">
        <v>188</v>
      </c>
      <c r="AD2461" t="s">
        <v>290</v>
      </c>
      <c r="AE2461" s="702">
        <f t="shared" si="190"/>
        <v>44713</v>
      </c>
      <c r="AF2461" s="289">
        <v>18274.776914912505</v>
      </c>
      <c r="AG2461">
        <f t="shared" si="191"/>
        <v>360</v>
      </c>
      <c r="AH2461" s="289">
        <f t="shared" si="192"/>
        <v>50.763269208090293</v>
      </c>
      <c r="AJ2461" s="289">
        <f t="shared" si="193"/>
        <v>6</v>
      </c>
      <c r="AK2461" s="289">
        <f t="shared" si="194"/>
        <v>304.57961524854176</v>
      </c>
    </row>
    <row r="2462" spans="1:37">
      <c r="A2462" s="703" t="s">
        <v>4257</v>
      </c>
      <c r="B2462" s="703" t="s">
        <v>3743</v>
      </c>
      <c r="C2462" s="703" t="s">
        <v>390</v>
      </c>
      <c r="D2462" s="703" t="s">
        <v>334</v>
      </c>
      <c r="E2462" s="703" t="s">
        <v>334</v>
      </c>
      <c r="F2462" s="703" t="s">
        <v>335</v>
      </c>
      <c r="G2462" s="703" t="s">
        <v>4258</v>
      </c>
      <c r="H2462" s="703" t="s">
        <v>334</v>
      </c>
      <c r="I2462" s="703" t="s">
        <v>334</v>
      </c>
      <c r="J2462" s="703" t="s">
        <v>337</v>
      </c>
      <c r="K2462" s="704">
        <v>0</v>
      </c>
      <c r="L2462" s="703" t="s">
        <v>334</v>
      </c>
      <c r="M2462" s="702">
        <v>43251</v>
      </c>
      <c r="N2462" s="702">
        <v>44825</v>
      </c>
      <c r="O2462" s="703" t="s">
        <v>338</v>
      </c>
      <c r="P2462" s="20">
        <v>0</v>
      </c>
      <c r="Q2462" s="20">
        <v>0</v>
      </c>
      <c r="R2462" s="20">
        <v>1233.48</v>
      </c>
      <c r="S2462" s="20">
        <v>0</v>
      </c>
      <c r="T2462" s="20">
        <v>1233.48</v>
      </c>
      <c r="U2462" s="20">
        <v>0</v>
      </c>
      <c r="V2462" s="20">
        <v>0</v>
      </c>
      <c r="W2462" s="20">
        <v>-10.28</v>
      </c>
      <c r="X2462" s="20">
        <v>-10.28</v>
      </c>
      <c r="Y2462" s="20">
        <v>0</v>
      </c>
      <c r="Z2462" s="20">
        <v>0</v>
      </c>
      <c r="AA2462" s="20">
        <v>0</v>
      </c>
      <c r="AB2462" s="20">
        <v>1223.2</v>
      </c>
      <c r="AC2462" t="s">
        <v>188</v>
      </c>
      <c r="AD2462" t="s">
        <v>290</v>
      </c>
      <c r="AE2462" s="702">
        <f t="shared" si="190"/>
        <v>44713</v>
      </c>
      <c r="AF2462" s="289">
        <v>1211.4610969679723</v>
      </c>
      <c r="AG2462">
        <f t="shared" si="191"/>
        <v>360</v>
      </c>
      <c r="AH2462" s="289">
        <f t="shared" si="192"/>
        <v>3.365169713799923</v>
      </c>
      <c r="AJ2462" s="289">
        <f t="shared" si="193"/>
        <v>6</v>
      </c>
      <c r="AK2462" s="289">
        <f t="shared" si="194"/>
        <v>20.19101828279954</v>
      </c>
    </row>
    <row r="2463" spans="1:37">
      <c r="A2463" s="703" t="s">
        <v>4259</v>
      </c>
      <c r="B2463" s="703" t="s">
        <v>3743</v>
      </c>
      <c r="C2463" s="703" t="s">
        <v>390</v>
      </c>
      <c r="D2463" s="703" t="s">
        <v>334</v>
      </c>
      <c r="E2463" s="703" t="s">
        <v>334</v>
      </c>
      <c r="F2463" s="703" t="s">
        <v>335</v>
      </c>
      <c r="G2463" s="703" t="s">
        <v>4260</v>
      </c>
      <c r="H2463" s="703" t="s">
        <v>334</v>
      </c>
      <c r="I2463" s="703" t="s">
        <v>334</v>
      </c>
      <c r="J2463" s="703" t="s">
        <v>337</v>
      </c>
      <c r="K2463" s="704">
        <v>0</v>
      </c>
      <c r="L2463" s="703" t="s">
        <v>334</v>
      </c>
      <c r="M2463" s="702">
        <v>43251</v>
      </c>
      <c r="N2463" s="702">
        <v>44825</v>
      </c>
      <c r="O2463" s="703" t="s">
        <v>338</v>
      </c>
      <c r="P2463" s="20">
        <v>0</v>
      </c>
      <c r="Q2463" s="20">
        <v>0</v>
      </c>
      <c r="R2463" s="20">
        <v>176.31</v>
      </c>
      <c r="S2463" s="20">
        <v>0</v>
      </c>
      <c r="T2463" s="20">
        <v>176.31</v>
      </c>
      <c r="U2463" s="20">
        <v>0</v>
      </c>
      <c r="V2463" s="20">
        <v>0</v>
      </c>
      <c r="W2463" s="20">
        <v>-1.47</v>
      </c>
      <c r="X2463" s="20">
        <v>-1.47</v>
      </c>
      <c r="Y2463" s="20">
        <v>0</v>
      </c>
      <c r="Z2463" s="20">
        <v>0</v>
      </c>
      <c r="AA2463" s="20">
        <v>0</v>
      </c>
      <c r="AB2463" s="20">
        <v>174.84</v>
      </c>
      <c r="AC2463" t="s">
        <v>188</v>
      </c>
      <c r="AD2463" t="s">
        <v>290</v>
      </c>
      <c r="AE2463" s="702">
        <f t="shared" si="190"/>
        <v>44713</v>
      </c>
      <c r="AF2463" s="289">
        <v>173.16268282130494</v>
      </c>
      <c r="AG2463">
        <f t="shared" si="191"/>
        <v>360</v>
      </c>
      <c r="AH2463" s="289">
        <f t="shared" si="192"/>
        <v>0.48100745228140263</v>
      </c>
      <c r="AJ2463" s="289">
        <f t="shared" si="193"/>
        <v>6</v>
      </c>
      <c r="AK2463" s="289">
        <f t="shared" si="194"/>
        <v>2.886044713688416</v>
      </c>
    </row>
    <row r="2464" spans="1:37">
      <c r="A2464" s="703" t="s">
        <v>4261</v>
      </c>
      <c r="B2464" s="703" t="s">
        <v>3743</v>
      </c>
      <c r="C2464" s="703" t="s">
        <v>390</v>
      </c>
      <c r="D2464" s="703" t="s">
        <v>334</v>
      </c>
      <c r="E2464" s="703" t="s">
        <v>334</v>
      </c>
      <c r="F2464" s="703" t="s">
        <v>335</v>
      </c>
      <c r="G2464" s="703" t="s">
        <v>4262</v>
      </c>
      <c r="H2464" s="703" t="s">
        <v>334</v>
      </c>
      <c r="I2464" s="703" t="s">
        <v>334</v>
      </c>
      <c r="J2464" s="703" t="s">
        <v>337</v>
      </c>
      <c r="K2464" s="704">
        <v>0</v>
      </c>
      <c r="L2464" s="703" t="s">
        <v>334</v>
      </c>
      <c r="M2464" s="702">
        <v>43251</v>
      </c>
      <c r="N2464" s="702">
        <v>44825</v>
      </c>
      <c r="O2464" s="703" t="s">
        <v>338</v>
      </c>
      <c r="P2464" s="20">
        <v>0</v>
      </c>
      <c r="Q2464" s="20">
        <v>0</v>
      </c>
      <c r="R2464" s="20">
        <v>42159.360000000001</v>
      </c>
      <c r="S2464" s="20">
        <v>0</v>
      </c>
      <c r="T2464" s="20">
        <v>42159.360000000001</v>
      </c>
      <c r="U2464" s="20">
        <v>0</v>
      </c>
      <c r="V2464" s="20">
        <v>0</v>
      </c>
      <c r="W2464" s="20">
        <v>-351.33</v>
      </c>
      <c r="X2464" s="20">
        <v>-351.33</v>
      </c>
      <c r="Y2464" s="20">
        <v>0</v>
      </c>
      <c r="Z2464" s="20">
        <v>0</v>
      </c>
      <c r="AA2464" s="20">
        <v>0</v>
      </c>
      <c r="AB2464" s="20">
        <v>41808.03</v>
      </c>
      <c r="AC2464" t="s">
        <v>188</v>
      </c>
      <c r="AD2464" t="s">
        <v>290</v>
      </c>
      <c r="AE2464" s="702">
        <f t="shared" si="190"/>
        <v>44713</v>
      </c>
      <c r="AF2464" s="289">
        <v>41406.771502632924</v>
      </c>
      <c r="AG2464">
        <f t="shared" si="191"/>
        <v>360</v>
      </c>
      <c r="AH2464" s="289">
        <f t="shared" si="192"/>
        <v>115.0188097295359</v>
      </c>
      <c r="AJ2464" s="289">
        <f t="shared" si="193"/>
        <v>6</v>
      </c>
      <c r="AK2464" s="289">
        <f t="shared" si="194"/>
        <v>690.11285837721539</v>
      </c>
    </row>
    <row r="2465" spans="1:37">
      <c r="A2465" s="703" t="s">
        <v>4263</v>
      </c>
      <c r="B2465" s="703" t="s">
        <v>3743</v>
      </c>
      <c r="C2465" s="703" t="s">
        <v>390</v>
      </c>
      <c r="D2465" s="703" t="s">
        <v>334</v>
      </c>
      <c r="E2465" s="703" t="s">
        <v>334</v>
      </c>
      <c r="F2465" s="703" t="s">
        <v>335</v>
      </c>
      <c r="G2465" s="703" t="s">
        <v>4264</v>
      </c>
      <c r="H2465" s="703" t="s">
        <v>334</v>
      </c>
      <c r="I2465" s="703" t="s">
        <v>334</v>
      </c>
      <c r="J2465" s="703" t="s">
        <v>337</v>
      </c>
      <c r="K2465" s="704">
        <v>0</v>
      </c>
      <c r="L2465" s="703" t="s">
        <v>334</v>
      </c>
      <c r="M2465" s="702">
        <v>43251</v>
      </c>
      <c r="N2465" s="702">
        <v>44825</v>
      </c>
      <c r="O2465" s="703" t="s">
        <v>338</v>
      </c>
      <c r="P2465" s="20">
        <v>0</v>
      </c>
      <c r="Q2465" s="20">
        <v>0</v>
      </c>
      <c r="R2465" s="20">
        <v>1023.69</v>
      </c>
      <c r="S2465" s="20">
        <v>0</v>
      </c>
      <c r="T2465" s="20">
        <v>1023.69</v>
      </c>
      <c r="U2465" s="20">
        <v>0</v>
      </c>
      <c r="V2465" s="20">
        <v>0</v>
      </c>
      <c r="W2465" s="20">
        <v>-8.5299999999999994</v>
      </c>
      <c r="X2465" s="20">
        <v>-8.5299999999999994</v>
      </c>
      <c r="Y2465" s="20">
        <v>0</v>
      </c>
      <c r="Z2465" s="20">
        <v>0</v>
      </c>
      <c r="AA2465" s="20">
        <v>0</v>
      </c>
      <c r="AB2465" s="20">
        <v>1015.16</v>
      </c>
      <c r="AC2465" t="s">
        <v>188</v>
      </c>
      <c r="AD2465" t="s">
        <v>290</v>
      </c>
      <c r="AE2465" s="702">
        <f t="shared" si="190"/>
        <v>44713</v>
      </c>
      <c r="AF2465" s="289">
        <v>1005.4160670259297</v>
      </c>
      <c r="AG2465">
        <f t="shared" si="191"/>
        <v>360</v>
      </c>
      <c r="AH2465" s="289">
        <f t="shared" si="192"/>
        <v>2.7928224084053603</v>
      </c>
      <c r="AJ2465" s="289">
        <f t="shared" si="193"/>
        <v>6</v>
      </c>
      <c r="AK2465" s="289">
        <f t="shared" si="194"/>
        <v>16.756934450432162</v>
      </c>
    </row>
    <row r="2466" spans="1:37">
      <c r="A2466" s="703" t="s">
        <v>4265</v>
      </c>
      <c r="B2466" s="703" t="s">
        <v>3743</v>
      </c>
      <c r="C2466" s="703" t="s">
        <v>390</v>
      </c>
      <c r="D2466" s="703" t="s">
        <v>334</v>
      </c>
      <c r="E2466" s="703" t="s">
        <v>334</v>
      </c>
      <c r="F2466" s="703" t="s">
        <v>335</v>
      </c>
      <c r="G2466" s="703" t="s">
        <v>4266</v>
      </c>
      <c r="H2466" s="703" t="s">
        <v>334</v>
      </c>
      <c r="I2466" s="703" t="s">
        <v>334</v>
      </c>
      <c r="J2466" s="703" t="s">
        <v>337</v>
      </c>
      <c r="K2466" s="704">
        <v>0</v>
      </c>
      <c r="L2466" s="703" t="s">
        <v>334</v>
      </c>
      <c r="M2466" s="702">
        <v>43251</v>
      </c>
      <c r="N2466" s="702">
        <v>44825</v>
      </c>
      <c r="O2466" s="703" t="s">
        <v>338</v>
      </c>
      <c r="P2466" s="20">
        <v>0</v>
      </c>
      <c r="Q2466" s="20">
        <v>0</v>
      </c>
      <c r="R2466" s="20">
        <v>11921.03</v>
      </c>
      <c r="S2466" s="20">
        <v>0</v>
      </c>
      <c r="T2466" s="20">
        <v>11921.03</v>
      </c>
      <c r="U2466" s="20">
        <v>0</v>
      </c>
      <c r="V2466" s="20">
        <v>0</v>
      </c>
      <c r="W2466" s="20">
        <v>-99.34</v>
      </c>
      <c r="X2466" s="20">
        <v>-99.34</v>
      </c>
      <c r="Y2466" s="20">
        <v>0</v>
      </c>
      <c r="Z2466" s="20">
        <v>0</v>
      </c>
      <c r="AA2466" s="20">
        <v>0</v>
      </c>
      <c r="AB2466" s="20">
        <v>11821.69</v>
      </c>
      <c r="AC2466" t="s">
        <v>188</v>
      </c>
      <c r="AD2466" t="s">
        <v>290</v>
      </c>
      <c r="AE2466" s="702">
        <f t="shared" si="190"/>
        <v>44713</v>
      </c>
      <c r="AF2466" s="289">
        <v>11708.227195242815</v>
      </c>
      <c r="AG2466">
        <f t="shared" si="191"/>
        <v>360</v>
      </c>
      <c r="AH2466" s="289">
        <f t="shared" si="192"/>
        <v>32.522853320118926</v>
      </c>
      <c r="AJ2466" s="289">
        <f t="shared" si="193"/>
        <v>6</v>
      </c>
      <c r="AK2466" s="289">
        <f t="shared" si="194"/>
        <v>195.13711992071356</v>
      </c>
    </row>
    <row r="2467" spans="1:37">
      <c r="A2467" s="703" t="s">
        <v>4267</v>
      </c>
      <c r="B2467" s="703" t="s">
        <v>3743</v>
      </c>
      <c r="C2467" s="703" t="s">
        <v>390</v>
      </c>
      <c r="D2467" s="703" t="s">
        <v>334</v>
      </c>
      <c r="E2467" s="703" t="s">
        <v>334</v>
      </c>
      <c r="F2467" s="703" t="s">
        <v>335</v>
      </c>
      <c r="G2467" s="703" t="s">
        <v>4268</v>
      </c>
      <c r="H2467" s="703" t="s">
        <v>334</v>
      </c>
      <c r="I2467" s="703" t="s">
        <v>334</v>
      </c>
      <c r="J2467" s="703" t="s">
        <v>337</v>
      </c>
      <c r="K2467" s="704">
        <v>0</v>
      </c>
      <c r="L2467" s="703" t="s">
        <v>334</v>
      </c>
      <c r="M2467" s="702">
        <v>43251</v>
      </c>
      <c r="N2467" s="702">
        <v>44825</v>
      </c>
      <c r="O2467" s="703" t="s">
        <v>338</v>
      </c>
      <c r="P2467" s="20">
        <v>0</v>
      </c>
      <c r="Q2467" s="20">
        <v>0</v>
      </c>
      <c r="R2467" s="20">
        <v>12291.8</v>
      </c>
      <c r="S2467" s="20">
        <v>0</v>
      </c>
      <c r="T2467" s="20">
        <v>12291.8</v>
      </c>
      <c r="U2467" s="20">
        <v>0</v>
      </c>
      <c r="V2467" s="20">
        <v>0</v>
      </c>
      <c r="W2467" s="20">
        <v>-102.43</v>
      </c>
      <c r="X2467" s="20">
        <v>-102.43</v>
      </c>
      <c r="Y2467" s="20">
        <v>0</v>
      </c>
      <c r="Z2467" s="20">
        <v>0</v>
      </c>
      <c r="AA2467" s="20">
        <v>0</v>
      </c>
      <c r="AB2467" s="20">
        <v>12189.37</v>
      </c>
      <c r="AC2467" t="s">
        <v>188</v>
      </c>
      <c r="AD2467" t="s">
        <v>290</v>
      </c>
      <c r="AE2467" s="702">
        <f t="shared" si="190"/>
        <v>44713</v>
      </c>
      <c r="AF2467" s="289">
        <v>12072.378564476863</v>
      </c>
      <c r="AG2467">
        <f t="shared" si="191"/>
        <v>360</v>
      </c>
      <c r="AH2467" s="289">
        <f t="shared" si="192"/>
        <v>33.534384901324621</v>
      </c>
      <c r="AJ2467" s="289">
        <f t="shared" si="193"/>
        <v>6</v>
      </c>
      <c r="AK2467" s="289">
        <f t="shared" si="194"/>
        <v>201.20630940794774</v>
      </c>
    </row>
    <row r="2468" spans="1:37">
      <c r="A2468" s="703" t="s">
        <v>4269</v>
      </c>
      <c r="B2468" s="703" t="s">
        <v>3743</v>
      </c>
      <c r="C2468" s="703" t="s">
        <v>390</v>
      </c>
      <c r="D2468" s="703" t="s">
        <v>334</v>
      </c>
      <c r="E2468" s="703" t="s">
        <v>334</v>
      </c>
      <c r="F2468" s="703" t="s">
        <v>335</v>
      </c>
      <c r="G2468" s="703" t="s">
        <v>4270</v>
      </c>
      <c r="H2468" s="703" t="s">
        <v>334</v>
      </c>
      <c r="I2468" s="703" t="s">
        <v>334</v>
      </c>
      <c r="J2468" s="703" t="s">
        <v>337</v>
      </c>
      <c r="K2468" s="704">
        <v>0</v>
      </c>
      <c r="L2468" s="703" t="s">
        <v>334</v>
      </c>
      <c r="M2468" s="702">
        <v>43251</v>
      </c>
      <c r="N2468" s="702">
        <v>44825</v>
      </c>
      <c r="O2468" s="703" t="s">
        <v>338</v>
      </c>
      <c r="P2468" s="20">
        <v>0</v>
      </c>
      <c r="Q2468" s="20">
        <v>0</v>
      </c>
      <c r="R2468" s="20">
        <v>12491.39</v>
      </c>
      <c r="S2468" s="20">
        <v>0</v>
      </c>
      <c r="T2468" s="20">
        <v>12491.39</v>
      </c>
      <c r="U2468" s="20">
        <v>0</v>
      </c>
      <c r="V2468" s="20">
        <v>0</v>
      </c>
      <c r="W2468" s="20">
        <v>-104.09</v>
      </c>
      <c r="X2468" s="20">
        <v>-104.09</v>
      </c>
      <c r="Y2468" s="20">
        <v>0</v>
      </c>
      <c r="Z2468" s="20">
        <v>0</v>
      </c>
      <c r="AA2468" s="20">
        <v>0</v>
      </c>
      <c r="AB2468" s="20">
        <v>12387.3</v>
      </c>
      <c r="AC2468" t="s">
        <v>188</v>
      </c>
      <c r="AD2468" t="s">
        <v>290</v>
      </c>
      <c r="AE2468" s="702">
        <f t="shared" si="190"/>
        <v>44713</v>
      </c>
      <c r="AF2468" s="289">
        <v>12268.405675045204</v>
      </c>
      <c r="AG2468">
        <f t="shared" si="191"/>
        <v>360</v>
      </c>
      <c r="AH2468" s="289">
        <f t="shared" si="192"/>
        <v>34.078904652903347</v>
      </c>
      <c r="AJ2468" s="289">
        <f t="shared" si="193"/>
        <v>6</v>
      </c>
      <c r="AK2468" s="289">
        <f t="shared" si="194"/>
        <v>204.47342791742008</v>
      </c>
    </row>
    <row r="2469" spans="1:37">
      <c r="A2469" s="703" t="s">
        <v>4271</v>
      </c>
      <c r="B2469" s="703" t="s">
        <v>3743</v>
      </c>
      <c r="C2469" s="703" t="s">
        <v>390</v>
      </c>
      <c r="D2469" s="703" t="s">
        <v>334</v>
      </c>
      <c r="E2469" s="703" t="s">
        <v>334</v>
      </c>
      <c r="F2469" s="703" t="s">
        <v>335</v>
      </c>
      <c r="G2469" s="703" t="s">
        <v>4272</v>
      </c>
      <c r="H2469" s="703" t="s">
        <v>334</v>
      </c>
      <c r="I2469" s="703" t="s">
        <v>334</v>
      </c>
      <c r="J2469" s="703" t="s">
        <v>337</v>
      </c>
      <c r="K2469" s="704">
        <v>0</v>
      </c>
      <c r="L2469" s="703" t="s">
        <v>334</v>
      </c>
      <c r="M2469" s="702">
        <v>43251</v>
      </c>
      <c r="N2469" s="702">
        <v>44825</v>
      </c>
      <c r="O2469" s="703" t="s">
        <v>338</v>
      </c>
      <c r="P2469" s="20">
        <v>0</v>
      </c>
      <c r="Q2469" s="20">
        <v>0</v>
      </c>
      <c r="R2469" s="20">
        <v>2267.41</v>
      </c>
      <c r="S2469" s="20">
        <v>0</v>
      </c>
      <c r="T2469" s="20">
        <v>2267.41</v>
      </c>
      <c r="U2469" s="20">
        <v>0</v>
      </c>
      <c r="V2469" s="20">
        <v>0</v>
      </c>
      <c r="W2469" s="20">
        <v>-18.899999999999999</v>
      </c>
      <c r="X2469" s="20">
        <v>-18.899999999999999</v>
      </c>
      <c r="Y2469" s="20">
        <v>0</v>
      </c>
      <c r="Z2469" s="20">
        <v>0</v>
      </c>
      <c r="AA2469" s="20">
        <v>0</v>
      </c>
      <c r="AB2469" s="20">
        <v>2248.5100000000002</v>
      </c>
      <c r="AC2469" t="s">
        <v>188</v>
      </c>
      <c r="AD2469" t="s">
        <v>290</v>
      </c>
      <c r="AE2469" s="702">
        <f t="shared" si="190"/>
        <v>44713</v>
      </c>
      <c r="AF2469" s="289">
        <v>2226.9343693259316</v>
      </c>
      <c r="AG2469">
        <f t="shared" si="191"/>
        <v>360</v>
      </c>
      <c r="AH2469" s="289">
        <f t="shared" si="192"/>
        <v>6.1859288036831437</v>
      </c>
      <c r="AJ2469" s="289">
        <f t="shared" si="193"/>
        <v>6</v>
      </c>
      <c r="AK2469" s="289">
        <f t="shared" si="194"/>
        <v>37.115572822098862</v>
      </c>
    </row>
    <row r="2470" spans="1:37">
      <c r="A2470" s="703" t="s">
        <v>4273</v>
      </c>
      <c r="B2470" s="703" t="s">
        <v>3743</v>
      </c>
      <c r="C2470" s="703" t="s">
        <v>390</v>
      </c>
      <c r="D2470" s="703" t="s">
        <v>334</v>
      </c>
      <c r="E2470" s="703" t="s">
        <v>334</v>
      </c>
      <c r="F2470" s="703" t="s">
        <v>335</v>
      </c>
      <c r="G2470" s="703" t="s">
        <v>4274</v>
      </c>
      <c r="H2470" s="703" t="s">
        <v>334</v>
      </c>
      <c r="I2470" s="703" t="s">
        <v>334</v>
      </c>
      <c r="J2470" s="703" t="s">
        <v>337</v>
      </c>
      <c r="K2470" s="704">
        <v>0</v>
      </c>
      <c r="L2470" s="703" t="s">
        <v>334</v>
      </c>
      <c r="M2470" s="702">
        <v>43251</v>
      </c>
      <c r="N2470" s="702">
        <v>44825</v>
      </c>
      <c r="O2470" s="703" t="s">
        <v>338</v>
      </c>
      <c r="P2470" s="20">
        <v>0</v>
      </c>
      <c r="Q2470" s="20">
        <v>0</v>
      </c>
      <c r="R2470" s="20">
        <v>3195.87</v>
      </c>
      <c r="S2470" s="20">
        <v>0</v>
      </c>
      <c r="T2470" s="20">
        <v>3195.87</v>
      </c>
      <c r="U2470" s="20">
        <v>0</v>
      </c>
      <c r="V2470" s="20">
        <v>0</v>
      </c>
      <c r="W2470" s="20">
        <v>-26.63</v>
      </c>
      <c r="X2470" s="20">
        <v>-26.63</v>
      </c>
      <c r="Y2470" s="20">
        <v>0</v>
      </c>
      <c r="Z2470" s="20">
        <v>0</v>
      </c>
      <c r="AA2470" s="20">
        <v>0</v>
      </c>
      <c r="AB2470" s="20">
        <v>3169.24</v>
      </c>
      <c r="AC2470" t="s">
        <v>188</v>
      </c>
      <c r="AD2470" t="s">
        <v>290</v>
      </c>
      <c r="AE2470" s="702">
        <f t="shared" si="190"/>
        <v>44713</v>
      </c>
      <c r="AF2470" s="289">
        <v>3138.8203910619009</v>
      </c>
      <c r="AG2470">
        <f t="shared" si="191"/>
        <v>360</v>
      </c>
      <c r="AH2470" s="289">
        <f t="shared" si="192"/>
        <v>8.7189455307275026</v>
      </c>
      <c r="AJ2470" s="289">
        <f t="shared" si="193"/>
        <v>6</v>
      </c>
      <c r="AK2470" s="289">
        <f t="shared" si="194"/>
        <v>52.313673184365015</v>
      </c>
    </row>
    <row r="2471" spans="1:37">
      <c r="A2471" s="703" t="s">
        <v>4275</v>
      </c>
      <c r="B2471" s="703" t="s">
        <v>3743</v>
      </c>
      <c r="C2471" s="703" t="s">
        <v>390</v>
      </c>
      <c r="D2471" s="703" t="s">
        <v>334</v>
      </c>
      <c r="E2471" s="703" t="s">
        <v>334</v>
      </c>
      <c r="F2471" s="703" t="s">
        <v>335</v>
      </c>
      <c r="G2471" s="703" t="s">
        <v>4276</v>
      </c>
      <c r="H2471" s="703" t="s">
        <v>334</v>
      </c>
      <c r="I2471" s="703" t="s">
        <v>334</v>
      </c>
      <c r="J2471" s="703" t="s">
        <v>337</v>
      </c>
      <c r="K2471" s="704">
        <v>0</v>
      </c>
      <c r="L2471" s="703" t="s">
        <v>334</v>
      </c>
      <c r="M2471" s="702">
        <v>43251</v>
      </c>
      <c r="N2471" s="702">
        <v>44825</v>
      </c>
      <c r="O2471" s="703" t="s">
        <v>338</v>
      </c>
      <c r="P2471" s="20">
        <v>0</v>
      </c>
      <c r="Q2471" s="20">
        <v>0</v>
      </c>
      <c r="R2471" s="20">
        <v>23144.78</v>
      </c>
      <c r="S2471" s="20">
        <v>0</v>
      </c>
      <c r="T2471" s="20">
        <v>23144.78</v>
      </c>
      <c r="U2471" s="20">
        <v>0</v>
      </c>
      <c r="V2471" s="20">
        <v>0</v>
      </c>
      <c r="W2471" s="20">
        <v>-192.87</v>
      </c>
      <c r="X2471" s="20">
        <v>-192.87</v>
      </c>
      <c r="Y2471" s="20">
        <v>0</v>
      </c>
      <c r="Z2471" s="20">
        <v>0</v>
      </c>
      <c r="AA2471" s="20">
        <v>0</v>
      </c>
      <c r="AB2471" s="20">
        <v>22951.91</v>
      </c>
      <c r="AC2471" t="s">
        <v>188</v>
      </c>
      <c r="AD2471" t="s">
        <v>290</v>
      </c>
      <c r="AE2471" s="702">
        <f t="shared" si="190"/>
        <v>44713</v>
      </c>
      <c r="AF2471" s="289">
        <v>22731.621564907731</v>
      </c>
      <c r="AG2471">
        <f t="shared" si="191"/>
        <v>360</v>
      </c>
      <c r="AH2471" s="289">
        <f t="shared" si="192"/>
        <v>63.143393235854809</v>
      </c>
      <c r="AJ2471" s="289">
        <f t="shared" si="193"/>
        <v>6</v>
      </c>
      <c r="AK2471" s="289">
        <f t="shared" si="194"/>
        <v>378.86035941512887</v>
      </c>
    </row>
    <row r="2472" spans="1:37">
      <c r="A2472" s="703" t="s">
        <v>4277</v>
      </c>
      <c r="B2472" s="703" t="s">
        <v>3743</v>
      </c>
      <c r="C2472" s="703" t="s">
        <v>390</v>
      </c>
      <c r="D2472" s="703" t="s">
        <v>334</v>
      </c>
      <c r="E2472" s="703" t="s">
        <v>334</v>
      </c>
      <c r="F2472" s="703" t="s">
        <v>335</v>
      </c>
      <c r="G2472" s="703" t="s">
        <v>4278</v>
      </c>
      <c r="H2472" s="703" t="s">
        <v>334</v>
      </c>
      <c r="I2472" s="703" t="s">
        <v>334</v>
      </c>
      <c r="J2472" s="703" t="s">
        <v>337</v>
      </c>
      <c r="K2472" s="704">
        <v>0</v>
      </c>
      <c r="L2472" s="703" t="s">
        <v>334</v>
      </c>
      <c r="M2472" s="702">
        <v>43251</v>
      </c>
      <c r="N2472" s="702">
        <v>44825</v>
      </c>
      <c r="O2472" s="703" t="s">
        <v>338</v>
      </c>
      <c r="P2472" s="20">
        <v>0</v>
      </c>
      <c r="Q2472" s="20">
        <v>0</v>
      </c>
      <c r="R2472" s="20">
        <v>522.39</v>
      </c>
      <c r="S2472" s="20">
        <v>0</v>
      </c>
      <c r="T2472" s="20">
        <v>522.39</v>
      </c>
      <c r="U2472" s="20">
        <v>0</v>
      </c>
      <c r="V2472" s="20">
        <v>0</v>
      </c>
      <c r="W2472" s="20">
        <v>-4.3499999999999996</v>
      </c>
      <c r="X2472" s="20">
        <v>-4.3499999999999996</v>
      </c>
      <c r="Y2472" s="20">
        <v>0</v>
      </c>
      <c r="Z2472" s="20">
        <v>0</v>
      </c>
      <c r="AA2472" s="20">
        <v>0</v>
      </c>
      <c r="AB2472" s="20">
        <v>518.04</v>
      </c>
      <c r="AC2472" t="s">
        <v>188</v>
      </c>
      <c r="AD2472" t="s">
        <v>290</v>
      </c>
      <c r="AE2472" s="702">
        <f t="shared" si="190"/>
        <v>44713</v>
      </c>
      <c r="AF2472" s="289">
        <v>513.06479427724742</v>
      </c>
      <c r="AG2472">
        <f t="shared" si="191"/>
        <v>360</v>
      </c>
      <c r="AH2472" s="289">
        <f t="shared" si="192"/>
        <v>1.4251799841034651</v>
      </c>
      <c r="AJ2472" s="289">
        <f t="shared" si="193"/>
        <v>6</v>
      </c>
      <c r="AK2472" s="289">
        <f t="shared" si="194"/>
        <v>8.5510799046207904</v>
      </c>
    </row>
    <row r="2473" spans="1:37">
      <c r="A2473" s="703" t="s">
        <v>4279</v>
      </c>
      <c r="B2473" s="703" t="s">
        <v>3743</v>
      </c>
      <c r="C2473" s="703" t="s">
        <v>390</v>
      </c>
      <c r="D2473" s="703" t="s">
        <v>334</v>
      </c>
      <c r="E2473" s="703" t="s">
        <v>334</v>
      </c>
      <c r="F2473" s="703" t="s">
        <v>335</v>
      </c>
      <c r="G2473" s="703" t="s">
        <v>4280</v>
      </c>
      <c r="H2473" s="703" t="s">
        <v>334</v>
      </c>
      <c r="I2473" s="703" t="s">
        <v>334</v>
      </c>
      <c r="J2473" s="703" t="s">
        <v>337</v>
      </c>
      <c r="K2473" s="704">
        <v>0</v>
      </c>
      <c r="L2473" s="703" t="s">
        <v>334</v>
      </c>
      <c r="M2473" s="702">
        <v>43251</v>
      </c>
      <c r="N2473" s="702">
        <v>44825</v>
      </c>
      <c r="O2473" s="703" t="s">
        <v>338</v>
      </c>
      <c r="P2473" s="20">
        <v>0</v>
      </c>
      <c r="Q2473" s="20">
        <v>0</v>
      </c>
      <c r="R2473" s="20">
        <v>2770.33</v>
      </c>
      <c r="S2473" s="20">
        <v>0</v>
      </c>
      <c r="T2473" s="20">
        <v>2770.33</v>
      </c>
      <c r="U2473" s="20">
        <v>0</v>
      </c>
      <c r="V2473" s="20">
        <v>0</v>
      </c>
      <c r="W2473" s="20">
        <v>-23.09</v>
      </c>
      <c r="X2473" s="20">
        <v>-23.09</v>
      </c>
      <c r="Y2473" s="20">
        <v>0</v>
      </c>
      <c r="Z2473" s="20">
        <v>0</v>
      </c>
      <c r="AA2473" s="20">
        <v>0</v>
      </c>
      <c r="AB2473" s="20">
        <v>2747.24</v>
      </c>
      <c r="AC2473" t="s">
        <v>188</v>
      </c>
      <c r="AD2473" t="s">
        <v>290</v>
      </c>
      <c r="AE2473" s="702">
        <f t="shared" si="190"/>
        <v>44713</v>
      </c>
      <c r="AF2473" s="289">
        <v>2720.8767233869075</v>
      </c>
      <c r="AG2473">
        <f t="shared" si="191"/>
        <v>360</v>
      </c>
      <c r="AH2473" s="289">
        <f t="shared" si="192"/>
        <v>7.557990898296965</v>
      </c>
      <c r="AJ2473" s="289">
        <f t="shared" si="193"/>
        <v>6</v>
      </c>
      <c r="AK2473" s="289">
        <f t="shared" si="194"/>
        <v>45.347945389781792</v>
      </c>
    </row>
    <row r="2474" spans="1:37">
      <c r="A2474" s="703" t="s">
        <v>4281</v>
      </c>
      <c r="B2474" s="703" t="s">
        <v>3743</v>
      </c>
      <c r="C2474" s="703" t="s">
        <v>390</v>
      </c>
      <c r="D2474" s="703" t="s">
        <v>334</v>
      </c>
      <c r="E2474" s="703" t="s">
        <v>334</v>
      </c>
      <c r="F2474" s="703" t="s">
        <v>335</v>
      </c>
      <c r="G2474" s="703" t="s">
        <v>4282</v>
      </c>
      <c r="H2474" s="703" t="s">
        <v>334</v>
      </c>
      <c r="I2474" s="703" t="s">
        <v>334</v>
      </c>
      <c r="J2474" s="703" t="s">
        <v>337</v>
      </c>
      <c r="K2474" s="704">
        <v>0</v>
      </c>
      <c r="L2474" s="703" t="s">
        <v>334</v>
      </c>
      <c r="M2474" s="702">
        <v>43251</v>
      </c>
      <c r="N2474" s="702">
        <v>44825</v>
      </c>
      <c r="O2474" s="703" t="s">
        <v>338</v>
      </c>
      <c r="P2474" s="20">
        <v>0</v>
      </c>
      <c r="Q2474" s="20">
        <v>0</v>
      </c>
      <c r="R2474" s="20">
        <v>5257.7</v>
      </c>
      <c r="S2474" s="20">
        <v>0</v>
      </c>
      <c r="T2474" s="20">
        <v>5257.7</v>
      </c>
      <c r="U2474" s="20">
        <v>0</v>
      </c>
      <c r="V2474" s="20">
        <v>0</v>
      </c>
      <c r="W2474" s="20">
        <v>-43.81</v>
      </c>
      <c r="X2474" s="20">
        <v>-43.81</v>
      </c>
      <c r="Y2474" s="20">
        <v>0</v>
      </c>
      <c r="Z2474" s="20">
        <v>0</v>
      </c>
      <c r="AA2474" s="20">
        <v>0</v>
      </c>
      <c r="AB2474" s="20">
        <v>5213.8900000000003</v>
      </c>
      <c r="AC2474" t="s">
        <v>188</v>
      </c>
      <c r="AD2474" t="s">
        <v>290</v>
      </c>
      <c r="AE2474" s="702">
        <f t="shared" si="190"/>
        <v>44713</v>
      </c>
      <c r="AF2474" s="289">
        <v>5163.8445775598366</v>
      </c>
      <c r="AG2474">
        <f t="shared" si="191"/>
        <v>360</v>
      </c>
      <c r="AH2474" s="289">
        <f t="shared" si="192"/>
        <v>14.344012715443991</v>
      </c>
      <c r="AJ2474" s="289">
        <f t="shared" si="193"/>
        <v>6</v>
      </c>
      <c r="AK2474" s="289">
        <f t="shared" si="194"/>
        <v>86.064076292663941</v>
      </c>
    </row>
    <row r="2475" spans="1:37">
      <c r="A2475" s="703" t="s">
        <v>4283</v>
      </c>
      <c r="B2475" s="703" t="s">
        <v>3743</v>
      </c>
      <c r="C2475" s="703" t="s">
        <v>390</v>
      </c>
      <c r="D2475" s="703" t="s">
        <v>334</v>
      </c>
      <c r="E2475" s="703" t="s">
        <v>334</v>
      </c>
      <c r="F2475" s="703" t="s">
        <v>335</v>
      </c>
      <c r="G2475" s="703" t="s">
        <v>4284</v>
      </c>
      <c r="H2475" s="703" t="s">
        <v>334</v>
      </c>
      <c r="I2475" s="703" t="s">
        <v>334</v>
      </c>
      <c r="J2475" s="703" t="s">
        <v>337</v>
      </c>
      <c r="K2475" s="704">
        <v>0</v>
      </c>
      <c r="L2475" s="703" t="s">
        <v>334</v>
      </c>
      <c r="M2475" s="702">
        <v>43251</v>
      </c>
      <c r="N2475" s="702">
        <v>44825</v>
      </c>
      <c r="O2475" s="703" t="s">
        <v>338</v>
      </c>
      <c r="P2475" s="20">
        <v>0</v>
      </c>
      <c r="Q2475" s="20">
        <v>0</v>
      </c>
      <c r="R2475" s="20">
        <v>8123.34</v>
      </c>
      <c r="S2475" s="20">
        <v>0</v>
      </c>
      <c r="T2475" s="20">
        <v>8123.34</v>
      </c>
      <c r="U2475" s="20">
        <v>0</v>
      </c>
      <c r="V2475" s="20">
        <v>0</v>
      </c>
      <c r="W2475" s="20">
        <v>-67.69</v>
      </c>
      <c r="X2475" s="20">
        <v>-67.69</v>
      </c>
      <c r="Y2475" s="20">
        <v>0</v>
      </c>
      <c r="Z2475" s="20">
        <v>0</v>
      </c>
      <c r="AA2475" s="20">
        <v>0</v>
      </c>
      <c r="AB2475" s="20">
        <v>8055.65</v>
      </c>
      <c r="AC2475" t="s">
        <v>188</v>
      </c>
      <c r="AD2475" t="s">
        <v>290</v>
      </c>
      <c r="AE2475" s="702">
        <f t="shared" si="190"/>
        <v>44713</v>
      </c>
      <c r="AF2475" s="289">
        <v>7978.3299181533621</v>
      </c>
      <c r="AG2475">
        <f t="shared" si="191"/>
        <v>360</v>
      </c>
      <c r="AH2475" s="289">
        <f t="shared" si="192"/>
        <v>22.162027550426007</v>
      </c>
      <c r="AJ2475" s="289">
        <f t="shared" si="193"/>
        <v>6</v>
      </c>
      <c r="AK2475" s="289">
        <f t="shared" si="194"/>
        <v>132.97216530255605</v>
      </c>
    </row>
    <row r="2476" spans="1:37">
      <c r="A2476" s="703" t="s">
        <v>4285</v>
      </c>
      <c r="B2476" s="703" t="s">
        <v>3743</v>
      </c>
      <c r="C2476" s="703" t="s">
        <v>390</v>
      </c>
      <c r="D2476" s="703" t="s">
        <v>334</v>
      </c>
      <c r="E2476" s="703" t="s">
        <v>334</v>
      </c>
      <c r="F2476" s="703" t="s">
        <v>335</v>
      </c>
      <c r="G2476" s="703" t="s">
        <v>4286</v>
      </c>
      <c r="H2476" s="703" t="s">
        <v>334</v>
      </c>
      <c r="I2476" s="703" t="s">
        <v>334</v>
      </c>
      <c r="J2476" s="703" t="s">
        <v>337</v>
      </c>
      <c r="K2476" s="704">
        <v>0</v>
      </c>
      <c r="L2476" s="703" t="s">
        <v>334</v>
      </c>
      <c r="M2476" s="702">
        <v>43251</v>
      </c>
      <c r="N2476" s="702">
        <v>44825</v>
      </c>
      <c r="O2476" s="703" t="s">
        <v>338</v>
      </c>
      <c r="P2476" s="20">
        <v>0</v>
      </c>
      <c r="Q2476" s="20">
        <v>0</v>
      </c>
      <c r="R2476" s="20">
        <v>1267.06</v>
      </c>
      <c r="S2476" s="20">
        <v>0</v>
      </c>
      <c r="T2476" s="20">
        <v>1267.06</v>
      </c>
      <c r="U2476" s="20">
        <v>0</v>
      </c>
      <c r="V2476" s="20">
        <v>0</v>
      </c>
      <c r="W2476" s="20">
        <v>-10.56</v>
      </c>
      <c r="X2476" s="20">
        <v>-10.56</v>
      </c>
      <c r="Y2476" s="20">
        <v>0</v>
      </c>
      <c r="Z2476" s="20">
        <v>0</v>
      </c>
      <c r="AA2476" s="20">
        <v>0</v>
      </c>
      <c r="AB2476" s="20">
        <v>1256.5</v>
      </c>
      <c r="AC2476" t="s">
        <v>188</v>
      </c>
      <c r="AD2476" t="s">
        <v>290</v>
      </c>
      <c r="AE2476" s="702">
        <f t="shared" si="190"/>
        <v>44713</v>
      </c>
      <c r="AF2476" s="289">
        <v>1244.4416589845307</v>
      </c>
      <c r="AG2476">
        <f t="shared" si="191"/>
        <v>360</v>
      </c>
      <c r="AH2476" s="289">
        <f t="shared" si="192"/>
        <v>3.456782386068141</v>
      </c>
      <c r="AJ2476" s="289">
        <f t="shared" si="193"/>
        <v>6</v>
      </c>
      <c r="AK2476" s="289">
        <f t="shared" si="194"/>
        <v>20.740694316408845</v>
      </c>
    </row>
    <row r="2477" spans="1:37">
      <c r="A2477" s="703" t="s">
        <v>4287</v>
      </c>
      <c r="B2477" s="703" t="s">
        <v>3743</v>
      </c>
      <c r="C2477" s="703" t="s">
        <v>390</v>
      </c>
      <c r="D2477" s="703" t="s">
        <v>334</v>
      </c>
      <c r="E2477" s="703" t="s">
        <v>334</v>
      </c>
      <c r="F2477" s="703" t="s">
        <v>335</v>
      </c>
      <c r="G2477" s="703" t="s">
        <v>4288</v>
      </c>
      <c r="H2477" s="703" t="s">
        <v>334</v>
      </c>
      <c r="I2477" s="703" t="s">
        <v>334</v>
      </c>
      <c r="J2477" s="703" t="s">
        <v>337</v>
      </c>
      <c r="K2477" s="704">
        <v>0</v>
      </c>
      <c r="L2477" s="703" t="s">
        <v>334</v>
      </c>
      <c r="M2477" s="702">
        <v>43251</v>
      </c>
      <c r="N2477" s="702">
        <v>44825</v>
      </c>
      <c r="O2477" s="703" t="s">
        <v>338</v>
      </c>
      <c r="P2477" s="20">
        <v>0</v>
      </c>
      <c r="Q2477" s="20">
        <v>0</v>
      </c>
      <c r="R2477" s="20">
        <v>43091.46</v>
      </c>
      <c r="S2477" s="20">
        <v>0</v>
      </c>
      <c r="T2477" s="20">
        <v>43091.46</v>
      </c>
      <c r="U2477" s="20">
        <v>0</v>
      </c>
      <c r="V2477" s="20">
        <v>0</v>
      </c>
      <c r="W2477" s="20">
        <v>-359.1</v>
      </c>
      <c r="X2477" s="20">
        <v>-359.1</v>
      </c>
      <c r="Y2477" s="20">
        <v>0</v>
      </c>
      <c r="Z2477" s="20">
        <v>0</v>
      </c>
      <c r="AA2477" s="20">
        <v>0</v>
      </c>
      <c r="AB2477" s="20">
        <v>42732.36</v>
      </c>
      <c r="AC2477" t="s">
        <v>188</v>
      </c>
      <c r="AD2477" t="s">
        <v>290</v>
      </c>
      <c r="AE2477" s="702">
        <f t="shared" si="190"/>
        <v>44713</v>
      </c>
      <c r="AF2477" s="289">
        <v>42322.232546576757</v>
      </c>
      <c r="AG2477">
        <f t="shared" si="191"/>
        <v>360</v>
      </c>
      <c r="AH2477" s="289">
        <f t="shared" si="192"/>
        <v>117.56175707382432</v>
      </c>
      <c r="AJ2477" s="289">
        <f t="shared" si="193"/>
        <v>6</v>
      </c>
      <c r="AK2477" s="289">
        <f t="shared" si="194"/>
        <v>705.37054244294598</v>
      </c>
    </row>
    <row r="2478" spans="1:37">
      <c r="A2478" s="703" t="s">
        <v>4289</v>
      </c>
      <c r="B2478" s="703" t="s">
        <v>3743</v>
      </c>
      <c r="C2478" s="703" t="s">
        <v>390</v>
      </c>
      <c r="D2478" s="703" t="s">
        <v>334</v>
      </c>
      <c r="E2478" s="703" t="s">
        <v>334</v>
      </c>
      <c r="F2478" s="703" t="s">
        <v>335</v>
      </c>
      <c r="G2478" s="703" t="s">
        <v>4290</v>
      </c>
      <c r="H2478" s="703" t="s">
        <v>334</v>
      </c>
      <c r="I2478" s="703" t="s">
        <v>334</v>
      </c>
      <c r="J2478" s="703" t="s">
        <v>337</v>
      </c>
      <c r="K2478" s="704">
        <v>0</v>
      </c>
      <c r="L2478" s="703" t="s">
        <v>334</v>
      </c>
      <c r="M2478" s="702">
        <v>43251</v>
      </c>
      <c r="N2478" s="702">
        <v>44825</v>
      </c>
      <c r="O2478" s="703" t="s">
        <v>338</v>
      </c>
      <c r="P2478" s="20">
        <v>0</v>
      </c>
      <c r="Q2478" s="20">
        <v>0</v>
      </c>
      <c r="R2478" s="20">
        <v>161.13999999999999</v>
      </c>
      <c r="S2478" s="20">
        <v>0</v>
      </c>
      <c r="T2478" s="20">
        <v>161.13999999999999</v>
      </c>
      <c r="U2478" s="20">
        <v>0</v>
      </c>
      <c r="V2478" s="20">
        <v>0</v>
      </c>
      <c r="W2478" s="20">
        <v>-1.34</v>
      </c>
      <c r="X2478" s="20">
        <v>-1.34</v>
      </c>
      <c r="Y2478" s="20">
        <v>0</v>
      </c>
      <c r="Z2478" s="20">
        <v>0</v>
      </c>
      <c r="AA2478" s="20">
        <v>0</v>
      </c>
      <c r="AB2478" s="20">
        <v>159.80000000000001</v>
      </c>
      <c r="AC2478" t="s">
        <v>188</v>
      </c>
      <c r="AD2478" t="s">
        <v>290</v>
      </c>
      <c r="AE2478" s="702">
        <f t="shared" si="190"/>
        <v>44713</v>
      </c>
      <c r="AF2478" s="289">
        <v>158.26348312531945</v>
      </c>
      <c r="AG2478">
        <f t="shared" si="191"/>
        <v>360</v>
      </c>
      <c r="AH2478" s="289">
        <f t="shared" si="192"/>
        <v>0.4396207864592207</v>
      </c>
      <c r="AJ2478" s="289">
        <f t="shared" si="193"/>
        <v>6</v>
      </c>
      <c r="AK2478" s="289">
        <f t="shared" si="194"/>
        <v>2.6377247187553241</v>
      </c>
    </row>
    <row r="2479" spans="1:37">
      <c r="A2479" s="703" t="s">
        <v>4291</v>
      </c>
      <c r="B2479" s="703" t="s">
        <v>3743</v>
      </c>
      <c r="C2479" s="703" t="s">
        <v>390</v>
      </c>
      <c r="D2479" s="703" t="s">
        <v>334</v>
      </c>
      <c r="E2479" s="703" t="s">
        <v>334</v>
      </c>
      <c r="F2479" s="703" t="s">
        <v>335</v>
      </c>
      <c r="G2479" s="703" t="s">
        <v>4292</v>
      </c>
      <c r="H2479" s="703" t="s">
        <v>334</v>
      </c>
      <c r="I2479" s="703" t="s">
        <v>334</v>
      </c>
      <c r="J2479" s="703" t="s">
        <v>337</v>
      </c>
      <c r="K2479" s="704">
        <v>0</v>
      </c>
      <c r="L2479" s="703" t="s">
        <v>334</v>
      </c>
      <c r="M2479" s="702">
        <v>43251</v>
      </c>
      <c r="N2479" s="702">
        <v>44825</v>
      </c>
      <c r="O2479" s="703" t="s">
        <v>338</v>
      </c>
      <c r="P2479" s="20">
        <v>0</v>
      </c>
      <c r="Q2479" s="20">
        <v>0</v>
      </c>
      <c r="R2479" s="20">
        <v>8961.5</v>
      </c>
      <c r="S2479" s="20">
        <v>0</v>
      </c>
      <c r="T2479" s="20">
        <v>8961.5</v>
      </c>
      <c r="U2479" s="20">
        <v>0</v>
      </c>
      <c r="V2479" s="20">
        <v>0</v>
      </c>
      <c r="W2479" s="20">
        <v>-74.680000000000007</v>
      </c>
      <c r="X2479" s="20">
        <v>-74.680000000000007</v>
      </c>
      <c r="Y2479" s="20">
        <v>0</v>
      </c>
      <c r="Z2479" s="20">
        <v>0</v>
      </c>
      <c r="AA2479" s="20">
        <v>0</v>
      </c>
      <c r="AB2479" s="20">
        <v>8886.82</v>
      </c>
      <c r="AC2479" t="s">
        <v>188</v>
      </c>
      <c r="AD2479" t="s">
        <v>290</v>
      </c>
      <c r="AE2479" s="702">
        <f t="shared" si="190"/>
        <v>44713</v>
      </c>
      <c r="AF2479" s="289">
        <v>8801.5278889633282</v>
      </c>
      <c r="AG2479">
        <f t="shared" si="191"/>
        <v>360</v>
      </c>
      <c r="AH2479" s="289">
        <f t="shared" si="192"/>
        <v>24.448688580453691</v>
      </c>
      <c r="AJ2479" s="289">
        <f t="shared" si="193"/>
        <v>6</v>
      </c>
      <c r="AK2479" s="289">
        <f t="shared" si="194"/>
        <v>146.69213148272215</v>
      </c>
    </row>
    <row r="2480" spans="1:37">
      <c r="A2480" s="703" t="s">
        <v>4293</v>
      </c>
      <c r="B2480" s="703" t="s">
        <v>3743</v>
      </c>
      <c r="C2480" s="703" t="s">
        <v>390</v>
      </c>
      <c r="D2480" s="703" t="s">
        <v>334</v>
      </c>
      <c r="E2480" s="703" t="s">
        <v>334</v>
      </c>
      <c r="F2480" s="703" t="s">
        <v>335</v>
      </c>
      <c r="G2480" s="703" t="s">
        <v>4294</v>
      </c>
      <c r="H2480" s="703" t="s">
        <v>334</v>
      </c>
      <c r="I2480" s="703" t="s">
        <v>334</v>
      </c>
      <c r="J2480" s="703" t="s">
        <v>337</v>
      </c>
      <c r="K2480" s="704">
        <v>0</v>
      </c>
      <c r="L2480" s="703" t="s">
        <v>334</v>
      </c>
      <c r="M2480" s="702">
        <v>43251</v>
      </c>
      <c r="N2480" s="702">
        <v>44825</v>
      </c>
      <c r="O2480" s="703" t="s">
        <v>338</v>
      </c>
      <c r="P2480" s="20">
        <v>0</v>
      </c>
      <c r="Q2480" s="20">
        <v>0</v>
      </c>
      <c r="R2480" s="20">
        <v>2308.6799999999998</v>
      </c>
      <c r="S2480" s="20">
        <v>0</v>
      </c>
      <c r="T2480" s="20">
        <v>2308.6799999999998</v>
      </c>
      <c r="U2480" s="20">
        <v>0</v>
      </c>
      <c r="V2480" s="20">
        <v>0</v>
      </c>
      <c r="W2480" s="20">
        <v>-19.239999999999998</v>
      </c>
      <c r="X2480" s="20">
        <v>-19.239999999999998</v>
      </c>
      <c r="Y2480" s="20">
        <v>0</v>
      </c>
      <c r="Z2480" s="20">
        <v>0</v>
      </c>
      <c r="AA2480" s="20">
        <v>0</v>
      </c>
      <c r="AB2480" s="20">
        <v>2289.44</v>
      </c>
      <c r="AC2480" t="s">
        <v>188</v>
      </c>
      <c r="AD2480" t="s">
        <v>290</v>
      </c>
      <c r="AE2480" s="702">
        <f t="shared" si="190"/>
        <v>44713</v>
      </c>
      <c r="AF2480" s="289">
        <v>2267.4676568310942</v>
      </c>
      <c r="AG2480">
        <f t="shared" si="191"/>
        <v>360</v>
      </c>
      <c r="AH2480" s="289">
        <f t="shared" si="192"/>
        <v>6.2985212689752617</v>
      </c>
      <c r="AJ2480" s="289">
        <f t="shared" si="193"/>
        <v>6</v>
      </c>
      <c r="AK2480" s="289">
        <f t="shared" si="194"/>
        <v>37.791127613851572</v>
      </c>
    </row>
    <row r="2481" spans="1:37">
      <c r="A2481" s="703" t="s">
        <v>4295</v>
      </c>
      <c r="B2481" s="703" t="s">
        <v>3743</v>
      </c>
      <c r="C2481" s="703" t="s">
        <v>390</v>
      </c>
      <c r="D2481" s="703" t="s">
        <v>334</v>
      </c>
      <c r="E2481" s="703" t="s">
        <v>334</v>
      </c>
      <c r="F2481" s="703" t="s">
        <v>335</v>
      </c>
      <c r="G2481" s="703" t="s">
        <v>4296</v>
      </c>
      <c r="H2481" s="703" t="s">
        <v>334</v>
      </c>
      <c r="I2481" s="703" t="s">
        <v>334</v>
      </c>
      <c r="J2481" s="703" t="s">
        <v>337</v>
      </c>
      <c r="K2481" s="704">
        <v>0</v>
      </c>
      <c r="L2481" s="703" t="s">
        <v>334</v>
      </c>
      <c r="M2481" s="702">
        <v>43251</v>
      </c>
      <c r="N2481" s="702">
        <v>44825</v>
      </c>
      <c r="O2481" s="703" t="s">
        <v>338</v>
      </c>
      <c r="P2481" s="20">
        <v>0</v>
      </c>
      <c r="Q2481" s="20">
        <v>0</v>
      </c>
      <c r="R2481" s="20">
        <v>137.12</v>
      </c>
      <c r="S2481" s="20">
        <v>0</v>
      </c>
      <c r="T2481" s="20">
        <v>137.12</v>
      </c>
      <c r="U2481" s="20">
        <v>0</v>
      </c>
      <c r="V2481" s="20">
        <v>0</v>
      </c>
      <c r="W2481" s="20">
        <v>-1.1399999999999999</v>
      </c>
      <c r="X2481" s="20">
        <v>-1.1399999999999999</v>
      </c>
      <c r="Y2481" s="20">
        <v>0</v>
      </c>
      <c r="Z2481" s="20">
        <v>0</v>
      </c>
      <c r="AA2481" s="20">
        <v>0</v>
      </c>
      <c r="AB2481" s="20">
        <v>135.97999999999999</v>
      </c>
      <c r="AC2481" t="s">
        <v>188</v>
      </c>
      <c r="AD2481" t="s">
        <v>290</v>
      </c>
      <c r="AE2481" s="702">
        <f t="shared" si="190"/>
        <v>44713</v>
      </c>
      <c r="AF2481" s="289">
        <v>134.67226514921066</v>
      </c>
      <c r="AG2481">
        <f t="shared" si="191"/>
        <v>360</v>
      </c>
      <c r="AH2481" s="289">
        <f t="shared" si="192"/>
        <v>0.37408962541447405</v>
      </c>
      <c r="AJ2481" s="289">
        <f t="shared" si="193"/>
        <v>6</v>
      </c>
      <c r="AK2481" s="289">
        <f t="shared" si="194"/>
        <v>2.2445377524868442</v>
      </c>
    </row>
    <row r="2482" spans="1:37">
      <c r="A2482" s="703" t="s">
        <v>4297</v>
      </c>
      <c r="B2482" s="703" t="s">
        <v>3743</v>
      </c>
      <c r="C2482" s="703" t="s">
        <v>390</v>
      </c>
      <c r="D2482" s="703" t="s">
        <v>334</v>
      </c>
      <c r="E2482" s="703" t="s">
        <v>334</v>
      </c>
      <c r="F2482" s="703" t="s">
        <v>335</v>
      </c>
      <c r="G2482" s="703" t="s">
        <v>4298</v>
      </c>
      <c r="H2482" s="703" t="s">
        <v>334</v>
      </c>
      <c r="I2482" s="703" t="s">
        <v>334</v>
      </c>
      <c r="J2482" s="703" t="s">
        <v>337</v>
      </c>
      <c r="K2482" s="704">
        <v>0</v>
      </c>
      <c r="L2482" s="703" t="s">
        <v>334</v>
      </c>
      <c r="M2482" s="702">
        <v>43921</v>
      </c>
      <c r="N2482" s="702">
        <v>44825</v>
      </c>
      <c r="O2482" s="703" t="s">
        <v>338</v>
      </c>
      <c r="P2482" s="20">
        <v>0</v>
      </c>
      <c r="Q2482" s="20">
        <v>0</v>
      </c>
      <c r="R2482" s="20">
        <v>10142.129999999999</v>
      </c>
      <c r="S2482" s="20">
        <v>0</v>
      </c>
      <c r="T2482" s="20">
        <v>10142.129999999999</v>
      </c>
      <c r="U2482" s="20">
        <v>0</v>
      </c>
      <c r="V2482" s="20">
        <v>0</v>
      </c>
      <c r="W2482" s="20">
        <v>-84.52</v>
      </c>
      <c r="X2482" s="20">
        <v>-84.52</v>
      </c>
      <c r="Y2482" s="20">
        <v>0</v>
      </c>
      <c r="Z2482" s="20">
        <v>0</v>
      </c>
      <c r="AA2482" s="20">
        <v>0</v>
      </c>
      <c r="AB2482" s="20">
        <v>10057.61</v>
      </c>
      <c r="AC2482" t="s">
        <v>188</v>
      </c>
      <c r="AD2482" t="s">
        <v>290</v>
      </c>
      <c r="AE2482" s="702">
        <f t="shared" si="190"/>
        <v>44713</v>
      </c>
      <c r="AF2482" s="289">
        <v>9961.0824134901104</v>
      </c>
      <c r="AG2482">
        <f t="shared" si="191"/>
        <v>360</v>
      </c>
      <c r="AH2482" s="289">
        <f t="shared" si="192"/>
        <v>27.669673370805864</v>
      </c>
      <c r="AJ2482" s="289">
        <f t="shared" si="193"/>
        <v>6</v>
      </c>
      <c r="AK2482" s="289">
        <f t="shared" si="194"/>
        <v>166.01804022483518</v>
      </c>
    </row>
    <row r="2483" spans="1:37">
      <c r="A2483" s="703" t="s">
        <v>4299</v>
      </c>
      <c r="B2483" s="703" t="s">
        <v>3743</v>
      </c>
      <c r="C2483" s="703" t="s">
        <v>574</v>
      </c>
      <c r="D2483" s="703" t="s">
        <v>334</v>
      </c>
      <c r="E2483" s="703" t="s">
        <v>334</v>
      </c>
      <c r="F2483" s="703" t="s">
        <v>335</v>
      </c>
      <c r="G2483" s="703" t="s">
        <v>4300</v>
      </c>
      <c r="H2483" s="703" t="s">
        <v>334</v>
      </c>
      <c r="I2483" s="703" t="s">
        <v>334</v>
      </c>
      <c r="J2483" s="703" t="s">
        <v>577</v>
      </c>
      <c r="K2483" s="704">
        <v>0</v>
      </c>
      <c r="L2483" s="703" t="s">
        <v>334</v>
      </c>
      <c r="M2483" s="702">
        <v>43496</v>
      </c>
      <c r="N2483" s="702">
        <v>44825</v>
      </c>
      <c r="O2483" s="703" t="s">
        <v>338</v>
      </c>
      <c r="P2483" s="20">
        <v>0</v>
      </c>
      <c r="Q2483" s="20">
        <v>0</v>
      </c>
      <c r="R2483" s="20">
        <v>577</v>
      </c>
      <c r="S2483" s="20">
        <v>0</v>
      </c>
      <c r="T2483" s="20">
        <v>577</v>
      </c>
      <c r="U2483" s="20">
        <v>0</v>
      </c>
      <c r="V2483" s="20">
        <v>0</v>
      </c>
      <c r="W2483" s="20">
        <v>-4.8099999999999996</v>
      </c>
      <c r="X2483" s="20">
        <v>-4.8099999999999996</v>
      </c>
      <c r="Y2483" s="20">
        <v>0</v>
      </c>
      <c r="Z2483" s="20">
        <v>0</v>
      </c>
      <c r="AA2483" s="20">
        <v>0</v>
      </c>
      <c r="AB2483" s="20">
        <v>572.19000000000005</v>
      </c>
      <c r="AC2483" t="s">
        <v>578</v>
      </c>
      <c r="AD2483" t="s">
        <v>290</v>
      </c>
      <c r="AE2483" s="702">
        <f t="shared" si="190"/>
        <v>44713</v>
      </c>
      <c r="AF2483" s="289">
        <v>566.69994888487861</v>
      </c>
      <c r="AG2483">
        <f t="shared" si="191"/>
        <v>360</v>
      </c>
      <c r="AH2483" s="289">
        <f t="shared" si="192"/>
        <v>1.5741665246802183</v>
      </c>
      <c r="AJ2483" s="289">
        <f t="shared" si="193"/>
        <v>6</v>
      </c>
      <c r="AK2483" s="289">
        <f t="shared" si="194"/>
        <v>9.44499914808131</v>
      </c>
    </row>
    <row r="2484" spans="1:37">
      <c r="A2484" s="703" t="s">
        <v>4301</v>
      </c>
      <c r="B2484" s="703" t="s">
        <v>3743</v>
      </c>
      <c r="C2484" s="703" t="s">
        <v>574</v>
      </c>
      <c r="D2484" s="703" t="s">
        <v>334</v>
      </c>
      <c r="E2484" s="703" t="s">
        <v>334</v>
      </c>
      <c r="F2484" s="703" t="s">
        <v>335</v>
      </c>
      <c r="G2484" s="703" t="s">
        <v>4302</v>
      </c>
      <c r="H2484" s="703" t="s">
        <v>334</v>
      </c>
      <c r="I2484" s="703" t="s">
        <v>334</v>
      </c>
      <c r="J2484" s="703" t="s">
        <v>577</v>
      </c>
      <c r="K2484" s="704">
        <v>0</v>
      </c>
      <c r="L2484" s="703" t="s">
        <v>334</v>
      </c>
      <c r="M2484" s="702">
        <v>43496</v>
      </c>
      <c r="N2484" s="702">
        <v>44825</v>
      </c>
      <c r="O2484" s="703" t="s">
        <v>338</v>
      </c>
      <c r="P2484" s="20">
        <v>0</v>
      </c>
      <c r="Q2484" s="20">
        <v>0</v>
      </c>
      <c r="R2484" s="20">
        <v>510.41</v>
      </c>
      <c r="S2484" s="20">
        <v>0</v>
      </c>
      <c r="T2484" s="20">
        <v>510.41</v>
      </c>
      <c r="U2484" s="20">
        <v>0</v>
      </c>
      <c r="V2484" s="20">
        <v>0</v>
      </c>
      <c r="W2484" s="20">
        <v>-4.25</v>
      </c>
      <c r="X2484" s="20">
        <v>-4.25</v>
      </c>
      <c r="Y2484" s="20">
        <v>0</v>
      </c>
      <c r="Z2484" s="20">
        <v>0</v>
      </c>
      <c r="AA2484" s="20">
        <v>0</v>
      </c>
      <c r="AB2484" s="20">
        <v>506.16</v>
      </c>
      <c r="AC2484" t="s">
        <v>578</v>
      </c>
      <c r="AD2484" t="s">
        <v>290</v>
      </c>
      <c r="AE2484" s="702">
        <f t="shared" si="190"/>
        <v>44713</v>
      </c>
      <c r="AF2484" s="289">
        <v>501.29864975793919</v>
      </c>
      <c r="AG2484">
        <f t="shared" si="191"/>
        <v>360</v>
      </c>
      <c r="AH2484" s="289">
        <f t="shared" si="192"/>
        <v>1.392496249327609</v>
      </c>
      <c r="AJ2484" s="289">
        <f t="shared" si="193"/>
        <v>6</v>
      </c>
      <c r="AK2484" s="289">
        <f t="shared" si="194"/>
        <v>8.3549774959656542</v>
      </c>
    </row>
    <row r="2485" spans="1:37">
      <c r="A2485" s="703" t="s">
        <v>4303</v>
      </c>
      <c r="B2485" s="703" t="s">
        <v>3743</v>
      </c>
      <c r="C2485" s="703" t="s">
        <v>574</v>
      </c>
      <c r="D2485" s="703" t="s">
        <v>334</v>
      </c>
      <c r="E2485" s="703" t="s">
        <v>334</v>
      </c>
      <c r="F2485" s="703" t="s">
        <v>335</v>
      </c>
      <c r="G2485" s="703" t="s">
        <v>4304</v>
      </c>
      <c r="H2485" s="703" t="s">
        <v>334</v>
      </c>
      <c r="I2485" s="703" t="s">
        <v>334</v>
      </c>
      <c r="J2485" s="703" t="s">
        <v>577</v>
      </c>
      <c r="K2485" s="704">
        <v>0</v>
      </c>
      <c r="L2485" s="703" t="s">
        <v>334</v>
      </c>
      <c r="M2485" s="702">
        <v>43496</v>
      </c>
      <c r="N2485" s="702">
        <v>44825</v>
      </c>
      <c r="O2485" s="703" t="s">
        <v>338</v>
      </c>
      <c r="P2485" s="20">
        <v>0</v>
      </c>
      <c r="Q2485" s="20">
        <v>0</v>
      </c>
      <c r="R2485" s="20">
        <v>21.8</v>
      </c>
      <c r="S2485" s="20">
        <v>0</v>
      </c>
      <c r="T2485" s="20">
        <v>21.8</v>
      </c>
      <c r="U2485" s="20">
        <v>0</v>
      </c>
      <c r="V2485" s="20">
        <v>0</v>
      </c>
      <c r="W2485" s="20">
        <v>-0.18</v>
      </c>
      <c r="X2485" s="20">
        <v>-0.18</v>
      </c>
      <c r="Y2485" s="20">
        <v>0</v>
      </c>
      <c r="Z2485" s="20">
        <v>0</v>
      </c>
      <c r="AA2485" s="20">
        <v>0</v>
      </c>
      <c r="AB2485" s="20">
        <v>21.62</v>
      </c>
      <c r="AC2485" t="s">
        <v>578</v>
      </c>
      <c r="AD2485" t="s">
        <v>290</v>
      </c>
      <c r="AE2485" s="702">
        <f t="shared" si="190"/>
        <v>44713</v>
      </c>
      <c r="AF2485" s="289">
        <v>21.410847288891429</v>
      </c>
      <c r="AG2485">
        <f t="shared" si="191"/>
        <v>360</v>
      </c>
      <c r="AH2485" s="289">
        <f t="shared" si="192"/>
        <v>5.9474575802476191E-2</v>
      </c>
      <c r="AJ2485" s="289">
        <f t="shared" si="193"/>
        <v>6</v>
      </c>
      <c r="AK2485" s="289">
        <f t="shared" si="194"/>
        <v>0.35684745481485713</v>
      </c>
    </row>
    <row r="2486" spans="1:37">
      <c r="A2486" s="703" t="s">
        <v>4305</v>
      </c>
      <c r="B2486" s="703" t="s">
        <v>3743</v>
      </c>
      <c r="C2486" s="703" t="s">
        <v>574</v>
      </c>
      <c r="D2486" s="703" t="s">
        <v>334</v>
      </c>
      <c r="E2486" s="703" t="s">
        <v>334</v>
      </c>
      <c r="F2486" s="703" t="s">
        <v>335</v>
      </c>
      <c r="G2486" s="703" t="s">
        <v>4306</v>
      </c>
      <c r="H2486" s="703" t="s">
        <v>334</v>
      </c>
      <c r="I2486" s="703" t="s">
        <v>334</v>
      </c>
      <c r="J2486" s="703" t="s">
        <v>577</v>
      </c>
      <c r="K2486" s="704">
        <v>0</v>
      </c>
      <c r="L2486" s="703" t="s">
        <v>334</v>
      </c>
      <c r="M2486" s="702">
        <v>43496</v>
      </c>
      <c r="N2486" s="702">
        <v>44825</v>
      </c>
      <c r="O2486" s="703" t="s">
        <v>338</v>
      </c>
      <c r="P2486" s="20">
        <v>0</v>
      </c>
      <c r="Q2486" s="20">
        <v>0</v>
      </c>
      <c r="R2486" s="20">
        <v>13.13</v>
      </c>
      <c r="S2486" s="20">
        <v>0</v>
      </c>
      <c r="T2486" s="20">
        <v>13.13</v>
      </c>
      <c r="U2486" s="20">
        <v>0</v>
      </c>
      <c r="V2486" s="20">
        <v>0</v>
      </c>
      <c r="W2486" s="20">
        <v>-0.11</v>
      </c>
      <c r="X2486" s="20">
        <v>-0.11</v>
      </c>
      <c r="Y2486" s="20">
        <v>0</v>
      </c>
      <c r="Z2486" s="20">
        <v>0</v>
      </c>
      <c r="AA2486" s="20">
        <v>0</v>
      </c>
      <c r="AB2486" s="20">
        <v>13.02</v>
      </c>
      <c r="AC2486" t="s">
        <v>578</v>
      </c>
      <c r="AD2486" t="s">
        <v>290</v>
      </c>
      <c r="AE2486" s="702">
        <f t="shared" si="190"/>
        <v>44713</v>
      </c>
      <c r="AF2486" s="289">
        <v>12.895615821245158</v>
      </c>
      <c r="AG2486">
        <f t="shared" si="191"/>
        <v>360</v>
      </c>
      <c r="AH2486" s="289">
        <f t="shared" si="192"/>
        <v>3.5821155059014329E-2</v>
      </c>
      <c r="AJ2486" s="289">
        <f t="shared" si="193"/>
        <v>6</v>
      </c>
      <c r="AK2486" s="289">
        <f t="shared" si="194"/>
        <v>0.21492693035408597</v>
      </c>
    </row>
    <row r="2487" spans="1:37">
      <c r="A2487" s="703" t="s">
        <v>4307</v>
      </c>
      <c r="B2487" s="703" t="s">
        <v>3743</v>
      </c>
      <c r="C2487" s="703" t="s">
        <v>574</v>
      </c>
      <c r="D2487" s="703" t="s">
        <v>334</v>
      </c>
      <c r="E2487" s="703" t="s">
        <v>334</v>
      </c>
      <c r="F2487" s="703" t="s">
        <v>335</v>
      </c>
      <c r="G2487" s="703" t="s">
        <v>4308</v>
      </c>
      <c r="H2487" s="703" t="s">
        <v>334</v>
      </c>
      <c r="I2487" s="703" t="s">
        <v>334</v>
      </c>
      <c r="J2487" s="703" t="s">
        <v>577</v>
      </c>
      <c r="K2487" s="704">
        <v>0</v>
      </c>
      <c r="L2487" s="703" t="s">
        <v>334</v>
      </c>
      <c r="M2487" s="702">
        <v>43496</v>
      </c>
      <c r="N2487" s="702">
        <v>44825</v>
      </c>
      <c r="O2487" s="703" t="s">
        <v>338</v>
      </c>
      <c r="P2487" s="20">
        <v>0</v>
      </c>
      <c r="Q2487" s="20">
        <v>0</v>
      </c>
      <c r="R2487" s="20">
        <v>47.47</v>
      </c>
      <c r="S2487" s="20">
        <v>0</v>
      </c>
      <c r="T2487" s="20">
        <v>47.47</v>
      </c>
      <c r="U2487" s="20">
        <v>0</v>
      </c>
      <c r="V2487" s="20">
        <v>0</v>
      </c>
      <c r="W2487" s="20">
        <v>-0.4</v>
      </c>
      <c r="X2487" s="20">
        <v>-0.4</v>
      </c>
      <c r="Y2487" s="20">
        <v>0</v>
      </c>
      <c r="Z2487" s="20">
        <v>0</v>
      </c>
      <c r="AA2487" s="20">
        <v>0</v>
      </c>
      <c r="AB2487" s="20">
        <v>47.07</v>
      </c>
      <c r="AC2487" t="s">
        <v>578</v>
      </c>
      <c r="AD2487" t="s">
        <v>290</v>
      </c>
      <c r="AE2487" s="702">
        <f t="shared" si="190"/>
        <v>44713</v>
      </c>
      <c r="AF2487" s="289">
        <v>46.622611046040184</v>
      </c>
      <c r="AG2487">
        <f t="shared" si="191"/>
        <v>360</v>
      </c>
      <c r="AH2487" s="289">
        <f t="shared" si="192"/>
        <v>0.12950725290566717</v>
      </c>
      <c r="AJ2487" s="289">
        <f t="shared" si="193"/>
        <v>6</v>
      </c>
      <c r="AK2487" s="289">
        <f t="shared" si="194"/>
        <v>0.77704351743400302</v>
      </c>
    </row>
    <row r="2488" spans="1:37">
      <c r="A2488" s="703" t="s">
        <v>4309</v>
      </c>
      <c r="B2488" s="703" t="s">
        <v>3743</v>
      </c>
      <c r="C2488" s="703" t="s">
        <v>574</v>
      </c>
      <c r="D2488" s="703" t="s">
        <v>334</v>
      </c>
      <c r="E2488" s="703" t="s">
        <v>334</v>
      </c>
      <c r="F2488" s="703" t="s">
        <v>335</v>
      </c>
      <c r="G2488" s="703" t="s">
        <v>4310</v>
      </c>
      <c r="H2488" s="703" t="s">
        <v>334</v>
      </c>
      <c r="I2488" s="703" t="s">
        <v>334</v>
      </c>
      <c r="J2488" s="703" t="s">
        <v>577</v>
      </c>
      <c r="K2488" s="704">
        <v>0</v>
      </c>
      <c r="L2488" s="703" t="s">
        <v>334</v>
      </c>
      <c r="M2488" s="702">
        <v>43496</v>
      </c>
      <c r="N2488" s="702">
        <v>44825</v>
      </c>
      <c r="O2488" s="703" t="s">
        <v>338</v>
      </c>
      <c r="P2488" s="20">
        <v>0</v>
      </c>
      <c r="Q2488" s="20">
        <v>0</v>
      </c>
      <c r="R2488" s="20">
        <v>98.3</v>
      </c>
      <c r="S2488" s="20">
        <v>0</v>
      </c>
      <c r="T2488" s="20">
        <v>98.3</v>
      </c>
      <c r="U2488" s="20">
        <v>0</v>
      </c>
      <c r="V2488" s="20">
        <v>0</v>
      </c>
      <c r="W2488" s="20">
        <v>-0.82</v>
      </c>
      <c r="X2488" s="20">
        <v>-0.82</v>
      </c>
      <c r="Y2488" s="20">
        <v>0</v>
      </c>
      <c r="Z2488" s="20">
        <v>0</v>
      </c>
      <c r="AA2488" s="20">
        <v>0</v>
      </c>
      <c r="AB2488" s="20">
        <v>97.48</v>
      </c>
      <c r="AC2488" t="s">
        <v>578</v>
      </c>
      <c r="AD2488" t="s">
        <v>290</v>
      </c>
      <c r="AE2488" s="702">
        <f t="shared" si="190"/>
        <v>44713</v>
      </c>
      <c r="AF2488" s="289">
        <v>96.545242591652624</v>
      </c>
      <c r="AG2488">
        <f t="shared" si="191"/>
        <v>360</v>
      </c>
      <c r="AH2488" s="289">
        <f t="shared" si="192"/>
        <v>0.26818122942125727</v>
      </c>
      <c r="AJ2488" s="289">
        <f t="shared" si="193"/>
        <v>6</v>
      </c>
      <c r="AK2488" s="289">
        <f t="shared" si="194"/>
        <v>1.6090873765275435</v>
      </c>
    </row>
    <row r="2489" spans="1:37">
      <c r="A2489" s="703" t="s">
        <v>4311</v>
      </c>
      <c r="B2489" s="703" t="s">
        <v>3743</v>
      </c>
      <c r="C2489" s="703" t="s">
        <v>574</v>
      </c>
      <c r="D2489" s="703" t="s">
        <v>334</v>
      </c>
      <c r="E2489" s="703" t="s">
        <v>334</v>
      </c>
      <c r="F2489" s="703" t="s">
        <v>335</v>
      </c>
      <c r="G2489" s="703" t="s">
        <v>4312</v>
      </c>
      <c r="H2489" s="703" t="s">
        <v>334</v>
      </c>
      <c r="I2489" s="703" t="s">
        <v>334</v>
      </c>
      <c r="J2489" s="703" t="s">
        <v>577</v>
      </c>
      <c r="K2489" s="704">
        <v>0</v>
      </c>
      <c r="L2489" s="703" t="s">
        <v>334</v>
      </c>
      <c r="M2489" s="702">
        <v>43496</v>
      </c>
      <c r="N2489" s="702">
        <v>44825</v>
      </c>
      <c r="O2489" s="703" t="s">
        <v>338</v>
      </c>
      <c r="P2489" s="20">
        <v>0</v>
      </c>
      <c r="Q2489" s="20">
        <v>0</v>
      </c>
      <c r="R2489" s="20">
        <v>318</v>
      </c>
      <c r="S2489" s="20">
        <v>0</v>
      </c>
      <c r="T2489" s="20">
        <v>318</v>
      </c>
      <c r="U2489" s="20">
        <v>0</v>
      </c>
      <c r="V2489" s="20">
        <v>0</v>
      </c>
      <c r="W2489" s="20">
        <v>-2.65</v>
      </c>
      <c r="X2489" s="20">
        <v>-2.65</v>
      </c>
      <c r="Y2489" s="20">
        <v>0</v>
      </c>
      <c r="Z2489" s="20">
        <v>0</v>
      </c>
      <c r="AA2489" s="20">
        <v>0</v>
      </c>
      <c r="AB2489" s="20">
        <v>315.35000000000002</v>
      </c>
      <c r="AC2489" t="s">
        <v>578</v>
      </c>
      <c r="AD2489" t="s">
        <v>290</v>
      </c>
      <c r="AE2489" s="702">
        <f t="shared" si="190"/>
        <v>44713</v>
      </c>
      <c r="AF2489" s="289">
        <v>312.32336870951713</v>
      </c>
      <c r="AG2489">
        <f t="shared" si="191"/>
        <v>360</v>
      </c>
      <c r="AH2489" s="289">
        <f t="shared" si="192"/>
        <v>0.86756491308199202</v>
      </c>
      <c r="AJ2489" s="289">
        <f t="shared" si="193"/>
        <v>6</v>
      </c>
      <c r="AK2489" s="289">
        <f t="shared" si="194"/>
        <v>5.2053894784919521</v>
      </c>
    </row>
    <row r="2490" spans="1:37">
      <c r="A2490" s="703" t="s">
        <v>4313</v>
      </c>
      <c r="B2490" s="703" t="s">
        <v>3743</v>
      </c>
      <c r="C2490" s="703" t="s">
        <v>574</v>
      </c>
      <c r="D2490" s="703" t="s">
        <v>334</v>
      </c>
      <c r="E2490" s="703" t="s">
        <v>334</v>
      </c>
      <c r="F2490" s="703" t="s">
        <v>335</v>
      </c>
      <c r="G2490" s="703" t="s">
        <v>4314</v>
      </c>
      <c r="H2490" s="703" t="s">
        <v>334</v>
      </c>
      <c r="I2490" s="703" t="s">
        <v>334</v>
      </c>
      <c r="J2490" s="703" t="s">
        <v>577</v>
      </c>
      <c r="K2490" s="704">
        <v>0</v>
      </c>
      <c r="L2490" s="703" t="s">
        <v>334</v>
      </c>
      <c r="M2490" s="702">
        <v>43496</v>
      </c>
      <c r="N2490" s="702">
        <v>44825</v>
      </c>
      <c r="O2490" s="703" t="s">
        <v>338</v>
      </c>
      <c r="P2490" s="20">
        <v>0</v>
      </c>
      <c r="Q2490" s="20">
        <v>0</v>
      </c>
      <c r="R2490" s="20">
        <v>456.38</v>
      </c>
      <c r="S2490" s="20">
        <v>0</v>
      </c>
      <c r="T2490" s="20">
        <v>456.38</v>
      </c>
      <c r="U2490" s="20">
        <v>0</v>
      </c>
      <c r="V2490" s="20">
        <v>0</v>
      </c>
      <c r="W2490" s="20">
        <v>-3.8</v>
      </c>
      <c r="X2490" s="20">
        <v>-3.8</v>
      </c>
      <c r="Y2490" s="20">
        <v>0</v>
      </c>
      <c r="Z2490" s="20">
        <v>0</v>
      </c>
      <c r="AA2490" s="20">
        <v>0</v>
      </c>
      <c r="AB2490" s="20">
        <v>452.58</v>
      </c>
      <c r="AC2490" t="s">
        <v>578</v>
      </c>
      <c r="AD2490" t="s">
        <v>290</v>
      </c>
      <c r="AE2490" s="702">
        <f t="shared" si="190"/>
        <v>44713</v>
      </c>
      <c r="AF2490" s="289">
        <v>448.23314154606743</v>
      </c>
      <c r="AG2490">
        <f t="shared" si="191"/>
        <v>360</v>
      </c>
      <c r="AH2490" s="289">
        <f t="shared" si="192"/>
        <v>1.2450920598501873</v>
      </c>
      <c r="AJ2490" s="289">
        <f t="shared" si="193"/>
        <v>6</v>
      </c>
      <c r="AK2490" s="289">
        <f t="shared" si="194"/>
        <v>7.4705523591011236</v>
      </c>
    </row>
    <row r="2491" spans="1:37">
      <c r="A2491" s="703" t="s">
        <v>4315</v>
      </c>
      <c r="B2491" s="703" t="s">
        <v>3743</v>
      </c>
      <c r="C2491" s="703" t="s">
        <v>574</v>
      </c>
      <c r="D2491" s="703" t="s">
        <v>334</v>
      </c>
      <c r="E2491" s="703" t="s">
        <v>334</v>
      </c>
      <c r="F2491" s="703" t="s">
        <v>335</v>
      </c>
      <c r="G2491" s="703" t="s">
        <v>4316</v>
      </c>
      <c r="H2491" s="703" t="s">
        <v>334</v>
      </c>
      <c r="I2491" s="703" t="s">
        <v>334</v>
      </c>
      <c r="J2491" s="703" t="s">
        <v>577</v>
      </c>
      <c r="K2491" s="704">
        <v>0</v>
      </c>
      <c r="L2491" s="703" t="s">
        <v>334</v>
      </c>
      <c r="M2491" s="702">
        <v>43496</v>
      </c>
      <c r="N2491" s="702">
        <v>44825</v>
      </c>
      <c r="O2491" s="703" t="s">
        <v>338</v>
      </c>
      <c r="P2491" s="20">
        <v>0</v>
      </c>
      <c r="Q2491" s="20">
        <v>0</v>
      </c>
      <c r="R2491" s="20">
        <v>5.31</v>
      </c>
      <c r="S2491" s="20">
        <v>0</v>
      </c>
      <c r="T2491" s="20">
        <v>5.31</v>
      </c>
      <c r="U2491" s="20">
        <v>0</v>
      </c>
      <c r="V2491" s="20">
        <v>0</v>
      </c>
      <c r="W2491" s="20">
        <v>-0.04</v>
      </c>
      <c r="X2491" s="20">
        <v>-0.04</v>
      </c>
      <c r="Y2491" s="20">
        <v>0</v>
      </c>
      <c r="Z2491" s="20">
        <v>0</v>
      </c>
      <c r="AA2491" s="20">
        <v>0</v>
      </c>
      <c r="AB2491" s="20">
        <v>5.27</v>
      </c>
      <c r="AC2491" t="s">
        <v>578</v>
      </c>
      <c r="AD2491" t="s">
        <v>290</v>
      </c>
      <c r="AE2491" s="702">
        <f t="shared" si="190"/>
        <v>44713</v>
      </c>
      <c r="AF2491" s="289">
        <v>5.2152109680740129</v>
      </c>
      <c r="AG2491">
        <f t="shared" si="191"/>
        <v>360</v>
      </c>
      <c r="AH2491" s="289">
        <f t="shared" si="192"/>
        <v>1.4486697133538924E-2</v>
      </c>
      <c r="AJ2491" s="289">
        <f t="shared" si="193"/>
        <v>6</v>
      </c>
      <c r="AK2491" s="289">
        <f t="shared" si="194"/>
        <v>8.692018280123355E-2</v>
      </c>
    </row>
    <row r="2492" spans="1:37">
      <c r="A2492" s="703" t="s">
        <v>4317</v>
      </c>
      <c r="B2492" s="703" t="s">
        <v>3743</v>
      </c>
      <c r="C2492" s="703" t="s">
        <v>574</v>
      </c>
      <c r="D2492" s="703" t="s">
        <v>334</v>
      </c>
      <c r="E2492" s="703" t="s">
        <v>334</v>
      </c>
      <c r="F2492" s="703" t="s">
        <v>335</v>
      </c>
      <c r="G2492" s="703" t="s">
        <v>4318</v>
      </c>
      <c r="H2492" s="703" t="s">
        <v>334</v>
      </c>
      <c r="I2492" s="703" t="s">
        <v>334</v>
      </c>
      <c r="J2492" s="703" t="s">
        <v>577</v>
      </c>
      <c r="K2492" s="704">
        <v>0</v>
      </c>
      <c r="L2492" s="703" t="s">
        <v>334</v>
      </c>
      <c r="M2492" s="702">
        <v>43496</v>
      </c>
      <c r="N2492" s="702">
        <v>44825</v>
      </c>
      <c r="O2492" s="703" t="s">
        <v>338</v>
      </c>
      <c r="P2492" s="20">
        <v>0</v>
      </c>
      <c r="Q2492" s="20">
        <v>0</v>
      </c>
      <c r="R2492" s="20">
        <v>8.2200000000000006</v>
      </c>
      <c r="S2492" s="20">
        <v>0</v>
      </c>
      <c r="T2492" s="20">
        <v>8.2200000000000006</v>
      </c>
      <c r="U2492" s="20">
        <v>0</v>
      </c>
      <c r="V2492" s="20">
        <v>0</v>
      </c>
      <c r="W2492" s="20">
        <v>-7.0000000000000007E-2</v>
      </c>
      <c r="X2492" s="20">
        <v>-7.0000000000000007E-2</v>
      </c>
      <c r="Y2492" s="20">
        <v>0</v>
      </c>
      <c r="Z2492" s="20">
        <v>0</v>
      </c>
      <c r="AA2492" s="20">
        <v>0</v>
      </c>
      <c r="AB2492" s="20">
        <v>8.15</v>
      </c>
      <c r="AC2492" t="s">
        <v>578</v>
      </c>
      <c r="AD2492" t="s">
        <v>290</v>
      </c>
      <c r="AE2492" s="702">
        <f t="shared" si="190"/>
        <v>44713</v>
      </c>
      <c r="AF2492" s="289">
        <v>8.0732644364535577</v>
      </c>
      <c r="AG2492">
        <f t="shared" si="191"/>
        <v>360</v>
      </c>
      <c r="AH2492" s="289">
        <f t="shared" si="192"/>
        <v>2.2425734545704328E-2</v>
      </c>
      <c r="AJ2492" s="289">
        <f t="shared" si="193"/>
        <v>6</v>
      </c>
      <c r="AK2492" s="289">
        <f t="shared" si="194"/>
        <v>0.13455440727422596</v>
      </c>
    </row>
    <row r="2493" spans="1:37">
      <c r="A2493" s="703" t="s">
        <v>4319</v>
      </c>
      <c r="B2493" s="703" t="s">
        <v>3743</v>
      </c>
      <c r="C2493" s="703" t="s">
        <v>574</v>
      </c>
      <c r="D2493" s="703" t="s">
        <v>334</v>
      </c>
      <c r="E2493" s="703" t="s">
        <v>334</v>
      </c>
      <c r="F2493" s="703" t="s">
        <v>335</v>
      </c>
      <c r="G2493" s="703" t="s">
        <v>4320</v>
      </c>
      <c r="H2493" s="703" t="s">
        <v>334</v>
      </c>
      <c r="I2493" s="703" t="s">
        <v>334</v>
      </c>
      <c r="J2493" s="703" t="s">
        <v>577</v>
      </c>
      <c r="K2493" s="704">
        <v>0</v>
      </c>
      <c r="L2493" s="703" t="s">
        <v>334</v>
      </c>
      <c r="M2493" s="702">
        <v>43496</v>
      </c>
      <c r="N2493" s="702">
        <v>44825</v>
      </c>
      <c r="O2493" s="703" t="s">
        <v>338</v>
      </c>
      <c r="P2493" s="20">
        <v>0</v>
      </c>
      <c r="Q2493" s="20">
        <v>0</v>
      </c>
      <c r="R2493" s="20">
        <v>4.37</v>
      </c>
      <c r="S2493" s="20">
        <v>0</v>
      </c>
      <c r="T2493" s="20">
        <v>4.37</v>
      </c>
      <c r="U2493" s="20">
        <v>0</v>
      </c>
      <c r="V2493" s="20">
        <v>0</v>
      </c>
      <c r="W2493" s="20">
        <v>-0.04</v>
      </c>
      <c r="X2493" s="20">
        <v>-0.04</v>
      </c>
      <c r="Y2493" s="20">
        <v>0</v>
      </c>
      <c r="Z2493" s="20">
        <v>0</v>
      </c>
      <c r="AA2493" s="20">
        <v>0</v>
      </c>
      <c r="AB2493" s="20">
        <v>4.33</v>
      </c>
      <c r="AC2493" t="s">
        <v>578</v>
      </c>
      <c r="AD2493" t="s">
        <v>290</v>
      </c>
      <c r="AE2493" s="702">
        <f t="shared" si="190"/>
        <v>44713</v>
      </c>
      <c r="AF2493" s="289">
        <v>4.2919909473603459</v>
      </c>
      <c r="AG2493">
        <f t="shared" si="191"/>
        <v>360</v>
      </c>
      <c r="AH2493" s="289">
        <f t="shared" si="192"/>
        <v>1.1922197076000961E-2</v>
      </c>
      <c r="AJ2493" s="289">
        <f t="shared" si="193"/>
        <v>6</v>
      </c>
      <c r="AK2493" s="289">
        <f t="shared" si="194"/>
        <v>7.1533182456005762E-2</v>
      </c>
    </row>
    <row r="2494" spans="1:37">
      <c r="A2494" s="703" t="s">
        <v>4321</v>
      </c>
      <c r="B2494" s="703" t="s">
        <v>3743</v>
      </c>
      <c r="C2494" s="703" t="s">
        <v>574</v>
      </c>
      <c r="D2494" s="703" t="s">
        <v>334</v>
      </c>
      <c r="E2494" s="703" t="s">
        <v>334</v>
      </c>
      <c r="F2494" s="703" t="s">
        <v>335</v>
      </c>
      <c r="G2494" s="703" t="s">
        <v>4322</v>
      </c>
      <c r="H2494" s="703" t="s">
        <v>334</v>
      </c>
      <c r="I2494" s="703" t="s">
        <v>334</v>
      </c>
      <c r="J2494" s="703" t="s">
        <v>577</v>
      </c>
      <c r="K2494" s="704">
        <v>0</v>
      </c>
      <c r="L2494" s="703" t="s">
        <v>334</v>
      </c>
      <c r="M2494" s="702">
        <v>43496</v>
      </c>
      <c r="N2494" s="702">
        <v>44825</v>
      </c>
      <c r="O2494" s="703" t="s">
        <v>338</v>
      </c>
      <c r="P2494" s="20">
        <v>0</v>
      </c>
      <c r="Q2494" s="20">
        <v>0</v>
      </c>
      <c r="R2494" s="20">
        <v>137.19999999999999</v>
      </c>
      <c r="S2494" s="20">
        <v>0</v>
      </c>
      <c r="T2494" s="20">
        <v>137.19999999999999</v>
      </c>
      <c r="U2494" s="20">
        <v>0</v>
      </c>
      <c r="V2494" s="20">
        <v>0</v>
      </c>
      <c r="W2494" s="20">
        <v>-1.1399999999999999</v>
      </c>
      <c r="X2494" s="20">
        <v>-1.1399999999999999</v>
      </c>
      <c r="Y2494" s="20">
        <v>0</v>
      </c>
      <c r="Z2494" s="20">
        <v>0</v>
      </c>
      <c r="AA2494" s="20">
        <v>0</v>
      </c>
      <c r="AB2494" s="20">
        <v>136.06</v>
      </c>
      <c r="AC2494" t="s">
        <v>578</v>
      </c>
      <c r="AD2494" t="s">
        <v>290</v>
      </c>
      <c r="AE2494" s="702">
        <f t="shared" si="190"/>
        <v>44713</v>
      </c>
      <c r="AF2494" s="289">
        <v>134.75083706586713</v>
      </c>
      <c r="AG2494">
        <f t="shared" si="191"/>
        <v>360</v>
      </c>
      <c r="AH2494" s="289">
        <f t="shared" si="192"/>
        <v>0.37430788073851978</v>
      </c>
      <c r="AJ2494" s="289">
        <f t="shared" si="193"/>
        <v>6</v>
      </c>
      <c r="AK2494" s="289">
        <f t="shared" si="194"/>
        <v>2.2458472844311186</v>
      </c>
    </row>
    <row r="2495" spans="1:37">
      <c r="A2495" s="703" t="s">
        <v>4323</v>
      </c>
      <c r="B2495" s="703" t="s">
        <v>3743</v>
      </c>
      <c r="C2495" s="703" t="s">
        <v>574</v>
      </c>
      <c r="D2495" s="703" t="s">
        <v>334</v>
      </c>
      <c r="E2495" s="703" t="s">
        <v>334</v>
      </c>
      <c r="F2495" s="703" t="s">
        <v>335</v>
      </c>
      <c r="G2495" s="703" t="s">
        <v>4324</v>
      </c>
      <c r="H2495" s="703" t="s">
        <v>334</v>
      </c>
      <c r="I2495" s="703" t="s">
        <v>334</v>
      </c>
      <c r="J2495" s="703" t="s">
        <v>577</v>
      </c>
      <c r="K2495" s="704">
        <v>0</v>
      </c>
      <c r="L2495" s="703" t="s">
        <v>334</v>
      </c>
      <c r="M2495" s="702">
        <v>43496</v>
      </c>
      <c r="N2495" s="702">
        <v>44825</v>
      </c>
      <c r="O2495" s="703" t="s">
        <v>338</v>
      </c>
      <c r="P2495" s="20">
        <v>0</v>
      </c>
      <c r="Q2495" s="20">
        <v>0</v>
      </c>
      <c r="R2495" s="20">
        <v>659.92</v>
      </c>
      <c r="S2495" s="20">
        <v>0</v>
      </c>
      <c r="T2495" s="20">
        <v>659.92</v>
      </c>
      <c r="U2495" s="20">
        <v>0</v>
      </c>
      <c r="V2495" s="20">
        <v>0</v>
      </c>
      <c r="W2495" s="20">
        <v>-5.5</v>
      </c>
      <c r="X2495" s="20">
        <v>-5.5</v>
      </c>
      <c r="Y2495" s="20">
        <v>0</v>
      </c>
      <c r="Z2495" s="20">
        <v>0</v>
      </c>
      <c r="AA2495" s="20">
        <v>0</v>
      </c>
      <c r="AB2495" s="20">
        <v>654.41999999999996</v>
      </c>
      <c r="AC2495" t="s">
        <v>578</v>
      </c>
      <c r="AD2495" t="s">
        <v>290</v>
      </c>
      <c r="AE2495" s="702">
        <f t="shared" si="190"/>
        <v>44713</v>
      </c>
      <c r="AF2495" s="289">
        <v>648.13974049932244</v>
      </c>
      <c r="AG2495">
        <f t="shared" si="191"/>
        <v>360</v>
      </c>
      <c r="AH2495" s="289">
        <f t="shared" si="192"/>
        <v>1.8003881680536735</v>
      </c>
      <c r="AJ2495" s="289">
        <f t="shared" si="193"/>
        <v>6</v>
      </c>
      <c r="AK2495" s="289">
        <f t="shared" si="194"/>
        <v>10.80232900832204</v>
      </c>
    </row>
    <row r="2496" spans="1:37">
      <c r="A2496" s="703" t="s">
        <v>4325</v>
      </c>
      <c r="B2496" s="703" t="s">
        <v>3743</v>
      </c>
      <c r="C2496" s="703" t="s">
        <v>574</v>
      </c>
      <c r="D2496" s="703" t="s">
        <v>334</v>
      </c>
      <c r="E2496" s="703" t="s">
        <v>334</v>
      </c>
      <c r="F2496" s="703" t="s">
        <v>335</v>
      </c>
      <c r="G2496" s="703" t="s">
        <v>4326</v>
      </c>
      <c r="H2496" s="703" t="s">
        <v>334</v>
      </c>
      <c r="I2496" s="703" t="s">
        <v>334</v>
      </c>
      <c r="J2496" s="703" t="s">
        <v>577</v>
      </c>
      <c r="K2496" s="704">
        <v>0</v>
      </c>
      <c r="L2496" s="703" t="s">
        <v>334</v>
      </c>
      <c r="M2496" s="702">
        <v>43496</v>
      </c>
      <c r="N2496" s="702">
        <v>44825</v>
      </c>
      <c r="O2496" s="703" t="s">
        <v>338</v>
      </c>
      <c r="P2496" s="20">
        <v>0</v>
      </c>
      <c r="Q2496" s="20">
        <v>0</v>
      </c>
      <c r="R2496" s="20">
        <v>117748.1</v>
      </c>
      <c r="S2496" s="20">
        <v>0</v>
      </c>
      <c r="T2496" s="20">
        <v>117748.1</v>
      </c>
      <c r="U2496" s="20">
        <v>0</v>
      </c>
      <c r="V2496" s="20">
        <v>0</v>
      </c>
      <c r="W2496" s="20">
        <v>-981.23</v>
      </c>
      <c r="X2496" s="20">
        <v>-981.23</v>
      </c>
      <c r="Y2496" s="20">
        <v>0</v>
      </c>
      <c r="Z2496" s="20">
        <v>0</v>
      </c>
      <c r="AA2496" s="20">
        <v>0</v>
      </c>
      <c r="AB2496" s="20">
        <v>116766.87</v>
      </c>
      <c r="AC2496" t="s">
        <v>578</v>
      </c>
      <c r="AD2496" t="s">
        <v>290</v>
      </c>
      <c r="AE2496" s="702">
        <f t="shared" si="190"/>
        <v>44713</v>
      </c>
      <c r="AF2496" s="289">
        <v>115646.1737457393</v>
      </c>
      <c r="AG2496">
        <f t="shared" si="191"/>
        <v>360</v>
      </c>
      <c r="AH2496" s="289">
        <f t="shared" si="192"/>
        <v>321.23937151594248</v>
      </c>
      <c r="AJ2496" s="289">
        <f t="shared" si="193"/>
        <v>6</v>
      </c>
      <c r="AK2496" s="289">
        <f t="shared" si="194"/>
        <v>1927.4362290956549</v>
      </c>
    </row>
    <row r="2497" spans="1:37">
      <c r="A2497" s="703" t="s">
        <v>4327</v>
      </c>
      <c r="B2497" s="703" t="s">
        <v>3743</v>
      </c>
      <c r="C2497" s="703" t="s">
        <v>574</v>
      </c>
      <c r="D2497" s="703" t="s">
        <v>334</v>
      </c>
      <c r="E2497" s="703" t="s">
        <v>334</v>
      </c>
      <c r="F2497" s="703" t="s">
        <v>335</v>
      </c>
      <c r="G2497" s="703" t="s">
        <v>4328</v>
      </c>
      <c r="H2497" s="703" t="s">
        <v>334</v>
      </c>
      <c r="I2497" s="703" t="s">
        <v>334</v>
      </c>
      <c r="J2497" s="703" t="s">
        <v>577</v>
      </c>
      <c r="K2497" s="704">
        <v>0</v>
      </c>
      <c r="L2497" s="703" t="s">
        <v>334</v>
      </c>
      <c r="M2497" s="702">
        <v>43496</v>
      </c>
      <c r="N2497" s="702">
        <v>44825</v>
      </c>
      <c r="O2497" s="703" t="s">
        <v>338</v>
      </c>
      <c r="P2497" s="20">
        <v>0</v>
      </c>
      <c r="Q2497" s="20">
        <v>0</v>
      </c>
      <c r="R2497" s="20">
        <v>22.17</v>
      </c>
      <c r="S2497" s="20">
        <v>0</v>
      </c>
      <c r="T2497" s="20">
        <v>22.17</v>
      </c>
      <c r="U2497" s="20">
        <v>0</v>
      </c>
      <c r="V2497" s="20">
        <v>0</v>
      </c>
      <c r="W2497" s="20">
        <v>-0.18</v>
      </c>
      <c r="X2497" s="20">
        <v>-0.18</v>
      </c>
      <c r="Y2497" s="20">
        <v>0</v>
      </c>
      <c r="Z2497" s="20">
        <v>0</v>
      </c>
      <c r="AA2497" s="20">
        <v>0</v>
      </c>
      <c r="AB2497" s="20">
        <v>21.99</v>
      </c>
      <c r="AC2497" t="s">
        <v>578</v>
      </c>
      <c r="AD2497" t="s">
        <v>290</v>
      </c>
      <c r="AE2497" s="702">
        <f t="shared" si="190"/>
        <v>44713</v>
      </c>
      <c r="AF2497" s="289">
        <v>21.77424240342766</v>
      </c>
      <c r="AG2497">
        <f t="shared" si="191"/>
        <v>360</v>
      </c>
      <c r="AH2497" s="289">
        <f t="shared" si="192"/>
        <v>6.0484006676187946E-2</v>
      </c>
      <c r="AJ2497" s="289">
        <f t="shared" si="193"/>
        <v>6</v>
      </c>
      <c r="AK2497" s="289">
        <f t="shared" si="194"/>
        <v>0.36290404005712767</v>
      </c>
    </row>
    <row r="2498" spans="1:37">
      <c r="A2498" s="703" t="s">
        <v>4329</v>
      </c>
      <c r="B2498" s="703" t="s">
        <v>3743</v>
      </c>
      <c r="C2498" s="703" t="s">
        <v>574</v>
      </c>
      <c r="D2498" s="703" t="s">
        <v>334</v>
      </c>
      <c r="E2498" s="703" t="s">
        <v>334</v>
      </c>
      <c r="F2498" s="703" t="s">
        <v>335</v>
      </c>
      <c r="G2498" s="703" t="s">
        <v>4330</v>
      </c>
      <c r="H2498" s="703" t="s">
        <v>334</v>
      </c>
      <c r="I2498" s="703" t="s">
        <v>334</v>
      </c>
      <c r="J2498" s="703" t="s">
        <v>577</v>
      </c>
      <c r="K2498" s="704">
        <v>0</v>
      </c>
      <c r="L2498" s="703" t="s">
        <v>334</v>
      </c>
      <c r="M2498" s="702">
        <v>43496</v>
      </c>
      <c r="N2498" s="702">
        <v>44825</v>
      </c>
      <c r="O2498" s="703" t="s">
        <v>338</v>
      </c>
      <c r="P2498" s="20">
        <v>0</v>
      </c>
      <c r="Q2498" s="20">
        <v>0</v>
      </c>
      <c r="R2498" s="20">
        <v>2912.37</v>
      </c>
      <c r="S2498" s="20">
        <v>0</v>
      </c>
      <c r="T2498" s="20">
        <v>2912.37</v>
      </c>
      <c r="U2498" s="20">
        <v>0</v>
      </c>
      <c r="V2498" s="20">
        <v>0</v>
      </c>
      <c r="W2498" s="20">
        <v>-24.27</v>
      </c>
      <c r="X2498" s="20">
        <v>-24.27</v>
      </c>
      <c r="Y2498" s="20">
        <v>0</v>
      </c>
      <c r="Z2498" s="20">
        <v>0</v>
      </c>
      <c r="AA2498" s="20">
        <v>0</v>
      </c>
      <c r="AB2498" s="20">
        <v>2888.1</v>
      </c>
      <c r="AC2498" t="s">
        <v>578</v>
      </c>
      <c r="AD2498" t="s">
        <v>290</v>
      </c>
      <c r="AE2498" s="702">
        <f t="shared" si="190"/>
        <v>44713</v>
      </c>
      <c r="AF2498" s="289">
        <v>2860.381161410492</v>
      </c>
      <c r="AG2498">
        <f t="shared" si="191"/>
        <v>360</v>
      </c>
      <c r="AH2498" s="289">
        <f t="shared" si="192"/>
        <v>7.9455032261402554</v>
      </c>
      <c r="AJ2498" s="289">
        <f t="shared" si="193"/>
        <v>6</v>
      </c>
      <c r="AK2498" s="289">
        <f t="shared" si="194"/>
        <v>47.673019356841536</v>
      </c>
    </row>
    <row r="2499" spans="1:37">
      <c r="A2499" s="703" t="s">
        <v>4331</v>
      </c>
      <c r="B2499" s="703" t="s">
        <v>3743</v>
      </c>
      <c r="C2499" s="703" t="s">
        <v>574</v>
      </c>
      <c r="D2499" s="703" t="s">
        <v>334</v>
      </c>
      <c r="E2499" s="703" t="s">
        <v>334</v>
      </c>
      <c r="F2499" s="703" t="s">
        <v>335</v>
      </c>
      <c r="G2499" s="703" t="s">
        <v>4332</v>
      </c>
      <c r="H2499" s="703" t="s">
        <v>334</v>
      </c>
      <c r="I2499" s="703" t="s">
        <v>334</v>
      </c>
      <c r="J2499" s="703" t="s">
        <v>577</v>
      </c>
      <c r="K2499" s="704">
        <v>0</v>
      </c>
      <c r="L2499" s="703" t="s">
        <v>334</v>
      </c>
      <c r="M2499" s="702">
        <v>43496</v>
      </c>
      <c r="N2499" s="702">
        <v>44825</v>
      </c>
      <c r="O2499" s="703" t="s">
        <v>338</v>
      </c>
      <c r="P2499" s="20">
        <v>0</v>
      </c>
      <c r="Q2499" s="20">
        <v>0</v>
      </c>
      <c r="R2499" s="20">
        <v>47092.05</v>
      </c>
      <c r="S2499" s="20">
        <v>0</v>
      </c>
      <c r="T2499" s="20">
        <v>47092.05</v>
      </c>
      <c r="U2499" s="20">
        <v>0</v>
      </c>
      <c r="V2499" s="20">
        <v>0</v>
      </c>
      <c r="W2499" s="20">
        <v>-392.43</v>
      </c>
      <c r="X2499" s="20">
        <v>-392.43</v>
      </c>
      <c r="Y2499" s="20">
        <v>0</v>
      </c>
      <c r="Z2499" s="20">
        <v>0</v>
      </c>
      <c r="AA2499" s="20">
        <v>0</v>
      </c>
      <c r="AB2499" s="20">
        <v>46699.62</v>
      </c>
      <c r="AC2499" t="s">
        <v>578</v>
      </c>
      <c r="AD2499" t="s">
        <v>290</v>
      </c>
      <c r="AE2499" s="702">
        <f t="shared" si="190"/>
        <v>44713</v>
      </c>
      <c r="AF2499" s="289">
        <v>46251.407847286224</v>
      </c>
      <c r="AG2499">
        <f t="shared" si="191"/>
        <v>360</v>
      </c>
      <c r="AH2499" s="289">
        <f t="shared" si="192"/>
        <v>128.47613290912841</v>
      </c>
      <c r="AJ2499" s="289">
        <f t="shared" si="193"/>
        <v>6</v>
      </c>
      <c r="AK2499" s="289">
        <f t="shared" si="194"/>
        <v>770.85679745477046</v>
      </c>
    </row>
    <row r="2500" spans="1:37">
      <c r="A2500" s="703" t="s">
        <v>4333</v>
      </c>
      <c r="B2500" s="703" t="s">
        <v>3743</v>
      </c>
      <c r="C2500" s="703" t="s">
        <v>586</v>
      </c>
      <c r="D2500" s="703" t="s">
        <v>334</v>
      </c>
      <c r="E2500" s="703" t="s">
        <v>334</v>
      </c>
      <c r="F2500" s="703" t="s">
        <v>335</v>
      </c>
      <c r="G2500" s="703" t="s">
        <v>4334</v>
      </c>
      <c r="H2500" s="703" t="s">
        <v>334</v>
      </c>
      <c r="I2500" s="703" t="s">
        <v>334</v>
      </c>
      <c r="J2500" s="703" t="s">
        <v>337</v>
      </c>
      <c r="K2500" s="704">
        <v>0</v>
      </c>
      <c r="L2500" s="703" t="s">
        <v>334</v>
      </c>
      <c r="M2500" s="702">
        <v>43616</v>
      </c>
      <c r="N2500" s="702">
        <v>44825</v>
      </c>
      <c r="O2500" s="703" t="s">
        <v>338</v>
      </c>
      <c r="P2500" s="20">
        <v>0</v>
      </c>
      <c r="Q2500" s="20">
        <v>0</v>
      </c>
      <c r="R2500" s="20">
        <v>9497.2999999999993</v>
      </c>
      <c r="S2500" s="20">
        <v>0</v>
      </c>
      <c r="T2500" s="20">
        <v>9497.2999999999993</v>
      </c>
      <c r="U2500" s="20">
        <v>0</v>
      </c>
      <c r="V2500" s="20">
        <v>0</v>
      </c>
      <c r="W2500" s="20">
        <v>-79.14</v>
      </c>
      <c r="X2500" s="20">
        <v>-79.14</v>
      </c>
      <c r="Y2500" s="20">
        <v>0</v>
      </c>
      <c r="Z2500" s="20">
        <v>0</v>
      </c>
      <c r="AA2500" s="20">
        <v>0</v>
      </c>
      <c r="AB2500" s="20">
        <v>9418.16</v>
      </c>
      <c r="AC2500" t="s">
        <v>589</v>
      </c>
      <c r="AD2500" t="s">
        <v>290</v>
      </c>
      <c r="AE2500" s="702">
        <f t="shared" si="190"/>
        <v>44713</v>
      </c>
      <c r="AF2500" s="289">
        <v>9327.763300770117</v>
      </c>
      <c r="AG2500">
        <f t="shared" si="191"/>
        <v>360</v>
      </c>
      <c r="AH2500" s="289">
        <f t="shared" si="192"/>
        <v>25.910453613250326</v>
      </c>
      <c r="AJ2500" s="289">
        <f t="shared" si="193"/>
        <v>6</v>
      </c>
      <c r="AK2500" s="289">
        <f t="shared" si="194"/>
        <v>155.46272167950195</v>
      </c>
    </row>
    <row r="2501" spans="1:37">
      <c r="A2501" s="703" t="s">
        <v>4335</v>
      </c>
      <c r="B2501" s="703" t="s">
        <v>3743</v>
      </c>
      <c r="C2501" s="703" t="s">
        <v>586</v>
      </c>
      <c r="D2501" s="703" t="s">
        <v>334</v>
      </c>
      <c r="E2501" s="703" t="s">
        <v>334</v>
      </c>
      <c r="F2501" s="703" t="s">
        <v>335</v>
      </c>
      <c r="G2501" s="703" t="s">
        <v>4336</v>
      </c>
      <c r="H2501" s="703" t="s">
        <v>334</v>
      </c>
      <c r="I2501" s="703" t="s">
        <v>334</v>
      </c>
      <c r="J2501" s="703" t="s">
        <v>337</v>
      </c>
      <c r="K2501" s="704">
        <v>0</v>
      </c>
      <c r="L2501" s="703" t="s">
        <v>334</v>
      </c>
      <c r="M2501" s="702">
        <v>43616</v>
      </c>
      <c r="N2501" s="702">
        <v>44825</v>
      </c>
      <c r="O2501" s="703" t="s">
        <v>338</v>
      </c>
      <c r="P2501" s="20">
        <v>0</v>
      </c>
      <c r="Q2501" s="20">
        <v>0</v>
      </c>
      <c r="R2501" s="20">
        <v>10612.78</v>
      </c>
      <c r="S2501" s="20">
        <v>0</v>
      </c>
      <c r="T2501" s="20">
        <v>10612.78</v>
      </c>
      <c r="U2501" s="20">
        <v>0</v>
      </c>
      <c r="V2501" s="20">
        <v>0</v>
      </c>
      <c r="W2501" s="20">
        <v>-88.44</v>
      </c>
      <c r="X2501" s="20">
        <v>-88.44</v>
      </c>
      <c r="Y2501" s="20">
        <v>0</v>
      </c>
      <c r="Z2501" s="20">
        <v>0</v>
      </c>
      <c r="AA2501" s="20">
        <v>0</v>
      </c>
      <c r="AB2501" s="20">
        <v>10524.34</v>
      </c>
      <c r="AC2501" t="s">
        <v>589</v>
      </c>
      <c r="AD2501" t="s">
        <v>290</v>
      </c>
      <c r="AE2501" s="702">
        <f t="shared" si="190"/>
        <v>44713</v>
      </c>
      <c r="AF2501" s="289">
        <v>10423.330820669778</v>
      </c>
      <c r="AG2501">
        <f t="shared" si="191"/>
        <v>360</v>
      </c>
      <c r="AH2501" s="289">
        <f t="shared" si="192"/>
        <v>28.953696724082718</v>
      </c>
      <c r="AJ2501" s="289">
        <f t="shared" si="193"/>
        <v>6</v>
      </c>
      <c r="AK2501" s="289">
        <f t="shared" si="194"/>
        <v>173.72218034449631</v>
      </c>
    </row>
    <row r="2502" spans="1:37">
      <c r="A2502" s="703" t="s">
        <v>4337</v>
      </c>
      <c r="B2502" s="703" t="s">
        <v>3743</v>
      </c>
      <c r="C2502" s="703" t="s">
        <v>586</v>
      </c>
      <c r="D2502" s="703" t="s">
        <v>334</v>
      </c>
      <c r="E2502" s="703" t="s">
        <v>334</v>
      </c>
      <c r="F2502" s="703" t="s">
        <v>335</v>
      </c>
      <c r="G2502" s="703" t="s">
        <v>4338</v>
      </c>
      <c r="H2502" s="703" t="s">
        <v>334</v>
      </c>
      <c r="I2502" s="703" t="s">
        <v>334</v>
      </c>
      <c r="J2502" s="703" t="s">
        <v>337</v>
      </c>
      <c r="K2502" s="704">
        <v>0</v>
      </c>
      <c r="L2502" s="703" t="s">
        <v>334</v>
      </c>
      <c r="M2502" s="702">
        <v>43616</v>
      </c>
      <c r="N2502" s="702">
        <v>44825</v>
      </c>
      <c r="O2502" s="703" t="s">
        <v>338</v>
      </c>
      <c r="P2502" s="20">
        <v>0</v>
      </c>
      <c r="Q2502" s="20">
        <v>0</v>
      </c>
      <c r="R2502" s="20">
        <v>81595.210000000006</v>
      </c>
      <c r="S2502" s="20">
        <v>0</v>
      </c>
      <c r="T2502" s="20">
        <v>81595.210000000006</v>
      </c>
      <c r="U2502" s="20">
        <v>0</v>
      </c>
      <c r="V2502" s="20">
        <v>0</v>
      </c>
      <c r="W2502" s="20">
        <v>-679.96</v>
      </c>
      <c r="X2502" s="20">
        <v>-679.96</v>
      </c>
      <c r="Y2502" s="20">
        <v>0</v>
      </c>
      <c r="Z2502" s="20">
        <v>0</v>
      </c>
      <c r="AA2502" s="20">
        <v>0</v>
      </c>
      <c r="AB2502" s="20">
        <v>80915.25</v>
      </c>
      <c r="AC2502" t="s">
        <v>589</v>
      </c>
      <c r="AD2502" t="s">
        <v>290</v>
      </c>
      <c r="AE2502" s="702">
        <f t="shared" si="190"/>
        <v>44713</v>
      </c>
      <c r="AF2502" s="289">
        <v>80138.650496102142</v>
      </c>
      <c r="AG2502">
        <f t="shared" si="191"/>
        <v>360</v>
      </c>
      <c r="AH2502" s="289">
        <f t="shared" si="192"/>
        <v>222.60736248917263</v>
      </c>
      <c r="AJ2502" s="289">
        <f t="shared" si="193"/>
        <v>6</v>
      </c>
      <c r="AK2502" s="289">
        <f t="shared" si="194"/>
        <v>1335.6441749350358</v>
      </c>
    </row>
    <row r="2503" spans="1:37">
      <c r="A2503" s="703" t="s">
        <v>4339</v>
      </c>
      <c r="B2503" s="703" t="s">
        <v>3743</v>
      </c>
      <c r="C2503" s="703" t="s">
        <v>586</v>
      </c>
      <c r="D2503" s="703" t="s">
        <v>334</v>
      </c>
      <c r="E2503" s="703" t="s">
        <v>334</v>
      </c>
      <c r="F2503" s="703" t="s">
        <v>335</v>
      </c>
      <c r="G2503" s="703" t="s">
        <v>4340</v>
      </c>
      <c r="H2503" s="703" t="s">
        <v>334</v>
      </c>
      <c r="I2503" s="703" t="s">
        <v>334</v>
      </c>
      <c r="J2503" s="703" t="s">
        <v>337</v>
      </c>
      <c r="K2503" s="704">
        <v>0</v>
      </c>
      <c r="L2503" s="703" t="s">
        <v>334</v>
      </c>
      <c r="M2503" s="702">
        <v>43616</v>
      </c>
      <c r="N2503" s="702">
        <v>44825</v>
      </c>
      <c r="O2503" s="703" t="s">
        <v>338</v>
      </c>
      <c r="P2503" s="20">
        <v>0</v>
      </c>
      <c r="Q2503" s="20">
        <v>0</v>
      </c>
      <c r="R2503" s="20">
        <v>152</v>
      </c>
      <c r="S2503" s="20">
        <v>0</v>
      </c>
      <c r="T2503" s="20">
        <v>152</v>
      </c>
      <c r="U2503" s="20">
        <v>0</v>
      </c>
      <c r="V2503" s="20">
        <v>0</v>
      </c>
      <c r="W2503" s="20">
        <v>-1.27</v>
      </c>
      <c r="X2503" s="20">
        <v>-1.27</v>
      </c>
      <c r="Y2503" s="20">
        <v>0</v>
      </c>
      <c r="Z2503" s="20">
        <v>0</v>
      </c>
      <c r="AA2503" s="20">
        <v>0</v>
      </c>
      <c r="AB2503" s="20">
        <v>150.72999999999999</v>
      </c>
      <c r="AC2503" t="s">
        <v>589</v>
      </c>
      <c r="AD2503" t="s">
        <v>290</v>
      </c>
      <c r="AE2503" s="702">
        <f t="shared" ref="AE2503:AE2566" si="195">IF(N2503&gt;=$AG$5,DATE(YEAR(N2503),6,1),DATE(YEAR(N2503),6,1))</f>
        <v>44713</v>
      </c>
      <c r="AF2503" s="289">
        <v>149.28664164731637</v>
      </c>
      <c r="AG2503">
        <f t="shared" ref="AG2503:AG2566" si="196">+IF(AD2503="intangível",20*12,IF(AD2503="Diferido",120,IF(AD2503="Não vinculados",0,IF(AE2503&lt;=$AG$5,F2503*12,360))))</f>
        <v>360</v>
      </c>
      <c r="AH2503" s="289">
        <f t="shared" ref="AH2503:AH2566" si="197">IF(AG2503=0,0,AF2503/AG2503)</f>
        <v>0.4146851156869899</v>
      </c>
      <c r="AJ2503" s="289">
        <f t="shared" ref="AJ2503:AJ2566" si="198">+IF(AND(YEAR(AE2503)&gt;=2018,YEAR(AE2503)&lt;=2022),IF(DATEDIF(AE2503,$AK$4,"m")&gt;=AG2503,AG2503,DATEDIF(AE2503,$AK$4,"m")),0)</f>
        <v>6</v>
      </c>
      <c r="AK2503" s="289">
        <f t="shared" ref="AK2503:AK2566" si="199">IF(AD2503="Imobilizado",AJ2503*AH2503,0)</f>
        <v>2.4881106941219393</v>
      </c>
    </row>
    <row r="2504" spans="1:37">
      <c r="A2504" s="703" t="s">
        <v>4341</v>
      </c>
      <c r="B2504" s="703" t="s">
        <v>3743</v>
      </c>
      <c r="C2504" s="703" t="s">
        <v>586</v>
      </c>
      <c r="D2504" s="703" t="s">
        <v>334</v>
      </c>
      <c r="E2504" s="703" t="s">
        <v>334</v>
      </c>
      <c r="F2504" s="703" t="s">
        <v>335</v>
      </c>
      <c r="G2504" s="703" t="s">
        <v>4342</v>
      </c>
      <c r="H2504" s="703" t="s">
        <v>334</v>
      </c>
      <c r="I2504" s="703" t="s">
        <v>334</v>
      </c>
      <c r="J2504" s="703" t="s">
        <v>337</v>
      </c>
      <c r="K2504" s="704">
        <v>0</v>
      </c>
      <c r="L2504" s="703" t="s">
        <v>334</v>
      </c>
      <c r="M2504" s="702">
        <v>43616</v>
      </c>
      <c r="N2504" s="702">
        <v>44825</v>
      </c>
      <c r="O2504" s="703" t="s">
        <v>338</v>
      </c>
      <c r="P2504" s="20">
        <v>0</v>
      </c>
      <c r="Q2504" s="20">
        <v>0</v>
      </c>
      <c r="R2504" s="20">
        <v>943.34</v>
      </c>
      <c r="S2504" s="20">
        <v>0</v>
      </c>
      <c r="T2504" s="20">
        <v>943.34</v>
      </c>
      <c r="U2504" s="20">
        <v>0</v>
      </c>
      <c r="V2504" s="20">
        <v>0</v>
      </c>
      <c r="W2504" s="20">
        <v>-7.86</v>
      </c>
      <c r="X2504" s="20">
        <v>-7.86</v>
      </c>
      <c r="Y2504" s="20">
        <v>0</v>
      </c>
      <c r="Z2504" s="20">
        <v>0</v>
      </c>
      <c r="AA2504" s="20">
        <v>0</v>
      </c>
      <c r="AB2504" s="20">
        <v>935.48</v>
      </c>
      <c r="AC2504" t="s">
        <v>589</v>
      </c>
      <c r="AD2504" t="s">
        <v>290</v>
      </c>
      <c r="AE2504" s="702">
        <f t="shared" si="195"/>
        <v>44713</v>
      </c>
      <c r="AF2504" s="289">
        <v>926.50039823407519</v>
      </c>
      <c r="AG2504">
        <f t="shared" si="196"/>
        <v>360</v>
      </c>
      <c r="AH2504" s="289">
        <f t="shared" si="197"/>
        <v>2.5736122173168754</v>
      </c>
      <c r="AJ2504" s="289">
        <f t="shared" si="198"/>
        <v>6</v>
      </c>
      <c r="AK2504" s="289">
        <f t="shared" si="199"/>
        <v>15.441673303901252</v>
      </c>
    </row>
    <row r="2505" spans="1:37">
      <c r="A2505" s="703" t="s">
        <v>4343</v>
      </c>
      <c r="B2505" s="703" t="s">
        <v>3743</v>
      </c>
      <c r="C2505" s="703" t="s">
        <v>586</v>
      </c>
      <c r="D2505" s="703" t="s">
        <v>334</v>
      </c>
      <c r="E2505" s="703" t="s">
        <v>334</v>
      </c>
      <c r="F2505" s="703" t="s">
        <v>335</v>
      </c>
      <c r="G2505" s="703" t="s">
        <v>4344</v>
      </c>
      <c r="H2505" s="703" t="s">
        <v>334</v>
      </c>
      <c r="I2505" s="703" t="s">
        <v>334</v>
      </c>
      <c r="J2505" s="703" t="s">
        <v>337</v>
      </c>
      <c r="K2505" s="704">
        <v>0</v>
      </c>
      <c r="L2505" s="703" t="s">
        <v>334</v>
      </c>
      <c r="M2505" s="702">
        <v>43616</v>
      </c>
      <c r="N2505" s="702">
        <v>44825</v>
      </c>
      <c r="O2505" s="703" t="s">
        <v>338</v>
      </c>
      <c r="P2505" s="20">
        <v>0</v>
      </c>
      <c r="Q2505" s="20">
        <v>0</v>
      </c>
      <c r="R2505" s="20">
        <v>609.34</v>
      </c>
      <c r="S2505" s="20">
        <v>0</v>
      </c>
      <c r="T2505" s="20">
        <v>609.34</v>
      </c>
      <c r="U2505" s="20">
        <v>0</v>
      </c>
      <c r="V2505" s="20">
        <v>0</v>
      </c>
      <c r="W2505" s="20">
        <v>-5.08</v>
      </c>
      <c r="X2505" s="20">
        <v>-5.08</v>
      </c>
      <c r="Y2505" s="20">
        <v>0</v>
      </c>
      <c r="Z2505" s="20">
        <v>0</v>
      </c>
      <c r="AA2505" s="20">
        <v>0</v>
      </c>
      <c r="AB2505" s="20">
        <v>604.26</v>
      </c>
      <c r="AC2505" t="s">
        <v>589</v>
      </c>
      <c r="AD2505" t="s">
        <v>290</v>
      </c>
      <c r="AE2505" s="702">
        <f t="shared" si="195"/>
        <v>44713</v>
      </c>
      <c r="AF2505" s="289">
        <v>598.46264619326155</v>
      </c>
      <c r="AG2505">
        <f t="shared" si="196"/>
        <v>360</v>
      </c>
      <c r="AH2505" s="289">
        <f t="shared" si="197"/>
        <v>1.6623962394257266</v>
      </c>
      <c r="AJ2505" s="289">
        <f t="shared" si="198"/>
        <v>6</v>
      </c>
      <c r="AK2505" s="289">
        <f t="shared" si="199"/>
        <v>9.9743774365543594</v>
      </c>
    </row>
    <row r="2506" spans="1:37">
      <c r="A2506" s="703" t="s">
        <v>4345</v>
      </c>
      <c r="B2506" s="703" t="s">
        <v>3743</v>
      </c>
      <c r="C2506" s="703" t="s">
        <v>586</v>
      </c>
      <c r="D2506" s="703" t="s">
        <v>334</v>
      </c>
      <c r="E2506" s="703" t="s">
        <v>334</v>
      </c>
      <c r="F2506" s="703" t="s">
        <v>335</v>
      </c>
      <c r="G2506" s="703" t="s">
        <v>4346</v>
      </c>
      <c r="H2506" s="703" t="s">
        <v>334</v>
      </c>
      <c r="I2506" s="703" t="s">
        <v>334</v>
      </c>
      <c r="J2506" s="703" t="s">
        <v>337</v>
      </c>
      <c r="K2506" s="704">
        <v>0</v>
      </c>
      <c r="L2506" s="703" t="s">
        <v>334</v>
      </c>
      <c r="M2506" s="702">
        <v>43616</v>
      </c>
      <c r="N2506" s="702">
        <v>44825</v>
      </c>
      <c r="O2506" s="703" t="s">
        <v>338</v>
      </c>
      <c r="P2506" s="20">
        <v>0</v>
      </c>
      <c r="Q2506" s="20">
        <v>0</v>
      </c>
      <c r="R2506" s="20">
        <v>4637.2</v>
      </c>
      <c r="S2506" s="20">
        <v>0</v>
      </c>
      <c r="T2506" s="20">
        <v>4637.2</v>
      </c>
      <c r="U2506" s="20">
        <v>0</v>
      </c>
      <c r="V2506" s="20">
        <v>0</v>
      </c>
      <c r="W2506" s="20">
        <v>-38.64</v>
      </c>
      <c r="X2506" s="20">
        <v>-38.64</v>
      </c>
      <c r="Y2506" s="20">
        <v>0</v>
      </c>
      <c r="Z2506" s="20">
        <v>0</v>
      </c>
      <c r="AA2506" s="20">
        <v>0</v>
      </c>
      <c r="AB2506" s="20">
        <v>4598.5600000000004</v>
      </c>
      <c r="AC2506" t="s">
        <v>589</v>
      </c>
      <c r="AD2506" t="s">
        <v>290</v>
      </c>
      <c r="AE2506" s="702">
        <f t="shared" si="195"/>
        <v>44713</v>
      </c>
      <c r="AF2506" s="289">
        <v>4554.4211489929967</v>
      </c>
      <c r="AG2506">
        <f t="shared" si="196"/>
        <v>360</v>
      </c>
      <c r="AH2506" s="289">
        <f t="shared" si="197"/>
        <v>12.65116985831388</v>
      </c>
      <c r="AJ2506" s="289">
        <f t="shared" si="198"/>
        <v>6</v>
      </c>
      <c r="AK2506" s="289">
        <f t="shared" si="199"/>
        <v>75.907019149883283</v>
      </c>
    </row>
    <row r="2507" spans="1:37">
      <c r="A2507" s="703" t="s">
        <v>4347</v>
      </c>
      <c r="B2507" s="703" t="s">
        <v>3743</v>
      </c>
      <c r="C2507" s="703" t="s">
        <v>586</v>
      </c>
      <c r="D2507" s="703" t="s">
        <v>334</v>
      </c>
      <c r="E2507" s="703" t="s">
        <v>334</v>
      </c>
      <c r="F2507" s="703" t="s">
        <v>335</v>
      </c>
      <c r="G2507" s="703" t="s">
        <v>4348</v>
      </c>
      <c r="H2507" s="703" t="s">
        <v>334</v>
      </c>
      <c r="I2507" s="703" t="s">
        <v>334</v>
      </c>
      <c r="J2507" s="703" t="s">
        <v>337</v>
      </c>
      <c r="K2507" s="704">
        <v>0</v>
      </c>
      <c r="L2507" s="703" t="s">
        <v>334</v>
      </c>
      <c r="M2507" s="702">
        <v>43616</v>
      </c>
      <c r="N2507" s="702">
        <v>44825</v>
      </c>
      <c r="O2507" s="703" t="s">
        <v>338</v>
      </c>
      <c r="P2507" s="20">
        <v>0</v>
      </c>
      <c r="Q2507" s="20">
        <v>0</v>
      </c>
      <c r="R2507" s="20">
        <v>105</v>
      </c>
      <c r="S2507" s="20">
        <v>0</v>
      </c>
      <c r="T2507" s="20">
        <v>105</v>
      </c>
      <c r="U2507" s="20">
        <v>0</v>
      </c>
      <c r="V2507" s="20">
        <v>0</v>
      </c>
      <c r="W2507" s="20">
        <v>-0.88</v>
      </c>
      <c r="X2507" s="20">
        <v>-0.88</v>
      </c>
      <c r="Y2507" s="20">
        <v>0</v>
      </c>
      <c r="Z2507" s="20">
        <v>0</v>
      </c>
      <c r="AA2507" s="20">
        <v>0</v>
      </c>
      <c r="AB2507" s="20">
        <v>104.12</v>
      </c>
      <c r="AC2507" t="s">
        <v>589</v>
      </c>
      <c r="AD2507" t="s">
        <v>290</v>
      </c>
      <c r="AE2507" s="702">
        <f t="shared" si="195"/>
        <v>44713</v>
      </c>
      <c r="AF2507" s="289">
        <v>103.12564061163302</v>
      </c>
      <c r="AG2507">
        <f t="shared" si="196"/>
        <v>360</v>
      </c>
      <c r="AH2507" s="289">
        <f t="shared" si="197"/>
        <v>0.2864601128100917</v>
      </c>
      <c r="AJ2507" s="289">
        <f t="shared" si="198"/>
        <v>6</v>
      </c>
      <c r="AK2507" s="289">
        <f t="shared" si="199"/>
        <v>1.7187606768605503</v>
      </c>
    </row>
    <row r="2508" spans="1:37">
      <c r="A2508" s="703" t="s">
        <v>4349</v>
      </c>
      <c r="B2508" s="703" t="s">
        <v>3743</v>
      </c>
      <c r="C2508" s="703" t="s">
        <v>586</v>
      </c>
      <c r="D2508" s="703" t="s">
        <v>334</v>
      </c>
      <c r="E2508" s="703" t="s">
        <v>334</v>
      </c>
      <c r="F2508" s="703" t="s">
        <v>335</v>
      </c>
      <c r="G2508" s="703" t="s">
        <v>4350</v>
      </c>
      <c r="H2508" s="703" t="s">
        <v>334</v>
      </c>
      <c r="I2508" s="703" t="s">
        <v>334</v>
      </c>
      <c r="J2508" s="703" t="s">
        <v>337</v>
      </c>
      <c r="K2508" s="704">
        <v>0</v>
      </c>
      <c r="L2508" s="703" t="s">
        <v>334</v>
      </c>
      <c r="M2508" s="702">
        <v>43616</v>
      </c>
      <c r="N2508" s="702">
        <v>44825</v>
      </c>
      <c r="O2508" s="703" t="s">
        <v>338</v>
      </c>
      <c r="P2508" s="20">
        <v>0</v>
      </c>
      <c r="Q2508" s="20">
        <v>0</v>
      </c>
      <c r="R2508" s="20">
        <v>4</v>
      </c>
      <c r="S2508" s="20">
        <v>0</v>
      </c>
      <c r="T2508" s="20">
        <v>4</v>
      </c>
      <c r="U2508" s="20">
        <v>0</v>
      </c>
      <c r="V2508" s="20">
        <v>0</v>
      </c>
      <c r="W2508" s="20">
        <v>-0.03</v>
      </c>
      <c r="X2508" s="20">
        <v>-0.03</v>
      </c>
      <c r="Y2508" s="20">
        <v>0</v>
      </c>
      <c r="Z2508" s="20">
        <v>0</v>
      </c>
      <c r="AA2508" s="20">
        <v>0</v>
      </c>
      <c r="AB2508" s="20">
        <v>3.97</v>
      </c>
      <c r="AC2508" t="s">
        <v>589</v>
      </c>
      <c r="AD2508" t="s">
        <v>290</v>
      </c>
      <c r="AE2508" s="702">
        <f t="shared" si="195"/>
        <v>44713</v>
      </c>
      <c r="AF2508" s="289">
        <v>3.9285958328241151</v>
      </c>
      <c r="AG2508">
        <f t="shared" si="196"/>
        <v>360</v>
      </c>
      <c r="AH2508" s="289">
        <f t="shared" si="197"/>
        <v>1.0912766202289209E-2</v>
      </c>
      <c r="AJ2508" s="289">
        <f t="shared" si="198"/>
        <v>6</v>
      </c>
      <c r="AK2508" s="289">
        <f t="shared" si="199"/>
        <v>6.5476597213735249E-2</v>
      </c>
    </row>
    <row r="2509" spans="1:37">
      <c r="A2509" s="703" t="s">
        <v>4351</v>
      </c>
      <c r="B2509" s="703" t="s">
        <v>3743</v>
      </c>
      <c r="C2509" s="703" t="s">
        <v>586</v>
      </c>
      <c r="D2509" s="703" t="s">
        <v>334</v>
      </c>
      <c r="E2509" s="703" t="s">
        <v>334</v>
      </c>
      <c r="F2509" s="703" t="s">
        <v>335</v>
      </c>
      <c r="G2509" s="703" t="s">
        <v>4352</v>
      </c>
      <c r="H2509" s="703" t="s">
        <v>334</v>
      </c>
      <c r="I2509" s="703" t="s">
        <v>334</v>
      </c>
      <c r="J2509" s="703" t="s">
        <v>337</v>
      </c>
      <c r="K2509" s="704">
        <v>0</v>
      </c>
      <c r="L2509" s="703" t="s">
        <v>334</v>
      </c>
      <c r="M2509" s="702">
        <v>43616</v>
      </c>
      <c r="N2509" s="702">
        <v>44825</v>
      </c>
      <c r="O2509" s="703" t="s">
        <v>338</v>
      </c>
      <c r="P2509" s="20">
        <v>0</v>
      </c>
      <c r="Q2509" s="20">
        <v>0</v>
      </c>
      <c r="R2509" s="20">
        <v>5</v>
      </c>
      <c r="S2509" s="20">
        <v>0</v>
      </c>
      <c r="T2509" s="20">
        <v>5</v>
      </c>
      <c r="U2509" s="20">
        <v>0</v>
      </c>
      <c r="V2509" s="20">
        <v>0</v>
      </c>
      <c r="W2509" s="20">
        <v>-0.04</v>
      </c>
      <c r="X2509" s="20">
        <v>-0.04</v>
      </c>
      <c r="Y2509" s="20">
        <v>0</v>
      </c>
      <c r="Z2509" s="20">
        <v>0</v>
      </c>
      <c r="AA2509" s="20">
        <v>0</v>
      </c>
      <c r="AB2509" s="20">
        <v>4.96</v>
      </c>
      <c r="AC2509" t="s">
        <v>589</v>
      </c>
      <c r="AD2509" t="s">
        <v>290</v>
      </c>
      <c r="AE2509" s="702">
        <f t="shared" si="195"/>
        <v>44713</v>
      </c>
      <c r="AF2509" s="289">
        <v>4.9107447910301438</v>
      </c>
      <c r="AG2509">
        <f t="shared" si="196"/>
        <v>360</v>
      </c>
      <c r="AH2509" s="289">
        <f t="shared" si="197"/>
        <v>1.3640957752861511E-2</v>
      </c>
      <c r="AJ2509" s="289">
        <f t="shared" si="198"/>
        <v>6</v>
      </c>
      <c r="AK2509" s="289">
        <f t="shared" si="199"/>
        <v>8.1845746517169068E-2</v>
      </c>
    </row>
    <row r="2510" spans="1:37">
      <c r="A2510" s="703" t="s">
        <v>4353</v>
      </c>
      <c r="B2510" s="703" t="s">
        <v>3743</v>
      </c>
      <c r="C2510" s="703" t="s">
        <v>586</v>
      </c>
      <c r="D2510" s="703" t="s">
        <v>334</v>
      </c>
      <c r="E2510" s="703" t="s">
        <v>334</v>
      </c>
      <c r="F2510" s="703" t="s">
        <v>335</v>
      </c>
      <c r="G2510" s="703" t="s">
        <v>4354</v>
      </c>
      <c r="H2510" s="703" t="s">
        <v>334</v>
      </c>
      <c r="I2510" s="703" t="s">
        <v>334</v>
      </c>
      <c r="J2510" s="703" t="s">
        <v>337</v>
      </c>
      <c r="K2510" s="704">
        <v>0</v>
      </c>
      <c r="L2510" s="703" t="s">
        <v>334</v>
      </c>
      <c r="M2510" s="702">
        <v>43616</v>
      </c>
      <c r="N2510" s="702">
        <v>44825</v>
      </c>
      <c r="O2510" s="703" t="s">
        <v>338</v>
      </c>
      <c r="P2510" s="20">
        <v>0</v>
      </c>
      <c r="Q2510" s="20">
        <v>0</v>
      </c>
      <c r="R2510" s="20">
        <v>4</v>
      </c>
      <c r="S2510" s="20">
        <v>0</v>
      </c>
      <c r="T2510" s="20">
        <v>4</v>
      </c>
      <c r="U2510" s="20">
        <v>0</v>
      </c>
      <c r="V2510" s="20">
        <v>0</v>
      </c>
      <c r="W2510" s="20">
        <v>-0.03</v>
      </c>
      <c r="X2510" s="20">
        <v>-0.03</v>
      </c>
      <c r="Y2510" s="20">
        <v>0</v>
      </c>
      <c r="Z2510" s="20">
        <v>0</v>
      </c>
      <c r="AA2510" s="20">
        <v>0</v>
      </c>
      <c r="AB2510" s="20">
        <v>3.97</v>
      </c>
      <c r="AC2510" t="s">
        <v>589</v>
      </c>
      <c r="AD2510" t="s">
        <v>290</v>
      </c>
      <c r="AE2510" s="702">
        <f t="shared" si="195"/>
        <v>44713</v>
      </c>
      <c r="AF2510" s="289">
        <v>3.9285958328241151</v>
      </c>
      <c r="AG2510">
        <f t="shared" si="196"/>
        <v>360</v>
      </c>
      <c r="AH2510" s="289">
        <f t="shared" si="197"/>
        <v>1.0912766202289209E-2</v>
      </c>
      <c r="AJ2510" s="289">
        <f t="shared" si="198"/>
        <v>6</v>
      </c>
      <c r="AK2510" s="289">
        <f t="shared" si="199"/>
        <v>6.5476597213735249E-2</v>
      </c>
    </row>
    <row r="2511" spans="1:37">
      <c r="A2511" s="703" t="s">
        <v>4355</v>
      </c>
      <c r="B2511" s="703" t="s">
        <v>3743</v>
      </c>
      <c r="C2511" s="703" t="s">
        <v>586</v>
      </c>
      <c r="D2511" s="703" t="s">
        <v>334</v>
      </c>
      <c r="E2511" s="703" t="s">
        <v>334</v>
      </c>
      <c r="F2511" s="703" t="s">
        <v>335</v>
      </c>
      <c r="G2511" s="703" t="s">
        <v>4356</v>
      </c>
      <c r="H2511" s="703" t="s">
        <v>334</v>
      </c>
      <c r="I2511" s="703" t="s">
        <v>334</v>
      </c>
      <c r="J2511" s="703" t="s">
        <v>337</v>
      </c>
      <c r="K2511" s="704">
        <v>0</v>
      </c>
      <c r="L2511" s="703" t="s">
        <v>334</v>
      </c>
      <c r="M2511" s="702">
        <v>43616</v>
      </c>
      <c r="N2511" s="702">
        <v>44825</v>
      </c>
      <c r="O2511" s="703" t="s">
        <v>338</v>
      </c>
      <c r="P2511" s="20">
        <v>0</v>
      </c>
      <c r="Q2511" s="20">
        <v>0</v>
      </c>
      <c r="R2511" s="20">
        <v>1</v>
      </c>
      <c r="S2511" s="20">
        <v>0</v>
      </c>
      <c r="T2511" s="20">
        <v>1</v>
      </c>
      <c r="U2511" s="20">
        <v>0</v>
      </c>
      <c r="V2511" s="20">
        <v>0</v>
      </c>
      <c r="W2511" s="20">
        <v>-0.01</v>
      </c>
      <c r="X2511" s="20">
        <v>-0.01</v>
      </c>
      <c r="Y2511" s="20">
        <v>0</v>
      </c>
      <c r="Z2511" s="20">
        <v>0</v>
      </c>
      <c r="AA2511" s="20">
        <v>0</v>
      </c>
      <c r="AB2511" s="20">
        <v>0.99</v>
      </c>
      <c r="AC2511" t="s">
        <v>589</v>
      </c>
      <c r="AD2511" t="s">
        <v>290</v>
      </c>
      <c r="AE2511" s="702">
        <f t="shared" si="195"/>
        <v>44713</v>
      </c>
      <c r="AF2511" s="289">
        <v>0.98214895820602877</v>
      </c>
      <c r="AG2511">
        <f t="shared" si="196"/>
        <v>360</v>
      </c>
      <c r="AH2511" s="289">
        <f t="shared" si="197"/>
        <v>2.7281915505723022E-3</v>
      </c>
      <c r="AJ2511" s="289">
        <f t="shared" si="198"/>
        <v>6</v>
      </c>
      <c r="AK2511" s="289">
        <f t="shared" si="199"/>
        <v>1.6369149303433812E-2</v>
      </c>
    </row>
    <row r="2512" spans="1:37">
      <c r="A2512" s="703" t="s">
        <v>4357</v>
      </c>
      <c r="B2512" s="703" t="s">
        <v>3743</v>
      </c>
      <c r="C2512" s="703" t="s">
        <v>586</v>
      </c>
      <c r="D2512" s="703" t="s">
        <v>334</v>
      </c>
      <c r="E2512" s="703" t="s">
        <v>334</v>
      </c>
      <c r="F2512" s="703" t="s">
        <v>335</v>
      </c>
      <c r="G2512" s="703" t="s">
        <v>4358</v>
      </c>
      <c r="H2512" s="703" t="s">
        <v>334</v>
      </c>
      <c r="I2512" s="703" t="s">
        <v>334</v>
      </c>
      <c r="J2512" s="703" t="s">
        <v>337</v>
      </c>
      <c r="K2512" s="704">
        <v>0</v>
      </c>
      <c r="L2512" s="703" t="s">
        <v>334</v>
      </c>
      <c r="M2512" s="702">
        <v>43616</v>
      </c>
      <c r="N2512" s="702">
        <v>44825</v>
      </c>
      <c r="O2512" s="703" t="s">
        <v>338</v>
      </c>
      <c r="P2512" s="20">
        <v>0</v>
      </c>
      <c r="Q2512" s="20">
        <v>0</v>
      </c>
      <c r="R2512" s="20">
        <v>45246.19</v>
      </c>
      <c r="S2512" s="20">
        <v>0</v>
      </c>
      <c r="T2512" s="20">
        <v>45246.19</v>
      </c>
      <c r="U2512" s="20">
        <v>0</v>
      </c>
      <c r="V2512" s="20">
        <v>0</v>
      </c>
      <c r="W2512" s="20">
        <v>-377.05</v>
      </c>
      <c r="X2512" s="20">
        <v>-377.05</v>
      </c>
      <c r="Y2512" s="20">
        <v>0</v>
      </c>
      <c r="Z2512" s="20">
        <v>0</v>
      </c>
      <c r="AA2512" s="20">
        <v>0</v>
      </c>
      <c r="AB2512" s="20">
        <v>44869.14</v>
      </c>
      <c r="AC2512" t="s">
        <v>589</v>
      </c>
      <c r="AD2512" t="s">
        <v>290</v>
      </c>
      <c r="AE2512" s="702">
        <f t="shared" si="195"/>
        <v>44713</v>
      </c>
      <c r="AF2512" s="289">
        <v>44438.498371292044</v>
      </c>
      <c r="AG2512">
        <f t="shared" si="196"/>
        <v>360</v>
      </c>
      <c r="AH2512" s="289">
        <f t="shared" si="197"/>
        <v>123.44027325358901</v>
      </c>
      <c r="AJ2512" s="289">
        <f t="shared" si="198"/>
        <v>6</v>
      </c>
      <c r="AK2512" s="289">
        <f t="shared" si="199"/>
        <v>740.6416395215341</v>
      </c>
    </row>
    <row r="2513" spans="1:37">
      <c r="A2513" s="703" t="s">
        <v>4359</v>
      </c>
      <c r="B2513" s="703" t="s">
        <v>3743</v>
      </c>
      <c r="C2513" s="703" t="s">
        <v>586</v>
      </c>
      <c r="D2513" s="703" t="s">
        <v>334</v>
      </c>
      <c r="E2513" s="703" t="s">
        <v>334</v>
      </c>
      <c r="F2513" s="703" t="s">
        <v>335</v>
      </c>
      <c r="G2513" s="703" t="s">
        <v>4360</v>
      </c>
      <c r="H2513" s="703" t="s">
        <v>334</v>
      </c>
      <c r="I2513" s="703" t="s">
        <v>334</v>
      </c>
      <c r="J2513" s="703" t="s">
        <v>337</v>
      </c>
      <c r="K2513" s="704">
        <v>0</v>
      </c>
      <c r="L2513" s="703" t="s">
        <v>334</v>
      </c>
      <c r="M2513" s="702">
        <v>43616</v>
      </c>
      <c r="N2513" s="702">
        <v>44825</v>
      </c>
      <c r="O2513" s="703" t="s">
        <v>338</v>
      </c>
      <c r="P2513" s="20">
        <v>0</v>
      </c>
      <c r="Q2513" s="20">
        <v>0</v>
      </c>
      <c r="R2513" s="20">
        <v>143.44</v>
      </c>
      <c r="S2513" s="20">
        <v>0</v>
      </c>
      <c r="T2513" s="20">
        <v>143.44</v>
      </c>
      <c r="U2513" s="20">
        <v>0</v>
      </c>
      <c r="V2513" s="20">
        <v>0</v>
      </c>
      <c r="W2513" s="20">
        <v>-1.2</v>
      </c>
      <c r="X2513" s="20">
        <v>-1.2</v>
      </c>
      <c r="Y2513" s="20">
        <v>0</v>
      </c>
      <c r="Z2513" s="20">
        <v>0</v>
      </c>
      <c r="AA2513" s="20">
        <v>0</v>
      </c>
      <c r="AB2513" s="20">
        <v>142.24</v>
      </c>
      <c r="AC2513" t="s">
        <v>589</v>
      </c>
      <c r="AD2513" t="s">
        <v>290</v>
      </c>
      <c r="AE2513" s="702">
        <f t="shared" si="195"/>
        <v>44713</v>
      </c>
      <c r="AF2513" s="289">
        <v>140.87944656507275</v>
      </c>
      <c r="AG2513">
        <f t="shared" si="196"/>
        <v>360</v>
      </c>
      <c r="AH2513" s="289">
        <f t="shared" si="197"/>
        <v>0.39133179601409096</v>
      </c>
      <c r="AJ2513" s="289">
        <f t="shared" si="198"/>
        <v>6</v>
      </c>
      <c r="AK2513" s="289">
        <f t="shared" si="199"/>
        <v>2.3479907760845458</v>
      </c>
    </row>
    <row r="2514" spans="1:37">
      <c r="A2514" s="703" t="s">
        <v>4361</v>
      </c>
      <c r="B2514" s="703" t="s">
        <v>3743</v>
      </c>
      <c r="C2514" s="703" t="s">
        <v>586</v>
      </c>
      <c r="D2514" s="703" t="s">
        <v>334</v>
      </c>
      <c r="E2514" s="703" t="s">
        <v>334</v>
      </c>
      <c r="F2514" s="703" t="s">
        <v>335</v>
      </c>
      <c r="G2514" s="703" t="s">
        <v>4362</v>
      </c>
      <c r="H2514" s="703" t="s">
        <v>334</v>
      </c>
      <c r="I2514" s="703" t="s">
        <v>334</v>
      </c>
      <c r="J2514" s="703" t="s">
        <v>337</v>
      </c>
      <c r="K2514" s="704">
        <v>0</v>
      </c>
      <c r="L2514" s="703" t="s">
        <v>334</v>
      </c>
      <c r="M2514" s="702">
        <v>43616</v>
      </c>
      <c r="N2514" s="702">
        <v>44825</v>
      </c>
      <c r="O2514" s="703" t="s">
        <v>338</v>
      </c>
      <c r="P2514" s="20">
        <v>0</v>
      </c>
      <c r="Q2514" s="20">
        <v>0</v>
      </c>
      <c r="R2514" s="20">
        <v>8635.4</v>
      </c>
      <c r="S2514" s="20">
        <v>0</v>
      </c>
      <c r="T2514" s="20">
        <v>8635.4</v>
      </c>
      <c r="U2514" s="20">
        <v>0</v>
      </c>
      <c r="V2514" s="20">
        <v>0</v>
      </c>
      <c r="W2514" s="20">
        <v>-71.959999999999994</v>
      </c>
      <c r="X2514" s="20">
        <v>-71.959999999999994</v>
      </c>
      <c r="Y2514" s="20">
        <v>0</v>
      </c>
      <c r="Z2514" s="20">
        <v>0</v>
      </c>
      <c r="AA2514" s="20">
        <v>0</v>
      </c>
      <c r="AB2514" s="20">
        <v>8563.44</v>
      </c>
      <c r="AC2514" t="s">
        <v>589</v>
      </c>
      <c r="AD2514" t="s">
        <v>290</v>
      </c>
      <c r="AE2514" s="702">
        <f t="shared" si="195"/>
        <v>44713</v>
      </c>
      <c r="AF2514" s="289">
        <v>8481.24911369234</v>
      </c>
      <c r="AG2514">
        <f t="shared" si="196"/>
        <v>360</v>
      </c>
      <c r="AH2514" s="289">
        <f t="shared" si="197"/>
        <v>23.559025315812054</v>
      </c>
      <c r="AJ2514" s="289">
        <f t="shared" si="198"/>
        <v>6</v>
      </c>
      <c r="AK2514" s="289">
        <f t="shared" si="199"/>
        <v>141.35415189487233</v>
      </c>
    </row>
    <row r="2515" spans="1:37">
      <c r="A2515" s="703" t="s">
        <v>4363</v>
      </c>
      <c r="B2515" s="703" t="s">
        <v>3743</v>
      </c>
      <c r="C2515" s="703" t="s">
        <v>586</v>
      </c>
      <c r="D2515" s="703" t="s">
        <v>334</v>
      </c>
      <c r="E2515" s="703" t="s">
        <v>334</v>
      </c>
      <c r="F2515" s="703" t="s">
        <v>335</v>
      </c>
      <c r="G2515" s="703" t="s">
        <v>4364</v>
      </c>
      <c r="H2515" s="703" t="s">
        <v>334</v>
      </c>
      <c r="I2515" s="703" t="s">
        <v>334</v>
      </c>
      <c r="J2515" s="703" t="s">
        <v>337</v>
      </c>
      <c r="K2515" s="704">
        <v>0</v>
      </c>
      <c r="L2515" s="703" t="s">
        <v>334</v>
      </c>
      <c r="M2515" s="702">
        <v>43616</v>
      </c>
      <c r="N2515" s="702">
        <v>44825</v>
      </c>
      <c r="O2515" s="703" t="s">
        <v>338</v>
      </c>
      <c r="P2515" s="20">
        <v>0</v>
      </c>
      <c r="Q2515" s="20">
        <v>0</v>
      </c>
      <c r="R2515" s="20">
        <v>4576.83</v>
      </c>
      <c r="S2515" s="20">
        <v>0</v>
      </c>
      <c r="T2515" s="20">
        <v>4576.83</v>
      </c>
      <c r="U2515" s="20">
        <v>0</v>
      </c>
      <c r="V2515" s="20">
        <v>0</v>
      </c>
      <c r="W2515" s="20">
        <v>-38.14</v>
      </c>
      <c r="X2515" s="20">
        <v>-38.14</v>
      </c>
      <c r="Y2515" s="20">
        <v>0</v>
      </c>
      <c r="Z2515" s="20">
        <v>0</v>
      </c>
      <c r="AA2515" s="20">
        <v>0</v>
      </c>
      <c r="AB2515" s="20">
        <v>4538.6899999999996</v>
      </c>
      <c r="AC2515" t="s">
        <v>589</v>
      </c>
      <c r="AD2515" t="s">
        <v>290</v>
      </c>
      <c r="AE2515" s="702">
        <f t="shared" si="195"/>
        <v>44713</v>
      </c>
      <c r="AF2515" s="289">
        <v>4495.1288163860982</v>
      </c>
      <c r="AG2515">
        <f t="shared" si="196"/>
        <v>360</v>
      </c>
      <c r="AH2515" s="289">
        <f t="shared" si="197"/>
        <v>12.486468934405828</v>
      </c>
      <c r="AJ2515" s="289">
        <f t="shared" si="198"/>
        <v>6</v>
      </c>
      <c r="AK2515" s="289">
        <f t="shared" si="199"/>
        <v>74.918813606434966</v>
      </c>
    </row>
    <row r="2516" spans="1:37">
      <c r="A2516" s="703" t="s">
        <v>4365</v>
      </c>
      <c r="B2516" s="703" t="s">
        <v>3743</v>
      </c>
      <c r="C2516" s="703" t="s">
        <v>586</v>
      </c>
      <c r="D2516" s="703" t="s">
        <v>334</v>
      </c>
      <c r="E2516" s="703" t="s">
        <v>334</v>
      </c>
      <c r="F2516" s="703" t="s">
        <v>335</v>
      </c>
      <c r="G2516" s="703" t="s">
        <v>4366</v>
      </c>
      <c r="H2516" s="703" t="s">
        <v>334</v>
      </c>
      <c r="I2516" s="703" t="s">
        <v>334</v>
      </c>
      <c r="J2516" s="703" t="s">
        <v>337</v>
      </c>
      <c r="K2516" s="704">
        <v>0</v>
      </c>
      <c r="L2516" s="703" t="s">
        <v>334</v>
      </c>
      <c r="M2516" s="702">
        <v>43616</v>
      </c>
      <c r="N2516" s="702">
        <v>44825</v>
      </c>
      <c r="O2516" s="703" t="s">
        <v>338</v>
      </c>
      <c r="P2516" s="20">
        <v>0</v>
      </c>
      <c r="Q2516" s="20">
        <v>0</v>
      </c>
      <c r="R2516" s="20">
        <v>4543.57</v>
      </c>
      <c r="S2516" s="20">
        <v>0</v>
      </c>
      <c r="T2516" s="20">
        <v>4543.57</v>
      </c>
      <c r="U2516" s="20">
        <v>0</v>
      </c>
      <c r="V2516" s="20">
        <v>0</v>
      </c>
      <c r="W2516" s="20">
        <v>-37.86</v>
      </c>
      <c r="X2516" s="20">
        <v>-37.86</v>
      </c>
      <c r="Y2516" s="20">
        <v>0</v>
      </c>
      <c r="Z2516" s="20">
        <v>0</v>
      </c>
      <c r="AA2516" s="20">
        <v>0</v>
      </c>
      <c r="AB2516" s="20">
        <v>4505.71</v>
      </c>
      <c r="AC2516" t="s">
        <v>589</v>
      </c>
      <c r="AD2516" t="s">
        <v>290</v>
      </c>
      <c r="AE2516" s="702">
        <f t="shared" si="195"/>
        <v>44713</v>
      </c>
      <c r="AF2516" s="289">
        <v>4462.4625420361654</v>
      </c>
      <c r="AG2516">
        <f t="shared" si="196"/>
        <v>360</v>
      </c>
      <c r="AH2516" s="289">
        <f t="shared" si="197"/>
        <v>12.395729283433793</v>
      </c>
      <c r="AJ2516" s="289">
        <f t="shared" si="198"/>
        <v>6</v>
      </c>
      <c r="AK2516" s="289">
        <f t="shared" si="199"/>
        <v>74.374375700602755</v>
      </c>
    </row>
    <row r="2517" spans="1:37">
      <c r="A2517" s="703" t="s">
        <v>4367</v>
      </c>
      <c r="B2517" s="703" t="s">
        <v>3743</v>
      </c>
      <c r="C2517" s="703" t="s">
        <v>586</v>
      </c>
      <c r="D2517" s="703" t="s">
        <v>334</v>
      </c>
      <c r="E2517" s="703" t="s">
        <v>334</v>
      </c>
      <c r="F2517" s="703" t="s">
        <v>335</v>
      </c>
      <c r="G2517" s="703" t="s">
        <v>4368</v>
      </c>
      <c r="H2517" s="703" t="s">
        <v>334</v>
      </c>
      <c r="I2517" s="703" t="s">
        <v>334</v>
      </c>
      <c r="J2517" s="703" t="s">
        <v>337</v>
      </c>
      <c r="K2517" s="704">
        <v>0</v>
      </c>
      <c r="L2517" s="703" t="s">
        <v>334</v>
      </c>
      <c r="M2517" s="702">
        <v>43616</v>
      </c>
      <c r="N2517" s="702">
        <v>44825</v>
      </c>
      <c r="O2517" s="703" t="s">
        <v>338</v>
      </c>
      <c r="P2517" s="20">
        <v>0</v>
      </c>
      <c r="Q2517" s="20">
        <v>0</v>
      </c>
      <c r="R2517" s="20">
        <v>15236.45</v>
      </c>
      <c r="S2517" s="20">
        <v>0</v>
      </c>
      <c r="T2517" s="20">
        <v>15236.45</v>
      </c>
      <c r="U2517" s="20">
        <v>0</v>
      </c>
      <c r="V2517" s="20">
        <v>0</v>
      </c>
      <c r="W2517" s="20">
        <v>-126.97</v>
      </c>
      <c r="X2517" s="20">
        <v>-126.97</v>
      </c>
      <c r="Y2517" s="20">
        <v>0</v>
      </c>
      <c r="Z2517" s="20">
        <v>0</v>
      </c>
      <c r="AA2517" s="20">
        <v>0</v>
      </c>
      <c r="AB2517" s="20">
        <v>15109.48</v>
      </c>
      <c r="AC2517" t="s">
        <v>589</v>
      </c>
      <c r="AD2517" t="s">
        <v>290</v>
      </c>
      <c r="AE2517" s="702">
        <f t="shared" si="195"/>
        <v>44713</v>
      </c>
      <c r="AF2517" s="289">
        <v>14964.463494258249</v>
      </c>
      <c r="AG2517">
        <f t="shared" si="196"/>
        <v>360</v>
      </c>
      <c r="AH2517" s="289">
        <f t="shared" si="197"/>
        <v>41.567954150717355</v>
      </c>
      <c r="AJ2517" s="289">
        <f t="shared" si="198"/>
        <v>6</v>
      </c>
      <c r="AK2517" s="289">
        <f t="shared" si="199"/>
        <v>249.40772490430413</v>
      </c>
    </row>
    <row r="2518" spans="1:37">
      <c r="A2518" s="703" t="s">
        <v>4369</v>
      </c>
      <c r="B2518" s="703" t="s">
        <v>3743</v>
      </c>
      <c r="C2518" s="703" t="s">
        <v>586</v>
      </c>
      <c r="D2518" s="703" t="s">
        <v>334</v>
      </c>
      <c r="E2518" s="703" t="s">
        <v>334</v>
      </c>
      <c r="F2518" s="703" t="s">
        <v>335</v>
      </c>
      <c r="G2518" s="703" t="s">
        <v>4370</v>
      </c>
      <c r="H2518" s="703" t="s">
        <v>334</v>
      </c>
      <c r="I2518" s="703" t="s">
        <v>334</v>
      </c>
      <c r="J2518" s="703" t="s">
        <v>337</v>
      </c>
      <c r="K2518" s="704">
        <v>0</v>
      </c>
      <c r="L2518" s="703" t="s">
        <v>334</v>
      </c>
      <c r="M2518" s="702">
        <v>43616</v>
      </c>
      <c r="N2518" s="702">
        <v>44825</v>
      </c>
      <c r="O2518" s="703" t="s">
        <v>338</v>
      </c>
      <c r="P2518" s="20">
        <v>0</v>
      </c>
      <c r="Q2518" s="20">
        <v>0</v>
      </c>
      <c r="R2518" s="20">
        <v>2264.9299999999998</v>
      </c>
      <c r="S2518" s="20">
        <v>0</v>
      </c>
      <c r="T2518" s="20">
        <v>2264.9299999999998</v>
      </c>
      <c r="U2518" s="20">
        <v>0</v>
      </c>
      <c r="V2518" s="20">
        <v>0</v>
      </c>
      <c r="W2518" s="20">
        <v>-18.87</v>
      </c>
      <c r="X2518" s="20">
        <v>-18.87</v>
      </c>
      <c r="Y2518" s="20">
        <v>0</v>
      </c>
      <c r="Z2518" s="20">
        <v>0</v>
      </c>
      <c r="AA2518" s="20">
        <v>0</v>
      </c>
      <c r="AB2518" s="20">
        <v>2246.06</v>
      </c>
      <c r="AC2518" t="s">
        <v>589</v>
      </c>
      <c r="AD2518" t="s">
        <v>290</v>
      </c>
      <c r="AE2518" s="702">
        <f t="shared" si="195"/>
        <v>44713</v>
      </c>
      <c r="AF2518" s="289">
        <v>2224.4986399095806</v>
      </c>
      <c r="AG2518">
        <f t="shared" si="196"/>
        <v>360</v>
      </c>
      <c r="AH2518" s="289">
        <f t="shared" si="197"/>
        <v>6.1791628886377241</v>
      </c>
      <c r="AJ2518" s="289">
        <f t="shared" si="198"/>
        <v>6</v>
      </c>
      <c r="AK2518" s="289">
        <f t="shared" si="199"/>
        <v>37.074977331826346</v>
      </c>
    </row>
    <row r="2519" spans="1:37">
      <c r="A2519" s="703" t="s">
        <v>4371</v>
      </c>
      <c r="B2519" s="703" t="s">
        <v>3743</v>
      </c>
      <c r="C2519" s="703" t="s">
        <v>586</v>
      </c>
      <c r="D2519" s="703" t="s">
        <v>334</v>
      </c>
      <c r="E2519" s="703" t="s">
        <v>334</v>
      </c>
      <c r="F2519" s="703" t="s">
        <v>335</v>
      </c>
      <c r="G2519" s="703" t="s">
        <v>4372</v>
      </c>
      <c r="H2519" s="703" t="s">
        <v>334</v>
      </c>
      <c r="I2519" s="703" t="s">
        <v>334</v>
      </c>
      <c r="J2519" s="703" t="s">
        <v>337</v>
      </c>
      <c r="K2519" s="704">
        <v>0</v>
      </c>
      <c r="L2519" s="703" t="s">
        <v>334</v>
      </c>
      <c r="M2519" s="702">
        <v>43616</v>
      </c>
      <c r="N2519" s="702">
        <v>44825</v>
      </c>
      <c r="O2519" s="703" t="s">
        <v>338</v>
      </c>
      <c r="P2519" s="20">
        <v>0</v>
      </c>
      <c r="Q2519" s="20">
        <v>0</v>
      </c>
      <c r="R2519" s="20">
        <v>39.15</v>
      </c>
      <c r="S2519" s="20">
        <v>0</v>
      </c>
      <c r="T2519" s="20">
        <v>39.15</v>
      </c>
      <c r="U2519" s="20">
        <v>0</v>
      </c>
      <c r="V2519" s="20">
        <v>0</v>
      </c>
      <c r="W2519" s="20">
        <v>-0.33</v>
      </c>
      <c r="X2519" s="20">
        <v>-0.33</v>
      </c>
      <c r="Y2519" s="20">
        <v>0</v>
      </c>
      <c r="Z2519" s="20">
        <v>0</v>
      </c>
      <c r="AA2519" s="20">
        <v>0</v>
      </c>
      <c r="AB2519" s="20">
        <v>38.82</v>
      </c>
      <c r="AC2519" t="s">
        <v>589</v>
      </c>
      <c r="AD2519" t="s">
        <v>290</v>
      </c>
      <c r="AE2519" s="702">
        <f t="shared" si="195"/>
        <v>44713</v>
      </c>
      <c r="AF2519" s="289">
        <v>38.451131713766024</v>
      </c>
      <c r="AG2519">
        <f t="shared" si="196"/>
        <v>360</v>
      </c>
      <c r="AH2519" s="289">
        <f t="shared" si="197"/>
        <v>0.10680869920490563</v>
      </c>
      <c r="AJ2519" s="289">
        <f t="shared" si="198"/>
        <v>6</v>
      </c>
      <c r="AK2519" s="289">
        <f t="shared" si="199"/>
        <v>0.64085219522943371</v>
      </c>
    </row>
    <row r="2520" spans="1:37">
      <c r="A2520" s="703" t="s">
        <v>4373</v>
      </c>
      <c r="B2520" s="703" t="s">
        <v>3743</v>
      </c>
      <c r="C2520" s="703" t="s">
        <v>586</v>
      </c>
      <c r="D2520" s="703" t="s">
        <v>334</v>
      </c>
      <c r="E2520" s="703" t="s">
        <v>334</v>
      </c>
      <c r="F2520" s="703" t="s">
        <v>335</v>
      </c>
      <c r="G2520" s="703" t="s">
        <v>4374</v>
      </c>
      <c r="H2520" s="703" t="s">
        <v>334</v>
      </c>
      <c r="I2520" s="703" t="s">
        <v>334</v>
      </c>
      <c r="J2520" s="703" t="s">
        <v>337</v>
      </c>
      <c r="K2520" s="704">
        <v>0</v>
      </c>
      <c r="L2520" s="703" t="s">
        <v>334</v>
      </c>
      <c r="M2520" s="702">
        <v>43616</v>
      </c>
      <c r="N2520" s="702">
        <v>44825</v>
      </c>
      <c r="O2520" s="703" t="s">
        <v>338</v>
      </c>
      <c r="P2520" s="20">
        <v>0</v>
      </c>
      <c r="Q2520" s="20">
        <v>0</v>
      </c>
      <c r="R2520" s="20">
        <v>12586.75</v>
      </c>
      <c r="S2520" s="20">
        <v>0</v>
      </c>
      <c r="T2520" s="20">
        <v>12586.75</v>
      </c>
      <c r="U2520" s="20">
        <v>0</v>
      </c>
      <c r="V2520" s="20">
        <v>0</v>
      </c>
      <c r="W2520" s="20">
        <v>-104.89</v>
      </c>
      <c r="X2520" s="20">
        <v>-104.89</v>
      </c>
      <c r="Y2520" s="20">
        <v>0</v>
      </c>
      <c r="Z2520" s="20">
        <v>0</v>
      </c>
      <c r="AA2520" s="20">
        <v>0</v>
      </c>
      <c r="AB2520" s="20">
        <v>12481.86</v>
      </c>
      <c r="AC2520" t="s">
        <v>589</v>
      </c>
      <c r="AD2520" t="s">
        <v>290</v>
      </c>
      <c r="AE2520" s="702">
        <f t="shared" si="195"/>
        <v>44713</v>
      </c>
      <c r="AF2520" s="289">
        <v>12362.063399699733</v>
      </c>
      <c r="AG2520">
        <f t="shared" si="196"/>
        <v>360</v>
      </c>
      <c r="AH2520" s="289">
        <f t="shared" si="197"/>
        <v>34.339064999165927</v>
      </c>
      <c r="AJ2520" s="289">
        <f t="shared" si="198"/>
        <v>6</v>
      </c>
      <c r="AK2520" s="289">
        <f t="shared" si="199"/>
        <v>206.03438999499556</v>
      </c>
    </row>
    <row r="2521" spans="1:37">
      <c r="A2521" s="703" t="s">
        <v>4375</v>
      </c>
      <c r="B2521" s="703" t="s">
        <v>3743</v>
      </c>
      <c r="C2521" s="703" t="s">
        <v>586</v>
      </c>
      <c r="D2521" s="703" t="s">
        <v>334</v>
      </c>
      <c r="E2521" s="703" t="s">
        <v>334</v>
      </c>
      <c r="F2521" s="703" t="s">
        <v>335</v>
      </c>
      <c r="G2521" s="703" t="s">
        <v>4376</v>
      </c>
      <c r="H2521" s="703" t="s">
        <v>334</v>
      </c>
      <c r="I2521" s="703" t="s">
        <v>334</v>
      </c>
      <c r="J2521" s="703" t="s">
        <v>337</v>
      </c>
      <c r="K2521" s="704">
        <v>0</v>
      </c>
      <c r="L2521" s="703" t="s">
        <v>334</v>
      </c>
      <c r="M2521" s="702">
        <v>43616</v>
      </c>
      <c r="N2521" s="702">
        <v>44825</v>
      </c>
      <c r="O2521" s="703" t="s">
        <v>338</v>
      </c>
      <c r="P2521" s="20">
        <v>0</v>
      </c>
      <c r="Q2521" s="20">
        <v>0</v>
      </c>
      <c r="R2521" s="20">
        <v>98.23</v>
      </c>
      <c r="S2521" s="20">
        <v>0</v>
      </c>
      <c r="T2521" s="20">
        <v>98.23</v>
      </c>
      <c r="U2521" s="20">
        <v>0</v>
      </c>
      <c r="V2521" s="20">
        <v>0</v>
      </c>
      <c r="W2521" s="20">
        <v>-0.82</v>
      </c>
      <c r="X2521" s="20">
        <v>-0.82</v>
      </c>
      <c r="Y2521" s="20">
        <v>0</v>
      </c>
      <c r="Z2521" s="20">
        <v>0</v>
      </c>
      <c r="AA2521" s="20">
        <v>0</v>
      </c>
      <c r="AB2521" s="20">
        <v>97.41</v>
      </c>
      <c r="AC2521" t="s">
        <v>589</v>
      </c>
      <c r="AD2521" t="s">
        <v>290</v>
      </c>
      <c r="AE2521" s="702">
        <f t="shared" si="195"/>
        <v>44713</v>
      </c>
      <c r="AF2521" s="289">
        <v>96.476492164578218</v>
      </c>
      <c r="AG2521">
        <f t="shared" si="196"/>
        <v>360</v>
      </c>
      <c r="AH2521" s="289">
        <f t="shared" si="197"/>
        <v>0.26799025601271725</v>
      </c>
      <c r="AJ2521" s="289">
        <f t="shared" si="198"/>
        <v>6</v>
      </c>
      <c r="AK2521" s="289">
        <f t="shared" si="199"/>
        <v>1.6079415360763036</v>
      </c>
    </row>
    <row r="2522" spans="1:37">
      <c r="A2522" s="703" t="s">
        <v>4377</v>
      </c>
      <c r="B2522" s="703" t="s">
        <v>3743</v>
      </c>
      <c r="C2522" s="703" t="s">
        <v>586</v>
      </c>
      <c r="D2522" s="703" t="s">
        <v>334</v>
      </c>
      <c r="E2522" s="703" t="s">
        <v>334</v>
      </c>
      <c r="F2522" s="703" t="s">
        <v>335</v>
      </c>
      <c r="G2522" s="703" t="s">
        <v>4378</v>
      </c>
      <c r="H2522" s="703" t="s">
        <v>334</v>
      </c>
      <c r="I2522" s="703" t="s">
        <v>334</v>
      </c>
      <c r="J2522" s="703" t="s">
        <v>337</v>
      </c>
      <c r="K2522" s="704">
        <v>0</v>
      </c>
      <c r="L2522" s="703" t="s">
        <v>334</v>
      </c>
      <c r="M2522" s="702">
        <v>43616</v>
      </c>
      <c r="N2522" s="702">
        <v>44825</v>
      </c>
      <c r="O2522" s="703" t="s">
        <v>338</v>
      </c>
      <c r="P2522" s="20">
        <v>0</v>
      </c>
      <c r="Q2522" s="20">
        <v>0</v>
      </c>
      <c r="R2522" s="20">
        <v>164.35</v>
      </c>
      <c r="S2522" s="20">
        <v>0</v>
      </c>
      <c r="T2522" s="20">
        <v>164.35</v>
      </c>
      <c r="U2522" s="20">
        <v>0</v>
      </c>
      <c r="V2522" s="20">
        <v>0</v>
      </c>
      <c r="W2522" s="20">
        <v>-1.37</v>
      </c>
      <c r="X2522" s="20">
        <v>-1.37</v>
      </c>
      <c r="Y2522" s="20">
        <v>0</v>
      </c>
      <c r="Z2522" s="20">
        <v>0</v>
      </c>
      <c r="AA2522" s="20">
        <v>0</v>
      </c>
      <c r="AB2522" s="20">
        <v>162.97999999999999</v>
      </c>
      <c r="AC2522" t="s">
        <v>589</v>
      </c>
      <c r="AD2522" t="s">
        <v>290</v>
      </c>
      <c r="AE2522" s="702">
        <f t="shared" si="195"/>
        <v>44713</v>
      </c>
      <c r="AF2522" s="289">
        <v>161.41618128116085</v>
      </c>
      <c r="AG2522">
        <f t="shared" si="196"/>
        <v>360</v>
      </c>
      <c r="AH2522" s="289">
        <f t="shared" si="197"/>
        <v>0.44837828133655788</v>
      </c>
      <c r="AJ2522" s="289">
        <f t="shared" si="198"/>
        <v>6</v>
      </c>
      <c r="AK2522" s="289">
        <f t="shared" si="199"/>
        <v>2.6902696880193471</v>
      </c>
    </row>
    <row r="2523" spans="1:37">
      <c r="A2523" s="703" t="s">
        <v>4379</v>
      </c>
      <c r="B2523" s="703" t="s">
        <v>3743</v>
      </c>
      <c r="C2523" s="703" t="s">
        <v>586</v>
      </c>
      <c r="D2523" s="703" t="s">
        <v>334</v>
      </c>
      <c r="E2523" s="703" t="s">
        <v>334</v>
      </c>
      <c r="F2523" s="703" t="s">
        <v>335</v>
      </c>
      <c r="G2523" s="703" t="s">
        <v>4380</v>
      </c>
      <c r="H2523" s="703" t="s">
        <v>334</v>
      </c>
      <c r="I2523" s="703" t="s">
        <v>334</v>
      </c>
      <c r="J2523" s="703" t="s">
        <v>337</v>
      </c>
      <c r="K2523" s="704">
        <v>0</v>
      </c>
      <c r="L2523" s="703" t="s">
        <v>334</v>
      </c>
      <c r="M2523" s="702">
        <v>43616</v>
      </c>
      <c r="N2523" s="702">
        <v>44825</v>
      </c>
      <c r="O2523" s="703" t="s">
        <v>338</v>
      </c>
      <c r="P2523" s="20">
        <v>0</v>
      </c>
      <c r="Q2523" s="20">
        <v>0</v>
      </c>
      <c r="R2523" s="20">
        <v>271.77</v>
      </c>
      <c r="S2523" s="20">
        <v>0</v>
      </c>
      <c r="T2523" s="20">
        <v>271.77</v>
      </c>
      <c r="U2523" s="20">
        <v>0</v>
      </c>
      <c r="V2523" s="20">
        <v>0</v>
      </c>
      <c r="W2523" s="20">
        <v>-2.2599999999999998</v>
      </c>
      <c r="X2523" s="20">
        <v>-2.2599999999999998</v>
      </c>
      <c r="Y2523" s="20">
        <v>0</v>
      </c>
      <c r="Z2523" s="20">
        <v>0</v>
      </c>
      <c r="AA2523" s="20">
        <v>0</v>
      </c>
      <c r="AB2523" s="20">
        <v>269.51</v>
      </c>
      <c r="AC2523" t="s">
        <v>589</v>
      </c>
      <c r="AD2523" t="s">
        <v>290</v>
      </c>
      <c r="AE2523" s="702">
        <f t="shared" si="195"/>
        <v>44713</v>
      </c>
      <c r="AF2523" s="289">
        <v>266.91862237165242</v>
      </c>
      <c r="AG2523">
        <f t="shared" si="196"/>
        <v>360</v>
      </c>
      <c r="AH2523" s="289">
        <f t="shared" si="197"/>
        <v>0.74144061769903447</v>
      </c>
      <c r="AJ2523" s="289">
        <f t="shared" si="198"/>
        <v>6</v>
      </c>
      <c r="AK2523" s="289">
        <f t="shared" si="199"/>
        <v>4.4486437061942068</v>
      </c>
    </row>
    <row r="2524" spans="1:37">
      <c r="A2524" s="703" t="s">
        <v>4381</v>
      </c>
      <c r="B2524" s="703" t="s">
        <v>3743</v>
      </c>
      <c r="C2524" s="703" t="s">
        <v>586</v>
      </c>
      <c r="D2524" s="703" t="s">
        <v>334</v>
      </c>
      <c r="E2524" s="703" t="s">
        <v>334</v>
      </c>
      <c r="F2524" s="703" t="s">
        <v>335</v>
      </c>
      <c r="G2524" s="703" t="s">
        <v>4382</v>
      </c>
      <c r="H2524" s="703" t="s">
        <v>334</v>
      </c>
      <c r="I2524" s="703" t="s">
        <v>334</v>
      </c>
      <c r="J2524" s="703" t="s">
        <v>337</v>
      </c>
      <c r="K2524" s="704">
        <v>0</v>
      </c>
      <c r="L2524" s="703" t="s">
        <v>334</v>
      </c>
      <c r="M2524" s="702">
        <v>43616</v>
      </c>
      <c r="N2524" s="702">
        <v>44825</v>
      </c>
      <c r="O2524" s="703" t="s">
        <v>338</v>
      </c>
      <c r="P2524" s="20">
        <v>0</v>
      </c>
      <c r="Q2524" s="20">
        <v>0</v>
      </c>
      <c r="R2524" s="20">
        <v>611.05999999999995</v>
      </c>
      <c r="S2524" s="20">
        <v>0</v>
      </c>
      <c r="T2524" s="20">
        <v>611.05999999999995</v>
      </c>
      <c r="U2524" s="20">
        <v>0</v>
      </c>
      <c r="V2524" s="20">
        <v>0</v>
      </c>
      <c r="W2524" s="20">
        <v>-5.09</v>
      </c>
      <c r="X2524" s="20">
        <v>-5.09</v>
      </c>
      <c r="Y2524" s="20">
        <v>0</v>
      </c>
      <c r="Z2524" s="20">
        <v>0</v>
      </c>
      <c r="AA2524" s="20">
        <v>0</v>
      </c>
      <c r="AB2524" s="20">
        <v>605.97</v>
      </c>
      <c r="AC2524" t="s">
        <v>589</v>
      </c>
      <c r="AD2524" t="s">
        <v>290</v>
      </c>
      <c r="AE2524" s="702">
        <f t="shared" si="195"/>
        <v>44713</v>
      </c>
      <c r="AF2524" s="289">
        <v>600.15194240137589</v>
      </c>
      <c r="AG2524">
        <f t="shared" si="196"/>
        <v>360</v>
      </c>
      <c r="AH2524" s="289">
        <f t="shared" si="197"/>
        <v>1.6670887288927108</v>
      </c>
      <c r="AJ2524" s="289">
        <f t="shared" si="198"/>
        <v>6</v>
      </c>
      <c r="AK2524" s="289">
        <f t="shared" si="199"/>
        <v>10.002532373356264</v>
      </c>
    </row>
    <row r="2525" spans="1:37">
      <c r="A2525" s="703" t="s">
        <v>4383</v>
      </c>
      <c r="B2525" s="703" t="s">
        <v>3743</v>
      </c>
      <c r="C2525" s="703" t="s">
        <v>586</v>
      </c>
      <c r="D2525" s="703" t="s">
        <v>334</v>
      </c>
      <c r="E2525" s="703" t="s">
        <v>334</v>
      </c>
      <c r="F2525" s="703" t="s">
        <v>335</v>
      </c>
      <c r="G2525" s="703" t="s">
        <v>4384</v>
      </c>
      <c r="H2525" s="703" t="s">
        <v>334</v>
      </c>
      <c r="I2525" s="703" t="s">
        <v>334</v>
      </c>
      <c r="J2525" s="703" t="s">
        <v>337</v>
      </c>
      <c r="K2525" s="704">
        <v>0</v>
      </c>
      <c r="L2525" s="703" t="s">
        <v>334</v>
      </c>
      <c r="M2525" s="702">
        <v>43616</v>
      </c>
      <c r="N2525" s="702">
        <v>44825</v>
      </c>
      <c r="O2525" s="703" t="s">
        <v>338</v>
      </c>
      <c r="P2525" s="20">
        <v>0</v>
      </c>
      <c r="Q2525" s="20">
        <v>0</v>
      </c>
      <c r="R2525" s="20">
        <v>404.35</v>
      </c>
      <c r="S2525" s="20">
        <v>0</v>
      </c>
      <c r="T2525" s="20">
        <v>404.35</v>
      </c>
      <c r="U2525" s="20">
        <v>0</v>
      </c>
      <c r="V2525" s="20">
        <v>0</v>
      </c>
      <c r="W2525" s="20">
        <v>-3.37</v>
      </c>
      <c r="X2525" s="20">
        <v>-3.37</v>
      </c>
      <c r="Y2525" s="20">
        <v>0</v>
      </c>
      <c r="Z2525" s="20">
        <v>0</v>
      </c>
      <c r="AA2525" s="20">
        <v>0</v>
      </c>
      <c r="AB2525" s="20">
        <v>400.98</v>
      </c>
      <c r="AC2525" t="s">
        <v>589</v>
      </c>
      <c r="AD2525" t="s">
        <v>290</v>
      </c>
      <c r="AE2525" s="702">
        <f t="shared" si="195"/>
        <v>44713</v>
      </c>
      <c r="AF2525" s="289">
        <v>397.13193125060775</v>
      </c>
      <c r="AG2525">
        <f t="shared" si="196"/>
        <v>360</v>
      </c>
      <c r="AH2525" s="289">
        <f t="shared" si="197"/>
        <v>1.1031442534739104</v>
      </c>
      <c r="AJ2525" s="289">
        <f t="shared" si="198"/>
        <v>6</v>
      </c>
      <c r="AK2525" s="289">
        <f t="shared" si="199"/>
        <v>6.6188655208434621</v>
      </c>
    </row>
    <row r="2526" spans="1:37">
      <c r="A2526" s="703" t="s">
        <v>4385</v>
      </c>
      <c r="B2526" s="703" t="s">
        <v>3743</v>
      </c>
      <c r="C2526" s="703" t="s">
        <v>586</v>
      </c>
      <c r="D2526" s="703" t="s">
        <v>334</v>
      </c>
      <c r="E2526" s="703" t="s">
        <v>334</v>
      </c>
      <c r="F2526" s="703" t="s">
        <v>335</v>
      </c>
      <c r="G2526" s="703" t="s">
        <v>4386</v>
      </c>
      <c r="H2526" s="703" t="s">
        <v>334</v>
      </c>
      <c r="I2526" s="703" t="s">
        <v>334</v>
      </c>
      <c r="J2526" s="703" t="s">
        <v>337</v>
      </c>
      <c r="K2526" s="704">
        <v>0</v>
      </c>
      <c r="L2526" s="703" t="s">
        <v>334</v>
      </c>
      <c r="M2526" s="702">
        <v>43616</v>
      </c>
      <c r="N2526" s="702">
        <v>44825</v>
      </c>
      <c r="O2526" s="703" t="s">
        <v>338</v>
      </c>
      <c r="P2526" s="20">
        <v>0</v>
      </c>
      <c r="Q2526" s="20">
        <v>0</v>
      </c>
      <c r="R2526" s="20">
        <v>253.2</v>
      </c>
      <c r="S2526" s="20">
        <v>0</v>
      </c>
      <c r="T2526" s="20">
        <v>253.2</v>
      </c>
      <c r="U2526" s="20">
        <v>0</v>
      </c>
      <c r="V2526" s="20">
        <v>0</v>
      </c>
      <c r="W2526" s="20">
        <v>-2.11</v>
      </c>
      <c r="X2526" s="20">
        <v>-2.11</v>
      </c>
      <c r="Y2526" s="20">
        <v>0</v>
      </c>
      <c r="Z2526" s="20">
        <v>0</v>
      </c>
      <c r="AA2526" s="20">
        <v>0</v>
      </c>
      <c r="AB2526" s="20">
        <v>251.09</v>
      </c>
      <c r="AC2526" t="s">
        <v>589</v>
      </c>
      <c r="AD2526" t="s">
        <v>290</v>
      </c>
      <c r="AE2526" s="702">
        <f t="shared" si="195"/>
        <v>44713</v>
      </c>
      <c r="AF2526" s="289">
        <v>248.68011621776645</v>
      </c>
      <c r="AG2526">
        <f t="shared" si="196"/>
        <v>360</v>
      </c>
      <c r="AH2526" s="289">
        <f t="shared" si="197"/>
        <v>0.69077810060490685</v>
      </c>
      <c r="AJ2526" s="289">
        <f t="shared" si="198"/>
        <v>6</v>
      </c>
      <c r="AK2526" s="289">
        <f t="shared" si="199"/>
        <v>4.1446686036294409</v>
      </c>
    </row>
    <row r="2527" spans="1:37">
      <c r="A2527" s="703" t="s">
        <v>4387</v>
      </c>
      <c r="B2527" s="703" t="s">
        <v>3743</v>
      </c>
      <c r="C2527" s="703" t="s">
        <v>586</v>
      </c>
      <c r="D2527" s="703" t="s">
        <v>334</v>
      </c>
      <c r="E2527" s="703" t="s">
        <v>334</v>
      </c>
      <c r="F2527" s="703" t="s">
        <v>335</v>
      </c>
      <c r="G2527" s="703" t="s">
        <v>4388</v>
      </c>
      <c r="H2527" s="703" t="s">
        <v>334</v>
      </c>
      <c r="I2527" s="703" t="s">
        <v>334</v>
      </c>
      <c r="J2527" s="703" t="s">
        <v>337</v>
      </c>
      <c r="K2527" s="704">
        <v>0</v>
      </c>
      <c r="L2527" s="703" t="s">
        <v>334</v>
      </c>
      <c r="M2527" s="702">
        <v>43616</v>
      </c>
      <c r="N2527" s="702">
        <v>44825</v>
      </c>
      <c r="O2527" s="703" t="s">
        <v>338</v>
      </c>
      <c r="P2527" s="20">
        <v>0</v>
      </c>
      <c r="Q2527" s="20">
        <v>0</v>
      </c>
      <c r="R2527" s="20">
        <v>326.77</v>
      </c>
      <c r="S2527" s="20">
        <v>0</v>
      </c>
      <c r="T2527" s="20">
        <v>326.77</v>
      </c>
      <c r="U2527" s="20">
        <v>0</v>
      </c>
      <c r="V2527" s="20">
        <v>0</v>
      </c>
      <c r="W2527" s="20">
        <v>-2.72</v>
      </c>
      <c r="X2527" s="20">
        <v>-2.72</v>
      </c>
      <c r="Y2527" s="20">
        <v>0</v>
      </c>
      <c r="Z2527" s="20">
        <v>0</v>
      </c>
      <c r="AA2527" s="20">
        <v>0</v>
      </c>
      <c r="AB2527" s="20">
        <v>324.05</v>
      </c>
      <c r="AC2527" t="s">
        <v>589</v>
      </c>
      <c r="AD2527" t="s">
        <v>290</v>
      </c>
      <c r="AE2527" s="702">
        <f t="shared" si="195"/>
        <v>44713</v>
      </c>
      <c r="AF2527" s="289">
        <v>320.93681507298402</v>
      </c>
      <c r="AG2527">
        <f t="shared" si="196"/>
        <v>360</v>
      </c>
      <c r="AH2527" s="289">
        <f t="shared" si="197"/>
        <v>0.89149115298051118</v>
      </c>
      <c r="AJ2527" s="289">
        <f t="shared" si="198"/>
        <v>6</v>
      </c>
      <c r="AK2527" s="289">
        <f t="shared" si="199"/>
        <v>5.3489469178830671</v>
      </c>
    </row>
    <row r="2528" spans="1:37">
      <c r="A2528" s="703" t="s">
        <v>4389</v>
      </c>
      <c r="B2528" s="703" t="s">
        <v>3743</v>
      </c>
      <c r="C2528" s="703" t="s">
        <v>586</v>
      </c>
      <c r="D2528" s="703" t="s">
        <v>334</v>
      </c>
      <c r="E2528" s="703" t="s">
        <v>334</v>
      </c>
      <c r="F2528" s="703" t="s">
        <v>335</v>
      </c>
      <c r="G2528" s="703" t="s">
        <v>4390</v>
      </c>
      <c r="H2528" s="703" t="s">
        <v>334</v>
      </c>
      <c r="I2528" s="703" t="s">
        <v>334</v>
      </c>
      <c r="J2528" s="703" t="s">
        <v>337</v>
      </c>
      <c r="K2528" s="704">
        <v>0</v>
      </c>
      <c r="L2528" s="703" t="s">
        <v>334</v>
      </c>
      <c r="M2528" s="702">
        <v>43616</v>
      </c>
      <c r="N2528" s="702">
        <v>44825</v>
      </c>
      <c r="O2528" s="703" t="s">
        <v>338</v>
      </c>
      <c r="P2528" s="20">
        <v>0</v>
      </c>
      <c r="Q2528" s="20">
        <v>0</v>
      </c>
      <c r="R2528" s="20">
        <v>2020.05</v>
      </c>
      <c r="S2528" s="20">
        <v>0</v>
      </c>
      <c r="T2528" s="20">
        <v>2020.05</v>
      </c>
      <c r="U2528" s="20">
        <v>0</v>
      </c>
      <c r="V2528" s="20">
        <v>0</v>
      </c>
      <c r="W2528" s="20">
        <v>-16.829999999999998</v>
      </c>
      <c r="X2528" s="20">
        <v>-16.829999999999998</v>
      </c>
      <c r="Y2528" s="20">
        <v>0</v>
      </c>
      <c r="Z2528" s="20">
        <v>0</v>
      </c>
      <c r="AA2528" s="20">
        <v>0</v>
      </c>
      <c r="AB2528" s="20">
        <v>2003.22</v>
      </c>
      <c r="AC2528" t="s">
        <v>589</v>
      </c>
      <c r="AD2528" t="s">
        <v>290</v>
      </c>
      <c r="AE2528" s="702">
        <f t="shared" si="195"/>
        <v>44713</v>
      </c>
      <c r="AF2528" s="289">
        <v>1983.9900030240883</v>
      </c>
      <c r="AG2528">
        <f t="shared" si="196"/>
        <v>360</v>
      </c>
      <c r="AH2528" s="289">
        <f t="shared" si="197"/>
        <v>5.5110833417335785</v>
      </c>
      <c r="AJ2528" s="289">
        <f t="shared" si="198"/>
        <v>6</v>
      </c>
      <c r="AK2528" s="289">
        <f t="shared" si="199"/>
        <v>33.066500050401473</v>
      </c>
    </row>
    <row r="2529" spans="1:37">
      <c r="A2529" s="703" t="s">
        <v>4391</v>
      </c>
      <c r="B2529" s="703" t="s">
        <v>3743</v>
      </c>
      <c r="C2529" s="703" t="s">
        <v>586</v>
      </c>
      <c r="D2529" s="703" t="s">
        <v>334</v>
      </c>
      <c r="E2529" s="703" t="s">
        <v>334</v>
      </c>
      <c r="F2529" s="703" t="s">
        <v>335</v>
      </c>
      <c r="G2529" s="703" t="s">
        <v>4392</v>
      </c>
      <c r="H2529" s="703" t="s">
        <v>334</v>
      </c>
      <c r="I2529" s="703" t="s">
        <v>334</v>
      </c>
      <c r="J2529" s="703" t="s">
        <v>337</v>
      </c>
      <c r="K2529" s="704">
        <v>0</v>
      </c>
      <c r="L2529" s="703" t="s">
        <v>334</v>
      </c>
      <c r="M2529" s="702">
        <v>43616</v>
      </c>
      <c r="N2529" s="702">
        <v>44825</v>
      </c>
      <c r="O2529" s="703" t="s">
        <v>338</v>
      </c>
      <c r="P2529" s="20">
        <v>0</v>
      </c>
      <c r="Q2529" s="20">
        <v>0</v>
      </c>
      <c r="R2529" s="20">
        <v>53481.7</v>
      </c>
      <c r="S2529" s="20">
        <v>0</v>
      </c>
      <c r="T2529" s="20">
        <v>53481.7</v>
      </c>
      <c r="U2529" s="20">
        <v>0</v>
      </c>
      <c r="V2529" s="20">
        <v>0</v>
      </c>
      <c r="W2529" s="20">
        <v>-445.68</v>
      </c>
      <c r="X2529" s="20">
        <v>-445.68</v>
      </c>
      <c r="Y2529" s="20">
        <v>0</v>
      </c>
      <c r="Z2529" s="20">
        <v>0</v>
      </c>
      <c r="AA2529" s="20">
        <v>0</v>
      </c>
      <c r="AB2529" s="20">
        <v>53036.02</v>
      </c>
      <c r="AC2529" t="s">
        <v>589</v>
      </c>
      <c r="AD2529" t="s">
        <v>290</v>
      </c>
      <c r="AE2529" s="702">
        <f t="shared" si="195"/>
        <v>44713</v>
      </c>
      <c r="AF2529" s="289">
        <v>52526.99593808737</v>
      </c>
      <c r="AG2529">
        <f t="shared" si="196"/>
        <v>360</v>
      </c>
      <c r="AH2529" s="289">
        <f t="shared" si="197"/>
        <v>145.9083220502427</v>
      </c>
      <c r="AJ2529" s="289">
        <f t="shared" si="198"/>
        <v>6</v>
      </c>
      <c r="AK2529" s="289">
        <f t="shared" si="199"/>
        <v>875.44993230145622</v>
      </c>
    </row>
    <row r="2530" spans="1:37">
      <c r="A2530" s="703" t="s">
        <v>4393</v>
      </c>
      <c r="B2530" s="703" t="s">
        <v>3743</v>
      </c>
      <c r="C2530" s="703" t="s">
        <v>586</v>
      </c>
      <c r="D2530" s="703" t="s">
        <v>334</v>
      </c>
      <c r="E2530" s="703" t="s">
        <v>334</v>
      </c>
      <c r="F2530" s="703" t="s">
        <v>335</v>
      </c>
      <c r="G2530" s="703" t="s">
        <v>4394</v>
      </c>
      <c r="H2530" s="703" t="s">
        <v>334</v>
      </c>
      <c r="I2530" s="703" t="s">
        <v>334</v>
      </c>
      <c r="J2530" s="703" t="s">
        <v>337</v>
      </c>
      <c r="K2530" s="704">
        <v>0</v>
      </c>
      <c r="L2530" s="703" t="s">
        <v>334</v>
      </c>
      <c r="M2530" s="702">
        <v>43616</v>
      </c>
      <c r="N2530" s="702">
        <v>44825</v>
      </c>
      <c r="O2530" s="703" t="s">
        <v>338</v>
      </c>
      <c r="P2530" s="20">
        <v>0</v>
      </c>
      <c r="Q2530" s="20">
        <v>0</v>
      </c>
      <c r="R2530" s="20">
        <v>1279.5999999999999</v>
      </c>
      <c r="S2530" s="20">
        <v>0</v>
      </c>
      <c r="T2530" s="20">
        <v>1279.5999999999999</v>
      </c>
      <c r="U2530" s="20">
        <v>0</v>
      </c>
      <c r="V2530" s="20">
        <v>0</v>
      </c>
      <c r="W2530" s="20">
        <v>-10.66</v>
      </c>
      <c r="X2530" s="20">
        <v>-10.66</v>
      </c>
      <c r="Y2530" s="20">
        <v>0</v>
      </c>
      <c r="Z2530" s="20">
        <v>0</v>
      </c>
      <c r="AA2530" s="20">
        <v>0</v>
      </c>
      <c r="AB2530" s="20">
        <v>1268.94</v>
      </c>
      <c r="AC2530" t="s">
        <v>589</v>
      </c>
      <c r="AD2530" t="s">
        <v>290</v>
      </c>
      <c r="AE2530" s="702">
        <f t="shared" si="195"/>
        <v>44713</v>
      </c>
      <c r="AF2530" s="289">
        <v>1256.7578069204344</v>
      </c>
      <c r="AG2530">
        <f t="shared" si="196"/>
        <v>360</v>
      </c>
      <c r="AH2530" s="289">
        <f t="shared" si="197"/>
        <v>3.4909939081123178</v>
      </c>
      <c r="AJ2530" s="289">
        <f t="shared" si="198"/>
        <v>6</v>
      </c>
      <c r="AK2530" s="289">
        <f t="shared" si="199"/>
        <v>20.945963448673908</v>
      </c>
    </row>
    <row r="2531" spans="1:37">
      <c r="A2531" s="703" t="s">
        <v>4395</v>
      </c>
      <c r="B2531" s="703" t="s">
        <v>3743</v>
      </c>
      <c r="C2531" s="703" t="s">
        <v>586</v>
      </c>
      <c r="D2531" s="703" t="s">
        <v>334</v>
      </c>
      <c r="E2531" s="703" t="s">
        <v>334</v>
      </c>
      <c r="F2531" s="703" t="s">
        <v>335</v>
      </c>
      <c r="G2531" s="703" t="s">
        <v>4396</v>
      </c>
      <c r="H2531" s="703" t="s">
        <v>334</v>
      </c>
      <c r="I2531" s="703" t="s">
        <v>334</v>
      </c>
      <c r="J2531" s="703" t="s">
        <v>337</v>
      </c>
      <c r="K2531" s="704">
        <v>0</v>
      </c>
      <c r="L2531" s="703" t="s">
        <v>334</v>
      </c>
      <c r="M2531" s="702">
        <v>43616</v>
      </c>
      <c r="N2531" s="702">
        <v>44825</v>
      </c>
      <c r="O2531" s="703" t="s">
        <v>338</v>
      </c>
      <c r="P2531" s="20">
        <v>0</v>
      </c>
      <c r="Q2531" s="20">
        <v>0</v>
      </c>
      <c r="R2531" s="20">
        <v>479.5</v>
      </c>
      <c r="S2531" s="20">
        <v>0</v>
      </c>
      <c r="T2531" s="20">
        <v>479.5</v>
      </c>
      <c r="U2531" s="20">
        <v>0</v>
      </c>
      <c r="V2531" s="20">
        <v>0</v>
      </c>
      <c r="W2531" s="20">
        <v>-4</v>
      </c>
      <c r="X2531" s="20">
        <v>-4</v>
      </c>
      <c r="Y2531" s="20">
        <v>0</v>
      </c>
      <c r="Z2531" s="20">
        <v>0</v>
      </c>
      <c r="AA2531" s="20">
        <v>0</v>
      </c>
      <c r="AB2531" s="20">
        <v>475.5</v>
      </c>
      <c r="AC2531" t="s">
        <v>589</v>
      </c>
      <c r="AD2531" t="s">
        <v>290</v>
      </c>
      <c r="AE2531" s="702">
        <f t="shared" si="195"/>
        <v>44713</v>
      </c>
      <c r="AF2531" s="289">
        <v>470.94042545979079</v>
      </c>
      <c r="AG2531">
        <f t="shared" si="196"/>
        <v>360</v>
      </c>
      <c r="AH2531" s="289">
        <f t="shared" si="197"/>
        <v>1.3081678484994188</v>
      </c>
      <c r="AJ2531" s="289">
        <f t="shared" si="198"/>
        <v>6</v>
      </c>
      <c r="AK2531" s="289">
        <f t="shared" si="199"/>
        <v>7.8490070909965128</v>
      </c>
    </row>
    <row r="2532" spans="1:37">
      <c r="A2532" s="703" t="s">
        <v>4397</v>
      </c>
      <c r="B2532" s="703" t="s">
        <v>3743</v>
      </c>
      <c r="C2532" s="703" t="s">
        <v>586</v>
      </c>
      <c r="D2532" s="703" t="s">
        <v>334</v>
      </c>
      <c r="E2532" s="703" t="s">
        <v>334</v>
      </c>
      <c r="F2532" s="703" t="s">
        <v>335</v>
      </c>
      <c r="G2532" s="703" t="s">
        <v>4398</v>
      </c>
      <c r="H2532" s="703" t="s">
        <v>334</v>
      </c>
      <c r="I2532" s="703" t="s">
        <v>334</v>
      </c>
      <c r="J2532" s="703" t="s">
        <v>337</v>
      </c>
      <c r="K2532" s="704">
        <v>0</v>
      </c>
      <c r="L2532" s="703" t="s">
        <v>334</v>
      </c>
      <c r="M2532" s="702">
        <v>43616</v>
      </c>
      <c r="N2532" s="702">
        <v>44825</v>
      </c>
      <c r="O2532" s="703" t="s">
        <v>338</v>
      </c>
      <c r="P2532" s="20">
        <v>0</v>
      </c>
      <c r="Q2532" s="20">
        <v>0</v>
      </c>
      <c r="R2532" s="20">
        <v>692.3</v>
      </c>
      <c r="S2532" s="20">
        <v>0</v>
      </c>
      <c r="T2532" s="20">
        <v>692.3</v>
      </c>
      <c r="U2532" s="20">
        <v>0</v>
      </c>
      <c r="V2532" s="20">
        <v>0</v>
      </c>
      <c r="W2532" s="20">
        <v>-5.77</v>
      </c>
      <c r="X2532" s="20">
        <v>-5.77</v>
      </c>
      <c r="Y2532" s="20">
        <v>0</v>
      </c>
      <c r="Z2532" s="20">
        <v>0</v>
      </c>
      <c r="AA2532" s="20">
        <v>0</v>
      </c>
      <c r="AB2532" s="20">
        <v>686.53</v>
      </c>
      <c r="AC2532" t="s">
        <v>589</v>
      </c>
      <c r="AD2532" t="s">
        <v>290</v>
      </c>
      <c r="AE2532" s="702">
        <f t="shared" si="195"/>
        <v>44713</v>
      </c>
      <c r="AF2532" s="289">
        <v>679.94172376603365</v>
      </c>
      <c r="AG2532">
        <f t="shared" si="196"/>
        <v>360</v>
      </c>
      <c r="AH2532" s="289">
        <f t="shared" si="197"/>
        <v>1.8887270104612046</v>
      </c>
      <c r="AJ2532" s="289">
        <f t="shared" si="198"/>
        <v>6</v>
      </c>
      <c r="AK2532" s="289">
        <f t="shared" si="199"/>
        <v>11.332362062767228</v>
      </c>
    </row>
    <row r="2533" spans="1:37">
      <c r="A2533" s="703" t="s">
        <v>4399</v>
      </c>
      <c r="B2533" s="703" t="s">
        <v>3743</v>
      </c>
      <c r="C2533" s="703" t="s">
        <v>586</v>
      </c>
      <c r="D2533" s="703" t="s">
        <v>334</v>
      </c>
      <c r="E2533" s="703" t="s">
        <v>334</v>
      </c>
      <c r="F2533" s="703" t="s">
        <v>335</v>
      </c>
      <c r="G2533" s="703" t="s">
        <v>4400</v>
      </c>
      <c r="H2533" s="703" t="s">
        <v>334</v>
      </c>
      <c r="I2533" s="703" t="s">
        <v>334</v>
      </c>
      <c r="J2533" s="703" t="s">
        <v>337</v>
      </c>
      <c r="K2533" s="704">
        <v>0</v>
      </c>
      <c r="L2533" s="703" t="s">
        <v>334</v>
      </c>
      <c r="M2533" s="702">
        <v>43616</v>
      </c>
      <c r="N2533" s="702">
        <v>44825</v>
      </c>
      <c r="O2533" s="703" t="s">
        <v>338</v>
      </c>
      <c r="P2533" s="20">
        <v>0</v>
      </c>
      <c r="Q2533" s="20">
        <v>0</v>
      </c>
      <c r="R2533" s="20">
        <v>587.5</v>
      </c>
      <c r="S2533" s="20">
        <v>0</v>
      </c>
      <c r="T2533" s="20">
        <v>587.5</v>
      </c>
      <c r="U2533" s="20">
        <v>0</v>
      </c>
      <c r="V2533" s="20">
        <v>0</v>
      </c>
      <c r="W2533" s="20">
        <v>-4.9000000000000004</v>
      </c>
      <c r="X2533" s="20">
        <v>-4.9000000000000004</v>
      </c>
      <c r="Y2533" s="20">
        <v>0</v>
      </c>
      <c r="Z2533" s="20">
        <v>0</v>
      </c>
      <c r="AA2533" s="20">
        <v>0</v>
      </c>
      <c r="AB2533" s="20">
        <v>582.6</v>
      </c>
      <c r="AC2533" t="s">
        <v>589</v>
      </c>
      <c r="AD2533" t="s">
        <v>290</v>
      </c>
      <c r="AE2533" s="702">
        <f t="shared" si="195"/>
        <v>44713</v>
      </c>
      <c r="AF2533" s="289">
        <v>577.01251294604197</v>
      </c>
      <c r="AG2533">
        <f t="shared" si="196"/>
        <v>360</v>
      </c>
      <c r="AH2533" s="289">
        <f t="shared" si="197"/>
        <v>1.6028125359612277</v>
      </c>
      <c r="AJ2533" s="289">
        <f t="shared" si="198"/>
        <v>6</v>
      </c>
      <c r="AK2533" s="289">
        <f t="shared" si="199"/>
        <v>9.6168752157673669</v>
      </c>
    </row>
    <row r="2534" spans="1:37">
      <c r="A2534" s="703" t="s">
        <v>4401</v>
      </c>
      <c r="B2534" s="703" t="s">
        <v>3743</v>
      </c>
      <c r="C2534" s="703" t="s">
        <v>586</v>
      </c>
      <c r="D2534" s="703" t="s">
        <v>334</v>
      </c>
      <c r="E2534" s="703" t="s">
        <v>334</v>
      </c>
      <c r="F2534" s="703" t="s">
        <v>335</v>
      </c>
      <c r="G2534" s="703" t="s">
        <v>4402</v>
      </c>
      <c r="H2534" s="703" t="s">
        <v>334</v>
      </c>
      <c r="I2534" s="703" t="s">
        <v>334</v>
      </c>
      <c r="J2534" s="703" t="s">
        <v>337</v>
      </c>
      <c r="K2534" s="704">
        <v>0</v>
      </c>
      <c r="L2534" s="703" t="s">
        <v>334</v>
      </c>
      <c r="M2534" s="702">
        <v>43616</v>
      </c>
      <c r="N2534" s="702">
        <v>44825</v>
      </c>
      <c r="O2534" s="703" t="s">
        <v>338</v>
      </c>
      <c r="P2534" s="20">
        <v>0</v>
      </c>
      <c r="Q2534" s="20">
        <v>0</v>
      </c>
      <c r="R2534" s="20">
        <v>2846.17</v>
      </c>
      <c r="S2534" s="20">
        <v>0</v>
      </c>
      <c r="T2534" s="20">
        <v>2846.17</v>
      </c>
      <c r="U2534" s="20">
        <v>0</v>
      </c>
      <c r="V2534" s="20">
        <v>0</v>
      </c>
      <c r="W2534" s="20">
        <v>-23.72</v>
      </c>
      <c r="X2534" s="20">
        <v>-23.72</v>
      </c>
      <c r="Y2534" s="20">
        <v>0</v>
      </c>
      <c r="Z2534" s="20">
        <v>0</v>
      </c>
      <c r="AA2534" s="20">
        <v>0</v>
      </c>
      <c r="AB2534" s="20">
        <v>2822.45</v>
      </c>
      <c r="AC2534" t="s">
        <v>589</v>
      </c>
      <c r="AD2534" t="s">
        <v>290</v>
      </c>
      <c r="AE2534" s="702">
        <f t="shared" si="195"/>
        <v>44713</v>
      </c>
      <c r="AF2534" s="289">
        <v>2795.362900377253</v>
      </c>
      <c r="AG2534">
        <f t="shared" si="196"/>
        <v>360</v>
      </c>
      <c r="AH2534" s="289">
        <f t="shared" si="197"/>
        <v>7.7648969454923691</v>
      </c>
      <c r="AJ2534" s="289">
        <f t="shared" si="198"/>
        <v>6</v>
      </c>
      <c r="AK2534" s="289">
        <f t="shared" si="199"/>
        <v>46.589381672954218</v>
      </c>
    </row>
    <row r="2535" spans="1:37">
      <c r="A2535" s="703" t="s">
        <v>4403</v>
      </c>
      <c r="B2535" s="703" t="s">
        <v>3743</v>
      </c>
      <c r="C2535" s="703" t="s">
        <v>586</v>
      </c>
      <c r="D2535" s="703" t="s">
        <v>334</v>
      </c>
      <c r="E2535" s="703" t="s">
        <v>334</v>
      </c>
      <c r="F2535" s="703" t="s">
        <v>335</v>
      </c>
      <c r="G2535" s="703" t="s">
        <v>4404</v>
      </c>
      <c r="H2535" s="703" t="s">
        <v>334</v>
      </c>
      <c r="I2535" s="703" t="s">
        <v>334</v>
      </c>
      <c r="J2535" s="703" t="s">
        <v>337</v>
      </c>
      <c r="K2535" s="704">
        <v>0</v>
      </c>
      <c r="L2535" s="703" t="s">
        <v>334</v>
      </c>
      <c r="M2535" s="702">
        <v>43616</v>
      </c>
      <c r="N2535" s="702">
        <v>44825</v>
      </c>
      <c r="O2535" s="703" t="s">
        <v>338</v>
      </c>
      <c r="P2535" s="20">
        <v>0</v>
      </c>
      <c r="Q2535" s="20">
        <v>0</v>
      </c>
      <c r="R2535" s="20">
        <v>646.1</v>
      </c>
      <c r="S2535" s="20">
        <v>0</v>
      </c>
      <c r="T2535" s="20">
        <v>646.1</v>
      </c>
      <c r="U2535" s="20">
        <v>0</v>
      </c>
      <c r="V2535" s="20">
        <v>0</v>
      </c>
      <c r="W2535" s="20">
        <v>-5.38</v>
      </c>
      <c r="X2535" s="20">
        <v>-5.38</v>
      </c>
      <c r="Y2535" s="20">
        <v>0</v>
      </c>
      <c r="Z2535" s="20">
        <v>0</v>
      </c>
      <c r="AA2535" s="20">
        <v>0</v>
      </c>
      <c r="AB2535" s="20">
        <v>640.72</v>
      </c>
      <c r="AC2535" t="s">
        <v>589</v>
      </c>
      <c r="AD2535" t="s">
        <v>290</v>
      </c>
      <c r="AE2535" s="702">
        <f t="shared" si="195"/>
        <v>44713</v>
      </c>
      <c r="AF2535" s="289">
        <v>634.56644189691519</v>
      </c>
      <c r="AG2535">
        <f t="shared" si="196"/>
        <v>360</v>
      </c>
      <c r="AH2535" s="289">
        <f t="shared" si="197"/>
        <v>1.7626845608247643</v>
      </c>
      <c r="AJ2535" s="289">
        <f t="shared" si="198"/>
        <v>6</v>
      </c>
      <c r="AK2535" s="289">
        <f t="shared" si="199"/>
        <v>10.576107364948585</v>
      </c>
    </row>
    <row r="2536" spans="1:37">
      <c r="A2536" s="703" t="s">
        <v>4405</v>
      </c>
      <c r="B2536" s="703" t="s">
        <v>3743</v>
      </c>
      <c r="C2536" s="703" t="s">
        <v>586</v>
      </c>
      <c r="D2536" s="703" t="s">
        <v>334</v>
      </c>
      <c r="E2536" s="703" t="s">
        <v>334</v>
      </c>
      <c r="F2536" s="703" t="s">
        <v>335</v>
      </c>
      <c r="G2536" s="703" t="s">
        <v>4406</v>
      </c>
      <c r="H2536" s="703" t="s">
        <v>334</v>
      </c>
      <c r="I2536" s="703" t="s">
        <v>334</v>
      </c>
      <c r="J2536" s="703" t="s">
        <v>337</v>
      </c>
      <c r="K2536" s="704">
        <v>0</v>
      </c>
      <c r="L2536" s="703" t="s">
        <v>334</v>
      </c>
      <c r="M2536" s="702">
        <v>43616</v>
      </c>
      <c r="N2536" s="702">
        <v>44825</v>
      </c>
      <c r="O2536" s="703" t="s">
        <v>338</v>
      </c>
      <c r="P2536" s="20">
        <v>0</v>
      </c>
      <c r="Q2536" s="20">
        <v>0</v>
      </c>
      <c r="R2536" s="20">
        <v>27644.52</v>
      </c>
      <c r="S2536" s="20">
        <v>0</v>
      </c>
      <c r="T2536" s="20">
        <v>27644.52</v>
      </c>
      <c r="U2536" s="20">
        <v>0</v>
      </c>
      <c r="V2536" s="20">
        <v>0</v>
      </c>
      <c r="W2536" s="20">
        <v>-230.37</v>
      </c>
      <c r="X2536" s="20">
        <v>-230.37</v>
      </c>
      <c r="Y2536" s="20">
        <v>0</v>
      </c>
      <c r="Z2536" s="20">
        <v>0</v>
      </c>
      <c r="AA2536" s="20">
        <v>0</v>
      </c>
      <c r="AB2536" s="20">
        <v>27414.15</v>
      </c>
      <c r="AC2536" t="s">
        <v>589</v>
      </c>
      <c r="AD2536" t="s">
        <v>290</v>
      </c>
      <c r="AE2536" s="702">
        <f t="shared" si="195"/>
        <v>44713</v>
      </c>
      <c r="AF2536" s="289">
        <v>27151.036518105724</v>
      </c>
      <c r="AG2536">
        <f t="shared" si="196"/>
        <v>360</v>
      </c>
      <c r="AH2536" s="289">
        <f t="shared" si="197"/>
        <v>75.419545883627009</v>
      </c>
      <c r="AJ2536" s="289">
        <f t="shared" si="198"/>
        <v>6</v>
      </c>
      <c r="AK2536" s="289">
        <f t="shared" si="199"/>
        <v>452.51727530176208</v>
      </c>
    </row>
    <row r="2537" spans="1:37">
      <c r="A2537" s="703" t="s">
        <v>4407</v>
      </c>
      <c r="B2537" s="703" t="s">
        <v>3743</v>
      </c>
      <c r="C2537" s="703" t="s">
        <v>586</v>
      </c>
      <c r="D2537" s="703" t="s">
        <v>334</v>
      </c>
      <c r="E2537" s="703" t="s">
        <v>334</v>
      </c>
      <c r="F2537" s="703" t="s">
        <v>335</v>
      </c>
      <c r="G2537" s="703" t="s">
        <v>4408</v>
      </c>
      <c r="H2537" s="703" t="s">
        <v>334</v>
      </c>
      <c r="I2537" s="703" t="s">
        <v>334</v>
      </c>
      <c r="J2537" s="703" t="s">
        <v>337</v>
      </c>
      <c r="K2537" s="704">
        <v>0</v>
      </c>
      <c r="L2537" s="703" t="s">
        <v>334</v>
      </c>
      <c r="M2537" s="702">
        <v>43616</v>
      </c>
      <c r="N2537" s="702">
        <v>44825</v>
      </c>
      <c r="O2537" s="703" t="s">
        <v>338</v>
      </c>
      <c r="P2537" s="20">
        <v>0</v>
      </c>
      <c r="Q2537" s="20">
        <v>0</v>
      </c>
      <c r="R2537" s="20">
        <v>4691.12</v>
      </c>
      <c r="S2537" s="20">
        <v>0</v>
      </c>
      <c r="T2537" s="20">
        <v>4691.12</v>
      </c>
      <c r="U2537" s="20">
        <v>0</v>
      </c>
      <c r="V2537" s="20">
        <v>0</v>
      </c>
      <c r="W2537" s="20">
        <v>-39.090000000000003</v>
      </c>
      <c r="X2537" s="20">
        <v>-39.090000000000003</v>
      </c>
      <c r="Y2537" s="20">
        <v>0</v>
      </c>
      <c r="Z2537" s="20">
        <v>0</v>
      </c>
      <c r="AA2537" s="20">
        <v>0</v>
      </c>
      <c r="AB2537" s="20">
        <v>4652.03</v>
      </c>
      <c r="AC2537" t="s">
        <v>589</v>
      </c>
      <c r="AD2537" t="s">
        <v>290</v>
      </c>
      <c r="AE2537" s="702">
        <f t="shared" si="195"/>
        <v>44713</v>
      </c>
      <c r="AF2537" s="289">
        <v>4607.3786208194651</v>
      </c>
      <c r="AG2537">
        <f t="shared" si="196"/>
        <v>360</v>
      </c>
      <c r="AH2537" s="289">
        <f t="shared" si="197"/>
        <v>12.798273946720737</v>
      </c>
      <c r="AJ2537" s="289">
        <f t="shared" si="198"/>
        <v>6</v>
      </c>
      <c r="AK2537" s="289">
        <f t="shared" si="199"/>
        <v>76.789643680324417</v>
      </c>
    </row>
    <row r="2538" spans="1:37">
      <c r="A2538" s="703" t="s">
        <v>4409</v>
      </c>
      <c r="B2538" s="703" t="s">
        <v>3743</v>
      </c>
      <c r="C2538" s="703" t="s">
        <v>586</v>
      </c>
      <c r="D2538" s="703" t="s">
        <v>334</v>
      </c>
      <c r="E2538" s="703" t="s">
        <v>334</v>
      </c>
      <c r="F2538" s="703" t="s">
        <v>335</v>
      </c>
      <c r="G2538" s="703" t="s">
        <v>4410</v>
      </c>
      <c r="H2538" s="703" t="s">
        <v>334</v>
      </c>
      <c r="I2538" s="703" t="s">
        <v>334</v>
      </c>
      <c r="J2538" s="703" t="s">
        <v>337</v>
      </c>
      <c r="K2538" s="704">
        <v>0</v>
      </c>
      <c r="L2538" s="703" t="s">
        <v>334</v>
      </c>
      <c r="M2538" s="702">
        <v>43616</v>
      </c>
      <c r="N2538" s="702">
        <v>44825</v>
      </c>
      <c r="O2538" s="703" t="s">
        <v>338</v>
      </c>
      <c r="P2538" s="20">
        <v>0</v>
      </c>
      <c r="Q2538" s="20">
        <v>0</v>
      </c>
      <c r="R2538" s="20">
        <v>8996.1</v>
      </c>
      <c r="S2538" s="20">
        <v>0</v>
      </c>
      <c r="T2538" s="20">
        <v>8996.1</v>
      </c>
      <c r="U2538" s="20">
        <v>0</v>
      </c>
      <c r="V2538" s="20">
        <v>0</v>
      </c>
      <c r="W2538" s="20">
        <v>-74.97</v>
      </c>
      <c r="X2538" s="20">
        <v>-74.97</v>
      </c>
      <c r="Y2538" s="20">
        <v>0</v>
      </c>
      <c r="Z2538" s="20">
        <v>0</v>
      </c>
      <c r="AA2538" s="20">
        <v>0</v>
      </c>
      <c r="AB2538" s="20">
        <v>8921.1299999999992</v>
      </c>
      <c r="AC2538" t="s">
        <v>589</v>
      </c>
      <c r="AD2538" t="s">
        <v>290</v>
      </c>
      <c r="AE2538" s="702">
        <f t="shared" si="195"/>
        <v>44713</v>
      </c>
      <c r="AF2538" s="289">
        <v>8835.5102429172548</v>
      </c>
      <c r="AG2538">
        <f t="shared" si="196"/>
        <v>360</v>
      </c>
      <c r="AH2538" s="289">
        <f t="shared" si="197"/>
        <v>24.543084008103484</v>
      </c>
      <c r="AJ2538" s="289">
        <f t="shared" si="198"/>
        <v>6</v>
      </c>
      <c r="AK2538" s="289">
        <f t="shared" si="199"/>
        <v>147.25850404862092</v>
      </c>
    </row>
    <row r="2539" spans="1:37">
      <c r="A2539" s="703" t="s">
        <v>4411</v>
      </c>
      <c r="B2539" s="703" t="s">
        <v>3743</v>
      </c>
      <c r="C2539" s="703" t="s">
        <v>586</v>
      </c>
      <c r="D2539" s="703" t="s">
        <v>334</v>
      </c>
      <c r="E2539" s="703" t="s">
        <v>334</v>
      </c>
      <c r="F2539" s="703" t="s">
        <v>335</v>
      </c>
      <c r="G2539" s="703" t="s">
        <v>4412</v>
      </c>
      <c r="H2539" s="703" t="s">
        <v>334</v>
      </c>
      <c r="I2539" s="703" t="s">
        <v>334</v>
      </c>
      <c r="J2539" s="703" t="s">
        <v>337</v>
      </c>
      <c r="K2539" s="704">
        <v>0</v>
      </c>
      <c r="L2539" s="703" t="s">
        <v>334</v>
      </c>
      <c r="M2539" s="702">
        <v>43616</v>
      </c>
      <c r="N2539" s="702">
        <v>44825</v>
      </c>
      <c r="O2539" s="703" t="s">
        <v>338</v>
      </c>
      <c r="P2539" s="20">
        <v>0</v>
      </c>
      <c r="Q2539" s="20">
        <v>0</v>
      </c>
      <c r="R2539" s="20">
        <v>31758.13</v>
      </c>
      <c r="S2539" s="20">
        <v>0</v>
      </c>
      <c r="T2539" s="20">
        <v>31758.13</v>
      </c>
      <c r="U2539" s="20">
        <v>0</v>
      </c>
      <c r="V2539" s="20">
        <v>0</v>
      </c>
      <c r="W2539" s="20">
        <v>-264.64999999999998</v>
      </c>
      <c r="X2539" s="20">
        <v>-264.64999999999998</v>
      </c>
      <c r="Y2539" s="20">
        <v>0</v>
      </c>
      <c r="Z2539" s="20">
        <v>0</v>
      </c>
      <c r="AA2539" s="20">
        <v>0</v>
      </c>
      <c r="AB2539" s="20">
        <v>31493.48</v>
      </c>
      <c r="AC2539" t="s">
        <v>589</v>
      </c>
      <c r="AD2539" t="s">
        <v>290</v>
      </c>
      <c r="AE2539" s="702">
        <f t="shared" si="195"/>
        <v>44713</v>
      </c>
      <c r="AF2539" s="289">
        <v>31191.214294071626</v>
      </c>
      <c r="AG2539">
        <f t="shared" si="196"/>
        <v>360</v>
      </c>
      <c r="AH2539" s="289">
        <f t="shared" si="197"/>
        <v>86.642261927976733</v>
      </c>
      <c r="AJ2539" s="289">
        <f t="shared" si="198"/>
        <v>6</v>
      </c>
      <c r="AK2539" s="289">
        <f t="shared" si="199"/>
        <v>519.8535715678604</v>
      </c>
    </row>
    <row r="2540" spans="1:37">
      <c r="A2540" s="703" t="s">
        <v>4413</v>
      </c>
      <c r="B2540" s="703" t="s">
        <v>3743</v>
      </c>
      <c r="C2540" s="703" t="s">
        <v>586</v>
      </c>
      <c r="D2540" s="703" t="s">
        <v>334</v>
      </c>
      <c r="E2540" s="703" t="s">
        <v>334</v>
      </c>
      <c r="F2540" s="703" t="s">
        <v>335</v>
      </c>
      <c r="G2540" s="703" t="s">
        <v>4414</v>
      </c>
      <c r="H2540" s="703" t="s">
        <v>334</v>
      </c>
      <c r="I2540" s="703" t="s">
        <v>334</v>
      </c>
      <c r="J2540" s="703" t="s">
        <v>337</v>
      </c>
      <c r="K2540" s="704">
        <v>0</v>
      </c>
      <c r="L2540" s="703" t="s">
        <v>334</v>
      </c>
      <c r="M2540" s="702">
        <v>43616</v>
      </c>
      <c r="N2540" s="702">
        <v>44825</v>
      </c>
      <c r="O2540" s="703" t="s">
        <v>338</v>
      </c>
      <c r="P2540" s="20">
        <v>0</v>
      </c>
      <c r="Q2540" s="20">
        <v>0</v>
      </c>
      <c r="R2540" s="20">
        <v>6096.59</v>
      </c>
      <c r="S2540" s="20">
        <v>0</v>
      </c>
      <c r="T2540" s="20">
        <v>6096.59</v>
      </c>
      <c r="U2540" s="20">
        <v>0</v>
      </c>
      <c r="V2540" s="20">
        <v>0</v>
      </c>
      <c r="W2540" s="20">
        <v>-50.8</v>
      </c>
      <c r="X2540" s="20">
        <v>-50.8</v>
      </c>
      <c r="Y2540" s="20">
        <v>0</v>
      </c>
      <c r="Z2540" s="20">
        <v>0</v>
      </c>
      <c r="AA2540" s="20">
        <v>0</v>
      </c>
      <c r="AB2540" s="20">
        <v>6045.79</v>
      </c>
      <c r="AC2540" t="s">
        <v>589</v>
      </c>
      <c r="AD2540" t="s">
        <v>290</v>
      </c>
      <c r="AE2540" s="702">
        <f t="shared" si="195"/>
        <v>44713</v>
      </c>
      <c r="AF2540" s="289">
        <v>5987.7595171092926</v>
      </c>
      <c r="AG2540">
        <f t="shared" si="196"/>
        <v>360</v>
      </c>
      <c r="AH2540" s="289">
        <f t="shared" si="197"/>
        <v>16.632665325303591</v>
      </c>
      <c r="AJ2540" s="289">
        <f t="shared" si="198"/>
        <v>6</v>
      </c>
      <c r="AK2540" s="289">
        <f t="shared" si="199"/>
        <v>99.795991951821549</v>
      </c>
    </row>
    <row r="2541" spans="1:37">
      <c r="A2541" s="703" t="s">
        <v>4415</v>
      </c>
      <c r="B2541" s="703" t="s">
        <v>3743</v>
      </c>
      <c r="C2541" s="703" t="s">
        <v>586</v>
      </c>
      <c r="D2541" s="703" t="s">
        <v>334</v>
      </c>
      <c r="E2541" s="703" t="s">
        <v>334</v>
      </c>
      <c r="F2541" s="703" t="s">
        <v>335</v>
      </c>
      <c r="G2541" s="703" t="s">
        <v>4416</v>
      </c>
      <c r="H2541" s="703" t="s">
        <v>334</v>
      </c>
      <c r="I2541" s="703" t="s">
        <v>334</v>
      </c>
      <c r="J2541" s="703" t="s">
        <v>337</v>
      </c>
      <c r="K2541" s="704">
        <v>0</v>
      </c>
      <c r="L2541" s="703" t="s">
        <v>334</v>
      </c>
      <c r="M2541" s="702">
        <v>43616</v>
      </c>
      <c r="N2541" s="702">
        <v>44825</v>
      </c>
      <c r="O2541" s="703" t="s">
        <v>338</v>
      </c>
      <c r="P2541" s="20">
        <v>0</v>
      </c>
      <c r="Q2541" s="20">
        <v>0</v>
      </c>
      <c r="R2541" s="20">
        <v>3232.32</v>
      </c>
      <c r="S2541" s="20">
        <v>0</v>
      </c>
      <c r="T2541" s="20">
        <v>3232.32</v>
      </c>
      <c r="U2541" s="20">
        <v>0</v>
      </c>
      <c r="V2541" s="20">
        <v>0</v>
      </c>
      <c r="W2541" s="20">
        <v>-26.94</v>
      </c>
      <c r="X2541" s="20">
        <v>-26.94</v>
      </c>
      <c r="Y2541" s="20">
        <v>0</v>
      </c>
      <c r="Z2541" s="20">
        <v>0</v>
      </c>
      <c r="AA2541" s="20">
        <v>0</v>
      </c>
      <c r="AB2541" s="20">
        <v>3205.38</v>
      </c>
      <c r="AC2541" t="s">
        <v>589</v>
      </c>
      <c r="AD2541" t="s">
        <v>290</v>
      </c>
      <c r="AE2541" s="702">
        <f t="shared" si="195"/>
        <v>44713</v>
      </c>
      <c r="AF2541" s="289">
        <v>3174.619720588511</v>
      </c>
      <c r="AG2541">
        <f t="shared" si="196"/>
        <v>360</v>
      </c>
      <c r="AH2541" s="289">
        <f t="shared" si="197"/>
        <v>8.818388112745863</v>
      </c>
      <c r="AJ2541" s="289">
        <f t="shared" si="198"/>
        <v>6</v>
      </c>
      <c r="AK2541" s="289">
        <f t="shared" si="199"/>
        <v>52.910328676475174</v>
      </c>
    </row>
    <row r="2542" spans="1:37">
      <c r="A2542" s="703" t="s">
        <v>4417</v>
      </c>
      <c r="B2542" s="703" t="s">
        <v>3743</v>
      </c>
      <c r="C2542" s="703" t="s">
        <v>586</v>
      </c>
      <c r="D2542" s="703" t="s">
        <v>334</v>
      </c>
      <c r="E2542" s="703" t="s">
        <v>334</v>
      </c>
      <c r="F2542" s="703" t="s">
        <v>335</v>
      </c>
      <c r="G2542" s="703" t="s">
        <v>4418</v>
      </c>
      <c r="H2542" s="703" t="s">
        <v>334</v>
      </c>
      <c r="I2542" s="703" t="s">
        <v>334</v>
      </c>
      <c r="J2542" s="703" t="s">
        <v>337</v>
      </c>
      <c r="K2542" s="704">
        <v>0</v>
      </c>
      <c r="L2542" s="703" t="s">
        <v>334</v>
      </c>
      <c r="M2542" s="702">
        <v>43616</v>
      </c>
      <c r="N2542" s="702">
        <v>44825</v>
      </c>
      <c r="O2542" s="703" t="s">
        <v>338</v>
      </c>
      <c r="P2542" s="20">
        <v>0</v>
      </c>
      <c r="Q2542" s="20">
        <v>0</v>
      </c>
      <c r="R2542" s="20">
        <v>3558.89</v>
      </c>
      <c r="S2542" s="20">
        <v>0</v>
      </c>
      <c r="T2542" s="20">
        <v>3558.89</v>
      </c>
      <c r="U2542" s="20">
        <v>0</v>
      </c>
      <c r="V2542" s="20">
        <v>0</v>
      </c>
      <c r="W2542" s="20">
        <v>-29.66</v>
      </c>
      <c r="X2542" s="20">
        <v>-29.66</v>
      </c>
      <c r="Y2542" s="20">
        <v>0</v>
      </c>
      <c r="Z2542" s="20">
        <v>0</v>
      </c>
      <c r="AA2542" s="20">
        <v>0</v>
      </c>
      <c r="AB2542" s="20">
        <v>3529.23</v>
      </c>
      <c r="AC2542" t="s">
        <v>589</v>
      </c>
      <c r="AD2542" t="s">
        <v>290</v>
      </c>
      <c r="AE2542" s="702">
        <f t="shared" si="195"/>
        <v>44713</v>
      </c>
      <c r="AF2542" s="289">
        <v>3495.3601058698532</v>
      </c>
      <c r="AG2542">
        <f t="shared" si="196"/>
        <v>360</v>
      </c>
      <c r="AH2542" s="289">
        <f t="shared" si="197"/>
        <v>9.7093336274162585</v>
      </c>
      <c r="AJ2542" s="289">
        <f t="shared" si="198"/>
        <v>6</v>
      </c>
      <c r="AK2542" s="289">
        <f t="shared" si="199"/>
        <v>58.256001764497555</v>
      </c>
    </row>
    <row r="2543" spans="1:37">
      <c r="A2543" s="703" t="s">
        <v>4419</v>
      </c>
      <c r="B2543" s="703" t="s">
        <v>3743</v>
      </c>
      <c r="C2543" s="703" t="s">
        <v>586</v>
      </c>
      <c r="D2543" s="703" t="s">
        <v>334</v>
      </c>
      <c r="E2543" s="703" t="s">
        <v>334</v>
      </c>
      <c r="F2543" s="703" t="s">
        <v>335</v>
      </c>
      <c r="G2543" s="703" t="s">
        <v>4420</v>
      </c>
      <c r="H2543" s="703" t="s">
        <v>334</v>
      </c>
      <c r="I2543" s="703" t="s">
        <v>334</v>
      </c>
      <c r="J2543" s="703" t="s">
        <v>337</v>
      </c>
      <c r="K2543" s="704">
        <v>0</v>
      </c>
      <c r="L2543" s="703" t="s">
        <v>334</v>
      </c>
      <c r="M2543" s="702">
        <v>43616</v>
      </c>
      <c r="N2543" s="702">
        <v>44825</v>
      </c>
      <c r="O2543" s="703" t="s">
        <v>338</v>
      </c>
      <c r="P2543" s="20">
        <v>0</v>
      </c>
      <c r="Q2543" s="20">
        <v>0</v>
      </c>
      <c r="R2543" s="20">
        <v>34244.68</v>
      </c>
      <c r="S2543" s="20">
        <v>0</v>
      </c>
      <c r="T2543" s="20">
        <v>34244.68</v>
      </c>
      <c r="U2543" s="20">
        <v>0</v>
      </c>
      <c r="V2543" s="20">
        <v>0</v>
      </c>
      <c r="W2543" s="20">
        <v>-285.37</v>
      </c>
      <c r="X2543" s="20">
        <v>-285.37</v>
      </c>
      <c r="Y2543" s="20">
        <v>0</v>
      </c>
      <c r="Z2543" s="20">
        <v>0</v>
      </c>
      <c r="AA2543" s="20">
        <v>0</v>
      </c>
      <c r="AB2543" s="20">
        <v>33959.31</v>
      </c>
      <c r="AC2543" t="s">
        <v>589</v>
      </c>
      <c r="AD2543" t="s">
        <v>290</v>
      </c>
      <c r="AE2543" s="702">
        <f t="shared" si="195"/>
        <v>44713</v>
      </c>
      <c r="AF2543" s="289">
        <v>33633.37678609883</v>
      </c>
      <c r="AG2543">
        <f t="shared" si="196"/>
        <v>360</v>
      </c>
      <c r="AH2543" s="289">
        <f t="shared" si="197"/>
        <v>93.426046628052305</v>
      </c>
      <c r="AJ2543" s="289">
        <f t="shared" si="198"/>
        <v>6</v>
      </c>
      <c r="AK2543" s="289">
        <f t="shared" si="199"/>
        <v>560.55627976831386</v>
      </c>
    </row>
    <row r="2544" spans="1:37">
      <c r="A2544" s="703" t="s">
        <v>4421</v>
      </c>
      <c r="B2544" s="703" t="s">
        <v>3743</v>
      </c>
      <c r="C2544" s="703" t="s">
        <v>586</v>
      </c>
      <c r="D2544" s="703" t="s">
        <v>334</v>
      </c>
      <c r="E2544" s="703" t="s">
        <v>334</v>
      </c>
      <c r="F2544" s="703" t="s">
        <v>335</v>
      </c>
      <c r="G2544" s="703" t="s">
        <v>4422</v>
      </c>
      <c r="H2544" s="703" t="s">
        <v>334</v>
      </c>
      <c r="I2544" s="703" t="s">
        <v>334</v>
      </c>
      <c r="J2544" s="703" t="s">
        <v>337</v>
      </c>
      <c r="K2544" s="704">
        <v>0</v>
      </c>
      <c r="L2544" s="703" t="s">
        <v>334</v>
      </c>
      <c r="M2544" s="702">
        <v>43616</v>
      </c>
      <c r="N2544" s="702">
        <v>44825</v>
      </c>
      <c r="O2544" s="703" t="s">
        <v>338</v>
      </c>
      <c r="P2544" s="20">
        <v>0</v>
      </c>
      <c r="Q2544" s="20">
        <v>0</v>
      </c>
      <c r="R2544" s="20">
        <v>5526.8</v>
      </c>
      <c r="S2544" s="20">
        <v>0</v>
      </c>
      <c r="T2544" s="20">
        <v>5526.8</v>
      </c>
      <c r="U2544" s="20">
        <v>0</v>
      </c>
      <c r="V2544" s="20">
        <v>0</v>
      </c>
      <c r="W2544" s="20">
        <v>-46.06</v>
      </c>
      <c r="X2544" s="20">
        <v>-46.06</v>
      </c>
      <c r="Y2544" s="20">
        <v>0</v>
      </c>
      <c r="Z2544" s="20">
        <v>0</v>
      </c>
      <c r="AA2544" s="20">
        <v>0</v>
      </c>
      <c r="AB2544" s="20">
        <v>5480.74</v>
      </c>
      <c r="AC2544" t="s">
        <v>589</v>
      </c>
      <c r="AD2544" t="s">
        <v>290</v>
      </c>
      <c r="AE2544" s="702">
        <f t="shared" si="195"/>
        <v>44713</v>
      </c>
      <c r="AF2544" s="289">
        <v>5428.1408622130803</v>
      </c>
      <c r="AG2544">
        <f t="shared" si="196"/>
        <v>360</v>
      </c>
      <c r="AH2544" s="289">
        <f t="shared" si="197"/>
        <v>15.078169061703001</v>
      </c>
      <c r="AJ2544" s="289">
        <f t="shared" si="198"/>
        <v>6</v>
      </c>
      <c r="AK2544" s="289">
        <f t="shared" si="199"/>
        <v>90.469014370218005</v>
      </c>
    </row>
    <row r="2545" spans="1:37">
      <c r="A2545" s="703" t="s">
        <v>4423</v>
      </c>
      <c r="B2545" s="703" t="s">
        <v>3743</v>
      </c>
      <c r="C2545" s="703" t="s">
        <v>586</v>
      </c>
      <c r="D2545" s="703" t="s">
        <v>334</v>
      </c>
      <c r="E2545" s="703" t="s">
        <v>334</v>
      </c>
      <c r="F2545" s="703" t="s">
        <v>335</v>
      </c>
      <c r="G2545" s="703" t="s">
        <v>4424</v>
      </c>
      <c r="H2545" s="703" t="s">
        <v>334</v>
      </c>
      <c r="I2545" s="703" t="s">
        <v>334</v>
      </c>
      <c r="J2545" s="703" t="s">
        <v>337</v>
      </c>
      <c r="K2545" s="704">
        <v>0</v>
      </c>
      <c r="L2545" s="703" t="s">
        <v>334</v>
      </c>
      <c r="M2545" s="702">
        <v>43616</v>
      </c>
      <c r="N2545" s="702">
        <v>44825</v>
      </c>
      <c r="O2545" s="703" t="s">
        <v>338</v>
      </c>
      <c r="P2545" s="20">
        <v>0</v>
      </c>
      <c r="Q2545" s="20">
        <v>0</v>
      </c>
      <c r="R2545" s="20">
        <v>1008.49</v>
      </c>
      <c r="S2545" s="20">
        <v>0</v>
      </c>
      <c r="T2545" s="20">
        <v>1008.49</v>
      </c>
      <c r="U2545" s="20">
        <v>0</v>
      </c>
      <c r="V2545" s="20">
        <v>0</v>
      </c>
      <c r="W2545" s="20">
        <v>-8.4</v>
      </c>
      <c r="X2545" s="20">
        <v>-8.4</v>
      </c>
      <c r="Y2545" s="20">
        <v>0</v>
      </c>
      <c r="Z2545" s="20">
        <v>0</v>
      </c>
      <c r="AA2545" s="20">
        <v>0</v>
      </c>
      <c r="AB2545" s="20">
        <v>1000.09</v>
      </c>
      <c r="AC2545" t="s">
        <v>589</v>
      </c>
      <c r="AD2545" t="s">
        <v>290</v>
      </c>
      <c r="AE2545" s="702">
        <f t="shared" si="195"/>
        <v>44713</v>
      </c>
      <c r="AF2545" s="289">
        <v>990.48740286119789</v>
      </c>
      <c r="AG2545">
        <f t="shared" si="196"/>
        <v>360</v>
      </c>
      <c r="AH2545" s="289">
        <f t="shared" si="197"/>
        <v>2.7513538968366609</v>
      </c>
      <c r="AJ2545" s="289">
        <f t="shared" si="198"/>
        <v>6</v>
      </c>
      <c r="AK2545" s="289">
        <f t="shared" si="199"/>
        <v>16.508123381019963</v>
      </c>
    </row>
    <row r="2546" spans="1:37">
      <c r="A2546" s="703" t="s">
        <v>4425</v>
      </c>
      <c r="B2546" s="703" t="s">
        <v>3743</v>
      </c>
      <c r="C2546" s="703" t="s">
        <v>586</v>
      </c>
      <c r="D2546" s="703" t="s">
        <v>334</v>
      </c>
      <c r="E2546" s="703" t="s">
        <v>334</v>
      </c>
      <c r="F2546" s="703" t="s">
        <v>335</v>
      </c>
      <c r="G2546" s="703" t="s">
        <v>4426</v>
      </c>
      <c r="H2546" s="703" t="s">
        <v>334</v>
      </c>
      <c r="I2546" s="703" t="s">
        <v>334</v>
      </c>
      <c r="J2546" s="703" t="s">
        <v>337</v>
      </c>
      <c r="K2546" s="704">
        <v>0</v>
      </c>
      <c r="L2546" s="703" t="s">
        <v>334</v>
      </c>
      <c r="M2546" s="702">
        <v>43616</v>
      </c>
      <c r="N2546" s="702">
        <v>44825</v>
      </c>
      <c r="O2546" s="703" t="s">
        <v>338</v>
      </c>
      <c r="P2546" s="20">
        <v>0</v>
      </c>
      <c r="Q2546" s="20">
        <v>0</v>
      </c>
      <c r="R2546" s="20">
        <v>154846.87</v>
      </c>
      <c r="S2546" s="20">
        <v>0</v>
      </c>
      <c r="T2546" s="20">
        <v>154846.87</v>
      </c>
      <c r="U2546" s="20">
        <v>0</v>
      </c>
      <c r="V2546" s="20">
        <v>0</v>
      </c>
      <c r="W2546" s="20">
        <v>-1290.3900000000001</v>
      </c>
      <c r="X2546" s="20">
        <v>-1290.3900000000001</v>
      </c>
      <c r="Y2546" s="20">
        <v>0</v>
      </c>
      <c r="Z2546" s="20">
        <v>0</v>
      </c>
      <c r="AA2546" s="20">
        <v>0</v>
      </c>
      <c r="AB2546" s="20">
        <v>153556.48000000001</v>
      </c>
      <c r="AC2546" t="s">
        <v>589</v>
      </c>
      <c r="AD2546" t="s">
        <v>290</v>
      </c>
      <c r="AE2546" s="702">
        <f t="shared" si="195"/>
        <v>44713</v>
      </c>
      <c r="AF2546" s="289">
        <v>152082.69205196438</v>
      </c>
      <c r="AG2546">
        <f t="shared" si="196"/>
        <v>360</v>
      </c>
      <c r="AH2546" s="289">
        <f t="shared" si="197"/>
        <v>422.45192236656771</v>
      </c>
      <c r="AJ2546" s="289">
        <f t="shared" si="198"/>
        <v>6</v>
      </c>
      <c r="AK2546" s="289">
        <f t="shared" si="199"/>
        <v>2534.7115341994063</v>
      </c>
    </row>
    <row r="2547" spans="1:37">
      <c r="A2547" s="703" t="s">
        <v>4427</v>
      </c>
      <c r="B2547" s="703" t="s">
        <v>3743</v>
      </c>
      <c r="C2547" s="703" t="s">
        <v>586</v>
      </c>
      <c r="D2547" s="703" t="s">
        <v>334</v>
      </c>
      <c r="E2547" s="703" t="s">
        <v>334</v>
      </c>
      <c r="F2547" s="703" t="s">
        <v>335</v>
      </c>
      <c r="G2547" s="703" t="s">
        <v>4428</v>
      </c>
      <c r="H2547" s="703" t="s">
        <v>334</v>
      </c>
      <c r="I2547" s="703" t="s">
        <v>334</v>
      </c>
      <c r="J2547" s="703" t="s">
        <v>337</v>
      </c>
      <c r="K2547" s="704">
        <v>0</v>
      </c>
      <c r="L2547" s="703" t="s">
        <v>334</v>
      </c>
      <c r="M2547" s="702">
        <v>43616</v>
      </c>
      <c r="N2547" s="702">
        <v>44825</v>
      </c>
      <c r="O2547" s="703" t="s">
        <v>338</v>
      </c>
      <c r="P2547" s="20">
        <v>0</v>
      </c>
      <c r="Q2547" s="20">
        <v>0</v>
      </c>
      <c r="R2547" s="20">
        <v>22609.32</v>
      </c>
      <c r="S2547" s="20">
        <v>0</v>
      </c>
      <c r="T2547" s="20">
        <v>22609.32</v>
      </c>
      <c r="U2547" s="20">
        <v>0</v>
      </c>
      <c r="V2547" s="20">
        <v>0</v>
      </c>
      <c r="W2547" s="20">
        <v>-188.41</v>
      </c>
      <c r="X2547" s="20">
        <v>-188.41</v>
      </c>
      <c r="Y2547" s="20">
        <v>0</v>
      </c>
      <c r="Z2547" s="20">
        <v>0</v>
      </c>
      <c r="AA2547" s="20">
        <v>0</v>
      </c>
      <c r="AB2547" s="20">
        <v>22420.91</v>
      </c>
      <c r="AC2547" t="s">
        <v>589</v>
      </c>
      <c r="AD2547" t="s">
        <v>290</v>
      </c>
      <c r="AE2547" s="702">
        <f t="shared" si="195"/>
        <v>44713</v>
      </c>
      <c r="AF2547" s="289">
        <v>22205.720083746732</v>
      </c>
      <c r="AG2547">
        <f t="shared" si="196"/>
        <v>360</v>
      </c>
      <c r="AH2547" s="289">
        <f t="shared" si="197"/>
        <v>61.682555788185368</v>
      </c>
      <c r="AJ2547" s="289">
        <f t="shared" si="198"/>
        <v>6</v>
      </c>
      <c r="AK2547" s="289">
        <f t="shared" si="199"/>
        <v>370.09533472911221</v>
      </c>
    </row>
    <row r="2548" spans="1:37">
      <c r="A2548" s="703" t="s">
        <v>4429</v>
      </c>
      <c r="B2548" s="703" t="s">
        <v>3743</v>
      </c>
      <c r="C2548" s="703" t="s">
        <v>586</v>
      </c>
      <c r="D2548" s="703" t="s">
        <v>334</v>
      </c>
      <c r="E2548" s="703" t="s">
        <v>334</v>
      </c>
      <c r="F2548" s="703" t="s">
        <v>335</v>
      </c>
      <c r="G2548" s="703" t="s">
        <v>4430</v>
      </c>
      <c r="H2548" s="703" t="s">
        <v>334</v>
      </c>
      <c r="I2548" s="703" t="s">
        <v>334</v>
      </c>
      <c r="J2548" s="703" t="s">
        <v>337</v>
      </c>
      <c r="K2548" s="704">
        <v>0</v>
      </c>
      <c r="L2548" s="703" t="s">
        <v>334</v>
      </c>
      <c r="M2548" s="702">
        <v>43616</v>
      </c>
      <c r="N2548" s="702">
        <v>44825</v>
      </c>
      <c r="O2548" s="703" t="s">
        <v>338</v>
      </c>
      <c r="P2548" s="20">
        <v>0</v>
      </c>
      <c r="Q2548" s="20">
        <v>0</v>
      </c>
      <c r="R2548" s="20">
        <v>19356.41</v>
      </c>
      <c r="S2548" s="20">
        <v>0</v>
      </c>
      <c r="T2548" s="20">
        <v>19356.41</v>
      </c>
      <c r="U2548" s="20">
        <v>0</v>
      </c>
      <c r="V2548" s="20">
        <v>0</v>
      </c>
      <c r="W2548" s="20">
        <v>-161.30000000000001</v>
      </c>
      <c r="X2548" s="20">
        <v>-161.30000000000001</v>
      </c>
      <c r="Y2548" s="20">
        <v>0</v>
      </c>
      <c r="Z2548" s="20">
        <v>0</v>
      </c>
      <c r="AA2548" s="20">
        <v>0</v>
      </c>
      <c r="AB2548" s="20">
        <v>19195.11</v>
      </c>
      <c r="AC2548" t="s">
        <v>589</v>
      </c>
      <c r="AD2548" t="s">
        <v>290</v>
      </c>
      <c r="AE2548" s="702">
        <f t="shared" si="195"/>
        <v>44713</v>
      </c>
      <c r="AF2548" s="289">
        <v>19010.877916108759</v>
      </c>
      <c r="AG2548">
        <f t="shared" si="196"/>
        <v>360</v>
      </c>
      <c r="AH2548" s="289">
        <f t="shared" si="197"/>
        <v>52.807994211413217</v>
      </c>
      <c r="AJ2548" s="289">
        <f t="shared" si="198"/>
        <v>6</v>
      </c>
      <c r="AK2548" s="289">
        <f t="shared" si="199"/>
        <v>316.8479652684793</v>
      </c>
    </row>
    <row r="2549" spans="1:37">
      <c r="A2549" s="703" t="s">
        <v>4431</v>
      </c>
      <c r="B2549" s="703" t="s">
        <v>3743</v>
      </c>
      <c r="C2549" s="703" t="s">
        <v>586</v>
      </c>
      <c r="D2549" s="703" t="s">
        <v>334</v>
      </c>
      <c r="E2549" s="703" t="s">
        <v>334</v>
      </c>
      <c r="F2549" s="703" t="s">
        <v>335</v>
      </c>
      <c r="G2549" s="703" t="s">
        <v>4432</v>
      </c>
      <c r="H2549" s="703" t="s">
        <v>334</v>
      </c>
      <c r="I2549" s="703" t="s">
        <v>334</v>
      </c>
      <c r="J2549" s="703" t="s">
        <v>337</v>
      </c>
      <c r="K2549" s="704">
        <v>0</v>
      </c>
      <c r="L2549" s="703" t="s">
        <v>334</v>
      </c>
      <c r="M2549" s="702">
        <v>43616</v>
      </c>
      <c r="N2549" s="702">
        <v>44825</v>
      </c>
      <c r="O2549" s="703" t="s">
        <v>338</v>
      </c>
      <c r="P2549" s="20">
        <v>0</v>
      </c>
      <c r="Q2549" s="20">
        <v>0</v>
      </c>
      <c r="R2549" s="20">
        <v>5617.23</v>
      </c>
      <c r="S2549" s="20">
        <v>0</v>
      </c>
      <c r="T2549" s="20">
        <v>5617.23</v>
      </c>
      <c r="U2549" s="20">
        <v>0</v>
      </c>
      <c r="V2549" s="20">
        <v>0</v>
      </c>
      <c r="W2549" s="20">
        <v>-46.81</v>
      </c>
      <c r="X2549" s="20">
        <v>-46.81</v>
      </c>
      <c r="Y2549" s="20">
        <v>0</v>
      </c>
      <c r="Z2549" s="20">
        <v>0</v>
      </c>
      <c r="AA2549" s="20">
        <v>0</v>
      </c>
      <c r="AB2549" s="20">
        <v>5570.42</v>
      </c>
      <c r="AC2549" t="s">
        <v>589</v>
      </c>
      <c r="AD2549" t="s">
        <v>290</v>
      </c>
      <c r="AE2549" s="702">
        <f t="shared" si="195"/>
        <v>44713</v>
      </c>
      <c r="AF2549" s="289">
        <v>5516.9565925036504</v>
      </c>
      <c r="AG2549">
        <f t="shared" si="196"/>
        <v>360</v>
      </c>
      <c r="AH2549" s="289">
        <f t="shared" si="197"/>
        <v>15.324879423621251</v>
      </c>
      <c r="AJ2549" s="289">
        <f t="shared" si="198"/>
        <v>6</v>
      </c>
      <c r="AK2549" s="289">
        <f t="shared" si="199"/>
        <v>91.9492765417275</v>
      </c>
    </row>
    <row r="2550" spans="1:37">
      <c r="A2550" s="703" t="s">
        <v>4433</v>
      </c>
      <c r="B2550" s="703" t="s">
        <v>3743</v>
      </c>
      <c r="C2550" s="703" t="s">
        <v>586</v>
      </c>
      <c r="D2550" s="703" t="s">
        <v>334</v>
      </c>
      <c r="E2550" s="703" t="s">
        <v>334</v>
      </c>
      <c r="F2550" s="703" t="s">
        <v>335</v>
      </c>
      <c r="G2550" s="703" t="s">
        <v>4434</v>
      </c>
      <c r="H2550" s="703" t="s">
        <v>334</v>
      </c>
      <c r="I2550" s="703" t="s">
        <v>334</v>
      </c>
      <c r="J2550" s="703" t="s">
        <v>337</v>
      </c>
      <c r="K2550" s="704">
        <v>0</v>
      </c>
      <c r="L2550" s="703" t="s">
        <v>334</v>
      </c>
      <c r="M2550" s="702">
        <v>43616</v>
      </c>
      <c r="N2550" s="702">
        <v>44825</v>
      </c>
      <c r="O2550" s="703" t="s">
        <v>338</v>
      </c>
      <c r="P2550" s="20">
        <v>0</v>
      </c>
      <c r="Q2550" s="20">
        <v>0</v>
      </c>
      <c r="R2550" s="20">
        <v>54611.09</v>
      </c>
      <c r="S2550" s="20">
        <v>0</v>
      </c>
      <c r="T2550" s="20">
        <v>54611.09</v>
      </c>
      <c r="U2550" s="20">
        <v>0</v>
      </c>
      <c r="V2550" s="20">
        <v>0</v>
      </c>
      <c r="W2550" s="20">
        <v>-455.09</v>
      </c>
      <c r="X2550" s="20">
        <v>-455.09</v>
      </c>
      <c r="Y2550" s="20">
        <v>0</v>
      </c>
      <c r="Z2550" s="20">
        <v>0</v>
      </c>
      <c r="AA2550" s="20">
        <v>0</v>
      </c>
      <c r="AB2550" s="20">
        <v>54156</v>
      </c>
      <c r="AC2550" t="s">
        <v>589</v>
      </c>
      <c r="AD2550" t="s">
        <v>290</v>
      </c>
      <c r="AE2550" s="702">
        <f t="shared" si="195"/>
        <v>44713</v>
      </c>
      <c r="AF2550" s="289">
        <v>53636.225149995676</v>
      </c>
      <c r="AG2550">
        <f t="shared" si="196"/>
        <v>360</v>
      </c>
      <c r="AH2550" s="289">
        <f t="shared" si="197"/>
        <v>148.98951430554354</v>
      </c>
      <c r="AJ2550" s="289">
        <f t="shared" si="198"/>
        <v>6</v>
      </c>
      <c r="AK2550" s="289">
        <f t="shared" si="199"/>
        <v>893.93708583326122</v>
      </c>
    </row>
    <row r="2551" spans="1:37">
      <c r="A2551" s="703" t="s">
        <v>4435</v>
      </c>
      <c r="B2551" s="703" t="s">
        <v>3743</v>
      </c>
      <c r="C2551" s="703" t="s">
        <v>586</v>
      </c>
      <c r="D2551" s="703" t="s">
        <v>334</v>
      </c>
      <c r="E2551" s="703" t="s">
        <v>334</v>
      </c>
      <c r="F2551" s="703" t="s">
        <v>335</v>
      </c>
      <c r="G2551" s="703" t="s">
        <v>4436</v>
      </c>
      <c r="H2551" s="703" t="s">
        <v>334</v>
      </c>
      <c r="I2551" s="703" t="s">
        <v>334</v>
      </c>
      <c r="J2551" s="703" t="s">
        <v>337</v>
      </c>
      <c r="K2551" s="704">
        <v>0</v>
      </c>
      <c r="L2551" s="703" t="s">
        <v>334</v>
      </c>
      <c r="M2551" s="702">
        <v>43616</v>
      </c>
      <c r="N2551" s="702">
        <v>44825</v>
      </c>
      <c r="O2551" s="703" t="s">
        <v>338</v>
      </c>
      <c r="P2551" s="20">
        <v>0</v>
      </c>
      <c r="Q2551" s="20">
        <v>0</v>
      </c>
      <c r="R2551" s="20">
        <v>25109.56</v>
      </c>
      <c r="S2551" s="20">
        <v>0</v>
      </c>
      <c r="T2551" s="20">
        <v>25109.56</v>
      </c>
      <c r="U2551" s="20">
        <v>0</v>
      </c>
      <c r="V2551" s="20">
        <v>0</v>
      </c>
      <c r="W2551" s="20">
        <v>-209.25</v>
      </c>
      <c r="X2551" s="20">
        <v>-209.25</v>
      </c>
      <c r="Y2551" s="20">
        <v>0</v>
      </c>
      <c r="Z2551" s="20">
        <v>0</v>
      </c>
      <c r="AA2551" s="20">
        <v>0</v>
      </c>
      <c r="AB2551" s="20">
        <v>24900.31</v>
      </c>
      <c r="AC2551" t="s">
        <v>589</v>
      </c>
      <c r="AD2551" t="s">
        <v>290</v>
      </c>
      <c r="AE2551" s="702">
        <f t="shared" si="195"/>
        <v>44713</v>
      </c>
      <c r="AF2551" s="289">
        <v>24661.328195011771</v>
      </c>
      <c r="AG2551">
        <f t="shared" si="196"/>
        <v>360</v>
      </c>
      <c r="AH2551" s="289">
        <f t="shared" si="197"/>
        <v>68.503689430588253</v>
      </c>
      <c r="AJ2551" s="289">
        <f t="shared" si="198"/>
        <v>6</v>
      </c>
      <c r="AK2551" s="289">
        <f t="shared" si="199"/>
        <v>411.02213658352952</v>
      </c>
    </row>
    <row r="2552" spans="1:37">
      <c r="A2552" s="703" t="s">
        <v>4437</v>
      </c>
      <c r="B2552" s="703" t="s">
        <v>3743</v>
      </c>
      <c r="C2552" s="703" t="s">
        <v>586</v>
      </c>
      <c r="D2552" s="703" t="s">
        <v>334</v>
      </c>
      <c r="E2552" s="703" t="s">
        <v>334</v>
      </c>
      <c r="F2552" s="703" t="s">
        <v>335</v>
      </c>
      <c r="G2552" s="703" t="s">
        <v>4438</v>
      </c>
      <c r="H2552" s="703" t="s">
        <v>334</v>
      </c>
      <c r="I2552" s="703" t="s">
        <v>334</v>
      </c>
      <c r="J2552" s="703" t="s">
        <v>337</v>
      </c>
      <c r="K2552" s="704">
        <v>0</v>
      </c>
      <c r="L2552" s="703" t="s">
        <v>334</v>
      </c>
      <c r="M2552" s="702">
        <v>43616</v>
      </c>
      <c r="N2552" s="702">
        <v>44825</v>
      </c>
      <c r="O2552" s="703" t="s">
        <v>338</v>
      </c>
      <c r="P2552" s="20">
        <v>0</v>
      </c>
      <c r="Q2552" s="20">
        <v>0</v>
      </c>
      <c r="R2552" s="20">
        <v>113803.69</v>
      </c>
      <c r="S2552" s="20">
        <v>0</v>
      </c>
      <c r="T2552" s="20">
        <v>113803.69</v>
      </c>
      <c r="U2552" s="20">
        <v>0</v>
      </c>
      <c r="V2552" s="20">
        <v>0</v>
      </c>
      <c r="W2552" s="20">
        <v>-948.36</v>
      </c>
      <c r="X2552" s="20">
        <v>-948.36</v>
      </c>
      <c r="Y2552" s="20">
        <v>0</v>
      </c>
      <c r="Z2552" s="20">
        <v>0</v>
      </c>
      <c r="AA2552" s="20">
        <v>0</v>
      </c>
      <c r="AB2552" s="20">
        <v>112855.33</v>
      </c>
      <c r="AC2552" t="s">
        <v>589</v>
      </c>
      <c r="AD2552" t="s">
        <v>290</v>
      </c>
      <c r="AE2552" s="702">
        <f t="shared" si="195"/>
        <v>44713</v>
      </c>
      <c r="AF2552" s="289">
        <v>111772.17557350185</v>
      </c>
      <c r="AG2552">
        <f t="shared" si="196"/>
        <v>360</v>
      </c>
      <c r="AH2552" s="289">
        <f t="shared" si="197"/>
        <v>310.47826548194956</v>
      </c>
      <c r="AJ2552" s="289">
        <f t="shared" si="198"/>
        <v>6</v>
      </c>
      <c r="AK2552" s="289">
        <f t="shared" si="199"/>
        <v>1862.8695928916973</v>
      </c>
    </row>
    <row r="2553" spans="1:37">
      <c r="A2553" s="703" t="s">
        <v>4439</v>
      </c>
      <c r="B2553" s="703" t="s">
        <v>3743</v>
      </c>
      <c r="C2553" s="703" t="s">
        <v>586</v>
      </c>
      <c r="D2553" s="703" t="s">
        <v>334</v>
      </c>
      <c r="E2553" s="703" t="s">
        <v>334</v>
      </c>
      <c r="F2553" s="703" t="s">
        <v>335</v>
      </c>
      <c r="G2553" s="703" t="s">
        <v>4440</v>
      </c>
      <c r="H2553" s="703" t="s">
        <v>334</v>
      </c>
      <c r="I2553" s="703" t="s">
        <v>334</v>
      </c>
      <c r="J2553" s="703" t="s">
        <v>337</v>
      </c>
      <c r="K2553" s="704">
        <v>0</v>
      </c>
      <c r="L2553" s="703" t="s">
        <v>334</v>
      </c>
      <c r="M2553" s="702">
        <v>43616</v>
      </c>
      <c r="N2553" s="702">
        <v>44825</v>
      </c>
      <c r="O2553" s="703" t="s">
        <v>338</v>
      </c>
      <c r="P2553" s="20">
        <v>0</v>
      </c>
      <c r="Q2553" s="20">
        <v>0</v>
      </c>
      <c r="R2553" s="20">
        <v>13036.47</v>
      </c>
      <c r="S2553" s="20">
        <v>0</v>
      </c>
      <c r="T2553" s="20">
        <v>13036.47</v>
      </c>
      <c r="U2553" s="20">
        <v>0</v>
      </c>
      <c r="V2553" s="20">
        <v>0</v>
      </c>
      <c r="W2553" s="20">
        <v>-108.64</v>
      </c>
      <c r="X2553" s="20">
        <v>-108.64</v>
      </c>
      <c r="Y2553" s="20">
        <v>0</v>
      </c>
      <c r="Z2553" s="20">
        <v>0</v>
      </c>
      <c r="AA2553" s="20">
        <v>0</v>
      </c>
      <c r="AB2553" s="20">
        <v>12927.83</v>
      </c>
      <c r="AC2553" t="s">
        <v>589</v>
      </c>
      <c r="AD2553" t="s">
        <v>290</v>
      </c>
      <c r="AE2553" s="702">
        <f t="shared" si="195"/>
        <v>44713</v>
      </c>
      <c r="AF2553" s="289">
        <v>12803.755429184148</v>
      </c>
      <c r="AG2553">
        <f t="shared" si="196"/>
        <v>360</v>
      </c>
      <c r="AH2553" s="289">
        <f t="shared" si="197"/>
        <v>35.565987303289297</v>
      </c>
      <c r="AJ2553" s="289">
        <f t="shared" si="198"/>
        <v>6</v>
      </c>
      <c r="AK2553" s="289">
        <f t="shared" si="199"/>
        <v>213.3959238197358</v>
      </c>
    </row>
    <row r="2554" spans="1:37">
      <c r="A2554" s="703" t="s">
        <v>4441</v>
      </c>
      <c r="B2554" s="703" t="s">
        <v>3743</v>
      </c>
      <c r="C2554" s="703" t="s">
        <v>1124</v>
      </c>
      <c r="D2554" s="703" t="s">
        <v>334</v>
      </c>
      <c r="E2554" s="703" t="s">
        <v>334</v>
      </c>
      <c r="F2554" s="703" t="s">
        <v>335</v>
      </c>
      <c r="G2554" s="703" t="s">
        <v>4442</v>
      </c>
      <c r="H2554" s="703" t="s">
        <v>334</v>
      </c>
      <c r="I2554" s="703" t="s">
        <v>334</v>
      </c>
      <c r="J2554" s="703" t="s">
        <v>337</v>
      </c>
      <c r="K2554" s="704">
        <v>0</v>
      </c>
      <c r="L2554" s="703" t="s">
        <v>334</v>
      </c>
      <c r="M2554" s="702">
        <v>43769</v>
      </c>
      <c r="N2554" s="702">
        <v>44825</v>
      </c>
      <c r="O2554" s="703" t="s">
        <v>338</v>
      </c>
      <c r="P2554" s="20">
        <v>0</v>
      </c>
      <c r="Q2554" s="20">
        <v>0</v>
      </c>
      <c r="R2554" s="20">
        <v>10479.23</v>
      </c>
      <c r="S2554" s="20">
        <v>0</v>
      </c>
      <c r="T2554" s="20">
        <v>10479.23</v>
      </c>
      <c r="U2554" s="20">
        <v>0</v>
      </c>
      <c r="V2554" s="20">
        <v>0</v>
      </c>
      <c r="W2554" s="20">
        <v>-87.33</v>
      </c>
      <c r="X2554" s="20">
        <v>-87.33</v>
      </c>
      <c r="Y2554" s="20">
        <v>0</v>
      </c>
      <c r="Z2554" s="20">
        <v>0</v>
      </c>
      <c r="AA2554" s="20">
        <v>0</v>
      </c>
      <c r="AB2554" s="20">
        <v>10391.9</v>
      </c>
      <c r="AC2554" t="s">
        <v>1127</v>
      </c>
      <c r="AD2554" t="s">
        <v>290</v>
      </c>
      <c r="AE2554" s="702">
        <f t="shared" si="195"/>
        <v>44713</v>
      </c>
      <c r="AF2554" s="289">
        <v>10292.164827301362</v>
      </c>
      <c r="AG2554">
        <f t="shared" si="196"/>
        <v>360</v>
      </c>
      <c r="AH2554" s="289">
        <f t="shared" si="197"/>
        <v>28.589346742503782</v>
      </c>
      <c r="AJ2554" s="289">
        <f t="shared" si="198"/>
        <v>6</v>
      </c>
      <c r="AK2554" s="289">
        <f t="shared" si="199"/>
        <v>171.5360804550227</v>
      </c>
    </row>
    <row r="2555" spans="1:37">
      <c r="A2555" s="703" t="s">
        <v>4443</v>
      </c>
      <c r="B2555" s="703" t="s">
        <v>3743</v>
      </c>
      <c r="C2555" s="703" t="s">
        <v>1124</v>
      </c>
      <c r="D2555" s="703" t="s">
        <v>334</v>
      </c>
      <c r="E2555" s="703" t="s">
        <v>334</v>
      </c>
      <c r="F2555" s="703" t="s">
        <v>335</v>
      </c>
      <c r="G2555" s="703" t="s">
        <v>4444</v>
      </c>
      <c r="H2555" s="703" t="s">
        <v>334</v>
      </c>
      <c r="I2555" s="703" t="s">
        <v>334</v>
      </c>
      <c r="J2555" s="703" t="s">
        <v>337</v>
      </c>
      <c r="K2555" s="704">
        <v>0</v>
      </c>
      <c r="L2555" s="703" t="s">
        <v>334</v>
      </c>
      <c r="M2555" s="702">
        <v>43769</v>
      </c>
      <c r="N2555" s="702">
        <v>44825</v>
      </c>
      <c r="O2555" s="703" t="s">
        <v>338</v>
      </c>
      <c r="P2555" s="20">
        <v>0</v>
      </c>
      <c r="Q2555" s="20">
        <v>0</v>
      </c>
      <c r="R2555" s="20">
        <v>137</v>
      </c>
      <c r="S2555" s="20">
        <v>0</v>
      </c>
      <c r="T2555" s="20">
        <v>137</v>
      </c>
      <c r="U2555" s="20">
        <v>0</v>
      </c>
      <c r="V2555" s="20">
        <v>0</v>
      </c>
      <c r="W2555" s="20">
        <v>-1.1399999999999999</v>
      </c>
      <c r="X2555" s="20">
        <v>-1.1399999999999999</v>
      </c>
      <c r="Y2555" s="20">
        <v>0</v>
      </c>
      <c r="Z2555" s="20">
        <v>0</v>
      </c>
      <c r="AA2555" s="20">
        <v>0</v>
      </c>
      <c r="AB2555" s="20">
        <v>135.86000000000001</v>
      </c>
      <c r="AC2555" t="s">
        <v>1127</v>
      </c>
      <c r="AD2555" t="s">
        <v>290</v>
      </c>
      <c r="AE2555" s="702">
        <f t="shared" si="195"/>
        <v>44713</v>
      </c>
      <c r="AF2555" s="289">
        <v>134.55440727422592</v>
      </c>
      <c r="AG2555">
        <f t="shared" si="196"/>
        <v>360</v>
      </c>
      <c r="AH2555" s="289">
        <f t="shared" si="197"/>
        <v>0.37376224242840533</v>
      </c>
      <c r="AJ2555" s="289">
        <f t="shared" si="198"/>
        <v>6</v>
      </c>
      <c r="AK2555" s="289">
        <f t="shared" si="199"/>
        <v>2.2425734545704321</v>
      </c>
    </row>
    <row r="2556" spans="1:37">
      <c r="A2556" s="703" t="s">
        <v>4445</v>
      </c>
      <c r="B2556" s="703" t="s">
        <v>3743</v>
      </c>
      <c r="C2556" s="703" t="s">
        <v>1124</v>
      </c>
      <c r="D2556" s="703" t="s">
        <v>334</v>
      </c>
      <c r="E2556" s="703" t="s">
        <v>334</v>
      </c>
      <c r="F2556" s="703" t="s">
        <v>335</v>
      </c>
      <c r="G2556" s="703" t="s">
        <v>4446</v>
      </c>
      <c r="H2556" s="703" t="s">
        <v>334</v>
      </c>
      <c r="I2556" s="703" t="s">
        <v>334</v>
      </c>
      <c r="J2556" s="703" t="s">
        <v>337</v>
      </c>
      <c r="K2556" s="704">
        <v>0</v>
      </c>
      <c r="L2556" s="703" t="s">
        <v>334</v>
      </c>
      <c r="M2556" s="702">
        <v>43769</v>
      </c>
      <c r="N2556" s="702">
        <v>44825</v>
      </c>
      <c r="O2556" s="703" t="s">
        <v>338</v>
      </c>
      <c r="P2556" s="20">
        <v>0</v>
      </c>
      <c r="Q2556" s="20">
        <v>0</v>
      </c>
      <c r="R2556" s="20">
        <v>679.27</v>
      </c>
      <c r="S2556" s="20">
        <v>0</v>
      </c>
      <c r="T2556" s="20">
        <v>679.27</v>
      </c>
      <c r="U2556" s="20">
        <v>0</v>
      </c>
      <c r="V2556" s="20">
        <v>0</v>
      </c>
      <c r="W2556" s="20">
        <v>-5.66</v>
      </c>
      <c r="X2556" s="20">
        <v>-5.66</v>
      </c>
      <c r="Y2556" s="20">
        <v>0</v>
      </c>
      <c r="Z2556" s="20">
        <v>0</v>
      </c>
      <c r="AA2556" s="20">
        <v>0</v>
      </c>
      <c r="AB2556" s="20">
        <v>673.61</v>
      </c>
      <c r="AC2556" t="s">
        <v>1127</v>
      </c>
      <c r="AD2556" t="s">
        <v>290</v>
      </c>
      <c r="AE2556" s="702">
        <f t="shared" si="195"/>
        <v>44713</v>
      </c>
      <c r="AF2556" s="289">
        <v>667.14432284060911</v>
      </c>
      <c r="AG2556">
        <f t="shared" si="196"/>
        <v>360</v>
      </c>
      <c r="AH2556" s="289">
        <f t="shared" si="197"/>
        <v>1.8531786745572476</v>
      </c>
      <c r="AJ2556" s="289">
        <f t="shared" si="198"/>
        <v>6</v>
      </c>
      <c r="AK2556" s="289">
        <f t="shared" si="199"/>
        <v>11.119072047343487</v>
      </c>
    </row>
    <row r="2557" spans="1:37">
      <c r="A2557" s="703" t="s">
        <v>4447</v>
      </c>
      <c r="B2557" s="703" t="s">
        <v>3743</v>
      </c>
      <c r="C2557" s="703" t="s">
        <v>1124</v>
      </c>
      <c r="D2557" s="703" t="s">
        <v>334</v>
      </c>
      <c r="E2557" s="703" t="s">
        <v>334</v>
      </c>
      <c r="F2557" s="703" t="s">
        <v>335</v>
      </c>
      <c r="G2557" s="703" t="s">
        <v>4448</v>
      </c>
      <c r="H2557" s="703" t="s">
        <v>334</v>
      </c>
      <c r="I2557" s="703" t="s">
        <v>334</v>
      </c>
      <c r="J2557" s="703" t="s">
        <v>337</v>
      </c>
      <c r="K2557" s="704">
        <v>0</v>
      </c>
      <c r="L2557" s="703" t="s">
        <v>334</v>
      </c>
      <c r="M2557" s="702">
        <v>43769</v>
      </c>
      <c r="N2557" s="702">
        <v>44825</v>
      </c>
      <c r="O2557" s="703" t="s">
        <v>338</v>
      </c>
      <c r="P2557" s="20">
        <v>0</v>
      </c>
      <c r="Q2557" s="20">
        <v>0</v>
      </c>
      <c r="R2557" s="20">
        <v>9</v>
      </c>
      <c r="S2557" s="20">
        <v>0</v>
      </c>
      <c r="T2557" s="20">
        <v>9</v>
      </c>
      <c r="U2557" s="20">
        <v>0</v>
      </c>
      <c r="V2557" s="20">
        <v>0</v>
      </c>
      <c r="W2557" s="20">
        <v>-0.08</v>
      </c>
      <c r="X2557" s="20">
        <v>-0.08</v>
      </c>
      <c r="Y2557" s="20">
        <v>0</v>
      </c>
      <c r="Z2557" s="20">
        <v>0</v>
      </c>
      <c r="AA2557" s="20">
        <v>0</v>
      </c>
      <c r="AB2557" s="20">
        <v>8.92</v>
      </c>
      <c r="AC2557" t="s">
        <v>1127</v>
      </c>
      <c r="AD2557" t="s">
        <v>290</v>
      </c>
      <c r="AE2557" s="702">
        <f t="shared" si="195"/>
        <v>44713</v>
      </c>
      <c r="AF2557" s="289">
        <v>8.8393406238542589</v>
      </c>
      <c r="AG2557">
        <f t="shared" si="196"/>
        <v>360</v>
      </c>
      <c r="AH2557" s="289">
        <f t="shared" si="197"/>
        <v>2.4553723955150718E-2</v>
      </c>
      <c r="AJ2557" s="289">
        <f t="shared" si="198"/>
        <v>6</v>
      </c>
      <c r="AK2557" s="289">
        <f t="shared" si="199"/>
        <v>0.1473223437309043</v>
      </c>
    </row>
    <row r="2558" spans="1:37">
      <c r="A2558" s="703" t="s">
        <v>4449</v>
      </c>
      <c r="B2558" s="703" t="s">
        <v>3743</v>
      </c>
      <c r="C2558" s="703" t="s">
        <v>1124</v>
      </c>
      <c r="D2558" s="703" t="s">
        <v>334</v>
      </c>
      <c r="E2558" s="703" t="s">
        <v>334</v>
      </c>
      <c r="F2558" s="703" t="s">
        <v>335</v>
      </c>
      <c r="G2558" s="703" t="s">
        <v>4450</v>
      </c>
      <c r="H2558" s="703" t="s">
        <v>334</v>
      </c>
      <c r="I2558" s="703" t="s">
        <v>334</v>
      </c>
      <c r="J2558" s="703" t="s">
        <v>337</v>
      </c>
      <c r="K2558" s="704">
        <v>0</v>
      </c>
      <c r="L2558" s="703" t="s">
        <v>334</v>
      </c>
      <c r="M2558" s="702">
        <v>43769</v>
      </c>
      <c r="N2558" s="702">
        <v>44825</v>
      </c>
      <c r="O2558" s="703" t="s">
        <v>338</v>
      </c>
      <c r="P2558" s="20">
        <v>0</v>
      </c>
      <c r="Q2558" s="20">
        <v>0</v>
      </c>
      <c r="R2558" s="20">
        <v>10</v>
      </c>
      <c r="S2558" s="20">
        <v>0</v>
      </c>
      <c r="T2558" s="20">
        <v>10</v>
      </c>
      <c r="U2558" s="20">
        <v>0</v>
      </c>
      <c r="V2558" s="20">
        <v>0</v>
      </c>
      <c r="W2558" s="20">
        <v>-0.08</v>
      </c>
      <c r="X2558" s="20">
        <v>-0.08</v>
      </c>
      <c r="Y2558" s="20">
        <v>0</v>
      </c>
      <c r="Z2558" s="20">
        <v>0</v>
      </c>
      <c r="AA2558" s="20">
        <v>0</v>
      </c>
      <c r="AB2558" s="20">
        <v>9.92</v>
      </c>
      <c r="AC2558" t="s">
        <v>1127</v>
      </c>
      <c r="AD2558" t="s">
        <v>290</v>
      </c>
      <c r="AE2558" s="702">
        <f t="shared" si="195"/>
        <v>44713</v>
      </c>
      <c r="AF2558" s="289">
        <v>9.8214895820602877</v>
      </c>
      <c r="AG2558">
        <f t="shared" si="196"/>
        <v>360</v>
      </c>
      <c r="AH2558" s="289">
        <f t="shared" si="197"/>
        <v>2.7281915505723023E-2</v>
      </c>
      <c r="AJ2558" s="289">
        <f t="shared" si="198"/>
        <v>6</v>
      </c>
      <c r="AK2558" s="289">
        <f t="shared" si="199"/>
        <v>0.16369149303433814</v>
      </c>
    </row>
    <row r="2559" spans="1:37">
      <c r="A2559" s="703" t="s">
        <v>4451</v>
      </c>
      <c r="B2559" s="703" t="s">
        <v>3743</v>
      </c>
      <c r="C2559" s="703" t="s">
        <v>1124</v>
      </c>
      <c r="D2559" s="703" t="s">
        <v>334</v>
      </c>
      <c r="E2559" s="703" t="s">
        <v>334</v>
      </c>
      <c r="F2559" s="703" t="s">
        <v>335</v>
      </c>
      <c r="G2559" s="703" t="s">
        <v>4452</v>
      </c>
      <c r="H2559" s="703" t="s">
        <v>334</v>
      </c>
      <c r="I2559" s="703" t="s">
        <v>334</v>
      </c>
      <c r="J2559" s="703" t="s">
        <v>337</v>
      </c>
      <c r="K2559" s="704">
        <v>0</v>
      </c>
      <c r="L2559" s="703" t="s">
        <v>334</v>
      </c>
      <c r="M2559" s="702">
        <v>43769</v>
      </c>
      <c r="N2559" s="702">
        <v>44825</v>
      </c>
      <c r="O2559" s="703" t="s">
        <v>338</v>
      </c>
      <c r="P2559" s="20">
        <v>0</v>
      </c>
      <c r="Q2559" s="20">
        <v>0</v>
      </c>
      <c r="R2559" s="20">
        <v>1118.3599999999999</v>
      </c>
      <c r="S2559" s="20">
        <v>0</v>
      </c>
      <c r="T2559" s="20">
        <v>1118.3599999999999</v>
      </c>
      <c r="U2559" s="20">
        <v>0</v>
      </c>
      <c r="V2559" s="20">
        <v>0</v>
      </c>
      <c r="W2559" s="20">
        <v>-9.32</v>
      </c>
      <c r="X2559" s="20">
        <v>-9.32</v>
      </c>
      <c r="Y2559" s="20">
        <v>0</v>
      </c>
      <c r="Z2559" s="20">
        <v>0</v>
      </c>
      <c r="AA2559" s="20">
        <v>0</v>
      </c>
      <c r="AB2559" s="20">
        <v>1109.04</v>
      </c>
      <c r="AC2559" t="s">
        <v>1127</v>
      </c>
      <c r="AD2559" t="s">
        <v>290</v>
      </c>
      <c r="AE2559" s="702">
        <f t="shared" si="195"/>
        <v>44713</v>
      </c>
      <c r="AF2559" s="289">
        <v>1098.3961088992944</v>
      </c>
      <c r="AG2559">
        <f t="shared" si="196"/>
        <v>360</v>
      </c>
      <c r="AH2559" s="289">
        <f t="shared" si="197"/>
        <v>3.0511003024980399</v>
      </c>
      <c r="AJ2559" s="289">
        <f t="shared" si="198"/>
        <v>6</v>
      </c>
      <c r="AK2559" s="289">
        <f t="shared" si="199"/>
        <v>18.306601814988241</v>
      </c>
    </row>
    <row r="2560" spans="1:37">
      <c r="A2560" s="703" t="s">
        <v>4453</v>
      </c>
      <c r="B2560" s="703" t="s">
        <v>3743</v>
      </c>
      <c r="C2560" s="703" t="s">
        <v>1124</v>
      </c>
      <c r="D2560" s="703" t="s">
        <v>334</v>
      </c>
      <c r="E2560" s="703" t="s">
        <v>334</v>
      </c>
      <c r="F2560" s="703" t="s">
        <v>335</v>
      </c>
      <c r="G2560" s="703" t="s">
        <v>4454</v>
      </c>
      <c r="H2560" s="703" t="s">
        <v>334</v>
      </c>
      <c r="I2560" s="703" t="s">
        <v>334</v>
      </c>
      <c r="J2560" s="703" t="s">
        <v>337</v>
      </c>
      <c r="K2560" s="704">
        <v>0</v>
      </c>
      <c r="L2560" s="703" t="s">
        <v>334</v>
      </c>
      <c r="M2560" s="702">
        <v>43769</v>
      </c>
      <c r="N2560" s="702">
        <v>44825</v>
      </c>
      <c r="O2560" s="703" t="s">
        <v>338</v>
      </c>
      <c r="P2560" s="20">
        <v>0</v>
      </c>
      <c r="Q2560" s="20">
        <v>0</v>
      </c>
      <c r="R2560" s="20">
        <v>5298.22</v>
      </c>
      <c r="S2560" s="20">
        <v>0</v>
      </c>
      <c r="T2560" s="20">
        <v>5298.22</v>
      </c>
      <c r="U2560" s="20">
        <v>0</v>
      </c>
      <c r="V2560" s="20">
        <v>0</v>
      </c>
      <c r="W2560" s="20">
        <v>-44.15</v>
      </c>
      <c r="X2560" s="20">
        <v>-44.15</v>
      </c>
      <c r="Y2560" s="20">
        <v>0</v>
      </c>
      <c r="Z2560" s="20">
        <v>0</v>
      </c>
      <c r="AA2560" s="20">
        <v>0</v>
      </c>
      <c r="AB2560" s="20">
        <v>5254.07</v>
      </c>
      <c r="AC2560" t="s">
        <v>1127</v>
      </c>
      <c r="AD2560" t="s">
        <v>290</v>
      </c>
      <c r="AE2560" s="702">
        <f t="shared" si="195"/>
        <v>44713</v>
      </c>
      <c r="AF2560" s="289">
        <v>5203.6412533463463</v>
      </c>
      <c r="AG2560">
        <f t="shared" si="196"/>
        <v>360</v>
      </c>
      <c r="AH2560" s="289">
        <f t="shared" si="197"/>
        <v>14.454559037073183</v>
      </c>
      <c r="AJ2560" s="289">
        <f t="shared" si="198"/>
        <v>6</v>
      </c>
      <c r="AK2560" s="289">
        <f t="shared" si="199"/>
        <v>86.727354222439104</v>
      </c>
    </row>
    <row r="2561" spans="1:37">
      <c r="A2561" s="703" t="s">
        <v>4455</v>
      </c>
      <c r="B2561" s="703" t="s">
        <v>3743</v>
      </c>
      <c r="C2561" s="703" t="s">
        <v>1124</v>
      </c>
      <c r="D2561" s="703" t="s">
        <v>334</v>
      </c>
      <c r="E2561" s="703" t="s">
        <v>334</v>
      </c>
      <c r="F2561" s="703" t="s">
        <v>335</v>
      </c>
      <c r="G2561" s="703" t="s">
        <v>4456</v>
      </c>
      <c r="H2561" s="703" t="s">
        <v>334</v>
      </c>
      <c r="I2561" s="703" t="s">
        <v>334</v>
      </c>
      <c r="J2561" s="703" t="s">
        <v>337</v>
      </c>
      <c r="K2561" s="704">
        <v>0</v>
      </c>
      <c r="L2561" s="703" t="s">
        <v>334</v>
      </c>
      <c r="M2561" s="702">
        <v>43769</v>
      </c>
      <c r="N2561" s="702">
        <v>44825</v>
      </c>
      <c r="O2561" s="703" t="s">
        <v>338</v>
      </c>
      <c r="P2561" s="20">
        <v>0</v>
      </c>
      <c r="Q2561" s="20">
        <v>0</v>
      </c>
      <c r="R2561" s="20">
        <v>5629.15</v>
      </c>
      <c r="S2561" s="20">
        <v>0</v>
      </c>
      <c r="T2561" s="20">
        <v>5629.15</v>
      </c>
      <c r="U2561" s="20">
        <v>0</v>
      </c>
      <c r="V2561" s="20">
        <v>0</v>
      </c>
      <c r="W2561" s="20">
        <v>-46.91</v>
      </c>
      <c r="X2561" s="20">
        <v>-46.91</v>
      </c>
      <c r="Y2561" s="20">
        <v>0</v>
      </c>
      <c r="Z2561" s="20">
        <v>0</v>
      </c>
      <c r="AA2561" s="20">
        <v>0</v>
      </c>
      <c r="AB2561" s="20">
        <v>5582.24</v>
      </c>
      <c r="AC2561" t="s">
        <v>1127</v>
      </c>
      <c r="AD2561" t="s">
        <v>290</v>
      </c>
      <c r="AE2561" s="702">
        <f t="shared" si="195"/>
        <v>44713</v>
      </c>
      <c r="AF2561" s="289">
        <v>5528.6638080854664</v>
      </c>
      <c r="AG2561">
        <f t="shared" si="196"/>
        <v>360</v>
      </c>
      <c r="AH2561" s="289">
        <f t="shared" si="197"/>
        <v>15.357399466904074</v>
      </c>
      <c r="AJ2561" s="289">
        <f t="shared" si="198"/>
        <v>6</v>
      </c>
      <c r="AK2561" s="289">
        <f t="shared" si="199"/>
        <v>92.144396801424449</v>
      </c>
    </row>
    <row r="2562" spans="1:37">
      <c r="A2562" s="703" t="s">
        <v>4457</v>
      </c>
      <c r="B2562" s="703" t="s">
        <v>3743</v>
      </c>
      <c r="C2562" s="703" t="s">
        <v>1124</v>
      </c>
      <c r="D2562" s="703" t="s">
        <v>334</v>
      </c>
      <c r="E2562" s="703" t="s">
        <v>334</v>
      </c>
      <c r="F2562" s="703" t="s">
        <v>335</v>
      </c>
      <c r="G2562" s="703" t="s">
        <v>4458</v>
      </c>
      <c r="H2562" s="703" t="s">
        <v>334</v>
      </c>
      <c r="I2562" s="703" t="s">
        <v>334</v>
      </c>
      <c r="J2562" s="703" t="s">
        <v>337</v>
      </c>
      <c r="K2562" s="704">
        <v>0</v>
      </c>
      <c r="L2562" s="703" t="s">
        <v>334</v>
      </c>
      <c r="M2562" s="702">
        <v>43769</v>
      </c>
      <c r="N2562" s="702">
        <v>44825</v>
      </c>
      <c r="O2562" s="703" t="s">
        <v>338</v>
      </c>
      <c r="P2562" s="20">
        <v>0</v>
      </c>
      <c r="Q2562" s="20">
        <v>0</v>
      </c>
      <c r="R2562" s="20">
        <v>5160.0600000000004</v>
      </c>
      <c r="S2562" s="20">
        <v>0</v>
      </c>
      <c r="T2562" s="20">
        <v>5160.0600000000004</v>
      </c>
      <c r="U2562" s="20">
        <v>0</v>
      </c>
      <c r="V2562" s="20">
        <v>0</v>
      </c>
      <c r="W2562" s="20">
        <v>-43</v>
      </c>
      <c r="X2562" s="20">
        <v>-43</v>
      </c>
      <c r="Y2562" s="20">
        <v>0</v>
      </c>
      <c r="Z2562" s="20">
        <v>0</v>
      </c>
      <c r="AA2562" s="20">
        <v>0</v>
      </c>
      <c r="AB2562" s="20">
        <v>5117.0600000000004</v>
      </c>
      <c r="AC2562" t="s">
        <v>1127</v>
      </c>
      <c r="AD2562" t="s">
        <v>290</v>
      </c>
      <c r="AE2562" s="702">
        <f t="shared" si="195"/>
        <v>44713</v>
      </c>
      <c r="AF2562" s="289">
        <v>5067.9475532806009</v>
      </c>
      <c r="AG2562">
        <f t="shared" si="196"/>
        <v>360</v>
      </c>
      <c r="AH2562" s="289">
        <f t="shared" si="197"/>
        <v>14.077632092446114</v>
      </c>
      <c r="AJ2562" s="289">
        <f t="shared" si="198"/>
        <v>6</v>
      </c>
      <c r="AK2562" s="289">
        <f t="shared" si="199"/>
        <v>84.465792554676682</v>
      </c>
    </row>
    <row r="2563" spans="1:37">
      <c r="A2563" s="703" t="s">
        <v>4459</v>
      </c>
      <c r="B2563" s="703" t="s">
        <v>3743</v>
      </c>
      <c r="C2563" s="703" t="s">
        <v>1124</v>
      </c>
      <c r="D2563" s="703" t="s">
        <v>334</v>
      </c>
      <c r="E2563" s="703" t="s">
        <v>334</v>
      </c>
      <c r="F2563" s="703" t="s">
        <v>335</v>
      </c>
      <c r="G2563" s="703" t="s">
        <v>4460</v>
      </c>
      <c r="H2563" s="703" t="s">
        <v>334</v>
      </c>
      <c r="I2563" s="703" t="s">
        <v>334</v>
      </c>
      <c r="J2563" s="703" t="s">
        <v>337</v>
      </c>
      <c r="K2563" s="704">
        <v>0</v>
      </c>
      <c r="L2563" s="703" t="s">
        <v>334</v>
      </c>
      <c r="M2563" s="702">
        <v>43769</v>
      </c>
      <c r="N2563" s="702">
        <v>44825</v>
      </c>
      <c r="O2563" s="703" t="s">
        <v>338</v>
      </c>
      <c r="P2563" s="20">
        <v>0</v>
      </c>
      <c r="Q2563" s="20">
        <v>0</v>
      </c>
      <c r="R2563" s="20">
        <v>5160.0600000000004</v>
      </c>
      <c r="S2563" s="20">
        <v>0</v>
      </c>
      <c r="T2563" s="20">
        <v>5160.0600000000004</v>
      </c>
      <c r="U2563" s="20">
        <v>0</v>
      </c>
      <c r="V2563" s="20">
        <v>0</v>
      </c>
      <c r="W2563" s="20">
        <v>-43</v>
      </c>
      <c r="X2563" s="20">
        <v>-43</v>
      </c>
      <c r="Y2563" s="20">
        <v>0</v>
      </c>
      <c r="Z2563" s="20">
        <v>0</v>
      </c>
      <c r="AA2563" s="20">
        <v>0</v>
      </c>
      <c r="AB2563" s="20">
        <v>5117.0600000000004</v>
      </c>
      <c r="AC2563" t="s">
        <v>1127</v>
      </c>
      <c r="AD2563" t="s">
        <v>290</v>
      </c>
      <c r="AE2563" s="702">
        <f t="shared" si="195"/>
        <v>44713</v>
      </c>
      <c r="AF2563" s="289">
        <v>5067.9475532806009</v>
      </c>
      <c r="AG2563">
        <f t="shared" si="196"/>
        <v>360</v>
      </c>
      <c r="AH2563" s="289">
        <f t="shared" si="197"/>
        <v>14.077632092446114</v>
      </c>
      <c r="AJ2563" s="289">
        <f t="shared" si="198"/>
        <v>6</v>
      </c>
      <c r="AK2563" s="289">
        <f t="shared" si="199"/>
        <v>84.465792554676682</v>
      </c>
    </row>
    <row r="2564" spans="1:37">
      <c r="A2564" s="703" t="s">
        <v>4461</v>
      </c>
      <c r="B2564" s="703" t="s">
        <v>3743</v>
      </c>
      <c r="C2564" s="703" t="s">
        <v>1124</v>
      </c>
      <c r="D2564" s="703" t="s">
        <v>334</v>
      </c>
      <c r="E2564" s="703" t="s">
        <v>334</v>
      </c>
      <c r="F2564" s="703" t="s">
        <v>335</v>
      </c>
      <c r="G2564" s="703" t="s">
        <v>4462</v>
      </c>
      <c r="H2564" s="703" t="s">
        <v>334</v>
      </c>
      <c r="I2564" s="703" t="s">
        <v>334</v>
      </c>
      <c r="J2564" s="703" t="s">
        <v>337</v>
      </c>
      <c r="K2564" s="704">
        <v>0</v>
      </c>
      <c r="L2564" s="703" t="s">
        <v>334</v>
      </c>
      <c r="M2564" s="702">
        <v>43769</v>
      </c>
      <c r="N2564" s="702">
        <v>44825</v>
      </c>
      <c r="O2564" s="703" t="s">
        <v>338</v>
      </c>
      <c r="P2564" s="20">
        <v>0</v>
      </c>
      <c r="Q2564" s="20">
        <v>0</v>
      </c>
      <c r="R2564" s="20">
        <v>299</v>
      </c>
      <c r="S2564" s="20">
        <v>0</v>
      </c>
      <c r="T2564" s="20">
        <v>299</v>
      </c>
      <c r="U2564" s="20">
        <v>0</v>
      </c>
      <c r="V2564" s="20">
        <v>0</v>
      </c>
      <c r="W2564" s="20">
        <v>-2.4900000000000002</v>
      </c>
      <c r="X2564" s="20">
        <v>-2.4900000000000002</v>
      </c>
      <c r="Y2564" s="20">
        <v>0</v>
      </c>
      <c r="Z2564" s="20">
        <v>0</v>
      </c>
      <c r="AA2564" s="20">
        <v>0</v>
      </c>
      <c r="AB2564" s="20">
        <v>296.51</v>
      </c>
      <c r="AC2564" t="s">
        <v>1127</v>
      </c>
      <c r="AD2564" t="s">
        <v>290</v>
      </c>
      <c r="AE2564" s="702">
        <f t="shared" si="195"/>
        <v>44713</v>
      </c>
      <c r="AF2564" s="289">
        <v>293.6625385036026</v>
      </c>
      <c r="AG2564">
        <f t="shared" si="196"/>
        <v>360</v>
      </c>
      <c r="AH2564" s="289">
        <f t="shared" si="197"/>
        <v>0.81572927362111836</v>
      </c>
      <c r="AJ2564" s="289">
        <f t="shared" si="198"/>
        <v>6</v>
      </c>
      <c r="AK2564" s="289">
        <f t="shared" si="199"/>
        <v>4.8943756417267101</v>
      </c>
    </row>
    <row r="2565" spans="1:37">
      <c r="A2565" s="703" t="s">
        <v>4463</v>
      </c>
      <c r="B2565" s="703" t="s">
        <v>3743</v>
      </c>
      <c r="C2565" s="703" t="s">
        <v>1124</v>
      </c>
      <c r="D2565" s="703" t="s">
        <v>334</v>
      </c>
      <c r="E2565" s="703" t="s">
        <v>334</v>
      </c>
      <c r="F2565" s="703" t="s">
        <v>335</v>
      </c>
      <c r="G2565" s="703" t="s">
        <v>4464</v>
      </c>
      <c r="H2565" s="703" t="s">
        <v>334</v>
      </c>
      <c r="I2565" s="703" t="s">
        <v>334</v>
      </c>
      <c r="J2565" s="703" t="s">
        <v>337</v>
      </c>
      <c r="K2565" s="704">
        <v>0</v>
      </c>
      <c r="L2565" s="703" t="s">
        <v>334</v>
      </c>
      <c r="M2565" s="702">
        <v>43769</v>
      </c>
      <c r="N2565" s="702">
        <v>44825</v>
      </c>
      <c r="O2565" s="703" t="s">
        <v>338</v>
      </c>
      <c r="P2565" s="20">
        <v>0</v>
      </c>
      <c r="Q2565" s="20">
        <v>0</v>
      </c>
      <c r="R2565" s="20">
        <v>394</v>
      </c>
      <c r="S2565" s="20">
        <v>0</v>
      </c>
      <c r="T2565" s="20">
        <v>394</v>
      </c>
      <c r="U2565" s="20">
        <v>0</v>
      </c>
      <c r="V2565" s="20">
        <v>0</v>
      </c>
      <c r="W2565" s="20">
        <v>-3.28</v>
      </c>
      <c r="X2565" s="20">
        <v>-3.28</v>
      </c>
      <c r="Y2565" s="20">
        <v>0</v>
      </c>
      <c r="Z2565" s="20">
        <v>0</v>
      </c>
      <c r="AA2565" s="20">
        <v>0</v>
      </c>
      <c r="AB2565" s="20">
        <v>390.72</v>
      </c>
      <c r="AC2565" t="s">
        <v>1127</v>
      </c>
      <c r="AD2565" t="s">
        <v>290</v>
      </c>
      <c r="AE2565" s="702">
        <f t="shared" si="195"/>
        <v>44713</v>
      </c>
      <c r="AF2565" s="289">
        <v>386.96668953317533</v>
      </c>
      <c r="AG2565">
        <f t="shared" si="196"/>
        <v>360</v>
      </c>
      <c r="AH2565" s="289">
        <f t="shared" si="197"/>
        <v>1.0749074709254871</v>
      </c>
      <c r="AJ2565" s="289">
        <f t="shared" si="198"/>
        <v>6</v>
      </c>
      <c r="AK2565" s="289">
        <f t="shared" si="199"/>
        <v>6.4494448255529226</v>
      </c>
    </row>
    <row r="2566" spans="1:37">
      <c r="A2566" s="703" t="s">
        <v>4465</v>
      </c>
      <c r="B2566" s="703" t="s">
        <v>3743</v>
      </c>
      <c r="C2566" s="703" t="s">
        <v>1124</v>
      </c>
      <c r="D2566" s="703" t="s">
        <v>334</v>
      </c>
      <c r="E2566" s="703" t="s">
        <v>334</v>
      </c>
      <c r="F2566" s="703" t="s">
        <v>335</v>
      </c>
      <c r="G2566" s="703" t="s">
        <v>4466</v>
      </c>
      <c r="H2566" s="703" t="s">
        <v>334</v>
      </c>
      <c r="I2566" s="703" t="s">
        <v>334</v>
      </c>
      <c r="J2566" s="703" t="s">
        <v>337</v>
      </c>
      <c r="K2566" s="704">
        <v>0</v>
      </c>
      <c r="L2566" s="703" t="s">
        <v>334</v>
      </c>
      <c r="M2566" s="702">
        <v>43769</v>
      </c>
      <c r="N2566" s="702">
        <v>44825</v>
      </c>
      <c r="O2566" s="703" t="s">
        <v>338</v>
      </c>
      <c r="P2566" s="20">
        <v>0</v>
      </c>
      <c r="Q2566" s="20">
        <v>0</v>
      </c>
      <c r="R2566" s="20">
        <v>27953.200000000001</v>
      </c>
      <c r="S2566" s="20">
        <v>0</v>
      </c>
      <c r="T2566" s="20">
        <v>27953.200000000001</v>
      </c>
      <c r="U2566" s="20">
        <v>0</v>
      </c>
      <c r="V2566" s="20">
        <v>0</v>
      </c>
      <c r="W2566" s="20">
        <v>-232.94</v>
      </c>
      <c r="X2566" s="20">
        <v>-232.94</v>
      </c>
      <c r="Y2566" s="20">
        <v>0</v>
      </c>
      <c r="Z2566" s="20">
        <v>0</v>
      </c>
      <c r="AA2566" s="20">
        <v>0</v>
      </c>
      <c r="AB2566" s="20">
        <v>27720.26</v>
      </c>
      <c r="AC2566" t="s">
        <v>1127</v>
      </c>
      <c r="AD2566" t="s">
        <v>290</v>
      </c>
      <c r="AE2566" s="702">
        <f t="shared" si="195"/>
        <v>44713</v>
      </c>
      <c r="AF2566" s="289">
        <v>27454.206258524766</v>
      </c>
      <c r="AG2566">
        <f t="shared" si="196"/>
        <v>360</v>
      </c>
      <c r="AH2566" s="289">
        <f t="shared" si="197"/>
        <v>76.261684051457678</v>
      </c>
      <c r="AJ2566" s="289">
        <f t="shared" si="198"/>
        <v>6</v>
      </c>
      <c r="AK2566" s="289">
        <f t="shared" si="199"/>
        <v>457.57010430874607</v>
      </c>
    </row>
    <row r="2567" spans="1:37">
      <c r="A2567" s="703" t="s">
        <v>4467</v>
      </c>
      <c r="B2567" s="703" t="s">
        <v>3743</v>
      </c>
      <c r="C2567" s="703" t="s">
        <v>1124</v>
      </c>
      <c r="D2567" s="703" t="s">
        <v>334</v>
      </c>
      <c r="E2567" s="703" t="s">
        <v>334</v>
      </c>
      <c r="F2567" s="703" t="s">
        <v>335</v>
      </c>
      <c r="G2567" s="703" t="s">
        <v>4468</v>
      </c>
      <c r="H2567" s="703" t="s">
        <v>334</v>
      </c>
      <c r="I2567" s="703" t="s">
        <v>334</v>
      </c>
      <c r="J2567" s="703" t="s">
        <v>337</v>
      </c>
      <c r="K2567" s="704">
        <v>0</v>
      </c>
      <c r="L2567" s="703" t="s">
        <v>334</v>
      </c>
      <c r="M2567" s="702">
        <v>43769</v>
      </c>
      <c r="N2567" s="702">
        <v>44825</v>
      </c>
      <c r="O2567" s="703" t="s">
        <v>338</v>
      </c>
      <c r="P2567" s="20">
        <v>0</v>
      </c>
      <c r="Q2567" s="20">
        <v>0</v>
      </c>
      <c r="R2567" s="20">
        <v>373.04</v>
      </c>
      <c r="S2567" s="20">
        <v>0</v>
      </c>
      <c r="T2567" s="20">
        <v>373.04</v>
      </c>
      <c r="U2567" s="20">
        <v>0</v>
      </c>
      <c r="V2567" s="20">
        <v>0</v>
      </c>
      <c r="W2567" s="20">
        <v>-3.11</v>
      </c>
      <c r="X2567" s="20">
        <v>-3.11</v>
      </c>
      <c r="Y2567" s="20">
        <v>0</v>
      </c>
      <c r="Z2567" s="20">
        <v>0</v>
      </c>
      <c r="AA2567" s="20">
        <v>0</v>
      </c>
      <c r="AB2567" s="20">
        <v>369.93</v>
      </c>
      <c r="AC2567" t="s">
        <v>1127</v>
      </c>
      <c r="AD2567" t="s">
        <v>290</v>
      </c>
      <c r="AE2567" s="702">
        <f t="shared" ref="AE2567:AE2627" si="200">IF(N2567&gt;=$AG$5,DATE(YEAR(N2567),6,1),DATE(YEAR(N2567),6,1))</f>
        <v>44713</v>
      </c>
      <c r="AF2567" s="289">
        <v>366.38084736917699</v>
      </c>
      <c r="AG2567">
        <f t="shared" ref="AG2567:AG2627" si="201">+IF(AD2567="intangível",20*12,IF(AD2567="Diferido",120,IF(AD2567="Não vinculados",0,IF(AE2567&lt;=$AG$5,F2567*12,360))))</f>
        <v>360</v>
      </c>
      <c r="AH2567" s="289">
        <f t="shared" ref="AH2567:AH2627" si="202">IF(AG2567=0,0,AF2567/AG2567)</f>
        <v>1.0177245760254916</v>
      </c>
      <c r="AJ2567" s="289">
        <f t="shared" ref="AJ2567:AJ2627" si="203">+IF(AND(YEAR(AE2567)&gt;=2018,YEAR(AE2567)&lt;=2022),IF(DATEDIF(AE2567,$AK$4,"m")&gt;=AG2567,AG2567,DATEDIF(AE2567,$AK$4,"m")),0)</f>
        <v>6</v>
      </c>
      <c r="AK2567" s="289">
        <f t="shared" ref="AK2567:AK2627" si="204">IF(AD2567="Imobilizado",AJ2567*AH2567,0)</f>
        <v>6.1063474561529496</v>
      </c>
    </row>
    <row r="2568" spans="1:37">
      <c r="A2568" s="703" t="s">
        <v>4469</v>
      </c>
      <c r="B2568" s="703" t="s">
        <v>3743</v>
      </c>
      <c r="C2568" s="703" t="s">
        <v>1124</v>
      </c>
      <c r="D2568" s="703" t="s">
        <v>334</v>
      </c>
      <c r="E2568" s="703" t="s">
        <v>334</v>
      </c>
      <c r="F2568" s="703" t="s">
        <v>335</v>
      </c>
      <c r="G2568" s="703" t="s">
        <v>4470</v>
      </c>
      <c r="H2568" s="703" t="s">
        <v>334</v>
      </c>
      <c r="I2568" s="703" t="s">
        <v>334</v>
      </c>
      <c r="J2568" s="703" t="s">
        <v>337</v>
      </c>
      <c r="K2568" s="704">
        <v>0</v>
      </c>
      <c r="L2568" s="703" t="s">
        <v>334</v>
      </c>
      <c r="M2568" s="702">
        <v>43769</v>
      </c>
      <c r="N2568" s="702">
        <v>44825</v>
      </c>
      <c r="O2568" s="703" t="s">
        <v>338</v>
      </c>
      <c r="P2568" s="20">
        <v>0</v>
      </c>
      <c r="Q2568" s="20">
        <v>0</v>
      </c>
      <c r="R2568" s="20">
        <v>35138.86</v>
      </c>
      <c r="S2568" s="20">
        <v>0</v>
      </c>
      <c r="T2568" s="20">
        <v>35138.86</v>
      </c>
      <c r="U2568" s="20">
        <v>0</v>
      </c>
      <c r="V2568" s="20">
        <v>0</v>
      </c>
      <c r="W2568" s="20">
        <v>-292.82</v>
      </c>
      <c r="X2568" s="20">
        <v>-292.82</v>
      </c>
      <c r="Y2568" s="20">
        <v>0</v>
      </c>
      <c r="Z2568" s="20">
        <v>0</v>
      </c>
      <c r="AA2568" s="20">
        <v>0</v>
      </c>
      <c r="AB2568" s="20">
        <v>34846.04</v>
      </c>
      <c r="AC2568" t="s">
        <v>1127</v>
      </c>
      <c r="AD2568" t="s">
        <v>290</v>
      </c>
      <c r="AE2568" s="702">
        <f t="shared" si="200"/>
        <v>44713</v>
      </c>
      <c r="AF2568" s="289">
        <v>34511.594741547495</v>
      </c>
      <c r="AG2568">
        <f t="shared" si="201"/>
        <v>360</v>
      </c>
      <c r="AH2568" s="289">
        <f t="shared" si="202"/>
        <v>95.865540948743046</v>
      </c>
      <c r="AJ2568" s="289">
        <f t="shared" si="203"/>
        <v>6</v>
      </c>
      <c r="AK2568" s="289">
        <f t="shared" si="204"/>
        <v>575.19324569245828</v>
      </c>
    </row>
    <row r="2569" spans="1:37">
      <c r="A2569" s="703" t="s">
        <v>4471</v>
      </c>
      <c r="B2569" s="703" t="s">
        <v>3743</v>
      </c>
      <c r="C2569" s="703" t="s">
        <v>1124</v>
      </c>
      <c r="D2569" s="703" t="s">
        <v>334</v>
      </c>
      <c r="E2569" s="703" t="s">
        <v>334</v>
      </c>
      <c r="F2569" s="703" t="s">
        <v>335</v>
      </c>
      <c r="G2569" s="703" t="s">
        <v>4472</v>
      </c>
      <c r="H2569" s="703" t="s">
        <v>334</v>
      </c>
      <c r="I2569" s="703" t="s">
        <v>334</v>
      </c>
      <c r="J2569" s="703" t="s">
        <v>337</v>
      </c>
      <c r="K2569" s="704">
        <v>0</v>
      </c>
      <c r="L2569" s="703" t="s">
        <v>334</v>
      </c>
      <c r="M2569" s="702">
        <v>43769</v>
      </c>
      <c r="N2569" s="702">
        <v>44825</v>
      </c>
      <c r="O2569" s="703" t="s">
        <v>338</v>
      </c>
      <c r="P2569" s="20">
        <v>0</v>
      </c>
      <c r="Q2569" s="20">
        <v>0</v>
      </c>
      <c r="R2569" s="20">
        <v>20725.240000000002</v>
      </c>
      <c r="S2569" s="20">
        <v>0</v>
      </c>
      <c r="T2569" s="20">
        <v>20725.240000000002</v>
      </c>
      <c r="U2569" s="20">
        <v>0</v>
      </c>
      <c r="V2569" s="20">
        <v>0</v>
      </c>
      <c r="W2569" s="20">
        <v>-172.71</v>
      </c>
      <c r="X2569" s="20">
        <v>-172.71</v>
      </c>
      <c r="Y2569" s="20">
        <v>0</v>
      </c>
      <c r="Z2569" s="20">
        <v>0</v>
      </c>
      <c r="AA2569" s="20">
        <v>0</v>
      </c>
      <c r="AB2569" s="20">
        <v>20552.53</v>
      </c>
      <c r="AC2569" t="s">
        <v>1127</v>
      </c>
      <c r="AD2569" t="s">
        <v>290</v>
      </c>
      <c r="AE2569" s="702">
        <f t="shared" si="200"/>
        <v>44713</v>
      </c>
      <c r="AF2569" s="289">
        <v>20355.272874569917</v>
      </c>
      <c r="AG2569">
        <f t="shared" si="201"/>
        <v>360</v>
      </c>
      <c r="AH2569" s="289">
        <f t="shared" si="202"/>
        <v>56.542424651583104</v>
      </c>
      <c r="AJ2569" s="289">
        <f t="shared" si="203"/>
        <v>6</v>
      </c>
      <c r="AK2569" s="289">
        <f t="shared" si="204"/>
        <v>339.25454790949863</v>
      </c>
    </row>
    <row r="2570" spans="1:37">
      <c r="A2570" s="703" t="s">
        <v>4473</v>
      </c>
      <c r="B2570" s="703" t="s">
        <v>3743</v>
      </c>
      <c r="C2570" s="703" t="s">
        <v>1124</v>
      </c>
      <c r="D2570" s="703" t="s">
        <v>334</v>
      </c>
      <c r="E2570" s="703" t="s">
        <v>334</v>
      </c>
      <c r="F2570" s="703" t="s">
        <v>335</v>
      </c>
      <c r="G2570" s="703" t="s">
        <v>4474</v>
      </c>
      <c r="H2570" s="703" t="s">
        <v>334</v>
      </c>
      <c r="I2570" s="703" t="s">
        <v>334</v>
      </c>
      <c r="J2570" s="703" t="s">
        <v>337</v>
      </c>
      <c r="K2570" s="704">
        <v>0</v>
      </c>
      <c r="L2570" s="703" t="s">
        <v>334</v>
      </c>
      <c r="M2570" s="702">
        <v>43769</v>
      </c>
      <c r="N2570" s="702">
        <v>44825</v>
      </c>
      <c r="O2570" s="703" t="s">
        <v>338</v>
      </c>
      <c r="P2570" s="20">
        <v>0</v>
      </c>
      <c r="Q2570" s="20">
        <v>0</v>
      </c>
      <c r="R2570" s="20">
        <v>20486.79</v>
      </c>
      <c r="S2570" s="20">
        <v>0</v>
      </c>
      <c r="T2570" s="20">
        <v>20486.79</v>
      </c>
      <c r="U2570" s="20">
        <v>0</v>
      </c>
      <c r="V2570" s="20">
        <v>0</v>
      </c>
      <c r="W2570" s="20">
        <v>-170.72</v>
      </c>
      <c r="X2570" s="20">
        <v>-170.72</v>
      </c>
      <c r="Y2570" s="20">
        <v>0</v>
      </c>
      <c r="Z2570" s="20">
        <v>0</v>
      </c>
      <c r="AA2570" s="20">
        <v>0</v>
      </c>
      <c r="AB2570" s="20">
        <v>20316.07</v>
      </c>
      <c r="AC2570" t="s">
        <v>1127</v>
      </c>
      <c r="AD2570" t="s">
        <v>290</v>
      </c>
      <c r="AE2570" s="702">
        <f t="shared" si="200"/>
        <v>44713</v>
      </c>
      <c r="AF2570" s="289">
        <v>20121.079455485688</v>
      </c>
      <c r="AG2570">
        <f t="shared" si="201"/>
        <v>360</v>
      </c>
      <c r="AH2570" s="289">
        <f t="shared" si="202"/>
        <v>55.891887376349132</v>
      </c>
      <c r="AJ2570" s="289">
        <f t="shared" si="203"/>
        <v>6</v>
      </c>
      <c r="AK2570" s="289">
        <f t="shared" si="204"/>
        <v>335.35132425809479</v>
      </c>
    </row>
    <row r="2571" spans="1:37">
      <c r="A2571" s="703" t="s">
        <v>4475</v>
      </c>
      <c r="B2571" s="703" t="s">
        <v>3743</v>
      </c>
      <c r="C2571" s="703" t="s">
        <v>1124</v>
      </c>
      <c r="D2571" s="703" t="s">
        <v>334</v>
      </c>
      <c r="E2571" s="703" t="s">
        <v>334</v>
      </c>
      <c r="F2571" s="703" t="s">
        <v>335</v>
      </c>
      <c r="G2571" s="703" t="s">
        <v>4476</v>
      </c>
      <c r="H2571" s="703" t="s">
        <v>334</v>
      </c>
      <c r="I2571" s="703" t="s">
        <v>334</v>
      </c>
      <c r="J2571" s="703" t="s">
        <v>337</v>
      </c>
      <c r="K2571" s="704">
        <v>0</v>
      </c>
      <c r="L2571" s="703" t="s">
        <v>334</v>
      </c>
      <c r="M2571" s="702">
        <v>43769</v>
      </c>
      <c r="N2571" s="702">
        <v>44825</v>
      </c>
      <c r="O2571" s="703" t="s">
        <v>338</v>
      </c>
      <c r="P2571" s="20">
        <v>0</v>
      </c>
      <c r="Q2571" s="20">
        <v>0</v>
      </c>
      <c r="R2571" s="20">
        <v>22503.42</v>
      </c>
      <c r="S2571" s="20">
        <v>0</v>
      </c>
      <c r="T2571" s="20">
        <v>22503.42</v>
      </c>
      <c r="U2571" s="20">
        <v>0</v>
      </c>
      <c r="V2571" s="20">
        <v>0</v>
      </c>
      <c r="W2571" s="20">
        <v>-187.53</v>
      </c>
      <c r="X2571" s="20">
        <v>-187.53</v>
      </c>
      <c r="Y2571" s="20">
        <v>0</v>
      </c>
      <c r="Z2571" s="20">
        <v>0</v>
      </c>
      <c r="AA2571" s="20">
        <v>0</v>
      </c>
      <c r="AB2571" s="20">
        <v>22315.89</v>
      </c>
      <c r="AC2571" t="s">
        <v>1127</v>
      </c>
      <c r="AD2571" t="s">
        <v>290</v>
      </c>
      <c r="AE2571" s="702">
        <f t="shared" si="200"/>
        <v>44713</v>
      </c>
      <c r="AF2571" s="289">
        <v>22101.710509072709</v>
      </c>
      <c r="AG2571">
        <f t="shared" si="201"/>
        <v>360</v>
      </c>
      <c r="AH2571" s="289">
        <f t="shared" si="202"/>
        <v>61.393640302979748</v>
      </c>
      <c r="AJ2571" s="289">
        <f t="shared" si="203"/>
        <v>6</v>
      </c>
      <c r="AK2571" s="289">
        <f t="shared" si="204"/>
        <v>368.36184181787849</v>
      </c>
    </row>
    <row r="2572" spans="1:37">
      <c r="A2572" s="703" t="s">
        <v>4477</v>
      </c>
      <c r="B2572" s="703" t="s">
        <v>3743</v>
      </c>
      <c r="C2572" s="703" t="s">
        <v>1124</v>
      </c>
      <c r="D2572" s="703" t="s">
        <v>334</v>
      </c>
      <c r="E2572" s="703" t="s">
        <v>334</v>
      </c>
      <c r="F2572" s="703" t="s">
        <v>335</v>
      </c>
      <c r="G2572" s="703" t="s">
        <v>4478</v>
      </c>
      <c r="H2572" s="703" t="s">
        <v>334</v>
      </c>
      <c r="I2572" s="703" t="s">
        <v>334</v>
      </c>
      <c r="J2572" s="703" t="s">
        <v>337</v>
      </c>
      <c r="K2572" s="704">
        <v>0</v>
      </c>
      <c r="L2572" s="703" t="s">
        <v>334</v>
      </c>
      <c r="M2572" s="702">
        <v>43769</v>
      </c>
      <c r="N2572" s="702">
        <v>44825</v>
      </c>
      <c r="O2572" s="703" t="s">
        <v>338</v>
      </c>
      <c r="P2572" s="20">
        <v>0</v>
      </c>
      <c r="Q2572" s="20">
        <v>0</v>
      </c>
      <c r="R2572" s="20">
        <v>25162.5</v>
      </c>
      <c r="S2572" s="20">
        <v>0</v>
      </c>
      <c r="T2572" s="20">
        <v>25162.5</v>
      </c>
      <c r="U2572" s="20">
        <v>0</v>
      </c>
      <c r="V2572" s="20">
        <v>0</v>
      </c>
      <c r="W2572" s="20">
        <v>-209.69</v>
      </c>
      <c r="X2572" s="20">
        <v>-209.69</v>
      </c>
      <c r="Y2572" s="20">
        <v>0</v>
      </c>
      <c r="Z2572" s="20">
        <v>0</v>
      </c>
      <c r="AA2572" s="20">
        <v>0</v>
      </c>
      <c r="AB2572" s="20">
        <v>24952.81</v>
      </c>
      <c r="AC2572" t="s">
        <v>1127</v>
      </c>
      <c r="AD2572" t="s">
        <v>290</v>
      </c>
      <c r="AE2572" s="702">
        <f t="shared" si="200"/>
        <v>44713</v>
      </c>
      <c r="AF2572" s="289">
        <v>24713.3231608592</v>
      </c>
      <c r="AG2572">
        <f t="shared" si="201"/>
        <v>360</v>
      </c>
      <c r="AH2572" s="289">
        <f t="shared" si="202"/>
        <v>68.648119891275556</v>
      </c>
      <c r="AJ2572" s="289">
        <f t="shared" si="203"/>
        <v>6</v>
      </c>
      <c r="AK2572" s="289">
        <f t="shared" si="204"/>
        <v>411.88871934765336</v>
      </c>
    </row>
    <row r="2573" spans="1:37">
      <c r="A2573" s="703" t="s">
        <v>4479</v>
      </c>
      <c r="B2573" s="703" t="s">
        <v>3743</v>
      </c>
      <c r="C2573" s="703" t="s">
        <v>1124</v>
      </c>
      <c r="D2573" s="703" t="s">
        <v>334</v>
      </c>
      <c r="E2573" s="703" t="s">
        <v>334</v>
      </c>
      <c r="F2573" s="703" t="s">
        <v>335</v>
      </c>
      <c r="G2573" s="703" t="s">
        <v>4480</v>
      </c>
      <c r="H2573" s="703" t="s">
        <v>334</v>
      </c>
      <c r="I2573" s="703" t="s">
        <v>334</v>
      </c>
      <c r="J2573" s="703" t="s">
        <v>337</v>
      </c>
      <c r="K2573" s="704">
        <v>0</v>
      </c>
      <c r="L2573" s="703" t="s">
        <v>334</v>
      </c>
      <c r="M2573" s="702">
        <v>43769</v>
      </c>
      <c r="N2573" s="702">
        <v>44825</v>
      </c>
      <c r="O2573" s="703" t="s">
        <v>338</v>
      </c>
      <c r="P2573" s="20">
        <v>0</v>
      </c>
      <c r="Q2573" s="20">
        <v>0</v>
      </c>
      <c r="R2573" s="20">
        <v>23667.8</v>
      </c>
      <c r="S2573" s="20">
        <v>0</v>
      </c>
      <c r="T2573" s="20">
        <v>23667.8</v>
      </c>
      <c r="U2573" s="20">
        <v>0</v>
      </c>
      <c r="V2573" s="20">
        <v>0</v>
      </c>
      <c r="W2573" s="20">
        <v>-197.23</v>
      </c>
      <c r="X2573" s="20">
        <v>-197.23</v>
      </c>
      <c r="Y2573" s="20">
        <v>0</v>
      </c>
      <c r="Z2573" s="20">
        <v>0</v>
      </c>
      <c r="AA2573" s="20">
        <v>0</v>
      </c>
      <c r="AB2573" s="20">
        <v>23470.57</v>
      </c>
      <c r="AC2573" t="s">
        <v>1127</v>
      </c>
      <c r="AD2573" t="s">
        <v>290</v>
      </c>
      <c r="AE2573" s="702">
        <f t="shared" si="200"/>
        <v>44713</v>
      </c>
      <c r="AF2573" s="289">
        <v>23245.305113028648</v>
      </c>
      <c r="AG2573">
        <f t="shared" si="201"/>
        <v>360</v>
      </c>
      <c r="AH2573" s="289">
        <f t="shared" si="202"/>
        <v>64.570291980635133</v>
      </c>
      <c r="AJ2573" s="289">
        <f t="shared" si="203"/>
        <v>6</v>
      </c>
      <c r="AK2573" s="289">
        <f t="shared" si="204"/>
        <v>387.42175188381077</v>
      </c>
    </row>
    <row r="2574" spans="1:37">
      <c r="A2574" s="703" t="s">
        <v>4481</v>
      </c>
      <c r="B2574" s="703" t="s">
        <v>3743</v>
      </c>
      <c r="C2574" s="703" t="s">
        <v>1124</v>
      </c>
      <c r="D2574" s="703" t="s">
        <v>334</v>
      </c>
      <c r="E2574" s="703" t="s">
        <v>334</v>
      </c>
      <c r="F2574" s="703" t="s">
        <v>335</v>
      </c>
      <c r="G2574" s="703" t="s">
        <v>4482</v>
      </c>
      <c r="H2574" s="703" t="s">
        <v>334</v>
      </c>
      <c r="I2574" s="703" t="s">
        <v>334</v>
      </c>
      <c r="J2574" s="703" t="s">
        <v>337</v>
      </c>
      <c r="K2574" s="704">
        <v>0</v>
      </c>
      <c r="L2574" s="703" t="s">
        <v>334</v>
      </c>
      <c r="M2574" s="702">
        <v>43769</v>
      </c>
      <c r="N2574" s="702">
        <v>44825</v>
      </c>
      <c r="O2574" s="703" t="s">
        <v>338</v>
      </c>
      <c r="P2574" s="20">
        <v>0</v>
      </c>
      <c r="Q2574" s="20">
        <v>0</v>
      </c>
      <c r="R2574" s="20">
        <v>246.95</v>
      </c>
      <c r="S2574" s="20">
        <v>0</v>
      </c>
      <c r="T2574" s="20">
        <v>246.95</v>
      </c>
      <c r="U2574" s="20">
        <v>0</v>
      </c>
      <c r="V2574" s="20">
        <v>0</v>
      </c>
      <c r="W2574" s="20">
        <v>-2.06</v>
      </c>
      <c r="X2574" s="20">
        <v>-2.06</v>
      </c>
      <c r="Y2574" s="20">
        <v>0</v>
      </c>
      <c r="Z2574" s="20">
        <v>0</v>
      </c>
      <c r="AA2574" s="20">
        <v>0</v>
      </c>
      <c r="AB2574" s="20">
        <v>244.89</v>
      </c>
      <c r="AC2574" t="s">
        <v>1127</v>
      </c>
      <c r="AD2574" t="s">
        <v>290</v>
      </c>
      <c r="AE2574" s="702">
        <f t="shared" si="200"/>
        <v>44713</v>
      </c>
      <c r="AF2574" s="289">
        <v>242.54168522897879</v>
      </c>
      <c r="AG2574">
        <f t="shared" si="201"/>
        <v>360</v>
      </c>
      <c r="AH2574" s="289">
        <f t="shared" si="202"/>
        <v>0.67372690341383001</v>
      </c>
      <c r="AJ2574" s="289">
        <f t="shared" si="203"/>
        <v>6</v>
      </c>
      <c r="AK2574" s="289">
        <f t="shared" si="204"/>
        <v>4.0423614204829796</v>
      </c>
    </row>
    <row r="2575" spans="1:37">
      <c r="A2575" s="703" t="s">
        <v>4483</v>
      </c>
      <c r="B2575" s="703" t="s">
        <v>3743</v>
      </c>
      <c r="C2575" s="703" t="s">
        <v>1124</v>
      </c>
      <c r="D2575" s="703" t="s">
        <v>334</v>
      </c>
      <c r="E2575" s="703" t="s">
        <v>334</v>
      </c>
      <c r="F2575" s="703" t="s">
        <v>335</v>
      </c>
      <c r="G2575" s="703" t="s">
        <v>4484</v>
      </c>
      <c r="H2575" s="703" t="s">
        <v>334</v>
      </c>
      <c r="I2575" s="703" t="s">
        <v>334</v>
      </c>
      <c r="J2575" s="703" t="s">
        <v>337</v>
      </c>
      <c r="K2575" s="704">
        <v>0</v>
      </c>
      <c r="L2575" s="703" t="s">
        <v>334</v>
      </c>
      <c r="M2575" s="702">
        <v>43769</v>
      </c>
      <c r="N2575" s="702">
        <v>44825</v>
      </c>
      <c r="O2575" s="703" t="s">
        <v>338</v>
      </c>
      <c r="P2575" s="20">
        <v>0</v>
      </c>
      <c r="Q2575" s="20">
        <v>0</v>
      </c>
      <c r="R2575" s="20">
        <v>394.74</v>
      </c>
      <c r="S2575" s="20">
        <v>0</v>
      </c>
      <c r="T2575" s="20">
        <v>394.74</v>
      </c>
      <c r="U2575" s="20">
        <v>0</v>
      </c>
      <c r="V2575" s="20">
        <v>0</v>
      </c>
      <c r="W2575" s="20">
        <v>-3.29</v>
      </c>
      <c r="X2575" s="20">
        <v>-3.29</v>
      </c>
      <c r="Y2575" s="20">
        <v>0</v>
      </c>
      <c r="Z2575" s="20">
        <v>0</v>
      </c>
      <c r="AA2575" s="20">
        <v>0</v>
      </c>
      <c r="AB2575" s="20">
        <v>391.45</v>
      </c>
      <c r="AC2575" t="s">
        <v>1127</v>
      </c>
      <c r="AD2575" t="s">
        <v>290</v>
      </c>
      <c r="AE2575" s="702">
        <f t="shared" si="200"/>
        <v>44713</v>
      </c>
      <c r="AF2575" s="289">
        <v>387.69347976224776</v>
      </c>
      <c r="AG2575">
        <f t="shared" si="201"/>
        <v>360</v>
      </c>
      <c r="AH2575" s="289">
        <f t="shared" si="202"/>
        <v>1.0769263326729104</v>
      </c>
      <c r="AJ2575" s="289">
        <f t="shared" si="203"/>
        <v>6</v>
      </c>
      <c r="AK2575" s="289">
        <f t="shared" si="204"/>
        <v>6.4615579960374623</v>
      </c>
    </row>
    <row r="2576" spans="1:37">
      <c r="A2576" s="703" t="s">
        <v>4485</v>
      </c>
      <c r="B2576" s="703" t="s">
        <v>3743</v>
      </c>
      <c r="C2576" s="703" t="s">
        <v>1124</v>
      </c>
      <c r="D2576" s="703" t="s">
        <v>334</v>
      </c>
      <c r="E2576" s="703" t="s">
        <v>334</v>
      </c>
      <c r="F2576" s="703" t="s">
        <v>335</v>
      </c>
      <c r="G2576" s="703" t="s">
        <v>4486</v>
      </c>
      <c r="H2576" s="703" t="s">
        <v>334</v>
      </c>
      <c r="I2576" s="703" t="s">
        <v>334</v>
      </c>
      <c r="J2576" s="703" t="s">
        <v>337</v>
      </c>
      <c r="K2576" s="704">
        <v>0</v>
      </c>
      <c r="L2576" s="703" t="s">
        <v>334</v>
      </c>
      <c r="M2576" s="702">
        <v>43769</v>
      </c>
      <c r="N2576" s="702">
        <v>44825</v>
      </c>
      <c r="O2576" s="703" t="s">
        <v>338</v>
      </c>
      <c r="P2576" s="20">
        <v>0</v>
      </c>
      <c r="Q2576" s="20">
        <v>0</v>
      </c>
      <c r="R2576" s="20">
        <v>367.12</v>
      </c>
      <c r="S2576" s="20">
        <v>0</v>
      </c>
      <c r="T2576" s="20">
        <v>367.12</v>
      </c>
      <c r="U2576" s="20">
        <v>0</v>
      </c>
      <c r="V2576" s="20">
        <v>0</v>
      </c>
      <c r="W2576" s="20">
        <v>-3.06</v>
      </c>
      <c r="X2576" s="20">
        <v>-3.06</v>
      </c>
      <c r="Y2576" s="20">
        <v>0</v>
      </c>
      <c r="Z2576" s="20">
        <v>0</v>
      </c>
      <c r="AA2576" s="20">
        <v>0</v>
      </c>
      <c r="AB2576" s="20">
        <v>364.06</v>
      </c>
      <c r="AC2576" t="s">
        <v>1127</v>
      </c>
      <c r="AD2576" t="s">
        <v>290</v>
      </c>
      <c r="AE2576" s="702">
        <f t="shared" si="200"/>
        <v>44713</v>
      </c>
      <c r="AF2576" s="289">
        <v>360.56652553659728</v>
      </c>
      <c r="AG2576">
        <f t="shared" si="201"/>
        <v>360</v>
      </c>
      <c r="AH2576" s="289">
        <f t="shared" si="202"/>
        <v>1.0015736820461036</v>
      </c>
      <c r="AJ2576" s="289">
        <f t="shared" si="203"/>
        <v>6</v>
      </c>
      <c r="AK2576" s="289">
        <f t="shared" si="204"/>
        <v>6.0094420922766218</v>
      </c>
    </row>
    <row r="2577" spans="1:37">
      <c r="A2577" s="703" t="s">
        <v>4487</v>
      </c>
      <c r="B2577" s="703" t="s">
        <v>3743</v>
      </c>
      <c r="C2577" s="703" t="s">
        <v>1124</v>
      </c>
      <c r="D2577" s="703" t="s">
        <v>334</v>
      </c>
      <c r="E2577" s="703" t="s">
        <v>334</v>
      </c>
      <c r="F2577" s="703" t="s">
        <v>335</v>
      </c>
      <c r="G2577" s="703" t="s">
        <v>4488</v>
      </c>
      <c r="H2577" s="703" t="s">
        <v>334</v>
      </c>
      <c r="I2577" s="703" t="s">
        <v>334</v>
      </c>
      <c r="J2577" s="703" t="s">
        <v>337</v>
      </c>
      <c r="K2577" s="704">
        <v>0</v>
      </c>
      <c r="L2577" s="703" t="s">
        <v>334</v>
      </c>
      <c r="M2577" s="702">
        <v>43769</v>
      </c>
      <c r="N2577" s="702">
        <v>44825</v>
      </c>
      <c r="O2577" s="703" t="s">
        <v>338</v>
      </c>
      <c r="P2577" s="20">
        <v>0</v>
      </c>
      <c r="Q2577" s="20">
        <v>0</v>
      </c>
      <c r="R2577" s="20">
        <v>49.67</v>
      </c>
      <c r="S2577" s="20">
        <v>0</v>
      </c>
      <c r="T2577" s="20">
        <v>49.67</v>
      </c>
      <c r="U2577" s="20">
        <v>0</v>
      </c>
      <c r="V2577" s="20">
        <v>0</v>
      </c>
      <c r="W2577" s="20">
        <v>-0.41</v>
      </c>
      <c r="X2577" s="20">
        <v>-0.41</v>
      </c>
      <c r="Y2577" s="20">
        <v>0</v>
      </c>
      <c r="Z2577" s="20">
        <v>0</v>
      </c>
      <c r="AA2577" s="20">
        <v>0</v>
      </c>
      <c r="AB2577" s="20">
        <v>49.26</v>
      </c>
      <c r="AC2577" t="s">
        <v>1127</v>
      </c>
      <c r="AD2577" t="s">
        <v>290</v>
      </c>
      <c r="AE2577" s="702">
        <f t="shared" si="200"/>
        <v>44713</v>
      </c>
      <c r="AF2577" s="289">
        <v>48.78333875409345</v>
      </c>
      <c r="AG2577">
        <f t="shared" si="201"/>
        <v>360</v>
      </c>
      <c r="AH2577" s="289">
        <f t="shared" si="202"/>
        <v>0.13550927431692625</v>
      </c>
      <c r="AJ2577" s="289">
        <f t="shared" si="203"/>
        <v>6</v>
      </c>
      <c r="AK2577" s="289">
        <f t="shared" si="204"/>
        <v>0.81305564590155743</v>
      </c>
    </row>
    <row r="2578" spans="1:37">
      <c r="A2578" s="703" t="s">
        <v>4489</v>
      </c>
      <c r="B2578" s="703" t="s">
        <v>3743</v>
      </c>
      <c r="C2578" s="703" t="s">
        <v>1124</v>
      </c>
      <c r="D2578" s="703" t="s">
        <v>334</v>
      </c>
      <c r="E2578" s="703" t="s">
        <v>334</v>
      </c>
      <c r="F2578" s="703" t="s">
        <v>335</v>
      </c>
      <c r="G2578" s="703" t="s">
        <v>4490</v>
      </c>
      <c r="H2578" s="703" t="s">
        <v>334</v>
      </c>
      <c r="I2578" s="703" t="s">
        <v>334</v>
      </c>
      <c r="J2578" s="703" t="s">
        <v>337</v>
      </c>
      <c r="K2578" s="704">
        <v>0</v>
      </c>
      <c r="L2578" s="703" t="s">
        <v>334</v>
      </c>
      <c r="M2578" s="702">
        <v>43769</v>
      </c>
      <c r="N2578" s="702">
        <v>44825</v>
      </c>
      <c r="O2578" s="703" t="s">
        <v>338</v>
      </c>
      <c r="P2578" s="20">
        <v>0</v>
      </c>
      <c r="Q2578" s="20">
        <v>0</v>
      </c>
      <c r="R2578" s="20">
        <v>110854.93</v>
      </c>
      <c r="S2578" s="20">
        <v>0</v>
      </c>
      <c r="T2578" s="20">
        <v>110854.93</v>
      </c>
      <c r="U2578" s="20">
        <v>0</v>
      </c>
      <c r="V2578" s="20">
        <v>0</v>
      </c>
      <c r="W2578" s="20">
        <v>-923.79</v>
      </c>
      <c r="X2578" s="20">
        <v>-923.79</v>
      </c>
      <c r="Y2578" s="20">
        <v>0</v>
      </c>
      <c r="Z2578" s="20">
        <v>0</v>
      </c>
      <c r="AA2578" s="20">
        <v>0</v>
      </c>
      <c r="AB2578" s="20">
        <v>109931.14</v>
      </c>
      <c r="AC2578" t="s">
        <v>1127</v>
      </c>
      <c r="AD2578" t="s">
        <v>290</v>
      </c>
      <c r="AE2578" s="702">
        <f t="shared" si="200"/>
        <v>44713</v>
      </c>
      <c r="AF2578" s="289">
        <v>108876.05401150223</v>
      </c>
      <c r="AG2578">
        <f t="shared" si="201"/>
        <v>360</v>
      </c>
      <c r="AH2578" s="289">
        <f t="shared" si="202"/>
        <v>302.43348336528396</v>
      </c>
      <c r="AJ2578" s="289">
        <f t="shared" si="203"/>
        <v>6</v>
      </c>
      <c r="AK2578" s="289">
        <f t="shared" si="204"/>
        <v>1814.6009001917037</v>
      </c>
    </row>
    <row r="2579" spans="1:37">
      <c r="A2579" s="703" t="s">
        <v>4491</v>
      </c>
      <c r="B2579" s="703" t="s">
        <v>3743</v>
      </c>
      <c r="C2579" s="703" t="s">
        <v>1124</v>
      </c>
      <c r="D2579" s="703" t="s">
        <v>334</v>
      </c>
      <c r="E2579" s="703" t="s">
        <v>334</v>
      </c>
      <c r="F2579" s="703" t="s">
        <v>335</v>
      </c>
      <c r="G2579" s="703" t="s">
        <v>4492</v>
      </c>
      <c r="H2579" s="703" t="s">
        <v>334</v>
      </c>
      <c r="I2579" s="703" t="s">
        <v>334</v>
      </c>
      <c r="J2579" s="703" t="s">
        <v>337</v>
      </c>
      <c r="K2579" s="704">
        <v>0</v>
      </c>
      <c r="L2579" s="703" t="s">
        <v>334</v>
      </c>
      <c r="M2579" s="702">
        <v>43769</v>
      </c>
      <c r="N2579" s="702">
        <v>44825</v>
      </c>
      <c r="O2579" s="703" t="s">
        <v>338</v>
      </c>
      <c r="P2579" s="20">
        <v>0</v>
      </c>
      <c r="Q2579" s="20">
        <v>0</v>
      </c>
      <c r="R2579" s="20">
        <v>20299.87</v>
      </c>
      <c r="S2579" s="20">
        <v>0</v>
      </c>
      <c r="T2579" s="20">
        <v>20299.87</v>
      </c>
      <c r="U2579" s="20">
        <v>0</v>
      </c>
      <c r="V2579" s="20">
        <v>0</v>
      </c>
      <c r="W2579" s="20">
        <v>-169.17</v>
      </c>
      <c r="X2579" s="20">
        <v>-169.17</v>
      </c>
      <c r="Y2579" s="20">
        <v>0</v>
      </c>
      <c r="Z2579" s="20">
        <v>0</v>
      </c>
      <c r="AA2579" s="20">
        <v>0</v>
      </c>
      <c r="AB2579" s="20">
        <v>20130.7</v>
      </c>
      <c r="AC2579" t="s">
        <v>1127</v>
      </c>
      <c r="AD2579" t="s">
        <v>290</v>
      </c>
      <c r="AE2579" s="702">
        <f t="shared" si="200"/>
        <v>44713</v>
      </c>
      <c r="AF2579" s="289">
        <v>19937.496172217816</v>
      </c>
      <c r="AG2579">
        <f t="shared" si="201"/>
        <v>360</v>
      </c>
      <c r="AH2579" s="289">
        <f t="shared" si="202"/>
        <v>55.381933811716152</v>
      </c>
      <c r="AJ2579" s="289">
        <f t="shared" si="203"/>
        <v>6</v>
      </c>
      <c r="AK2579" s="289">
        <f t="shared" si="204"/>
        <v>332.29160287029691</v>
      </c>
    </row>
    <row r="2580" spans="1:37">
      <c r="A2580" s="703" t="s">
        <v>4493</v>
      </c>
      <c r="B2580" s="703" t="s">
        <v>3743</v>
      </c>
      <c r="C2580" s="703" t="s">
        <v>1124</v>
      </c>
      <c r="D2580" s="703" t="s">
        <v>334</v>
      </c>
      <c r="E2580" s="703" t="s">
        <v>334</v>
      </c>
      <c r="F2580" s="703" t="s">
        <v>335</v>
      </c>
      <c r="G2580" s="703" t="s">
        <v>4494</v>
      </c>
      <c r="H2580" s="703" t="s">
        <v>334</v>
      </c>
      <c r="I2580" s="703" t="s">
        <v>334</v>
      </c>
      <c r="J2580" s="703" t="s">
        <v>337</v>
      </c>
      <c r="K2580" s="704">
        <v>0</v>
      </c>
      <c r="L2580" s="703" t="s">
        <v>334</v>
      </c>
      <c r="M2580" s="702">
        <v>43769</v>
      </c>
      <c r="N2580" s="702">
        <v>44825</v>
      </c>
      <c r="O2580" s="703" t="s">
        <v>338</v>
      </c>
      <c r="P2580" s="20">
        <v>0</v>
      </c>
      <c r="Q2580" s="20">
        <v>0</v>
      </c>
      <c r="R2580" s="20">
        <v>2974.46</v>
      </c>
      <c r="S2580" s="20">
        <v>0</v>
      </c>
      <c r="T2580" s="20">
        <v>2974.46</v>
      </c>
      <c r="U2580" s="20">
        <v>0</v>
      </c>
      <c r="V2580" s="20">
        <v>0</v>
      </c>
      <c r="W2580" s="20">
        <v>-24.79</v>
      </c>
      <c r="X2580" s="20">
        <v>-24.79</v>
      </c>
      <c r="Y2580" s="20">
        <v>0</v>
      </c>
      <c r="Z2580" s="20">
        <v>0</v>
      </c>
      <c r="AA2580" s="20">
        <v>0</v>
      </c>
      <c r="AB2580" s="20">
        <v>2949.67</v>
      </c>
      <c r="AC2580" t="s">
        <v>1127</v>
      </c>
      <c r="AD2580" t="s">
        <v>290</v>
      </c>
      <c r="AE2580" s="702">
        <f t="shared" si="200"/>
        <v>44713</v>
      </c>
      <c r="AF2580" s="289">
        <v>2921.3627902255043</v>
      </c>
      <c r="AG2580">
        <f t="shared" si="201"/>
        <v>360</v>
      </c>
      <c r="AH2580" s="289">
        <f t="shared" si="202"/>
        <v>8.1148966395152904</v>
      </c>
      <c r="AJ2580" s="289">
        <f t="shared" si="203"/>
        <v>6</v>
      </c>
      <c r="AK2580" s="289">
        <f t="shared" si="204"/>
        <v>48.689379837091742</v>
      </c>
    </row>
    <row r="2581" spans="1:37">
      <c r="A2581" s="703" t="s">
        <v>4495</v>
      </c>
      <c r="B2581" s="703" t="s">
        <v>3743</v>
      </c>
      <c r="C2581" s="703" t="s">
        <v>1124</v>
      </c>
      <c r="D2581" s="703" t="s">
        <v>334</v>
      </c>
      <c r="E2581" s="703" t="s">
        <v>334</v>
      </c>
      <c r="F2581" s="703" t="s">
        <v>335</v>
      </c>
      <c r="G2581" s="703" t="s">
        <v>4496</v>
      </c>
      <c r="H2581" s="703" t="s">
        <v>334</v>
      </c>
      <c r="I2581" s="703" t="s">
        <v>334</v>
      </c>
      <c r="J2581" s="703" t="s">
        <v>337</v>
      </c>
      <c r="K2581" s="704">
        <v>0</v>
      </c>
      <c r="L2581" s="703" t="s">
        <v>334</v>
      </c>
      <c r="M2581" s="702">
        <v>43769</v>
      </c>
      <c r="N2581" s="702">
        <v>44825</v>
      </c>
      <c r="O2581" s="703" t="s">
        <v>338</v>
      </c>
      <c r="P2581" s="20">
        <v>0</v>
      </c>
      <c r="Q2581" s="20">
        <v>0</v>
      </c>
      <c r="R2581" s="20">
        <v>5652.66</v>
      </c>
      <c r="S2581" s="20">
        <v>0</v>
      </c>
      <c r="T2581" s="20">
        <v>5652.66</v>
      </c>
      <c r="U2581" s="20">
        <v>0</v>
      </c>
      <c r="V2581" s="20">
        <v>0</v>
      </c>
      <c r="W2581" s="20">
        <v>-47.11</v>
      </c>
      <c r="X2581" s="20">
        <v>-47.11</v>
      </c>
      <c r="Y2581" s="20">
        <v>0</v>
      </c>
      <c r="Z2581" s="20">
        <v>0</v>
      </c>
      <c r="AA2581" s="20">
        <v>0</v>
      </c>
      <c r="AB2581" s="20">
        <v>5605.55</v>
      </c>
      <c r="AC2581" t="s">
        <v>1127</v>
      </c>
      <c r="AD2581" t="s">
        <v>290</v>
      </c>
      <c r="AE2581" s="702">
        <f t="shared" si="200"/>
        <v>44713</v>
      </c>
      <c r="AF2581" s="289">
        <v>5551.7541300928906</v>
      </c>
      <c r="AG2581">
        <f t="shared" si="201"/>
        <v>360</v>
      </c>
      <c r="AH2581" s="289">
        <f t="shared" si="202"/>
        <v>15.421539250258029</v>
      </c>
      <c r="AJ2581" s="289">
        <f t="shared" si="203"/>
        <v>6</v>
      </c>
      <c r="AK2581" s="289">
        <f t="shared" si="204"/>
        <v>92.529235501548172</v>
      </c>
    </row>
    <row r="2582" spans="1:37">
      <c r="A2582" s="703" t="s">
        <v>4497</v>
      </c>
      <c r="B2582" s="703" t="s">
        <v>3743</v>
      </c>
      <c r="C2582" s="703" t="s">
        <v>1124</v>
      </c>
      <c r="D2582" s="703" t="s">
        <v>334</v>
      </c>
      <c r="E2582" s="703" t="s">
        <v>334</v>
      </c>
      <c r="F2582" s="703" t="s">
        <v>335</v>
      </c>
      <c r="G2582" s="703" t="s">
        <v>4498</v>
      </c>
      <c r="H2582" s="703" t="s">
        <v>334</v>
      </c>
      <c r="I2582" s="703" t="s">
        <v>334</v>
      </c>
      <c r="J2582" s="703" t="s">
        <v>337</v>
      </c>
      <c r="K2582" s="704">
        <v>0</v>
      </c>
      <c r="L2582" s="703" t="s">
        <v>334</v>
      </c>
      <c r="M2582" s="702">
        <v>43769</v>
      </c>
      <c r="N2582" s="702">
        <v>44825</v>
      </c>
      <c r="O2582" s="703" t="s">
        <v>338</v>
      </c>
      <c r="P2582" s="20">
        <v>0</v>
      </c>
      <c r="Q2582" s="20">
        <v>0</v>
      </c>
      <c r="R2582" s="20">
        <v>158.13999999999999</v>
      </c>
      <c r="S2582" s="20">
        <v>0</v>
      </c>
      <c r="T2582" s="20">
        <v>158.13999999999999</v>
      </c>
      <c r="U2582" s="20">
        <v>0</v>
      </c>
      <c r="V2582" s="20">
        <v>0</v>
      </c>
      <c r="W2582" s="20">
        <v>-1.32</v>
      </c>
      <c r="X2582" s="20">
        <v>-1.32</v>
      </c>
      <c r="Y2582" s="20">
        <v>0</v>
      </c>
      <c r="Z2582" s="20">
        <v>0</v>
      </c>
      <c r="AA2582" s="20">
        <v>0</v>
      </c>
      <c r="AB2582" s="20">
        <v>156.82</v>
      </c>
      <c r="AC2582" t="s">
        <v>1127</v>
      </c>
      <c r="AD2582" t="s">
        <v>290</v>
      </c>
      <c r="AE2582" s="702">
        <f t="shared" si="200"/>
        <v>44713</v>
      </c>
      <c r="AF2582" s="289">
        <v>155.31703625070136</v>
      </c>
      <c r="AG2582">
        <f t="shared" si="201"/>
        <v>360</v>
      </c>
      <c r="AH2582" s="289">
        <f t="shared" si="202"/>
        <v>0.4314362118075038</v>
      </c>
      <c r="AJ2582" s="289">
        <f t="shared" si="203"/>
        <v>6</v>
      </c>
      <c r="AK2582" s="289">
        <f t="shared" si="204"/>
        <v>2.588617270845023</v>
      </c>
    </row>
    <row r="2583" spans="1:37">
      <c r="A2583" s="703" t="s">
        <v>4499</v>
      </c>
      <c r="B2583" s="703" t="s">
        <v>3743</v>
      </c>
      <c r="C2583" s="703" t="s">
        <v>1124</v>
      </c>
      <c r="D2583" s="703" t="s">
        <v>334</v>
      </c>
      <c r="E2583" s="703" t="s">
        <v>334</v>
      </c>
      <c r="F2583" s="703" t="s">
        <v>335</v>
      </c>
      <c r="G2583" s="703" t="s">
        <v>4500</v>
      </c>
      <c r="H2583" s="703" t="s">
        <v>334</v>
      </c>
      <c r="I2583" s="703" t="s">
        <v>334</v>
      </c>
      <c r="J2583" s="703" t="s">
        <v>337</v>
      </c>
      <c r="K2583" s="704">
        <v>0</v>
      </c>
      <c r="L2583" s="703" t="s">
        <v>334</v>
      </c>
      <c r="M2583" s="702">
        <v>43769</v>
      </c>
      <c r="N2583" s="702">
        <v>44825</v>
      </c>
      <c r="O2583" s="703" t="s">
        <v>338</v>
      </c>
      <c r="P2583" s="20">
        <v>0</v>
      </c>
      <c r="Q2583" s="20">
        <v>0</v>
      </c>
      <c r="R2583" s="20">
        <v>40669.760000000002</v>
      </c>
      <c r="S2583" s="20">
        <v>0</v>
      </c>
      <c r="T2583" s="20">
        <v>40669.760000000002</v>
      </c>
      <c r="U2583" s="20">
        <v>0</v>
      </c>
      <c r="V2583" s="20">
        <v>0</v>
      </c>
      <c r="W2583" s="20">
        <v>-338.91</v>
      </c>
      <c r="X2583" s="20">
        <v>-338.91</v>
      </c>
      <c r="Y2583" s="20">
        <v>0</v>
      </c>
      <c r="Z2583" s="20">
        <v>0</v>
      </c>
      <c r="AA2583" s="20">
        <v>0</v>
      </c>
      <c r="AB2583" s="20">
        <v>40330.85</v>
      </c>
      <c r="AC2583" t="s">
        <v>1127</v>
      </c>
      <c r="AD2583" t="s">
        <v>290</v>
      </c>
      <c r="AE2583" s="702">
        <f t="shared" si="200"/>
        <v>44713</v>
      </c>
      <c r="AF2583" s="289">
        <v>39943.762414489225</v>
      </c>
      <c r="AG2583">
        <f t="shared" si="201"/>
        <v>360</v>
      </c>
      <c r="AH2583" s="289">
        <f t="shared" si="202"/>
        <v>110.95489559580341</v>
      </c>
      <c r="AJ2583" s="289">
        <f t="shared" si="203"/>
        <v>6</v>
      </c>
      <c r="AK2583" s="289">
        <f t="shared" si="204"/>
        <v>665.72937357482044</v>
      </c>
    </row>
    <row r="2584" spans="1:37">
      <c r="A2584" s="703" t="s">
        <v>4501</v>
      </c>
      <c r="B2584" s="703" t="s">
        <v>3743</v>
      </c>
      <c r="C2584" s="703" t="s">
        <v>1124</v>
      </c>
      <c r="D2584" s="703" t="s">
        <v>334</v>
      </c>
      <c r="E2584" s="703" t="s">
        <v>334</v>
      </c>
      <c r="F2584" s="703" t="s">
        <v>335</v>
      </c>
      <c r="G2584" s="703" t="s">
        <v>4502</v>
      </c>
      <c r="H2584" s="703" t="s">
        <v>334</v>
      </c>
      <c r="I2584" s="703" t="s">
        <v>334</v>
      </c>
      <c r="J2584" s="703" t="s">
        <v>337</v>
      </c>
      <c r="K2584" s="704">
        <v>0</v>
      </c>
      <c r="L2584" s="703" t="s">
        <v>334</v>
      </c>
      <c r="M2584" s="702">
        <v>43769</v>
      </c>
      <c r="N2584" s="702">
        <v>44825</v>
      </c>
      <c r="O2584" s="703" t="s">
        <v>338</v>
      </c>
      <c r="P2584" s="20">
        <v>0</v>
      </c>
      <c r="Q2584" s="20">
        <v>0</v>
      </c>
      <c r="R2584" s="20">
        <v>39385.69</v>
      </c>
      <c r="S2584" s="20">
        <v>0</v>
      </c>
      <c r="T2584" s="20">
        <v>39385.69</v>
      </c>
      <c r="U2584" s="20">
        <v>0</v>
      </c>
      <c r="V2584" s="20">
        <v>0</v>
      </c>
      <c r="W2584" s="20">
        <v>-328.21</v>
      </c>
      <c r="X2584" s="20">
        <v>-328.21</v>
      </c>
      <c r="Y2584" s="20">
        <v>0</v>
      </c>
      <c r="Z2584" s="20">
        <v>0</v>
      </c>
      <c r="AA2584" s="20">
        <v>0</v>
      </c>
      <c r="AB2584" s="20">
        <v>39057.480000000003</v>
      </c>
      <c r="AC2584" t="s">
        <v>1127</v>
      </c>
      <c r="AD2584" t="s">
        <v>290</v>
      </c>
      <c r="AE2584" s="702">
        <f t="shared" si="200"/>
        <v>44713</v>
      </c>
      <c r="AF2584" s="289">
        <v>38682.614401725608</v>
      </c>
      <c r="AG2584">
        <f t="shared" si="201"/>
        <v>360</v>
      </c>
      <c r="AH2584" s="289">
        <f t="shared" si="202"/>
        <v>107.45170667146002</v>
      </c>
      <c r="AJ2584" s="289">
        <f t="shared" si="203"/>
        <v>6</v>
      </c>
      <c r="AK2584" s="289">
        <f t="shared" si="204"/>
        <v>644.71024002876015</v>
      </c>
    </row>
    <row r="2585" spans="1:37">
      <c r="A2585" s="703" t="s">
        <v>4503</v>
      </c>
      <c r="B2585" s="703" t="s">
        <v>3743</v>
      </c>
      <c r="C2585" s="703" t="s">
        <v>1124</v>
      </c>
      <c r="D2585" s="703" t="s">
        <v>334</v>
      </c>
      <c r="E2585" s="703" t="s">
        <v>334</v>
      </c>
      <c r="F2585" s="703" t="s">
        <v>335</v>
      </c>
      <c r="G2585" s="703" t="s">
        <v>4504</v>
      </c>
      <c r="H2585" s="703" t="s">
        <v>334</v>
      </c>
      <c r="I2585" s="703" t="s">
        <v>334</v>
      </c>
      <c r="J2585" s="703" t="s">
        <v>337</v>
      </c>
      <c r="K2585" s="704">
        <v>0</v>
      </c>
      <c r="L2585" s="703" t="s">
        <v>334</v>
      </c>
      <c r="M2585" s="702">
        <v>43769</v>
      </c>
      <c r="N2585" s="702">
        <v>44825</v>
      </c>
      <c r="O2585" s="703" t="s">
        <v>338</v>
      </c>
      <c r="P2585" s="20">
        <v>0</v>
      </c>
      <c r="Q2585" s="20">
        <v>0</v>
      </c>
      <c r="R2585" s="20">
        <v>234.52</v>
      </c>
      <c r="S2585" s="20">
        <v>0</v>
      </c>
      <c r="T2585" s="20">
        <v>234.52</v>
      </c>
      <c r="U2585" s="20">
        <v>0</v>
      </c>
      <c r="V2585" s="20">
        <v>0</v>
      </c>
      <c r="W2585" s="20">
        <v>-1.95</v>
      </c>
      <c r="X2585" s="20">
        <v>-1.95</v>
      </c>
      <c r="Y2585" s="20">
        <v>0</v>
      </c>
      <c r="Z2585" s="20">
        <v>0</v>
      </c>
      <c r="AA2585" s="20">
        <v>0</v>
      </c>
      <c r="AB2585" s="20">
        <v>232.57</v>
      </c>
      <c r="AC2585" t="s">
        <v>1127</v>
      </c>
      <c r="AD2585" t="s">
        <v>290</v>
      </c>
      <c r="AE2585" s="702">
        <f t="shared" si="200"/>
        <v>44713</v>
      </c>
      <c r="AF2585" s="289">
        <v>230.33357367847788</v>
      </c>
      <c r="AG2585">
        <f t="shared" si="201"/>
        <v>360</v>
      </c>
      <c r="AH2585" s="289">
        <f t="shared" si="202"/>
        <v>0.63981548244021635</v>
      </c>
      <c r="AJ2585" s="289">
        <f t="shared" si="203"/>
        <v>6</v>
      </c>
      <c r="AK2585" s="289">
        <f t="shared" si="204"/>
        <v>3.8388928946412983</v>
      </c>
    </row>
    <row r="2586" spans="1:37">
      <c r="A2586" s="703" t="s">
        <v>4505</v>
      </c>
      <c r="B2586" s="703" t="s">
        <v>3743</v>
      </c>
      <c r="C2586" s="703" t="s">
        <v>1124</v>
      </c>
      <c r="D2586" s="703" t="s">
        <v>334</v>
      </c>
      <c r="E2586" s="703" t="s">
        <v>334</v>
      </c>
      <c r="F2586" s="703" t="s">
        <v>335</v>
      </c>
      <c r="G2586" s="703" t="s">
        <v>4506</v>
      </c>
      <c r="H2586" s="703" t="s">
        <v>334</v>
      </c>
      <c r="I2586" s="703" t="s">
        <v>334</v>
      </c>
      <c r="J2586" s="703" t="s">
        <v>337</v>
      </c>
      <c r="K2586" s="704">
        <v>0</v>
      </c>
      <c r="L2586" s="703" t="s">
        <v>334</v>
      </c>
      <c r="M2586" s="702">
        <v>43769</v>
      </c>
      <c r="N2586" s="702">
        <v>44825</v>
      </c>
      <c r="O2586" s="703" t="s">
        <v>338</v>
      </c>
      <c r="P2586" s="20">
        <v>0</v>
      </c>
      <c r="Q2586" s="20">
        <v>0</v>
      </c>
      <c r="R2586" s="20">
        <v>40464.199999999997</v>
      </c>
      <c r="S2586" s="20">
        <v>0</v>
      </c>
      <c r="T2586" s="20">
        <v>40464.199999999997</v>
      </c>
      <c r="U2586" s="20">
        <v>0</v>
      </c>
      <c r="V2586" s="20">
        <v>0</v>
      </c>
      <c r="W2586" s="20">
        <v>-337.2</v>
      </c>
      <c r="X2586" s="20">
        <v>-337.2</v>
      </c>
      <c r="Y2586" s="20">
        <v>0</v>
      </c>
      <c r="Z2586" s="20">
        <v>0</v>
      </c>
      <c r="AA2586" s="20">
        <v>0</v>
      </c>
      <c r="AB2586" s="20">
        <v>40127</v>
      </c>
      <c r="AC2586" t="s">
        <v>1127</v>
      </c>
      <c r="AD2586" t="s">
        <v>290</v>
      </c>
      <c r="AE2586" s="702">
        <f t="shared" si="200"/>
        <v>44713</v>
      </c>
      <c r="AF2586" s="289">
        <v>39741.871874640383</v>
      </c>
      <c r="AG2586">
        <f t="shared" si="201"/>
        <v>360</v>
      </c>
      <c r="AH2586" s="289">
        <f t="shared" si="202"/>
        <v>110.39408854066772</v>
      </c>
      <c r="AJ2586" s="289">
        <f t="shared" si="203"/>
        <v>6</v>
      </c>
      <c r="AK2586" s="289">
        <f t="shared" si="204"/>
        <v>662.36453124400634</v>
      </c>
    </row>
    <row r="2587" spans="1:37">
      <c r="A2587" s="703" t="s">
        <v>4507</v>
      </c>
      <c r="B2587" s="703" t="s">
        <v>3743</v>
      </c>
      <c r="C2587" s="703" t="s">
        <v>1124</v>
      </c>
      <c r="D2587" s="703" t="s">
        <v>334</v>
      </c>
      <c r="E2587" s="703" t="s">
        <v>334</v>
      </c>
      <c r="F2587" s="703" t="s">
        <v>335</v>
      </c>
      <c r="G2587" s="703" t="s">
        <v>4508</v>
      </c>
      <c r="H2587" s="703" t="s">
        <v>334</v>
      </c>
      <c r="I2587" s="703" t="s">
        <v>334</v>
      </c>
      <c r="J2587" s="703" t="s">
        <v>337</v>
      </c>
      <c r="K2587" s="704">
        <v>0</v>
      </c>
      <c r="L2587" s="703" t="s">
        <v>334</v>
      </c>
      <c r="M2587" s="702">
        <v>43769</v>
      </c>
      <c r="N2587" s="702">
        <v>44825</v>
      </c>
      <c r="O2587" s="703" t="s">
        <v>338</v>
      </c>
      <c r="P2587" s="20">
        <v>0</v>
      </c>
      <c r="Q2587" s="20">
        <v>0</v>
      </c>
      <c r="R2587" s="20">
        <v>13971.3</v>
      </c>
      <c r="S2587" s="20">
        <v>0</v>
      </c>
      <c r="T2587" s="20">
        <v>13971.3</v>
      </c>
      <c r="U2587" s="20">
        <v>0</v>
      </c>
      <c r="V2587" s="20">
        <v>0</v>
      </c>
      <c r="W2587" s="20">
        <v>-116.43</v>
      </c>
      <c r="X2587" s="20">
        <v>-116.43</v>
      </c>
      <c r="Y2587" s="20">
        <v>0</v>
      </c>
      <c r="Z2587" s="20">
        <v>0</v>
      </c>
      <c r="AA2587" s="20">
        <v>0</v>
      </c>
      <c r="AB2587" s="20">
        <v>13854.87</v>
      </c>
      <c r="AC2587" t="s">
        <v>1127</v>
      </c>
      <c r="AD2587" t="s">
        <v>290</v>
      </c>
      <c r="AE2587" s="702">
        <f t="shared" si="200"/>
        <v>44713</v>
      </c>
      <c r="AF2587" s="289">
        <v>13721.89773978389</v>
      </c>
      <c r="AG2587">
        <f t="shared" si="201"/>
        <v>360</v>
      </c>
      <c r="AH2587" s="289">
        <f t="shared" si="202"/>
        <v>38.116382610510804</v>
      </c>
      <c r="AJ2587" s="289">
        <f t="shared" si="203"/>
        <v>6</v>
      </c>
      <c r="AK2587" s="289">
        <f t="shared" si="204"/>
        <v>228.69829566306481</v>
      </c>
    </row>
    <row r="2588" spans="1:37">
      <c r="A2588" s="703" t="s">
        <v>4509</v>
      </c>
      <c r="B2588" s="703" t="s">
        <v>3743</v>
      </c>
      <c r="C2588" s="703" t="s">
        <v>1124</v>
      </c>
      <c r="D2588" s="703" t="s">
        <v>334</v>
      </c>
      <c r="E2588" s="703" t="s">
        <v>334</v>
      </c>
      <c r="F2588" s="703" t="s">
        <v>335</v>
      </c>
      <c r="G2588" s="703" t="s">
        <v>4510</v>
      </c>
      <c r="H2588" s="703" t="s">
        <v>334</v>
      </c>
      <c r="I2588" s="703" t="s">
        <v>334</v>
      </c>
      <c r="J2588" s="703" t="s">
        <v>337</v>
      </c>
      <c r="K2588" s="704">
        <v>0</v>
      </c>
      <c r="L2588" s="703" t="s">
        <v>334</v>
      </c>
      <c r="M2588" s="702">
        <v>43769</v>
      </c>
      <c r="N2588" s="702">
        <v>44825</v>
      </c>
      <c r="O2588" s="703" t="s">
        <v>338</v>
      </c>
      <c r="P2588" s="20">
        <v>0</v>
      </c>
      <c r="Q2588" s="20">
        <v>0</v>
      </c>
      <c r="R2588" s="20">
        <v>7324.09</v>
      </c>
      <c r="S2588" s="20">
        <v>0</v>
      </c>
      <c r="T2588" s="20">
        <v>7324.09</v>
      </c>
      <c r="U2588" s="20">
        <v>0</v>
      </c>
      <c r="V2588" s="20">
        <v>0</v>
      </c>
      <c r="W2588" s="20">
        <v>-61.03</v>
      </c>
      <c r="X2588" s="20">
        <v>-61.03</v>
      </c>
      <c r="Y2588" s="20">
        <v>0</v>
      </c>
      <c r="Z2588" s="20">
        <v>0</v>
      </c>
      <c r="AA2588" s="20">
        <v>0</v>
      </c>
      <c r="AB2588" s="20">
        <v>7263.06</v>
      </c>
      <c r="AC2588" t="s">
        <v>1127</v>
      </c>
      <c r="AD2588" t="s">
        <v>290</v>
      </c>
      <c r="AE2588" s="702">
        <f t="shared" si="200"/>
        <v>44713</v>
      </c>
      <c r="AF2588" s="289">
        <v>7193.3473633071935</v>
      </c>
      <c r="AG2588">
        <f t="shared" si="201"/>
        <v>360</v>
      </c>
      <c r="AH2588" s="289">
        <f t="shared" si="202"/>
        <v>19.981520453631092</v>
      </c>
      <c r="AJ2588" s="289">
        <f t="shared" si="203"/>
        <v>6</v>
      </c>
      <c r="AK2588" s="289">
        <f t="shared" si="204"/>
        <v>119.88912272178655</v>
      </c>
    </row>
    <row r="2589" spans="1:37">
      <c r="A2589" s="703" t="s">
        <v>4511</v>
      </c>
      <c r="B2589" s="703" t="s">
        <v>3743</v>
      </c>
      <c r="C2589" s="703" t="s">
        <v>1124</v>
      </c>
      <c r="D2589" s="703" t="s">
        <v>334</v>
      </c>
      <c r="E2589" s="703" t="s">
        <v>334</v>
      </c>
      <c r="F2589" s="703" t="s">
        <v>335</v>
      </c>
      <c r="G2589" s="703" t="s">
        <v>4512</v>
      </c>
      <c r="H2589" s="703" t="s">
        <v>334</v>
      </c>
      <c r="I2589" s="703" t="s">
        <v>334</v>
      </c>
      <c r="J2589" s="703" t="s">
        <v>337</v>
      </c>
      <c r="K2589" s="704">
        <v>0</v>
      </c>
      <c r="L2589" s="703" t="s">
        <v>334</v>
      </c>
      <c r="M2589" s="702">
        <v>43769</v>
      </c>
      <c r="N2589" s="702">
        <v>44825</v>
      </c>
      <c r="O2589" s="703" t="s">
        <v>338</v>
      </c>
      <c r="P2589" s="20">
        <v>0</v>
      </c>
      <c r="Q2589" s="20">
        <v>0</v>
      </c>
      <c r="R2589" s="20">
        <v>116.97</v>
      </c>
      <c r="S2589" s="20">
        <v>0</v>
      </c>
      <c r="T2589" s="20">
        <v>116.97</v>
      </c>
      <c r="U2589" s="20">
        <v>0</v>
      </c>
      <c r="V2589" s="20">
        <v>0</v>
      </c>
      <c r="W2589" s="20">
        <v>-0.97</v>
      </c>
      <c r="X2589" s="20">
        <v>-0.97</v>
      </c>
      <c r="Y2589" s="20">
        <v>0</v>
      </c>
      <c r="Z2589" s="20">
        <v>0</v>
      </c>
      <c r="AA2589" s="20">
        <v>0</v>
      </c>
      <c r="AB2589" s="20">
        <v>116</v>
      </c>
      <c r="AC2589" t="s">
        <v>1127</v>
      </c>
      <c r="AD2589" t="s">
        <v>290</v>
      </c>
      <c r="AE2589" s="702">
        <f t="shared" si="200"/>
        <v>44713</v>
      </c>
      <c r="AF2589" s="289">
        <v>114.88196364135919</v>
      </c>
      <c r="AG2589">
        <f t="shared" si="201"/>
        <v>360</v>
      </c>
      <c r="AH2589" s="289">
        <f t="shared" si="202"/>
        <v>0.31911656567044222</v>
      </c>
      <c r="AJ2589" s="289">
        <f t="shared" si="203"/>
        <v>6</v>
      </c>
      <c r="AK2589" s="289">
        <f t="shared" si="204"/>
        <v>1.9146993940226533</v>
      </c>
    </row>
    <row r="2590" spans="1:37">
      <c r="A2590" s="703" t="s">
        <v>4513</v>
      </c>
      <c r="B2590" s="703" t="s">
        <v>3743</v>
      </c>
      <c r="C2590" s="703" t="s">
        <v>1124</v>
      </c>
      <c r="D2590" s="703" t="s">
        <v>334</v>
      </c>
      <c r="E2590" s="703" t="s">
        <v>334</v>
      </c>
      <c r="F2590" s="703" t="s">
        <v>335</v>
      </c>
      <c r="G2590" s="703" t="s">
        <v>4514</v>
      </c>
      <c r="H2590" s="703" t="s">
        <v>334</v>
      </c>
      <c r="I2590" s="703" t="s">
        <v>334</v>
      </c>
      <c r="J2590" s="703" t="s">
        <v>337</v>
      </c>
      <c r="K2590" s="704">
        <v>0</v>
      </c>
      <c r="L2590" s="703" t="s">
        <v>334</v>
      </c>
      <c r="M2590" s="702">
        <v>43769</v>
      </c>
      <c r="N2590" s="702">
        <v>44825</v>
      </c>
      <c r="O2590" s="703" t="s">
        <v>338</v>
      </c>
      <c r="P2590" s="20">
        <v>0</v>
      </c>
      <c r="Q2590" s="20">
        <v>0</v>
      </c>
      <c r="R2590" s="20">
        <v>115.12</v>
      </c>
      <c r="S2590" s="20">
        <v>0</v>
      </c>
      <c r="T2590" s="20">
        <v>115.12</v>
      </c>
      <c r="U2590" s="20">
        <v>0</v>
      </c>
      <c r="V2590" s="20">
        <v>0</v>
      </c>
      <c r="W2590" s="20">
        <v>-0.96</v>
      </c>
      <c r="X2590" s="20">
        <v>-0.96</v>
      </c>
      <c r="Y2590" s="20">
        <v>0</v>
      </c>
      <c r="Z2590" s="20">
        <v>0</v>
      </c>
      <c r="AA2590" s="20">
        <v>0</v>
      </c>
      <c r="AB2590" s="20">
        <v>114.16</v>
      </c>
      <c r="AC2590" t="s">
        <v>1127</v>
      </c>
      <c r="AD2590" t="s">
        <v>290</v>
      </c>
      <c r="AE2590" s="702">
        <f t="shared" si="200"/>
        <v>44713</v>
      </c>
      <c r="AF2590" s="289">
        <v>113.06498806867803</v>
      </c>
      <c r="AG2590">
        <f t="shared" si="201"/>
        <v>360</v>
      </c>
      <c r="AH2590" s="289">
        <f t="shared" si="202"/>
        <v>0.31406941130188343</v>
      </c>
      <c r="AJ2590" s="289">
        <f t="shared" si="203"/>
        <v>6</v>
      </c>
      <c r="AK2590" s="289">
        <f t="shared" si="204"/>
        <v>1.8844164678113007</v>
      </c>
    </row>
    <row r="2591" spans="1:37">
      <c r="A2591" s="703" t="s">
        <v>4515</v>
      </c>
      <c r="B2591" s="703" t="s">
        <v>3743</v>
      </c>
      <c r="C2591" s="703" t="s">
        <v>1124</v>
      </c>
      <c r="D2591" s="703" t="s">
        <v>334</v>
      </c>
      <c r="E2591" s="703" t="s">
        <v>334</v>
      </c>
      <c r="F2591" s="703" t="s">
        <v>335</v>
      </c>
      <c r="G2591" s="703" t="s">
        <v>4516</v>
      </c>
      <c r="H2591" s="703" t="s">
        <v>334</v>
      </c>
      <c r="I2591" s="703" t="s">
        <v>334</v>
      </c>
      <c r="J2591" s="703" t="s">
        <v>337</v>
      </c>
      <c r="K2591" s="704">
        <v>0</v>
      </c>
      <c r="L2591" s="703" t="s">
        <v>334</v>
      </c>
      <c r="M2591" s="702">
        <v>43769</v>
      </c>
      <c r="N2591" s="702">
        <v>44825</v>
      </c>
      <c r="O2591" s="703" t="s">
        <v>338</v>
      </c>
      <c r="P2591" s="20">
        <v>0</v>
      </c>
      <c r="Q2591" s="20">
        <v>0</v>
      </c>
      <c r="R2591" s="20">
        <v>255.09</v>
      </c>
      <c r="S2591" s="20">
        <v>0</v>
      </c>
      <c r="T2591" s="20">
        <v>255.09</v>
      </c>
      <c r="U2591" s="20">
        <v>0</v>
      </c>
      <c r="V2591" s="20">
        <v>0</v>
      </c>
      <c r="W2591" s="20">
        <v>-2.13</v>
      </c>
      <c r="X2591" s="20">
        <v>-2.13</v>
      </c>
      <c r="Y2591" s="20">
        <v>0</v>
      </c>
      <c r="Z2591" s="20">
        <v>0</v>
      </c>
      <c r="AA2591" s="20">
        <v>0</v>
      </c>
      <c r="AB2591" s="20">
        <v>252.96</v>
      </c>
      <c r="AC2591" t="s">
        <v>1127</v>
      </c>
      <c r="AD2591" t="s">
        <v>290</v>
      </c>
      <c r="AE2591" s="702">
        <f t="shared" si="200"/>
        <v>44713</v>
      </c>
      <c r="AF2591" s="289">
        <v>250.53637774877586</v>
      </c>
      <c r="AG2591">
        <f t="shared" si="201"/>
        <v>360</v>
      </c>
      <c r="AH2591" s="289">
        <f t="shared" si="202"/>
        <v>0.69593438263548846</v>
      </c>
      <c r="AJ2591" s="289">
        <f t="shared" si="203"/>
        <v>6</v>
      </c>
      <c r="AK2591" s="289">
        <f t="shared" si="204"/>
        <v>4.1756062958129307</v>
      </c>
    </row>
    <row r="2592" spans="1:37">
      <c r="A2592" s="703" t="s">
        <v>4517</v>
      </c>
      <c r="B2592" s="703" t="s">
        <v>3743</v>
      </c>
      <c r="C2592" s="703" t="s">
        <v>1124</v>
      </c>
      <c r="D2592" s="703" t="s">
        <v>334</v>
      </c>
      <c r="E2592" s="703" t="s">
        <v>334</v>
      </c>
      <c r="F2592" s="703" t="s">
        <v>335</v>
      </c>
      <c r="G2592" s="703" t="s">
        <v>4518</v>
      </c>
      <c r="H2592" s="703" t="s">
        <v>334</v>
      </c>
      <c r="I2592" s="703" t="s">
        <v>334</v>
      </c>
      <c r="J2592" s="703" t="s">
        <v>337</v>
      </c>
      <c r="K2592" s="704">
        <v>0</v>
      </c>
      <c r="L2592" s="703" t="s">
        <v>334</v>
      </c>
      <c r="M2592" s="702">
        <v>43769</v>
      </c>
      <c r="N2592" s="702">
        <v>44825</v>
      </c>
      <c r="O2592" s="703" t="s">
        <v>338</v>
      </c>
      <c r="P2592" s="20">
        <v>0</v>
      </c>
      <c r="Q2592" s="20">
        <v>0</v>
      </c>
      <c r="R2592" s="20">
        <v>172.12</v>
      </c>
      <c r="S2592" s="20">
        <v>0</v>
      </c>
      <c r="T2592" s="20">
        <v>172.12</v>
      </c>
      <c r="U2592" s="20">
        <v>0</v>
      </c>
      <c r="V2592" s="20">
        <v>0</v>
      </c>
      <c r="W2592" s="20">
        <v>-1.43</v>
      </c>
      <c r="X2592" s="20">
        <v>-1.43</v>
      </c>
      <c r="Y2592" s="20">
        <v>0</v>
      </c>
      <c r="Z2592" s="20">
        <v>0</v>
      </c>
      <c r="AA2592" s="20">
        <v>0</v>
      </c>
      <c r="AB2592" s="20">
        <v>170.69</v>
      </c>
      <c r="AC2592" t="s">
        <v>1127</v>
      </c>
      <c r="AD2592" t="s">
        <v>290</v>
      </c>
      <c r="AE2592" s="702">
        <f t="shared" si="200"/>
        <v>44713</v>
      </c>
      <c r="AF2592" s="289">
        <v>169.04747868642167</v>
      </c>
      <c r="AG2592">
        <f t="shared" si="201"/>
        <v>360</v>
      </c>
      <c r="AH2592" s="289">
        <f t="shared" si="202"/>
        <v>0.46957632968450463</v>
      </c>
      <c r="AJ2592" s="289">
        <f t="shared" si="203"/>
        <v>6</v>
      </c>
      <c r="AK2592" s="289">
        <f t="shared" si="204"/>
        <v>2.8174579781070279</v>
      </c>
    </row>
    <row r="2593" spans="1:37">
      <c r="A2593" s="703" t="s">
        <v>4519</v>
      </c>
      <c r="B2593" s="703" t="s">
        <v>3743</v>
      </c>
      <c r="C2593" s="703" t="s">
        <v>1124</v>
      </c>
      <c r="D2593" s="703" t="s">
        <v>334</v>
      </c>
      <c r="E2593" s="703" t="s">
        <v>334</v>
      </c>
      <c r="F2593" s="703" t="s">
        <v>335</v>
      </c>
      <c r="G2593" s="703" t="s">
        <v>4520</v>
      </c>
      <c r="H2593" s="703" t="s">
        <v>334</v>
      </c>
      <c r="I2593" s="703" t="s">
        <v>334</v>
      </c>
      <c r="J2593" s="703" t="s">
        <v>337</v>
      </c>
      <c r="K2593" s="704">
        <v>0</v>
      </c>
      <c r="L2593" s="703" t="s">
        <v>334</v>
      </c>
      <c r="M2593" s="702">
        <v>43769</v>
      </c>
      <c r="N2593" s="702">
        <v>44825</v>
      </c>
      <c r="O2593" s="703" t="s">
        <v>338</v>
      </c>
      <c r="P2593" s="20">
        <v>0</v>
      </c>
      <c r="Q2593" s="20">
        <v>0</v>
      </c>
      <c r="R2593" s="20">
        <v>307.33999999999997</v>
      </c>
      <c r="S2593" s="20">
        <v>0</v>
      </c>
      <c r="T2593" s="20">
        <v>307.33999999999997</v>
      </c>
      <c r="U2593" s="20">
        <v>0</v>
      </c>
      <c r="V2593" s="20">
        <v>0</v>
      </c>
      <c r="W2593" s="20">
        <v>-2.56</v>
      </c>
      <c r="X2593" s="20">
        <v>-2.56</v>
      </c>
      <c r="Y2593" s="20">
        <v>0</v>
      </c>
      <c r="Z2593" s="20">
        <v>0</v>
      </c>
      <c r="AA2593" s="20">
        <v>0</v>
      </c>
      <c r="AB2593" s="20">
        <v>304.77999999999997</v>
      </c>
      <c r="AC2593" t="s">
        <v>1127</v>
      </c>
      <c r="AD2593" t="s">
        <v>290</v>
      </c>
      <c r="AE2593" s="702">
        <f t="shared" si="200"/>
        <v>44713</v>
      </c>
      <c r="AF2593" s="289">
        <v>301.85366081504083</v>
      </c>
      <c r="AG2593">
        <f t="shared" si="201"/>
        <v>360</v>
      </c>
      <c r="AH2593" s="289">
        <f t="shared" si="202"/>
        <v>0.83848239115289114</v>
      </c>
      <c r="AJ2593" s="289">
        <f t="shared" si="203"/>
        <v>6</v>
      </c>
      <c r="AK2593" s="289">
        <f t="shared" si="204"/>
        <v>5.0308943469173464</v>
      </c>
    </row>
    <row r="2594" spans="1:37">
      <c r="A2594" s="703" t="s">
        <v>4521</v>
      </c>
      <c r="B2594" s="703" t="s">
        <v>3743</v>
      </c>
      <c r="C2594" s="703" t="s">
        <v>1124</v>
      </c>
      <c r="D2594" s="703" t="s">
        <v>334</v>
      </c>
      <c r="E2594" s="703" t="s">
        <v>334</v>
      </c>
      <c r="F2594" s="703" t="s">
        <v>335</v>
      </c>
      <c r="G2594" s="703" t="s">
        <v>4522</v>
      </c>
      <c r="H2594" s="703" t="s">
        <v>334</v>
      </c>
      <c r="I2594" s="703" t="s">
        <v>334</v>
      </c>
      <c r="J2594" s="703" t="s">
        <v>337</v>
      </c>
      <c r="K2594" s="704">
        <v>0</v>
      </c>
      <c r="L2594" s="703" t="s">
        <v>334</v>
      </c>
      <c r="M2594" s="702">
        <v>43769</v>
      </c>
      <c r="N2594" s="702">
        <v>44825</v>
      </c>
      <c r="O2594" s="703" t="s">
        <v>338</v>
      </c>
      <c r="P2594" s="20">
        <v>0</v>
      </c>
      <c r="Q2594" s="20">
        <v>0</v>
      </c>
      <c r="R2594" s="20">
        <v>802.6</v>
      </c>
      <c r="S2594" s="20">
        <v>0</v>
      </c>
      <c r="T2594" s="20">
        <v>802.6</v>
      </c>
      <c r="U2594" s="20">
        <v>0</v>
      </c>
      <c r="V2594" s="20">
        <v>0</v>
      </c>
      <c r="W2594" s="20">
        <v>-6.69</v>
      </c>
      <c r="X2594" s="20">
        <v>-6.69</v>
      </c>
      <c r="Y2594" s="20">
        <v>0</v>
      </c>
      <c r="Z2594" s="20">
        <v>0</v>
      </c>
      <c r="AA2594" s="20">
        <v>0</v>
      </c>
      <c r="AB2594" s="20">
        <v>795.91</v>
      </c>
      <c r="AC2594" t="s">
        <v>1127</v>
      </c>
      <c r="AD2594" t="s">
        <v>290</v>
      </c>
      <c r="AE2594" s="702">
        <f t="shared" si="200"/>
        <v>44713</v>
      </c>
      <c r="AF2594" s="289">
        <v>788.27275385615872</v>
      </c>
      <c r="AG2594">
        <f t="shared" si="201"/>
        <v>360</v>
      </c>
      <c r="AH2594" s="289">
        <f t="shared" si="202"/>
        <v>2.1896465384893298</v>
      </c>
      <c r="AJ2594" s="289">
        <f t="shared" si="203"/>
        <v>6</v>
      </c>
      <c r="AK2594" s="289">
        <f t="shared" si="204"/>
        <v>13.13787923093598</v>
      </c>
    </row>
    <row r="2595" spans="1:37">
      <c r="A2595" s="703" t="s">
        <v>4523</v>
      </c>
      <c r="B2595" s="703" t="s">
        <v>3743</v>
      </c>
      <c r="C2595" s="703" t="s">
        <v>1124</v>
      </c>
      <c r="D2595" s="703" t="s">
        <v>334</v>
      </c>
      <c r="E2595" s="703" t="s">
        <v>334</v>
      </c>
      <c r="F2595" s="703" t="s">
        <v>335</v>
      </c>
      <c r="G2595" s="703" t="s">
        <v>4524</v>
      </c>
      <c r="H2595" s="703" t="s">
        <v>334</v>
      </c>
      <c r="I2595" s="703" t="s">
        <v>334</v>
      </c>
      <c r="J2595" s="703" t="s">
        <v>337</v>
      </c>
      <c r="K2595" s="704">
        <v>0</v>
      </c>
      <c r="L2595" s="703" t="s">
        <v>334</v>
      </c>
      <c r="M2595" s="702">
        <v>43769</v>
      </c>
      <c r="N2595" s="702">
        <v>44825</v>
      </c>
      <c r="O2595" s="703" t="s">
        <v>338</v>
      </c>
      <c r="P2595" s="20">
        <v>0</v>
      </c>
      <c r="Q2595" s="20">
        <v>0</v>
      </c>
      <c r="R2595" s="20">
        <v>10529.92</v>
      </c>
      <c r="S2595" s="20">
        <v>0</v>
      </c>
      <c r="T2595" s="20">
        <v>10529.92</v>
      </c>
      <c r="U2595" s="20">
        <v>0</v>
      </c>
      <c r="V2595" s="20">
        <v>0</v>
      </c>
      <c r="W2595" s="20">
        <v>-87.75</v>
      </c>
      <c r="X2595" s="20">
        <v>-87.75</v>
      </c>
      <c r="Y2595" s="20">
        <v>0</v>
      </c>
      <c r="Z2595" s="20">
        <v>0</v>
      </c>
      <c r="AA2595" s="20">
        <v>0</v>
      </c>
      <c r="AB2595" s="20">
        <v>10442.17</v>
      </c>
      <c r="AC2595" t="s">
        <v>1127</v>
      </c>
      <c r="AD2595" t="s">
        <v>290</v>
      </c>
      <c r="AE2595" s="702">
        <f t="shared" si="200"/>
        <v>44713</v>
      </c>
      <c r="AF2595" s="289">
        <v>10341.949957992827</v>
      </c>
      <c r="AG2595">
        <f t="shared" si="201"/>
        <v>360</v>
      </c>
      <c r="AH2595" s="289">
        <f t="shared" si="202"/>
        <v>28.727638772202297</v>
      </c>
      <c r="AJ2595" s="289">
        <f t="shared" si="203"/>
        <v>6</v>
      </c>
      <c r="AK2595" s="289">
        <f t="shared" si="204"/>
        <v>172.36583263321378</v>
      </c>
    </row>
    <row r="2596" spans="1:37">
      <c r="A2596" s="703" t="s">
        <v>4525</v>
      </c>
      <c r="B2596" s="703" t="s">
        <v>3743</v>
      </c>
      <c r="C2596" s="703" t="s">
        <v>1124</v>
      </c>
      <c r="D2596" s="703" t="s">
        <v>334</v>
      </c>
      <c r="E2596" s="703" t="s">
        <v>334</v>
      </c>
      <c r="F2596" s="703" t="s">
        <v>335</v>
      </c>
      <c r="G2596" s="703" t="s">
        <v>4526</v>
      </c>
      <c r="H2596" s="703" t="s">
        <v>334</v>
      </c>
      <c r="I2596" s="703" t="s">
        <v>334</v>
      </c>
      <c r="J2596" s="703" t="s">
        <v>337</v>
      </c>
      <c r="K2596" s="704">
        <v>0</v>
      </c>
      <c r="L2596" s="703" t="s">
        <v>334</v>
      </c>
      <c r="M2596" s="702">
        <v>43769</v>
      </c>
      <c r="N2596" s="702">
        <v>44825</v>
      </c>
      <c r="O2596" s="703" t="s">
        <v>338</v>
      </c>
      <c r="P2596" s="20">
        <v>0</v>
      </c>
      <c r="Q2596" s="20">
        <v>0</v>
      </c>
      <c r="R2596" s="20">
        <v>10227.540000000001</v>
      </c>
      <c r="S2596" s="20">
        <v>0</v>
      </c>
      <c r="T2596" s="20">
        <v>10227.540000000001</v>
      </c>
      <c r="U2596" s="20">
        <v>0</v>
      </c>
      <c r="V2596" s="20">
        <v>0</v>
      </c>
      <c r="W2596" s="20">
        <v>-85.23</v>
      </c>
      <c r="X2596" s="20">
        <v>-85.23</v>
      </c>
      <c r="Y2596" s="20">
        <v>0</v>
      </c>
      <c r="Z2596" s="20">
        <v>0</v>
      </c>
      <c r="AA2596" s="20">
        <v>0</v>
      </c>
      <c r="AB2596" s="20">
        <v>10142.31</v>
      </c>
      <c r="AC2596" t="s">
        <v>1127</v>
      </c>
      <c r="AD2596" t="s">
        <v>290</v>
      </c>
      <c r="AE2596" s="702">
        <f t="shared" si="200"/>
        <v>44713</v>
      </c>
      <c r="AF2596" s="289">
        <v>10044.967756010488</v>
      </c>
      <c r="AG2596">
        <f t="shared" si="201"/>
        <v>360</v>
      </c>
      <c r="AH2596" s="289">
        <f t="shared" si="202"/>
        <v>27.902688211140244</v>
      </c>
      <c r="AJ2596" s="289">
        <f t="shared" si="203"/>
        <v>6</v>
      </c>
      <c r="AK2596" s="289">
        <f t="shared" si="204"/>
        <v>167.41612926684147</v>
      </c>
    </row>
    <row r="2597" spans="1:37">
      <c r="A2597" s="703" t="s">
        <v>4527</v>
      </c>
      <c r="B2597" s="703" t="s">
        <v>3743</v>
      </c>
      <c r="C2597" s="703" t="s">
        <v>1124</v>
      </c>
      <c r="D2597" s="703" t="s">
        <v>334</v>
      </c>
      <c r="E2597" s="703" t="s">
        <v>334</v>
      </c>
      <c r="F2597" s="703" t="s">
        <v>335</v>
      </c>
      <c r="G2597" s="703" t="s">
        <v>4528</v>
      </c>
      <c r="H2597" s="703" t="s">
        <v>334</v>
      </c>
      <c r="I2597" s="703" t="s">
        <v>334</v>
      </c>
      <c r="J2597" s="703" t="s">
        <v>337</v>
      </c>
      <c r="K2597" s="704">
        <v>0</v>
      </c>
      <c r="L2597" s="703" t="s">
        <v>334</v>
      </c>
      <c r="M2597" s="702">
        <v>43769</v>
      </c>
      <c r="N2597" s="702">
        <v>44825</v>
      </c>
      <c r="O2597" s="703" t="s">
        <v>338</v>
      </c>
      <c r="P2597" s="20">
        <v>0</v>
      </c>
      <c r="Q2597" s="20">
        <v>0</v>
      </c>
      <c r="R2597" s="20">
        <v>274.24</v>
      </c>
      <c r="S2597" s="20">
        <v>0</v>
      </c>
      <c r="T2597" s="20">
        <v>274.24</v>
      </c>
      <c r="U2597" s="20">
        <v>0</v>
      </c>
      <c r="V2597" s="20">
        <v>0</v>
      </c>
      <c r="W2597" s="20">
        <v>-2.29</v>
      </c>
      <c r="X2597" s="20">
        <v>-2.29</v>
      </c>
      <c r="Y2597" s="20">
        <v>0</v>
      </c>
      <c r="Z2597" s="20">
        <v>0</v>
      </c>
      <c r="AA2597" s="20">
        <v>0</v>
      </c>
      <c r="AB2597" s="20">
        <v>271.95</v>
      </c>
      <c r="AC2597" t="s">
        <v>1127</v>
      </c>
      <c r="AD2597" t="s">
        <v>290</v>
      </c>
      <c r="AE2597" s="702">
        <f t="shared" si="200"/>
        <v>44713</v>
      </c>
      <c r="AF2597" s="289">
        <v>269.34453029842132</v>
      </c>
      <c r="AG2597">
        <f t="shared" si="201"/>
        <v>360</v>
      </c>
      <c r="AH2597" s="289">
        <f t="shared" si="202"/>
        <v>0.74817925082894809</v>
      </c>
      <c r="AJ2597" s="289">
        <f t="shared" si="203"/>
        <v>6</v>
      </c>
      <c r="AK2597" s="289">
        <f t="shared" si="204"/>
        <v>4.4890755049736883</v>
      </c>
    </row>
    <row r="2598" spans="1:37">
      <c r="A2598" s="703" t="s">
        <v>4529</v>
      </c>
      <c r="B2598" s="703" t="s">
        <v>3743</v>
      </c>
      <c r="C2598" s="703" t="s">
        <v>472</v>
      </c>
      <c r="D2598" s="703" t="s">
        <v>334</v>
      </c>
      <c r="E2598" s="703" t="s">
        <v>334</v>
      </c>
      <c r="F2598" s="703" t="s">
        <v>474</v>
      </c>
      <c r="G2598" s="703" t="s">
        <v>3750</v>
      </c>
      <c r="H2598" s="703" t="s">
        <v>334</v>
      </c>
      <c r="I2598" s="703" t="s">
        <v>334</v>
      </c>
      <c r="J2598" s="703" t="s">
        <v>476</v>
      </c>
      <c r="K2598" s="704">
        <v>0</v>
      </c>
      <c r="L2598" s="703" t="s">
        <v>334</v>
      </c>
      <c r="M2598" s="702"/>
      <c r="N2598" s="702">
        <v>44834</v>
      </c>
      <c r="O2598" s="703" t="s">
        <v>338</v>
      </c>
      <c r="P2598" s="20">
        <v>0</v>
      </c>
      <c r="Q2598" s="20">
        <v>10299</v>
      </c>
      <c r="R2598" s="20">
        <v>0</v>
      </c>
      <c r="S2598" s="20">
        <v>0</v>
      </c>
      <c r="T2598" s="20">
        <v>10299</v>
      </c>
      <c r="U2598" s="20">
        <v>0</v>
      </c>
      <c r="V2598" s="20">
        <v>0</v>
      </c>
      <c r="W2598" s="20">
        <v>-257.48</v>
      </c>
      <c r="X2598" s="20">
        <v>-257.48</v>
      </c>
      <c r="Y2598" s="20">
        <v>0</v>
      </c>
      <c r="Z2598" s="20">
        <v>0</v>
      </c>
      <c r="AA2598" s="20">
        <v>0</v>
      </c>
      <c r="AB2598" s="20">
        <v>10041.52</v>
      </c>
      <c r="AC2598" t="s">
        <v>477</v>
      </c>
      <c r="AD2598" t="s">
        <v>290</v>
      </c>
      <c r="AE2598" s="702">
        <f t="shared" si="200"/>
        <v>44713</v>
      </c>
      <c r="AF2598" s="289">
        <v>10115.152120563891</v>
      </c>
      <c r="AG2598">
        <f t="shared" si="201"/>
        <v>360</v>
      </c>
      <c r="AH2598" s="289">
        <f t="shared" si="202"/>
        <v>28.09764477934414</v>
      </c>
      <c r="AJ2598" s="289">
        <f t="shared" si="203"/>
        <v>6</v>
      </c>
      <c r="AK2598" s="289">
        <f t="shared" si="204"/>
        <v>168.58586867606485</v>
      </c>
    </row>
    <row r="2599" spans="1:37">
      <c r="A2599" s="703" t="s">
        <v>2276</v>
      </c>
      <c r="B2599" s="703" t="s">
        <v>3743</v>
      </c>
      <c r="C2599" s="703" t="s">
        <v>454</v>
      </c>
      <c r="D2599" s="703" t="s">
        <v>467</v>
      </c>
      <c r="E2599" s="703" t="s">
        <v>334</v>
      </c>
      <c r="F2599" s="703" t="s">
        <v>455</v>
      </c>
      <c r="G2599" s="703" t="s">
        <v>2277</v>
      </c>
      <c r="H2599" s="703" t="s">
        <v>334</v>
      </c>
      <c r="I2599" s="703" t="s">
        <v>334</v>
      </c>
      <c r="J2599" s="703" t="s">
        <v>458</v>
      </c>
      <c r="K2599" s="704">
        <v>4</v>
      </c>
      <c r="L2599" s="703" t="s">
        <v>463</v>
      </c>
      <c r="M2599" s="702"/>
      <c r="N2599" s="702">
        <v>44865</v>
      </c>
      <c r="O2599" s="703" t="s">
        <v>338</v>
      </c>
      <c r="P2599" s="20">
        <v>0</v>
      </c>
      <c r="Q2599" s="20">
        <v>15814.21</v>
      </c>
      <c r="R2599" s="20">
        <v>0</v>
      </c>
      <c r="S2599" s="20">
        <v>0</v>
      </c>
      <c r="T2599" s="20">
        <v>15814.21</v>
      </c>
      <c r="U2599" s="20">
        <v>0</v>
      </c>
      <c r="V2599" s="20">
        <v>0</v>
      </c>
      <c r="W2599" s="20">
        <v>-125.83</v>
      </c>
      <c r="X2599" s="20">
        <v>-125.83</v>
      </c>
      <c r="Y2599" s="20">
        <v>0</v>
      </c>
      <c r="Z2599" s="20">
        <v>0</v>
      </c>
      <c r="AA2599" s="20">
        <v>0</v>
      </c>
      <c r="AB2599" s="20">
        <v>15688.38</v>
      </c>
      <c r="AC2599" t="s">
        <v>459</v>
      </c>
      <c r="AD2599" t="s">
        <v>290</v>
      </c>
      <c r="AE2599" s="702">
        <f t="shared" si="200"/>
        <v>44713</v>
      </c>
      <c r="AF2599" s="289">
        <v>15531.909876351361</v>
      </c>
      <c r="AG2599">
        <f t="shared" si="201"/>
        <v>360</v>
      </c>
      <c r="AH2599" s="289">
        <f t="shared" si="202"/>
        <v>43.144194100976001</v>
      </c>
      <c r="AJ2599" s="289">
        <f t="shared" si="203"/>
        <v>6</v>
      </c>
      <c r="AK2599" s="289">
        <f t="shared" si="204"/>
        <v>258.86516460585602</v>
      </c>
    </row>
    <row r="2600" spans="1:37">
      <c r="A2600" s="703" t="s">
        <v>4530</v>
      </c>
      <c r="B2600" s="703" t="s">
        <v>3743</v>
      </c>
      <c r="C2600" s="703" t="s">
        <v>1500</v>
      </c>
      <c r="D2600" s="703" t="s">
        <v>1501</v>
      </c>
      <c r="E2600" s="703" t="s">
        <v>334</v>
      </c>
      <c r="F2600" s="703" t="s">
        <v>1502</v>
      </c>
      <c r="G2600" s="703" t="s">
        <v>4531</v>
      </c>
      <c r="H2600" s="703" t="s">
        <v>334</v>
      </c>
      <c r="I2600" s="703" t="s">
        <v>334</v>
      </c>
      <c r="J2600" s="703" t="s">
        <v>1504</v>
      </c>
      <c r="K2600" s="704">
        <v>0</v>
      </c>
      <c r="L2600" s="703" t="s">
        <v>334</v>
      </c>
      <c r="M2600" s="702"/>
      <c r="N2600" s="702">
        <v>44865</v>
      </c>
      <c r="O2600" s="703" t="s">
        <v>338</v>
      </c>
      <c r="P2600" s="20">
        <v>0</v>
      </c>
      <c r="Q2600" s="20">
        <v>264753.24</v>
      </c>
      <c r="R2600" s="20">
        <v>0</v>
      </c>
      <c r="S2600" s="20">
        <v>0</v>
      </c>
      <c r="T2600" s="20">
        <v>264753.24</v>
      </c>
      <c r="U2600" s="20">
        <v>0</v>
      </c>
      <c r="V2600" s="20">
        <v>0</v>
      </c>
      <c r="W2600" s="20">
        <v>-7354.25</v>
      </c>
      <c r="X2600" s="20">
        <v>-7354.25</v>
      </c>
      <c r="Y2600" s="20">
        <v>0</v>
      </c>
      <c r="Z2600" s="20">
        <v>0</v>
      </c>
      <c r="AA2600" s="20">
        <v>0</v>
      </c>
      <c r="AB2600" s="20">
        <v>257398.99</v>
      </c>
      <c r="AC2600" t="s">
        <v>1505</v>
      </c>
      <c r="AD2600" t="s">
        <v>290</v>
      </c>
      <c r="AE2600" s="702">
        <f t="shared" si="200"/>
        <v>44713</v>
      </c>
      <c r="AF2600" s="289">
        <v>260027.1188476707</v>
      </c>
      <c r="AG2600">
        <f t="shared" si="201"/>
        <v>360</v>
      </c>
      <c r="AH2600" s="289">
        <f t="shared" si="202"/>
        <v>722.29755235464086</v>
      </c>
      <c r="AJ2600" s="289">
        <f t="shared" si="203"/>
        <v>6</v>
      </c>
      <c r="AK2600" s="289">
        <f t="shared" si="204"/>
        <v>4333.7853141278447</v>
      </c>
    </row>
    <row r="2601" spans="1:37">
      <c r="A2601" s="703" t="s">
        <v>4532</v>
      </c>
      <c r="B2601" s="703" t="s">
        <v>3743</v>
      </c>
      <c r="C2601" s="703" t="s">
        <v>472</v>
      </c>
      <c r="D2601" s="703" t="s">
        <v>334</v>
      </c>
      <c r="E2601" s="703" t="s">
        <v>334</v>
      </c>
      <c r="F2601" s="703" t="s">
        <v>474</v>
      </c>
      <c r="G2601" s="703" t="s">
        <v>3778</v>
      </c>
      <c r="H2601" s="703" t="s">
        <v>334</v>
      </c>
      <c r="I2601" s="703" t="s">
        <v>334</v>
      </c>
      <c r="J2601" s="703" t="s">
        <v>476</v>
      </c>
      <c r="K2601" s="704">
        <v>0</v>
      </c>
      <c r="L2601" s="703" t="s">
        <v>334</v>
      </c>
      <c r="M2601" s="702"/>
      <c r="N2601" s="702">
        <v>44865</v>
      </c>
      <c r="O2601" s="703" t="s">
        <v>338</v>
      </c>
      <c r="P2601" s="20">
        <v>0</v>
      </c>
      <c r="Q2601" s="20">
        <v>686712.05</v>
      </c>
      <c r="R2601" s="20">
        <v>0</v>
      </c>
      <c r="S2601" s="20">
        <v>0</v>
      </c>
      <c r="T2601" s="20">
        <v>686712.05</v>
      </c>
      <c r="U2601" s="20">
        <v>0</v>
      </c>
      <c r="V2601" s="20">
        <v>0</v>
      </c>
      <c r="W2601" s="20">
        <v>-10575.12</v>
      </c>
      <c r="X2601" s="20">
        <v>-10575.12</v>
      </c>
      <c r="Y2601" s="20">
        <v>0</v>
      </c>
      <c r="Z2601" s="20">
        <v>0</v>
      </c>
      <c r="AA2601" s="20">
        <v>0</v>
      </c>
      <c r="AB2601" s="20">
        <v>676136.93</v>
      </c>
      <c r="AC2601" t="s">
        <v>477</v>
      </c>
      <c r="AD2601" t="s">
        <v>290</v>
      </c>
      <c r="AE2601" s="702">
        <f t="shared" si="200"/>
        <v>44713</v>
      </c>
      <c r="AF2601" s="289">
        <v>674453.52449502633</v>
      </c>
      <c r="AG2601">
        <f t="shared" si="201"/>
        <v>360</v>
      </c>
      <c r="AH2601" s="289">
        <f t="shared" si="202"/>
        <v>1873.4820124861842</v>
      </c>
      <c r="AJ2601" s="289">
        <f t="shared" si="203"/>
        <v>6</v>
      </c>
      <c r="AK2601" s="289">
        <f t="shared" si="204"/>
        <v>11240.892074917105</v>
      </c>
    </row>
    <row r="2602" spans="1:37">
      <c r="A2602" s="703" t="s">
        <v>4533</v>
      </c>
      <c r="B2602" s="703" t="s">
        <v>3743</v>
      </c>
      <c r="C2602" s="703" t="s">
        <v>472</v>
      </c>
      <c r="D2602" s="703" t="s">
        <v>334</v>
      </c>
      <c r="E2602" s="703" t="s">
        <v>334</v>
      </c>
      <c r="F2602" s="703" t="s">
        <v>474</v>
      </c>
      <c r="G2602" s="703" t="s">
        <v>3778</v>
      </c>
      <c r="H2602" s="703" t="s">
        <v>334</v>
      </c>
      <c r="I2602" s="703" t="s">
        <v>334</v>
      </c>
      <c r="J2602" s="703" t="s">
        <v>476</v>
      </c>
      <c r="K2602" s="704">
        <v>0</v>
      </c>
      <c r="L2602" s="703" t="s">
        <v>334</v>
      </c>
      <c r="M2602" s="702"/>
      <c r="N2602" s="702">
        <v>44865</v>
      </c>
      <c r="O2602" s="703" t="s">
        <v>338</v>
      </c>
      <c r="P2602" s="20">
        <v>0</v>
      </c>
      <c r="Q2602" s="20">
        <v>605238.09</v>
      </c>
      <c r="R2602" s="20">
        <v>0</v>
      </c>
      <c r="S2602" s="20">
        <v>0</v>
      </c>
      <c r="T2602" s="20">
        <v>605238.09</v>
      </c>
      <c r="U2602" s="20">
        <v>0</v>
      </c>
      <c r="V2602" s="20">
        <v>0</v>
      </c>
      <c r="W2602" s="20">
        <v>-10087.299999999999</v>
      </c>
      <c r="X2602" s="20">
        <v>-10087.299999999999</v>
      </c>
      <c r="Y2602" s="20">
        <v>0</v>
      </c>
      <c r="Z2602" s="20">
        <v>0</v>
      </c>
      <c r="AA2602" s="20">
        <v>0</v>
      </c>
      <c r="AB2602" s="20">
        <v>595150.79</v>
      </c>
      <c r="AC2602" t="s">
        <v>477</v>
      </c>
      <c r="AD2602" t="s">
        <v>290</v>
      </c>
      <c r="AE2602" s="702">
        <f t="shared" si="200"/>
        <v>44713</v>
      </c>
      <c r="AF2602" s="289">
        <v>594433.95956010674</v>
      </c>
      <c r="AG2602">
        <f t="shared" si="201"/>
        <v>360</v>
      </c>
      <c r="AH2602" s="289">
        <f t="shared" si="202"/>
        <v>1651.2054432225186</v>
      </c>
      <c r="AJ2602" s="289">
        <f t="shared" si="203"/>
        <v>6</v>
      </c>
      <c r="AK2602" s="289">
        <f t="shared" si="204"/>
        <v>9907.2326593351117</v>
      </c>
    </row>
    <row r="2603" spans="1:37">
      <c r="A2603" s="703" t="s">
        <v>4534</v>
      </c>
      <c r="B2603" s="703" t="s">
        <v>3743</v>
      </c>
      <c r="C2603" s="703" t="s">
        <v>472</v>
      </c>
      <c r="D2603" s="703" t="s">
        <v>334</v>
      </c>
      <c r="E2603" s="703" t="s">
        <v>334</v>
      </c>
      <c r="F2603" s="703" t="s">
        <v>474</v>
      </c>
      <c r="G2603" s="703" t="s">
        <v>4535</v>
      </c>
      <c r="H2603" s="703" t="s">
        <v>334</v>
      </c>
      <c r="I2603" s="703" t="s">
        <v>334</v>
      </c>
      <c r="J2603" s="703" t="s">
        <v>476</v>
      </c>
      <c r="K2603" s="704">
        <v>0</v>
      </c>
      <c r="L2603" s="703" t="s">
        <v>334</v>
      </c>
      <c r="M2603" s="702"/>
      <c r="N2603" s="702">
        <v>44865</v>
      </c>
      <c r="O2603" s="703" t="s">
        <v>338</v>
      </c>
      <c r="P2603" s="20">
        <v>0</v>
      </c>
      <c r="Q2603" s="20">
        <v>190617.92</v>
      </c>
      <c r="R2603" s="20">
        <v>0</v>
      </c>
      <c r="S2603" s="20">
        <v>0</v>
      </c>
      <c r="T2603" s="20">
        <v>190617.92</v>
      </c>
      <c r="U2603" s="20">
        <v>0</v>
      </c>
      <c r="V2603" s="20">
        <v>0</v>
      </c>
      <c r="W2603" s="20">
        <v>-3176.97</v>
      </c>
      <c r="X2603" s="20">
        <v>-3176.97</v>
      </c>
      <c r="Y2603" s="20">
        <v>0</v>
      </c>
      <c r="Z2603" s="20">
        <v>0</v>
      </c>
      <c r="AA2603" s="20">
        <v>0</v>
      </c>
      <c r="AB2603" s="20">
        <v>187440.95</v>
      </c>
      <c r="AC2603" t="s">
        <v>477</v>
      </c>
      <c r="AD2603" t="s">
        <v>290</v>
      </c>
      <c r="AE2603" s="702">
        <f t="shared" si="200"/>
        <v>44713</v>
      </c>
      <c r="AF2603" s="289">
        <v>187215.19154340014</v>
      </c>
      <c r="AG2603">
        <f t="shared" si="201"/>
        <v>360</v>
      </c>
      <c r="AH2603" s="289">
        <f t="shared" si="202"/>
        <v>520.0421987316671</v>
      </c>
      <c r="AJ2603" s="289">
        <f t="shared" si="203"/>
        <v>6</v>
      </c>
      <c r="AK2603" s="289">
        <f t="shared" si="204"/>
        <v>3120.2531923900024</v>
      </c>
    </row>
    <row r="2604" spans="1:37">
      <c r="A2604" s="703" t="s">
        <v>4536</v>
      </c>
      <c r="B2604" s="703" t="s">
        <v>3743</v>
      </c>
      <c r="C2604" s="703" t="s">
        <v>472</v>
      </c>
      <c r="D2604" s="703" t="s">
        <v>334</v>
      </c>
      <c r="E2604" s="703" t="s">
        <v>334</v>
      </c>
      <c r="F2604" s="703" t="s">
        <v>474</v>
      </c>
      <c r="G2604" s="703" t="s">
        <v>4535</v>
      </c>
      <c r="H2604" s="703" t="s">
        <v>334</v>
      </c>
      <c r="I2604" s="703" t="s">
        <v>334</v>
      </c>
      <c r="J2604" s="703" t="s">
        <v>476</v>
      </c>
      <c r="K2604" s="704">
        <v>0</v>
      </c>
      <c r="L2604" s="703" t="s">
        <v>334</v>
      </c>
      <c r="M2604" s="702"/>
      <c r="N2604" s="702">
        <v>44865</v>
      </c>
      <c r="O2604" s="703" t="s">
        <v>338</v>
      </c>
      <c r="P2604" s="20">
        <v>0</v>
      </c>
      <c r="Q2604" s="20">
        <v>219120</v>
      </c>
      <c r="R2604" s="20">
        <v>0</v>
      </c>
      <c r="S2604" s="20">
        <v>0</v>
      </c>
      <c r="T2604" s="20">
        <v>219120</v>
      </c>
      <c r="U2604" s="20">
        <v>0</v>
      </c>
      <c r="V2604" s="20">
        <v>0</v>
      </c>
      <c r="W2604" s="20">
        <v>-3652</v>
      </c>
      <c r="X2604" s="20">
        <v>-3652</v>
      </c>
      <c r="Y2604" s="20">
        <v>0</v>
      </c>
      <c r="Z2604" s="20">
        <v>0</v>
      </c>
      <c r="AA2604" s="20">
        <v>0</v>
      </c>
      <c r="AB2604" s="20">
        <v>215468</v>
      </c>
      <c r="AC2604" t="s">
        <v>477</v>
      </c>
      <c r="AD2604" t="s">
        <v>290</v>
      </c>
      <c r="AE2604" s="702">
        <f t="shared" si="200"/>
        <v>44713</v>
      </c>
      <c r="AF2604" s="289">
        <v>215208.47972210502</v>
      </c>
      <c r="AG2604">
        <f t="shared" si="201"/>
        <v>360</v>
      </c>
      <c r="AH2604" s="289">
        <f t="shared" si="202"/>
        <v>597.80133256140289</v>
      </c>
      <c r="AJ2604" s="289">
        <f t="shared" si="203"/>
        <v>6</v>
      </c>
      <c r="AK2604" s="289">
        <f t="shared" si="204"/>
        <v>3586.8079953684173</v>
      </c>
    </row>
    <row r="2605" spans="1:37">
      <c r="A2605" s="703" t="s">
        <v>4537</v>
      </c>
      <c r="B2605" s="703" t="s">
        <v>484</v>
      </c>
      <c r="C2605" s="703" t="s">
        <v>1776</v>
      </c>
      <c r="D2605" s="703" t="s">
        <v>1777</v>
      </c>
      <c r="E2605" s="703" t="s">
        <v>334</v>
      </c>
      <c r="F2605" s="703" t="s">
        <v>487</v>
      </c>
      <c r="G2605" s="703" t="s">
        <v>4538</v>
      </c>
      <c r="H2605" s="703" t="s">
        <v>334</v>
      </c>
      <c r="I2605" s="703" t="s">
        <v>334</v>
      </c>
      <c r="J2605" s="703" t="s">
        <v>490</v>
      </c>
      <c r="K2605" s="704">
        <v>0</v>
      </c>
      <c r="L2605" s="703" t="s">
        <v>334</v>
      </c>
      <c r="M2605" s="702"/>
      <c r="N2605" s="702">
        <v>44865</v>
      </c>
      <c r="O2605" s="703" t="s">
        <v>338</v>
      </c>
      <c r="P2605" s="20">
        <v>0</v>
      </c>
      <c r="Q2605" s="20">
        <v>2420.37</v>
      </c>
      <c r="R2605" s="20">
        <v>0</v>
      </c>
      <c r="S2605" s="20">
        <v>0</v>
      </c>
      <c r="T2605" s="20">
        <v>2420.37</v>
      </c>
      <c r="U2605" s="20">
        <v>0</v>
      </c>
      <c r="V2605" s="20">
        <v>0</v>
      </c>
      <c r="W2605" s="20">
        <v>0</v>
      </c>
      <c r="X2605" s="20">
        <v>0</v>
      </c>
      <c r="Y2605" s="20">
        <v>0</v>
      </c>
      <c r="Z2605" s="20">
        <v>0</v>
      </c>
      <c r="AA2605" s="20">
        <v>0</v>
      </c>
      <c r="AB2605" s="20">
        <v>2420.37</v>
      </c>
      <c r="AC2605" t="s">
        <v>1779</v>
      </c>
      <c r="AD2605" t="s">
        <v>492</v>
      </c>
      <c r="AE2605" s="702">
        <f t="shared" si="200"/>
        <v>44713</v>
      </c>
      <c r="AF2605" s="289">
        <v>2377.1638739731256</v>
      </c>
      <c r="AG2605">
        <f t="shared" si="201"/>
        <v>360</v>
      </c>
      <c r="AH2605" s="289">
        <f t="shared" si="202"/>
        <v>6.6032329832586827</v>
      </c>
      <c r="AJ2605" s="289">
        <f t="shared" si="203"/>
        <v>6</v>
      </c>
      <c r="AK2605" s="289">
        <f t="shared" si="204"/>
        <v>0</v>
      </c>
    </row>
    <row r="2606" spans="1:37">
      <c r="A2606" s="703" t="s">
        <v>4539</v>
      </c>
      <c r="B2606" s="703" t="s">
        <v>484</v>
      </c>
      <c r="C2606" s="703" t="s">
        <v>1210</v>
      </c>
      <c r="D2606" s="703" t="s">
        <v>334</v>
      </c>
      <c r="E2606" s="703" t="s">
        <v>334</v>
      </c>
      <c r="F2606" s="703" t="s">
        <v>487</v>
      </c>
      <c r="G2606" s="703" t="s">
        <v>3782</v>
      </c>
      <c r="H2606" s="703" t="s">
        <v>334</v>
      </c>
      <c r="I2606" s="703" t="s">
        <v>334</v>
      </c>
      <c r="J2606" s="703" t="s">
        <v>490</v>
      </c>
      <c r="K2606" s="704">
        <v>0</v>
      </c>
      <c r="L2606" s="703" t="s">
        <v>334</v>
      </c>
      <c r="M2606" s="702"/>
      <c r="N2606" s="702">
        <v>44865</v>
      </c>
      <c r="O2606" s="703" t="s">
        <v>338</v>
      </c>
      <c r="P2606" s="20">
        <v>0</v>
      </c>
      <c r="Q2606" s="20">
        <v>499.7</v>
      </c>
      <c r="R2606" s="20">
        <v>0</v>
      </c>
      <c r="S2606" s="20">
        <v>0</v>
      </c>
      <c r="T2606" s="20">
        <v>499.7</v>
      </c>
      <c r="U2606" s="20">
        <v>0</v>
      </c>
      <c r="V2606" s="20">
        <v>0</v>
      </c>
      <c r="W2606" s="20">
        <v>0</v>
      </c>
      <c r="X2606" s="20">
        <v>0</v>
      </c>
      <c r="Y2606" s="20">
        <v>0</v>
      </c>
      <c r="Z2606" s="20">
        <v>0</v>
      </c>
      <c r="AA2606" s="20">
        <v>0</v>
      </c>
      <c r="AB2606" s="20">
        <v>499.7</v>
      </c>
      <c r="AC2606" t="s">
        <v>1212</v>
      </c>
      <c r="AD2606" t="s">
        <v>492</v>
      </c>
      <c r="AE2606" s="702">
        <f t="shared" si="200"/>
        <v>44713</v>
      </c>
      <c r="AF2606" s="289">
        <v>490.77983441555256</v>
      </c>
      <c r="AG2606">
        <f t="shared" si="201"/>
        <v>360</v>
      </c>
      <c r="AH2606" s="289">
        <f t="shared" si="202"/>
        <v>1.3632773178209794</v>
      </c>
      <c r="AJ2606" s="289">
        <f t="shared" si="203"/>
        <v>6</v>
      </c>
      <c r="AK2606" s="289">
        <f t="shared" si="204"/>
        <v>0</v>
      </c>
    </row>
    <row r="2607" spans="1:37">
      <c r="A2607" s="703" t="s">
        <v>4540</v>
      </c>
      <c r="B2607" s="703" t="s">
        <v>484</v>
      </c>
      <c r="C2607" s="703" t="s">
        <v>485</v>
      </c>
      <c r="D2607" s="703" t="s">
        <v>334</v>
      </c>
      <c r="E2607" s="703" t="s">
        <v>334</v>
      </c>
      <c r="F2607" s="703" t="s">
        <v>487</v>
      </c>
      <c r="G2607" s="703" t="s">
        <v>4541</v>
      </c>
      <c r="H2607" s="703" t="s">
        <v>334</v>
      </c>
      <c r="I2607" s="703" t="s">
        <v>334</v>
      </c>
      <c r="J2607" s="703" t="s">
        <v>490</v>
      </c>
      <c r="K2607" s="704">
        <v>0</v>
      </c>
      <c r="L2607" s="703" t="s">
        <v>334</v>
      </c>
      <c r="M2607" s="702"/>
      <c r="N2607" s="702">
        <v>44865</v>
      </c>
      <c r="O2607" s="703" t="s">
        <v>338</v>
      </c>
      <c r="P2607" s="20">
        <v>0</v>
      </c>
      <c r="Q2607" s="20">
        <v>205524.84</v>
      </c>
      <c r="R2607" s="20">
        <v>0</v>
      </c>
      <c r="S2607" s="20">
        <v>0</v>
      </c>
      <c r="T2607" s="20">
        <v>205524.84</v>
      </c>
      <c r="U2607" s="20">
        <v>0</v>
      </c>
      <c r="V2607" s="20">
        <v>0</v>
      </c>
      <c r="W2607" s="20">
        <v>0</v>
      </c>
      <c r="X2607" s="20">
        <v>0</v>
      </c>
      <c r="Y2607" s="20">
        <v>0</v>
      </c>
      <c r="Z2607" s="20">
        <v>0</v>
      </c>
      <c r="AA2607" s="20">
        <v>0</v>
      </c>
      <c r="AB2607" s="20">
        <v>205524.84</v>
      </c>
      <c r="AC2607" t="s">
        <v>491</v>
      </c>
      <c r="AD2607" t="s">
        <v>492</v>
      </c>
      <c r="AE2607" s="702">
        <f t="shared" si="200"/>
        <v>44713</v>
      </c>
      <c r="AF2607" s="289">
        <v>201856.00749146074</v>
      </c>
      <c r="AG2607">
        <f t="shared" si="201"/>
        <v>360</v>
      </c>
      <c r="AH2607" s="289">
        <f t="shared" si="202"/>
        <v>560.71113192072426</v>
      </c>
      <c r="AJ2607" s="289">
        <f t="shared" si="203"/>
        <v>6</v>
      </c>
      <c r="AK2607" s="289">
        <f t="shared" si="204"/>
        <v>0</v>
      </c>
    </row>
    <row r="2608" spans="1:37">
      <c r="A2608" s="703" t="s">
        <v>4542</v>
      </c>
      <c r="B2608" s="703" t="s">
        <v>3743</v>
      </c>
      <c r="C2608" s="703" t="s">
        <v>332</v>
      </c>
      <c r="D2608" s="703" t="s">
        <v>334</v>
      </c>
      <c r="E2608" s="703" t="s">
        <v>334</v>
      </c>
      <c r="F2608" s="703" t="s">
        <v>335</v>
      </c>
      <c r="G2608" s="703" t="s">
        <v>4543</v>
      </c>
      <c r="H2608" s="703" t="s">
        <v>334</v>
      </c>
      <c r="I2608" s="703" t="s">
        <v>4544</v>
      </c>
      <c r="J2608" s="703" t="s">
        <v>337</v>
      </c>
      <c r="K2608" s="704">
        <v>0</v>
      </c>
      <c r="L2608" s="703" t="s">
        <v>334</v>
      </c>
      <c r="M2608" s="702">
        <v>42886</v>
      </c>
      <c r="N2608" s="702">
        <v>44888</v>
      </c>
      <c r="O2608" s="703" t="s">
        <v>338</v>
      </c>
      <c r="P2608" s="20">
        <v>0</v>
      </c>
      <c r="Q2608" s="20">
        <v>0</v>
      </c>
      <c r="R2608" s="20">
        <v>1355.93</v>
      </c>
      <c r="S2608" s="20">
        <v>0</v>
      </c>
      <c r="T2608" s="20">
        <v>1355.93</v>
      </c>
      <c r="U2608" s="20">
        <v>0</v>
      </c>
      <c r="V2608" s="20">
        <v>0</v>
      </c>
      <c r="W2608" s="20">
        <v>-3.77</v>
      </c>
      <c r="X2608" s="20">
        <v>-3.77</v>
      </c>
      <c r="Y2608" s="20">
        <v>0</v>
      </c>
      <c r="Z2608" s="20">
        <v>0</v>
      </c>
      <c r="AA2608" s="20">
        <v>0</v>
      </c>
      <c r="AB2608" s="20">
        <v>1352.16</v>
      </c>
      <c r="AC2608" t="s">
        <v>183</v>
      </c>
      <c r="AD2608" t="s">
        <v>290</v>
      </c>
      <c r="AE2608" s="702">
        <f t="shared" si="200"/>
        <v>44713</v>
      </c>
      <c r="AF2608" s="289">
        <v>1331.7252369003006</v>
      </c>
      <c r="AG2608">
        <f t="shared" si="201"/>
        <v>360</v>
      </c>
      <c r="AH2608" s="289">
        <f t="shared" si="202"/>
        <v>3.6992367691675017</v>
      </c>
      <c r="AJ2608" s="289">
        <f t="shared" si="203"/>
        <v>6</v>
      </c>
      <c r="AK2608" s="289">
        <f t="shared" si="204"/>
        <v>22.195420615005009</v>
      </c>
    </row>
    <row r="2609" spans="1:37">
      <c r="A2609" s="703" t="s">
        <v>4545</v>
      </c>
      <c r="B2609" s="703" t="s">
        <v>3743</v>
      </c>
      <c r="C2609" s="703" t="s">
        <v>332</v>
      </c>
      <c r="D2609" s="703" t="s">
        <v>334</v>
      </c>
      <c r="E2609" s="703" t="s">
        <v>334</v>
      </c>
      <c r="F2609" s="703" t="s">
        <v>335</v>
      </c>
      <c r="G2609" s="703" t="s">
        <v>4546</v>
      </c>
      <c r="H2609" s="703" t="s">
        <v>334</v>
      </c>
      <c r="I2609" s="703" t="s">
        <v>4547</v>
      </c>
      <c r="J2609" s="703" t="s">
        <v>337</v>
      </c>
      <c r="K2609" s="704">
        <v>0</v>
      </c>
      <c r="L2609" s="703" t="s">
        <v>334</v>
      </c>
      <c r="M2609" s="702">
        <v>44255</v>
      </c>
      <c r="N2609" s="702">
        <v>44888</v>
      </c>
      <c r="O2609" s="703" t="s">
        <v>338</v>
      </c>
      <c r="P2609" s="20">
        <v>0</v>
      </c>
      <c r="Q2609" s="20">
        <v>0</v>
      </c>
      <c r="R2609" s="20">
        <v>319.88</v>
      </c>
      <c r="S2609" s="20">
        <v>0</v>
      </c>
      <c r="T2609" s="20">
        <v>319.88</v>
      </c>
      <c r="U2609" s="20">
        <v>0</v>
      </c>
      <c r="V2609" s="20">
        <v>0</v>
      </c>
      <c r="W2609" s="20">
        <v>-0.89</v>
      </c>
      <c r="X2609" s="20">
        <v>-0.89</v>
      </c>
      <c r="Y2609" s="20">
        <v>0</v>
      </c>
      <c r="Z2609" s="20">
        <v>0</v>
      </c>
      <c r="AA2609" s="20">
        <v>0</v>
      </c>
      <c r="AB2609" s="20">
        <v>318.99</v>
      </c>
      <c r="AC2609" t="s">
        <v>183</v>
      </c>
      <c r="AD2609" t="s">
        <v>290</v>
      </c>
      <c r="AE2609" s="702">
        <f t="shared" si="200"/>
        <v>44713</v>
      </c>
      <c r="AF2609" s="289">
        <v>314.16980875094447</v>
      </c>
      <c r="AG2609">
        <f t="shared" si="201"/>
        <v>360</v>
      </c>
      <c r="AH2609" s="289">
        <f t="shared" si="202"/>
        <v>0.87269391319706802</v>
      </c>
      <c r="AJ2609" s="289">
        <f t="shared" si="203"/>
        <v>6</v>
      </c>
      <c r="AK2609" s="289">
        <f t="shared" si="204"/>
        <v>5.2361634791824079</v>
      </c>
    </row>
    <row r="2610" spans="1:37">
      <c r="A2610" s="703" t="s">
        <v>4548</v>
      </c>
      <c r="B2610" s="703" t="s">
        <v>3743</v>
      </c>
      <c r="C2610" s="703" t="s">
        <v>390</v>
      </c>
      <c r="D2610" s="703" t="s">
        <v>334</v>
      </c>
      <c r="E2610" s="703" t="s">
        <v>334</v>
      </c>
      <c r="F2610" s="703" t="s">
        <v>335</v>
      </c>
      <c r="G2610" s="703" t="s">
        <v>4549</v>
      </c>
      <c r="H2610" s="703" t="s">
        <v>334</v>
      </c>
      <c r="I2610" s="703" t="s">
        <v>4550</v>
      </c>
      <c r="J2610" s="703" t="s">
        <v>337</v>
      </c>
      <c r="K2610" s="704">
        <v>0</v>
      </c>
      <c r="L2610" s="703" t="s">
        <v>334</v>
      </c>
      <c r="M2610" s="702">
        <v>43921</v>
      </c>
      <c r="N2610" s="702">
        <v>44888</v>
      </c>
      <c r="O2610" s="703" t="s">
        <v>338</v>
      </c>
      <c r="P2610" s="20">
        <v>0</v>
      </c>
      <c r="Q2610" s="20">
        <v>0</v>
      </c>
      <c r="R2610" s="20">
        <v>8632.31</v>
      </c>
      <c r="S2610" s="20">
        <v>0</v>
      </c>
      <c r="T2610" s="20">
        <v>8632.31</v>
      </c>
      <c r="U2610" s="20">
        <v>0</v>
      </c>
      <c r="V2610" s="20">
        <v>0</v>
      </c>
      <c r="W2610" s="20">
        <v>-23.98</v>
      </c>
      <c r="X2610" s="20">
        <v>-23.98</v>
      </c>
      <c r="Y2610" s="20">
        <v>0</v>
      </c>
      <c r="Z2610" s="20">
        <v>0</v>
      </c>
      <c r="AA2610" s="20">
        <v>0</v>
      </c>
      <c r="AB2610" s="20">
        <v>8608.33</v>
      </c>
      <c r="AC2610" t="s">
        <v>188</v>
      </c>
      <c r="AD2610" t="s">
        <v>290</v>
      </c>
      <c r="AE2610" s="702">
        <f t="shared" si="200"/>
        <v>44713</v>
      </c>
      <c r="AF2610" s="289">
        <v>8478.2142734114823</v>
      </c>
      <c r="AG2610">
        <f t="shared" si="201"/>
        <v>360</v>
      </c>
      <c r="AH2610" s="289">
        <f t="shared" si="202"/>
        <v>23.550595203920786</v>
      </c>
      <c r="AJ2610" s="289">
        <f t="shared" si="203"/>
        <v>6</v>
      </c>
      <c r="AK2610" s="289">
        <f t="shared" si="204"/>
        <v>141.30357122352473</v>
      </c>
    </row>
    <row r="2611" spans="1:37">
      <c r="A2611" s="703" t="s">
        <v>4551</v>
      </c>
      <c r="B2611" s="703" t="s">
        <v>3743</v>
      </c>
      <c r="C2611" s="703" t="s">
        <v>390</v>
      </c>
      <c r="D2611" s="703" t="s">
        <v>334</v>
      </c>
      <c r="E2611" s="703" t="s">
        <v>334</v>
      </c>
      <c r="F2611" s="703" t="s">
        <v>335</v>
      </c>
      <c r="G2611" s="703" t="s">
        <v>4552</v>
      </c>
      <c r="H2611" s="703" t="s">
        <v>334</v>
      </c>
      <c r="I2611" s="703" t="s">
        <v>4544</v>
      </c>
      <c r="J2611" s="703" t="s">
        <v>337</v>
      </c>
      <c r="K2611" s="704">
        <v>0</v>
      </c>
      <c r="L2611" s="703" t="s">
        <v>334</v>
      </c>
      <c r="M2611" s="702">
        <v>43251</v>
      </c>
      <c r="N2611" s="702">
        <v>44888</v>
      </c>
      <c r="O2611" s="703" t="s">
        <v>338</v>
      </c>
      <c r="P2611" s="20">
        <v>0</v>
      </c>
      <c r="Q2611" s="20">
        <v>0</v>
      </c>
      <c r="R2611" s="20">
        <v>2085.0700000000002</v>
      </c>
      <c r="S2611" s="20">
        <v>0</v>
      </c>
      <c r="T2611" s="20">
        <v>2085.0700000000002</v>
      </c>
      <c r="U2611" s="20">
        <v>0</v>
      </c>
      <c r="V2611" s="20">
        <v>0</v>
      </c>
      <c r="W2611" s="20">
        <v>-2.73</v>
      </c>
      <c r="X2611" s="20">
        <v>-2.73</v>
      </c>
      <c r="Y2611" s="20">
        <v>0</v>
      </c>
      <c r="Z2611" s="20">
        <v>0</v>
      </c>
      <c r="AA2611" s="20">
        <v>0</v>
      </c>
      <c r="AB2611" s="20">
        <v>2082.34</v>
      </c>
      <c r="AC2611" t="s">
        <v>188</v>
      </c>
      <c r="AD2611" t="s">
        <v>290</v>
      </c>
      <c r="AE2611" s="702">
        <f t="shared" si="200"/>
        <v>44713</v>
      </c>
      <c r="AF2611" s="289">
        <v>2047.8493282866445</v>
      </c>
      <c r="AG2611">
        <f t="shared" si="201"/>
        <v>360</v>
      </c>
      <c r="AH2611" s="289">
        <f t="shared" si="202"/>
        <v>5.6884703563517904</v>
      </c>
      <c r="AJ2611" s="289">
        <f t="shared" si="203"/>
        <v>6</v>
      </c>
      <c r="AK2611" s="289">
        <f t="shared" si="204"/>
        <v>34.130822138110744</v>
      </c>
    </row>
    <row r="2612" spans="1:37">
      <c r="A2612" s="703" t="s">
        <v>4553</v>
      </c>
      <c r="B2612" s="703" t="s">
        <v>3743</v>
      </c>
      <c r="C2612" s="703" t="s">
        <v>390</v>
      </c>
      <c r="D2612" s="703" t="s">
        <v>334</v>
      </c>
      <c r="E2612" s="703" t="s">
        <v>334</v>
      </c>
      <c r="F2612" s="703" t="s">
        <v>335</v>
      </c>
      <c r="G2612" s="703" t="s">
        <v>4554</v>
      </c>
      <c r="H2612" s="703" t="s">
        <v>334</v>
      </c>
      <c r="I2612" s="703" t="s">
        <v>4555</v>
      </c>
      <c r="J2612" s="703" t="s">
        <v>337</v>
      </c>
      <c r="K2612" s="704">
        <v>0</v>
      </c>
      <c r="L2612" s="703" t="s">
        <v>334</v>
      </c>
      <c r="M2612" s="702">
        <v>43921</v>
      </c>
      <c r="N2612" s="702">
        <v>44888</v>
      </c>
      <c r="O2612" s="703" t="s">
        <v>338</v>
      </c>
      <c r="P2612" s="20">
        <v>0</v>
      </c>
      <c r="Q2612" s="20">
        <v>0</v>
      </c>
      <c r="R2612" s="20">
        <v>4825.8</v>
      </c>
      <c r="S2612" s="20">
        <v>0</v>
      </c>
      <c r="T2612" s="20">
        <v>4825.8</v>
      </c>
      <c r="U2612" s="20">
        <v>0</v>
      </c>
      <c r="V2612" s="20">
        <v>0</v>
      </c>
      <c r="W2612" s="20">
        <v>-13.41</v>
      </c>
      <c r="X2612" s="20">
        <v>-13.41</v>
      </c>
      <c r="Y2612" s="20">
        <v>0</v>
      </c>
      <c r="Z2612" s="20">
        <v>0</v>
      </c>
      <c r="AA2612" s="20">
        <v>0</v>
      </c>
      <c r="AB2612" s="20">
        <v>4812.3900000000003</v>
      </c>
      <c r="AC2612" t="s">
        <v>188</v>
      </c>
      <c r="AD2612" t="s">
        <v>290</v>
      </c>
      <c r="AE2612" s="702">
        <f t="shared" si="200"/>
        <v>44713</v>
      </c>
      <c r="AF2612" s="289">
        <v>4739.654442510654</v>
      </c>
      <c r="AG2612">
        <f t="shared" si="201"/>
        <v>360</v>
      </c>
      <c r="AH2612" s="289">
        <f t="shared" si="202"/>
        <v>13.165706784751817</v>
      </c>
      <c r="AJ2612" s="289">
        <f t="shared" si="203"/>
        <v>6</v>
      </c>
      <c r="AK2612" s="289">
        <f t="shared" si="204"/>
        <v>78.994240708510901</v>
      </c>
    </row>
    <row r="2613" spans="1:37">
      <c r="A2613" s="703" t="s">
        <v>4556</v>
      </c>
      <c r="B2613" s="703" t="s">
        <v>484</v>
      </c>
      <c r="C2613" s="703" t="s">
        <v>1776</v>
      </c>
      <c r="D2613" s="703" t="s">
        <v>1777</v>
      </c>
      <c r="E2613" s="703" t="s">
        <v>334</v>
      </c>
      <c r="F2613" s="703" t="s">
        <v>487</v>
      </c>
      <c r="G2613" s="703" t="s">
        <v>4557</v>
      </c>
      <c r="H2613" s="703" t="s">
        <v>334</v>
      </c>
      <c r="I2613" s="703" t="s">
        <v>334</v>
      </c>
      <c r="J2613" s="703" t="s">
        <v>490</v>
      </c>
      <c r="K2613" s="704">
        <v>0</v>
      </c>
      <c r="L2613" s="703" t="s">
        <v>334</v>
      </c>
      <c r="M2613" s="702"/>
      <c r="N2613" s="702">
        <v>44895</v>
      </c>
      <c r="O2613" s="703" t="s">
        <v>338</v>
      </c>
      <c r="P2613" s="20">
        <v>0</v>
      </c>
      <c r="Q2613" s="20">
        <v>9012.0400000000009</v>
      </c>
      <c r="R2613" s="20">
        <v>0</v>
      </c>
      <c r="S2613" s="20">
        <v>0</v>
      </c>
      <c r="T2613" s="20">
        <v>9012.0400000000009</v>
      </c>
      <c r="U2613" s="20">
        <v>0</v>
      </c>
      <c r="V2613" s="20">
        <v>0</v>
      </c>
      <c r="W2613" s="20">
        <v>0</v>
      </c>
      <c r="X2613" s="20">
        <v>0</v>
      </c>
      <c r="Y2613" s="20">
        <v>0</v>
      </c>
      <c r="Z2613" s="20">
        <v>0</v>
      </c>
      <c r="AA2613" s="20">
        <v>0</v>
      </c>
      <c r="AB2613" s="20">
        <v>9012.0400000000009</v>
      </c>
      <c r="AC2613" t="s">
        <v>1779</v>
      </c>
      <c r="AD2613" t="s">
        <v>492</v>
      </c>
      <c r="AE2613" s="702">
        <f t="shared" si="200"/>
        <v>44713</v>
      </c>
      <c r="AF2613" s="289">
        <v>8851.1656973110603</v>
      </c>
      <c r="AG2613">
        <f t="shared" si="201"/>
        <v>360</v>
      </c>
      <c r="AH2613" s="289">
        <f t="shared" si="202"/>
        <v>24.586571381419613</v>
      </c>
      <c r="AJ2613" s="289">
        <f t="shared" si="203"/>
        <v>6</v>
      </c>
      <c r="AK2613" s="289">
        <f t="shared" si="204"/>
        <v>0</v>
      </c>
    </row>
    <row r="2614" spans="1:37">
      <c r="A2614" s="703" t="s">
        <v>4558</v>
      </c>
      <c r="B2614" s="703" t="s">
        <v>3743</v>
      </c>
      <c r="C2614" s="703" t="s">
        <v>332</v>
      </c>
      <c r="D2614" s="703" t="s">
        <v>334</v>
      </c>
      <c r="E2614" s="703" t="s">
        <v>334</v>
      </c>
      <c r="F2614" s="703" t="s">
        <v>335</v>
      </c>
      <c r="G2614" s="703" t="s">
        <v>4559</v>
      </c>
      <c r="H2614" s="703" t="s">
        <v>334</v>
      </c>
      <c r="I2614" s="703" t="s">
        <v>4555</v>
      </c>
      <c r="J2614" s="703" t="s">
        <v>337</v>
      </c>
      <c r="K2614" s="704">
        <v>0</v>
      </c>
      <c r="L2614" s="703" t="s">
        <v>334</v>
      </c>
      <c r="M2614" s="702">
        <v>42886</v>
      </c>
      <c r="N2614" s="702">
        <v>44902</v>
      </c>
      <c r="O2614" s="703" t="s">
        <v>338</v>
      </c>
      <c r="P2614" s="20">
        <v>0</v>
      </c>
      <c r="Q2614" s="20">
        <v>0</v>
      </c>
      <c r="R2614" s="20">
        <v>4868.8100000000004</v>
      </c>
      <c r="S2614" s="20">
        <v>0</v>
      </c>
      <c r="T2614" s="20">
        <v>4868.8100000000004</v>
      </c>
      <c r="U2614" s="20">
        <v>0</v>
      </c>
      <c r="V2614" s="20">
        <v>0</v>
      </c>
      <c r="W2614" s="20">
        <v>0</v>
      </c>
      <c r="X2614" s="20">
        <v>0</v>
      </c>
      <c r="Y2614" s="20">
        <v>0</v>
      </c>
      <c r="Z2614" s="20">
        <v>0</v>
      </c>
      <c r="AA2614" s="20">
        <v>0</v>
      </c>
      <c r="AB2614" s="20">
        <v>4868.8100000000004</v>
      </c>
      <c r="AC2614" t="s">
        <v>183</v>
      </c>
      <c r="AD2614" t="s">
        <v>290</v>
      </c>
      <c r="AE2614" s="702">
        <f t="shared" si="200"/>
        <v>44713</v>
      </c>
      <c r="AF2614" s="289">
        <v>4781.8966692030954</v>
      </c>
      <c r="AG2614">
        <f t="shared" si="201"/>
        <v>360</v>
      </c>
      <c r="AH2614" s="289">
        <f t="shared" si="202"/>
        <v>13.283046303341932</v>
      </c>
      <c r="AJ2614" s="289">
        <f t="shared" si="203"/>
        <v>6</v>
      </c>
      <c r="AK2614" s="289">
        <f t="shared" si="204"/>
        <v>79.698277820051587</v>
      </c>
    </row>
    <row r="2615" spans="1:37">
      <c r="A2615" s="703" t="s">
        <v>4560</v>
      </c>
      <c r="B2615" s="703" t="s">
        <v>3743</v>
      </c>
      <c r="C2615" s="703" t="s">
        <v>390</v>
      </c>
      <c r="D2615" s="703" t="s">
        <v>334</v>
      </c>
      <c r="E2615" s="703" t="s">
        <v>334</v>
      </c>
      <c r="F2615" s="703" t="s">
        <v>335</v>
      </c>
      <c r="G2615" s="703" t="s">
        <v>4561</v>
      </c>
      <c r="H2615" s="703" t="s">
        <v>334</v>
      </c>
      <c r="I2615" s="703" t="s">
        <v>4544</v>
      </c>
      <c r="J2615" s="703" t="s">
        <v>337</v>
      </c>
      <c r="K2615" s="704">
        <v>0</v>
      </c>
      <c r="L2615" s="703" t="s">
        <v>334</v>
      </c>
      <c r="M2615" s="702">
        <v>42886</v>
      </c>
      <c r="N2615" s="702">
        <v>44902</v>
      </c>
      <c r="O2615" s="703" t="s">
        <v>338</v>
      </c>
      <c r="P2615" s="20">
        <v>0</v>
      </c>
      <c r="Q2615" s="20">
        <v>0</v>
      </c>
      <c r="R2615" s="20">
        <v>3320.19</v>
      </c>
      <c r="S2615" s="20">
        <v>0</v>
      </c>
      <c r="T2615" s="20">
        <v>3320.19</v>
      </c>
      <c r="U2615" s="20">
        <v>0</v>
      </c>
      <c r="V2615" s="20">
        <v>0</v>
      </c>
      <c r="W2615" s="20">
        <v>0</v>
      </c>
      <c r="X2615" s="20">
        <v>0</v>
      </c>
      <c r="Y2615" s="20">
        <v>0</v>
      </c>
      <c r="Z2615" s="20">
        <v>0</v>
      </c>
      <c r="AA2615" s="20">
        <v>0</v>
      </c>
      <c r="AB2615" s="20">
        <v>3320.19</v>
      </c>
      <c r="AC2615" t="s">
        <v>188</v>
      </c>
      <c r="AD2615" t="s">
        <v>290</v>
      </c>
      <c r="AE2615" s="702">
        <f t="shared" si="200"/>
        <v>44713</v>
      </c>
      <c r="AF2615" s="289">
        <v>3260.921149546075</v>
      </c>
      <c r="AG2615">
        <f t="shared" si="201"/>
        <v>360</v>
      </c>
      <c r="AH2615" s="289">
        <f t="shared" si="202"/>
        <v>9.0581143042946533</v>
      </c>
      <c r="AJ2615" s="289">
        <f t="shared" si="203"/>
        <v>6</v>
      </c>
      <c r="AK2615" s="289">
        <f t="shared" si="204"/>
        <v>54.348685825767916</v>
      </c>
    </row>
    <row r="2616" spans="1:37">
      <c r="A2616" s="703" t="s">
        <v>4562</v>
      </c>
      <c r="B2616" s="703" t="s">
        <v>3743</v>
      </c>
      <c r="C2616" s="703" t="s">
        <v>390</v>
      </c>
      <c r="D2616" s="703" t="s">
        <v>334</v>
      </c>
      <c r="E2616" s="703" t="s">
        <v>334</v>
      </c>
      <c r="F2616" s="703" t="s">
        <v>335</v>
      </c>
      <c r="G2616" s="703" t="s">
        <v>4563</v>
      </c>
      <c r="H2616" s="703" t="s">
        <v>334</v>
      </c>
      <c r="I2616" s="703" t="s">
        <v>4564</v>
      </c>
      <c r="J2616" s="703" t="s">
        <v>337</v>
      </c>
      <c r="K2616" s="704">
        <v>0</v>
      </c>
      <c r="L2616" s="703" t="s">
        <v>334</v>
      </c>
      <c r="M2616" s="702">
        <v>42886</v>
      </c>
      <c r="N2616" s="702">
        <v>44902</v>
      </c>
      <c r="O2616" s="703" t="s">
        <v>338</v>
      </c>
      <c r="P2616" s="20">
        <v>0</v>
      </c>
      <c r="Q2616" s="20">
        <v>0</v>
      </c>
      <c r="R2616" s="20">
        <v>6662.69</v>
      </c>
      <c r="S2616" s="20">
        <v>0</v>
      </c>
      <c r="T2616" s="20">
        <v>6662.69</v>
      </c>
      <c r="U2616" s="20">
        <v>0</v>
      </c>
      <c r="V2616" s="20">
        <v>0</v>
      </c>
      <c r="W2616" s="20">
        <v>0</v>
      </c>
      <c r="X2616" s="20">
        <v>0</v>
      </c>
      <c r="Y2616" s="20">
        <v>0</v>
      </c>
      <c r="Z2616" s="20">
        <v>0</v>
      </c>
      <c r="AA2616" s="20">
        <v>0</v>
      </c>
      <c r="AB2616" s="20">
        <v>6662.69</v>
      </c>
      <c r="AC2616" t="s">
        <v>188</v>
      </c>
      <c r="AD2616" t="s">
        <v>290</v>
      </c>
      <c r="AE2616" s="702">
        <f t="shared" si="200"/>
        <v>44713</v>
      </c>
      <c r="AF2616" s="289">
        <v>6543.7540423497248</v>
      </c>
      <c r="AG2616">
        <f t="shared" si="201"/>
        <v>360</v>
      </c>
      <c r="AH2616" s="289">
        <f t="shared" si="202"/>
        <v>18.177094562082569</v>
      </c>
      <c r="AJ2616" s="289">
        <f t="shared" si="203"/>
        <v>6</v>
      </c>
      <c r="AK2616" s="289">
        <f t="shared" si="204"/>
        <v>109.06256737249541</v>
      </c>
    </row>
    <row r="2617" spans="1:37">
      <c r="A2617" s="703" t="s">
        <v>4565</v>
      </c>
      <c r="B2617" s="703" t="s">
        <v>3743</v>
      </c>
      <c r="C2617" s="703" t="s">
        <v>332</v>
      </c>
      <c r="D2617" s="703" t="s">
        <v>334</v>
      </c>
      <c r="E2617" s="703" t="s">
        <v>334</v>
      </c>
      <c r="F2617" s="703" t="s">
        <v>335</v>
      </c>
      <c r="G2617" s="703" t="s">
        <v>4566</v>
      </c>
      <c r="H2617" s="703" t="s">
        <v>334</v>
      </c>
      <c r="I2617" s="703" t="s">
        <v>4544</v>
      </c>
      <c r="J2617" s="703" t="s">
        <v>337</v>
      </c>
      <c r="K2617" s="704">
        <v>0</v>
      </c>
      <c r="L2617" s="703" t="s">
        <v>334</v>
      </c>
      <c r="M2617" s="702">
        <v>39478</v>
      </c>
      <c r="N2617" s="702">
        <v>44918</v>
      </c>
      <c r="O2617" s="703" t="s">
        <v>338</v>
      </c>
      <c r="P2617" s="20">
        <v>0</v>
      </c>
      <c r="Q2617" s="20">
        <v>0</v>
      </c>
      <c r="R2617" s="20">
        <v>118001.83</v>
      </c>
      <c r="S2617" s="20">
        <v>0</v>
      </c>
      <c r="T2617" s="20">
        <v>118001.83</v>
      </c>
      <c r="U2617" s="20">
        <v>0</v>
      </c>
      <c r="V2617" s="20">
        <v>0</v>
      </c>
      <c r="W2617" s="20">
        <v>0</v>
      </c>
      <c r="X2617" s="20">
        <v>0</v>
      </c>
      <c r="Y2617" s="20">
        <v>0</v>
      </c>
      <c r="Z2617" s="20">
        <v>0</v>
      </c>
      <c r="AA2617" s="20">
        <v>0</v>
      </c>
      <c r="AB2617" s="20">
        <v>118001.83</v>
      </c>
      <c r="AC2617" t="s">
        <v>183</v>
      </c>
      <c r="AD2617" t="s">
        <v>290</v>
      </c>
      <c r="AE2617" s="702">
        <f t="shared" si="200"/>
        <v>44713</v>
      </c>
      <c r="AF2617" s="289">
        <v>115895.37440090491</v>
      </c>
      <c r="AG2617">
        <f t="shared" si="201"/>
        <v>360</v>
      </c>
      <c r="AH2617" s="289">
        <f t="shared" si="202"/>
        <v>321.9315955580692</v>
      </c>
      <c r="AJ2617" s="289">
        <f t="shared" si="203"/>
        <v>6</v>
      </c>
      <c r="AK2617" s="289">
        <f t="shared" si="204"/>
        <v>1931.5895733484153</v>
      </c>
    </row>
    <row r="2618" spans="1:37">
      <c r="A2618" s="703" t="s">
        <v>4567</v>
      </c>
      <c r="B2618" s="703" t="s">
        <v>3743</v>
      </c>
      <c r="C2618" s="703" t="s">
        <v>332</v>
      </c>
      <c r="D2618" s="703" t="s">
        <v>334</v>
      </c>
      <c r="E2618" s="703" t="s">
        <v>334</v>
      </c>
      <c r="F2618" s="703" t="s">
        <v>335</v>
      </c>
      <c r="G2618" s="703" t="s">
        <v>4568</v>
      </c>
      <c r="H2618" s="703" t="s">
        <v>334</v>
      </c>
      <c r="I2618" s="703" t="s">
        <v>4569</v>
      </c>
      <c r="J2618" s="703" t="s">
        <v>337</v>
      </c>
      <c r="K2618" s="704">
        <v>0</v>
      </c>
      <c r="L2618" s="703" t="s">
        <v>334</v>
      </c>
      <c r="M2618" s="702">
        <v>39478</v>
      </c>
      <c r="N2618" s="702">
        <v>44918</v>
      </c>
      <c r="O2618" s="703" t="s">
        <v>338</v>
      </c>
      <c r="P2618" s="20">
        <v>0</v>
      </c>
      <c r="Q2618" s="20">
        <v>0</v>
      </c>
      <c r="R2618" s="20">
        <v>74633.61</v>
      </c>
      <c r="S2618" s="20">
        <v>0</v>
      </c>
      <c r="T2618" s="20">
        <v>74633.61</v>
      </c>
      <c r="U2618" s="20">
        <v>0</v>
      </c>
      <c r="V2618" s="20">
        <v>0</v>
      </c>
      <c r="W2618" s="20">
        <v>0</v>
      </c>
      <c r="X2618" s="20">
        <v>0</v>
      </c>
      <c r="Y2618" s="20">
        <v>0</v>
      </c>
      <c r="Z2618" s="20">
        <v>0</v>
      </c>
      <c r="AA2618" s="20">
        <v>0</v>
      </c>
      <c r="AB2618" s="20">
        <v>74633.61</v>
      </c>
      <c r="AC2618" t="s">
        <v>183</v>
      </c>
      <c r="AD2618" t="s">
        <v>290</v>
      </c>
      <c r="AE2618" s="702">
        <f t="shared" si="200"/>
        <v>44713</v>
      </c>
      <c r="AF2618" s="289">
        <v>73301.322308655057</v>
      </c>
      <c r="AG2618">
        <f t="shared" si="201"/>
        <v>360</v>
      </c>
      <c r="AH2618" s="289">
        <f t="shared" si="202"/>
        <v>203.61478419070849</v>
      </c>
      <c r="AJ2618" s="289">
        <f t="shared" si="203"/>
        <v>6</v>
      </c>
      <c r="AK2618" s="289">
        <f t="shared" si="204"/>
        <v>1221.6887051442509</v>
      </c>
    </row>
    <row r="2619" spans="1:37">
      <c r="A2619" s="703" t="s">
        <v>4570</v>
      </c>
      <c r="B2619" s="703" t="s">
        <v>3743</v>
      </c>
      <c r="C2619" s="703" t="s">
        <v>390</v>
      </c>
      <c r="D2619" s="703" t="s">
        <v>334</v>
      </c>
      <c r="E2619" s="703" t="s">
        <v>334</v>
      </c>
      <c r="F2619" s="703" t="s">
        <v>335</v>
      </c>
      <c r="G2619" s="703" t="s">
        <v>4571</v>
      </c>
      <c r="H2619" s="703" t="s">
        <v>334</v>
      </c>
      <c r="I2619" s="703" t="s">
        <v>4569</v>
      </c>
      <c r="J2619" s="703" t="s">
        <v>337</v>
      </c>
      <c r="K2619" s="704">
        <v>0</v>
      </c>
      <c r="L2619" s="703" t="s">
        <v>334</v>
      </c>
      <c r="M2619" s="702">
        <v>42886</v>
      </c>
      <c r="N2619" s="702">
        <v>44918</v>
      </c>
      <c r="O2619" s="703" t="s">
        <v>338</v>
      </c>
      <c r="P2619" s="20">
        <v>0</v>
      </c>
      <c r="Q2619" s="20">
        <v>0</v>
      </c>
      <c r="R2619" s="20">
        <v>1918.75</v>
      </c>
      <c r="S2619" s="20">
        <v>0</v>
      </c>
      <c r="T2619" s="20">
        <v>1918.75</v>
      </c>
      <c r="U2619" s="20">
        <v>0</v>
      </c>
      <c r="V2619" s="20">
        <v>0</v>
      </c>
      <c r="W2619" s="20">
        <v>0</v>
      </c>
      <c r="X2619" s="20">
        <v>0</v>
      </c>
      <c r="Y2619" s="20">
        <v>0</v>
      </c>
      <c r="Z2619" s="20">
        <v>0</v>
      </c>
      <c r="AA2619" s="20">
        <v>0</v>
      </c>
      <c r="AB2619" s="20">
        <v>1918.75</v>
      </c>
      <c r="AC2619" t="s">
        <v>188</v>
      </c>
      <c r="AD2619" t="s">
        <v>290</v>
      </c>
      <c r="AE2619" s="702">
        <f t="shared" si="200"/>
        <v>44713</v>
      </c>
      <c r="AF2619" s="289">
        <v>1884.4983135578177</v>
      </c>
      <c r="AG2619">
        <f t="shared" si="201"/>
        <v>360</v>
      </c>
      <c r="AH2619" s="289">
        <f t="shared" si="202"/>
        <v>5.2347175376606048</v>
      </c>
      <c r="AJ2619" s="289">
        <f t="shared" si="203"/>
        <v>6</v>
      </c>
      <c r="AK2619" s="289">
        <f t="shared" si="204"/>
        <v>31.40830522596363</v>
      </c>
    </row>
    <row r="2620" spans="1:37">
      <c r="A2620" s="703" t="s">
        <v>4572</v>
      </c>
      <c r="B2620" s="703" t="s">
        <v>3743</v>
      </c>
      <c r="C2620" s="703" t="s">
        <v>390</v>
      </c>
      <c r="D2620" s="703" t="s">
        <v>334</v>
      </c>
      <c r="E2620" s="703" t="s">
        <v>334</v>
      </c>
      <c r="F2620" s="703" t="s">
        <v>335</v>
      </c>
      <c r="G2620" s="703" t="s">
        <v>4573</v>
      </c>
      <c r="H2620" s="703" t="s">
        <v>334</v>
      </c>
      <c r="I2620" s="703" t="s">
        <v>4544</v>
      </c>
      <c r="J2620" s="703" t="s">
        <v>337</v>
      </c>
      <c r="K2620" s="704">
        <v>0</v>
      </c>
      <c r="L2620" s="703" t="s">
        <v>334</v>
      </c>
      <c r="M2620" s="702">
        <v>42886</v>
      </c>
      <c r="N2620" s="702">
        <v>44918</v>
      </c>
      <c r="O2620" s="703" t="s">
        <v>338</v>
      </c>
      <c r="P2620" s="20">
        <v>0</v>
      </c>
      <c r="Q2620" s="20">
        <v>0</v>
      </c>
      <c r="R2620" s="20">
        <v>5490.58</v>
      </c>
      <c r="S2620" s="20">
        <v>0</v>
      </c>
      <c r="T2620" s="20">
        <v>5490.58</v>
      </c>
      <c r="U2620" s="20">
        <v>0</v>
      </c>
      <c r="V2620" s="20">
        <v>0</v>
      </c>
      <c r="W2620" s="20">
        <v>0</v>
      </c>
      <c r="X2620" s="20">
        <v>0</v>
      </c>
      <c r="Y2620" s="20">
        <v>0</v>
      </c>
      <c r="Z2620" s="20">
        <v>0</v>
      </c>
      <c r="AA2620" s="20">
        <v>0</v>
      </c>
      <c r="AB2620" s="20">
        <v>5490.58</v>
      </c>
      <c r="AC2620" t="s">
        <v>188</v>
      </c>
      <c r="AD2620" t="s">
        <v>290</v>
      </c>
      <c r="AE2620" s="702">
        <f t="shared" si="200"/>
        <v>44713</v>
      </c>
      <c r="AF2620" s="289">
        <v>5392.5674269468573</v>
      </c>
      <c r="AG2620">
        <f t="shared" si="201"/>
        <v>360</v>
      </c>
      <c r="AH2620" s="289">
        <f t="shared" si="202"/>
        <v>14.97935396374127</v>
      </c>
      <c r="AJ2620" s="289">
        <f t="shared" si="203"/>
        <v>6</v>
      </c>
      <c r="AK2620" s="289">
        <f t="shared" si="204"/>
        <v>89.876123782447621</v>
      </c>
    </row>
    <row r="2621" spans="1:37">
      <c r="A2621" s="703" t="s">
        <v>4574</v>
      </c>
      <c r="B2621" s="703" t="s">
        <v>3743</v>
      </c>
      <c r="C2621" s="703" t="s">
        <v>390</v>
      </c>
      <c r="D2621" s="703" t="s">
        <v>334</v>
      </c>
      <c r="E2621" s="703" t="s">
        <v>334</v>
      </c>
      <c r="F2621" s="703" t="s">
        <v>335</v>
      </c>
      <c r="G2621" s="703" t="s">
        <v>4575</v>
      </c>
      <c r="H2621" s="703" t="s">
        <v>334</v>
      </c>
      <c r="I2621" s="703" t="s">
        <v>4544</v>
      </c>
      <c r="J2621" s="703" t="s">
        <v>337</v>
      </c>
      <c r="K2621" s="704">
        <v>0</v>
      </c>
      <c r="L2621" s="703" t="s">
        <v>334</v>
      </c>
      <c r="M2621" s="702">
        <v>42886</v>
      </c>
      <c r="N2621" s="702">
        <v>44918</v>
      </c>
      <c r="O2621" s="703" t="s">
        <v>338</v>
      </c>
      <c r="P2621" s="20">
        <v>0</v>
      </c>
      <c r="Q2621" s="20">
        <v>0</v>
      </c>
      <c r="R2621" s="20">
        <v>2998.45</v>
      </c>
      <c r="S2621" s="20">
        <v>0</v>
      </c>
      <c r="T2621" s="20">
        <v>2998.45</v>
      </c>
      <c r="U2621" s="20">
        <v>0</v>
      </c>
      <c r="V2621" s="20">
        <v>0</v>
      </c>
      <c r="W2621" s="20">
        <v>0</v>
      </c>
      <c r="X2621" s="20">
        <v>0</v>
      </c>
      <c r="Y2621" s="20">
        <v>0</v>
      </c>
      <c r="Z2621" s="20">
        <v>0</v>
      </c>
      <c r="AA2621" s="20">
        <v>0</v>
      </c>
      <c r="AB2621" s="20">
        <v>2998.45</v>
      </c>
      <c r="AC2621" t="s">
        <v>188</v>
      </c>
      <c r="AD2621" t="s">
        <v>290</v>
      </c>
      <c r="AE2621" s="702">
        <f t="shared" si="200"/>
        <v>44713</v>
      </c>
      <c r="AF2621" s="289">
        <v>2944.9245437328664</v>
      </c>
      <c r="AG2621">
        <f t="shared" si="201"/>
        <v>360</v>
      </c>
      <c r="AH2621" s="289">
        <f t="shared" si="202"/>
        <v>8.180345954813518</v>
      </c>
      <c r="AJ2621" s="289">
        <f t="shared" si="203"/>
        <v>6</v>
      </c>
      <c r="AK2621" s="289">
        <f t="shared" si="204"/>
        <v>49.082075728881108</v>
      </c>
    </row>
    <row r="2622" spans="1:37">
      <c r="A2622" s="703" t="s">
        <v>4576</v>
      </c>
      <c r="B2622" s="703" t="s">
        <v>3743</v>
      </c>
      <c r="C2622" s="703" t="s">
        <v>390</v>
      </c>
      <c r="D2622" s="703" t="s">
        <v>334</v>
      </c>
      <c r="E2622" s="703" t="s">
        <v>334</v>
      </c>
      <c r="F2622" s="703" t="s">
        <v>335</v>
      </c>
      <c r="G2622" s="703" t="s">
        <v>4577</v>
      </c>
      <c r="H2622" s="703" t="s">
        <v>334</v>
      </c>
      <c r="I2622" s="703" t="s">
        <v>4555</v>
      </c>
      <c r="J2622" s="703" t="s">
        <v>337</v>
      </c>
      <c r="K2622" s="704">
        <v>0</v>
      </c>
      <c r="L2622" s="703" t="s">
        <v>334</v>
      </c>
      <c r="M2622" s="702">
        <v>42886</v>
      </c>
      <c r="N2622" s="702">
        <v>44918</v>
      </c>
      <c r="O2622" s="703" t="s">
        <v>338</v>
      </c>
      <c r="P2622" s="20">
        <v>0</v>
      </c>
      <c r="Q2622" s="20">
        <v>0</v>
      </c>
      <c r="R2622" s="20">
        <v>5094</v>
      </c>
      <c r="S2622" s="20">
        <v>0</v>
      </c>
      <c r="T2622" s="20">
        <v>5094</v>
      </c>
      <c r="U2622" s="20">
        <v>0</v>
      </c>
      <c r="V2622" s="20">
        <v>0</v>
      </c>
      <c r="W2622" s="20">
        <v>0</v>
      </c>
      <c r="X2622" s="20">
        <v>0</v>
      </c>
      <c r="Y2622" s="20">
        <v>0</v>
      </c>
      <c r="Z2622" s="20">
        <v>0</v>
      </c>
      <c r="AA2622" s="20">
        <v>0</v>
      </c>
      <c r="AB2622" s="20">
        <v>5094</v>
      </c>
      <c r="AC2622" t="s">
        <v>188</v>
      </c>
      <c r="AD2622" t="s">
        <v>290</v>
      </c>
      <c r="AE2622" s="702">
        <f t="shared" si="200"/>
        <v>44713</v>
      </c>
      <c r="AF2622" s="289">
        <v>5003.0667931015105</v>
      </c>
      <c r="AG2622">
        <f t="shared" si="201"/>
        <v>360</v>
      </c>
      <c r="AH2622" s="289">
        <f t="shared" si="202"/>
        <v>13.897407758615307</v>
      </c>
      <c r="AJ2622" s="289">
        <f t="shared" si="203"/>
        <v>6</v>
      </c>
      <c r="AK2622" s="289">
        <f t="shared" si="204"/>
        <v>83.384446551691838</v>
      </c>
    </row>
    <row r="2623" spans="1:37">
      <c r="A2623" s="703" t="s">
        <v>4578</v>
      </c>
      <c r="B2623" s="703" t="s">
        <v>3743</v>
      </c>
      <c r="C2623" s="703" t="s">
        <v>390</v>
      </c>
      <c r="D2623" s="703" t="s">
        <v>334</v>
      </c>
      <c r="E2623" s="703" t="s">
        <v>334</v>
      </c>
      <c r="F2623" s="703" t="s">
        <v>335</v>
      </c>
      <c r="G2623" s="703" t="s">
        <v>4579</v>
      </c>
      <c r="H2623" s="703" t="s">
        <v>334</v>
      </c>
      <c r="I2623" s="703" t="s">
        <v>4555</v>
      </c>
      <c r="J2623" s="703" t="s">
        <v>337</v>
      </c>
      <c r="K2623" s="704">
        <v>0</v>
      </c>
      <c r="L2623" s="703" t="s">
        <v>334</v>
      </c>
      <c r="M2623" s="702">
        <v>42886</v>
      </c>
      <c r="N2623" s="702">
        <v>44918</v>
      </c>
      <c r="O2623" s="703" t="s">
        <v>338</v>
      </c>
      <c r="P2623" s="20">
        <v>0</v>
      </c>
      <c r="Q2623" s="20">
        <v>0</v>
      </c>
      <c r="R2623" s="20">
        <v>10595.02</v>
      </c>
      <c r="S2623" s="20">
        <v>0</v>
      </c>
      <c r="T2623" s="20">
        <v>10595.02</v>
      </c>
      <c r="U2623" s="20">
        <v>0</v>
      </c>
      <c r="V2623" s="20">
        <v>0</v>
      </c>
      <c r="W2623" s="20">
        <v>0</v>
      </c>
      <c r="X2623" s="20">
        <v>0</v>
      </c>
      <c r="Y2623" s="20">
        <v>0</v>
      </c>
      <c r="Z2623" s="20">
        <v>0</v>
      </c>
      <c r="AA2623" s="20">
        <v>0</v>
      </c>
      <c r="AB2623" s="20">
        <v>10595.02</v>
      </c>
      <c r="AC2623" t="s">
        <v>188</v>
      </c>
      <c r="AD2623" t="s">
        <v>290</v>
      </c>
      <c r="AE2623" s="702">
        <f t="shared" si="200"/>
        <v>44713</v>
      </c>
      <c r="AF2623" s="289">
        <v>10405.887855172039</v>
      </c>
      <c r="AG2623">
        <f t="shared" si="201"/>
        <v>360</v>
      </c>
      <c r="AH2623" s="289">
        <f t="shared" si="202"/>
        <v>28.905244042144552</v>
      </c>
      <c r="AJ2623" s="289">
        <f t="shared" si="203"/>
        <v>6</v>
      </c>
      <c r="AK2623" s="289">
        <f t="shared" si="204"/>
        <v>173.43146425286733</v>
      </c>
    </row>
    <row r="2624" spans="1:37">
      <c r="A2624" s="703" t="s">
        <v>4580</v>
      </c>
      <c r="B2624" s="703" t="s">
        <v>3743</v>
      </c>
      <c r="C2624" s="703" t="s">
        <v>390</v>
      </c>
      <c r="D2624" s="703" t="s">
        <v>334</v>
      </c>
      <c r="E2624" s="703" t="s">
        <v>334</v>
      </c>
      <c r="F2624" s="703" t="s">
        <v>335</v>
      </c>
      <c r="G2624" s="703" t="s">
        <v>4581</v>
      </c>
      <c r="H2624" s="703" t="s">
        <v>334</v>
      </c>
      <c r="I2624" s="703" t="s">
        <v>4564</v>
      </c>
      <c r="J2624" s="703" t="s">
        <v>337</v>
      </c>
      <c r="K2624" s="704">
        <v>0</v>
      </c>
      <c r="L2624" s="703" t="s">
        <v>334</v>
      </c>
      <c r="M2624" s="702">
        <v>43251</v>
      </c>
      <c r="N2624" s="702">
        <v>44918</v>
      </c>
      <c r="O2624" s="703" t="s">
        <v>338</v>
      </c>
      <c r="P2624" s="20">
        <v>0</v>
      </c>
      <c r="Q2624" s="20">
        <v>0</v>
      </c>
      <c r="R2624" s="20">
        <v>44360.07</v>
      </c>
      <c r="S2624" s="20">
        <v>0</v>
      </c>
      <c r="T2624" s="20">
        <v>44360.07</v>
      </c>
      <c r="U2624" s="20">
        <v>0</v>
      </c>
      <c r="V2624" s="20">
        <v>0</v>
      </c>
      <c r="W2624" s="20">
        <v>0</v>
      </c>
      <c r="X2624" s="20">
        <v>0</v>
      </c>
      <c r="Y2624" s="20">
        <v>0</v>
      </c>
      <c r="Z2624" s="20">
        <v>0</v>
      </c>
      <c r="AA2624" s="20">
        <v>0</v>
      </c>
      <c r="AB2624" s="20">
        <v>44360.07</v>
      </c>
      <c r="AC2624" t="s">
        <v>188</v>
      </c>
      <c r="AD2624" t="s">
        <v>290</v>
      </c>
      <c r="AE2624" s="702">
        <f t="shared" si="200"/>
        <v>44713</v>
      </c>
      <c r="AF2624" s="289">
        <v>43568.196536446507</v>
      </c>
      <c r="AG2624">
        <f t="shared" si="201"/>
        <v>360</v>
      </c>
      <c r="AH2624" s="289">
        <f t="shared" si="202"/>
        <v>121.02276815679585</v>
      </c>
      <c r="AJ2624" s="289">
        <f t="shared" si="203"/>
        <v>6</v>
      </c>
      <c r="AK2624" s="289">
        <f t="shared" si="204"/>
        <v>726.13660894077509</v>
      </c>
    </row>
    <row r="2625" spans="1:37">
      <c r="A2625" s="703" t="s">
        <v>4582</v>
      </c>
      <c r="B2625" s="703" t="s">
        <v>3743</v>
      </c>
      <c r="C2625" s="703" t="s">
        <v>454</v>
      </c>
      <c r="D2625" s="703" t="s">
        <v>334</v>
      </c>
      <c r="E2625" s="703" t="s">
        <v>334</v>
      </c>
      <c r="F2625" s="703" t="s">
        <v>455</v>
      </c>
      <c r="G2625" s="703" t="s">
        <v>3746</v>
      </c>
      <c r="H2625" s="703" t="s">
        <v>334</v>
      </c>
      <c r="I2625" s="703" t="s">
        <v>334</v>
      </c>
      <c r="J2625" s="703" t="s">
        <v>458</v>
      </c>
      <c r="K2625" s="704">
        <v>0</v>
      </c>
      <c r="L2625" s="703" t="s">
        <v>334</v>
      </c>
      <c r="M2625" s="702"/>
      <c r="N2625" s="702">
        <v>44926</v>
      </c>
      <c r="O2625" s="703" t="s">
        <v>338</v>
      </c>
      <c r="P2625" s="20">
        <v>0</v>
      </c>
      <c r="Q2625" s="20">
        <v>147578.35999999999</v>
      </c>
      <c r="R2625" s="20">
        <v>0</v>
      </c>
      <c r="S2625" s="20">
        <v>0</v>
      </c>
      <c r="T2625" s="20">
        <v>147578.35999999999</v>
      </c>
      <c r="U2625" s="20">
        <v>0</v>
      </c>
      <c r="V2625" s="20">
        <v>0</v>
      </c>
      <c r="W2625" s="20">
        <v>0</v>
      </c>
      <c r="X2625" s="20">
        <v>0</v>
      </c>
      <c r="Y2625" s="20">
        <v>0</v>
      </c>
      <c r="Z2625" s="20">
        <v>0</v>
      </c>
      <c r="AA2625" s="20">
        <v>0</v>
      </c>
      <c r="AB2625" s="20">
        <v>147578.35999999999</v>
      </c>
      <c r="AC2625" t="s">
        <v>459</v>
      </c>
      <c r="AD2625" t="s">
        <v>290</v>
      </c>
      <c r="AE2625" s="702">
        <f t="shared" si="200"/>
        <v>44713</v>
      </c>
      <c r="AF2625" s="289">
        <v>144943.93252775425</v>
      </c>
      <c r="AG2625">
        <f t="shared" si="201"/>
        <v>360</v>
      </c>
      <c r="AH2625" s="289">
        <f t="shared" si="202"/>
        <v>402.62203479931736</v>
      </c>
      <c r="AJ2625" s="289">
        <f t="shared" si="203"/>
        <v>6</v>
      </c>
      <c r="AK2625" s="289">
        <f t="shared" si="204"/>
        <v>2415.7322087959042</v>
      </c>
    </row>
    <row r="2626" spans="1:37">
      <c r="A2626" s="703" t="s">
        <v>4583</v>
      </c>
      <c r="B2626" s="703" t="s">
        <v>484</v>
      </c>
      <c r="C2626" s="703" t="s">
        <v>1776</v>
      </c>
      <c r="D2626" s="703" t="s">
        <v>391</v>
      </c>
      <c r="E2626" s="703" t="s">
        <v>334</v>
      </c>
      <c r="F2626" s="703" t="s">
        <v>487</v>
      </c>
      <c r="G2626" s="703" t="s">
        <v>4584</v>
      </c>
      <c r="H2626" s="703" t="s">
        <v>334</v>
      </c>
      <c r="I2626" s="703" t="s">
        <v>4585</v>
      </c>
      <c r="J2626" s="703" t="s">
        <v>490</v>
      </c>
      <c r="K2626" s="704">
        <v>0</v>
      </c>
      <c r="L2626" s="703" t="s">
        <v>334</v>
      </c>
      <c r="M2626" s="702"/>
      <c r="N2626" s="702">
        <v>44926</v>
      </c>
      <c r="O2626" s="703" t="s">
        <v>338</v>
      </c>
      <c r="P2626" s="20">
        <v>0</v>
      </c>
      <c r="Q2626" s="20">
        <v>7875.36</v>
      </c>
      <c r="R2626" s="20">
        <v>0</v>
      </c>
      <c r="S2626" s="20">
        <v>0</v>
      </c>
      <c r="T2626" s="20">
        <v>7875.36</v>
      </c>
      <c r="U2626" s="20">
        <v>0</v>
      </c>
      <c r="V2626" s="20">
        <v>0</v>
      </c>
      <c r="W2626" s="20">
        <v>0</v>
      </c>
      <c r="X2626" s="20">
        <v>0</v>
      </c>
      <c r="Y2626" s="20">
        <v>0</v>
      </c>
      <c r="Z2626" s="20">
        <v>0</v>
      </c>
      <c r="AA2626" s="20">
        <v>0</v>
      </c>
      <c r="AB2626" s="20">
        <v>7875.36</v>
      </c>
      <c r="AC2626" t="s">
        <v>1779</v>
      </c>
      <c r="AD2626" t="s">
        <v>492</v>
      </c>
      <c r="AE2626" s="702">
        <f t="shared" si="200"/>
        <v>44713</v>
      </c>
      <c r="AF2626" s="289">
        <v>7734.7766194974301</v>
      </c>
      <c r="AG2626">
        <f t="shared" si="201"/>
        <v>360</v>
      </c>
      <c r="AH2626" s="289">
        <f t="shared" si="202"/>
        <v>21.485490609715082</v>
      </c>
      <c r="AJ2626" s="289">
        <f t="shared" si="203"/>
        <v>6</v>
      </c>
      <c r="AK2626" s="289">
        <f t="shared" si="204"/>
        <v>0</v>
      </c>
    </row>
    <row r="2627" spans="1:37">
      <c r="A2627" s="703" t="s">
        <v>4586</v>
      </c>
      <c r="B2627" s="703" t="s">
        <v>484</v>
      </c>
      <c r="C2627" s="703" t="s">
        <v>485</v>
      </c>
      <c r="D2627" s="703" t="s">
        <v>334</v>
      </c>
      <c r="E2627" s="703" t="s">
        <v>334</v>
      </c>
      <c r="F2627" s="703" t="s">
        <v>487</v>
      </c>
      <c r="G2627" s="703" t="s">
        <v>4587</v>
      </c>
      <c r="H2627" s="703" t="s">
        <v>334</v>
      </c>
      <c r="I2627" s="703" t="s">
        <v>334</v>
      </c>
      <c r="J2627" s="703" t="s">
        <v>490</v>
      </c>
      <c r="K2627" s="704">
        <v>0</v>
      </c>
      <c r="L2627" s="703" t="s">
        <v>334</v>
      </c>
      <c r="M2627" s="702"/>
      <c r="N2627" s="702">
        <v>44926</v>
      </c>
      <c r="O2627" s="703" t="s">
        <v>338</v>
      </c>
      <c r="P2627" s="20">
        <v>0</v>
      </c>
      <c r="Q2627" s="20">
        <v>218909.76</v>
      </c>
      <c r="R2627" s="20">
        <v>0</v>
      </c>
      <c r="S2627" s="20">
        <v>0</v>
      </c>
      <c r="T2627" s="20">
        <v>218909.76</v>
      </c>
      <c r="U2627" s="20">
        <v>0</v>
      </c>
      <c r="V2627" s="20">
        <v>0</v>
      </c>
      <c r="W2627" s="20">
        <v>0</v>
      </c>
      <c r="X2627" s="20">
        <v>0</v>
      </c>
      <c r="Y2627" s="20">
        <v>0</v>
      </c>
      <c r="Z2627" s="20">
        <v>0</v>
      </c>
      <c r="AA2627" s="20">
        <v>0</v>
      </c>
      <c r="AB2627" s="20">
        <v>218909.76</v>
      </c>
      <c r="AC2627" t="s">
        <v>491</v>
      </c>
      <c r="AD2627" t="s">
        <v>492</v>
      </c>
      <c r="AE2627" s="702">
        <f t="shared" si="200"/>
        <v>44713</v>
      </c>
      <c r="AF2627" s="289">
        <v>215001.99272513177</v>
      </c>
      <c r="AG2627">
        <f t="shared" si="201"/>
        <v>360</v>
      </c>
      <c r="AH2627" s="289">
        <f t="shared" si="202"/>
        <v>597.22775756981048</v>
      </c>
      <c r="AJ2627" s="289">
        <f t="shared" si="203"/>
        <v>6</v>
      </c>
      <c r="AK2627" s="289">
        <f t="shared" si="204"/>
        <v>0</v>
      </c>
    </row>
  </sheetData>
  <autoFilter ref="A6:AK2627" xr:uid="{35E7BC92-3FE6-4A31-A96A-021B70AE812B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90172-1DF6-4F5D-A83D-D536C8258F42}">
  <sheetPr>
    <tabColor theme="4" tint="0.79998168889431442"/>
  </sheetPr>
  <dimension ref="A1:EQ307"/>
  <sheetViews>
    <sheetView showGridLines="0" zoomScale="70" zoomScaleNormal="70" workbookViewId="0">
      <selection activeCell="G31" sqref="G31"/>
    </sheetView>
  </sheetViews>
  <sheetFormatPr defaultColWidth="11.42578125" defaultRowHeight="11.45"/>
  <cols>
    <col min="1" max="1" width="20.140625" style="50" customWidth="1"/>
    <col min="2" max="2" width="7.42578125" style="50" customWidth="1"/>
    <col min="3" max="3" width="11.5703125" style="50" customWidth="1"/>
    <col min="4" max="4" width="44.7109375" style="50" bestFit="1" customWidth="1"/>
    <col min="5" max="5" width="22" style="50" customWidth="1"/>
    <col min="6" max="10" width="16" style="50" customWidth="1"/>
    <col min="11" max="11" width="17.28515625" style="50" bestFit="1" customWidth="1"/>
    <col min="12" max="12" width="16" style="50" customWidth="1"/>
    <col min="13" max="13" width="24.42578125" style="50" customWidth="1"/>
    <col min="14" max="14" width="17.28515625" style="50" bestFit="1" customWidth="1"/>
    <col min="15" max="45" width="16" style="50" customWidth="1"/>
    <col min="46" max="16384" width="11.42578125" style="50"/>
  </cols>
  <sheetData>
    <row r="1" spans="1:45">
      <c r="D1" s="57" t="s">
        <v>4588</v>
      </c>
      <c r="E1" s="57"/>
      <c r="M1" s="58"/>
    </row>
    <row r="2" spans="1:45">
      <c r="D2" s="57"/>
      <c r="M2" s="58"/>
    </row>
    <row r="3" spans="1:45" ht="14.45">
      <c r="D3" s="26" t="s">
        <v>4589</v>
      </c>
      <c r="E3" s="26" t="s">
        <v>4590</v>
      </c>
      <c r="F3" s="27">
        <v>2018</v>
      </c>
      <c r="G3" s="27">
        <v>2019</v>
      </c>
      <c r="H3" s="27">
        <v>2020</v>
      </c>
      <c r="I3" s="27">
        <v>2021</v>
      </c>
      <c r="J3" s="27">
        <v>2022</v>
      </c>
      <c r="K3" s="27">
        <v>2023</v>
      </c>
      <c r="L3" s="27">
        <v>2024</v>
      </c>
      <c r="M3" s="49">
        <v>2025</v>
      </c>
      <c r="N3" s="49">
        <v>2026</v>
      </c>
      <c r="O3" s="49">
        <v>2027</v>
      </c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</row>
    <row r="4" spans="1:45" ht="14.45">
      <c r="A4" s="50" t="str">
        <f>+D4</f>
        <v>Residencial</v>
      </c>
      <c r="B4" s="50" t="str">
        <f>+CONCATENATE(A4,E4)</f>
        <v>Residencial0 - 7</v>
      </c>
      <c r="C4" s="50" t="s">
        <v>4591</v>
      </c>
      <c r="D4" s="811" t="s">
        <v>47</v>
      </c>
      <c r="E4" s="28" t="s">
        <v>4592</v>
      </c>
      <c r="F4" s="176">
        <v>1974975</v>
      </c>
      <c r="G4" s="177">
        <v>2145770</v>
      </c>
      <c r="H4" s="177">
        <v>2164980</v>
      </c>
      <c r="I4" s="177">
        <v>2218424</v>
      </c>
      <c r="J4" s="176">
        <v>2346113</v>
      </c>
      <c r="K4" s="176">
        <v>2423705</v>
      </c>
      <c r="L4" s="176">
        <v>2466920</v>
      </c>
      <c r="M4" s="176">
        <v>2516054.2930638823</v>
      </c>
      <c r="N4" s="176">
        <v>2572671.5209377394</v>
      </c>
      <c r="O4" s="176">
        <v>2626191.170618258</v>
      </c>
      <c r="P4"/>
      <c r="Q4" s="16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</row>
    <row r="5" spans="1:45" ht="14.45">
      <c r="A5" s="50" t="str">
        <f>+A4</f>
        <v>Residencial</v>
      </c>
      <c r="B5" s="50" t="str">
        <f t="shared" ref="B5:B94" si="0">+CONCATENATE(A5,E5)</f>
        <v>Residencial8 - 23</v>
      </c>
      <c r="C5" s="50" t="s">
        <v>4591</v>
      </c>
      <c r="D5" s="812"/>
      <c r="E5" s="29" t="s">
        <v>4593</v>
      </c>
      <c r="F5" s="178">
        <v>2737218</v>
      </c>
      <c r="G5" s="179">
        <v>2805140</v>
      </c>
      <c r="H5" s="179">
        <v>3220775</v>
      </c>
      <c r="I5" s="179">
        <v>3199599</v>
      </c>
      <c r="J5" s="178">
        <v>3190669</v>
      </c>
      <c r="K5" s="178">
        <v>3142032</v>
      </c>
      <c r="L5" s="178">
        <v>3099675</v>
      </c>
      <c r="M5" s="178">
        <v>3069141.8495990601</v>
      </c>
      <c r="N5" s="178">
        <v>3050788.5033846092</v>
      </c>
      <c r="O5" s="178">
        <v>3031038.6935114865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</row>
    <row r="6" spans="1:45" ht="14.45">
      <c r="A6" s="50" t="str">
        <f t="shared" ref="A6:A7" si="1">+A5</f>
        <v>Residencial</v>
      </c>
      <c r="B6" s="50" t="str">
        <f t="shared" si="0"/>
        <v>Residencial24 - 83</v>
      </c>
      <c r="C6" s="50" t="s">
        <v>4591</v>
      </c>
      <c r="D6" s="812"/>
      <c r="E6" s="29" t="s">
        <v>4594</v>
      </c>
      <c r="F6" s="178">
        <v>976591</v>
      </c>
      <c r="G6" s="179">
        <v>924939</v>
      </c>
      <c r="H6" s="179">
        <v>1221408</v>
      </c>
      <c r="I6" s="179">
        <v>1217851</v>
      </c>
      <c r="J6" s="178">
        <v>1141015</v>
      </c>
      <c r="K6" s="178">
        <v>935988</v>
      </c>
      <c r="L6" s="178">
        <v>913477.44000000134</v>
      </c>
      <c r="M6" s="178">
        <v>894788.95608280622</v>
      </c>
      <c r="N6" s="178">
        <v>879908.96733378933</v>
      </c>
      <c r="O6" s="178">
        <v>864846.6581642396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</row>
    <row r="7" spans="1:45" ht="14.45">
      <c r="A7" s="50" t="str">
        <f t="shared" si="1"/>
        <v>Residencial</v>
      </c>
      <c r="B7" s="50" t="str">
        <f t="shared" si="0"/>
        <v>Residencialacima de  83</v>
      </c>
      <c r="C7" s="50" t="s">
        <v>4591</v>
      </c>
      <c r="D7" s="813"/>
      <c r="E7" s="30" t="s">
        <v>4595</v>
      </c>
      <c r="F7" s="180">
        <v>48842</v>
      </c>
      <c r="G7" s="181">
        <v>59309</v>
      </c>
      <c r="H7" s="181">
        <v>58116</v>
      </c>
      <c r="I7" s="181">
        <v>65955</v>
      </c>
      <c r="J7" s="180">
        <v>66811</v>
      </c>
      <c r="K7" s="180">
        <v>67690</v>
      </c>
      <c r="L7" s="180">
        <v>55017</v>
      </c>
      <c r="M7" s="180">
        <v>44881.2082551196</v>
      </c>
      <c r="N7" s="180">
        <v>36755.85372149256</v>
      </c>
      <c r="O7" s="180">
        <v>30086.573402537175</v>
      </c>
      <c r="P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</row>
    <row r="8" spans="1:45" ht="14.45">
      <c r="A8" s="50" t="str">
        <f>+D8</f>
        <v>Residencial Social MCMV</v>
      </c>
      <c r="B8" s="50" t="str">
        <f t="shared" si="0"/>
        <v>Residencial Social MCMV0 - 7</v>
      </c>
      <c r="C8" s="50" t="s">
        <v>4596</v>
      </c>
      <c r="D8" s="814" t="s">
        <v>4597</v>
      </c>
      <c r="E8" s="28" t="s">
        <v>4592</v>
      </c>
      <c r="F8" s="176">
        <v>18610</v>
      </c>
      <c r="G8" s="179">
        <v>17801</v>
      </c>
      <c r="H8" s="179">
        <v>15838</v>
      </c>
      <c r="I8" s="179">
        <v>14415</v>
      </c>
      <c r="J8" s="178">
        <v>13832</v>
      </c>
      <c r="K8" s="176">
        <v>14616</v>
      </c>
      <c r="L8" s="176">
        <v>13088</v>
      </c>
      <c r="M8" s="178">
        <v>16943.944353395698</v>
      </c>
      <c r="N8" s="178">
        <v>16983.568126972885</v>
      </c>
      <c r="O8" s="178">
        <v>17014.829371865624</v>
      </c>
      <c r="P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1:45" ht="14.45">
      <c r="A9" s="50" t="str">
        <f>+A8</f>
        <v>Residencial Social MCMV</v>
      </c>
      <c r="B9" s="50" t="str">
        <f t="shared" si="0"/>
        <v>Residencial Social MCMV8 - 23</v>
      </c>
      <c r="C9" s="50" t="s">
        <v>4596</v>
      </c>
      <c r="D9" s="815"/>
      <c r="E9" s="411" t="s">
        <v>4593</v>
      </c>
      <c r="F9" s="178">
        <v>65433</v>
      </c>
      <c r="G9" s="179">
        <v>56809</v>
      </c>
      <c r="H9" s="179">
        <v>54078</v>
      </c>
      <c r="I9" s="179">
        <v>49928</v>
      </c>
      <c r="J9" s="178">
        <v>44224</v>
      </c>
      <c r="K9" s="178">
        <v>36867</v>
      </c>
      <c r="L9" s="178">
        <v>29490</v>
      </c>
      <c r="M9" s="178">
        <v>37820.625626795001</v>
      </c>
      <c r="N9" s="178">
        <v>37553.968339349078</v>
      </c>
      <c r="O9" s="178">
        <v>37270.670202747417</v>
      </c>
      <c r="P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</row>
    <row r="10" spans="1:45" ht="14.45">
      <c r="A10" s="50" t="str">
        <f t="shared" ref="A10:A11" si="2">+A9</f>
        <v>Residencial Social MCMV</v>
      </c>
      <c r="B10" s="50" t="str">
        <f t="shared" si="0"/>
        <v>Residencial Social MCMV24 - 83</v>
      </c>
      <c r="C10" s="50" t="s">
        <v>4596</v>
      </c>
      <c r="D10" s="815"/>
      <c r="E10" s="411" t="s">
        <v>4594</v>
      </c>
      <c r="F10" s="178">
        <v>12703</v>
      </c>
      <c r="G10" s="179">
        <v>8470</v>
      </c>
      <c r="H10" s="179">
        <v>8255</v>
      </c>
      <c r="I10" s="179">
        <v>7761</v>
      </c>
      <c r="J10" s="178">
        <v>6420</v>
      </c>
      <c r="K10" s="178">
        <v>3558</v>
      </c>
      <c r="L10" s="178">
        <v>2305</v>
      </c>
      <c r="M10" s="178">
        <v>2394.1583878465449</v>
      </c>
      <c r="N10" s="178">
        <v>1925.3425893878391</v>
      </c>
      <c r="O10" s="178">
        <v>1547.5596461084117</v>
      </c>
      <c r="P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ht="14.45">
      <c r="A11" s="50" t="str">
        <f t="shared" si="2"/>
        <v>Residencial Social MCMV</v>
      </c>
      <c r="B11" s="50" t="str">
        <f t="shared" si="0"/>
        <v>Residencial Social MCMVacima de  83</v>
      </c>
      <c r="C11" s="50" t="s">
        <v>4596</v>
      </c>
      <c r="D11" s="816"/>
      <c r="E11" s="412" t="s">
        <v>4595</v>
      </c>
      <c r="F11" s="180">
        <v>0</v>
      </c>
      <c r="G11" s="181">
        <v>0</v>
      </c>
      <c r="H11" s="181">
        <v>0</v>
      </c>
      <c r="I11" s="181">
        <v>200</v>
      </c>
      <c r="J11" s="180">
        <v>15</v>
      </c>
      <c r="K11" s="180">
        <v>544</v>
      </c>
      <c r="L11" s="180">
        <v>0</v>
      </c>
      <c r="M11" s="180">
        <v>947.55635181752075</v>
      </c>
      <c r="N11" s="180">
        <v>1779.2884445136051</v>
      </c>
      <c r="O11" s="180">
        <v>2516.313234767902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ht="14.45">
      <c r="A12" s="50" t="str">
        <f>+D12</f>
        <v>Comercial</v>
      </c>
      <c r="B12" s="50" t="str">
        <f t="shared" si="0"/>
        <v>Comercial0 - 200</v>
      </c>
      <c r="C12" s="50" t="s">
        <v>4598</v>
      </c>
      <c r="D12" s="811" t="s">
        <v>17</v>
      </c>
      <c r="E12" s="31" t="s">
        <v>4599</v>
      </c>
      <c r="F12" s="176">
        <v>676971</v>
      </c>
      <c r="G12" s="179">
        <v>771001</v>
      </c>
      <c r="H12" s="179">
        <v>780690</v>
      </c>
      <c r="I12" s="179">
        <v>772907</v>
      </c>
      <c r="J12" s="178">
        <v>804253</v>
      </c>
      <c r="K12" s="178">
        <v>774847</v>
      </c>
      <c r="L12" s="178">
        <v>748610</v>
      </c>
      <c r="M12" s="178">
        <v>721437.87060687831</v>
      </c>
      <c r="N12" s="178">
        <v>708076.87837313069</v>
      </c>
      <c r="O12" s="178">
        <v>706827.5708552039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ht="14.45">
      <c r="A13" s="50" t="str">
        <f>+A12</f>
        <v>Comercial</v>
      </c>
      <c r="B13" s="50" t="str">
        <f t="shared" si="0"/>
        <v>Comercial201 - 500</v>
      </c>
      <c r="C13" s="50" t="s">
        <v>4598</v>
      </c>
      <c r="D13" s="812"/>
      <c r="E13" s="32" t="s">
        <v>4600</v>
      </c>
      <c r="F13" s="178">
        <v>1065301</v>
      </c>
      <c r="G13" s="179">
        <v>1212689</v>
      </c>
      <c r="H13" s="179">
        <v>1086377</v>
      </c>
      <c r="I13" s="179">
        <v>1256953</v>
      </c>
      <c r="J13" s="178">
        <v>1298933</v>
      </c>
      <c r="K13" s="178">
        <v>1263253</v>
      </c>
      <c r="L13" s="178">
        <v>1239593</v>
      </c>
      <c r="M13" s="178">
        <v>1165179.934151323</v>
      </c>
      <c r="N13" s="178">
        <v>1143600.8617385894</v>
      </c>
      <c r="O13" s="178">
        <v>1141583.1300519397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ht="14.45">
      <c r="A14" s="50" t="str">
        <f t="shared" ref="A14:A17" si="3">+A13</f>
        <v>Comercial</v>
      </c>
      <c r="B14" s="50" t="str">
        <f t="shared" si="0"/>
        <v>Comercial501 - 2.000</v>
      </c>
      <c r="C14" s="50" t="s">
        <v>4598</v>
      </c>
      <c r="D14" s="812"/>
      <c r="E14" s="32" t="s">
        <v>4601</v>
      </c>
      <c r="F14" s="178">
        <v>1512612</v>
      </c>
      <c r="G14" s="179">
        <v>1729628</v>
      </c>
      <c r="H14" s="179">
        <v>1381420</v>
      </c>
      <c r="I14" s="179">
        <v>1732922</v>
      </c>
      <c r="J14" s="178">
        <v>1916726</v>
      </c>
      <c r="K14" s="178">
        <v>1912023</v>
      </c>
      <c r="L14" s="178">
        <v>1954682</v>
      </c>
      <c r="M14" s="178">
        <v>1719357.8687015644</v>
      </c>
      <c r="N14" s="178">
        <v>1687515.4494625663</v>
      </c>
      <c r="O14" s="178">
        <v>1684538.0527955899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ht="14.45">
      <c r="A15" s="50" t="str">
        <f t="shared" si="3"/>
        <v>Comercial</v>
      </c>
      <c r="B15" s="50" t="str">
        <f t="shared" si="0"/>
        <v>Comercial2001 - 20.000</v>
      </c>
      <c r="C15" s="50" t="s">
        <v>4598</v>
      </c>
      <c r="D15" s="812"/>
      <c r="E15" s="32" t="s">
        <v>4602</v>
      </c>
      <c r="F15" s="178">
        <v>775649</v>
      </c>
      <c r="G15" s="179">
        <v>750712</v>
      </c>
      <c r="H15" s="179">
        <v>769262</v>
      </c>
      <c r="I15" s="179">
        <v>1021571</v>
      </c>
      <c r="J15" s="178">
        <v>896441</v>
      </c>
      <c r="K15" s="178">
        <v>655870</v>
      </c>
      <c r="L15" s="178">
        <v>580702.81000000052</v>
      </c>
      <c r="M15" s="178">
        <v>804133.1349273182</v>
      </c>
      <c r="N15" s="178">
        <v>789240.63065439311</v>
      </c>
      <c r="O15" s="178">
        <v>787848.12048573012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ht="14.45">
      <c r="A16" s="50" t="str">
        <f t="shared" si="3"/>
        <v>Comercial</v>
      </c>
      <c r="B16" s="50" t="str">
        <f t="shared" si="0"/>
        <v>Comercial20.001 - 50.000</v>
      </c>
      <c r="C16" s="50" t="s">
        <v>4598</v>
      </c>
      <c r="D16" s="812"/>
      <c r="E16" s="32" t="s">
        <v>4603</v>
      </c>
      <c r="F16" s="178">
        <v>0</v>
      </c>
      <c r="G16" s="179">
        <v>0</v>
      </c>
      <c r="H16" s="179">
        <v>28494</v>
      </c>
      <c r="I16" s="179">
        <v>73430</v>
      </c>
      <c r="J16" s="178">
        <v>257286</v>
      </c>
      <c r="K16" s="178">
        <v>111467</v>
      </c>
      <c r="L16" s="178">
        <v>224593</v>
      </c>
      <c r="M16" s="178">
        <v>230792.87733705842</v>
      </c>
      <c r="N16" s="178">
        <v>226518.60512688084</v>
      </c>
      <c r="O16" s="178">
        <v>226118.9431622288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</row>
    <row r="17" spans="1:45" ht="14.45">
      <c r="A17" s="50" t="str">
        <f t="shared" si="3"/>
        <v>Comercial</v>
      </c>
      <c r="B17" s="50" t="str">
        <f t="shared" si="0"/>
        <v>Comercialacima de 50.000</v>
      </c>
      <c r="C17" s="50" t="s">
        <v>4598</v>
      </c>
      <c r="D17" s="813"/>
      <c r="E17" s="33" t="s">
        <v>4604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78">
        <v>0</v>
      </c>
      <c r="L17" s="178">
        <v>0</v>
      </c>
      <c r="M17" s="180">
        <v>0</v>
      </c>
      <c r="N17" s="180">
        <v>0</v>
      </c>
      <c r="O17" s="180"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</row>
    <row r="18" spans="1:45" ht="14.45">
      <c r="A18" s="50" t="str">
        <f>+D18</f>
        <v>Climatização</v>
      </c>
      <c r="B18" s="50" t="str">
        <f t="shared" si="0"/>
        <v>Climatização0 - 200</v>
      </c>
      <c r="C18" s="50" t="s">
        <v>4605</v>
      </c>
      <c r="D18" s="811" t="s">
        <v>103</v>
      </c>
      <c r="E18" s="34" t="s">
        <v>4599</v>
      </c>
      <c r="F18" s="176">
        <v>35271</v>
      </c>
      <c r="G18" s="179">
        <v>32128</v>
      </c>
      <c r="H18" s="179">
        <v>55592</v>
      </c>
      <c r="I18" s="179">
        <v>78347</v>
      </c>
      <c r="J18" s="178">
        <v>84064</v>
      </c>
      <c r="K18" s="176">
        <v>79158</v>
      </c>
      <c r="L18" s="176">
        <v>94632</v>
      </c>
      <c r="M18" s="178">
        <v>99068.052338044959</v>
      </c>
      <c r="N18" s="178">
        <v>97233.317107431605</v>
      </c>
      <c r="O18" s="178">
        <v>97061.761845897898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</row>
    <row r="19" spans="1:45" ht="14.45">
      <c r="A19" s="50" t="str">
        <f>+A18</f>
        <v>Climatização</v>
      </c>
      <c r="B19" s="50" t="str">
        <f t="shared" si="0"/>
        <v>Climatização201 - 5.000</v>
      </c>
      <c r="C19" s="50" t="s">
        <v>4605</v>
      </c>
      <c r="D19" s="812"/>
      <c r="E19" s="35" t="s">
        <v>4606</v>
      </c>
      <c r="F19" s="178">
        <v>201759</v>
      </c>
      <c r="G19" s="179">
        <v>234487</v>
      </c>
      <c r="H19" s="179">
        <v>62422</v>
      </c>
      <c r="I19" s="179">
        <v>68471</v>
      </c>
      <c r="J19" s="178">
        <v>57666</v>
      </c>
      <c r="K19" s="178">
        <v>79177</v>
      </c>
      <c r="L19" s="178">
        <v>83919</v>
      </c>
      <c r="M19" s="178">
        <v>67958.440070966171</v>
      </c>
      <c r="N19" s="178">
        <v>66699.853258435833</v>
      </c>
      <c r="O19" s="178">
        <v>66582.170234649166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</row>
    <row r="20" spans="1:45" ht="14.45">
      <c r="A20" s="50" t="str">
        <f t="shared" ref="A20:A26" si="4">+A19</f>
        <v>Climatização</v>
      </c>
      <c r="B20" s="50" t="str">
        <f t="shared" si="0"/>
        <v>Climatização5.001 - 20.000</v>
      </c>
      <c r="C20" s="50" t="s">
        <v>4605</v>
      </c>
      <c r="D20" s="812"/>
      <c r="E20" s="35" t="s">
        <v>4607</v>
      </c>
      <c r="F20" s="178">
        <v>60769</v>
      </c>
      <c r="G20" s="179">
        <v>17618</v>
      </c>
      <c r="H20" s="179">
        <v>0</v>
      </c>
      <c r="I20" s="179">
        <v>0</v>
      </c>
      <c r="J20" s="178">
        <v>0</v>
      </c>
      <c r="K20" s="178">
        <v>0</v>
      </c>
      <c r="L20" s="178">
        <v>0</v>
      </c>
      <c r="M20" s="178">
        <v>0</v>
      </c>
      <c r="N20" s="178">
        <v>0</v>
      </c>
      <c r="O20" s="178"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</row>
    <row r="21" spans="1:45" ht="14.45">
      <c r="A21" s="50" t="str">
        <f t="shared" si="4"/>
        <v>Climatização</v>
      </c>
      <c r="B21" s="50" t="str">
        <f t="shared" si="0"/>
        <v>Climatização20.001 - 70.000</v>
      </c>
      <c r="C21" s="50" t="s">
        <v>4605</v>
      </c>
      <c r="D21" s="812"/>
      <c r="E21" s="35" t="s">
        <v>4608</v>
      </c>
      <c r="F21" s="178">
        <v>0</v>
      </c>
      <c r="G21" s="179">
        <v>0</v>
      </c>
      <c r="H21" s="179">
        <v>0</v>
      </c>
      <c r="I21" s="179">
        <v>0</v>
      </c>
      <c r="J21" s="178">
        <v>0</v>
      </c>
      <c r="K21" s="178">
        <v>0</v>
      </c>
      <c r="L21" s="178">
        <v>0</v>
      </c>
      <c r="M21" s="178">
        <v>0</v>
      </c>
      <c r="N21" s="178">
        <v>0</v>
      </c>
      <c r="O21" s="178"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</row>
    <row r="22" spans="1:45" ht="14.45">
      <c r="A22" s="50" t="str">
        <f t="shared" si="4"/>
        <v>Climatização</v>
      </c>
      <c r="B22" s="50" t="str">
        <f t="shared" si="0"/>
        <v>Climatização70.001 - 120.000</v>
      </c>
      <c r="C22" s="50" t="s">
        <v>4605</v>
      </c>
      <c r="D22" s="812"/>
      <c r="E22" s="35" t="s">
        <v>4609</v>
      </c>
      <c r="F22" s="178">
        <v>0</v>
      </c>
      <c r="G22" s="178">
        <v>0</v>
      </c>
      <c r="H22" s="178">
        <v>0</v>
      </c>
      <c r="I22" s="178">
        <v>0</v>
      </c>
      <c r="J22" s="178">
        <v>0</v>
      </c>
      <c r="K22" s="178">
        <v>0</v>
      </c>
      <c r="L22" s="178">
        <v>0</v>
      </c>
      <c r="M22" s="178">
        <v>0</v>
      </c>
      <c r="N22" s="178">
        <v>0</v>
      </c>
      <c r="O22" s="178"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</row>
    <row r="23" spans="1:45" ht="14.45">
      <c r="A23" s="50" t="str">
        <f t="shared" si="4"/>
        <v>Climatização</v>
      </c>
      <c r="B23" s="50" t="str">
        <f t="shared" si="0"/>
        <v>Climatização120.001 - 300.000</v>
      </c>
      <c r="C23" s="50" t="s">
        <v>4605</v>
      </c>
      <c r="D23" s="812"/>
      <c r="E23" s="35" t="s">
        <v>4610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</row>
    <row r="24" spans="1:45" ht="14.45">
      <c r="A24" s="50" t="str">
        <f t="shared" si="4"/>
        <v>Climatização</v>
      </c>
      <c r="B24" s="50" t="str">
        <f t="shared" si="0"/>
        <v>Climatização300.001 - 600.000</v>
      </c>
      <c r="C24" s="50" t="s">
        <v>4605</v>
      </c>
      <c r="D24" s="812"/>
      <c r="E24" s="35" t="s">
        <v>4611</v>
      </c>
      <c r="F24" s="178">
        <v>0</v>
      </c>
      <c r="G24" s="179">
        <v>0</v>
      </c>
      <c r="H24" s="179">
        <v>0</v>
      </c>
      <c r="I24" s="179">
        <v>0</v>
      </c>
      <c r="J24" s="178">
        <v>0</v>
      </c>
      <c r="K24" s="178">
        <v>0</v>
      </c>
      <c r="L24" s="178">
        <v>0</v>
      </c>
      <c r="M24" s="178">
        <v>0</v>
      </c>
      <c r="N24" s="178">
        <v>0</v>
      </c>
      <c r="O24" s="178"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</row>
    <row r="25" spans="1:45" ht="14.45">
      <c r="A25" s="50" t="str">
        <f t="shared" si="4"/>
        <v>Climatização</v>
      </c>
      <c r="B25" s="50" t="str">
        <f t="shared" si="0"/>
        <v>Climatização600.001 - 1.500.000</v>
      </c>
      <c r="C25" s="50" t="s">
        <v>4605</v>
      </c>
      <c r="D25" s="812"/>
      <c r="E25" s="35" t="s">
        <v>4612</v>
      </c>
      <c r="F25" s="178">
        <v>0</v>
      </c>
      <c r="G25" s="179">
        <v>0</v>
      </c>
      <c r="H25" s="179">
        <v>0</v>
      </c>
      <c r="I25" s="179">
        <v>0</v>
      </c>
      <c r="J25" s="178">
        <v>0</v>
      </c>
      <c r="K25" s="178">
        <v>0</v>
      </c>
      <c r="L25" s="178">
        <v>0</v>
      </c>
      <c r="M25" s="178">
        <v>0</v>
      </c>
      <c r="N25" s="178">
        <v>0</v>
      </c>
      <c r="O25" s="178"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</row>
    <row r="26" spans="1:45" ht="14.45">
      <c r="A26" s="50" t="str">
        <f t="shared" si="4"/>
        <v>Climatização</v>
      </c>
      <c r="B26" s="50" t="str">
        <f t="shared" si="0"/>
        <v>Climatizaçãoacima de 1.500.000</v>
      </c>
      <c r="C26" s="50" t="s">
        <v>4605</v>
      </c>
      <c r="D26" s="813"/>
      <c r="E26" s="35" t="s">
        <v>4613</v>
      </c>
      <c r="F26" s="180">
        <v>0</v>
      </c>
      <c r="G26" s="181">
        <v>0</v>
      </c>
      <c r="H26" s="181">
        <v>0</v>
      </c>
      <c r="I26" s="181">
        <v>0</v>
      </c>
      <c r="J26" s="180">
        <v>0</v>
      </c>
      <c r="K26" s="180">
        <v>0</v>
      </c>
      <c r="L26" s="180">
        <v>0</v>
      </c>
      <c r="M26" s="180">
        <v>0</v>
      </c>
      <c r="N26" s="180">
        <v>0</v>
      </c>
      <c r="O26" s="180"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</row>
    <row r="27" spans="1:45" ht="14.45">
      <c r="A27" s="50" t="str">
        <f>+D27</f>
        <v>Cogeração</v>
      </c>
      <c r="B27" s="50" t="str">
        <f t="shared" si="0"/>
        <v>Cogeração0 - 200</v>
      </c>
      <c r="C27" s="50" t="s">
        <v>4614</v>
      </c>
      <c r="D27" s="811" t="s">
        <v>105</v>
      </c>
      <c r="E27" s="36" t="s">
        <v>4599</v>
      </c>
      <c r="F27" s="176">
        <v>634</v>
      </c>
      <c r="G27" s="179">
        <v>840</v>
      </c>
      <c r="H27" s="179">
        <v>896</v>
      </c>
      <c r="I27" s="179">
        <v>688</v>
      </c>
      <c r="J27" s="178">
        <v>436</v>
      </c>
      <c r="K27" s="176">
        <v>3</v>
      </c>
      <c r="L27" s="176">
        <v>0</v>
      </c>
      <c r="M27" s="178">
        <v>0</v>
      </c>
      <c r="N27" s="178">
        <v>0</v>
      </c>
      <c r="O27" s="178"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</row>
    <row r="28" spans="1:45" ht="14.45">
      <c r="A28" s="50" t="str">
        <f>+A27</f>
        <v>Cogeração</v>
      </c>
      <c r="B28" s="50" t="str">
        <f t="shared" si="0"/>
        <v>Cogeração201 - 5.000</v>
      </c>
      <c r="C28" s="50" t="s">
        <v>4614</v>
      </c>
      <c r="D28" s="812"/>
      <c r="E28" s="37" t="s">
        <v>4606</v>
      </c>
      <c r="F28" s="178">
        <v>14400</v>
      </c>
      <c r="G28" s="179">
        <v>16193</v>
      </c>
      <c r="H28" s="179">
        <v>14508</v>
      </c>
      <c r="I28" s="179">
        <v>14400</v>
      </c>
      <c r="J28" s="178">
        <v>5438</v>
      </c>
      <c r="K28" s="178">
        <v>0</v>
      </c>
      <c r="L28" s="178">
        <v>0</v>
      </c>
      <c r="M28" s="178">
        <v>0</v>
      </c>
      <c r="N28" s="178">
        <v>0</v>
      </c>
      <c r="O28" s="178"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  <row r="29" spans="1:45" ht="14.45">
      <c r="A29" s="50" t="str">
        <f t="shared" ref="A29:A35" si="5">+A28</f>
        <v>Cogeração</v>
      </c>
      <c r="B29" s="50" t="str">
        <f t="shared" si="0"/>
        <v>Cogeração5.001 - 20.000</v>
      </c>
      <c r="C29" s="50" t="s">
        <v>4614</v>
      </c>
      <c r="D29" s="812"/>
      <c r="E29" s="37" t="s">
        <v>4607</v>
      </c>
      <c r="F29" s="178">
        <v>45000</v>
      </c>
      <c r="G29" s="179">
        <v>45000</v>
      </c>
      <c r="H29" s="179">
        <v>45000</v>
      </c>
      <c r="I29" s="179">
        <v>39493</v>
      </c>
      <c r="J29" s="178">
        <v>8827</v>
      </c>
      <c r="K29" s="178">
        <v>0</v>
      </c>
      <c r="L29" s="178">
        <v>0</v>
      </c>
      <c r="M29" s="178">
        <v>0</v>
      </c>
      <c r="N29" s="178">
        <v>0</v>
      </c>
      <c r="O29" s="178"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</row>
    <row r="30" spans="1:45" ht="14.45">
      <c r="A30" s="50" t="str">
        <f t="shared" si="5"/>
        <v>Cogeração</v>
      </c>
      <c r="B30" s="50" t="str">
        <f t="shared" si="0"/>
        <v>Cogeração20.001 - 70.000</v>
      </c>
      <c r="C30" s="50" t="s">
        <v>4614</v>
      </c>
      <c r="D30" s="812"/>
      <c r="E30" s="37" t="s">
        <v>4608</v>
      </c>
      <c r="F30" s="178">
        <v>101009</v>
      </c>
      <c r="G30" s="179">
        <v>150000</v>
      </c>
      <c r="H30" s="179">
        <v>150000</v>
      </c>
      <c r="I30" s="179">
        <v>100000</v>
      </c>
      <c r="J30" s="178">
        <v>0</v>
      </c>
      <c r="K30" s="178">
        <v>0</v>
      </c>
      <c r="L30" s="178">
        <v>0</v>
      </c>
      <c r="M30" s="178">
        <v>0</v>
      </c>
      <c r="N30" s="178">
        <v>0</v>
      </c>
      <c r="O30" s="178"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</row>
    <row r="31" spans="1:45" ht="14.45">
      <c r="A31" s="50" t="str">
        <f t="shared" si="5"/>
        <v>Cogeração</v>
      </c>
      <c r="B31" s="50" t="str">
        <f t="shared" si="0"/>
        <v>Cogeração70.001 - 120.000</v>
      </c>
      <c r="C31" s="50" t="s">
        <v>4614</v>
      </c>
      <c r="D31" s="812"/>
      <c r="E31" s="37" t="s">
        <v>4609</v>
      </c>
      <c r="F31" s="178">
        <v>58685</v>
      </c>
      <c r="G31" s="179">
        <v>150000</v>
      </c>
      <c r="H31" s="179">
        <v>150000</v>
      </c>
      <c r="I31" s="179">
        <v>100000</v>
      </c>
      <c r="J31" s="178">
        <v>0</v>
      </c>
      <c r="K31" s="178">
        <v>0</v>
      </c>
      <c r="L31" s="178">
        <v>0</v>
      </c>
      <c r="M31" s="178">
        <v>0</v>
      </c>
      <c r="N31" s="178">
        <v>0</v>
      </c>
      <c r="O31" s="178"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</row>
    <row r="32" spans="1:45" ht="14.45">
      <c r="A32" s="50" t="str">
        <f t="shared" si="5"/>
        <v>Cogeração</v>
      </c>
      <c r="B32" s="50" t="str">
        <f t="shared" si="0"/>
        <v>Cogeração120.001 - 300.000</v>
      </c>
      <c r="C32" s="50" t="s">
        <v>4614</v>
      </c>
      <c r="D32" s="812"/>
      <c r="E32" s="37" t="s">
        <v>4610</v>
      </c>
      <c r="F32" s="178">
        <v>180000</v>
      </c>
      <c r="G32" s="179">
        <v>477570</v>
      </c>
      <c r="H32" s="179">
        <v>453723</v>
      </c>
      <c r="I32" s="179">
        <v>295912</v>
      </c>
      <c r="J32" s="178">
        <v>0</v>
      </c>
      <c r="K32" s="178">
        <v>0</v>
      </c>
      <c r="L32" s="178">
        <v>0</v>
      </c>
      <c r="M32" s="178">
        <v>0</v>
      </c>
      <c r="N32" s="178">
        <v>0</v>
      </c>
      <c r="O32" s="178"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</row>
    <row r="33" spans="1:45" ht="14.45">
      <c r="A33" s="50" t="str">
        <f t="shared" si="5"/>
        <v>Cogeração</v>
      </c>
      <c r="B33" s="50" t="str">
        <f t="shared" si="0"/>
        <v>Cogeração300.001 - 600.000</v>
      </c>
      <c r="C33" s="50" t="s">
        <v>4614</v>
      </c>
      <c r="D33" s="812"/>
      <c r="E33" s="37" t="s">
        <v>4611</v>
      </c>
      <c r="F33" s="178">
        <v>300000</v>
      </c>
      <c r="G33" s="179">
        <v>536498</v>
      </c>
      <c r="H33" s="179">
        <v>511702</v>
      </c>
      <c r="I33" s="179">
        <v>300000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8"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</row>
    <row r="34" spans="1:45" ht="14.45">
      <c r="A34" s="50" t="str">
        <f t="shared" si="5"/>
        <v>Cogeração</v>
      </c>
      <c r="B34" s="50" t="str">
        <f t="shared" si="0"/>
        <v>Cogeração600.001 - 1.500.000</v>
      </c>
      <c r="C34" s="50" t="s">
        <v>4614</v>
      </c>
      <c r="D34" s="812"/>
      <c r="E34" s="37" t="s">
        <v>4612</v>
      </c>
      <c r="F34" s="178">
        <v>2031640</v>
      </c>
      <c r="G34" s="179">
        <v>2921995</v>
      </c>
      <c r="H34" s="179">
        <v>1980832</v>
      </c>
      <c r="I34" s="179">
        <v>3579105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8">
        <v>0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ht="14.45">
      <c r="A35" s="50" t="str">
        <f t="shared" si="5"/>
        <v>Cogeração</v>
      </c>
      <c r="B35" s="50" t="str">
        <f t="shared" si="0"/>
        <v>Cogeraçãoacima de 1.500.000</v>
      </c>
      <c r="C35" s="50" t="s">
        <v>4614</v>
      </c>
      <c r="D35" s="813"/>
      <c r="E35" s="38" t="s">
        <v>4613</v>
      </c>
      <c r="F35" s="180">
        <v>0</v>
      </c>
      <c r="G35" s="181">
        <v>0</v>
      </c>
      <c r="H35" s="181">
        <v>0</v>
      </c>
      <c r="I35" s="181">
        <v>0</v>
      </c>
      <c r="J35" s="180">
        <v>0</v>
      </c>
      <c r="K35" s="180">
        <v>0</v>
      </c>
      <c r="L35" s="180">
        <v>0</v>
      </c>
      <c r="M35" s="180">
        <v>0</v>
      </c>
      <c r="N35" s="180">
        <v>0</v>
      </c>
      <c r="O35" s="180">
        <v>0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ht="14.45">
      <c r="A36" s="50" t="str">
        <f>+D36</f>
        <v>Geração Distribuída</v>
      </c>
      <c r="B36" s="50" t="str">
        <f t="shared" si="0"/>
        <v>Geração Distribuída0 - 200</v>
      </c>
      <c r="C36" s="50" t="s">
        <v>4615</v>
      </c>
      <c r="D36" s="811" t="s">
        <v>104</v>
      </c>
      <c r="E36" s="36" t="s">
        <v>4599</v>
      </c>
      <c r="F36" s="176">
        <v>2129</v>
      </c>
      <c r="G36" s="179">
        <v>1254</v>
      </c>
      <c r="H36" s="179">
        <v>1022</v>
      </c>
      <c r="I36" s="179">
        <v>1033</v>
      </c>
      <c r="J36" s="178">
        <v>1267</v>
      </c>
      <c r="K36" s="178">
        <v>1123</v>
      </c>
      <c r="L36" s="178">
        <v>992</v>
      </c>
      <c r="M36" s="178">
        <v>912.33732391378646</v>
      </c>
      <c r="N36" s="178">
        <v>895.44088362972423</v>
      </c>
      <c r="O36" s="178">
        <v>893.86099723328118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</row>
    <row r="37" spans="1:45" ht="14.45">
      <c r="A37" s="50" t="str">
        <f>+A36</f>
        <v>Geração Distribuída</v>
      </c>
      <c r="B37" s="50" t="str">
        <f t="shared" si="0"/>
        <v>Geração Distribuída201 - 5.000</v>
      </c>
      <c r="C37" s="50" t="s">
        <v>4615</v>
      </c>
      <c r="D37" s="812"/>
      <c r="E37" s="37" t="s">
        <v>4606</v>
      </c>
      <c r="F37" s="178">
        <v>114324</v>
      </c>
      <c r="G37" s="179">
        <v>64000</v>
      </c>
      <c r="H37" s="179">
        <v>52782</v>
      </c>
      <c r="I37" s="179">
        <v>64022</v>
      </c>
      <c r="J37" s="178">
        <v>42492</v>
      </c>
      <c r="K37" s="178">
        <v>17796</v>
      </c>
      <c r="L37" s="178">
        <v>10066</v>
      </c>
      <c r="M37" s="178">
        <v>30597.503999798435</v>
      </c>
      <c r="N37" s="178">
        <v>30030.839800469013</v>
      </c>
      <c r="O37" s="178">
        <v>29977.854376035189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</row>
    <row r="38" spans="1:45" ht="14.45">
      <c r="A38" s="50" t="str">
        <f t="shared" ref="A38:A44" si="6">+A37</f>
        <v>Geração Distribuída</v>
      </c>
      <c r="B38" s="50" t="str">
        <f t="shared" si="0"/>
        <v>Geração Distribuída5.001 - 20.000</v>
      </c>
      <c r="C38" s="50" t="s">
        <v>4615</v>
      </c>
      <c r="D38" s="812"/>
      <c r="E38" s="37" t="s">
        <v>4607</v>
      </c>
      <c r="F38" s="178">
        <v>152545</v>
      </c>
      <c r="G38" s="179">
        <v>79660</v>
      </c>
      <c r="H38" s="179">
        <v>112979</v>
      </c>
      <c r="I38" s="179">
        <v>138669</v>
      </c>
      <c r="J38" s="178">
        <v>83028</v>
      </c>
      <c r="K38" s="178">
        <v>100625</v>
      </c>
      <c r="L38" s="178">
        <v>208947</v>
      </c>
      <c r="M38" s="178">
        <v>59786.537750523967</v>
      </c>
      <c r="N38" s="178">
        <v>58679.294148388908</v>
      </c>
      <c r="O38" s="178">
        <v>58575.762334873616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</row>
    <row r="39" spans="1:45" ht="14.45">
      <c r="A39" s="50" t="str">
        <f t="shared" si="6"/>
        <v>Geração Distribuída</v>
      </c>
      <c r="B39" s="50" t="str">
        <f t="shared" si="0"/>
        <v>Geração Distribuída20.001 - 70.000</v>
      </c>
      <c r="C39" s="50" t="s">
        <v>4615</v>
      </c>
      <c r="D39" s="812"/>
      <c r="E39" s="37" t="s">
        <v>4608</v>
      </c>
      <c r="F39" s="178">
        <v>63914</v>
      </c>
      <c r="G39" s="179">
        <v>189079</v>
      </c>
      <c r="H39" s="179">
        <v>118696</v>
      </c>
      <c r="I39" s="179">
        <v>93572</v>
      </c>
      <c r="J39" s="178">
        <v>165105</v>
      </c>
      <c r="K39" s="178">
        <v>136658</v>
      </c>
      <c r="L39" s="178">
        <v>4682</v>
      </c>
      <c r="M39" s="178">
        <v>118888.28245050176</v>
      </c>
      <c r="N39" s="178">
        <v>116686.47757828384</v>
      </c>
      <c r="O39" s="178">
        <v>116480.59980126354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</row>
    <row r="40" spans="1:45" ht="14.45">
      <c r="A40" s="50" t="str">
        <f t="shared" si="6"/>
        <v>Geração Distribuída</v>
      </c>
      <c r="B40" s="50" t="str">
        <f t="shared" si="0"/>
        <v>Geração Distribuída70.001 - 120.000</v>
      </c>
      <c r="C40" s="50" t="s">
        <v>4615</v>
      </c>
      <c r="D40" s="812"/>
      <c r="E40" s="37" t="s">
        <v>4609</v>
      </c>
      <c r="F40" s="178">
        <v>0</v>
      </c>
      <c r="G40" s="179">
        <v>0</v>
      </c>
      <c r="H40" s="179">
        <v>0</v>
      </c>
      <c r="I40" s="179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</row>
    <row r="41" spans="1:45" ht="14.45">
      <c r="A41" s="50" t="str">
        <f t="shared" si="6"/>
        <v>Geração Distribuída</v>
      </c>
      <c r="B41" s="50" t="str">
        <f t="shared" si="0"/>
        <v>Geração Distribuída120.001 - 300.000</v>
      </c>
      <c r="C41" s="50" t="s">
        <v>4615</v>
      </c>
      <c r="D41" s="812"/>
      <c r="E41" s="37" t="s">
        <v>4610</v>
      </c>
      <c r="F41" s="178">
        <v>0</v>
      </c>
      <c r="G41" s="179">
        <v>0</v>
      </c>
      <c r="H41" s="179">
        <v>0</v>
      </c>
      <c r="I41" s="179">
        <v>0</v>
      </c>
      <c r="J41" s="178">
        <v>0</v>
      </c>
      <c r="K41" s="178">
        <v>0</v>
      </c>
      <c r="L41" s="178">
        <v>0</v>
      </c>
      <c r="M41" s="178">
        <v>0</v>
      </c>
      <c r="N41" s="178">
        <v>0</v>
      </c>
      <c r="O41" s="178"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</row>
    <row r="42" spans="1:45" ht="14.45">
      <c r="A42" s="50" t="str">
        <f t="shared" si="6"/>
        <v>Geração Distribuída</v>
      </c>
      <c r="B42" s="50" t="str">
        <f t="shared" si="0"/>
        <v>Geração Distribuída300.001 - 600.000</v>
      </c>
      <c r="C42" s="50" t="s">
        <v>4615</v>
      </c>
      <c r="D42" s="812"/>
      <c r="E42" s="37" t="s">
        <v>4611</v>
      </c>
      <c r="F42" s="178">
        <v>0</v>
      </c>
      <c r="G42" s="179">
        <v>0</v>
      </c>
      <c r="H42" s="179">
        <v>0</v>
      </c>
      <c r="I42" s="179">
        <v>0</v>
      </c>
      <c r="J42" s="178">
        <v>0</v>
      </c>
      <c r="K42" s="178">
        <v>0</v>
      </c>
      <c r="L42" s="178">
        <v>0</v>
      </c>
      <c r="M42" s="178">
        <v>0</v>
      </c>
      <c r="N42" s="178">
        <v>0</v>
      </c>
      <c r="O42" s="178"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</row>
    <row r="43" spans="1:45" ht="14.45">
      <c r="A43" s="50" t="str">
        <f t="shared" si="6"/>
        <v>Geração Distribuída</v>
      </c>
      <c r="B43" s="50" t="str">
        <f t="shared" si="0"/>
        <v>Geração Distribuída600.001 - 1.500.000</v>
      </c>
      <c r="C43" s="50" t="s">
        <v>4615</v>
      </c>
      <c r="D43" s="812"/>
      <c r="E43" s="37" t="s">
        <v>4612</v>
      </c>
      <c r="F43" s="178">
        <v>0</v>
      </c>
      <c r="G43" s="179">
        <v>0</v>
      </c>
      <c r="H43" s="179">
        <v>0</v>
      </c>
      <c r="I43" s="179">
        <v>0</v>
      </c>
      <c r="J43" s="178">
        <v>0</v>
      </c>
      <c r="K43" s="178">
        <v>0</v>
      </c>
      <c r="L43" s="178">
        <v>0</v>
      </c>
      <c r="M43" s="178">
        <v>0</v>
      </c>
      <c r="N43" s="178">
        <v>0</v>
      </c>
      <c r="O43" s="178"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</row>
    <row r="44" spans="1:45" ht="14.45">
      <c r="A44" s="50" t="str">
        <f t="shared" si="6"/>
        <v>Geração Distribuída</v>
      </c>
      <c r="B44" s="50" t="str">
        <f t="shared" si="0"/>
        <v>Geração Distribuídaacima de 1.500.000</v>
      </c>
      <c r="C44" s="50" t="s">
        <v>4615</v>
      </c>
      <c r="D44" s="813"/>
      <c r="E44" s="38" t="s">
        <v>4613</v>
      </c>
      <c r="F44" s="180">
        <v>0</v>
      </c>
      <c r="G44" s="181">
        <v>0</v>
      </c>
      <c r="H44" s="181">
        <v>0</v>
      </c>
      <c r="I44" s="181">
        <v>0</v>
      </c>
      <c r="J44" s="180">
        <v>0</v>
      </c>
      <c r="K44" s="180">
        <v>0</v>
      </c>
      <c r="L44" s="180">
        <v>0</v>
      </c>
      <c r="M44" s="180">
        <v>0</v>
      </c>
      <c r="N44" s="180">
        <v>0</v>
      </c>
      <c r="O44" s="180"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</row>
    <row r="45" spans="1:45" ht="14.45">
      <c r="A45" s="50" t="str">
        <f>+D45</f>
        <v>GNV</v>
      </c>
      <c r="B45" s="50" t="str">
        <f t="shared" si="0"/>
        <v>GNVfaixa única</v>
      </c>
      <c r="C45" s="50" t="s">
        <v>4616</v>
      </c>
      <c r="D45" s="39" t="s">
        <v>19</v>
      </c>
      <c r="E45" s="40" t="s">
        <v>4617</v>
      </c>
      <c r="F45" s="182">
        <v>232691551</v>
      </c>
      <c r="G45" s="181">
        <v>231070201</v>
      </c>
      <c r="H45" s="181">
        <v>202778222</v>
      </c>
      <c r="I45" s="181">
        <v>225303833</v>
      </c>
      <c r="J45" s="180">
        <v>229204862</v>
      </c>
      <c r="K45" s="180">
        <v>195916000</v>
      </c>
      <c r="L45" s="180">
        <v>170695132.68000001</v>
      </c>
      <c r="M45" s="180">
        <v>150211716.75839999</v>
      </c>
      <c r="N45" s="180">
        <v>139696896.58531201</v>
      </c>
      <c r="O45" s="180">
        <v>135505989.68775263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</row>
    <row r="46" spans="1:45" ht="14.45">
      <c r="A46" s="50" t="str">
        <f>+D46</f>
        <v>GNV Transporte Público</v>
      </c>
      <c r="B46" s="50" t="str">
        <f t="shared" si="0"/>
        <v>GNV Transporte Públicofaixa única</v>
      </c>
      <c r="C46" s="50" t="s">
        <v>4618</v>
      </c>
      <c r="D46" s="39" t="s">
        <v>148</v>
      </c>
      <c r="E46" s="40" t="s">
        <v>4617</v>
      </c>
      <c r="F46" s="182">
        <v>0</v>
      </c>
      <c r="G46" s="181">
        <v>0</v>
      </c>
      <c r="H46" s="181">
        <v>0</v>
      </c>
      <c r="I46" s="181">
        <v>0</v>
      </c>
      <c r="J46" s="180">
        <v>0</v>
      </c>
      <c r="K46" s="180">
        <v>0</v>
      </c>
      <c r="L46" s="180">
        <v>0</v>
      </c>
      <c r="M46" s="180">
        <v>0</v>
      </c>
      <c r="N46" s="180">
        <v>0</v>
      </c>
      <c r="O46" s="180">
        <v>0</v>
      </c>
      <c r="P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</row>
    <row r="47" spans="1:45" ht="14.45">
      <c r="A47" s="50" t="str">
        <f>+D47</f>
        <v>Industrial</v>
      </c>
      <c r="B47" s="50" t="str">
        <f t="shared" si="0"/>
        <v>Industrial0 - 200</v>
      </c>
      <c r="C47" s="50" t="s">
        <v>4619</v>
      </c>
      <c r="D47" s="811" t="s">
        <v>18</v>
      </c>
      <c r="E47" s="41" t="s">
        <v>4599</v>
      </c>
      <c r="F47" s="176">
        <v>23692</v>
      </c>
      <c r="G47" s="179">
        <v>24122</v>
      </c>
      <c r="H47" s="179">
        <v>26392</v>
      </c>
      <c r="I47" s="179">
        <v>25114</v>
      </c>
      <c r="J47" s="178">
        <v>26792</v>
      </c>
      <c r="K47" s="176">
        <v>24989</v>
      </c>
      <c r="L47" s="176">
        <v>22947</v>
      </c>
      <c r="M47" s="416">
        <v>26316.003381060749</v>
      </c>
      <c r="N47" s="176">
        <v>25597.683313439535</v>
      </c>
      <c r="O47" s="418">
        <v>24893.729647170745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</row>
    <row r="48" spans="1:45" ht="14.45">
      <c r="A48" s="50" t="str">
        <f t="shared" ref="A48:A55" si="7">+A47</f>
        <v>Industrial</v>
      </c>
      <c r="B48" s="50" t="str">
        <f t="shared" si="0"/>
        <v>Industrial201 - 2.000</v>
      </c>
      <c r="C48" s="50" t="s">
        <v>4619</v>
      </c>
      <c r="D48" s="812"/>
      <c r="E48" s="42" t="s">
        <v>4620</v>
      </c>
      <c r="F48" s="178">
        <v>222283</v>
      </c>
      <c r="G48" s="179">
        <v>233028</v>
      </c>
      <c r="H48" s="179">
        <v>279883</v>
      </c>
      <c r="I48" s="179">
        <v>262727</v>
      </c>
      <c r="J48" s="178">
        <v>275816</v>
      </c>
      <c r="K48" s="178">
        <v>241404</v>
      </c>
      <c r="L48" s="178">
        <v>234508</v>
      </c>
      <c r="M48" s="416">
        <v>280645.37067528628</v>
      </c>
      <c r="N48" s="178">
        <v>273304.4632617805</v>
      </c>
      <c r="O48" s="419">
        <v>266110.37399654492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</row>
    <row r="49" spans="1:45" ht="14.45">
      <c r="A49" s="50" t="str">
        <f t="shared" si="7"/>
        <v>Industrial</v>
      </c>
      <c r="B49" s="50" t="str">
        <f t="shared" si="0"/>
        <v>Industrial2.001 - 10.000</v>
      </c>
      <c r="C49" s="50" t="s">
        <v>4619</v>
      </c>
      <c r="D49" s="812"/>
      <c r="E49" s="42" t="s">
        <v>4621</v>
      </c>
      <c r="F49" s="178">
        <v>751243</v>
      </c>
      <c r="G49" s="179">
        <v>677432</v>
      </c>
      <c r="H49" s="179">
        <v>798369</v>
      </c>
      <c r="I49" s="179">
        <v>619452</v>
      </c>
      <c r="J49" s="178">
        <v>715285</v>
      </c>
      <c r="K49" s="178">
        <v>709029</v>
      </c>
      <c r="L49" s="178">
        <v>703635</v>
      </c>
      <c r="M49" s="416">
        <v>717309.84612510051</v>
      </c>
      <c r="N49" s="178">
        <v>695283.64920259826</v>
      </c>
      <c r="O49" s="419">
        <v>673697.97621854628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</row>
    <row r="50" spans="1:45" ht="14.45">
      <c r="A50" s="50" t="str">
        <f t="shared" si="7"/>
        <v>Industrial</v>
      </c>
      <c r="B50" s="50" t="str">
        <f t="shared" si="0"/>
        <v>Industrial10.001 - 50.000</v>
      </c>
      <c r="C50" s="50" t="s">
        <v>4619</v>
      </c>
      <c r="D50" s="812"/>
      <c r="E50" s="42" t="s">
        <v>4622</v>
      </c>
      <c r="F50" s="178">
        <v>4634729</v>
      </c>
      <c r="G50" s="179">
        <v>4672375</v>
      </c>
      <c r="H50" s="179">
        <v>4629577</v>
      </c>
      <c r="I50" s="179">
        <v>4577036</v>
      </c>
      <c r="J50" s="178">
        <v>4906847</v>
      </c>
      <c r="K50" s="178">
        <v>3997185</v>
      </c>
      <c r="L50" s="178">
        <v>3999881</v>
      </c>
      <c r="M50" s="416">
        <v>4340502.00548397</v>
      </c>
      <c r="N50" s="178">
        <v>4461699.96537429</v>
      </c>
      <c r="O50" s="419">
        <v>4338994.1260668039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</row>
    <row r="51" spans="1:45" ht="14.45">
      <c r="A51" s="50" t="str">
        <f t="shared" si="7"/>
        <v>Industrial</v>
      </c>
      <c r="B51" s="50" t="str">
        <f t="shared" si="0"/>
        <v>Industrial50.001 - 100.000</v>
      </c>
      <c r="C51" s="50" t="s">
        <v>4619</v>
      </c>
      <c r="D51" s="812"/>
      <c r="E51" s="42" t="s">
        <v>4623</v>
      </c>
      <c r="F51" s="178">
        <v>4828569</v>
      </c>
      <c r="G51" s="179">
        <v>5853775</v>
      </c>
      <c r="H51" s="179">
        <v>4668297</v>
      </c>
      <c r="I51" s="179">
        <v>5048361</v>
      </c>
      <c r="J51" s="178">
        <v>6140081</v>
      </c>
      <c r="K51" s="178">
        <v>6181126</v>
      </c>
      <c r="L51" s="178">
        <v>5823588</v>
      </c>
      <c r="M51" s="416">
        <v>6714917.2570664939</v>
      </c>
      <c r="N51" s="178">
        <v>7132618.9119251631</v>
      </c>
      <c r="O51" s="419">
        <v>6953966.5336866602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</row>
    <row r="52" spans="1:45" ht="14.45">
      <c r="A52" s="50" t="str">
        <f t="shared" si="7"/>
        <v>Industrial</v>
      </c>
      <c r="B52" s="50" t="str">
        <f t="shared" si="0"/>
        <v>Industrial100.001 - 300.000</v>
      </c>
      <c r="C52" s="50" t="s">
        <v>4619</v>
      </c>
      <c r="D52" s="812"/>
      <c r="E52" s="42" t="s">
        <v>4624</v>
      </c>
      <c r="F52" s="178">
        <v>23737205</v>
      </c>
      <c r="G52" s="179">
        <v>21677872</v>
      </c>
      <c r="H52" s="179">
        <v>19201900</v>
      </c>
      <c r="I52" s="179">
        <v>19803559</v>
      </c>
      <c r="J52" s="178">
        <v>18737963</v>
      </c>
      <c r="K52" s="178">
        <v>21228015</v>
      </c>
      <c r="L52" s="178">
        <v>22452136</v>
      </c>
      <c r="M52" s="416">
        <v>25541456.072167851</v>
      </c>
      <c r="N52" s="178">
        <v>27238626.950724497</v>
      </c>
      <c r="O52" s="419">
        <v>26549854.411710002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</row>
    <row r="53" spans="1:45" ht="14.45">
      <c r="A53" s="50" t="str">
        <f t="shared" si="7"/>
        <v>Industrial</v>
      </c>
      <c r="B53" s="50" t="str">
        <f t="shared" si="0"/>
        <v>Industrial300.001 - 600.000</v>
      </c>
      <c r="C53" s="50" t="s">
        <v>4619</v>
      </c>
      <c r="D53" s="812"/>
      <c r="E53" s="42" t="s">
        <v>4611</v>
      </c>
      <c r="F53" s="178">
        <v>19850845</v>
      </c>
      <c r="G53" s="179">
        <v>17806241</v>
      </c>
      <c r="H53" s="179">
        <v>18392778</v>
      </c>
      <c r="I53" s="179">
        <v>25683869</v>
      </c>
      <c r="J53" s="178">
        <v>22031562</v>
      </c>
      <c r="K53" s="178">
        <v>21606712</v>
      </c>
      <c r="L53" s="178">
        <v>19720988</v>
      </c>
      <c r="M53" s="416">
        <v>23313147.516531944</v>
      </c>
      <c r="N53" s="178">
        <v>19449404.726201303</v>
      </c>
      <c r="O53" s="419">
        <v>18844416.631677277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</row>
    <row r="54" spans="1:45" ht="14.45">
      <c r="A54" s="50" t="str">
        <f t="shared" si="7"/>
        <v>Industrial</v>
      </c>
      <c r="B54" s="50" t="str">
        <f t="shared" si="0"/>
        <v>Industrial600.001 - 1.500.000</v>
      </c>
      <c r="C54" s="50" t="s">
        <v>4619</v>
      </c>
      <c r="D54" s="812"/>
      <c r="E54" s="42" t="s">
        <v>4612</v>
      </c>
      <c r="F54" s="178">
        <v>74270770</v>
      </c>
      <c r="G54" s="179">
        <v>86569944</v>
      </c>
      <c r="H54" s="179">
        <v>80202385</v>
      </c>
      <c r="I54" s="179">
        <v>62099374</v>
      </c>
      <c r="J54" s="178">
        <v>72730106</v>
      </c>
      <c r="K54" s="178">
        <v>80175553</v>
      </c>
      <c r="L54" s="178">
        <v>62934436</v>
      </c>
      <c r="M54" s="416">
        <v>73185670.16883041</v>
      </c>
      <c r="N54" s="178">
        <v>71215605.745453805</v>
      </c>
      <c r="O54" s="419">
        <v>69284942.610544711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</row>
    <row r="55" spans="1:45" ht="14.45">
      <c r="A55" s="50" t="str">
        <f t="shared" si="7"/>
        <v>Industrial</v>
      </c>
      <c r="B55" s="50" t="str">
        <f t="shared" si="0"/>
        <v>Industrial1.500.001 - 3.000.000</v>
      </c>
      <c r="C55" s="50" t="s">
        <v>4619</v>
      </c>
      <c r="D55" s="812"/>
      <c r="E55" s="42" t="s">
        <v>4625</v>
      </c>
      <c r="F55" s="178">
        <v>38134508</v>
      </c>
      <c r="G55" s="179">
        <v>17268838</v>
      </c>
      <c r="H55" s="179">
        <v>20183770</v>
      </c>
      <c r="I55" s="179">
        <v>25136973</v>
      </c>
      <c r="J55" s="178">
        <v>21216130</v>
      </c>
      <c r="K55" s="178">
        <v>7935404</v>
      </c>
      <c r="L55" s="178">
        <v>22282932</v>
      </c>
      <c r="M55" s="416">
        <v>34250249.698040999</v>
      </c>
      <c r="N55" s="178">
        <v>33552717.244080178</v>
      </c>
      <c r="O55" s="419">
        <v>32869135.43919858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</row>
    <row r="56" spans="1:45" ht="14.45">
      <c r="A56" s="50" t="str">
        <f>+A55</f>
        <v>Industrial</v>
      </c>
      <c r="B56" s="50" t="str">
        <f t="shared" si="0"/>
        <v>Industrialacima de 3.000.000</v>
      </c>
      <c r="C56" s="50" t="s">
        <v>4619</v>
      </c>
      <c r="D56" s="813"/>
      <c r="E56" s="43" t="s">
        <v>4626</v>
      </c>
      <c r="F56" s="180">
        <v>377892681</v>
      </c>
      <c r="G56" s="181">
        <v>431478431</v>
      </c>
      <c r="H56" s="181">
        <v>398646667</v>
      </c>
      <c r="I56" s="181">
        <v>458315538</v>
      </c>
      <c r="J56" s="180">
        <v>414426655</v>
      </c>
      <c r="K56" s="180">
        <v>447883972</v>
      </c>
      <c r="L56" s="180">
        <v>218212525.44000006</v>
      </c>
      <c r="M56" s="178">
        <v>0</v>
      </c>
      <c r="N56" s="178">
        <v>0</v>
      </c>
      <c r="O56" s="413">
        <v>0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</row>
    <row r="57" spans="1:45" ht="14.45">
      <c r="A57" s="50" t="str">
        <f>+D57</f>
        <v>Vidreiras</v>
      </c>
      <c r="B57" s="50" t="str">
        <f t="shared" si="0"/>
        <v>Vidreiras0 - 200</v>
      </c>
      <c r="D57" s="811" t="s">
        <v>106</v>
      </c>
      <c r="E57" s="41" t="s">
        <v>4599</v>
      </c>
      <c r="F57" s="176">
        <v>4800</v>
      </c>
      <c r="G57" s="179">
        <v>4800</v>
      </c>
      <c r="H57" s="179">
        <v>4800</v>
      </c>
      <c r="I57" s="179">
        <v>4800</v>
      </c>
      <c r="J57" s="178">
        <v>4800</v>
      </c>
      <c r="K57" s="178">
        <v>4800</v>
      </c>
      <c r="L57" s="178">
        <v>4800</v>
      </c>
      <c r="M57" s="176">
        <v>4800</v>
      </c>
      <c r="N57" s="176">
        <v>4800</v>
      </c>
      <c r="O57" s="176">
        <v>4800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</row>
    <row r="58" spans="1:45" ht="14.45">
      <c r="A58" s="50" t="str">
        <f t="shared" ref="A58:A65" si="8">+A57</f>
        <v>Vidreiras</v>
      </c>
      <c r="B58" s="50" t="str">
        <f t="shared" si="0"/>
        <v>Vidreiras201 - 2.000</v>
      </c>
      <c r="D58" s="812"/>
      <c r="E58" s="42" t="s">
        <v>4620</v>
      </c>
      <c r="F58" s="178">
        <v>43200</v>
      </c>
      <c r="G58" s="179">
        <v>43200</v>
      </c>
      <c r="H58" s="179">
        <v>43200</v>
      </c>
      <c r="I58" s="179">
        <v>43200</v>
      </c>
      <c r="J58" s="178">
        <v>43200</v>
      </c>
      <c r="K58" s="178">
        <v>43200</v>
      </c>
      <c r="L58" s="178">
        <v>43200</v>
      </c>
      <c r="M58" s="178">
        <v>43200</v>
      </c>
      <c r="N58" s="178">
        <v>43200</v>
      </c>
      <c r="O58" s="178">
        <v>43200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</row>
    <row r="59" spans="1:45" ht="14.45">
      <c r="A59" s="50" t="str">
        <f t="shared" si="8"/>
        <v>Vidreiras</v>
      </c>
      <c r="B59" s="50" t="str">
        <f t="shared" si="0"/>
        <v>Vidreiras2.001 - 10.000</v>
      </c>
      <c r="D59" s="812"/>
      <c r="E59" s="42" t="s">
        <v>4621</v>
      </c>
      <c r="F59" s="178">
        <v>192000</v>
      </c>
      <c r="G59" s="179">
        <v>192000</v>
      </c>
      <c r="H59" s="179">
        <v>192000</v>
      </c>
      <c r="I59" s="179">
        <v>192000</v>
      </c>
      <c r="J59" s="178">
        <v>192000</v>
      </c>
      <c r="K59" s="178">
        <v>192000</v>
      </c>
      <c r="L59" s="178">
        <v>192000</v>
      </c>
      <c r="M59" s="178">
        <v>192000</v>
      </c>
      <c r="N59" s="178">
        <v>192000</v>
      </c>
      <c r="O59" s="178">
        <v>192000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</row>
    <row r="60" spans="1:45" ht="14.45">
      <c r="A60" s="50" t="str">
        <f t="shared" si="8"/>
        <v>Vidreiras</v>
      </c>
      <c r="B60" s="50" t="str">
        <f t="shared" si="0"/>
        <v>Vidreiras10.001 - 50.000</v>
      </c>
      <c r="D60" s="812"/>
      <c r="E60" s="42" t="s">
        <v>4622</v>
      </c>
      <c r="F60" s="178">
        <v>960000</v>
      </c>
      <c r="G60" s="179">
        <v>960000</v>
      </c>
      <c r="H60" s="179">
        <v>960000</v>
      </c>
      <c r="I60" s="179">
        <v>960000</v>
      </c>
      <c r="J60" s="178">
        <v>960000</v>
      </c>
      <c r="K60" s="178">
        <v>960000</v>
      </c>
      <c r="L60" s="178">
        <v>960000</v>
      </c>
      <c r="M60" s="178">
        <v>960000</v>
      </c>
      <c r="N60" s="178">
        <v>960000</v>
      </c>
      <c r="O60" s="178">
        <v>960000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</row>
    <row r="61" spans="1:45" ht="14.45">
      <c r="A61" s="50" t="str">
        <f t="shared" si="8"/>
        <v>Vidreiras</v>
      </c>
      <c r="B61" s="50" t="str">
        <f t="shared" si="0"/>
        <v>Vidreiras50.001 - 100.000</v>
      </c>
      <c r="D61" s="812"/>
      <c r="E61" s="42" t="s">
        <v>4623</v>
      </c>
      <c r="F61" s="178">
        <v>1200000</v>
      </c>
      <c r="G61" s="179">
        <v>1200000</v>
      </c>
      <c r="H61" s="179">
        <v>1200000</v>
      </c>
      <c r="I61" s="179">
        <v>1200000</v>
      </c>
      <c r="J61" s="178">
        <v>1200000</v>
      </c>
      <c r="K61" s="178">
        <v>1200000</v>
      </c>
      <c r="L61" s="178">
        <v>1200000</v>
      </c>
      <c r="M61" s="178">
        <v>1200000</v>
      </c>
      <c r="N61" s="178">
        <v>1200000</v>
      </c>
      <c r="O61" s="178">
        <v>1200000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</row>
    <row r="62" spans="1:45" ht="14.45">
      <c r="A62" s="50" t="str">
        <f t="shared" si="8"/>
        <v>Vidreiras</v>
      </c>
      <c r="B62" s="50" t="str">
        <f t="shared" si="0"/>
        <v>Vidreiras100.001 - 300.000</v>
      </c>
      <c r="D62" s="812"/>
      <c r="E62" s="42" t="s">
        <v>4624</v>
      </c>
      <c r="F62" s="178">
        <v>4800000</v>
      </c>
      <c r="G62" s="179">
        <v>4800000</v>
      </c>
      <c r="H62" s="179">
        <v>4800000</v>
      </c>
      <c r="I62" s="179">
        <v>4800000</v>
      </c>
      <c r="J62" s="178">
        <v>4800000</v>
      </c>
      <c r="K62" s="178">
        <v>4800000</v>
      </c>
      <c r="L62" s="178">
        <v>4800000</v>
      </c>
      <c r="M62" s="178">
        <v>4800000</v>
      </c>
      <c r="N62" s="178">
        <v>4800000</v>
      </c>
      <c r="O62" s="178">
        <v>4800000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</row>
    <row r="63" spans="1:45" ht="14.45">
      <c r="A63" s="50" t="str">
        <f t="shared" si="8"/>
        <v>Vidreiras</v>
      </c>
      <c r="B63" s="50" t="str">
        <f t="shared" si="0"/>
        <v>Vidreiras300.001 - 600.000</v>
      </c>
      <c r="D63" s="812"/>
      <c r="E63" s="42" t="s">
        <v>4611</v>
      </c>
      <c r="F63" s="178">
        <v>7200000</v>
      </c>
      <c r="G63" s="179">
        <v>7200000</v>
      </c>
      <c r="H63" s="179">
        <v>7200000</v>
      </c>
      <c r="I63" s="179">
        <v>7200000</v>
      </c>
      <c r="J63" s="178">
        <v>7200000</v>
      </c>
      <c r="K63" s="178">
        <v>7200000</v>
      </c>
      <c r="L63" s="178">
        <v>7200000</v>
      </c>
      <c r="M63" s="178">
        <v>7200000</v>
      </c>
      <c r="N63" s="178">
        <v>7200000</v>
      </c>
      <c r="O63" s="178">
        <v>7200000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</row>
    <row r="64" spans="1:45" ht="14.45">
      <c r="A64" s="50" t="str">
        <f t="shared" si="8"/>
        <v>Vidreiras</v>
      </c>
      <c r="B64" s="50" t="str">
        <f t="shared" si="0"/>
        <v>Vidreiras600.001 - 1.500.000</v>
      </c>
      <c r="D64" s="812"/>
      <c r="E64" s="42" t="s">
        <v>4612</v>
      </c>
      <c r="F64" s="178">
        <v>12155241</v>
      </c>
      <c r="G64" s="179">
        <v>17536924</v>
      </c>
      <c r="H64" s="179">
        <v>19383511</v>
      </c>
      <c r="I64" s="179">
        <v>14897608</v>
      </c>
      <c r="J64" s="178">
        <v>16693262</v>
      </c>
      <c r="K64" s="178">
        <v>18576316</v>
      </c>
      <c r="L64" s="178">
        <v>20882383</v>
      </c>
      <c r="M64" s="178">
        <v>20882383</v>
      </c>
      <c r="N64" s="178">
        <v>20882383</v>
      </c>
      <c r="O64" s="178">
        <v>20882383</v>
      </c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</row>
    <row r="65" spans="1:45" ht="14.45">
      <c r="A65" s="50" t="str">
        <f t="shared" si="8"/>
        <v>Vidreiras</v>
      </c>
      <c r="B65" s="50" t="str">
        <f t="shared" si="0"/>
        <v>Vidreiras1.500.001 - 3.000.000</v>
      </c>
      <c r="D65" s="812"/>
      <c r="E65" s="42" t="s">
        <v>4625</v>
      </c>
      <c r="F65" s="178">
        <v>11566807</v>
      </c>
      <c r="G65" s="179">
        <v>5063142</v>
      </c>
      <c r="H65" s="179">
        <v>0</v>
      </c>
      <c r="I65" s="179">
        <v>7394501</v>
      </c>
      <c r="J65" s="178">
        <v>4255066</v>
      </c>
      <c r="K65" s="178">
        <v>0</v>
      </c>
      <c r="L65" s="178">
        <v>626373</v>
      </c>
      <c r="M65" s="178">
        <v>626373</v>
      </c>
      <c r="N65" s="178">
        <v>626373</v>
      </c>
      <c r="O65" s="178">
        <v>626373</v>
      </c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</row>
    <row r="66" spans="1:45" ht="14.45">
      <c r="A66" s="50" t="str">
        <f>+A65</f>
        <v>Vidreiras</v>
      </c>
      <c r="B66" s="50" t="str">
        <f t="shared" si="0"/>
        <v>Vidreirasacima de 3.000.000</v>
      </c>
      <c r="D66" s="813"/>
      <c r="E66" s="42" t="s">
        <v>4626</v>
      </c>
      <c r="F66" s="178">
        <v>0</v>
      </c>
      <c r="G66" s="179">
        <v>0</v>
      </c>
      <c r="H66" s="179">
        <v>0</v>
      </c>
      <c r="I66" s="179">
        <v>0</v>
      </c>
      <c r="J66" s="178">
        <v>0</v>
      </c>
      <c r="K66" s="178">
        <v>0</v>
      </c>
      <c r="L66" s="178">
        <v>0</v>
      </c>
      <c r="M66" s="178">
        <v>0</v>
      </c>
      <c r="N66" s="178">
        <v>0</v>
      </c>
      <c r="O66" s="178">
        <v>0</v>
      </c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</row>
    <row r="67" spans="1:45" ht="14.45">
      <c r="A67" s="50" t="s">
        <v>107</v>
      </c>
      <c r="D67" s="820" t="s">
        <v>107</v>
      </c>
      <c r="E67" s="414" t="s">
        <v>4599</v>
      </c>
      <c r="F67" s="177">
        <v>4800</v>
      </c>
      <c r="G67" s="176">
        <v>2400</v>
      </c>
      <c r="H67" s="417">
        <v>4800</v>
      </c>
      <c r="I67" s="176">
        <v>7200</v>
      </c>
      <c r="J67" s="417">
        <v>4800</v>
      </c>
      <c r="K67" s="176">
        <v>4800</v>
      </c>
      <c r="L67" s="417">
        <v>4800</v>
      </c>
      <c r="M67" s="176">
        <v>4800</v>
      </c>
      <c r="N67" s="176">
        <v>4800</v>
      </c>
      <c r="O67" s="176">
        <v>4800</v>
      </c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</row>
    <row r="68" spans="1:45" ht="14.45">
      <c r="A68" s="50" t="s">
        <v>107</v>
      </c>
      <c r="D68" s="821"/>
      <c r="E68" s="415" t="s">
        <v>4627</v>
      </c>
      <c r="F68" s="179">
        <v>43200</v>
      </c>
      <c r="G68" s="178">
        <v>21600</v>
      </c>
      <c r="H68" s="416">
        <v>43200</v>
      </c>
      <c r="I68" s="178">
        <v>64800</v>
      </c>
      <c r="J68" s="416">
        <v>43200</v>
      </c>
      <c r="K68" s="178">
        <v>43200</v>
      </c>
      <c r="L68" s="416">
        <v>43200</v>
      </c>
      <c r="M68" s="178">
        <v>43200</v>
      </c>
      <c r="N68" s="178">
        <v>43200</v>
      </c>
      <c r="O68" s="178">
        <v>43200</v>
      </c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</row>
    <row r="69" spans="1:45" ht="14.45">
      <c r="A69" s="50" t="s">
        <v>107</v>
      </c>
      <c r="D69" s="821"/>
      <c r="E69" s="42" t="s">
        <v>4628</v>
      </c>
      <c r="F69" s="179">
        <v>192000</v>
      </c>
      <c r="G69" s="178">
        <v>96000</v>
      </c>
      <c r="H69" s="416">
        <v>192000</v>
      </c>
      <c r="I69" s="178">
        <v>288000</v>
      </c>
      <c r="J69" s="416">
        <v>192000</v>
      </c>
      <c r="K69" s="178">
        <v>192000</v>
      </c>
      <c r="L69" s="416">
        <v>192000</v>
      </c>
      <c r="M69" s="178">
        <v>192000</v>
      </c>
      <c r="N69" s="178">
        <v>192000</v>
      </c>
      <c r="O69" s="178">
        <v>192000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</row>
    <row r="70" spans="1:45" ht="14.45">
      <c r="A70" s="50" t="s">
        <v>107</v>
      </c>
      <c r="D70" s="821"/>
      <c r="E70" s="42" t="s">
        <v>4622</v>
      </c>
      <c r="F70" s="179">
        <v>960000</v>
      </c>
      <c r="G70" s="178">
        <v>480000</v>
      </c>
      <c r="H70" s="416">
        <v>960000</v>
      </c>
      <c r="I70" s="178">
        <v>877384</v>
      </c>
      <c r="J70" s="416">
        <v>960000</v>
      </c>
      <c r="K70" s="178">
        <v>960000</v>
      </c>
      <c r="L70" s="416">
        <v>960000</v>
      </c>
      <c r="M70" s="178">
        <v>960000</v>
      </c>
      <c r="N70" s="178">
        <v>960000</v>
      </c>
      <c r="O70" s="178">
        <v>960000</v>
      </c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</row>
    <row r="71" spans="1:45" ht="14.45">
      <c r="A71" s="50" t="s">
        <v>107</v>
      </c>
      <c r="D71" s="821"/>
      <c r="E71" s="42" t="s">
        <v>4623</v>
      </c>
      <c r="F71" s="179">
        <v>1200000</v>
      </c>
      <c r="G71" s="178">
        <v>600000</v>
      </c>
      <c r="H71" s="416">
        <v>1200000</v>
      </c>
      <c r="I71" s="178">
        <v>1200000</v>
      </c>
      <c r="J71" s="416">
        <v>1200000</v>
      </c>
      <c r="K71" s="178">
        <v>1200000</v>
      </c>
      <c r="L71" s="416">
        <v>1200000</v>
      </c>
      <c r="M71" s="178">
        <v>1200000</v>
      </c>
      <c r="N71" s="178">
        <v>1200000</v>
      </c>
      <c r="O71" s="178">
        <v>1200000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</row>
    <row r="72" spans="1:45" ht="14.45">
      <c r="A72" s="50" t="s">
        <v>107</v>
      </c>
      <c r="D72" s="821"/>
      <c r="E72" s="42" t="s">
        <v>4624</v>
      </c>
      <c r="F72" s="179">
        <v>1460506</v>
      </c>
      <c r="G72" s="178">
        <v>2400000</v>
      </c>
      <c r="H72" s="416">
        <v>1488495</v>
      </c>
      <c r="I72" s="178">
        <v>1456369</v>
      </c>
      <c r="J72" s="416">
        <v>1441700</v>
      </c>
      <c r="K72" s="178">
        <v>4800000</v>
      </c>
      <c r="L72" s="416">
        <v>4800000</v>
      </c>
      <c r="M72" s="178">
        <v>4800000</v>
      </c>
      <c r="N72" s="178">
        <v>4800000</v>
      </c>
      <c r="O72" s="178">
        <v>4800000</v>
      </c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</row>
    <row r="73" spans="1:45" ht="14.45">
      <c r="A73" s="50" t="s">
        <v>107</v>
      </c>
      <c r="D73" s="821"/>
      <c r="E73" s="42" t="s">
        <v>4611</v>
      </c>
      <c r="F73" s="179">
        <v>3600000</v>
      </c>
      <c r="G73" s="178">
        <v>3600000</v>
      </c>
      <c r="H73" s="416">
        <v>3600000</v>
      </c>
      <c r="I73" s="178">
        <v>3600000</v>
      </c>
      <c r="J73" s="416">
        <v>3600000</v>
      </c>
      <c r="K73" s="178">
        <v>350111</v>
      </c>
      <c r="L73" s="416">
        <v>353592</v>
      </c>
      <c r="M73" s="178">
        <v>353592</v>
      </c>
      <c r="N73" s="178">
        <v>353592</v>
      </c>
      <c r="O73" s="178">
        <v>353592</v>
      </c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</row>
    <row r="74" spans="1:45" ht="14.45">
      <c r="A74" s="50" t="s">
        <v>107</v>
      </c>
      <c r="D74" s="821"/>
      <c r="E74" s="42" t="s">
        <v>4612</v>
      </c>
      <c r="F74" s="179">
        <v>3569999</v>
      </c>
      <c r="G74" s="178">
        <v>3487430</v>
      </c>
      <c r="H74" s="416">
        <v>2781501</v>
      </c>
      <c r="I74" s="178">
        <v>2300122</v>
      </c>
      <c r="J74" s="416">
        <v>3214726</v>
      </c>
      <c r="K74" s="178">
        <v>3256184</v>
      </c>
      <c r="L74" s="416">
        <v>4435168</v>
      </c>
      <c r="M74" s="178">
        <v>4435168</v>
      </c>
      <c r="N74" s="178">
        <v>4435168</v>
      </c>
      <c r="O74" s="178">
        <v>4435168</v>
      </c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</row>
    <row r="75" spans="1:45" ht="14.45">
      <c r="A75" s="50" t="s">
        <v>107</v>
      </c>
      <c r="D75" s="821"/>
      <c r="E75" s="125" t="s">
        <v>4629</v>
      </c>
      <c r="F75" s="179">
        <v>0</v>
      </c>
      <c r="G75" s="178">
        <v>0</v>
      </c>
      <c r="H75" s="416">
        <v>0</v>
      </c>
      <c r="I75" s="178">
        <v>0</v>
      </c>
      <c r="J75" s="416">
        <v>0</v>
      </c>
      <c r="K75" s="178">
        <v>0</v>
      </c>
      <c r="L75" s="416">
        <v>0</v>
      </c>
      <c r="M75" s="178">
        <v>0</v>
      </c>
      <c r="N75" s="178">
        <v>0</v>
      </c>
      <c r="O75" s="178">
        <v>0</v>
      </c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</row>
    <row r="76" spans="1:45" ht="14.45">
      <c r="A76" s="50" t="s">
        <v>107</v>
      </c>
      <c r="D76" s="822"/>
      <c r="E76" s="43" t="s">
        <v>4626</v>
      </c>
      <c r="F76" s="181">
        <v>0</v>
      </c>
      <c r="G76" s="180">
        <v>0</v>
      </c>
      <c r="H76" s="420">
        <v>0</v>
      </c>
      <c r="I76" s="180">
        <v>0</v>
      </c>
      <c r="J76" s="420">
        <v>0</v>
      </c>
      <c r="K76" s="180">
        <v>0</v>
      </c>
      <c r="L76" s="420">
        <v>0</v>
      </c>
      <c r="M76" s="178">
        <v>0</v>
      </c>
      <c r="N76" s="178">
        <v>0</v>
      </c>
      <c r="O76" s="178">
        <v>0</v>
      </c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</row>
    <row r="77" spans="1:45" ht="14.45">
      <c r="A77" s="50" t="s">
        <v>108</v>
      </c>
      <c r="D77" s="811" t="s">
        <v>108</v>
      </c>
      <c r="E77" s="42" t="s">
        <v>4599</v>
      </c>
      <c r="F77" s="179">
        <v>7308</v>
      </c>
      <c r="G77" s="178">
        <v>2678</v>
      </c>
      <c r="H77" s="416">
        <v>3040</v>
      </c>
      <c r="I77" s="178">
        <v>410</v>
      </c>
      <c r="J77" s="416">
        <v>175</v>
      </c>
      <c r="K77" s="178">
        <v>0</v>
      </c>
      <c r="L77" s="416">
        <v>0</v>
      </c>
      <c r="M77" s="176"/>
      <c r="N77" s="176"/>
      <c r="O77" s="176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</row>
    <row r="78" spans="1:45" ht="14.45">
      <c r="A78" s="50" t="s">
        <v>108</v>
      </c>
      <c r="D78" s="812"/>
      <c r="E78" s="42" t="s">
        <v>4627</v>
      </c>
      <c r="F78" s="179">
        <v>18605</v>
      </c>
      <c r="G78" s="178">
        <v>-2193</v>
      </c>
      <c r="H78" s="416">
        <v>-2179</v>
      </c>
      <c r="I78" s="178">
        <v>0</v>
      </c>
      <c r="J78" s="416">
        <v>0</v>
      </c>
      <c r="K78" s="178">
        <v>0</v>
      </c>
      <c r="L78" s="416">
        <v>0</v>
      </c>
      <c r="M78" s="178"/>
      <c r="N78" s="416"/>
      <c r="O78" s="1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</row>
    <row r="79" spans="1:45" ht="14.45">
      <c r="A79" s="50" t="s">
        <v>108</v>
      </c>
      <c r="D79" s="812"/>
      <c r="E79" s="42" t="s">
        <v>4628</v>
      </c>
      <c r="F79" s="179">
        <v>2758</v>
      </c>
      <c r="G79" s="178">
        <v>0</v>
      </c>
      <c r="H79" s="416">
        <v>0</v>
      </c>
      <c r="I79" s="178">
        <v>0</v>
      </c>
      <c r="J79" s="416">
        <v>0</v>
      </c>
      <c r="K79" s="178">
        <v>0</v>
      </c>
      <c r="L79" s="416">
        <v>0</v>
      </c>
      <c r="M79" s="178"/>
      <c r="N79" s="416"/>
      <c r="O79" s="178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</row>
    <row r="80" spans="1:45" ht="14.45">
      <c r="A80" s="50" t="s">
        <v>108</v>
      </c>
      <c r="D80" s="812"/>
      <c r="E80" s="42" t="s">
        <v>4622</v>
      </c>
      <c r="F80" s="179">
        <v>0</v>
      </c>
      <c r="G80" s="178">
        <v>0</v>
      </c>
      <c r="H80" s="416">
        <v>0</v>
      </c>
      <c r="I80" s="178">
        <v>0</v>
      </c>
      <c r="J80" s="416">
        <v>0</v>
      </c>
      <c r="K80" s="178">
        <v>0</v>
      </c>
      <c r="L80" s="416">
        <v>0</v>
      </c>
      <c r="M80" s="178"/>
      <c r="N80" s="416"/>
      <c r="O80" s="178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</row>
    <row r="81" spans="1:45" ht="14.45">
      <c r="A81" s="50" t="s">
        <v>108</v>
      </c>
      <c r="D81" s="812"/>
      <c r="E81" s="42" t="s">
        <v>4623</v>
      </c>
      <c r="F81" s="179">
        <v>0</v>
      </c>
      <c r="G81" s="178">
        <v>0</v>
      </c>
      <c r="H81" s="416">
        <v>0</v>
      </c>
      <c r="I81" s="178">
        <v>0</v>
      </c>
      <c r="J81" s="416">
        <v>0</v>
      </c>
      <c r="K81" s="178">
        <v>0</v>
      </c>
      <c r="L81" s="416">
        <v>0</v>
      </c>
      <c r="M81" s="178"/>
      <c r="N81" s="416"/>
      <c r="O81" s="178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</row>
    <row r="82" spans="1:45" ht="14.45">
      <c r="A82" s="50" t="s">
        <v>108</v>
      </c>
      <c r="D82" s="812"/>
      <c r="E82" s="43" t="s">
        <v>4630</v>
      </c>
      <c r="F82" s="179">
        <v>0</v>
      </c>
      <c r="G82" s="178">
        <v>0</v>
      </c>
      <c r="H82" s="416">
        <v>0</v>
      </c>
      <c r="I82" s="178">
        <v>0</v>
      </c>
      <c r="J82" s="416">
        <v>0</v>
      </c>
      <c r="K82" s="178">
        <v>0</v>
      </c>
      <c r="L82" s="416">
        <v>0</v>
      </c>
      <c r="M82" s="178"/>
      <c r="N82" s="416"/>
      <c r="O82" s="178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</row>
    <row r="83" spans="1:45" ht="14.45">
      <c r="A83" s="50" t="s">
        <v>109</v>
      </c>
      <c r="D83" s="820" t="s">
        <v>109</v>
      </c>
      <c r="E83" s="414" t="s">
        <v>4599</v>
      </c>
      <c r="F83" s="177"/>
      <c r="G83" s="176"/>
      <c r="H83" s="417"/>
      <c r="I83" s="176"/>
      <c r="J83" s="417"/>
      <c r="K83" s="176"/>
      <c r="L83" s="417"/>
      <c r="M83" s="176"/>
      <c r="N83" s="417"/>
      <c r="O83" s="176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</row>
    <row r="84" spans="1:45" ht="14.45">
      <c r="A84" s="50" t="s">
        <v>109</v>
      </c>
      <c r="D84" s="821"/>
      <c r="E84" s="415" t="s">
        <v>4627</v>
      </c>
      <c r="F84" s="179"/>
      <c r="G84" s="178"/>
      <c r="H84" s="416"/>
      <c r="I84" s="178"/>
      <c r="J84" s="416"/>
      <c r="K84" s="178"/>
      <c r="L84" s="416"/>
      <c r="M84" s="178"/>
      <c r="N84" s="416"/>
      <c r="O84" s="178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</row>
    <row r="85" spans="1:45" ht="14.45">
      <c r="A85" s="50" t="s">
        <v>109</v>
      </c>
      <c r="D85" s="821"/>
      <c r="E85" s="42" t="s">
        <v>4628</v>
      </c>
      <c r="F85" s="179"/>
      <c r="G85" s="178"/>
      <c r="H85" s="416"/>
      <c r="I85" s="178"/>
      <c r="J85" s="416"/>
      <c r="K85" s="178"/>
      <c r="L85" s="416"/>
      <c r="M85" s="178"/>
      <c r="N85" s="416"/>
      <c r="O85" s="178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</row>
    <row r="86" spans="1:45" ht="14.45">
      <c r="A86" s="50" t="s">
        <v>109</v>
      </c>
      <c r="D86" s="821"/>
      <c r="E86" s="42" t="s">
        <v>4622</v>
      </c>
      <c r="F86" s="179"/>
      <c r="G86" s="178"/>
      <c r="H86" s="416"/>
      <c r="I86" s="178"/>
      <c r="J86" s="416"/>
      <c r="K86" s="178"/>
      <c r="L86" s="416"/>
      <c r="M86" s="178"/>
      <c r="N86" s="416"/>
      <c r="O86" s="178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</row>
    <row r="87" spans="1:45" ht="14.45">
      <c r="A87" s="50" t="s">
        <v>109</v>
      </c>
      <c r="D87" s="821"/>
      <c r="E87" s="42" t="s">
        <v>4623</v>
      </c>
      <c r="F87" s="179"/>
      <c r="G87" s="178"/>
      <c r="H87" s="416"/>
      <c r="I87" s="178"/>
      <c r="J87" s="416"/>
      <c r="K87" s="178"/>
      <c r="L87" s="416"/>
      <c r="M87" s="178"/>
      <c r="N87" s="416"/>
      <c r="O87" s="178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</row>
    <row r="88" spans="1:45" ht="14.45">
      <c r="A88" s="50" t="s">
        <v>109</v>
      </c>
      <c r="D88" s="821"/>
      <c r="E88" s="42" t="s">
        <v>4624</v>
      </c>
      <c r="F88" s="179"/>
      <c r="G88" s="178"/>
      <c r="H88" s="416"/>
      <c r="I88" s="178"/>
      <c r="J88" s="416"/>
      <c r="K88" s="178"/>
      <c r="L88" s="416"/>
      <c r="M88" s="178"/>
      <c r="N88" s="416"/>
      <c r="O88" s="17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</row>
    <row r="89" spans="1:45" ht="14.45">
      <c r="A89" s="50" t="s">
        <v>109</v>
      </c>
      <c r="D89" s="821"/>
      <c r="E89" s="42" t="s">
        <v>4611</v>
      </c>
      <c r="F89" s="179"/>
      <c r="G89" s="178"/>
      <c r="H89" s="416"/>
      <c r="I89" s="178"/>
      <c r="J89" s="416"/>
      <c r="K89" s="178"/>
      <c r="L89" s="416"/>
      <c r="M89" s="178"/>
      <c r="N89" s="416"/>
      <c r="O89" s="178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</row>
    <row r="90" spans="1:45" ht="14.45">
      <c r="A90" s="50" t="s">
        <v>109</v>
      </c>
      <c r="D90" s="821"/>
      <c r="E90" s="42" t="s">
        <v>4612</v>
      </c>
      <c r="F90" s="179"/>
      <c r="G90" s="178"/>
      <c r="H90" s="416"/>
      <c r="I90" s="178"/>
      <c r="J90" s="416"/>
      <c r="K90" s="178"/>
      <c r="L90" s="416"/>
      <c r="M90" s="178"/>
      <c r="N90" s="416"/>
      <c r="O90" s="178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</row>
    <row r="91" spans="1:45" ht="14.45">
      <c r="A91" s="50" t="s">
        <v>109</v>
      </c>
      <c r="D91" s="821"/>
      <c r="E91" s="125" t="s">
        <v>4629</v>
      </c>
      <c r="F91" s="179"/>
      <c r="G91" s="178"/>
      <c r="H91" s="416"/>
      <c r="I91" s="178"/>
      <c r="J91" s="416"/>
      <c r="K91" s="178"/>
      <c r="L91" s="416"/>
      <c r="M91" s="178"/>
      <c r="N91" s="416"/>
      <c r="O91" s="178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</row>
    <row r="92" spans="1:45" ht="14.45">
      <c r="A92" s="50" t="s">
        <v>109</v>
      </c>
      <c r="D92" s="822"/>
      <c r="E92" s="43" t="s">
        <v>4626</v>
      </c>
      <c r="F92" s="181"/>
      <c r="G92" s="180"/>
      <c r="H92" s="420"/>
      <c r="I92" s="180"/>
      <c r="J92" s="420"/>
      <c r="K92" s="180"/>
      <c r="L92" s="420"/>
      <c r="M92" s="180"/>
      <c r="N92" s="420"/>
      <c r="O92" s="180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</row>
    <row r="93" spans="1:45" ht="14.45">
      <c r="A93" s="50" t="str">
        <f>+D93</f>
        <v>Petroquímico</v>
      </c>
      <c r="B93" s="50" t="str">
        <f t="shared" si="0"/>
        <v>Petroquímicofaixa única</v>
      </c>
      <c r="D93" s="39" t="s">
        <v>110</v>
      </c>
      <c r="E93" s="40" t="s">
        <v>4617</v>
      </c>
      <c r="F93" s="182"/>
      <c r="G93" s="181"/>
      <c r="H93" s="181"/>
      <c r="I93" s="181"/>
      <c r="J93" s="180"/>
      <c r="K93" s="180"/>
      <c r="L93" s="180"/>
      <c r="M93" s="180">
        <v>0</v>
      </c>
      <c r="N93" s="180">
        <v>0</v>
      </c>
      <c r="O93" s="180">
        <v>0</v>
      </c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</row>
    <row r="94" spans="1:45" ht="14.45">
      <c r="A94" s="50" t="str">
        <f t="shared" ref="A94:A98" si="9">+D94</f>
        <v>Térmicas</v>
      </c>
      <c r="B94" s="50" t="str">
        <f t="shared" si="0"/>
        <v>Térmicasfaixa única</v>
      </c>
      <c r="C94" s="50" t="s">
        <v>20</v>
      </c>
      <c r="D94" s="39" t="s">
        <v>111</v>
      </c>
      <c r="E94" s="40" t="s">
        <v>4617</v>
      </c>
      <c r="F94" s="182">
        <v>2483035</v>
      </c>
      <c r="G94" s="181">
        <v>0</v>
      </c>
      <c r="H94" s="181">
        <v>0</v>
      </c>
      <c r="I94" s="181">
        <v>0</v>
      </c>
      <c r="J94" s="180">
        <v>0</v>
      </c>
      <c r="K94" s="180">
        <v>94716909</v>
      </c>
      <c r="L94" s="180">
        <v>353181632</v>
      </c>
      <c r="M94" s="180">
        <v>0</v>
      </c>
      <c r="N94" s="180">
        <v>0</v>
      </c>
      <c r="O94" s="180">
        <v>0</v>
      </c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</row>
    <row r="95" spans="1:45" ht="14.45">
      <c r="A95" s="50" t="str">
        <f t="shared" si="9"/>
        <v>GLP Residencial</v>
      </c>
      <c r="B95" s="50" t="str">
        <f t="shared" ref="B95:B108" si="10">+CONCATENATE(A95,E95)</f>
        <v>GLP Residencialfaixa única</v>
      </c>
      <c r="C95" s="50" t="s">
        <v>4631</v>
      </c>
      <c r="D95" s="39" t="s">
        <v>4632</v>
      </c>
      <c r="E95" s="40" t="s">
        <v>4617</v>
      </c>
      <c r="F95" s="182">
        <v>0</v>
      </c>
      <c r="G95" s="181">
        <v>0</v>
      </c>
      <c r="H95" s="181">
        <v>0</v>
      </c>
      <c r="I95" s="181">
        <v>0</v>
      </c>
      <c r="J95" s="180">
        <v>0</v>
      </c>
      <c r="K95" s="180">
        <v>0</v>
      </c>
      <c r="L95" s="180">
        <v>0</v>
      </c>
      <c r="M95" s="180">
        <v>0</v>
      </c>
      <c r="N95" s="180">
        <v>0</v>
      </c>
      <c r="O95" s="180">
        <v>0</v>
      </c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</row>
    <row r="96" spans="1:45" ht="14.45">
      <c r="A96" s="50" t="str">
        <f t="shared" si="9"/>
        <v>GLP Industrial</v>
      </c>
      <c r="B96" s="50" t="str">
        <f t="shared" si="10"/>
        <v>GLP Industrialfórmula</v>
      </c>
      <c r="D96" s="39" t="s">
        <v>4633</v>
      </c>
      <c r="E96" s="40" t="s">
        <v>4634</v>
      </c>
      <c r="F96" s="182">
        <v>0</v>
      </c>
      <c r="G96" s="181">
        <v>0</v>
      </c>
      <c r="H96" s="181">
        <v>0</v>
      </c>
      <c r="I96" s="181">
        <v>0</v>
      </c>
      <c r="J96" s="180">
        <v>0</v>
      </c>
      <c r="K96" s="180">
        <v>0</v>
      </c>
      <c r="L96" s="180">
        <v>0</v>
      </c>
      <c r="M96" s="180">
        <v>0</v>
      </c>
      <c r="N96" s="180">
        <v>0</v>
      </c>
      <c r="O96" s="180">
        <v>0</v>
      </c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</row>
    <row r="97" spans="1:45" ht="14.45">
      <c r="A97" s="50" t="str">
        <f t="shared" si="9"/>
        <v>Térmicas - CL, AI, AP</v>
      </c>
      <c r="B97" s="50" t="str">
        <f t="shared" si="10"/>
        <v>Térmicas - CL, AI, APfórmula</v>
      </c>
      <c r="C97" s="50" t="s">
        <v>20</v>
      </c>
      <c r="D97" s="44" t="s">
        <v>4635</v>
      </c>
      <c r="E97" s="45" t="s">
        <v>4634</v>
      </c>
      <c r="F97" s="182"/>
      <c r="G97" s="181"/>
      <c r="H97" s="181"/>
      <c r="I97" s="181"/>
      <c r="J97" s="180"/>
      <c r="K97" s="180">
        <v>60162091</v>
      </c>
      <c r="L97" s="180">
        <v>227368234.00000012</v>
      </c>
      <c r="M97" s="180">
        <v>92927400</v>
      </c>
      <c r="N97" s="180">
        <v>402856534.78460073</v>
      </c>
      <c r="O97" s="180">
        <v>402856534.78460073</v>
      </c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</row>
    <row r="98" spans="1:45" ht="14.45">
      <c r="A98" s="50" t="str">
        <f t="shared" si="9"/>
        <v>Industrial - Consumidor Livre/Auto-importador/Autoprodutor</v>
      </c>
      <c r="B98" s="50" t="str">
        <f t="shared" si="10"/>
        <v>Industrial - Consumidor Livre/Auto-importador/Autoprodutor0 - 200</v>
      </c>
      <c r="D98" s="817" t="s">
        <v>152</v>
      </c>
      <c r="E98" s="41" t="s">
        <v>4599</v>
      </c>
      <c r="F98" s="176"/>
      <c r="G98" s="179"/>
      <c r="H98" s="179"/>
      <c r="I98" s="179"/>
      <c r="J98" s="178"/>
      <c r="K98" s="178"/>
      <c r="L98" s="178">
        <v>2400</v>
      </c>
      <c r="M98" s="178">
        <v>2400</v>
      </c>
      <c r="N98" s="178">
        <v>2400</v>
      </c>
      <c r="O98" s="178">
        <v>2400</v>
      </c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</row>
    <row r="99" spans="1:45" ht="14.45">
      <c r="A99" s="50" t="str">
        <f>+A98</f>
        <v>Industrial - Consumidor Livre/Auto-importador/Autoprodutor</v>
      </c>
      <c r="B99" s="50" t="str">
        <f t="shared" si="10"/>
        <v>Industrial - Consumidor Livre/Auto-importador/Autoprodutor201 - 2.000</v>
      </c>
      <c r="D99" s="818"/>
      <c r="E99" s="42" t="s">
        <v>4620</v>
      </c>
      <c r="F99" s="178"/>
      <c r="G99" s="179"/>
      <c r="H99" s="179"/>
      <c r="I99" s="179"/>
      <c r="J99" s="178"/>
      <c r="K99" s="178"/>
      <c r="L99" s="178">
        <v>21600</v>
      </c>
      <c r="M99" s="178">
        <v>21600</v>
      </c>
      <c r="N99" s="178">
        <v>21600</v>
      </c>
      <c r="O99" s="178">
        <v>21600</v>
      </c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</row>
    <row r="100" spans="1:45" ht="14.45">
      <c r="A100" s="50" t="str">
        <f t="shared" ref="A100:A107" si="11">+A99</f>
        <v>Industrial - Consumidor Livre/Auto-importador/Autoprodutor</v>
      </c>
      <c r="B100" s="50" t="str">
        <f t="shared" si="10"/>
        <v>Industrial - Consumidor Livre/Auto-importador/Autoprodutor2.001 - 10.000</v>
      </c>
      <c r="D100" s="818"/>
      <c r="E100" s="42" t="s">
        <v>4621</v>
      </c>
      <c r="F100" s="178"/>
      <c r="G100" s="179"/>
      <c r="H100" s="179"/>
      <c r="I100" s="179"/>
      <c r="J100" s="178"/>
      <c r="K100" s="178"/>
      <c r="L100" s="178">
        <v>96000</v>
      </c>
      <c r="M100" s="178">
        <v>96000</v>
      </c>
      <c r="N100" s="178">
        <v>96000</v>
      </c>
      <c r="O100" s="178">
        <v>96000</v>
      </c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</row>
    <row r="101" spans="1:45" ht="14.45">
      <c r="A101" s="50" t="str">
        <f t="shared" si="11"/>
        <v>Industrial - Consumidor Livre/Auto-importador/Autoprodutor</v>
      </c>
      <c r="B101" s="50" t="str">
        <f t="shared" si="10"/>
        <v>Industrial - Consumidor Livre/Auto-importador/Autoprodutor10.001 - 50.000</v>
      </c>
      <c r="D101" s="818"/>
      <c r="E101" s="42" t="s">
        <v>4622</v>
      </c>
      <c r="F101" s="178"/>
      <c r="G101" s="179"/>
      <c r="H101" s="179"/>
      <c r="I101" s="179"/>
      <c r="J101" s="178"/>
      <c r="K101" s="178"/>
      <c r="L101" s="178">
        <v>480000</v>
      </c>
      <c r="M101" s="178">
        <v>480000</v>
      </c>
      <c r="N101" s="178">
        <v>480000</v>
      </c>
      <c r="O101" s="178">
        <v>480000</v>
      </c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</row>
    <row r="102" spans="1:45" ht="14.45">
      <c r="A102" s="50" t="str">
        <f t="shared" si="11"/>
        <v>Industrial - Consumidor Livre/Auto-importador/Autoprodutor</v>
      </c>
      <c r="B102" s="50" t="str">
        <f t="shared" si="10"/>
        <v>Industrial - Consumidor Livre/Auto-importador/Autoprodutor50.001 - 100.000</v>
      </c>
      <c r="D102" s="818"/>
      <c r="E102" s="42" t="s">
        <v>4623</v>
      </c>
      <c r="F102" s="178"/>
      <c r="G102" s="179"/>
      <c r="H102" s="179"/>
      <c r="I102" s="179"/>
      <c r="J102" s="178"/>
      <c r="K102" s="178"/>
      <c r="L102" s="178">
        <v>600000</v>
      </c>
      <c r="M102" s="178">
        <v>600000</v>
      </c>
      <c r="N102" s="178">
        <v>600000</v>
      </c>
      <c r="O102" s="178">
        <v>600000</v>
      </c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</row>
    <row r="103" spans="1:45" ht="14.45">
      <c r="A103" s="50" t="str">
        <f t="shared" si="11"/>
        <v>Industrial - Consumidor Livre/Auto-importador/Autoprodutor</v>
      </c>
      <c r="B103" s="50" t="str">
        <f t="shared" si="10"/>
        <v>Industrial - Consumidor Livre/Auto-importador/Autoprodutor100.001 - 300.000</v>
      </c>
      <c r="D103" s="818"/>
      <c r="E103" s="42" t="s">
        <v>4624</v>
      </c>
      <c r="F103" s="178"/>
      <c r="G103" s="179"/>
      <c r="H103" s="179"/>
      <c r="I103" s="179"/>
      <c r="J103" s="178"/>
      <c r="K103" s="178"/>
      <c r="L103" s="178">
        <v>2400000</v>
      </c>
      <c r="M103" s="178">
        <v>2400000</v>
      </c>
      <c r="N103" s="178">
        <v>2400000</v>
      </c>
      <c r="O103" s="178">
        <v>2400000</v>
      </c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</row>
    <row r="104" spans="1:45" ht="14.45">
      <c r="A104" s="50" t="str">
        <f t="shared" si="11"/>
        <v>Industrial - Consumidor Livre/Auto-importador/Autoprodutor</v>
      </c>
      <c r="B104" s="50" t="str">
        <f t="shared" si="10"/>
        <v>Industrial - Consumidor Livre/Auto-importador/Autoprodutor300.001 - 600.000</v>
      </c>
      <c r="D104" s="818"/>
      <c r="E104" s="42" t="s">
        <v>4611</v>
      </c>
      <c r="F104" s="178"/>
      <c r="G104" s="179"/>
      <c r="H104" s="179"/>
      <c r="I104" s="179"/>
      <c r="J104" s="178"/>
      <c r="K104" s="178"/>
      <c r="L104" s="178">
        <v>3600000</v>
      </c>
      <c r="M104" s="178">
        <v>3600000</v>
      </c>
      <c r="N104" s="178">
        <v>3600000</v>
      </c>
      <c r="O104" s="178">
        <v>3600000</v>
      </c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</row>
    <row r="105" spans="1:45" ht="14.45">
      <c r="A105" s="50" t="str">
        <f t="shared" si="11"/>
        <v>Industrial - Consumidor Livre/Auto-importador/Autoprodutor</v>
      </c>
      <c r="B105" s="50" t="str">
        <f t="shared" si="10"/>
        <v>Industrial - Consumidor Livre/Auto-importador/Autoprodutor600.001 - 1.500.000</v>
      </c>
      <c r="D105" s="818"/>
      <c r="E105" s="42" t="s">
        <v>4612</v>
      </c>
      <c r="F105" s="178"/>
      <c r="G105" s="179"/>
      <c r="H105" s="179"/>
      <c r="I105" s="179"/>
      <c r="J105" s="178"/>
      <c r="K105" s="178"/>
      <c r="L105" s="178">
        <v>10800000</v>
      </c>
      <c r="M105" s="178">
        <v>10800000</v>
      </c>
      <c r="N105" s="178">
        <v>10800000</v>
      </c>
      <c r="O105" s="178">
        <v>10800000</v>
      </c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</row>
    <row r="106" spans="1:45" ht="14.45">
      <c r="A106" s="50" t="str">
        <f t="shared" si="11"/>
        <v>Industrial - Consumidor Livre/Auto-importador/Autoprodutor</v>
      </c>
      <c r="B106" s="50" t="str">
        <f t="shared" si="10"/>
        <v>Industrial - Consumidor Livre/Auto-importador/Autoprodutor1.500.001 - 3.000.000</v>
      </c>
      <c r="D106" s="818"/>
      <c r="E106" s="42" t="s">
        <v>4625</v>
      </c>
      <c r="F106" s="178"/>
      <c r="G106" s="179"/>
      <c r="H106" s="179"/>
      <c r="I106" s="179"/>
      <c r="J106" s="178"/>
      <c r="K106" s="178"/>
      <c r="L106" s="178">
        <v>18000000</v>
      </c>
      <c r="M106" s="178">
        <v>18000000</v>
      </c>
      <c r="N106" s="178">
        <v>18000000</v>
      </c>
      <c r="O106" s="178">
        <v>18000000</v>
      </c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</row>
    <row r="107" spans="1:45" ht="14.45">
      <c r="A107" s="50" t="str">
        <f t="shared" si="11"/>
        <v>Industrial - Consumidor Livre/Auto-importador/Autoprodutor</v>
      </c>
      <c r="B107" s="50" t="str">
        <f t="shared" si="10"/>
        <v>Industrial - Consumidor Livre/Auto-importador/Autoprodutoracima de 3.000.000</v>
      </c>
      <c r="D107" s="819"/>
      <c r="E107" s="43" t="s">
        <v>4626</v>
      </c>
      <c r="F107" s="180"/>
      <c r="G107" s="181"/>
      <c r="H107" s="181"/>
      <c r="I107" s="181"/>
      <c r="J107" s="180"/>
      <c r="K107" s="180"/>
      <c r="L107" s="180">
        <v>200550927</v>
      </c>
      <c r="M107" s="180">
        <v>305259606.97449702</v>
      </c>
      <c r="N107" s="180">
        <v>298434414.83500701</v>
      </c>
      <c r="O107" s="180">
        <v>291745726.53830683</v>
      </c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</row>
    <row r="108" spans="1:45" ht="14.45">
      <c r="A108" s="50" t="str">
        <f>+D108</f>
        <v>Petroquímico - CL, AI, AP</v>
      </c>
      <c r="B108" s="50" t="str">
        <f t="shared" si="10"/>
        <v>Petroquímico - CL, AI, APfaixa única</v>
      </c>
      <c r="D108" s="44" t="s">
        <v>4636</v>
      </c>
      <c r="E108" s="40" t="s">
        <v>4617</v>
      </c>
      <c r="F108" s="176"/>
      <c r="G108" s="179"/>
      <c r="H108" s="179"/>
      <c r="I108" s="179"/>
      <c r="J108" s="178"/>
      <c r="K108" s="178"/>
      <c r="L108" s="178"/>
      <c r="M108" s="178">
        <v>0</v>
      </c>
      <c r="N108" s="178">
        <v>0</v>
      </c>
      <c r="O108" s="178">
        <v>0</v>
      </c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</row>
    <row r="109" spans="1:45" ht="14.45" hidden="1">
      <c r="D109" s="820" t="s">
        <v>4637</v>
      </c>
      <c r="E109" s="414" t="s">
        <v>4599</v>
      </c>
      <c r="F109" s="177"/>
      <c r="G109" s="417"/>
      <c r="H109" s="417"/>
      <c r="I109" s="417"/>
      <c r="J109" s="417"/>
      <c r="K109" s="417"/>
      <c r="L109" s="417"/>
      <c r="M109" s="417"/>
      <c r="N109" s="417"/>
      <c r="O109" s="418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</row>
    <row r="110" spans="1:45" ht="14.45" hidden="1">
      <c r="D110" s="821"/>
      <c r="E110" s="415" t="s">
        <v>4627</v>
      </c>
      <c r="F110" s="179"/>
      <c r="G110" s="416"/>
      <c r="H110" s="416"/>
      <c r="I110" s="416"/>
      <c r="J110" s="416"/>
      <c r="K110" s="416"/>
      <c r="L110" s="416"/>
      <c r="M110" s="416"/>
      <c r="N110" s="416"/>
      <c r="O110" s="419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</row>
    <row r="111" spans="1:45" ht="14.45" hidden="1">
      <c r="D111" s="821"/>
      <c r="E111" s="42" t="s">
        <v>4628</v>
      </c>
      <c r="F111" s="179"/>
      <c r="G111" s="416"/>
      <c r="H111" s="416"/>
      <c r="I111" s="416"/>
      <c r="J111" s="416"/>
      <c r="K111" s="416"/>
      <c r="L111" s="416"/>
      <c r="M111" s="416"/>
      <c r="N111" s="416"/>
      <c r="O111" s="419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</row>
    <row r="112" spans="1:45" ht="14.45" hidden="1">
      <c r="D112" s="821"/>
      <c r="E112" s="42" t="s">
        <v>4622</v>
      </c>
      <c r="F112" s="179"/>
      <c r="G112" s="416"/>
      <c r="H112" s="416"/>
      <c r="I112" s="416"/>
      <c r="J112" s="416"/>
      <c r="K112" s="416"/>
      <c r="L112" s="416"/>
      <c r="M112" s="416"/>
      <c r="N112" s="416"/>
      <c r="O112" s="419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</row>
    <row r="113" spans="4:45" ht="14.45" hidden="1">
      <c r="D113" s="821"/>
      <c r="E113" s="42" t="s">
        <v>4623</v>
      </c>
      <c r="F113" s="179"/>
      <c r="G113" s="416"/>
      <c r="H113" s="416"/>
      <c r="I113" s="416"/>
      <c r="J113" s="416"/>
      <c r="K113" s="416"/>
      <c r="L113" s="416"/>
      <c r="M113" s="416"/>
      <c r="N113" s="416"/>
      <c r="O113" s="419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</row>
    <row r="114" spans="4:45" ht="14.45" hidden="1">
      <c r="D114" s="821"/>
      <c r="E114" s="42" t="s">
        <v>4624</v>
      </c>
      <c r="F114" s="179"/>
      <c r="G114" s="416"/>
      <c r="H114" s="416"/>
      <c r="I114" s="416"/>
      <c r="J114" s="416"/>
      <c r="K114" s="416"/>
      <c r="L114" s="416"/>
      <c r="M114" s="416"/>
      <c r="N114" s="416"/>
      <c r="O114" s="419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</row>
    <row r="115" spans="4:45" ht="14.45" hidden="1">
      <c r="D115" s="821"/>
      <c r="E115" s="42" t="s">
        <v>4611</v>
      </c>
      <c r="F115" s="179"/>
      <c r="G115" s="416"/>
      <c r="H115" s="416"/>
      <c r="I115" s="416"/>
      <c r="J115" s="416"/>
      <c r="K115" s="416"/>
      <c r="L115" s="416"/>
      <c r="M115" s="416"/>
      <c r="N115" s="416"/>
      <c r="O115" s="419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</row>
    <row r="116" spans="4:45" ht="14.45" hidden="1">
      <c r="D116" s="821"/>
      <c r="E116" s="42" t="s">
        <v>4612</v>
      </c>
      <c r="F116" s="179"/>
      <c r="G116" s="416"/>
      <c r="H116" s="416"/>
      <c r="I116" s="416"/>
      <c r="J116" s="416"/>
      <c r="K116" s="416"/>
      <c r="L116" s="416"/>
      <c r="M116" s="416"/>
      <c r="N116" s="416"/>
      <c r="O116" s="419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</row>
    <row r="117" spans="4:45" ht="14.45" hidden="1">
      <c r="D117" s="821"/>
      <c r="E117" s="125" t="s">
        <v>4629</v>
      </c>
      <c r="F117" s="179"/>
      <c r="G117" s="416"/>
      <c r="H117" s="416"/>
      <c r="I117" s="416"/>
      <c r="J117" s="416"/>
      <c r="K117" s="416"/>
      <c r="L117" s="416"/>
      <c r="M117" s="416"/>
      <c r="N117" s="416"/>
      <c r="O117" s="419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</row>
    <row r="118" spans="4:45" ht="14.45" hidden="1">
      <c r="D118" s="822"/>
      <c r="E118" s="43" t="s">
        <v>4626</v>
      </c>
      <c r="F118" s="181"/>
      <c r="G118" s="420"/>
      <c r="H118" s="420"/>
      <c r="I118" s="420"/>
      <c r="J118" s="420"/>
      <c r="K118" s="420"/>
      <c r="L118" s="420"/>
      <c r="M118" s="420"/>
      <c r="N118" s="420"/>
      <c r="O118" s="413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</row>
    <row r="119" spans="4:45" ht="14.45" hidden="1">
      <c r="D119" s="820" t="s">
        <v>4638</v>
      </c>
      <c r="E119" s="414" t="s">
        <v>4599</v>
      </c>
      <c r="F119" s="177"/>
      <c r="G119" s="417"/>
      <c r="H119" s="417"/>
      <c r="I119" s="417"/>
      <c r="J119" s="417"/>
      <c r="K119" s="417"/>
      <c r="L119" s="417"/>
      <c r="M119" s="417"/>
      <c r="N119" s="417"/>
      <c r="O119" s="418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</row>
    <row r="120" spans="4:45" ht="14.45" hidden="1">
      <c r="D120" s="821"/>
      <c r="E120" s="415" t="s">
        <v>4627</v>
      </c>
      <c r="F120" s="179"/>
      <c r="G120" s="416"/>
      <c r="H120" s="416"/>
      <c r="I120" s="416"/>
      <c r="J120" s="416"/>
      <c r="K120" s="416"/>
      <c r="L120" s="416"/>
      <c r="M120" s="416"/>
      <c r="N120" s="416"/>
      <c r="O120" s="419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</row>
    <row r="121" spans="4:45" ht="14.45" hidden="1">
      <c r="D121" s="821"/>
      <c r="E121" s="42" t="s">
        <v>4628</v>
      </c>
      <c r="F121" s="179"/>
      <c r="G121" s="416"/>
      <c r="H121" s="416"/>
      <c r="I121" s="416"/>
      <c r="J121" s="416"/>
      <c r="K121" s="416"/>
      <c r="L121" s="416"/>
      <c r="M121" s="416"/>
      <c r="N121" s="416"/>
      <c r="O121" s="419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</row>
    <row r="122" spans="4:45" ht="14.45" hidden="1">
      <c r="D122" s="821"/>
      <c r="E122" s="42" t="s">
        <v>4622</v>
      </c>
      <c r="F122" s="179"/>
      <c r="G122" s="416"/>
      <c r="H122" s="416"/>
      <c r="I122" s="416"/>
      <c r="J122" s="416"/>
      <c r="K122" s="416"/>
      <c r="L122" s="416"/>
      <c r="M122" s="416"/>
      <c r="N122" s="416"/>
      <c r="O122" s="419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</row>
    <row r="123" spans="4:45" ht="14.45" hidden="1">
      <c r="D123" s="821"/>
      <c r="E123" s="42" t="s">
        <v>4623</v>
      </c>
      <c r="F123" s="179"/>
      <c r="G123" s="416"/>
      <c r="H123" s="416"/>
      <c r="I123" s="416"/>
      <c r="J123" s="416"/>
      <c r="K123" s="416"/>
      <c r="L123" s="416"/>
      <c r="M123" s="416"/>
      <c r="N123" s="416"/>
      <c r="O123" s="419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</row>
    <row r="124" spans="4:45" ht="14.45" hidden="1">
      <c r="D124" s="821"/>
      <c r="E124" s="42" t="s">
        <v>4624</v>
      </c>
      <c r="F124" s="179"/>
      <c r="G124" s="416"/>
      <c r="H124" s="416"/>
      <c r="I124" s="416"/>
      <c r="J124" s="416"/>
      <c r="K124" s="416"/>
      <c r="L124" s="416"/>
      <c r="M124" s="416"/>
      <c r="N124" s="416"/>
      <c r="O124" s="419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</row>
    <row r="125" spans="4:45" ht="14.45" hidden="1">
      <c r="D125" s="821"/>
      <c r="E125" s="42" t="s">
        <v>4611</v>
      </c>
      <c r="F125" s="179"/>
      <c r="G125" s="416"/>
      <c r="H125" s="416"/>
      <c r="I125" s="416"/>
      <c r="J125" s="416"/>
      <c r="K125" s="416"/>
      <c r="L125" s="416"/>
      <c r="M125" s="416"/>
      <c r="N125" s="416"/>
      <c r="O125" s="419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</row>
    <row r="126" spans="4:45" ht="14.45" hidden="1">
      <c r="D126" s="821"/>
      <c r="E126" s="42" t="s">
        <v>4612</v>
      </c>
      <c r="F126" s="179"/>
      <c r="G126" s="416"/>
      <c r="H126" s="416"/>
      <c r="I126" s="416"/>
      <c r="J126" s="416"/>
      <c r="K126" s="416"/>
      <c r="L126" s="416"/>
      <c r="M126" s="416"/>
      <c r="N126" s="416"/>
      <c r="O126" s="419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</row>
    <row r="127" spans="4:45" ht="14.45" hidden="1">
      <c r="D127" s="821"/>
      <c r="E127" s="125" t="s">
        <v>4629</v>
      </c>
      <c r="F127" s="179"/>
      <c r="G127" s="416"/>
      <c r="H127" s="416"/>
      <c r="I127" s="416"/>
      <c r="J127" s="416"/>
      <c r="K127" s="416"/>
      <c r="L127" s="416"/>
      <c r="M127" s="416"/>
      <c r="N127" s="416"/>
      <c r="O127" s="419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</row>
    <row r="128" spans="4:45" ht="14.45" hidden="1">
      <c r="D128" s="822"/>
      <c r="E128" s="43" t="s">
        <v>4626</v>
      </c>
      <c r="F128" s="181"/>
      <c r="G128" s="420"/>
      <c r="H128" s="420"/>
      <c r="I128" s="420"/>
      <c r="J128" s="420"/>
      <c r="K128" s="420"/>
      <c r="L128" s="420"/>
      <c r="M128" s="420"/>
      <c r="N128" s="420"/>
      <c r="O128" s="413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</row>
    <row r="129" spans="1:147" ht="14.45">
      <c r="D129" s="46" t="s">
        <v>167</v>
      </c>
      <c r="E129" s="47" t="s">
        <v>4639</v>
      </c>
      <c r="F129" s="422">
        <f>+SUM(F4:F128)</f>
        <v>841929319</v>
      </c>
      <c r="G129" s="422">
        <f t="shared" ref="G129:O129" si="12">+SUM(G4:G128)</f>
        <v>880418830</v>
      </c>
      <c r="H129" s="422">
        <f t="shared" si="12"/>
        <v>808362455</v>
      </c>
      <c r="I129" s="422">
        <f t="shared" si="12"/>
        <v>889867858</v>
      </c>
      <c r="J129" s="422">
        <f t="shared" si="12"/>
        <v>848848089</v>
      </c>
      <c r="K129" s="422">
        <f t="shared" si="12"/>
        <v>996318000</v>
      </c>
      <c r="L129" s="422">
        <f t="shared" si="12"/>
        <v>1403812409.3700004</v>
      </c>
      <c r="M129" s="422">
        <f t="shared" si="12"/>
        <v>812267539.10257876</v>
      </c>
      <c r="N129" s="422">
        <f t="shared" si="12"/>
        <v>1100453766.2054667</v>
      </c>
      <c r="O129" s="422">
        <f t="shared" si="12"/>
        <v>1085338779.1384993</v>
      </c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</row>
    <row r="130" spans="1:147" ht="14.45">
      <c r="F130" s="59"/>
      <c r="K130" s="55">
        <f>+K129-E292*1000</f>
        <v>0</v>
      </c>
      <c r="L130" s="55">
        <f>+L129-F292*1000</f>
        <v>0</v>
      </c>
      <c r="M130" s="435">
        <f>+M129-G292*1000</f>
        <v>0</v>
      </c>
      <c r="N130" s="435">
        <f>+N129-H292*1000</f>
        <v>0</v>
      </c>
      <c r="O130" s="435">
        <f>+O129-I292*1000</f>
        <v>0</v>
      </c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</row>
    <row r="131" spans="1:147">
      <c r="F131" s="59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</row>
    <row r="132" spans="1:147" s="169" customFormat="1" ht="14.45">
      <c r="D132" s="26" t="s">
        <v>4640</v>
      </c>
      <c r="E132" s="26" t="s">
        <v>4590</v>
      </c>
      <c r="F132" s="27">
        <v>2018</v>
      </c>
      <c r="G132" s="27">
        <v>2019</v>
      </c>
      <c r="H132" s="27">
        <v>2020</v>
      </c>
      <c r="I132" s="27">
        <v>2021</v>
      </c>
      <c r="J132" s="27">
        <v>2022</v>
      </c>
      <c r="K132" s="27">
        <v>2023</v>
      </c>
      <c r="L132" s="27">
        <v>2024</v>
      </c>
      <c r="M132" s="49">
        <v>2025</v>
      </c>
      <c r="N132" s="49">
        <v>2026</v>
      </c>
      <c r="O132" s="49">
        <v>2027</v>
      </c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</row>
    <row r="133" spans="1:147" s="169" customFormat="1" ht="14.45">
      <c r="A133" s="50" t="str">
        <f>+D133</f>
        <v>Residencial</v>
      </c>
      <c r="B133" s="50" t="str">
        <f>+CONCATENATE(A133,E133)</f>
        <v>Residencial0 - 7</v>
      </c>
      <c r="C133" s="50" t="s">
        <v>4591</v>
      </c>
      <c r="D133" s="811" t="s">
        <v>47</v>
      </c>
      <c r="E133" s="170" t="s">
        <v>4592</v>
      </c>
      <c r="F133" s="176">
        <v>46077</v>
      </c>
      <c r="G133" s="177">
        <v>51684</v>
      </c>
      <c r="H133" s="177">
        <v>51302</v>
      </c>
      <c r="I133" s="177">
        <v>52849</v>
      </c>
      <c r="J133" s="176">
        <v>55976</v>
      </c>
      <c r="K133" s="176">
        <v>58773</v>
      </c>
      <c r="L133" s="176">
        <v>60969</v>
      </c>
      <c r="M133" s="176">
        <v>49707</v>
      </c>
      <c r="N133" s="176">
        <v>50827.665325363516</v>
      </c>
      <c r="O133" s="176">
        <v>51947.947676661148</v>
      </c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</row>
    <row r="134" spans="1:147" s="169" customFormat="1" ht="14.45">
      <c r="A134" s="50" t="str">
        <f>+A133</f>
        <v>Residencial</v>
      </c>
      <c r="B134" s="50" t="str">
        <f t="shared" ref="B134:B195" si="13">+CONCATENATE(A134,E134)</f>
        <v>Residencial8 - 23</v>
      </c>
      <c r="C134" s="50" t="s">
        <v>4591</v>
      </c>
      <c r="D134" s="812"/>
      <c r="E134" s="171" t="s">
        <v>4593</v>
      </c>
      <c r="F134" s="178">
        <v>34588</v>
      </c>
      <c r="G134" s="179">
        <v>36906</v>
      </c>
      <c r="H134" s="179">
        <v>40907</v>
      </c>
      <c r="I134" s="179">
        <v>39889</v>
      </c>
      <c r="J134" s="178">
        <v>40130</v>
      </c>
      <c r="K134" s="178">
        <v>40744</v>
      </c>
      <c r="L134" s="178">
        <v>40427</v>
      </c>
      <c r="M134" s="178">
        <v>34330</v>
      </c>
      <c r="N134" s="178">
        <v>35103.437078299241</v>
      </c>
      <c r="O134" s="178">
        <v>35877.144876541977</v>
      </c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</row>
    <row r="135" spans="1:147" s="169" customFormat="1" ht="14.45">
      <c r="A135" s="50" t="str">
        <f t="shared" ref="A135:A136" si="14">+A134</f>
        <v>Residencial</v>
      </c>
      <c r="B135" s="50" t="str">
        <f t="shared" si="13"/>
        <v>Residencial24 - 83</v>
      </c>
      <c r="C135" s="50" t="s">
        <v>4591</v>
      </c>
      <c r="D135" s="812"/>
      <c r="E135" s="171" t="s">
        <v>4594</v>
      </c>
      <c r="F135" s="178">
        <v>7162</v>
      </c>
      <c r="G135" s="179">
        <v>7427</v>
      </c>
      <c r="H135" s="179">
        <v>9052</v>
      </c>
      <c r="I135" s="179">
        <v>8794</v>
      </c>
      <c r="J135" s="178">
        <v>8674</v>
      </c>
      <c r="K135" s="178">
        <v>8294</v>
      </c>
      <c r="L135" s="178">
        <v>7499</v>
      </c>
      <c r="M135" s="178">
        <v>6931</v>
      </c>
      <c r="N135" s="178">
        <v>7086.8898587700342</v>
      </c>
      <c r="O135" s="178">
        <v>7243.0905731555613</v>
      </c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</row>
    <row r="136" spans="1:147" s="169" customFormat="1" ht="14.45">
      <c r="A136" s="50" t="str">
        <f t="shared" si="14"/>
        <v>Residencial</v>
      </c>
      <c r="B136" s="50" t="str">
        <f t="shared" si="13"/>
        <v>Residencialacima de 83</v>
      </c>
      <c r="C136" s="50" t="s">
        <v>4591</v>
      </c>
      <c r="D136" s="813"/>
      <c r="E136" s="172" t="s">
        <v>4641</v>
      </c>
      <c r="F136" s="180">
        <v>99</v>
      </c>
      <c r="G136" s="181">
        <v>118</v>
      </c>
      <c r="H136" s="181">
        <v>161</v>
      </c>
      <c r="I136" s="181">
        <v>121</v>
      </c>
      <c r="J136" s="180">
        <v>110</v>
      </c>
      <c r="K136" s="180">
        <v>114</v>
      </c>
      <c r="L136" s="180">
        <v>118</v>
      </c>
      <c r="M136" s="180">
        <v>97</v>
      </c>
      <c r="N136" s="180">
        <v>98.936116921537888</v>
      </c>
      <c r="O136" s="180">
        <v>101.11674798109217</v>
      </c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</row>
    <row r="137" spans="1:147" s="169" customFormat="1" ht="14.45">
      <c r="A137" s="50" t="s">
        <v>4597</v>
      </c>
      <c r="B137" s="50" t="str">
        <f t="shared" si="13"/>
        <v>Residencial Social MCMV0 - 7</v>
      </c>
      <c r="C137" s="50" t="s">
        <v>4596</v>
      </c>
      <c r="D137" s="814" t="s">
        <v>4642</v>
      </c>
      <c r="E137" s="171" t="s">
        <v>4592</v>
      </c>
      <c r="F137" s="176">
        <v>531</v>
      </c>
      <c r="G137" s="179">
        <v>500</v>
      </c>
      <c r="H137" s="179">
        <v>425</v>
      </c>
      <c r="I137" s="179">
        <v>384</v>
      </c>
      <c r="J137" s="178">
        <v>374</v>
      </c>
      <c r="K137" s="178">
        <v>378</v>
      </c>
      <c r="L137" s="178">
        <v>350</v>
      </c>
      <c r="M137" s="178">
        <v>311.99760214259828</v>
      </c>
      <c r="N137" s="178">
        <v>319.02926195679316</v>
      </c>
      <c r="O137" s="178">
        <v>326.06092177098805</v>
      </c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</row>
    <row r="138" spans="1:147" s="169" customFormat="1" ht="14.45">
      <c r="A138" s="50" t="s">
        <v>4597</v>
      </c>
      <c r="B138" s="50" t="str">
        <f t="shared" si="13"/>
        <v>Residencial Social MCMV8 - 23</v>
      </c>
      <c r="C138" s="50" t="s">
        <v>4596</v>
      </c>
      <c r="D138" s="815"/>
      <c r="E138" s="171" t="s">
        <v>4593</v>
      </c>
      <c r="F138" s="178">
        <v>683</v>
      </c>
      <c r="G138" s="179">
        <v>611</v>
      </c>
      <c r="H138" s="179">
        <v>554</v>
      </c>
      <c r="I138" s="179">
        <v>486</v>
      </c>
      <c r="J138" s="178">
        <v>457</v>
      </c>
      <c r="K138" s="178">
        <v>404</v>
      </c>
      <c r="L138" s="178">
        <v>339</v>
      </c>
      <c r="M138" s="178">
        <v>340.24166405435801</v>
      </c>
      <c r="N138" s="178">
        <v>347.90987566821633</v>
      </c>
      <c r="O138" s="178">
        <v>355.5780872820747</v>
      </c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</row>
    <row r="139" spans="1:147" s="169" customFormat="1" ht="14.45">
      <c r="A139" s="50" t="s">
        <v>4597</v>
      </c>
      <c r="B139" s="50" t="str">
        <f t="shared" si="13"/>
        <v>Residencial Social MCMV24 - 83</v>
      </c>
      <c r="C139" s="50" t="s">
        <v>4596</v>
      </c>
      <c r="D139" s="815"/>
      <c r="E139" s="165" t="s">
        <v>4594</v>
      </c>
      <c r="F139" s="178">
        <v>120</v>
      </c>
      <c r="G139" s="179">
        <v>85</v>
      </c>
      <c r="H139" s="179">
        <v>94</v>
      </c>
      <c r="I139" s="179">
        <v>63</v>
      </c>
      <c r="J139" s="178">
        <v>62</v>
      </c>
      <c r="K139" s="178">
        <v>48</v>
      </c>
      <c r="L139" s="178">
        <v>29</v>
      </c>
      <c r="M139" s="178">
        <v>39.508589505996774</v>
      </c>
      <c r="N139" s="178">
        <v>40.399016096576354</v>
      </c>
      <c r="O139" s="178">
        <v>41.28944268715594</v>
      </c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</row>
    <row r="140" spans="1:147" s="169" customFormat="1" ht="14.45">
      <c r="A140" s="50" t="s">
        <v>4597</v>
      </c>
      <c r="B140" s="50" t="str">
        <f t="shared" si="13"/>
        <v>Residencial Social MCMVacima de 83</v>
      </c>
      <c r="C140" s="50" t="s">
        <v>4596</v>
      </c>
      <c r="D140" s="816"/>
      <c r="E140" s="166" t="s">
        <v>4641</v>
      </c>
      <c r="F140" s="180">
        <v>0</v>
      </c>
      <c r="G140" s="181">
        <v>0</v>
      </c>
      <c r="H140" s="181">
        <v>0</v>
      </c>
      <c r="I140" s="181">
        <v>1</v>
      </c>
      <c r="J140" s="180">
        <v>1</v>
      </c>
      <c r="K140" s="180">
        <v>5</v>
      </c>
      <c r="L140" s="180">
        <v>0</v>
      </c>
      <c r="M140" s="180">
        <v>1.6952599281674465</v>
      </c>
      <c r="N140" s="180">
        <v>1.7334669240855165</v>
      </c>
      <c r="O140" s="180">
        <v>1.7716739200035867</v>
      </c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</row>
    <row r="141" spans="1:147" s="169" customFormat="1" ht="14.45">
      <c r="A141" s="50" t="str">
        <f>+D141</f>
        <v>Comercial</v>
      </c>
      <c r="B141" s="50" t="str">
        <f t="shared" si="13"/>
        <v>Comercial0 - 200</v>
      </c>
      <c r="C141" s="50" t="s">
        <v>4598</v>
      </c>
      <c r="D141" s="811" t="s">
        <v>17</v>
      </c>
      <c r="E141" s="170" t="s">
        <v>4599</v>
      </c>
      <c r="F141" s="176">
        <v>934</v>
      </c>
      <c r="G141" s="179">
        <v>1089</v>
      </c>
      <c r="H141" s="179">
        <v>1286</v>
      </c>
      <c r="I141" s="179">
        <v>1087</v>
      </c>
      <c r="J141" s="178">
        <v>1039</v>
      </c>
      <c r="K141" s="178">
        <v>1093</v>
      </c>
      <c r="L141" s="179">
        <v>1006</v>
      </c>
      <c r="M141" s="179">
        <v>838.94895001425084</v>
      </c>
      <c r="N141" s="179">
        <v>849.52591619983275</v>
      </c>
      <c r="O141" s="176">
        <v>870.36773357955212</v>
      </c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</row>
    <row r="142" spans="1:147" s="169" customFormat="1" ht="14.45">
      <c r="A142" s="50" t="str">
        <f>+A141</f>
        <v>Comercial</v>
      </c>
      <c r="B142" s="50" t="str">
        <f t="shared" si="13"/>
        <v>Comercial201 - 500</v>
      </c>
      <c r="C142" s="50" t="s">
        <v>4598</v>
      </c>
      <c r="D142" s="812"/>
      <c r="E142" s="171" t="s">
        <v>4600</v>
      </c>
      <c r="F142" s="178">
        <v>506</v>
      </c>
      <c r="G142" s="179">
        <v>578</v>
      </c>
      <c r="H142" s="179">
        <v>660</v>
      </c>
      <c r="I142" s="179">
        <v>569</v>
      </c>
      <c r="J142" s="178">
        <v>568</v>
      </c>
      <c r="K142" s="178">
        <v>569</v>
      </c>
      <c r="L142" s="179">
        <v>540</v>
      </c>
      <c r="M142" s="179">
        <v>448.50949950044242</v>
      </c>
      <c r="N142" s="179">
        <v>454.16403880232463</v>
      </c>
      <c r="O142" s="178">
        <v>465.30625798204801</v>
      </c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</row>
    <row r="143" spans="1:147" s="169" customFormat="1" ht="14.45">
      <c r="A143" s="50" t="str">
        <f t="shared" ref="A143:A146" si="15">+A142</f>
        <v>Comercial</v>
      </c>
      <c r="B143" s="50" t="str">
        <f t="shared" si="13"/>
        <v>Comercial501 - 2.000</v>
      </c>
      <c r="C143" s="50" t="s">
        <v>4598</v>
      </c>
      <c r="D143" s="812"/>
      <c r="E143" s="171" t="s">
        <v>4601</v>
      </c>
      <c r="F143" s="178">
        <v>272</v>
      </c>
      <c r="G143" s="179">
        <v>286</v>
      </c>
      <c r="H143" s="179">
        <v>291</v>
      </c>
      <c r="I143" s="179">
        <v>282</v>
      </c>
      <c r="J143" s="178">
        <v>290</v>
      </c>
      <c r="K143" s="178">
        <v>310</v>
      </c>
      <c r="L143" s="179">
        <v>302</v>
      </c>
      <c r="M143" s="179">
        <v>241</v>
      </c>
      <c r="N143" s="179">
        <v>244</v>
      </c>
      <c r="O143" s="178">
        <v>250.32674719237141</v>
      </c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</row>
    <row r="144" spans="1:147" s="169" customFormat="1" ht="14.45">
      <c r="A144" s="50" t="str">
        <f t="shared" si="15"/>
        <v>Comercial</v>
      </c>
      <c r="B144" s="50" t="str">
        <f t="shared" si="13"/>
        <v>Comercial2.001 - 20.000</v>
      </c>
      <c r="C144" s="50" t="s">
        <v>4598</v>
      </c>
      <c r="D144" s="812"/>
      <c r="E144" s="171" t="s">
        <v>4643</v>
      </c>
      <c r="F144" s="178">
        <v>34</v>
      </c>
      <c r="G144" s="179">
        <v>27</v>
      </c>
      <c r="H144" s="179">
        <v>26</v>
      </c>
      <c r="I144" s="179">
        <v>29</v>
      </c>
      <c r="J144" s="178">
        <v>34</v>
      </c>
      <c r="K144" s="178">
        <v>32</v>
      </c>
      <c r="L144" s="179">
        <v>33</v>
      </c>
      <c r="M144" s="179">
        <v>27</v>
      </c>
      <c r="N144" s="179">
        <v>27</v>
      </c>
      <c r="O144" s="178">
        <v>27.493507618727847</v>
      </c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</row>
    <row r="145" spans="1:147" s="169" customFormat="1" ht="14.45">
      <c r="A145" s="50" t="str">
        <f t="shared" si="15"/>
        <v>Comercial</v>
      </c>
      <c r="B145" s="50" t="str">
        <f t="shared" si="13"/>
        <v>Comercial20.001 - 50.000</v>
      </c>
      <c r="C145" s="50" t="s">
        <v>4598</v>
      </c>
      <c r="D145" s="812"/>
      <c r="E145" s="171" t="s">
        <v>4603</v>
      </c>
      <c r="F145" s="178">
        <v>0</v>
      </c>
      <c r="G145" s="179">
        <v>0</v>
      </c>
      <c r="H145" s="179">
        <v>1</v>
      </c>
      <c r="I145" s="179">
        <v>2</v>
      </c>
      <c r="J145" s="178">
        <v>2</v>
      </c>
      <c r="K145" s="178">
        <v>2</v>
      </c>
      <c r="L145" s="179">
        <v>2</v>
      </c>
      <c r="M145" s="179">
        <v>2</v>
      </c>
      <c r="N145" s="179">
        <v>2</v>
      </c>
      <c r="O145" s="178">
        <v>1.6656803126695787</v>
      </c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</row>
    <row r="146" spans="1:147" s="169" customFormat="1" ht="14.45">
      <c r="A146" s="50" t="str">
        <f t="shared" si="15"/>
        <v>Comercial</v>
      </c>
      <c r="B146" s="50" t="str">
        <f t="shared" si="13"/>
        <v>Comercialacima de 50.000</v>
      </c>
      <c r="C146" s="50" t="s">
        <v>4598</v>
      </c>
      <c r="D146" s="813"/>
      <c r="E146" s="166" t="s">
        <v>4604</v>
      </c>
      <c r="F146" s="180"/>
      <c r="G146" s="181"/>
      <c r="H146" s="181"/>
      <c r="I146" s="181"/>
      <c r="J146" s="180"/>
      <c r="K146" s="180"/>
      <c r="L146" s="181"/>
      <c r="M146" s="181">
        <v>0</v>
      </c>
      <c r="N146" s="181">
        <v>0</v>
      </c>
      <c r="O146" s="180">
        <v>0</v>
      </c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</row>
    <row r="147" spans="1:147" s="169" customFormat="1" ht="14.45">
      <c r="A147" s="50" t="str">
        <f>+D147</f>
        <v>Climatização</v>
      </c>
      <c r="B147" s="50" t="str">
        <f t="shared" si="13"/>
        <v>Climatização0 - 200</v>
      </c>
      <c r="C147" s="50" t="s">
        <v>4605</v>
      </c>
      <c r="D147" s="811" t="s">
        <v>103</v>
      </c>
      <c r="E147" s="170" t="s">
        <v>4599</v>
      </c>
      <c r="F147" s="176">
        <v>2</v>
      </c>
      <c r="G147" s="177">
        <v>1</v>
      </c>
      <c r="H147" s="177">
        <v>3</v>
      </c>
      <c r="I147" s="177">
        <v>3</v>
      </c>
      <c r="J147" s="176">
        <v>3</v>
      </c>
      <c r="K147" s="176">
        <v>3</v>
      </c>
      <c r="L147" s="176">
        <v>3</v>
      </c>
      <c r="M147" s="176">
        <v>2</v>
      </c>
      <c r="N147" s="176">
        <v>2</v>
      </c>
      <c r="O147" s="176">
        <v>2</v>
      </c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</row>
    <row r="148" spans="1:147" s="169" customFormat="1" ht="14.45">
      <c r="A148" s="50" t="str">
        <f>+A147</f>
        <v>Climatização</v>
      </c>
      <c r="B148" s="50" t="str">
        <f t="shared" si="13"/>
        <v>Climatização201 - 5.000</v>
      </c>
      <c r="C148" s="50" t="s">
        <v>4605</v>
      </c>
      <c r="D148" s="812"/>
      <c r="E148" s="171" t="s">
        <v>4606</v>
      </c>
      <c r="F148" s="178">
        <v>3</v>
      </c>
      <c r="G148" s="179">
        <v>2</v>
      </c>
      <c r="H148" s="179">
        <v>1</v>
      </c>
      <c r="I148" s="179">
        <v>2</v>
      </c>
      <c r="J148" s="178">
        <v>1</v>
      </c>
      <c r="K148" s="178">
        <v>2</v>
      </c>
      <c r="L148" s="178">
        <v>1</v>
      </c>
      <c r="M148" s="178">
        <v>1</v>
      </c>
      <c r="N148" s="178">
        <v>1</v>
      </c>
      <c r="O148" s="178">
        <v>1</v>
      </c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</row>
    <row r="149" spans="1:147" s="169" customFormat="1" ht="14.45">
      <c r="A149" s="50" t="str">
        <f t="shared" ref="A149:A155" si="16">+A148</f>
        <v>Climatização</v>
      </c>
      <c r="B149" s="50" t="str">
        <f t="shared" si="13"/>
        <v>Climatização5.001 - 20.000</v>
      </c>
      <c r="C149" s="50" t="s">
        <v>4605</v>
      </c>
      <c r="D149" s="812"/>
      <c r="E149" s="171" t="s">
        <v>4607</v>
      </c>
      <c r="F149" s="178">
        <v>1</v>
      </c>
      <c r="G149" s="179">
        <v>1</v>
      </c>
      <c r="H149" s="179">
        <v>0</v>
      </c>
      <c r="I149" s="179">
        <v>0</v>
      </c>
      <c r="J149" s="178">
        <v>0</v>
      </c>
      <c r="K149" s="178">
        <v>0</v>
      </c>
      <c r="L149" s="178">
        <v>0</v>
      </c>
      <c r="M149" s="178">
        <v>0</v>
      </c>
      <c r="N149" s="178">
        <v>0</v>
      </c>
      <c r="O149" s="178">
        <v>0</v>
      </c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</row>
    <row r="150" spans="1:147" s="169" customFormat="1" ht="14.45">
      <c r="A150" s="50" t="str">
        <f t="shared" si="16"/>
        <v>Climatização</v>
      </c>
      <c r="B150" s="50" t="str">
        <f t="shared" si="13"/>
        <v>Climatização20.001 - 70.000</v>
      </c>
      <c r="C150" s="50" t="s">
        <v>4605</v>
      </c>
      <c r="D150" s="812"/>
      <c r="E150" s="171" t="s">
        <v>4608</v>
      </c>
      <c r="F150" s="178">
        <v>0</v>
      </c>
      <c r="G150" s="179">
        <v>0</v>
      </c>
      <c r="H150" s="179">
        <v>0</v>
      </c>
      <c r="I150" s="179">
        <v>0</v>
      </c>
      <c r="J150" s="178">
        <v>0</v>
      </c>
      <c r="K150" s="178">
        <v>0</v>
      </c>
      <c r="L150" s="178">
        <v>0</v>
      </c>
      <c r="M150" s="178">
        <v>0</v>
      </c>
      <c r="N150" s="178">
        <v>0</v>
      </c>
      <c r="O150" s="178">
        <v>0</v>
      </c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</row>
    <row r="151" spans="1:147" s="169" customFormat="1" ht="14.45">
      <c r="A151" s="50" t="str">
        <f t="shared" si="16"/>
        <v>Climatização</v>
      </c>
      <c r="B151" s="50" t="str">
        <f t="shared" si="13"/>
        <v>Climatização70.001 - 120.000</v>
      </c>
      <c r="C151" s="50" t="s">
        <v>4605</v>
      </c>
      <c r="D151" s="812"/>
      <c r="E151" s="171" t="s">
        <v>4609</v>
      </c>
      <c r="F151" s="178">
        <v>0</v>
      </c>
      <c r="G151" s="179">
        <v>0</v>
      </c>
      <c r="H151" s="179">
        <v>0</v>
      </c>
      <c r="I151" s="179">
        <v>0</v>
      </c>
      <c r="J151" s="178">
        <v>0</v>
      </c>
      <c r="K151" s="178">
        <v>0</v>
      </c>
      <c r="L151" s="178">
        <v>0</v>
      </c>
      <c r="M151" s="178">
        <v>0</v>
      </c>
      <c r="N151" s="178">
        <v>0</v>
      </c>
      <c r="O151" s="178">
        <v>0</v>
      </c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</row>
    <row r="152" spans="1:147" s="169" customFormat="1" ht="14.45">
      <c r="A152" s="50" t="str">
        <f t="shared" si="16"/>
        <v>Climatização</v>
      </c>
      <c r="B152" s="50" t="str">
        <f t="shared" si="13"/>
        <v>Climatização120.001 - 300.000</v>
      </c>
      <c r="C152" s="50" t="s">
        <v>4605</v>
      </c>
      <c r="D152" s="812"/>
      <c r="E152" s="171" t="s">
        <v>4610</v>
      </c>
      <c r="F152" s="178">
        <v>0</v>
      </c>
      <c r="G152" s="179">
        <v>0</v>
      </c>
      <c r="H152" s="179">
        <v>0</v>
      </c>
      <c r="I152" s="179">
        <v>0</v>
      </c>
      <c r="J152" s="178">
        <v>0</v>
      </c>
      <c r="K152" s="178">
        <v>0</v>
      </c>
      <c r="L152" s="178">
        <v>0</v>
      </c>
      <c r="M152" s="178">
        <v>0</v>
      </c>
      <c r="N152" s="178">
        <v>0</v>
      </c>
      <c r="O152" s="178">
        <v>0</v>
      </c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</row>
    <row r="153" spans="1:147" s="169" customFormat="1" ht="14.45">
      <c r="A153" s="50" t="str">
        <f t="shared" si="16"/>
        <v>Climatização</v>
      </c>
      <c r="B153" s="50" t="str">
        <f t="shared" si="13"/>
        <v>Climatização300.001 - 600.000</v>
      </c>
      <c r="C153" s="50" t="s">
        <v>4605</v>
      </c>
      <c r="D153" s="812"/>
      <c r="E153" s="165" t="s">
        <v>4611</v>
      </c>
      <c r="F153" s="178">
        <v>0</v>
      </c>
      <c r="G153" s="179">
        <v>0</v>
      </c>
      <c r="H153" s="179">
        <v>0</v>
      </c>
      <c r="I153" s="179">
        <v>0</v>
      </c>
      <c r="J153" s="178">
        <v>0</v>
      </c>
      <c r="K153" s="178">
        <v>0</v>
      </c>
      <c r="L153" s="178">
        <v>0</v>
      </c>
      <c r="M153" s="178">
        <v>0</v>
      </c>
      <c r="N153" s="178">
        <v>0</v>
      </c>
      <c r="O153" s="178">
        <v>0</v>
      </c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</row>
    <row r="154" spans="1:147" s="169" customFormat="1" ht="14.45">
      <c r="A154" s="50" t="str">
        <f t="shared" si="16"/>
        <v>Climatização</v>
      </c>
      <c r="B154" s="50" t="str">
        <f t="shared" si="13"/>
        <v>Climatização600.001 - 1.500.000</v>
      </c>
      <c r="C154" s="50" t="s">
        <v>4605</v>
      </c>
      <c r="D154" s="812"/>
      <c r="E154" s="165" t="s">
        <v>4612</v>
      </c>
      <c r="F154" s="178">
        <v>0</v>
      </c>
      <c r="G154" s="179">
        <v>0</v>
      </c>
      <c r="H154" s="179">
        <v>0</v>
      </c>
      <c r="I154" s="179">
        <v>0</v>
      </c>
      <c r="J154" s="178">
        <v>0</v>
      </c>
      <c r="K154" s="178">
        <v>0</v>
      </c>
      <c r="L154" s="178">
        <v>0</v>
      </c>
      <c r="M154" s="178">
        <v>0</v>
      </c>
      <c r="N154" s="178">
        <v>0</v>
      </c>
      <c r="O154" s="178">
        <v>0</v>
      </c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</row>
    <row r="155" spans="1:147" s="169" customFormat="1" ht="14.45">
      <c r="A155" s="50" t="str">
        <f t="shared" si="16"/>
        <v>Climatização</v>
      </c>
      <c r="B155" s="50" t="str">
        <f t="shared" si="13"/>
        <v>Climatizaçãoacima de 1.500.000</v>
      </c>
      <c r="C155" s="50" t="s">
        <v>4605</v>
      </c>
      <c r="D155" s="813"/>
      <c r="E155" s="165" t="s">
        <v>4613</v>
      </c>
      <c r="F155" s="180">
        <v>0</v>
      </c>
      <c r="G155" s="181">
        <v>0</v>
      </c>
      <c r="H155" s="181">
        <v>0</v>
      </c>
      <c r="I155" s="181">
        <v>0</v>
      </c>
      <c r="J155" s="180">
        <v>0</v>
      </c>
      <c r="K155" s="180">
        <v>0</v>
      </c>
      <c r="L155" s="180">
        <v>0</v>
      </c>
      <c r="M155" s="180">
        <v>0</v>
      </c>
      <c r="N155" s="180">
        <v>0</v>
      </c>
      <c r="O155" s="180">
        <v>0</v>
      </c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</row>
    <row r="156" spans="1:147" s="169" customFormat="1" ht="14.45">
      <c r="A156" s="50" t="str">
        <f>+D156</f>
        <v>Cogeração</v>
      </c>
      <c r="B156" s="50" t="str">
        <f t="shared" si="13"/>
        <v>Cogeração0 - 200</v>
      </c>
      <c r="C156" s="50" t="s">
        <v>4614</v>
      </c>
      <c r="D156" s="811" t="s">
        <v>105</v>
      </c>
      <c r="E156" s="170" t="s">
        <v>4599</v>
      </c>
      <c r="F156" s="176">
        <v>1</v>
      </c>
      <c r="G156" s="177">
        <v>1</v>
      </c>
      <c r="H156" s="177">
        <v>1</v>
      </c>
      <c r="I156" s="177">
        <v>1</v>
      </c>
      <c r="J156" s="176">
        <v>1</v>
      </c>
      <c r="K156" s="176">
        <v>1</v>
      </c>
      <c r="L156" s="176">
        <v>0</v>
      </c>
      <c r="M156" s="176">
        <v>0.52684719327917973</v>
      </c>
      <c r="N156" s="176">
        <v>0.53348936733302166</v>
      </c>
      <c r="O156" s="176">
        <v>0.54657771196847993</v>
      </c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</row>
    <row r="157" spans="1:147" s="169" customFormat="1" ht="14.45">
      <c r="A157" s="50" t="str">
        <f>+A156</f>
        <v>Cogeração</v>
      </c>
      <c r="B157" s="50" t="str">
        <f t="shared" si="13"/>
        <v>Cogeração201 - 5.000</v>
      </c>
      <c r="C157" s="50" t="s">
        <v>4614</v>
      </c>
      <c r="D157" s="812"/>
      <c r="E157" s="171" t="s">
        <v>4606</v>
      </c>
      <c r="F157" s="178">
        <v>0</v>
      </c>
      <c r="G157" s="179">
        <v>1</v>
      </c>
      <c r="H157" s="179">
        <v>1</v>
      </c>
      <c r="I157" s="179">
        <v>0</v>
      </c>
      <c r="J157" s="178">
        <v>1</v>
      </c>
      <c r="K157" s="178">
        <v>0</v>
      </c>
      <c r="L157" s="178">
        <v>0</v>
      </c>
      <c r="M157" s="178">
        <v>0</v>
      </c>
      <c r="N157" s="178">
        <v>0</v>
      </c>
      <c r="O157" s="178">
        <v>0</v>
      </c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</row>
    <row r="158" spans="1:147" s="169" customFormat="1" ht="14.45">
      <c r="A158" s="50" t="str">
        <f t="shared" ref="A158:A164" si="17">+A157</f>
        <v>Cogeração</v>
      </c>
      <c r="B158" s="50" t="str">
        <f t="shared" si="13"/>
        <v>Cogeração5.001 - 20.000</v>
      </c>
      <c r="C158" s="50" t="s">
        <v>4614</v>
      </c>
      <c r="D158" s="812"/>
      <c r="E158" s="171" t="s">
        <v>4607</v>
      </c>
      <c r="F158" s="178">
        <v>0</v>
      </c>
      <c r="G158" s="179">
        <v>0</v>
      </c>
      <c r="H158" s="179">
        <v>0</v>
      </c>
      <c r="I158" s="179">
        <v>1</v>
      </c>
      <c r="J158" s="178">
        <v>1</v>
      </c>
      <c r="K158" s="178">
        <v>0</v>
      </c>
      <c r="L158" s="178">
        <v>0</v>
      </c>
      <c r="M158" s="178">
        <v>0</v>
      </c>
      <c r="N158" s="178">
        <v>0</v>
      </c>
      <c r="O158" s="178">
        <v>0</v>
      </c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</row>
    <row r="159" spans="1:147" s="169" customFormat="1" ht="14.45">
      <c r="A159" s="50" t="str">
        <f t="shared" si="17"/>
        <v>Cogeração</v>
      </c>
      <c r="B159" s="50" t="str">
        <f t="shared" si="13"/>
        <v>Cogeração20.001 - 70.000</v>
      </c>
      <c r="C159" s="50" t="s">
        <v>4614</v>
      </c>
      <c r="D159" s="812"/>
      <c r="E159" s="171" t="s">
        <v>4608</v>
      </c>
      <c r="F159" s="178">
        <v>1</v>
      </c>
      <c r="G159" s="179">
        <v>0</v>
      </c>
      <c r="H159" s="179">
        <v>0</v>
      </c>
      <c r="I159" s="179">
        <v>0</v>
      </c>
      <c r="J159" s="178">
        <v>0</v>
      </c>
      <c r="K159" s="178">
        <v>0</v>
      </c>
      <c r="L159" s="178">
        <v>0</v>
      </c>
      <c r="M159" s="178">
        <v>0</v>
      </c>
      <c r="N159" s="178">
        <v>0</v>
      </c>
      <c r="O159" s="178">
        <v>0</v>
      </c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</row>
    <row r="160" spans="1:147" s="169" customFormat="1" ht="14.45">
      <c r="A160" s="50" t="str">
        <f t="shared" si="17"/>
        <v>Cogeração</v>
      </c>
      <c r="B160" s="50" t="str">
        <f t="shared" si="13"/>
        <v>Cogeração70.001 - 120.000</v>
      </c>
      <c r="C160" s="50" t="s">
        <v>4614</v>
      </c>
      <c r="D160" s="812"/>
      <c r="E160" s="171" t="s">
        <v>4609</v>
      </c>
      <c r="F160" s="178">
        <v>1</v>
      </c>
      <c r="G160" s="179">
        <v>0</v>
      </c>
      <c r="H160" s="179">
        <v>0</v>
      </c>
      <c r="I160" s="179">
        <v>0</v>
      </c>
      <c r="J160" s="178">
        <v>0</v>
      </c>
      <c r="K160" s="178">
        <v>0</v>
      </c>
      <c r="L160" s="178">
        <v>0</v>
      </c>
      <c r="M160" s="178">
        <v>0</v>
      </c>
      <c r="N160" s="178">
        <v>0</v>
      </c>
      <c r="O160" s="178">
        <v>0</v>
      </c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</row>
    <row r="161" spans="1:147" s="169" customFormat="1" ht="14.45">
      <c r="A161" s="50" t="str">
        <f t="shared" si="17"/>
        <v>Cogeração</v>
      </c>
      <c r="B161" s="50" t="str">
        <f t="shared" si="13"/>
        <v>Cogeração120.001 - 300.000</v>
      </c>
      <c r="C161" s="50" t="s">
        <v>4614</v>
      </c>
      <c r="D161" s="812"/>
      <c r="E161" s="171" t="s">
        <v>4610</v>
      </c>
      <c r="F161" s="178">
        <v>0</v>
      </c>
      <c r="G161" s="179">
        <v>1</v>
      </c>
      <c r="H161" s="179">
        <v>1</v>
      </c>
      <c r="I161" s="179">
        <v>1</v>
      </c>
      <c r="J161" s="178">
        <v>0</v>
      </c>
      <c r="K161" s="178">
        <v>0</v>
      </c>
      <c r="L161" s="178">
        <v>0</v>
      </c>
      <c r="M161" s="178">
        <v>0</v>
      </c>
      <c r="N161" s="178">
        <v>0</v>
      </c>
      <c r="O161" s="178">
        <v>0</v>
      </c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</row>
    <row r="162" spans="1:147" s="169" customFormat="1" ht="14.45">
      <c r="A162" s="50" t="str">
        <f t="shared" si="17"/>
        <v>Cogeração</v>
      </c>
      <c r="B162" s="50" t="str">
        <f t="shared" si="13"/>
        <v>Cogeração300.001 - 600.000</v>
      </c>
      <c r="C162" s="50" t="s">
        <v>4614</v>
      </c>
      <c r="D162" s="812"/>
      <c r="E162" s="171" t="s">
        <v>4611</v>
      </c>
      <c r="F162" s="178">
        <v>0</v>
      </c>
      <c r="G162" s="179">
        <v>1</v>
      </c>
      <c r="H162" s="179">
        <v>1</v>
      </c>
      <c r="I162" s="179">
        <v>0</v>
      </c>
      <c r="J162" s="178">
        <v>0</v>
      </c>
      <c r="K162" s="178">
        <v>0</v>
      </c>
      <c r="L162" s="178">
        <v>0</v>
      </c>
      <c r="M162" s="178">
        <v>0</v>
      </c>
      <c r="N162" s="178">
        <v>0</v>
      </c>
      <c r="O162" s="178">
        <v>0</v>
      </c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</row>
    <row r="163" spans="1:147" s="169" customFormat="1" ht="14.45">
      <c r="A163" s="50" t="str">
        <f t="shared" si="17"/>
        <v>Cogeração</v>
      </c>
      <c r="B163" s="50" t="str">
        <f t="shared" si="13"/>
        <v>Cogeração600.001 - 1.500.000</v>
      </c>
      <c r="C163" s="50" t="s">
        <v>4614</v>
      </c>
      <c r="D163" s="812"/>
      <c r="E163" s="171" t="s">
        <v>4612</v>
      </c>
      <c r="F163" s="178">
        <v>1</v>
      </c>
      <c r="G163" s="179">
        <v>1</v>
      </c>
      <c r="H163" s="179">
        <v>1</v>
      </c>
      <c r="I163" s="179">
        <v>1</v>
      </c>
      <c r="J163" s="178">
        <v>0</v>
      </c>
      <c r="K163" s="178">
        <v>0</v>
      </c>
      <c r="L163" s="178">
        <v>0</v>
      </c>
      <c r="M163" s="178">
        <v>0</v>
      </c>
      <c r="N163" s="178">
        <v>0</v>
      </c>
      <c r="O163" s="178">
        <v>0</v>
      </c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</row>
    <row r="164" spans="1:147" s="169" customFormat="1" ht="14.45">
      <c r="A164" s="50" t="str">
        <f t="shared" si="17"/>
        <v>Cogeração</v>
      </c>
      <c r="B164" s="50" t="str">
        <f t="shared" si="13"/>
        <v>Cogeraçãoacima de 1.500.000</v>
      </c>
      <c r="C164" s="50" t="s">
        <v>4614</v>
      </c>
      <c r="D164" s="813"/>
      <c r="E164" s="172" t="s">
        <v>4613</v>
      </c>
      <c r="F164" s="180">
        <v>0</v>
      </c>
      <c r="G164" s="181">
        <v>0</v>
      </c>
      <c r="H164" s="181">
        <v>0</v>
      </c>
      <c r="I164" s="181">
        <v>0</v>
      </c>
      <c r="J164" s="180">
        <v>0</v>
      </c>
      <c r="K164" s="180">
        <v>0</v>
      </c>
      <c r="L164" s="180">
        <v>0</v>
      </c>
      <c r="M164" s="180">
        <v>0</v>
      </c>
      <c r="N164" s="180">
        <v>0</v>
      </c>
      <c r="O164" s="180">
        <v>0</v>
      </c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</row>
    <row r="165" spans="1:147" s="169" customFormat="1" ht="14.45">
      <c r="A165" s="50" t="str">
        <f>+D165</f>
        <v>Geração Distribuída</v>
      </c>
      <c r="B165" s="50" t="str">
        <f t="shared" si="13"/>
        <v>Geração Distribuída0 - 200</v>
      </c>
      <c r="C165" s="50" t="s">
        <v>4615</v>
      </c>
      <c r="D165" s="811" t="s">
        <v>104</v>
      </c>
      <c r="E165" s="170" t="s">
        <v>4599</v>
      </c>
      <c r="F165" s="176">
        <v>2</v>
      </c>
      <c r="G165" s="177">
        <v>2</v>
      </c>
      <c r="H165" s="177">
        <v>1</v>
      </c>
      <c r="I165" s="177">
        <v>2</v>
      </c>
      <c r="J165" s="176">
        <v>3</v>
      </c>
      <c r="K165" s="176">
        <v>3</v>
      </c>
      <c r="L165" s="176">
        <v>2</v>
      </c>
      <c r="M165" s="176">
        <v>2</v>
      </c>
      <c r="N165" s="176">
        <v>2</v>
      </c>
      <c r="O165" s="176">
        <v>2</v>
      </c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</row>
    <row r="166" spans="1:147" s="169" customFormat="1" ht="14.45">
      <c r="A166" s="50" t="str">
        <f>+A165</f>
        <v>Geração Distribuída</v>
      </c>
      <c r="B166" s="50" t="str">
        <f t="shared" si="13"/>
        <v>Geração Distribuída201 - 5.000</v>
      </c>
      <c r="C166" s="50" t="s">
        <v>4615</v>
      </c>
      <c r="D166" s="812"/>
      <c r="E166" s="171" t="s">
        <v>4606</v>
      </c>
      <c r="F166" s="178">
        <v>6</v>
      </c>
      <c r="G166" s="179">
        <v>3</v>
      </c>
      <c r="H166" s="179">
        <v>3</v>
      </c>
      <c r="I166" s="179">
        <v>3</v>
      </c>
      <c r="J166" s="178">
        <v>2</v>
      </c>
      <c r="K166" s="178">
        <v>2</v>
      </c>
      <c r="L166" s="178">
        <v>2</v>
      </c>
      <c r="M166" s="178">
        <v>2</v>
      </c>
      <c r="N166" s="178">
        <v>2</v>
      </c>
      <c r="O166" s="178">
        <v>2</v>
      </c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</row>
    <row r="167" spans="1:147" s="169" customFormat="1" ht="14.45">
      <c r="A167" s="50" t="str">
        <f t="shared" ref="A167:A173" si="18">+A166</f>
        <v>Geração Distribuída</v>
      </c>
      <c r="B167" s="50" t="str">
        <f t="shared" si="13"/>
        <v>Geração Distribuída5.001 - 20.000</v>
      </c>
      <c r="C167" s="50" t="s">
        <v>4615</v>
      </c>
      <c r="D167" s="812"/>
      <c r="E167" s="171" t="s">
        <v>4607</v>
      </c>
      <c r="F167" s="178">
        <v>2</v>
      </c>
      <c r="G167" s="179">
        <v>2</v>
      </c>
      <c r="H167" s="179">
        <v>1</v>
      </c>
      <c r="I167" s="179">
        <v>1</v>
      </c>
      <c r="J167" s="178">
        <v>2</v>
      </c>
      <c r="K167" s="178">
        <v>1</v>
      </c>
      <c r="L167" s="178">
        <v>1</v>
      </c>
      <c r="M167" s="178">
        <v>1</v>
      </c>
      <c r="N167" s="178">
        <v>1</v>
      </c>
      <c r="O167" s="178">
        <v>1</v>
      </c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</row>
    <row r="168" spans="1:147" s="169" customFormat="1" ht="14.45">
      <c r="A168" s="50" t="str">
        <f t="shared" si="18"/>
        <v>Geração Distribuída</v>
      </c>
      <c r="B168" s="50" t="str">
        <f t="shared" si="13"/>
        <v>Geração Distribuída20.001 - 70.000</v>
      </c>
      <c r="C168" s="50" t="s">
        <v>4615</v>
      </c>
      <c r="D168" s="812"/>
      <c r="E168" s="171" t="s">
        <v>4608</v>
      </c>
      <c r="F168" s="178">
        <v>1</v>
      </c>
      <c r="G168" s="179">
        <v>1</v>
      </c>
      <c r="H168" s="179">
        <v>1</v>
      </c>
      <c r="I168" s="179">
        <v>1</v>
      </c>
      <c r="J168" s="178">
        <v>1</v>
      </c>
      <c r="K168" s="178">
        <v>1</v>
      </c>
      <c r="L168" s="178">
        <v>1</v>
      </c>
      <c r="M168" s="178">
        <v>1</v>
      </c>
      <c r="N168" s="178">
        <v>1</v>
      </c>
      <c r="O168" s="178">
        <v>1</v>
      </c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</row>
    <row r="169" spans="1:147" s="169" customFormat="1" ht="14.45">
      <c r="A169" s="50" t="str">
        <f t="shared" si="18"/>
        <v>Geração Distribuída</v>
      </c>
      <c r="B169" s="50" t="str">
        <f t="shared" si="13"/>
        <v>Geração Distribuída70.001 - 120.000</v>
      </c>
      <c r="C169" s="50" t="s">
        <v>4615</v>
      </c>
      <c r="D169" s="812"/>
      <c r="E169" s="171" t="s">
        <v>4609</v>
      </c>
      <c r="F169" s="178">
        <v>0</v>
      </c>
      <c r="G169" s="179">
        <v>0</v>
      </c>
      <c r="H169" s="179">
        <v>0</v>
      </c>
      <c r="I169" s="179">
        <v>0</v>
      </c>
      <c r="J169" s="178">
        <v>0</v>
      </c>
      <c r="K169" s="178">
        <v>0</v>
      </c>
      <c r="L169" s="178">
        <v>0</v>
      </c>
      <c r="M169" s="178">
        <v>0</v>
      </c>
      <c r="N169" s="178">
        <v>0</v>
      </c>
      <c r="O169" s="178">
        <v>0</v>
      </c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</row>
    <row r="170" spans="1:147" s="169" customFormat="1" ht="14.45">
      <c r="A170" s="50" t="str">
        <f t="shared" si="18"/>
        <v>Geração Distribuída</v>
      </c>
      <c r="B170" s="50" t="str">
        <f t="shared" si="13"/>
        <v>Geração Distribuída120.001 - 300.000</v>
      </c>
      <c r="C170" s="50" t="s">
        <v>4615</v>
      </c>
      <c r="D170" s="812"/>
      <c r="E170" s="171" t="s">
        <v>4610</v>
      </c>
      <c r="F170" s="178">
        <v>0</v>
      </c>
      <c r="G170" s="179">
        <v>0</v>
      </c>
      <c r="H170" s="179">
        <v>0</v>
      </c>
      <c r="I170" s="179">
        <v>0</v>
      </c>
      <c r="J170" s="178">
        <v>0</v>
      </c>
      <c r="K170" s="178">
        <v>0</v>
      </c>
      <c r="L170" s="178">
        <v>0</v>
      </c>
      <c r="M170" s="178">
        <v>0</v>
      </c>
      <c r="N170" s="178">
        <v>0</v>
      </c>
      <c r="O170" s="178">
        <v>0</v>
      </c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</row>
    <row r="171" spans="1:147" s="169" customFormat="1" ht="14.45">
      <c r="A171" s="50" t="str">
        <f t="shared" si="18"/>
        <v>Geração Distribuída</v>
      </c>
      <c r="B171" s="50" t="str">
        <f t="shared" si="13"/>
        <v>Geração Distribuída300.001 - 600.000</v>
      </c>
      <c r="C171" s="50" t="s">
        <v>4615</v>
      </c>
      <c r="D171" s="812"/>
      <c r="E171" s="171" t="s">
        <v>4611</v>
      </c>
      <c r="F171" s="178">
        <v>0</v>
      </c>
      <c r="G171" s="179">
        <v>0</v>
      </c>
      <c r="H171" s="179">
        <v>0</v>
      </c>
      <c r="I171" s="179">
        <v>0</v>
      </c>
      <c r="J171" s="178">
        <v>0</v>
      </c>
      <c r="K171" s="178">
        <v>0</v>
      </c>
      <c r="L171" s="178">
        <v>0</v>
      </c>
      <c r="M171" s="178">
        <v>0</v>
      </c>
      <c r="N171" s="178">
        <v>0</v>
      </c>
      <c r="O171" s="178">
        <v>0</v>
      </c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</row>
    <row r="172" spans="1:147" s="169" customFormat="1" ht="14.45">
      <c r="A172" s="50" t="str">
        <f t="shared" si="18"/>
        <v>Geração Distribuída</v>
      </c>
      <c r="B172" s="50" t="str">
        <f t="shared" si="13"/>
        <v>Geração Distribuída600.001 - 1.500.000</v>
      </c>
      <c r="C172" s="50" t="s">
        <v>4615</v>
      </c>
      <c r="D172" s="812"/>
      <c r="E172" s="171" t="s">
        <v>4612</v>
      </c>
      <c r="F172" s="178">
        <v>0</v>
      </c>
      <c r="G172" s="179">
        <v>0</v>
      </c>
      <c r="H172" s="179">
        <v>0</v>
      </c>
      <c r="I172" s="179">
        <v>0</v>
      </c>
      <c r="J172" s="178">
        <v>0</v>
      </c>
      <c r="K172" s="178">
        <v>0</v>
      </c>
      <c r="L172" s="178">
        <v>0</v>
      </c>
      <c r="M172" s="178">
        <v>0</v>
      </c>
      <c r="N172" s="178">
        <v>0</v>
      </c>
      <c r="O172" s="178">
        <v>0</v>
      </c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</row>
    <row r="173" spans="1:147" s="169" customFormat="1" ht="14.45">
      <c r="A173" s="50" t="str">
        <f t="shared" si="18"/>
        <v>Geração Distribuída</v>
      </c>
      <c r="B173" s="50" t="str">
        <f t="shared" si="13"/>
        <v>Geração Distribuídaacima de 1.500.000</v>
      </c>
      <c r="C173" s="50" t="s">
        <v>4615</v>
      </c>
      <c r="D173" s="813"/>
      <c r="E173" s="172" t="s">
        <v>4613</v>
      </c>
      <c r="F173" s="180">
        <v>0</v>
      </c>
      <c r="G173" s="181">
        <v>0</v>
      </c>
      <c r="H173" s="181">
        <v>0</v>
      </c>
      <c r="I173" s="181">
        <v>0</v>
      </c>
      <c r="J173" s="180">
        <v>0</v>
      </c>
      <c r="K173" s="180">
        <v>0</v>
      </c>
      <c r="L173" s="180">
        <v>0</v>
      </c>
      <c r="M173" s="180">
        <v>0</v>
      </c>
      <c r="N173" s="180">
        <v>0</v>
      </c>
      <c r="O173" s="180">
        <v>0</v>
      </c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</row>
    <row r="174" spans="1:147" s="169" customFormat="1" ht="12.75" customHeight="1">
      <c r="A174" s="50" t="str">
        <f>+D174</f>
        <v>GNV</v>
      </c>
      <c r="B174" s="50" t="str">
        <f t="shared" si="13"/>
        <v>GNVfaixa única</v>
      </c>
      <c r="C174" s="50" t="s">
        <v>4616</v>
      </c>
      <c r="D174" s="39" t="s">
        <v>19</v>
      </c>
      <c r="E174" s="173" t="s">
        <v>4617</v>
      </c>
      <c r="F174" s="182">
        <v>120</v>
      </c>
      <c r="G174" s="181">
        <v>125</v>
      </c>
      <c r="H174" s="181">
        <v>124</v>
      </c>
      <c r="I174" s="181">
        <v>130</v>
      </c>
      <c r="J174" s="180">
        <v>134</v>
      </c>
      <c r="K174" s="180">
        <v>141</v>
      </c>
      <c r="L174" s="180">
        <v>149</v>
      </c>
      <c r="M174" s="180">
        <v>159</v>
      </c>
      <c r="N174" s="180">
        <v>166</v>
      </c>
      <c r="O174" s="180">
        <v>173</v>
      </c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</row>
    <row r="175" spans="1:147" s="169" customFormat="1" ht="12.75" customHeight="1">
      <c r="A175" s="50" t="str">
        <f>+D175</f>
        <v>GNV Transporte Público</v>
      </c>
      <c r="B175" s="50" t="str">
        <f t="shared" si="13"/>
        <v>GNV Transporte Públicofaixa única</v>
      </c>
      <c r="C175" s="50" t="s">
        <v>4618</v>
      </c>
      <c r="D175" s="39" t="s">
        <v>148</v>
      </c>
      <c r="E175" s="174" t="s">
        <v>4617</v>
      </c>
      <c r="F175" s="182">
        <v>0</v>
      </c>
      <c r="G175" s="181">
        <v>0</v>
      </c>
      <c r="H175" s="181">
        <v>0</v>
      </c>
      <c r="I175" s="181">
        <v>0</v>
      </c>
      <c r="J175" s="180">
        <v>0</v>
      </c>
      <c r="K175" s="180">
        <v>0</v>
      </c>
      <c r="L175" s="180">
        <v>0</v>
      </c>
      <c r="M175" s="180">
        <v>0</v>
      </c>
      <c r="N175" s="180">
        <v>0</v>
      </c>
      <c r="O175" s="180">
        <v>0</v>
      </c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</row>
    <row r="176" spans="1:147" s="169" customFormat="1" ht="14.45">
      <c r="A176" s="50" t="str">
        <f>+D176</f>
        <v>Industrial</v>
      </c>
      <c r="B176" s="50" t="str">
        <f t="shared" si="13"/>
        <v>Industrial0 - 200</v>
      </c>
      <c r="C176" s="50" t="s">
        <v>4619</v>
      </c>
      <c r="D176" s="811" t="s">
        <v>18</v>
      </c>
      <c r="E176" s="170" t="s">
        <v>4599</v>
      </c>
      <c r="F176" s="176">
        <v>12</v>
      </c>
      <c r="G176" s="179">
        <v>15</v>
      </c>
      <c r="H176" s="179">
        <v>10</v>
      </c>
      <c r="I176" s="179">
        <v>13</v>
      </c>
      <c r="J176" s="178">
        <v>15</v>
      </c>
      <c r="K176" s="178">
        <v>15</v>
      </c>
      <c r="L176" s="178">
        <v>12</v>
      </c>
      <c r="M176" s="178">
        <v>10</v>
      </c>
      <c r="N176" s="178">
        <v>11</v>
      </c>
      <c r="O176" s="178">
        <v>12</v>
      </c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</row>
    <row r="177" spans="1:147" s="169" customFormat="1" ht="14.45">
      <c r="A177" s="50" t="str">
        <f t="shared" ref="A177:A184" si="19">+A176</f>
        <v>Industrial</v>
      </c>
      <c r="B177" s="50" t="str">
        <f t="shared" si="13"/>
        <v>Industrial201 - 2.000</v>
      </c>
      <c r="C177" s="50" t="s">
        <v>4619</v>
      </c>
      <c r="D177" s="812"/>
      <c r="E177" s="171" t="s">
        <v>4620</v>
      </c>
      <c r="F177" s="178">
        <v>17</v>
      </c>
      <c r="G177" s="179">
        <v>21</v>
      </c>
      <c r="H177" s="179">
        <v>25</v>
      </c>
      <c r="I177" s="179">
        <v>21</v>
      </c>
      <c r="J177" s="178">
        <v>22</v>
      </c>
      <c r="K177" s="178">
        <v>21</v>
      </c>
      <c r="L177" s="178">
        <v>23</v>
      </c>
      <c r="M177" s="178">
        <v>17</v>
      </c>
      <c r="N177" s="178">
        <v>17</v>
      </c>
      <c r="O177" s="178">
        <v>18</v>
      </c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</row>
    <row r="178" spans="1:147" s="169" customFormat="1" ht="14.45">
      <c r="A178" s="50" t="str">
        <f t="shared" si="19"/>
        <v>Industrial</v>
      </c>
      <c r="B178" s="50" t="str">
        <f t="shared" si="13"/>
        <v>Industrial2.001 - 10.000</v>
      </c>
      <c r="C178" s="50" t="s">
        <v>4619</v>
      </c>
      <c r="D178" s="812"/>
      <c r="E178" s="171" t="s">
        <v>4621</v>
      </c>
      <c r="F178" s="178">
        <v>16</v>
      </c>
      <c r="G178" s="179">
        <v>13</v>
      </c>
      <c r="H178" s="179">
        <v>17</v>
      </c>
      <c r="I178" s="179">
        <v>11</v>
      </c>
      <c r="J178" s="178">
        <v>11</v>
      </c>
      <c r="K178" s="178">
        <v>10</v>
      </c>
      <c r="L178" s="178">
        <v>12</v>
      </c>
      <c r="M178" s="178">
        <v>8</v>
      </c>
      <c r="N178" s="178">
        <v>9</v>
      </c>
      <c r="O178" s="178">
        <v>9</v>
      </c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</row>
    <row r="179" spans="1:147" s="169" customFormat="1" ht="14.45">
      <c r="A179" s="50" t="str">
        <f t="shared" si="19"/>
        <v>Industrial</v>
      </c>
      <c r="B179" s="50" t="str">
        <f t="shared" si="13"/>
        <v>Industrial10.001 - 50.000</v>
      </c>
      <c r="C179" s="50" t="s">
        <v>4619</v>
      </c>
      <c r="D179" s="812"/>
      <c r="E179" s="171" t="s">
        <v>4622</v>
      </c>
      <c r="F179" s="178">
        <v>14</v>
      </c>
      <c r="G179" s="179">
        <v>14</v>
      </c>
      <c r="H179" s="179">
        <v>20</v>
      </c>
      <c r="I179" s="179">
        <v>14</v>
      </c>
      <c r="J179" s="178">
        <v>18</v>
      </c>
      <c r="K179" s="178">
        <v>15</v>
      </c>
      <c r="L179" s="178">
        <v>13</v>
      </c>
      <c r="M179" s="178">
        <v>11</v>
      </c>
      <c r="N179" s="178">
        <v>12</v>
      </c>
      <c r="O179" s="178">
        <v>13</v>
      </c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</row>
    <row r="180" spans="1:147" s="169" customFormat="1" ht="14.45">
      <c r="A180" s="50" t="str">
        <f t="shared" si="19"/>
        <v>Industrial</v>
      </c>
      <c r="B180" s="50" t="str">
        <f t="shared" si="13"/>
        <v>Industrial50.001 - 100.000</v>
      </c>
      <c r="C180" s="50" t="s">
        <v>4619</v>
      </c>
      <c r="D180" s="812"/>
      <c r="E180" s="171" t="s">
        <v>4623</v>
      </c>
      <c r="F180" s="178">
        <v>12</v>
      </c>
      <c r="G180" s="179">
        <v>13</v>
      </c>
      <c r="H180" s="179">
        <v>11</v>
      </c>
      <c r="I180" s="179">
        <v>7</v>
      </c>
      <c r="J180" s="178">
        <v>12</v>
      </c>
      <c r="K180" s="178">
        <v>11</v>
      </c>
      <c r="L180" s="178">
        <v>10</v>
      </c>
      <c r="M180" s="178">
        <v>8</v>
      </c>
      <c r="N180" s="178">
        <v>9</v>
      </c>
      <c r="O180" s="178">
        <v>9</v>
      </c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</row>
    <row r="181" spans="1:147" s="169" customFormat="1" ht="14.45">
      <c r="A181" s="50" t="str">
        <f t="shared" si="19"/>
        <v>Industrial</v>
      </c>
      <c r="B181" s="50" t="str">
        <f t="shared" si="13"/>
        <v>Industrial100.001 - 300.000</v>
      </c>
      <c r="C181" s="50" t="s">
        <v>4619</v>
      </c>
      <c r="D181" s="812"/>
      <c r="E181" s="171" t="s">
        <v>4624</v>
      </c>
      <c r="F181" s="178">
        <v>17</v>
      </c>
      <c r="G181" s="179">
        <v>14</v>
      </c>
      <c r="H181" s="179">
        <v>19</v>
      </c>
      <c r="I181" s="179">
        <v>17</v>
      </c>
      <c r="J181" s="178">
        <v>18</v>
      </c>
      <c r="K181" s="178">
        <v>14</v>
      </c>
      <c r="L181" s="178">
        <v>15</v>
      </c>
      <c r="M181" s="178">
        <v>12</v>
      </c>
      <c r="N181" s="178">
        <v>12</v>
      </c>
      <c r="O181" s="178">
        <v>13</v>
      </c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</row>
    <row r="182" spans="1:147" s="169" customFormat="1" ht="14.45">
      <c r="A182" s="50" t="str">
        <f t="shared" si="19"/>
        <v>Industrial</v>
      </c>
      <c r="B182" s="50" t="str">
        <f t="shared" si="13"/>
        <v>Industrial300.001 - 600.000</v>
      </c>
      <c r="C182" s="50" t="s">
        <v>4619</v>
      </c>
      <c r="D182" s="812"/>
      <c r="E182" s="171" t="s">
        <v>4611</v>
      </c>
      <c r="F182" s="178">
        <v>9</v>
      </c>
      <c r="G182" s="179">
        <v>10</v>
      </c>
      <c r="H182" s="179">
        <v>10</v>
      </c>
      <c r="I182" s="179">
        <v>9</v>
      </c>
      <c r="J182" s="178">
        <v>9</v>
      </c>
      <c r="K182" s="178">
        <v>6</v>
      </c>
      <c r="L182" s="178">
        <v>8</v>
      </c>
      <c r="M182" s="178">
        <v>6</v>
      </c>
      <c r="N182" s="178">
        <v>6</v>
      </c>
      <c r="O182" s="178">
        <v>6</v>
      </c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</row>
    <row r="183" spans="1:147" s="169" customFormat="1" ht="14.45">
      <c r="A183" s="50" t="str">
        <f t="shared" si="19"/>
        <v>Industrial</v>
      </c>
      <c r="B183" s="50" t="str">
        <f t="shared" si="13"/>
        <v>Industrial600.001 - 1.500.000</v>
      </c>
      <c r="C183" s="50" t="s">
        <v>4619</v>
      </c>
      <c r="D183" s="812"/>
      <c r="E183" s="171" t="s">
        <v>4612</v>
      </c>
      <c r="F183" s="178">
        <v>12</v>
      </c>
      <c r="G183" s="179">
        <v>12</v>
      </c>
      <c r="H183" s="179">
        <v>10</v>
      </c>
      <c r="I183" s="179">
        <v>11</v>
      </c>
      <c r="J183" s="178">
        <v>11</v>
      </c>
      <c r="K183" s="178">
        <v>8</v>
      </c>
      <c r="L183" s="178">
        <v>7</v>
      </c>
      <c r="M183" s="178">
        <v>6</v>
      </c>
      <c r="N183" s="178">
        <v>7</v>
      </c>
      <c r="O183" s="178">
        <v>7</v>
      </c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</row>
    <row r="184" spans="1:147" s="169" customFormat="1" ht="14.45">
      <c r="A184" s="50" t="str">
        <f t="shared" si="19"/>
        <v>Industrial</v>
      </c>
      <c r="B184" s="50" t="str">
        <f t="shared" si="13"/>
        <v>Industrial1.500.001 - 3.000.000</v>
      </c>
      <c r="C184" s="50" t="s">
        <v>4619</v>
      </c>
      <c r="D184" s="812"/>
      <c r="E184" s="171" t="s">
        <v>4625</v>
      </c>
      <c r="F184" s="178">
        <v>3</v>
      </c>
      <c r="G184" s="179">
        <v>1</v>
      </c>
      <c r="H184" s="179">
        <v>1</v>
      </c>
      <c r="I184" s="179">
        <v>1</v>
      </c>
      <c r="J184" s="178">
        <v>1</v>
      </c>
      <c r="K184" s="178">
        <v>1</v>
      </c>
      <c r="L184" s="178">
        <v>1</v>
      </c>
      <c r="M184" s="178">
        <v>1</v>
      </c>
      <c r="N184" s="178">
        <v>1</v>
      </c>
      <c r="O184" s="178">
        <v>1</v>
      </c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</row>
    <row r="185" spans="1:147" s="169" customFormat="1" ht="14.45">
      <c r="A185" s="50" t="str">
        <f>+A184</f>
        <v>Industrial</v>
      </c>
      <c r="B185" s="50" t="str">
        <f t="shared" si="13"/>
        <v>Industrialacima de 3.000.000</v>
      </c>
      <c r="C185" s="50" t="s">
        <v>4619</v>
      </c>
      <c r="D185" s="813"/>
      <c r="E185" s="171" t="s">
        <v>4626</v>
      </c>
      <c r="F185" s="180">
        <v>2</v>
      </c>
      <c r="G185" s="181">
        <v>2</v>
      </c>
      <c r="H185" s="181">
        <v>2</v>
      </c>
      <c r="I185" s="181">
        <v>2</v>
      </c>
      <c r="J185" s="180">
        <v>2</v>
      </c>
      <c r="K185" s="180">
        <v>2</v>
      </c>
      <c r="L185" s="180">
        <v>2</v>
      </c>
      <c r="M185" s="180">
        <v>2</v>
      </c>
      <c r="N185" s="180">
        <v>2</v>
      </c>
      <c r="O185" s="180">
        <v>2</v>
      </c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</row>
    <row r="186" spans="1:147" s="169" customFormat="1" ht="14.45">
      <c r="A186" s="50" t="str">
        <f>+D186</f>
        <v>Vidreiras</v>
      </c>
      <c r="B186" s="50" t="str">
        <f t="shared" si="13"/>
        <v>Vidreiras0 - 200</v>
      </c>
      <c r="C186" s="50"/>
      <c r="D186" s="811" t="s">
        <v>106</v>
      </c>
      <c r="E186" s="170" t="s">
        <v>4599</v>
      </c>
      <c r="F186" s="176">
        <v>0</v>
      </c>
      <c r="G186" s="179">
        <v>0</v>
      </c>
      <c r="H186" s="179">
        <v>0</v>
      </c>
      <c r="I186" s="179">
        <v>0</v>
      </c>
      <c r="J186" s="178">
        <v>0</v>
      </c>
      <c r="K186" s="178">
        <v>0</v>
      </c>
      <c r="L186" s="178">
        <v>0</v>
      </c>
      <c r="M186" s="178">
        <v>0</v>
      </c>
      <c r="N186" s="178">
        <v>0</v>
      </c>
      <c r="O186" s="178">
        <v>0</v>
      </c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</row>
    <row r="187" spans="1:147" s="169" customFormat="1" ht="14.45">
      <c r="A187" s="50" t="str">
        <f t="shared" ref="A187:A194" si="20">+A186</f>
        <v>Vidreiras</v>
      </c>
      <c r="B187" s="50" t="str">
        <f t="shared" si="13"/>
        <v>Vidreiras201 - 2.000</v>
      </c>
      <c r="C187" s="50"/>
      <c r="D187" s="812"/>
      <c r="E187" s="171" t="s">
        <v>4620</v>
      </c>
      <c r="F187" s="178">
        <v>0</v>
      </c>
      <c r="G187" s="179">
        <v>0</v>
      </c>
      <c r="H187" s="179">
        <v>0</v>
      </c>
      <c r="I187" s="179">
        <v>0</v>
      </c>
      <c r="J187" s="178">
        <v>0</v>
      </c>
      <c r="K187" s="178">
        <v>0</v>
      </c>
      <c r="L187" s="178">
        <v>0</v>
      </c>
      <c r="M187" s="178">
        <v>0</v>
      </c>
      <c r="N187" s="178">
        <v>0</v>
      </c>
      <c r="O187" s="178">
        <v>0</v>
      </c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</row>
    <row r="188" spans="1:147" s="169" customFormat="1" ht="14.45">
      <c r="A188" s="50" t="str">
        <f t="shared" si="20"/>
        <v>Vidreiras</v>
      </c>
      <c r="B188" s="50" t="str">
        <f t="shared" si="13"/>
        <v>Vidreiras2.001 - 10.000</v>
      </c>
      <c r="C188" s="50"/>
      <c r="D188" s="812"/>
      <c r="E188" s="171" t="s">
        <v>4621</v>
      </c>
      <c r="F188" s="178">
        <v>0</v>
      </c>
      <c r="G188" s="179">
        <v>0</v>
      </c>
      <c r="H188" s="179">
        <v>0</v>
      </c>
      <c r="I188" s="179">
        <v>0</v>
      </c>
      <c r="J188" s="178">
        <v>0</v>
      </c>
      <c r="K188" s="178">
        <v>0</v>
      </c>
      <c r="L188" s="178">
        <v>0</v>
      </c>
      <c r="M188" s="178">
        <v>0</v>
      </c>
      <c r="N188" s="178">
        <v>0</v>
      </c>
      <c r="O188" s="178">
        <v>0</v>
      </c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</row>
    <row r="189" spans="1:147" s="169" customFormat="1" ht="14.45">
      <c r="A189" s="50" t="str">
        <f t="shared" si="20"/>
        <v>Vidreiras</v>
      </c>
      <c r="B189" s="50" t="str">
        <f t="shared" si="13"/>
        <v>Vidreiras10.001 - 50.000</v>
      </c>
      <c r="C189" s="50"/>
      <c r="D189" s="812"/>
      <c r="E189" s="171" t="s">
        <v>4622</v>
      </c>
      <c r="F189" s="178">
        <v>0</v>
      </c>
      <c r="G189" s="179">
        <v>0</v>
      </c>
      <c r="H189" s="179">
        <v>0</v>
      </c>
      <c r="I189" s="179">
        <v>0</v>
      </c>
      <c r="J189" s="178">
        <v>0</v>
      </c>
      <c r="K189" s="178">
        <v>0</v>
      </c>
      <c r="L189" s="178">
        <v>0</v>
      </c>
      <c r="M189" s="178">
        <v>0</v>
      </c>
      <c r="N189" s="178">
        <v>0</v>
      </c>
      <c r="O189" s="178">
        <v>0</v>
      </c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</row>
    <row r="190" spans="1:147" s="169" customFormat="1" ht="14.45">
      <c r="A190" s="50" t="str">
        <f t="shared" si="20"/>
        <v>Vidreiras</v>
      </c>
      <c r="B190" s="50" t="str">
        <f t="shared" si="13"/>
        <v>Vidreiras50.001 - 100.000</v>
      </c>
      <c r="C190" s="50"/>
      <c r="D190" s="812"/>
      <c r="E190" s="171" t="s">
        <v>4623</v>
      </c>
      <c r="F190" s="178">
        <v>0</v>
      </c>
      <c r="G190" s="179">
        <v>0</v>
      </c>
      <c r="H190" s="179">
        <v>0</v>
      </c>
      <c r="I190" s="179">
        <v>0</v>
      </c>
      <c r="J190" s="178">
        <v>0</v>
      </c>
      <c r="K190" s="178">
        <v>0</v>
      </c>
      <c r="L190" s="178">
        <v>0</v>
      </c>
      <c r="M190" s="178">
        <v>0</v>
      </c>
      <c r="N190" s="178">
        <v>0</v>
      </c>
      <c r="O190" s="178">
        <v>0</v>
      </c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</row>
    <row r="191" spans="1:147" s="169" customFormat="1" ht="14.45">
      <c r="A191" s="50" t="str">
        <f t="shared" si="20"/>
        <v>Vidreiras</v>
      </c>
      <c r="B191" s="50" t="str">
        <f t="shared" si="13"/>
        <v>Vidreiras100.001 - 300.000</v>
      </c>
      <c r="C191" s="50"/>
      <c r="D191" s="812"/>
      <c r="E191" s="171" t="s">
        <v>4624</v>
      </c>
      <c r="F191" s="178">
        <v>0</v>
      </c>
      <c r="G191" s="179">
        <v>0</v>
      </c>
      <c r="H191" s="179">
        <v>0</v>
      </c>
      <c r="I191" s="179">
        <v>0</v>
      </c>
      <c r="J191" s="178">
        <v>0</v>
      </c>
      <c r="K191" s="178">
        <v>0</v>
      </c>
      <c r="L191" s="178">
        <v>0</v>
      </c>
      <c r="M191" s="178">
        <v>0</v>
      </c>
      <c r="N191" s="178">
        <v>0</v>
      </c>
      <c r="O191" s="178">
        <v>0</v>
      </c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</row>
    <row r="192" spans="1:147" s="169" customFormat="1" ht="14.45">
      <c r="A192" s="50" t="str">
        <f t="shared" si="20"/>
        <v>Vidreiras</v>
      </c>
      <c r="B192" s="50" t="str">
        <f t="shared" si="13"/>
        <v>Vidreiras300.001 - 600.000</v>
      </c>
      <c r="C192" s="50"/>
      <c r="D192" s="812"/>
      <c r="E192" s="171" t="s">
        <v>4611</v>
      </c>
      <c r="F192" s="178">
        <v>0</v>
      </c>
      <c r="G192" s="179">
        <v>0</v>
      </c>
      <c r="H192" s="179">
        <v>0</v>
      </c>
      <c r="I192" s="179">
        <v>0</v>
      </c>
      <c r="J192" s="178">
        <v>0</v>
      </c>
      <c r="K192" s="178">
        <v>0</v>
      </c>
      <c r="L192" s="178">
        <v>0</v>
      </c>
      <c r="M192" s="178">
        <v>0</v>
      </c>
      <c r="N192" s="178">
        <v>0</v>
      </c>
      <c r="O192" s="178">
        <v>0</v>
      </c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</row>
    <row r="193" spans="1:147" s="169" customFormat="1" ht="14.45">
      <c r="A193" s="50" t="str">
        <f t="shared" si="20"/>
        <v>Vidreiras</v>
      </c>
      <c r="B193" s="50" t="str">
        <f t="shared" si="13"/>
        <v>Vidreiras600.001 - 1.500.000</v>
      </c>
      <c r="C193" s="50"/>
      <c r="D193" s="812"/>
      <c r="E193" s="171" t="s">
        <v>4612</v>
      </c>
      <c r="F193" s="178">
        <v>1</v>
      </c>
      <c r="G193" s="179">
        <v>1</v>
      </c>
      <c r="H193" s="179">
        <v>2</v>
      </c>
      <c r="I193" s="179">
        <v>1</v>
      </c>
      <c r="J193" s="178">
        <v>1</v>
      </c>
      <c r="K193" s="178">
        <v>2</v>
      </c>
      <c r="L193" s="178">
        <v>1</v>
      </c>
      <c r="M193" s="178">
        <v>1</v>
      </c>
      <c r="N193" s="178">
        <v>1</v>
      </c>
      <c r="O193" s="178">
        <v>1</v>
      </c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</row>
    <row r="194" spans="1:147" s="169" customFormat="1" ht="14.45">
      <c r="A194" s="50" t="str">
        <f t="shared" si="20"/>
        <v>Vidreiras</v>
      </c>
      <c r="B194" s="50" t="str">
        <f t="shared" si="13"/>
        <v>Vidreiras1.500.001 - 3.000.000</v>
      </c>
      <c r="C194" s="50"/>
      <c r="D194" s="812"/>
      <c r="E194" s="171" t="s">
        <v>4625</v>
      </c>
      <c r="F194" s="178">
        <v>1</v>
      </c>
      <c r="G194" s="179">
        <v>1</v>
      </c>
      <c r="H194" s="179">
        <v>0</v>
      </c>
      <c r="I194" s="179">
        <v>1</v>
      </c>
      <c r="J194" s="178">
        <v>1</v>
      </c>
      <c r="K194" s="178">
        <v>0</v>
      </c>
      <c r="L194" s="178">
        <v>1</v>
      </c>
      <c r="M194" s="178">
        <v>1</v>
      </c>
      <c r="N194" s="178">
        <v>1</v>
      </c>
      <c r="O194" s="178">
        <v>1</v>
      </c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</row>
    <row r="195" spans="1:147" s="169" customFormat="1" ht="14.45">
      <c r="A195" s="50" t="str">
        <f>+A194</f>
        <v>Vidreiras</v>
      </c>
      <c r="B195" s="50" t="str">
        <f t="shared" si="13"/>
        <v>Vidreirasacima de 3.000.000</v>
      </c>
      <c r="C195" s="50"/>
      <c r="D195" s="813"/>
      <c r="E195" s="171" t="s">
        <v>4626</v>
      </c>
      <c r="F195" s="180">
        <v>0</v>
      </c>
      <c r="G195" s="181">
        <v>0</v>
      </c>
      <c r="H195" s="181">
        <v>0</v>
      </c>
      <c r="I195" s="181">
        <v>0</v>
      </c>
      <c r="J195" s="180">
        <v>0</v>
      </c>
      <c r="K195" s="180">
        <v>0</v>
      </c>
      <c r="L195" s="180">
        <v>0</v>
      </c>
      <c r="M195" s="180">
        <v>0</v>
      </c>
      <c r="N195" s="180">
        <v>0</v>
      </c>
      <c r="O195" s="180">
        <v>0</v>
      </c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</row>
    <row r="196" spans="1:147" s="169" customFormat="1" ht="14.45">
      <c r="A196" s="50" t="s">
        <v>107</v>
      </c>
      <c r="B196" s="50"/>
      <c r="C196" s="50"/>
      <c r="D196" s="820" t="s">
        <v>107</v>
      </c>
      <c r="E196" s="414" t="s">
        <v>4599</v>
      </c>
      <c r="F196" s="177">
        <v>0</v>
      </c>
      <c r="G196" s="176">
        <v>0</v>
      </c>
      <c r="H196" s="417">
        <v>0</v>
      </c>
      <c r="I196" s="176">
        <v>0</v>
      </c>
      <c r="J196" s="417">
        <v>0</v>
      </c>
      <c r="K196" s="176">
        <v>0</v>
      </c>
      <c r="L196" s="417">
        <v>0</v>
      </c>
      <c r="M196" s="178">
        <v>0</v>
      </c>
      <c r="N196" s="178">
        <v>0</v>
      </c>
      <c r="O196" s="178">
        <v>0</v>
      </c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</row>
    <row r="197" spans="1:147" s="169" customFormat="1" ht="14.45">
      <c r="A197" s="50" t="s">
        <v>107</v>
      </c>
      <c r="B197" s="50"/>
      <c r="C197" s="50"/>
      <c r="D197" s="821"/>
      <c r="E197" s="415" t="s">
        <v>4627</v>
      </c>
      <c r="F197" s="179">
        <v>0</v>
      </c>
      <c r="G197" s="178">
        <v>0</v>
      </c>
      <c r="H197" s="416">
        <v>0</v>
      </c>
      <c r="I197" s="178">
        <v>0</v>
      </c>
      <c r="J197" s="416">
        <v>0</v>
      </c>
      <c r="K197" s="178">
        <v>0</v>
      </c>
      <c r="L197" s="416">
        <v>0</v>
      </c>
      <c r="M197" s="178">
        <v>0</v>
      </c>
      <c r="N197" s="178">
        <v>0</v>
      </c>
      <c r="O197" s="178">
        <v>0</v>
      </c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</row>
    <row r="198" spans="1:147" s="169" customFormat="1" ht="14.45">
      <c r="A198" s="50" t="s">
        <v>107</v>
      </c>
      <c r="B198" s="50"/>
      <c r="C198" s="50"/>
      <c r="D198" s="821"/>
      <c r="E198" s="42" t="s">
        <v>4628</v>
      </c>
      <c r="F198" s="179">
        <v>0</v>
      </c>
      <c r="G198" s="178">
        <v>0</v>
      </c>
      <c r="H198" s="416">
        <v>0</v>
      </c>
      <c r="I198" s="178">
        <v>0</v>
      </c>
      <c r="J198" s="416">
        <v>0</v>
      </c>
      <c r="K198" s="178">
        <v>0</v>
      </c>
      <c r="L198" s="416">
        <v>0</v>
      </c>
      <c r="M198" s="178">
        <v>0</v>
      </c>
      <c r="N198" s="178">
        <v>0</v>
      </c>
      <c r="O198" s="178">
        <v>0</v>
      </c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</row>
    <row r="199" spans="1:147" s="169" customFormat="1" ht="14.45">
      <c r="A199" s="50" t="s">
        <v>107</v>
      </c>
      <c r="B199" s="50"/>
      <c r="C199" s="50"/>
      <c r="D199" s="821"/>
      <c r="E199" s="42" t="s">
        <v>4622</v>
      </c>
      <c r="F199" s="179">
        <v>1</v>
      </c>
      <c r="G199" s="178">
        <v>0</v>
      </c>
      <c r="H199" s="416">
        <v>1</v>
      </c>
      <c r="I199" s="178">
        <v>1</v>
      </c>
      <c r="J199" s="416">
        <v>1</v>
      </c>
      <c r="K199" s="178">
        <v>1</v>
      </c>
      <c r="L199" s="416">
        <v>1</v>
      </c>
      <c r="M199" s="178">
        <v>1</v>
      </c>
      <c r="N199" s="178">
        <v>1</v>
      </c>
      <c r="O199" s="178">
        <v>1</v>
      </c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</row>
    <row r="200" spans="1:147" s="169" customFormat="1" ht="14.45">
      <c r="A200" s="50" t="s">
        <v>107</v>
      </c>
      <c r="B200" s="50"/>
      <c r="C200" s="50"/>
      <c r="D200" s="821"/>
      <c r="E200" s="42" t="s">
        <v>4623</v>
      </c>
      <c r="F200" s="179">
        <v>0</v>
      </c>
      <c r="G200" s="178">
        <v>0</v>
      </c>
      <c r="H200" s="416">
        <v>0</v>
      </c>
      <c r="I200" s="178">
        <v>0</v>
      </c>
      <c r="J200" s="416">
        <v>0</v>
      </c>
      <c r="K200" s="178">
        <v>0</v>
      </c>
      <c r="L200" s="416">
        <v>0</v>
      </c>
      <c r="M200" s="178">
        <v>0</v>
      </c>
      <c r="N200" s="178">
        <v>0</v>
      </c>
      <c r="O200" s="178">
        <v>0</v>
      </c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</row>
    <row r="201" spans="1:147" s="169" customFormat="1" ht="14.45">
      <c r="A201" s="50" t="s">
        <v>107</v>
      </c>
      <c r="B201" s="50"/>
      <c r="C201" s="50"/>
      <c r="D201" s="821"/>
      <c r="E201" s="42" t="s">
        <v>4624</v>
      </c>
      <c r="F201" s="179">
        <v>0</v>
      </c>
      <c r="G201" s="178">
        <v>0</v>
      </c>
      <c r="H201" s="416">
        <v>0</v>
      </c>
      <c r="I201" s="178">
        <v>0</v>
      </c>
      <c r="J201" s="416">
        <v>0</v>
      </c>
      <c r="K201" s="178">
        <v>0</v>
      </c>
      <c r="L201" s="416">
        <v>0</v>
      </c>
      <c r="M201" s="178">
        <v>0</v>
      </c>
      <c r="N201" s="178">
        <v>0</v>
      </c>
      <c r="O201" s="178">
        <v>0</v>
      </c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</row>
    <row r="202" spans="1:147" s="169" customFormat="1" ht="14.45">
      <c r="A202" s="50" t="s">
        <v>107</v>
      </c>
      <c r="B202" s="50"/>
      <c r="C202" s="50"/>
      <c r="D202" s="821"/>
      <c r="E202" s="42" t="s">
        <v>4611</v>
      </c>
      <c r="F202" s="179">
        <v>0</v>
      </c>
      <c r="G202" s="178">
        <v>0</v>
      </c>
      <c r="H202" s="416">
        <v>0</v>
      </c>
      <c r="I202" s="178">
        <v>0</v>
      </c>
      <c r="J202" s="416">
        <v>0</v>
      </c>
      <c r="K202" s="178">
        <v>0</v>
      </c>
      <c r="L202" s="416">
        <v>0</v>
      </c>
      <c r="M202" s="178">
        <v>0</v>
      </c>
      <c r="N202" s="178">
        <v>0</v>
      </c>
      <c r="O202" s="178">
        <v>0</v>
      </c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</row>
    <row r="203" spans="1:147" s="169" customFormat="1" ht="14.45">
      <c r="A203" s="50" t="s">
        <v>107</v>
      </c>
      <c r="B203" s="50"/>
      <c r="C203" s="50"/>
      <c r="D203" s="821"/>
      <c r="E203" s="42" t="s">
        <v>4612</v>
      </c>
      <c r="F203" s="179">
        <v>1</v>
      </c>
      <c r="G203" s="178">
        <v>1</v>
      </c>
      <c r="H203" s="416">
        <v>1</v>
      </c>
      <c r="I203" s="178">
        <v>1</v>
      </c>
      <c r="J203" s="416">
        <v>1</v>
      </c>
      <c r="K203" s="178">
        <v>1</v>
      </c>
      <c r="L203" s="416">
        <v>1</v>
      </c>
      <c r="M203" s="178">
        <v>1</v>
      </c>
      <c r="N203" s="178">
        <v>1</v>
      </c>
      <c r="O203" s="178">
        <v>1</v>
      </c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</row>
    <row r="204" spans="1:147" s="169" customFormat="1" ht="14.45">
      <c r="A204" s="50" t="s">
        <v>107</v>
      </c>
      <c r="B204" s="50"/>
      <c r="C204" s="50"/>
      <c r="D204" s="821"/>
      <c r="E204" s="125" t="s">
        <v>4629</v>
      </c>
      <c r="F204" s="179">
        <v>0</v>
      </c>
      <c r="G204" s="178">
        <v>0</v>
      </c>
      <c r="H204" s="416">
        <v>0</v>
      </c>
      <c r="I204" s="178">
        <v>0</v>
      </c>
      <c r="J204" s="416">
        <v>0</v>
      </c>
      <c r="K204" s="178">
        <v>0</v>
      </c>
      <c r="L204" s="416">
        <v>0</v>
      </c>
      <c r="M204" s="178">
        <v>0</v>
      </c>
      <c r="N204" s="178">
        <v>0</v>
      </c>
      <c r="O204" s="178">
        <v>0</v>
      </c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</row>
    <row r="205" spans="1:147" s="169" customFormat="1" ht="14.45">
      <c r="A205" s="50" t="s">
        <v>107</v>
      </c>
      <c r="B205" s="50"/>
      <c r="C205" s="50"/>
      <c r="D205" s="822"/>
      <c r="E205" s="43" t="s">
        <v>4626</v>
      </c>
      <c r="F205" s="181">
        <v>0</v>
      </c>
      <c r="G205" s="180">
        <v>0</v>
      </c>
      <c r="H205" s="420">
        <v>0</v>
      </c>
      <c r="I205" s="180">
        <v>0</v>
      </c>
      <c r="J205" s="420">
        <v>0</v>
      </c>
      <c r="K205" s="180">
        <v>0</v>
      </c>
      <c r="L205" s="420">
        <v>0</v>
      </c>
      <c r="M205" s="180">
        <v>0</v>
      </c>
      <c r="N205" s="180">
        <v>0</v>
      </c>
      <c r="O205" s="180">
        <v>0</v>
      </c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</row>
    <row r="206" spans="1:147" s="169" customFormat="1" ht="14.45">
      <c r="A206" s="50" t="s">
        <v>108</v>
      </c>
      <c r="B206" s="50"/>
      <c r="C206" s="50"/>
      <c r="D206" s="811" t="s">
        <v>108</v>
      </c>
      <c r="E206" s="42" t="s">
        <v>4599</v>
      </c>
      <c r="F206" s="179">
        <v>2</v>
      </c>
      <c r="G206" s="178">
        <v>1</v>
      </c>
      <c r="H206" s="416">
        <v>2</v>
      </c>
      <c r="I206" s="178">
        <v>1</v>
      </c>
      <c r="J206" s="416">
        <v>1</v>
      </c>
      <c r="K206" s="178">
        <v>0</v>
      </c>
      <c r="L206" s="416">
        <v>0</v>
      </c>
      <c r="M206" s="178">
        <v>0</v>
      </c>
      <c r="N206" s="416">
        <v>0</v>
      </c>
      <c r="O206" s="178">
        <v>0</v>
      </c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</row>
    <row r="207" spans="1:147" s="169" customFormat="1" ht="14.45">
      <c r="A207" s="50" t="s">
        <v>108</v>
      </c>
      <c r="B207" s="50"/>
      <c r="C207" s="50"/>
      <c r="D207" s="812"/>
      <c r="E207" s="42" t="s">
        <v>4627</v>
      </c>
      <c r="F207" s="179">
        <v>1</v>
      </c>
      <c r="G207" s="178">
        <v>1</v>
      </c>
      <c r="H207" s="416">
        <v>1</v>
      </c>
      <c r="I207" s="178">
        <v>0</v>
      </c>
      <c r="J207" s="416">
        <v>0</v>
      </c>
      <c r="K207" s="178">
        <v>0</v>
      </c>
      <c r="L207" s="416">
        <v>0</v>
      </c>
      <c r="M207" s="178">
        <v>0</v>
      </c>
      <c r="N207" s="416">
        <v>0</v>
      </c>
      <c r="O207" s="178">
        <v>0</v>
      </c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</row>
    <row r="208" spans="1:147" s="169" customFormat="1" ht="14.45">
      <c r="A208" s="50" t="s">
        <v>108</v>
      </c>
      <c r="B208" s="50"/>
      <c r="C208" s="50"/>
      <c r="D208" s="812"/>
      <c r="E208" s="42" t="s">
        <v>4628</v>
      </c>
      <c r="F208" s="179">
        <v>1</v>
      </c>
      <c r="G208" s="178">
        <v>0</v>
      </c>
      <c r="H208" s="416">
        <v>0</v>
      </c>
      <c r="I208" s="178">
        <v>0</v>
      </c>
      <c r="J208" s="416">
        <v>0</v>
      </c>
      <c r="K208" s="178">
        <v>0</v>
      </c>
      <c r="L208" s="416">
        <v>0</v>
      </c>
      <c r="M208" s="178">
        <v>0</v>
      </c>
      <c r="N208" s="416">
        <v>0</v>
      </c>
      <c r="O208" s="178">
        <v>0</v>
      </c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</row>
    <row r="209" spans="1:147" s="169" customFormat="1" ht="14.45">
      <c r="A209" s="50" t="s">
        <v>108</v>
      </c>
      <c r="B209" s="50"/>
      <c r="C209" s="50"/>
      <c r="D209" s="812"/>
      <c r="E209" s="42" t="s">
        <v>4622</v>
      </c>
      <c r="F209" s="179">
        <v>1</v>
      </c>
      <c r="G209" s="178">
        <v>0</v>
      </c>
      <c r="H209" s="416">
        <v>0</v>
      </c>
      <c r="I209" s="178">
        <v>0</v>
      </c>
      <c r="J209" s="416">
        <v>0</v>
      </c>
      <c r="K209" s="178">
        <v>0</v>
      </c>
      <c r="L209" s="416">
        <v>0</v>
      </c>
      <c r="M209" s="178">
        <v>0</v>
      </c>
      <c r="N209" s="416">
        <v>0</v>
      </c>
      <c r="O209" s="178">
        <v>0</v>
      </c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</row>
    <row r="210" spans="1:147" s="169" customFormat="1" ht="14.45">
      <c r="A210" s="50" t="s">
        <v>108</v>
      </c>
      <c r="B210" s="50"/>
      <c r="C210" s="50"/>
      <c r="D210" s="812"/>
      <c r="E210" s="42" t="s">
        <v>4623</v>
      </c>
      <c r="F210" s="179">
        <v>0</v>
      </c>
      <c r="G210" s="178">
        <v>0</v>
      </c>
      <c r="H210" s="416">
        <v>0</v>
      </c>
      <c r="I210" s="178">
        <v>0</v>
      </c>
      <c r="J210" s="416">
        <v>0</v>
      </c>
      <c r="K210" s="178">
        <v>0</v>
      </c>
      <c r="L210" s="416">
        <v>0</v>
      </c>
      <c r="M210" s="178">
        <v>0</v>
      </c>
      <c r="N210" s="178">
        <v>0</v>
      </c>
      <c r="O210" s="178">
        <v>0</v>
      </c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</row>
    <row r="211" spans="1:147" s="169" customFormat="1" ht="14.45">
      <c r="A211" s="50" t="s">
        <v>108</v>
      </c>
      <c r="B211" s="50"/>
      <c r="C211" s="50"/>
      <c r="D211" s="812"/>
      <c r="E211" s="43" t="s">
        <v>4630</v>
      </c>
      <c r="F211" s="181">
        <v>0</v>
      </c>
      <c r="G211" s="180">
        <v>0</v>
      </c>
      <c r="H211" s="420">
        <v>0</v>
      </c>
      <c r="I211" s="180">
        <v>0</v>
      </c>
      <c r="J211" s="420">
        <v>0</v>
      </c>
      <c r="K211" s="180">
        <v>0</v>
      </c>
      <c r="L211" s="420">
        <v>0</v>
      </c>
      <c r="M211" s="180">
        <v>0</v>
      </c>
      <c r="N211" s="180">
        <v>0</v>
      </c>
      <c r="O211" s="180">
        <v>0</v>
      </c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</row>
    <row r="212" spans="1:147" s="169" customFormat="1" ht="14.45">
      <c r="A212" s="50" t="s">
        <v>109</v>
      </c>
      <c r="B212" s="50"/>
      <c r="C212" s="50"/>
      <c r="D212" s="820" t="s">
        <v>109</v>
      </c>
      <c r="E212" s="414" t="s">
        <v>4599</v>
      </c>
      <c r="F212" s="176">
        <v>0</v>
      </c>
      <c r="G212" s="176">
        <v>0</v>
      </c>
      <c r="H212" s="176">
        <v>0</v>
      </c>
      <c r="I212" s="176">
        <v>0</v>
      </c>
      <c r="J212" s="176">
        <v>0</v>
      </c>
      <c r="K212" s="176">
        <v>0</v>
      </c>
      <c r="L212" s="176">
        <v>0</v>
      </c>
      <c r="M212" s="176">
        <v>0</v>
      </c>
      <c r="N212" s="176">
        <v>0</v>
      </c>
      <c r="O212" s="176">
        <v>0</v>
      </c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</row>
    <row r="213" spans="1:147" s="169" customFormat="1" ht="14.45">
      <c r="A213" s="50" t="s">
        <v>109</v>
      </c>
      <c r="B213" s="50"/>
      <c r="C213" s="50"/>
      <c r="D213" s="821"/>
      <c r="E213" s="415" t="s">
        <v>4627</v>
      </c>
      <c r="F213" s="178">
        <v>0</v>
      </c>
      <c r="G213" s="178">
        <v>0</v>
      </c>
      <c r="H213" s="178">
        <v>0</v>
      </c>
      <c r="I213" s="178">
        <v>0</v>
      </c>
      <c r="J213" s="178">
        <v>0</v>
      </c>
      <c r="K213" s="178">
        <v>0</v>
      </c>
      <c r="L213" s="178">
        <v>0</v>
      </c>
      <c r="M213" s="178">
        <v>0</v>
      </c>
      <c r="N213" s="178">
        <v>0</v>
      </c>
      <c r="O213" s="178">
        <v>0</v>
      </c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</row>
    <row r="214" spans="1:147" s="169" customFormat="1" ht="14.45">
      <c r="A214" s="50" t="s">
        <v>109</v>
      </c>
      <c r="B214" s="50"/>
      <c r="C214" s="50"/>
      <c r="D214" s="821"/>
      <c r="E214" s="42" t="s">
        <v>4628</v>
      </c>
      <c r="F214" s="178">
        <v>0</v>
      </c>
      <c r="G214" s="178">
        <v>0</v>
      </c>
      <c r="H214" s="178">
        <v>0</v>
      </c>
      <c r="I214" s="178">
        <v>0</v>
      </c>
      <c r="J214" s="178">
        <v>0</v>
      </c>
      <c r="K214" s="178">
        <v>0</v>
      </c>
      <c r="L214" s="178">
        <v>0</v>
      </c>
      <c r="M214" s="178">
        <v>0</v>
      </c>
      <c r="N214" s="178">
        <v>0</v>
      </c>
      <c r="O214" s="178">
        <v>0</v>
      </c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</row>
    <row r="215" spans="1:147" s="169" customFormat="1" ht="14.45">
      <c r="A215" s="50" t="s">
        <v>109</v>
      </c>
      <c r="B215" s="50"/>
      <c r="C215" s="50"/>
      <c r="D215" s="821"/>
      <c r="E215" s="42" t="s">
        <v>4622</v>
      </c>
      <c r="F215" s="178">
        <v>0</v>
      </c>
      <c r="G215" s="178">
        <v>0</v>
      </c>
      <c r="H215" s="178">
        <v>0</v>
      </c>
      <c r="I215" s="178">
        <v>0</v>
      </c>
      <c r="J215" s="178">
        <v>0</v>
      </c>
      <c r="K215" s="178">
        <v>0</v>
      </c>
      <c r="L215" s="178">
        <v>0</v>
      </c>
      <c r="M215" s="178">
        <v>0</v>
      </c>
      <c r="N215" s="178">
        <v>0</v>
      </c>
      <c r="O215" s="178">
        <v>0</v>
      </c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</row>
    <row r="216" spans="1:147" s="169" customFormat="1" ht="14.45">
      <c r="A216" s="50" t="s">
        <v>109</v>
      </c>
      <c r="B216" s="50"/>
      <c r="C216" s="50"/>
      <c r="D216" s="821"/>
      <c r="E216" s="42" t="s">
        <v>4623</v>
      </c>
      <c r="F216" s="178">
        <v>0</v>
      </c>
      <c r="G216" s="178">
        <v>0</v>
      </c>
      <c r="H216" s="178">
        <v>0</v>
      </c>
      <c r="I216" s="178">
        <v>0</v>
      </c>
      <c r="J216" s="178">
        <v>0</v>
      </c>
      <c r="K216" s="178">
        <v>0</v>
      </c>
      <c r="L216" s="178">
        <v>0</v>
      </c>
      <c r="M216" s="178">
        <v>0</v>
      </c>
      <c r="N216" s="178">
        <v>0</v>
      </c>
      <c r="O216" s="178">
        <v>0</v>
      </c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</row>
    <row r="217" spans="1:147" s="169" customFormat="1" ht="14.45">
      <c r="A217" s="50" t="s">
        <v>109</v>
      </c>
      <c r="B217" s="50"/>
      <c r="C217" s="50"/>
      <c r="D217" s="821"/>
      <c r="E217" s="42" t="s">
        <v>4624</v>
      </c>
      <c r="F217" s="178">
        <v>0</v>
      </c>
      <c r="G217" s="178">
        <v>0</v>
      </c>
      <c r="H217" s="178">
        <v>0</v>
      </c>
      <c r="I217" s="178">
        <v>0</v>
      </c>
      <c r="J217" s="178">
        <v>0</v>
      </c>
      <c r="K217" s="178">
        <v>0</v>
      </c>
      <c r="L217" s="178">
        <v>0</v>
      </c>
      <c r="M217" s="178">
        <v>0</v>
      </c>
      <c r="N217" s="178">
        <v>0</v>
      </c>
      <c r="O217" s="178">
        <v>0</v>
      </c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</row>
    <row r="218" spans="1:147" s="169" customFormat="1" ht="14.45">
      <c r="A218" s="50" t="s">
        <v>109</v>
      </c>
      <c r="B218" s="50"/>
      <c r="C218" s="50"/>
      <c r="D218" s="821"/>
      <c r="E218" s="42" t="s">
        <v>4611</v>
      </c>
      <c r="F218" s="178">
        <v>0</v>
      </c>
      <c r="G218" s="178">
        <v>0</v>
      </c>
      <c r="H218" s="178">
        <v>0</v>
      </c>
      <c r="I218" s="178">
        <v>0</v>
      </c>
      <c r="J218" s="178">
        <v>0</v>
      </c>
      <c r="K218" s="178">
        <v>0</v>
      </c>
      <c r="L218" s="178">
        <v>0</v>
      </c>
      <c r="M218" s="178">
        <v>0</v>
      </c>
      <c r="N218" s="178">
        <v>0</v>
      </c>
      <c r="O218" s="178">
        <v>0</v>
      </c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</row>
    <row r="219" spans="1:147" s="169" customFormat="1" ht="14.45">
      <c r="A219" s="50" t="s">
        <v>109</v>
      </c>
      <c r="B219" s="50"/>
      <c r="C219" s="50"/>
      <c r="D219" s="821"/>
      <c r="E219" s="42" t="s">
        <v>4612</v>
      </c>
      <c r="F219" s="178">
        <v>0</v>
      </c>
      <c r="G219" s="178">
        <v>0</v>
      </c>
      <c r="H219" s="178">
        <v>0</v>
      </c>
      <c r="I219" s="178">
        <v>0</v>
      </c>
      <c r="J219" s="178">
        <v>0</v>
      </c>
      <c r="K219" s="178">
        <v>0</v>
      </c>
      <c r="L219" s="178">
        <v>0</v>
      </c>
      <c r="M219" s="178">
        <v>0</v>
      </c>
      <c r="N219" s="178">
        <v>0</v>
      </c>
      <c r="O219" s="178">
        <v>0</v>
      </c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</row>
    <row r="220" spans="1:147" s="169" customFormat="1" ht="14.45">
      <c r="A220" s="50" t="s">
        <v>109</v>
      </c>
      <c r="B220" s="50"/>
      <c r="C220" s="50"/>
      <c r="D220" s="821"/>
      <c r="E220" s="125" t="s">
        <v>4629</v>
      </c>
      <c r="F220" s="178">
        <v>0</v>
      </c>
      <c r="G220" s="178">
        <v>0</v>
      </c>
      <c r="H220" s="178">
        <v>0</v>
      </c>
      <c r="I220" s="178">
        <v>0</v>
      </c>
      <c r="J220" s="178">
        <v>0</v>
      </c>
      <c r="K220" s="178">
        <v>0</v>
      </c>
      <c r="L220" s="178">
        <v>0</v>
      </c>
      <c r="M220" s="178">
        <v>0</v>
      </c>
      <c r="N220" s="178">
        <v>0</v>
      </c>
      <c r="O220" s="178">
        <v>0</v>
      </c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</row>
    <row r="221" spans="1:147" s="169" customFormat="1" ht="14.45">
      <c r="A221" s="50" t="s">
        <v>109</v>
      </c>
      <c r="B221" s="50"/>
      <c r="C221" s="50"/>
      <c r="D221" s="822"/>
      <c r="E221" s="43" t="s">
        <v>4626</v>
      </c>
      <c r="F221" s="180">
        <v>0</v>
      </c>
      <c r="G221" s="180">
        <v>0</v>
      </c>
      <c r="H221" s="180">
        <v>0</v>
      </c>
      <c r="I221" s="180">
        <v>0</v>
      </c>
      <c r="J221" s="180">
        <v>0</v>
      </c>
      <c r="K221" s="180">
        <v>0</v>
      </c>
      <c r="L221" s="180">
        <v>0</v>
      </c>
      <c r="M221" s="180">
        <v>0</v>
      </c>
      <c r="N221" s="180">
        <v>0</v>
      </c>
      <c r="O221" s="180">
        <v>0</v>
      </c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</row>
    <row r="222" spans="1:147" s="169" customFormat="1" ht="14.45">
      <c r="A222" s="50" t="str">
        <f>+D222</f>
        <v>Petroquímico</v>
      </c>
      <c r="B222" s="50" t="str">
        <f t="shared" ref="B222:B237" si="21">+CONCATENATE(A222,E222)</f>
        <v>Petroquímicofaixa única</v>
      </c>
      <c r="C222" s="50"/>
      <c r="D222" s="39" t="s">
        <v>110</v>
      </c>
      <c r="E222" s="173" t="s">
        <v>4617</v>
      </c>
      <c r="F222" s="182">
        <v>0</v>
      </c>
      <c r="G222" s="181">
        <v>0</v>
      </c>
      <c r="H222" s="181">
        <v>0</v>
      </c>
      <c r="I222" s="181">
        <v>0</v>
      </c>
      <c r="J222" s="180">
        <v>0</v>
      </c>
      <c r="K222" s="180">
        <v>0</v>
      </c>
      <c r="L222" s="180">
        <v>0</v>
      </c>
      <c r="M222" s="180">
        <v>0</v>
      </c>
      <c r="N222" s="180">
        <v>0</v>
      </c>
      <c r="O222" s="180">
        <v>0</v>
      </c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</row>
    <row r="223" spans="1:147" s="169" customFormat="1" ht="14.45">
      <c r="A223" s="50" t="str">
        <f t="shared" ref="A223:A227" si="22">+D223</f>
        <v>Térmicas</v>
      </c>
      <c r="B223" s="50" t="str">
        <f t="shared" si="21"/>
        <v>Térmicasfaixa única</v>
      </c>
      <c r="C223" s="50" t="s">
        <v>20</v>
      </c>
      <c r="D223" s="39" t="s">
        <v>111</v>
      </c>
      <c r="E223" s="173" t="s">
        <v>4617</v>
      </c>
      <c r="F223" s="182">
        <v>1</v>
      </c>
      <c r="G223" s="181">
        <v>1</v>
      </c>
      <c r="H223" s="181">
        <v>1</v>
      </c>
      <c r="I223" s="181">
        <v>1</v>
      </c>
      <c r="J223" s="181">
        <v>1</v>
      </c>
      <c r="K223" s="181">
        <v>1</v>
      </c>
      <c r="L223" s="181">
        <v>1</v>
      </c>
      <c r="M223" s="181">
        <v>0</v>
      </c>
      <c r="N223" s="181">
        <v>0</v>
      </c>
      <c r="O223" s="182">
        <v>0</v>
      </c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</row>
    <row r="224" spans="1:147" s="169" customFormat="1" ht="14.45">
      <c r="A224" s="50" t="str">
        <f t="shared" si="22"/>
        <v>GLP Residencial</v>
      </c>
      <c r="B224" s="50" t="str">
        <f t="shared" si="21"/>
        <v>GLP Residencialfaixa única</v>
      </c>
      <c r="C224" s="50" t="s">
        <v>4631</v>
      </c>
      <c r="D224" s="39" t="s">
        <v>4632</v>
      </c>
      <c r="E224" s="173" t="s">
        <v>4617</v>
      </c>
      <c r="F224" s="182">
        <v>0</v>
      </c>
      <c r="G224" s="181">
        <v>0</v>
      </c>
      <c r="H224" s="181">
        <v>0</v>
      </c>
      <c r="I224" s="181">
        <v>0</v>
      </c>
      <c r="J224" s="180">
        <v>0</v>
      </c>
      <c r="K224" s="180">
        <v>0</v>
      </c>
      <c r="L224" s="180">
        <v>0</v>
      </c>
      <c r="M224" s="178">
        <v>0</v>
      </c>
      <c r="N224" s="178">
        <v>0</v>
      </c>
      <c r="O224" s="178">
        <v>0</v>
      </c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</row>
    <row r="225" spans="1:147" s="169" customFormat="1" ht="14.45">
      <c r="A225" s="50" t="str">
        <f t="shared" si="22"/>
        <v>GLP Industrial</v>
      </c>
      <c r="B225" s="50" t="str">
        <f t="shared" si="21"/>
        <v>GLP Industrialfaixa única</v>
      </c>
      <c r="C225" s="50"/>
      <c r="D225" s="39" t="s">
        <v>4633</v>
      </c>
      <c r="E225" s="166" t="s">
        <v>4617</v>
      </c>
      <c r="F225" s="182">
        <v>0</v>
      </c>
      <c r="G225" s="181">
        <v>0</v>
      </c>
      <c r="H225" s="181">
        <v>0</v>
      </c>
      <c r="I225" s="181">
        <v>0</v>
      </c>
      <c r="J225" s="180">
        <v>0</v>
      </c>
      <c r="K225" s="180">
        <v>0</v>
      </c>
      <c r="L225" s="180">
        <v>0</v>
      </c>
      <c r="M225" s="182">
        <v>0</v>
      </c>
      <c r="N225" s="182">
        <v>0</v>
      </c>
      <c r="O225" s="182">
        <v>0</v>
      </c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</row>
    <row r="226" spans="1:147" s="169" customFormat="1" ht="14.45">
      <c r="A226" s="50" t="str">
        <f t="shared" si="22"/>
        <v>Térmicas - CL, AI, AP</v>
      </c>
      <c r="B226" s="50" t="str">
        <f t="shared" si="21"/>
        <v>Térmicas - CL, AI, APfórmula</v>
      </c>
      <c r="C226" s="50" t="s">
        <v>20</v>
      </c>
      <c r="D226" s="44" t="s">
        <v>4635</v>
      </c>
      <c r="E226" s="174" t="s">
        <v>4634</v>
      </c>
      <c r="F226" s="182">
        <v>1</v>
      </c>
      <c r="G226" s="181">
        <v>1</v>
      </c>
      <c r="H226" s="181">
        <v>1</v>
      </c>
      <c r="I226" s="181">
        <v>1</v>
      </c>
      <c r="J226" s="180">
        <v>1</v>
      </c>
      <c r="K226" s="180">
        <v>1</v>
      </c>
      <c r="L226" s="180">
        <v>1</v>
      </c>
      <c r="M226" s="64">
        <v>3</v>
      </c>
      <c r="N226" s="64">
        <v>3</v>
      </c>
      <c r="O226" s="64">
        <v>3</v>
      </c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</row>
    <row r="227" spans="1:147" s="169" customFormat="1" ht="14.45">
      <c r="A227" s="50" t="str">
        <f t="shared" si="22"/>
        <v>Industrial - Consumidor Livre/Auto-importador/Autoprodutor</v>
      </c>
      <c r="B227" s="50" t="str">
        <f t="shared" si="21"/>
        <v>Industrial - Consumidor Livre/Auto-importador/Autoprodutor0 - 200</v>
      </c>
      <c r="C227" s="50"/>
      <c r="D227" s="817" t="s">
        <v>152</v>
      </c>
      <c r="E227" s="164" t="s">
        <v>4599</v>
      </c>
      <c r="F227" s="176">
        <v>0</v>
      </c>
      <c r="G227" s="176">
        <v>0</v>
      </c>
      <c r="H227" s="176">
        <v>0</v>
      </c>
      <c r="I227" s="176">
        <v>0</v>
      </c>
      <c r="J227" s="176">
        <v>0</v>
      </c>
      <c r="K227" s="176">
        <v>0</v>
      </c>
      <c r="L227" s="178">
        <v>0</v>
      </c>
      <c r="M227" s="178">
        <v>0</v>
      </c>
      <c r="N227" s="178">
        <v>0</v>
      </c>
      <c r="O227" s="178">
        <v>0</v>
      </c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</row>
    <row r="228" spans="1:147" s="169" customFormat="1" ht="14.45">
      <c r="A228" s="50" t="str">
        <f>+A227</f>
        <v>Industrial - Consumidor Livre/Auto-importador/Autoprodutor</v>
      </c>
      <c r="B228" s="50" t="str">
        <f t="shared" si="21"/>
        <v>Industrial - Consumidor Livre/Auto-importador/Autoprodutor201 - 2.000</v>
      </c>
      <c r="C228" s="50"/>
      <c r="D228" s="818"/>
      <c r="E228" s="165" t="s">
        <v>4620</v>
      </c>
      <c r="F228" s="178">
        <v>0</v>
      </c>
      <c r="G228" s="178">
        <v>0</v>
      </c>
      <c r="H228" s="178">
        <v>0</v>
      </c>
      <c r="I228" s="178">
        <v>0</v>
      </c>
      <c r="J228" s="178">
        <v>0</v>
      </c>
      <c r="K228" s="178">
        <v>0</v>
      </c>
      <c r="L228" s="178">
        <v>0</v>
      </c>
      <c r="M228" s="178">
        <v>0</v>
      </c>
      <c r="N228" s="178">
        <v>0</v>
      </c>
      <c r="O228" s="178">
        <v>0</v>
      </c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</row>
    <row r="229" spans="1:147" s="169" customFormat="1" ht="14.45">
      <c r="A229" s="50" t="str">
        <f t="shared" ref="A229:A236" si="23">+A228</f>
        <v>Industrial - Consumidor Livre/Auto-importador/Autoprodutor</v>
      </c>
      <c r="B229" s="50" t="str">
        <f t="shared" si="21"/>
        <v>Industrial - Consumidor Livre/Auto-importador/Autoprodutor2.001 - 10.000</v>
      </c>
      <c r="C229" s="50"/>
      <c r="D229" s="818"/>
      <c r="E229" s="165" t="s">
        <v>4621</v>
      </c>
      <c r="F229" s="178">
        <v>0</v>
      </c>
      <c r="G229" s="178">
        <v>0</v>
      </c>
      <c r="H229" s="178">
        <v>0</v>
      </c>
      <c r="I229" s="178">
        <v>0</v>
      </c>
      <c r="J229" s="178">
        <v>0</v>
      </c>
      <c r="K229" s="178">
        <v>0</v>
      </c>
      <c r="L229" s="178">
        <v>0</v>
      </c>
      <c r="M229" s="178">
        <v>0</v>
      </c>
      <c r="N229" s="178">
        <v>0</v>
      </c>
      <c r="O229" s="178">
        <v>0</v>
      </c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</row>
    <row r="230" spans="1:147" s="169" customFormat="1" ht="14.45">
      <c r="A230" s="50" t="str">
        <f t="shared" si="23"/>
        <v>Industrial - Consumidor Livre/Auto-importador/Autoprodutor</v>
      </c>
      <c r="B230" s="50" t="str">
        <f t="shared" si="21"/>
        <v>Industrial - Consumidor Livre/Auto-importador/Autoprodutor10.001 - 50.000</v>
      </c>
      <c r="C230" s="50"/>
      <c r="D230" s="818"/>
      <c r="E230" s="165" t="s">
        <v>4622</v>
      </c>
      <c r="F230" s="178">
        <v>0</v>
      </c>
      <c r="G230" s="178">
        <v>0</v>
      </c>
      <c r="H230" s="178">
        <v>0</v>
      </c>
      <c r="I230" s="178">
        <v>0</v>
      </c>
      <c r="J230" s="178">
        <v>0</v>
      </c>
      <c r="K230" s="178">
        <v>0</v>
      </c>
      <c r="L230" s="178">
        <v>0</v>
      </c>
      <c r="M230" s="178">
        <v>0</v>
      </c>
      <c r="N230" s="178">
        <v>0</v>
      </c>
      <c r="O230" s="178">
        <v>0</v>
      </c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</row>
    <row r="231" spans="1:147" s="169" customFormat="1" ht="14.45">
      <c r="A231" s="50" t="str">
        <f t="shared" si="23"/>
        <v>Industrial - Consumidor Livre/Auto-importador/Autoprodutor</v>
      </c>
      <c r="B231" s="50" t="str">
        <f t="shared" si="21"/>
        <v>Industrial - Consumidor Livre/Auto-importador/Autoprodutor50.001 - 100.000</v>
      </c>
      <c r="C231" s="50"/>
      <c r="D231" s="818"/>
      <c r="E231" s="165" t="s">
        <v>4623</v>
      </c>
      <c r="F231" s="178">
        <v>0</v>
      </c>
      <c r="G231" s="178">
        <v>0</v>
      </c>
      <c r="H231" s="178">
        <v>0</v>
      </c>
      <c r="I231" s="178">
        <v>0</v>
      </c>
      <c r="J231" s="178">
        <v>0</v>
      </c>
      <c r="K231" s="178">
        <v>0</v>
      </c>
      <c r="L231" s="178">
        <v>0</v>
      </c>
      <c r="M231" s="178">
        <v>0</v>
      </c>
      <c r="N231" s="178">
        <v>0</v>
      </c>
      <c r="O231" s="178">
        <v>0</v>
      </c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</row>
    <row r="232" spans="1:147" s="169" customFormat="1" ht="14.45">
      <c r="A232" s="50" t="str">
        <f t="shared" si="23"/>
        <v>Industrial - Consumidor Livre/Auto-importador/Autoprodutor</v>
      </c>
      <c r="B232" s="50" t="str">
        <f t="shared" si="21"/>
        <v>Industrial - Consumidor Livre/Auto-importador/Autoprodutor100.001 - 300.000</v>
      </c>
      <c r="C232" s="50"/>
      <c r="D232" s="818"/>
      <c r="E232" s="165" t="s">
        <v>4624</v>
      </c>
      <c r="F232" s="178">
        <v>0</v>
      </c>
      <c r="G232" s="178">
        <v>0</v>
      </c>
      <c r="H232" s="178">
        <v>0</v>
      </c>
      <c r="I232" s="178">
        <v>0</v>
      </c>
      <c r="J232" s="178">
        <v>0</v>
      </c>
      <c r="K232" s="178">
        <v>0</v>
      </c>
      <c r="L232" s="178">
        <v>0</v>
      </c>
      <c r="M232" s="178">
        <v>0</v>
      </c>
      <c r="N232" s="178">
        <v>0</v>
      </c>
      <c r="O232" s="178">
        <v>0</v>
      </c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</row>
    <row r="233" spans="1:147" s="169" customFormat="1" ht="14.45">
      <c r="A233" s="50" t="str">
        <f t="shared" si="23"/>
        <v>Industrial - Consumidor Livre/Auto-importador/Autoprodutor</v>
      </c>
      <c r="B233" s="50" t="str">
        <f t="shared" si="21"/>
        <v>Industrial - Consumidor Livre/Auto-importador/Autoprodutor300.001 - 600.000</v>
      </c>
      <c r="C233" s="50"/>
      <c r="D233" s="818"/>
      <c r="E233" s="165" t="s">
        <v>4611</v>
      </c>
      <c r="F233" s="178">
        <v>0</v>
      </c>
      <c r="G233" s="178">
        <v>0</v>
      </c>
      <c r="H233" s="178">
        <v>0</v>
      </c>
      <c r="I233" s="178">
        <v>0</v>
      </c>
      <c r="J233" s="178">
        <v>0</v>
      </c>
      <c r="K233" s="178">
        <v>0</v>
      </c>
      <c r="L233" s="178">
        <v>0</v>
      </c>
      <c r="M233" s="178">
        <v>0</v>
      </c>
      <c r="N233" s="178">
        <v>0</v>
      </c>
      <c r="O233" s="178">
        <v>0</v>
      </c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</row>
    <row r="234" spans="1:147" s="169" customFormat="1" ht="14.45">
      <c r="A234" s="50" t="str">
        <f t="shared" si="23"/>
        <v>Industrial - Consumidor Livre/Auto-importador/Autoprodutor</v>
      </c>
      <c r="B234" s="50" t="str">
        <f t="shared" si="21"/>
        <v>Industrial - Consumidor Livre/Auto-importador/Autoprodutor600.001 - 1.500.000</v>
      </c>
      <c r="C234" s="50"/>
      <c r="D234" s="818"/>
      <c r="E234" s="165" t="s">
        <v>4612</v>
      </c>
      <c r="F234" s="178">
        <v>0</v>
      </c>
      <c r="G234" s="178">
        <v>0</v>
      </c>
      <c r="H234" s="178">
        <v>0</v>
      </c>
      <c r="I234" s="178">
        <v>0</v>
      </c>
      <c r="J234" s="178">
        <v>0</v>
      </c>
      <c r="K234" s="178">
        <v>0</v>
      </c>
      <c r="L234" s="178">
        <v>0</v>
      </c>
      <c r="M234" s="178">
        <v>0</v>
      </c>
      <c r="N234" s="178">
        <v>0</v>
      </c>
      <c r="O234" s="178">
        <v>0</v>
      </c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</row>
    <row r="235" spans="1:147" s="169" customFormat="1" ht="14.45">
      <c r="A235" s="50" t="str">
        <f t="shared" si="23"/>
        <v>Industrial - Consumidor Livre/Auto-importador/Autoprodutor</v>
      </c>
      <c r="B235" s="50" t="str">
        <f t="shared" si="21"/>
        <v>Industrial - Consumidor Livre/Auto-importador/Autoprodutor1.500.001 - 3.000.000</v>
      </c>
      <c r="C235" s="50"/>
      <c r="D235" s="818"/>
      <c r="E235" s="165" t="s">
        <v>4625</v>
      </c>
      <c r="F235" s="178">
        <v>0</v>
      </c>
      <c r="G235" s="178">
        <v>0</v>
      </c>
      <c r="H235" s="178">
        <v>0</v>
      </c>
      <c r="I235" s="178">
        <v>0</v>
      </c>
      <c r="J235" s="178">
        <v>0</v>
      </c>
      <c r="K235" s="178">
        <v>0</v>
      </c>
      <c r="L235" s="178">
        <v>1</v>
      </c>
      <c r="M235" s="178">
        <v>1</v>
      </c>
      <c r="N235" s="178">
        <v>1</v>
      </c>
      <c r="O235" s="178">
        <v>1</v>
      </c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</row>
    <row r="236" spans="1:147" s="169" customFormat="1" ht="14.45">
      <c r="A236" s="50" t="str">
        <f t="shared" si="23"/>
        <v>Industrial - Consumidor Livre/Auto-importador/Autoprodutor</v>
      </c>
      <c r="B236" s="50" t="str">
        <f t="shared" si="21"/>
        <v>Industrial - Consumidor Livre/Auto-importador/Autoprodutoracima de 3.000.000</v>
      </c>
      <c r="C236" s="50"/>
      <c r="D236" s="819"/>
      <c r="E236" s="166" t="s">
        <v>4626</v>
      </c>
      <c r="F236" s="180">
        <v>0</v>
      </c>
      <c r="G236" s="180">
        <v>0</v>
      </c>
      <c r="H236" s="180">
        <v>0</v>
      </c>
      <c r="I236" s="180">
        <v>0</v>
      </c>
      <c r="J236" s="180">
        <v>0</v>
      </c>
      <c r="K236" s="180">
        <v>0</v>
      </c>
      <c r="L236" s="180">
        <v>0</v>
      </c>
      <c r="M236" s="180">
        <v>0</v>
      </c>
      <c r="N236" s="180">
        <v>0</v>
      </c>
      <c r="O236" s="180">
        <v>0</v>
      </c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</row>
    <row r="237" spans="1:147" s="169" customFormat="1" ht="14.45">
      <c r="A237" s="50" t="str">
        <f>+D237</f>
        <v>Petroquímico</v>
      </c>
      <c r="B237" s="50" t="str">
        <f t="shared" si="21"/>
        <v>Petroquímicofaixa única</v>
      </c>
      <c r="C237" s="50"/>
      <c r="D237" s="44" t="s">
        <v>110</v>
      </c>
      <c r="E237" s="174" t="s">
        <v>4617</v>
      </c>
      <c r="F237" s="182">
        <v>0</v>
      </c>
      <c r="G237" s="181">
        <v>0</v>
      </c>
      <c r="H237" s="181">
        <v>0</v>
      </c>
      <c r="I237" s="181">
        <v>0</v>
      </c>
      <c r="J237" s="180">
        <v>0</v>
      </c>
      <c r="K237" s="180">
        <v>0</v>
      </c>
      <c r="L237" s="180">
        <v>0</v>
      </c>
      <c r="M237" s="180">
        <v>0</v>
      </c>
      <c r="N237" s="180">
        <v>0</v>
      </c>
      <c r="O237" s="180">
        <v>0</v>
      </c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</row>
    <row r="238" spans="1:147" s="169" customFormat="1" ht="14.45">
      <c r="A238" s="50"/>
      <c r="B238" s="50"/>
      <c r="C238" s="50"/>
      <c r="D238" s="820" t="s">
        <v>4637</v>
      </c>
      <c r="E238" s="414" t="s">
        <v>4599</v>
      </c>
      <c r="F238" s="176">
        <v>0</v>
      </c>
      <c r="G238" s="179">
        <v>0</v>
      </c>
      <c r="H238" s="179">
        <v>0</v>
      </c>
      <c r="I238" s="179">
        <v>0</v>
      </c>
      <c r="J238" s="178">
        <v>0</v>
      </c>
      <c r="K238" s="178">
        <v>0</v>
      </c>
      <c r="L238" s="178">
        <v>0</v>
      </c>
      <c r="M238" s="178">
        <v>0</v>
      </c>
      <c r="N238" s="178">
        <v>0</v>
      </c>
      <c r="O238" s="178">
        <v>0</v>
      </c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</row>
    <row r="239" spans="1:147" s="169" customFormat="1" ht="14.45">
      <c r="A239" s="50"/>
      <c r="B239" s="50"/>
      <c r="C239" s="50"/>
      <c r="D239" s="821"/>
      <c r="E239" s="415" t="s">
        <v>4627</v>
      </c>
      <c r="F239" s="178">
        <v>0</v>
      </c>
      <c r="G239" s="179">
        <v>0</v>
      </c>
      <c r="H239" s="179">
        <v>0</v>
      </c>
      <c r="I239" s="179">
        <v>0</v>
      </c>
      <c r="J239" s="178">
        <v>0</v>
      </c>
      <c r="K239" s="178">
        <v>0</v>
      </c>
      <c r="L239" s="178">
        <v>0</v>
      </c>
      <c r="M239" s="178">
        <v>0</v>
      </c>
      <c r="N239" s="178">
        <v>0</v>
      </c>
      <c r="O239" s="178">
        <v>0</v>
      </c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</row>
    <row r="240" spans="1:147" s="169" customFormat="1" ht="14.45">
      <c r="A240" s="50"/>
      <c r="B240" s="50"/>
      <c r="C240" s="50"/>
      <c r="D240" s="821"/>
      <c r="E240" s="42" t="s">
        <v>4628</v>
      </c>
      <c r="F240" s="178">
        <v>0</v>
      </c>
      <c r="G240" s="179">
        <v>0</v>
      </c>
      <c r="H240" s="179">
        <v>0</v>
      </c>
      <c r="I240" s="179">
        <v>0</v>
      </c>
      <c r="J240" s="178">
        <v>0</v>
      </c>
      <c r="K240" s="178">
        <v>0</v>
      </c>
      <c r="L240" s="178">
        <v>0</v>
      </c>
      <c r="M240" s="178">
        <v>0</v>
      </c>
      <c r="N240" s="178">
        <v>0</v>
      </c>
      <c r="O240" s="178">
        <v>0</v>
      </c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</row>
    <row r="241" spans="1:147" s="169" customFormat="1" ht="14.45">
      <c r="A241" s="50"/>
      <c r="B241" s="50"/>
      <c r="C241" s="50"/>
      <c r="D241" s="821"/>
      <c r="E241" s="42" t="s">
        <v>4622</v>
      </c>
      <c r="F241" s="178">
        <v>0</v>
      </c>
      <c r="G241" s="179">
        <v>0</v>
      </c>
      <c r="H241" s="179">
        <v>0</v>
      </c>
      <c r="I241" s="179">
        <v>0</v>
      </c>
      <c r="J241" s="178">
        <v>0</v>
      </c>
      <c r="K241" s="178">
        <v>0</v>
      </c>
      <c r="L241" s="178">
        <v>0</v>
      </c>
      <c r="M241" s="178">
        <v>0</v>
      </c>
      <c r="N241" s="178">
        <v>0</v>
      </c>
      <c r="O241" s="178">
        <v>0</v>
      </c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</row>
    <row r="242" spans="1:147" s="169" customFormat="1" ht="14.45">
      <c r="A242" s="50"/>
      <c r="B242" s="50"/>
      <c r="C242" s="50"/>
      <c r="D242" s="821"/>
      <c r="E242" s="42" t="s">
        <v>4623</v>
      </c>
      <c r="F242" s="178">
        <v>0</v>
      </c>
      <c r="G242" s="179">
        <v>0</v>
      </c>
      <c r="H242" s="179">
        <v>0</v>
      </c>
      <c r="I242" s="179">
        <v>0</v>
      </c>
      <c r="J242" s="178">
        <v>0</v>
      </c>
      <c r="K242" s="178">
        <v>0</v>
      </c>
      <c r="L242" s="178">
        <v>0</v>
      </c>
      <c r="M242" s="178">
        <v>0</v>
      </c>
      <c r="N242" s="178">
        <v>0</v>
      </c>
      <c r="O242" s="178">
        <v>0</v>
      </c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</row>
    <row r="243" spans="1:147" s="169" customFormat="1" ht="14.45">
      <c r="A243" s="50"/>
      <c r="B243" s="50"/>
      <c r="C243" s="50"/>
      <c r="D243" s="821"/>
      <c r="E243" s="42" t="s">
        <v>4624</v>
      </c>
      <c r="F243" s="178">
        <v>0</v>
      </c>
      <c r="G243" s="179">
        <v>0</v>
      </c>
      <c r="H243" s="179">
        <v>0</v>
      </c>
      <c r="I243" s="179">
        <v>0</v>
      </c>
      <c r="J243" s="178">
        <v>0</v>
      </c>
      <c r="K243" s="178">
        <v>0</v>
      </c>
      <c r="L243" s="178">
        <v>0</v>
      </c>
      <c r="M243" s="178">
        <v>0</v>
      </c>
      <c r="N243" s="178">
        <v>0</v>
      </c>
      <c r="O243" s="178">
        <v>0</v>
      </c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</row>
    <row r="244" spans="1:147" s="169" customFormat="1" ht="14.45">
      <c r="A244" s="50"/>
      <c r="B244" s="50"/>
      <c r="C244" s="50"/>
      <c r="D244" s="821"/>
      <c r="E244" s="42" t="s">
        <v>4611</v>
      </c>
      <c r="F244" s="178">
        <v>0</v>
      </c>
      <c r="G244" s="179">
        <v>0</v>
      </c>
      <c r="H244" s="179">
        <v>0</v>
      </c>
      <c r="I244" s="179">
        <v>0</v>
      </c>
      <c r="J244" s="178">
        <v>0</v>
      </c>
      <c r="K244" s="178">
        <v>0</v>
      </c>
      <c r="L244" s="178">
        <v>0</v>
      </c>
      <c r="M244" s="178">
        <v>0</v>
      </c>
      <c r="N244" s="178">
        <v>0</v>
      </c>
      <c r="O244" s="178">
        <v>0</v>
      </c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</row>
    <row r="245" spans="1:147" s="169" customFormat="1" ht="14.45">
      <c r="A245" s="50"/>
      <c r="B245" s="50"/>
      <c r="C245" s="50"/>
      <c r="D245" s="821"/>
      <c r="E245" s="42" t="s">
        <v>4612</v>
      </c>
      <c r="F245" s="178">
        <v>0</v>
      </c>
      <c r="G245" s="179">
        <v>0</v>
      </c>
      <c r="H245" s="179">
        <v>0</v>
      </c>
      <c r="I245" s="179">
        <v>0</v>
      </c>
      <c r="J245" s="178">
        <v>0</v>
      </c>
      <c r="K245" s="178">
        <v>0</v>
      </c>
      <c r="L245" s="178">
        <v>0</v>
      </c>
      <c r="M245" s="178">
        <v>0</v>
      </c>
      <c r="N245" s="178">
        <v>0</v>
      </c>
      <c r="O245" s="178">
        <v>0</v>
      </c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</row>
    <row r="246" spans="1:147" s="169" customFormat="1" ht="14.45">
      <c r="A246" s="50"/>
      <c r="B246" s="50"/>
      <c r="C246" s="50"/>
      <c r="D246" s="821"/>
      <c r="E246" s="125" t="s">
        <v>4629</v>
      </c>
      <c r="F246" s="178">
        <v>0</v>
      </c>
      <c r="G246" s="179">
        <v>0</v>
      </c>
      <c r="H246" s="179">
        <v>0</v>
      </c>
      <c r="I246" s="179">
        <v>0</v>
      </c>
      <c r="J246" s="178">
        <v>0</v>
      </c>
      <c r="K246" s="178">
        <v>0</v>
      </c>
      <c r="L246" s="178">
        <v>0</v>
      </c>
      <c r="M246" s="178">
        <v>0</v>
      </c>
      <c r="N246" s="178">
        <v>0</v>
      </c>
      <c r="O246" s="178">
        <v>0</v>
      </c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</row>
    <row r="247" spans="1:147" s="169" customFormat="1" ht="14.45">
      <c r="A247" s="50"/>
      <c r="B247" s="50"/>
      <c r="C247" s="50"/>
      <c r="D247" s="822"/>
      <c r="E247" s="43" t="s">
        <v>4626</v>
      </c>
      <c r="F247" s="180">
        <v>0</v>
      </c>
      <c r="G247" s="181">
        <v>0</v>
      </c>
      <c r="H247" s="181">
        <v>0</v>
      </c>
      <c r="I247" s="181">
        <v>0</v>
      </c>
      <c r="J247" s="180">
        <v>0</v>
      </c>
      <c r="K247" s="180">
        <v>0</v>
      </c>
      <c r="L247" s="180">
        <v>0</v>
      </c>
      <c r="M247" s="180">
        <v>0</v>
      </c>
      <c r="N247" s="180">
        <v>0</v>
      </c>
      <c r="O247" s="180">
        <v>0</v>
      </c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</row>
    <row r="248" spans="1:147" s="169" customFormat="1" ht="14.45">
      <c r="A248" s="50"/>
      <c r="B248" s="50"/>
      <c r="C248" s="50"/>
      <c r="D248" s="820" t="s">
        <v>4638</v>
      </c>
      <c r="E248" s="414" t="s">
        <v>4599</v>
      </c>
      <c r="F248" s="176">
        <v>0</v>
      </c>
      <c r="G248" s="179">
        <v>0</v>
      </c>
      <c r="H248" s="179">
        <v>0</v>
      </c>
      <c r="I248" s="179">
        <v>0</v>
      </c>
      <c r="J248" s="178">
        <v>0</v>
      </c>
      <c r="K248" s="178">
        <v>0</v>
      </c>
      <c r="L248" s="178">
        <v>0</v>
      </c>
      <c r="M248" s="178">
        <v>0</v>
      </c>
      <c r="N248" s="178">
        <v>0</v>
      </c>
      <c r="O248" s="178">
        <v>0</v>
      </c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</row>
    <row r="249" spans="1:147" s="169" customFormat="1" ht="14.45">
      <c r="A249" s="50"/>
      <c r="B249" s="50"/>
      <c r="C249" s="50"/>
      <c r="D249" s="821"/>
      <c r="E249" s="415" t="s">
        <v>4627</v>
      </c>
      <c r="F249" s="178">
        <v>0</v>
      </c>
      <c r="G249" s="179">
        <v>0</v>
      </c>
      <c r="H249" s="179">
        <v>0</v>
      </c>
      <c r="I249" s="179">
        <v>0</v>
      </c>
      <c r="J249" s="178">
        <v>0</v>
      </c>
      <c r="K249" s="178">
        <v>0</v>
      </c>
      <c r="L249" s="178">
        <v>0</v>
      </c>
      <c r="M249" s="178">
        <v>0</v>
      </c>
      <c r="N249" s="178">
        <v>0</v>
      </c>
      <c r="O249" s="178">
        <v>0</v>
      </c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</row>
    <row r="250" spans="1:147" s="169" customFormat="1" ht="14.45">
      <c r="A250" s="50"/>
      <c r="B250" s="50"/>
      <c r="C250" s="50"/>
      <c r="D250" s="821"/>
      <c r="E250" s="42" t="s">
        <v>4628</v>
      </c>
      <c r="F250" s="178">
        <v>0</v>
      </c>
      <c r="G250" s="179">
        <v>0</v>
      </c>
      <c r="H250" s="179">
        <v>0</v>
      </c>
      <c r="I250" s="179">
        <v>0</v>
      </c>
      <c r="J250" s="178">
        <v>0</v>
      </c>
      <c r="K250" s="178">
        <v>0</v>
      </c>
      <c r="L250" s="178">
        <v>0</v>
      </c>
      <c r="M250" s="178">
        <v>0</v>
      </c>
      <c r="N250" s="178">
        <v>0</v>
      </c>
      <c r="O250" s="178">
        <v>0</v>
      </c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</row>
    <row r="251" spans="1:147" s="169" customFormat="1" ht="14.45">
      <c r="A251" s="50"/>
      <c r="B251" s="50"/>
      <c r="C251" s="50"/>
      <c r="D251" s="821"/>
      <c r="E251" s="42" t="s">
        <v>4622</v>
      </c>
      <c r="F251" s="178">
        <v>0</v>
      </c>
      <c r="G251" s="179">
        <v>0</v>
      </c>
      <c r="H251" s="179">
        <v>0</v>
      </c>
      <c r="I251" s="179">
        <v>0</v>
      </c>
      <c r="J251" s="178">
        <v>0</v>
      </c>
      <c r="K251" s="178">
        <v>0</v>
      </c>
      <c r="L251" s="178">
        <v>0</v>
      </c>
      <c r="M251" s="178">
        <v>0</v>
      </c>
      <c r="N251" s="178">
        <v>0</v>
      </c>
      <c r="O251" s="178">
        <v>0</v>
      </c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</row>
    <row r="252" spans="1:147" s="169" customFormat="1" ht="14.45">
      <c r="A252" s="50"/>
      <c r="B252" s="50"/>
      <c r="C252" s="50"/>
      <c r="D252" s="821"/>
      <c r="E252" s="42" t="s">
        <v>4623</v>
      </c>
      <c r="F252" s="178">
        <v>0</v>
      </c>
      <c r="G252" s="179">
        <v>0</v>
      </c>
      <c r="H252" s="179">
        <v>0</v>
      </c>
      <c r="I252" s="179">
        <v>0</v>
      </c>
      <c r="J252" s="178">
        <v>0</v>
      </c>
      <c r="K252" s="178">
        <v>0</v>
      </c>
      <c r="L252" s="178">
        <v>0</v>
      </c>
      <c r="M252" s="178">
        <v>0</v>
      </c>
      <c r="N252" s="178">
        <v>0</v>
      </c>
      <c r="O252" s="178">
        <v>0</v>
      </c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</row>
    <row r="253" spans="1:147" s="169" customFormat="1" ht="14.45">
      <c r="A253" s="50"/>
      <c r="B253" s="50"/>
      <c r="C253" s="50"/>
      <c r="D253" s="821"/>
      <c r="E253" s="42" t="s">
        <v>4624</v>
      </c>
      <c r="F253" s="178">
        <v>0</v>
      </c>
      <c r="G253" s="179">
        <v>0</v>
      </c>
      <c r="H253" s="179">
        <v>0</v>
      </c>
      <c r="I253" s="179">
        <v>0</v>
      </c>
      <c r="J253" s="178">
        <v>0</v>
      </c>
      <c r="K253" s="178">
        <v>0</v>
      </c>
      <c r="L253" s="178">
        <v>0</v>
      </c>
      <c r="M253" s="178">
        <v>0</v>
      </c>
      <c r="N253" s="178">
        <v>0</v>
      </c>
      <c r="O253" s="178">
        <v>0</v>
      </c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</row>
    <row r="254" spans="1:147" s="169" customFormat="1" ht="14.45">
      <c r="A254" s="50"/>
      <c r="B254" s="50"/>
      <c r="C254" s="50"/>
      <c r="D254" s="821"/>
      <c r="E254" s="42" t="s">
        <v>4611</v>
      </c>
      <c r="F254" s="178">
        <v>0</v>
      </c>
      <c r="G254" s="179">
        <v>0</v>
      </c>
      <c r="H254" s="179">
        <v>0</v>
      </c>
      <c r="I254" s="179">
        <v>0</v>
      </c>
      <c r="J254" s="178">
        <v>0</v>
      </c>
      <c r="K254" s="178">
        <v>0</v>
      </c>
      <c r="L254" s="178">
        <v>0</v>
      </c>
      <c r="M254" s="178">
        <v>0</v>
      </c>
      <c r="N254" s="178">
        <v>0</v>
      </c>
      <c r="O254" s="178">
        <v>0</v>
      </c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</row>
    <row r="255" spans="1:147" s="169" customFormat="1" ht="14.45">
      <c r="A255" s="50"/>
      <c r="B255" s="50"/>
      <c r="C255" s="50"/>
      <c r="D255" s="821"/>
      <c r="E255" s="42" t="s">
        <v>4612</v>
      </c>
      <c r="F255" s="178">
        <v>0</v>
      </c>
      <c r="G255" s="179">
        <v>0</v>
      </c>
      <c r="H255" s="179">
        <v>0</v>
      </c>
      <c r="I255" s="179">
        <v>0</v>
      </c>
      <c r="J255" s="178">
        <v>0</v>
      </c>
      <c r="K255" s="178">
        <v>0</v>
      </c>
      <c r="L255" s="178">
        <v>0</v>
      </c>
      <c r="M255" s="178">
        <v>0</v>
      </c>
      <c r="N255" s="178">
        <v>0</v>
      </c>
      <c r="O255" s="178">
        <v>0</v>
      </c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</row>
    <row r="256" spans="1:147" s="169" customFormat="1" ht="14.45">
      <c r="A256" s="50"/>
      <c r="B256" s="50"/>
      <c r="C256" s="50"/>
      <c r="D256" s="821"/>
      <c r="E256" s="125" t="s">
        <v>4629</v>
      </c>
      <c r="F256" s="178">
        <v>0</v>
      </c>
      <c r="G256" s="179">
        <v>0</v>
      </c>
      <c r="H256" s="179">
        <v>0</v>
      </c>
      <c r="I256" s="179">
        <v>0</v>
      </c>
      <c r="J256" s="178">
        <v>0</v>
      </c>
      <c r="K256" s="178">
        <v>0</v>
      </c>
      <c r="L256" s="178">
        <v>0</v>
      </c>
      <c r="M256" s="178">
        <v>0</v>
      </c>
      <c r="N256" s="178">
        <v>0</v>
      </c>
      <c r="O256" s="178">
        <v>0</v>
      </c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</row>
    <row r="257" spans="1:147" s="169" customFormat="1" ht="14.45">
      <c r="A257" s="50"/>
      <c r="B257" s="50"/>
      <c r="C257" s="50"/>
      <c r="D257" s="822"/>
      <c r="E257" s="43" t="s">
        <v>4626</v>
      </c>
      <c r="F257" s="180">
        <v>0</v>
      </c>
      <c r="G257" s="181">
        <v>0</v>
      </c>
      <c r="H257" s="181">
        <v>0</v>
      </c>
      <c r="I257" s="181">
        <v>0</v>
      </c>
      <c r="J257" s="180">
        <v>0</v>
      </c>
      <c r="K257" s="180">
        <v>0</v>
      </c>
      <c r="L257" s="180">
        <v>0</v>
      </c>
      <c r="M257" s="180">
        <v>0</v>
      </c>
      <c r="N257" s="180">
        <v>0</v>
      </c>
      <c r="O257" s="180">
        <v>0</v>
      </c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</row>
    <row r="258" spans="1:147" s="169" customFormat="1" ht="14.45">
      <c r="D258" s="46" t="s">
        <v>167</v>
      </c>
      <c r="E258" s="47" t="s">
        <v>4639</v>
      </c>
      <c r="F258" s="48">
        <f t="shared" ref="F258:L258" si="24">SUM(F133:F257)</f>
        <v>91272</v>
      </c>
      <c r="G258" s="48">
        <f t="shared" si="24"/>
        <v>99575</v>
      </c>
      <c r="H258" s="48">
        <f t="shared" si="24"/>
        <v>105032</v>
      </c>
      <c r="I258" s="48">
        <f t="shared" si="24"/>
        <v>104815</v>
      </c>
      <c r="J258" s="48">
        <f t="shared" si="24"/>
        <v>107992</v>
      </c>
      <c r="K258" s="48">
        <f t="shared" si="24"/>
        <v>111029</v>
      </c>
      <c r="L258" s="48">
        <f t="shared" si="24"/>
        <v>111883</v>
      </c>
      <c r="M258" s="48">
        <f>SUM(M133:M257)</f>
        <v>93573.428412339097</v>
      </c>
      <c r="N258" s="48">
        <f t="shared" ref="N258:O258" si="25">SUM(N133:N257)</f>
        <v>95672.223444369476</v>
      </c>
      <c r="O258" s="48">
        <f t="shared" si="25"/>
        <v>97789.706504397342</v>
      </c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 s="175"/>
      <c r="AU258" s="175"/>
      <c r="AV258" s="175"/>
      <c r="AW258" s="175"/>
      <c r="AY258" s="175"/>
      <c r="AZ258" s="175"/>
      <c r="BA258" s="175"/>
      <c r="BB258" s="175"/>
      <c r="BC258" s="175"/>
      <c r="BD258" s="175"/>
      <c r="BE258" s="175"/>
      <c r="BF258" s="175"/>
      <c r="BG258" s="175"/>
      <c r="BH258" s="175"/>
      <c r="BI258" s="175"/>
      <c r="BK258" s="175"/>
      <c r="BL258" s="175"/>
      <c r="BM258" s="175"/>
      <c r="BN258" s="175"/>
      <c r="BO258" s="175"/>
      <c r="BP258" s="175"/>
      <c r="BQ258" s="175"/>
      <c r="BR258" s="175"/>
      <c r="BS258" s="175"/>
      <c r="BT258" s="175"/>
      <c r="BU258" s="175"/>
      <c r="BW258" s="175"/>
      <c r="BX258" s="175"/>
      <c r="BY258" s="175"/>
      <c r="BZ258" s="175"/>
      <c r="CA258" s="175"/>
      <c r="CB258" s="175"/>
      <c r="CC258" s="175"/>
      <c r="CD258" s="175"/>
      <c r="CE258" s="175"/>
      <c r="CF258" s="175"/>
      <c r="CG258" s="175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</row>
    <row r="259" spans="1:147" ht="14.45"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</row>
    <row r="260" spans="1:147" ht="14.45">
      <c r="D260" s="130" t="s">
        <v>4644</v>
      </c>
      <c r="K260" s="55"/>
      <c r="L260" s="55"/>
      <c r="M260" s="55"/>
      <c r="N260" s="55"/>
      <c r="O260" s="55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</row>
    <row r="261" spans="1:147" ht="14.45">
      <c r="D261" s="26" t="s">
        <v>4645</v>
      </c>
      <c r="E261" s="823" t="s">
        <v>4646</v>
      </c>
      <c r="F261" s="823"/>
      <c r="G261" s="823"/>
      <c r="H261" s="823"/>
      <c r="I261" s="823"/>
      <c r="J261" s="823"/>
      <c r="K261" s="823"/>
      <c r="L261" s="810" t="s">
        <v>4647</v>
      </c>
      <c r="M261" s="810"/>
      <c r="N261" s="810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</row>
    <row r="262" spans="1:147" ht="14.45">
      <c r="D262" s="27" t="s">
        <v>4648</v>
      </c>
      <c r="E262" s="27">
        <v>2018</v>
      </c>
      <c r="F262" s="27">
        <v>2019</v>
      </c>
      <c r="G262" s="27">
        <v>2020</v>
      </c>
      <c r="H262" s="27">
        <v>2021</v>
      </c>
      <c r="I262" s="27">
        <v>2022</v>
      </c>
      <c r="J262" s="27">
        <v>2023</v>
      </c>
      <c r="K262" s="27">
        <v>2024</v>
      </c>
      <c r="L262" s="49">
        <v>2025</v>
      </c>
      <c r="M262" s="49">
        <v>2026</v>
      </c>
      <c r="N262" s="49">
        <v>2027</v>
      </c>
      <c r="O262" s="50" t="s">
        <v>4649</v>
      </c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</row>
    <row r="263" spans="1:147" ht="14.45">
      <c r="D263" s="50" t="str">
        <f>+D4</f>
        <v>Residencial</v>
      </c>
      <c r="E263" s="51">
        <f t="shared" ref="E263:N263" si="26">+SUMIFS(F$4:F$108,$A$4:$A$108,$D263)</f>
        <v>5737626</v>
      </c>
      <c r="F263" s="51">
        <f t="shared" si="26"/>
        <v>5935158</v>
      </c>
      <c r="G263" s="51">
        <f t="shared" si="26"/>
        <v>6665279</v>
      </c>
      <c r="H263" s="51">
        <f t="shared" si="26"/>
        <v>6701829</v>
      </c>
      <c r="I263" s="51">
        <f t="shared" si="26"/>
        <v>6744608</v>
      </c>
      <c r="J263" s="51">
        <f>+SUMIFS(K$4:K$108,$A$4:$A$108,$D263)</f>
        <v>6569415</v>
      </c>
      <c r="K263" s="51">
        <f t="shared" si="26"/>
        <v>6535089.4400000013</v>
      </c>
      <c r="L263" s="51">
        <f t="shared" si="26"/>
        <v>6524866.307000868</v>
      </c>
      <c r="M263" s="51">
        <f t="shared" si="26"/>
        <v>6540124.8453776306</v>
      </c>
      <c r="N263" s="51">
        <f t="shared" si="26"/>
        <v>6552163.095696521</v>
      </c>
      <c r="O263" s="56">
        <f>+IFERROR(N263/K263-1,0)</f>
        <v>2.6126123985412697E-3</v>
      </c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</row>
    <row r="264" spans="1:147" ht="14.45">
      <c r="D264" s="50" t="str">
        <f>+D8</f>
        <v>Residencial Social MCMV</v>
      </c>
      <c r="E264" s="51">
        <f t="shared" ref="E264:N264" si="27">+SUMIFS(F$4:F$108,$A$4:$A$108,$D264)</f>
        <v>96746</v>
      </c>
      <c r="F264" s="51">
        <f t="shared" si="27"/>
        <v>83080</v>
      </c>
      <c r="G264" s="51">
        <f t="shared" si="27"/>
        <v>78171</v>
      </c>
      <c r="H264" s="51">
        <f t="shared" si="27"/>
        <v>72304</v>
      </c>
      <c r="I264" s="51">
        <f t="shared" si="27"/>
        <v>64491</v>
      </c>
      <c r="J264" s="51">
        <f t="shared" si="27"/>
        <v>55585</v>
      </c>
      <c r="K264" s="51">
        <f t="shared" si="27"/>
        <v>44883</v>
      </c>
      <c r="L264" s="51">
        <f t="shared" si="27"/>
        <v>58106.284719854768</v>
      </c>
      <c r="M264" s="51">
        <f t="shared" si="27"/>
        <v>58242.167500223411</v>
      </c>
      <c r="N264" s="51">
        <f t="shared" si="27"/>
        <v>58349.372455489356</v>
      </c>
      <c r="O264" s="56">
        <f t="shared" ref="O264:O272" si="28">+IFERROR(N264/K264-1,0)</f>
        <v>0.30003280653007502</v>
      </c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</row>
    <row r="265" spans="1:147" ht="14.45">
      <c r="D265" s="50" t="str">
        <f>+D12</f>
        <v>Comercial</v>
      </c>
      <c r="E265" s="51">
        <f t="shared" ref="E265:N265" si="29">+SUMIFS(F$4:F$108,$A$4:$A$108,$D265)</f>
        <v>4030533</v>
      </c>
      <c r="F265" s="51">
        <f t="shared" si="29"/>
        <v>4464030</v>
      </c>
      <c r="G265" s="51">
        <f t="shared" si="29"/>
        <v>4046243</v>
      </c>
      <c r="H265" s="51">
        <f t="shared" si="29"/>
        <v>4857783</v>
      </c>
      <c r="I265" s="51">
        <f t="shared" si="29"/>
        <v>5173639</v>
      </c>
      <c r="J265" s="51">
        <f t="shared" si="29"/>
        <v>4717460</v>
      </c>
      <c r="K265" s="51">
        <f t="shared" si="29"/>
        <v>4748180.8100000005</v>
      </c>
      <c r="L265" s="51">
        <f t="shared" si="29"/>
        <v>4640901.685724142</v>
      </c>
      <c r="M265" s="51">
        <f t="shared" si="29"/>
        <v>4554952.4253555601</v>
      </c>
      <c r="N265" s="51">
        <f t="shared" si="29"/>
        <v>4546915.817350693</v>
      </c>
      <c r="O265" s="56">
        <f t="shared" si="28"/>
        <v>-4.2387811396193964E-2</v>
      </c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</row>
    <row r="266" spans="1:147" ht="14.45">
      <c r="D266" s="50" t="str">
        <f>+D18</f>
        <v>Climatização</v>
      </c>
      <c r="E266" s="51">
        <f t="shared" ref="E266:N266" si="30">+SUMIFS(F$4:F$108,$A$4:$A$108,$D266)</f>
        <v>297799</v>
      </c>
      <c r="F266" s="51">
        <f t="shared" si="30"/>
        <v>284233</v>
      </c>
      <c r="G266" s="51">
        <f t="shared" si="30"/>
        <v>118014</v>
      </c>
      <c r="H266" s="51">
        <f t="shared" si="30"/>
        <v>146818</v>
      </c>
      <c r="I266" s="51">
        <f t="shared" si="30"/>
        <v>141730</v>
      </c>
      <c r="J266" s="51">
        <f t="shared" si="30"/>
        <v>158335</v>
      </c>
      <c r="K266" s="51">
        <f t="shared" si="30"/>
        <v>178551</v>
      </c>
      <c r="L266" s="51">
        <f t="shared" si="30"/>
        <v>167026.49240901112</v>
      </c>
      <c r="M266" s="51">
        <f t="shared" si="30"/>
        <v>163933.17036586744</v>
      </c>
      <c r="N266" s="51">
        <f t="shared" si="30"/>
        <v>163643.93208054706</v>
      </c>
      <c r="O266" s="56">
        <f t="shared" si="28"/>
        <v>-8.3489131505580683E-2</v>
      </c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</row>
    <row r="267" spans="1:147" ht="14.45">
      <c r="D267" s="50" t="str">
        <f>+D27</f>
        <v>Cogeração</v>
      </c>
      <c r="E267" s="51">
        <f t="shared" ref="E267:N267" si="31">+SUMIFS(F$4:F$108,$A$4:$A$108,$D267)</f>
        <v>2731368</v>
      </c>
      <c r="F267" s="51">
        <f t="shared" si="31"/>
        <v>4298096</v>
      </c>
      <c r="G267" s="51">
        <f t="shared" si="31"/>
        <v>3306661</v>
      </c>
      <c r="H267" s="51">
        <f t="shared" si="31"/>
        <v>4429598</v>
      </c>
      <c r="I267" s="51">
        <f t="shared" si="31"/>
        <v>14701</v>
      </c>
      <c r="J267" s="51">
        <f t="shared" si="31"/>
        <v>3</v>
      </c>
      <c r="K267" s="51">
        <f t="shared" si="31"/>
        <v>0</v>
      </c>
      <c r="L267" s="51">
        <f t="shared" si="31"/>
        <v>0</v>
      </c>
      <c r="M267" s="51">
        <f t="shared" si="31"/>
        <v>0</v>
      </c>
      <c r="N267" s="51">
        <f t="shared" si="31"/>
        <v>0</v>
      </c>
      <c r="O267" s="56">
        <f t="shared" si="28"/>
        <v>0</v>
      </c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</row>
    <row r="268" spans="1:147" ht="14.45">
      <c r="D268" s="50" t="str">
        <f>+D36</f>
        <v>Geração Distribuída</v>
      </c>
      <c r="E268" s="51">
        <f t="shared" ref="E268:N268" si="32">+SUMIFS(F$4:F$108,$A$4:$A$108,$D268)</f>
        <v>332912</v>
      </c>
      <c r="F268" s="51">
        <f t="shared" si="32"/>
        <v>333993</v>
      </c>
      <c r="G268" s="51">
        <f t="shared" si="32"/>
        <v>285479</v>
      </c>
      <c r="H268" s="51">
        <f t="shared" si="32"/>
        <v>297296</v>
      </c>
      <c r="I268" s="51">
        <f t="shared" si="32"/>
        <v>291892</v>
      </c>
      <c r="J268" s="51">
        <f t="shared" si="32"/>
        <v>256202</v>
      </c>
      <c r="K268" s="51">
        <f t="shared" si="32"/>
        <v>224687</v>
      </c>
      <c r="L268" s="51">
        <f t="shared" si="32"/>
        <v>210184.66152473795</v>
      </c>
      <c r="M268" s="51">
        <f t="shared" si="32"/>
        <v>206292.05241077149</v>
      </c>
      <c r="N268" s="51">
        <f t="shared" si="32"/>
        <v>205928.07750940562</v>
      </c>
      <c r="O268" s="56">
        <f t="shared" si="28"/>
        <v>-8.3489131505580572E-2</v>
      </c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</row>
    <row r="269" spans="1:147" ht="14.45">
      <c r="D269" s="50" t="str">
        <f>+D45</f>
        <v>GNV</v>
      </c>
      <c r="E269" s="51">
        <f t="shared" ref="E269:N269" si="33">+SUMIFS(F$4:F$108,$A$4:$A$108,$D269)</f>
        <v>232691551</v>
      </c>
      <c r="F269" s="51">
        <f t="shared" si="33"/>
        <v>231070201</v>
      </c>
      <c r="G269" s="51">
        <f t="shared" si="33"/>
        <v>202778222</v>
      </c>
      <c r="H269" s="51">
        <f t="shared" si="33"/>
        <v>225303833</v>
      </c>
      <c r="I269" s="51">
        <f t="shared" si="33"/>
        <v>229204862</v>
      </c>
      <c r="J269" s="51">
        <f t="shared" si="33"/>
        <v>195916000</v>
      </c>
      <c r="K269" s="51">
        <f t="shared" si="33"/>
        <v>170695132.68000001</v>
      </c>
      <c r="L269" s="51">
        <f t="shared" si="33"/>
        <v>150211716.75839999</v>
      </c>
      <c r="M269" s="51">
        <f t="shared" si="33"/>
        <v>139696896.58531201</v>
      </c>
      <c r="N269" s="51">
        <f t="shared" si="33"/>
        <v>135505989.68775263</v>
      </c>
      <c r="O269" s="56">
        <f t="shared" si="28"/>
        <v>-0.20615200000000011</v>
      </c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</row>
    <row r="270" spans="1:147" ht="14.45">
      <c r="D270" s="50" t="str">
        <f>+D46</f>
        <v>GNV Transporte Público</v>
      </c>
      <c r="E270" s="51">
        <f t="shared" ref="E270:N270" si="34">+SUMIFS(F$4:F$108,$A$4:$A$108,$D270)</f>
        <v>0</v>
      </c>
      <c r="F270" s="51">
        <f t="shared" si="34"/>
        <v>0</v>
      </c>
      <c r="G270" s="51">
        <f t="shared" si="34"/>
        <v>0</v>
      </c>
      <c r="H270" s="51">
        <f t="shared" si="34"/>
        <v>0</v>
      </c>
      <c r="I270" s="51">
        <f t="shared" si="34"/>
        <v>0</v>
      </c>
      <c r="J270" s="51">
        <f t="shared" si="34"/>
        <v>0</v>
      </c>
      <c r="K270" s="51">
        <f t="shared" si="34"/>
        <v>0</v>
      </c>
      <c r="L270" s="51">
        <f t="shared" si="34"/>
        <v>0</v>
      </c>
      <c r="M270" s="51">
        <f t="shared" si="34"/>
        <v>0</v>
      </c>
      <c r="N270" s="51">
        <f t="shared" si="34"/>
        <v>0</v>
      </c>
      <c r="O270" s="56">
        <f t="shared" si="28"/>
        <v>0</v>
      </c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</row>
    <row r="271" spans="1:147" ht="14.45">
      <c r="D271" s="50" t="str">
        <f>+D47</f>
        <v>Industrial</v>
      </c>
      <c r="E271" s="51">
        <f t="shared" ref="E271:N271" si="35">+SUMIFS(F$4:F$108,$A$4:$A$108,$D271)</f>
        <v>544346525</v>
      </c>
      <c r="F271" s="51">
        <f t="shared" si="35"/>
        <v>586262058</v>
      </c>
      <c r="G271" s="51">
        <f t="shared" si="35"/>
        <v>547030018</v>
      </c>
      <c r="H271" s="51">
        <f t="shared" si="35"/>
        <v>601572003</v>
      </c>
      <c r="I271" s="51">
        <f t="shared" si="35"/>
        <v>561207237</v>
      </c>
      <c r="J271" s="51">
        <f t="shared" si="35"/>
        <v>589983389</v>
      </c>
      <c r="K271" s="51">
        <f t="shared" si="35"/>
        <v>356387576.44000006</v>
      </c>
      <c r="L271" s="51">
        <f t="shared" si="35"/>
        <v>168370213.93830311</v>
      </c>
      <c r="M271" s="51">
        <f t="shared" si="35"/>
        <v>164044859.33953705</v>
      </c>
      <c r="N271" s="51">
        <f t="shared" si="35"/>
        <v>159806011.8327463</v>
      </c>
      <c r="O271" s="56">
        <f t="shared" si="28"/>
        <v>-0.55159488602529727</v>
      </c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</row>
    <row r="272" spans="1:147" ht="14.45">
      <c r="D272" s="50" t="str">
        <f>+D57</f>
        <v>Vidreiras</v>
      </c>
      <c r="E272" s="51">
        <f t="shared" ref="E272:N272" si="36">+SUMIFS(F$4:F$108,$A$4:$A$108,$D272)</f>
        <v>38122048</v>
      </c>
      <c r="F272" s="51">
        <f t="shared" si="36"/>
        <v>37000066</v>
      </c>
      <c r="G272" s="51">
        <f t="shared" si="36"/>
        <v>33783511</v>
      </c>
      <c r="H272" s="51">
        <f t="shared" si="36"/>
        <v>36692109</v>
      </c>
      <c r="I272" s="51">
        <f t="shared" si="36"/>
        <v>35348328</v>
      </c>
      <c r="J272" s="51">
        <f t="shared" si="36"/>
        <v>32976316</v>
      </c>
      <c r="K272" s="51">
        <f t="shared" si="36"/>
        <v>35908756</v>
      </c>
      <c r="L272" s="51">
        <f t="shared" si="36"/>
        <v>35908756</v>
      </c>
      <c r="M272" s="51">
        <f t="shared" si="36"/>
        <v>35908756</v>
      </c>
      <c r="N272" s="51">
        <f t="shared" si="36"/>
        <v>35908756</v>
      </c>
      <c r="O272" s="56">
        <f t="shared" si="28"/>
        <v>0</v>
      </c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</row>
    <row r="273" spans="4:45" ht="14.45">
      <c r="D273" s="50" t="s">
        <v>107</v>
      </c>
      <c r="E273" s="51">
        <f t="shared" ref="E273:N273" si="37">+SUMIFS(F$4:F$108,$A$4:$A$108,$D273)</f>
        <v>11030505</v>
      </c>
      <c r="F273" s="51">
        <f t="shared" si="37"/>
        <v>10687430</v>
      </c>
      <c r="G273" s="51">
        <f t="shared" si="37"/>
        <v>10269996</v>
      </c>
      <c r="H273" s="51">
        <f t="shared" si="37"/>
        <v>9793875</v>
      </c>
      <c r="I273" s="51">
        <f t="shared" si="37"/>
        <v>10656426</v>
      </c>
      <c r="J273" s="51">
        <f t="shared" si="37"/>
        <v>10806295</v>
      </c>
      <c r="K273" s="51">
        <f t="shared" si="37"/>
        <v>11988760</v>
      </c>
      <c r="L273" s="51">
        <f t="shared" si="37"/>
        <v>11988760</v>
      </c>
      <c r="M273" s="51">
        <f t="shared" si="37"/>
        <v>11988760</v>
      </c>
      <c r="N273" s="51">
        <f t="shared" si="37"/>
        <v>11988760</v>
      </c>
      <c r="O273" s="56">
        <f t="shared" ref="O273:O279" si="38">+IFERROR(N276/K276-1,0)</f>
        <v>0</v>
      </c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</row>
    <row r="274" spans="4:45" ht="14.45">
      <c r="D274" s="50" t="s">
        <v>108</v>
      </c>
      <c r="E274" s="51">
        <f t="shared" ref="E274:N274" si="39">+SUMIFS(F$4:F$108,$A$4:$A$108,$D274)</f>
        <v>28671</v>
      </c>
      <c r="F274" s="51">
        <f t="shared" si="39"/>
        <v>485</v>
      </c>
      <c r="G274" s="51">
        <f t="shared" si="39"/>
        <v>861</v>
      </c>
      <c r="H274" s="51">
        <f t="shared" si="39"/>
        <v>410</v>
      </c>
      <c r="I274" s="51">
        <f t="shared" si="39"/>
        <v>175</v>
      </c>
      <c r="J274" s="51">
        <f t="shared" si="39"/>
        <v>0</v>
      </c>
      <c r="K274" s="51">
        <f t="shared" si="39"/>
        <v>0</v>
      </c>
      <c r="L274" s="51">
        <f t="shared" si="39"/>
        <v>0</v>
      </c>
      <c r="M274" s="51">
        <f t="shared" si="39"/>
        <v>0</v>
      </c>
      <c r="N274" s="51">
        <f t="shared" si="39"/>
        <v>0</v>
      </c>
      <c r="O274" s="56">
        <f t="shared" si="38"/>
        <v>-1</v>
      </c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</row>
    <row r="275" spans="4:45" ht="14.45">
      <c r="D275" s="50" t="s">
        <v>109</v>
      </c>
      <c r="E275" s="51">
        <f t="shared" ref="E275:N275" si="40">+SUMIFS(F$4:F$108,$A$4:$A$108,$D275)</f>
        <v>0</v>
      </c>
      <c r="F275" s="51">
        <f t="shared" si="40"/>
        <v>0</v>
      </c>
      <c r="G275" s="51">
        <f t="shared" si="40"/>
        <v>0</v>
      </c>
      <c r="H275" s="51">
        <f t="shared" si="40"/>
        <v>0</v>
      </c>
      <c r="I275" s="51">
        <f t="shared" si="40"/>
        <v>0</v>
      </c>
      <c r="J275" s="51">
        <f t="shared" si="40"/>
        <v>0</v>
      </c>
      <c r="K275" s="51">
        <f t="shared" si="40"/>
        <v>0</v>
      </c>
      <c r="L275" s="51">
        <f t="shared" si="40"/>
        <v>0</v>
      </c>
      <c r="M275" s="51">
        <f t="shared" si="40"/>
        <v>0</v>
      </c>
      <c r="N275" s="51">
        <f t="shared" si="40"/>
        <v>0</v>
      </c>
      <c r="O275" s="56">
        <f t="shared" si="38"/>
        <v>0</v>
      </c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</row>
    <row r="276" spans="4:45" ht="14.45">
      <c r="D276" s="50" t="str">
        <f t="shared" ref="D276:D281" si="41">+D93</f>
        <v>Petroquímico</v>
      </c>
      <c r="E276" s="51">
        <f t="shared" ref="E276:N276" si="42">+SUMIFS(F$4:F$108,$A$4:$A$108,$D276)</f>
        <v>0</v>
      </c>
      <c r="F276" s="51">
        <f t="shared" si="42"/>
        <v>0</v>
      </c>
      <c r="G276" s="51">
        <f t="shared" si="42"/>
        <v>0</v>
      </c>
      <c r="H276" s="51">
        <f t="shared" si="42"/>
        <v>0</v>
      </c>
      <c r="I276" s="51">
        <f t="shared" si="42"/>
        <v>0</v>
      </c>
      <c r="J276" s="51">
        <f t="shared" si="42"/>
        <v>0</v>
      </c>
      <c r="K276" s="51">
        <f t="shared" si="42"/>
        <v>0</v>
      </c>
      <c r="L276" s="51">
        <f t="shared" si="42"/>
        <v>0</v>
      </c>
      <c r="M276" s="51">
        <f t="shared" si="42"/>
        <v>0</v>
      </c>
      <c r="N276" s="51">
        <f t="shared" si="42"/>
        <v>0</v>
      </c>
      <c r="O276" s="56">
        <f t="shared" si="38"/>
        <v>0</v>
      </c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</row>
    <row r="277" spans="4:45" ht="14.45">
      <c r="D277" s="50" t="str">
        <f t="shared" si="41"/>
        <v>Térmicas</v>
      </c>
      <c r="E277" s="51">
        <f t="shared" ref="E277:N277" si="43">+SUMIFS(F$4:F$108,$A$4:$A$108,$D277)</f>
        <v>2483035</v>
      </c>
      <c r="F277" s="51">
        <f t="shared" si="43"/>
        <v>0</v>
      </c>
      <c r="G277" s="51">
        <f t="shared" si="43"/>
        <v>0</v>
      </c>
      <c r="H277" s="51">
        <f t="shared" si="43"/>
        <v>0</v>
      </c>
      <c r="I277" s="51">
        <f t="shared" si="43"/>
        <v>0</v>
      </c>
      <c r="J277" s="51">
        <f t="shared" si="43"/>
        <v>94716909</v>
      </c>
      <c r="K277" s="51">
        <f t="shared" si="43"/>
        <v>353181632</v>
      </c>
      <c r="L277" s="51">
        <f t="shared" si="43"/>
        <v>0</v>
      </c>
      <c r="M277" s="51">
        <f t="shared" si="43"/>
        <v>0</v>
      </c>
      <c r="N277" s="51">
        <f t="shared" si="43"/>
        <v>0</v>
      </c>
      <c r="O277" s="56">
        <f t="shared" si="38"/>
        <v>0.77182418008577458</v>
      </c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</row>
    <row r="278" spans="4:45" ht="14.45">
      <c r="D278" s="50" t="str">
        <f t="shared" si="41"/>
        <v>GLP Residencial</v>
      </c>
      <c r="E278" s="51">
        <f t="shared" ref="E278:N278" si="44">+SUMIFS(F$4:F$108,$A$4:$A$108,$D278)</f>
        <v>0</v>
      </c>
      <c r="F278" s="51">
        <f t="shared" si="44"/>
        <v>0</v>
      </c>
      <c r="G278" s="51">
        <f t="shared" si="44"/>
        <v>0</v>
      </c>
      <c r="H278" s="51">
        <f t="shared" si="44"/>
        <v>0</v>
      </c>
      <c r="I278" s="51">
        <f t="shared" si="44"/>
        <v>0</v>
      </c>
      <c r="J278" s="51">
        <f t="shared" si="44"/>
        <v>0</v>
      </c>
      <c r="K278" s="51">
        <f t="shared" si="44"/>
        <v>0</v>
      </c>
      <c r="L278" s="51">
        <f t="shared" si="44"/>
        <v>0</v>
      </c>
      <c r="M278" s="51">
        <f t="shared" si="44"/>
        <v>0</v>
      </c>
      <c r="N278" s="51">
        <f t="shared" si="44"/>
        <v>0</v>
      </c>
      <c r="O278" s="56">
        <f t="shared" si="38"/>
        <v>0.38551867327202149</v>
      </c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</row>
    <row r="279" spans="4:45" ht="14.45">
      <c r="D279" s="50" t="str">
        <f t="shared" si="41"/>
        <v>GLP Industrial</v>
      </c>
      <c r="E279" s="51">
        <f t="shared" ref="E279:N279" si="45">+SUMIFS(F$4:F$108,$A$4:$A$108,$D279)</f>
        <v>0</v>
      </c>
      <c r="F279" s="51">
        <f t="shared" si="45"/>
        <v>0</v>
      </c>
      <c r="G279" s="51">
        <f t="shared" si="45"/>
        <v>0</v>
      </c>
      <c r="H279" s="51">
        <f t="shared" si="45"/>
        <v>0</v>
      </c>
      <c r="I279" s="51">
        <f t="shared" si="45"/>
        <v>0</v>
      </c>
      <c r="J279" s="51">
        <f t="shared" si="45"/>
        <v>0</v>
      </c>
      <c r="K279" s="51">
        <f t="shared" si="45"/>
        <v>0</v>
      </c>
      <c r="L279" s="51">
        <f t="shared" si="45"/>
        <v>0</v>
      </c>
      <c r="M279" s="51">
        <f t="shared" si="45"/>
        <v>0</v>
      </c>
      <c r="N279" s="51">
        <f t="shared" si="45"/>
        <v>0</v>
      </c>
      <c r="O279" s="56">
        <f t="shared" si="38"/>
        <v>0</v>
      </c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</row>
    <row r="280" spans="4:45" ht="14.45">
      <c r="D280" s="50" t="str">
        <f t="shared" si="41"/>
        <v>Térmicas - CL, AI, AP</v>
      </c>
      <c r="E280" s="51">
        <f t="shared" ref="E280:N280" si="46">+SUMIFS(F$4:F$108,$A$4:$A$108,$D280)</f>
        <v>0</v>
      </c>
      <c r="F280" s="51">
        <f t="shared" si="46"/>
        <v>0</v>
      </c>
      <c r="G280" s="51">
        <f t="shared" si="46"/>
        <v>0</v>
      </c>
      <c r="H280" s="51">
        <f t="shared" si="46"/>
        <v>0</v>
      </c>
      <c r="I280" s="51">
        <f t="shared" si="46"/>
        <v>0</v>
      </c>
      <c r="J280" s="51">
        <f t="shared" si="46"/>
        <v>60162091</v>
      </c>
      <c r="K280" s="51">
        <f t="shared" si="46"/>
        <v>227368234.00000012</v>
      </c>
      <c r="L280" s="51">
        <f t="shared" si="46"/>
        <v>92927400</v>
      </c>
      <c r="M280" s="51">
        <f t="shared" si="46"/>
        <v>402856534.78460073</v>
      </c>
      <c r="N280" s="51">
        <f t="shared" si="46"/>
        <v>402856534.78460073</v>
      </c>
      <c r="O280" s="56">
        <f>+N283/K283-1</f>
        <v>-0.2268633815357316</v>
      </c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</row>
    <row r="281" spans="4:45" ht="14.45">
      <c r="D281" s="50" t="str">
        <f t="shared" si="41"/>
        <v>Industrial - Consumidor Livre/Auto-importador/Autoprodutor</v>
      </c>
      <c r="E281" s="51">
        <f t="shared" ref="E281:N281" si="47">+SUMIFS(F$4:F$108,$A$4:$A$108,$D281)</f>
        <v>0</v>
      </c>
      <c r="F281" s="51">
        <f t="shared" si="47"/>
        <v>0</v>
      </c>
      <c r="G281" s="51">
        <f t="shared" si="47"/>
        <v>0</v>
      </c>
      <c r="H281" s="51">
        <f t="shared" si="47"/>
        <v>0</v>
      </c>
      <c r="I281" s="51">
        <f t="shared" si="47"/>
        <v>0</v>
      </c>
      <c r="J281" s="51">
        <f t="shared" si="47"/>
        <v>0</v>
      </c>
      <c r="K281" s="51">
        <f t="shared" si="47"/>
        <v>236550927</v>
      </c>
      <c r="L281" s="51">
        <f t="shared" si="47"/>
        <v>341259606.97449702</v>
      </c>
      <c r="M281" s="51">
        <f t="shared" si="47"/>
        <v>334434414.83500701</v>
      </c>
      <c r="N281" s="51">
        <f t="shared" si="47"/>
        <v>327745726.53830683</v>
      </c>
      <c r="O281" s="56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</row>
    <row r="282" spans="4:45" ht="14.45">
      <c r="D282" s="50" t="str">
        <f>+D108</f>
        <v>Petroquímico - CL, AI, AP</v>
      </c>
      <c r="E282" s="51">
        <f t="shared" ref="E282:N282" si="48">+SUMIFS(F$4:F$108,$A$4:$A$108,$D282)</f>
        <v>0</v>
      </c>
      <c r="F282" s="51">
        <f t="shared" si="48"/>
        <v>0</v>
      </c>
      <c r="G282" s="51">
        <f t="shared" si="48"/>
        <v>0</v>
      </c>
      <c r="H282" s="51">
        <f t="shared" si="48"/>
        <v>0</v>
      </c>
      <c r="I282" s="51">
        <f t="shared" si="48"/>
        <v>0</v>
      </c>
      <c r="J282" s="51">
        <f t="shared" si="48"/>
        <v>0</v>
      </c>
      <c r="K282" s="51">
        <f t="shared" si="48"/>
        <v>0</v>
      </c>
      <c r="L282" s="51">
        <f t="shared" si="48"/>
        <v>0</v>
      </c>
      <c r="M282" s="51">
        <f t="shared" si="48"/>
        <v>0</v>
      </c>
      <c r="N282" s="51">
        <f t="shared" si="48"/>
        <v>0</v>
      </c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</row>
    <row r="283" spans="4:45" ht="14.45">
      <c r="D283" s="53" t="s">
        <v>167</v>
      </c>
      <c r="E283" s="54">
        <f t="shared" ref="E283:N283" si="49">+SUM(E263:E282)</f>
        <v>841929319</v>
      </c>
      <c r="F283" s="54">
        <f t="shared" si="49"/>
        <v>880418830</v>
      </c>
      <c r="G283" s="54">
        <f t="shared" si="49"/>
        <v>808362455</v>
      </c>
      <c r="H283" s="54">
        <f t="shared" si="49"/>
        <v>889867858</v>
      </c>
      <c r="I283" s="54">
        <f t="shared" si="49"/>
        <v>848848089</v>
      </c>
      <c r="J283" s="54">
        <f t="shared" si="49"/>
        <v>996318000</v>
      </c>
      <c r="K283" s="54">
        <f t="shared" si="49"/>
        <v>1403812409.3700004</v>
      </c>
      <c r="L283" s="54">
        <f t="shared" si="49"/>
        <v>812267539.10257864</v>
      </c>
      <c r="M283" s="54">
        <f t="shared" si="49"/>
        <v>1100453766.2054667</v>
      </c>
      <c r="N283" s="54">
        <f t="shared" si="49"/>
        <v>1085338779.1384993</v>
      </c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</row>
    <row r="284" spans="4:45" ht="14.45">
      <c r="E284" s="58"/>
      <c r="F284" s="58"/>
      <c r="G284" s="58"/>
      <c r="H284" s="58"/>
      <c r="I284" s="58"/>
      <c r="J284" s="58"/>
      <c r="K284" s="58"/>
      <c r="L284" s="58">
        <f>+L283</f>
        <v>812267539.10257864</v>
      </c>
      <c r="M284" s="58">
        <f t="shared" ref="M284:N284" si="50">+M283</f>
        <v>1100453766.2054667</v>
      </c>
      <c r="N284" s="58">
        <f t="shared" si="50"/>
        <v>1085338779.1384993</v>
      </c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</row>
    <row r="285" spans="4:45" ht="14.45"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</row>
    <row r="286" spans="4:45" ht="14.45"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</row>
    <row r="288" spans="4:45">
      <c r="D288" s="57" t="s">
        <v>4650</v>
      </c>
      <c r="T288" s="62"/>
      <c r="U288" s="62"/>
      <c r="V288" s="62"/>
      <c r="W288" s="62"/>
      <c r="X288" s="62"/>
      <c r="Y288" s="62"/>
      <c r="Z288" s="62"/>
    </row>
    <row r="289" spans="4:39">
      <c r="D289" s="60" t="s">
        <v>4651</v>
      </c>
      <c r="E289" s="60"/>
      <c r="F289" s="60"/>
      <c r="G289" s="60"/>
      <c r="H289" s="131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132"/>
      <c r="U289" s="132"/>
      <c r="V289" s="132"/>
      <c r="W289" s="132"/>
      <c r="X289" s="132"/>
      <c r="Y289" s="132"/>
      <c r="Z289" s="132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</row>
    <row r="290" spans="4:39">
      <c r="D290" s="61"/>
      <c r="E290" s="61"/>
      <c r="F290" s="61"/>
      <c r="G290" s="61"/>
      <c r="H290" s="61"/>
      <c r="I290" s="61"/>
      <c r="J290" s="61"/>
      <c r="K290" s="61"/>
      <c r="L290" s="61"/>
    </row>
    <row r="291" spans="4:39" ht="14.45">
      <c r="D291" s="186" t="str">
        <f>Inputs!B25</f>
        <v>Volume (mil m³)</v>
      </c>
      <c r="E291" s="187">
        <f>Inputs!C25</f>
        <v>2023</v>
      </c>
      <c r="F291" s="187">
        <f>Inputs!D25</f>
        <v>2024</v>
      </c>
      <c r="G291" s="187">
        <f>Inputs!E25</f>
        <v>2025</v>
      </c>
      <c r="H291" s="187">
        <f>Inputs!F25</f>
        <v>2026</v>
      </c>
      <c r="I291" s="187">
        <f>Inputs!G25</f>
        <v>2027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</row>
    <row r="292" spans="4:39" ht="14.45">
      <c r="D292" s="183" t="str">
        <f>Inputs!B26</f>
        <v>Mercado</v>
      </c>
      <c r="E292" s="143">
        <f>Inputs!C26</f>
        <v>996318</v>
      </c>
      <c r="F292" s="143">
        <f>Inputs!D26</f>
        <v>1403812.4093700002</v>
      </c>
      <c r="G292" s="143">
        <f>Inputs!E26</f>
        <v>812267.53910257865</v>
      </c>
      <c r="H292" s="143">
        <f>Inputs!F26</f>
        <v>1100453.7662054668</v>
      </c>
      <c r="I292" s="143">
        <f>Inputs!G26</f>
        <v>1085338.7791384994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</row>
    <row r="293" spans="4:39" ht="14.45">
      <c r="D293" s="183" t="str">
        <f>Inputs!B27</f>
        <v>Convencional</v>
      </c>
      <c r="E293" s="143">
        <f>Inputs!C27</f>
        <v>841439</v>
      </c>
      <c r="F293" s="143">
        <f>Inputs!D27</f>
        <v>823262.54337000009</v>
      </c>
      <c r="G293" s="143">
        <f>Inputs!E27</f>
        <v>719340.13910257863</v>
      </c>
      <c r="H293" s="143">
        <f>Inputs!F27</f>
        <v>697597.2314208661</v>
      </c>
      <c r="I293" s="143">
        <f>Inputs!G27</f>
        <v>682482.24435389857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</row>
    <row r="294" spans="4:39" ht="14.45">
      <c r="D294" s="184" t="str">
        <f>Inputs!B28</f>
        <v>Domestico</v>
      </c>
      <c r="E294" s="144">
        <f>Inputs!C28</f>
        <v>6625</v>
      </c>
      <c r="F294" s="144">
        <f>Inputs!D28</f>
        <v>6579.9724400000014</v>
      </c>
      <c r="G294" s="144">
        <f>Inputs!E28</f>
        <v>6582.9725917207224</v>
      </c>
      <c r="H294" s="144">
        <f>Inputs!F28</f>
        <v>6598.3670128778531</v>
      </c>
      <c r="I294" s="144">
        <f>Inputs!G28</f>
        <v>6610.5124681520101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</row>
    <row r="295" spans="4:39" ht="14.45">
      <c r="D295" s="184" t="str">
        <f>Inputs!B29</f>
        <v>Comercial</v>
      </c>
      <c r="E295" s="144">
        <f>Inputs!C29</f>
        <v>5132</v>
      </c>
      <c r="F295" s="144">
        <f>Inputs!D29</f>
        <v>5151.4188100000001</v>
      </c>
      <c r="G295" s="144">
        <f>Inputs!E29</f>
        <v>5018.1128396578915</v>
      </c>
      <c r="H295" s="144">
        <f>Inputs!F29</f>
        <v>4925.1776481321986</v>
      </c>
      <c r="I295" s="144">
        <f>Inputs!G29</f>
        <v>4916.4878269406445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</row>
    <row r="296" spans="4:39" ht="14.45">
      <c r="D296" s="184" t="str">
        <f>Inputs!B30</f>
        <v>Industrial</v>
      </c>
      <c r="E296" s="144">
        <f>Inputs!C30</f>
        <v>633766</v>
      </c>
      <c r="F296" s="144">
        <f>Inputs!D30</f>
        <v>640836.01944000006</v>
      </c>
      <c r="G296" s="144">
        <f>Inputs!E30</f>
        <v>557527.33691280009</v>
      </c>
      <c r="H296" s="144">
        <f>Inputs!F30</f>
        <v>546376.79017454409</v>
      </c>
      <c r="I296" s="144">
        <f>Inputs!G30</f>
        <v>535449.25437105319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</row>
    <row r="297" spans="4:39" ht="14.45">
      <c r="D297" s="184" t="str">
        <f>Inputs!B31</f>
        <v>GNV</v>
      </c>
      <c r="E297" s="144">
        <f>Inputs!C31</f>
        <v>195916</v>
      </c>
      <c r="F297" s="144">
        <f>Inputs!D31</f>
        <v>170695.13268000001</v>
      </c>
      <c r="G297" s="144">
        <f>Inputs!E31</f>
        <v>150211.7167584</v>
      </c>
      <c r="H297" s="144">
        <f>Inputs!F31</f>
        <v>139696.896585312</v>
      </c>
      <c r="I297" s="144">
        <f>Inputs!G31</f>
        <v>135505.98968775265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</row>
    <row r="298" spans="4:39" ht="14.45">
      <c r="D298" s="185" t="str">
        <f>Inputs!B32</f>
        <v>Termicas + ATR</v>
      </c>
      <c r="E298" s="145">
        <f>Inputs!C32</f>
        <v>154879</v>
      </c>
      <c r="F298" s="145">
        <f>Inputs!D32</f>
        <v>580549.86600000015</v>
      </c>
      <c r="G298" s="145">
        <f>Inputs!E32</f>
        <v>92927.4</v>
      </c>
      <c r="H298" s="145">
        <f>Inputs!F32</f>
        <v>402856.53478460072</v>
      </c>
      <c r="I298" s="145">
        <f>Inputs!G32</f>
        <v>402856.53478460072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</row>
    <row r="299" spans="4:39" ht="14.45">
      <c r="E299" s="55"/>
      <c r="F299" s="55"/>
      <c r="G299" s="55"/>
      <c r="H299" s="55"/>
      <c r="I299" s="5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</row>
    <row r="300" spans="4:39" ht="14.45">
      <c r="D300" s="186" t="str">
        <f>Inputs!B34</f>
        <v>Clientes</v>
      </c>
      <c r="E300" s="187">
        <f>Inputs!C34</f>
        <v>2023</v>
      </c>
      <c r="F300" s="187">
        <f>Inputs!D34</f>
        <v>2024</v>
      </c>
      <c r="G300" s="187">
        <f>Inputs!E34</f>
        <v>2025</v>
      </c>
      <c r="H300" s="187">
        <f>Inputs!F34</f>
        <v>2026</v>
      </c>
      <c r="I300" s="187">
        <f>Inputs!G34</f>
        <v>2027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</row>
    <row r="301" spans="4:39" ht="14.45">
      <c r="D301" s="183" t="str">
        <f>Inputs!B35</f>
        <v>Clientes Totais</v>
      </c>
      <c r="E301" s="189">
        <f>Inputs!C35</f>
        <v>89862</v>
      </c>
      <c r="F301" s="189">
        <f>Inputs!D35</f>
        <v>91509</v>
      </c>
      <c r="G301" s="189">
        <f>Inputs!E35</f>
        <v>93573</v>
      </c>
      <c r="H301" s="189">
        <f>Inputs!F35</f>
        <v>95671.755798028622</v>
      </c>
      <c r="I301" s="189">
        <f>Inputs!G35</f>
        <v>97789.684421556274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</row>
    <row r="302" spans="4:39" ht="14.45">
      <c r="D302" s="184" t="str">
        <f>Inputs!B36</f>
        <v>Doméstico</v>
      </c>
      <c r="E302" s="190">
        <f>Inputs!C36</f>
        <v>88048</v>
      </c>
      <c r="F302" s="190">
        <f>Inputs!D36</f>
        <v>89690</v>
      </c>
      <c r="G302" s="190">
        <f>Inputs!E36</f>
        <v>91758</v>
      </c>
      <c r="H302" s="190">
        <f>Inputs!F36</f>
        <v>93826</v>
      </c>
      <c r="I302" s="190">
        <f>Inputs!G36</f>
        <v>95894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</row>
    <row r="303" spans="4:39" ht="14.45">
      <c r="D303" s="184" t="str">
        <f>Inputs!B37</f>
        <v>Comercial</v>
      </c>
      <c r="E303" s="190">
        <f>Inputs!C37</f>
        <v>1586</v>
      </c>
      <c r="F303" s="190">
        <f>Inputs!D37</f>
        <v>1582</v>
      </c>
      <c r="G303" s="190">
        <f>Inputs!E37</f>
        <v>1567</v>
      </c>
      <c r="H303" s="190">
        <f>Inputs!F37</f>
        <v>1586.7557980286228</v>
      </c>
      <c r="I303" s="190">
        <f>Inputs!G37</f>
        <v>1625.6844215562708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</row>
    <row r="304" spans="4:39" ht="14.45">
      <c r="D304" s="184" t="str">
        <f>Inputs!B38</f>
        <v>Industrial</v>
      </c>
      <c r="E304" s="190">
        <f>Inputs!C38</f>
        <v>82</v>
      </c>
      <c r="F304" s="190">
        <f>Inputs!D38</f>
        <v>85</v>
      </c>
      <c r="G304" s="190">
        <f>Inputs!E38</f>
        <v>86</v>
      </c>
      <c r="H304" s="190">
        <f>Inputs!F38</f>
        <v>90</v>
      </c>
      <c r="I304" s="190">
        <f>Inputs!G38</f>
        <v>94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</row>
    <row r="305" spans="4:39" ht="14.45">
      <c r="D305" s="184" t="str">
        <f>Inputs!B39</f>
        <v>GNV</v>
      </c>
      <c r="E305" s="190">
        <f>Inputs!C39</f>
        <v>144</v>
      </c>
      <c r="F305" s="190">
        <f>Inputs!D39</f>
        <v>150</v>
      </c>
      <c r="G305" s="190">
        <f>Inputs!E39</f>
        <v>159</v>
      </c>
      <c r="H305" s="190">
        <f>Inputs!F39</f>
        <v>166</v>
      </c>
      <c r="I305" s="190">
        <f>Inputs!G39</f>
        <v>173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</row>
    <row r="306" spans="4:39" ht="14.45">
      <c r="D306" s="188" t="str">
        <f>Inputs!B40</f>
        <v>Geração Elétrica</v>
      </c>
      <c r="E306" s="191">
        <f>Inputs!C40</f>
        <v>2</v>
      </c>
      <c r="F306" s="191">
        <f>Inputs!D40</f>
        <v>2</v>
      </c>
      <c r="G306" s="191">
        <f>Inputs!E40</f>
        <v>3</v>
      </c>
      <c r="H306" s="191">
        <f>Inputs!F40</f>
        <v>3</v>
      </c>
      <c r="I306" s="191">
        <f>Inputs!G40</f>
        <v>3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</row>
    <row r="307" spans="4:39" ht="14.45">
      <c r="D307" s="421"/>
      <c r="E307" s="191"/>
      <c r="F307" s="191"/>
      <c r="G307" s="191"/>
      <c r="H307" s="191"/>
      <c r="I307" s="19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</row>
  </sheetData>
  <mergeCells count="30">
    <mergeCell ref="D156:D164"/>
    <mergeCell ref="D165:D173"/>
    <mergeCell ref="E261:K261"/>
    <mergeCell ref="D67:D76"/>
    <mergeCell ref="D83:D92"/>
    <mergeCell ref="D77:D82"/>
    <mergeCell ref="D186:D195"/>
    <mergeCell ref="D227:D236"/>
    <mergeCell ref="D212:D221"/>
    <mergeCell ref="D196:D205"/>
    <mergeCell ref="D206:D211"/>
    <mergeCell ref="D109:D118"/>
    <mergeCell ref="D119:D128"/>
    <mergeCell ref="D238:D247"/>
    <mergeCell ref="L261:N261"/>
    <mergeCell ref="D4:D7"/>
    <mergeCell ref="D8:D11"/>
    <mergeCell ref="D12:D17"/>
    <mergeCell ref="D18:D26"/>
    <mergeCell ref="D176:D185"/>
    <mergeCell ref="D27:D35"/>
    <mergeCell ref="D36:D44"/>
    <mergeCell ref="D47:D56"/>
    <mergeCell ref="D57:D66"/>
    <mergeCell ref="D98:D107"/>
    <mergeCell ref="D133:D136"/>
    <mergeCell ref="D137:D140"/>
    <mergeCell ref="D248:D257"/>
    <mergeCell ref="D141:D146"/>
    <mergeCell ref="D147:D155"/>
  </mergeCells>
  <conditionalFormatting sqref="K130:O130">
    <cfRule type="cellIs" dxfId="1" priority="3" operator="equal">
      <formula>0</formula>
    </cfRule>
  </conditionalFormatting>
  <conditionalFormatting sqref="T288:Z289">
    <cfRule type="cellIs" dxfId="0" priority="2" operator="equal">
      <formula>"atenção"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1E0E8-BB90-4F7A-AF17-B76F36B7114E}">
  <sheetPr>
    <tabColor theme="4" tint="0.79998168889431442"/>
  </sheetPr>
  <dimension ref="A1:O28"/>
  <sheetViews>
    <sheetView showGridLines="0" workbookViewId="0">
      <selection activeCell="G32" sqref="G32"/>
    </sheetView>
  </sheetViews>
  <sheetFormatPr defaultColWidth="9.140625" defaultRowHeight="11.45"/>
  <cols>
    <col min="1" max="1" width="3.85546875" style="50" customWidth="1"/>
    <col min="2" max="2" width="30.140625" style="50" customWidth="1"/>
    <col min="3" max="11" width="14.42578125" style="50" customWidth="1"/>
    <col min="12" max="14" width="13.42578125" style="50" customWidth="1"/>
    <col min="15" max="15" width="15.140625" style="50" bestFit="1" customWidth="1"/>
    <col min="16" max="16384" width="9.140625" style="50"/>
  </cols>
  <sheetData>
    <row r="1" spans="1:15" ht="14.45">
      <c r="B1" s="66"/>
      <c r="L1"/>
    </row>
    <row r="2" spans="1:15">
      <c r="L2" s="134"/>
    </row>
    <row r="3" spans="1:15">
      <c r="B3" s="57" t="s">
        <v>4652</v>
      </c>
      <c r="C3" s="67"/>
      <c r="I3" s="106" t="s">
        <v>4653</v>
      </c>
    </row>
    <row r="4" spans="1:15">
      <c r="C4" s="52">
        <v>2016</v>
      </c>
      <c r="D4" s="52">
        <v>2017</v>
      </c>
      <c r="E4" s="52">
        <v>2018</v>
      </c>
      <c r="F4" s="52">
        <v>2019</v>
      </c>
      <c r="G4" s="52">
        <v>2020</v>
      </c>
      <c r="H4" s="52">
        <v>2021</v>
      </c>
      <c r="I4" s="52">
        <v>2022</v>
      </c>
      <c r="J4" s="52">
        <v>2023</v>
      </c>
      <c r="K4" s="52">
        <v>2024</v>
      </c>
      <c r="L4" s="52">
        <f>+K4+1</f>
        <v>2025</v>
      </c>
      <c r="M4" s="52">
        <f t="shared" ref="M4" si="0">+L4+1</f>
        <v>2026</v>
      </c>
      <c r="N4" s="52">
        <v>2027</v>
      </c>
    </row>
    <row r="5" spans="1:15" ht="14.45">
      <c r="B5" s="68" t="s">
        <v>4654</v>
      </c>
      <c r="C5" s="69">
        <f>+SUM(C6:C8)</f>
        <v>1434648678.0969017</v>
      </c>
      <c r="D5" s="69">
        <f>+SUM(D6:D8)</f>
        <v>1605347447.0141063</v>
      </c>
      <c r="E5" s="69">
        <f t="shared" ref="E5:K5" si="1">+SUM(E6:E8)</f>
        <v>1749913646.8262379</v>
      </c>
      <c r="F5" s="69">
        <f t="shared" si="1"/>
        <v>1800655983.4306567</v>
      </c>
      <c r="G5" s="69">
        <f t="shared" si="1"/>
        <v>1837187964.5633285</v>
      </c>
      <c r="H5" s="69">
        <f t="shared" si="1"/>
        <v>1843886280.7314432</v>
      </c>
      <c r="I5" s="69">
        <f t="shared" si="1"/>
        <v>1868679925.7376435</v>
      </c>
      <c r="J5" s="69">
        <f t="shared" si="1"/>
        <v>1890479546.3798738</v>
      </c>
      <c r="K5" s="69">
        <f t="shared" si="1"/>
        <v>1899839415.4456737</v>
      </c>
      <c r="L5" s="69">
        <f>+SUM(L6:L8)</f>
        <v>2180497033.4095755</v>
      </c>
      <c r="M5" s="69">
        <f t="shared" ref="M5:N5" si="2">+SUM(M6:M8)</f>
        <v>2597687173.5148253</v>
      </c>
      <c r="N5" s="69">
        <f t="shared" si="2"/>
        <v>2676680933.6776843</v>
      </c>
      <c r="O5"/>
    </row>
    <row r="6" spans="1:15">
      <c r="B6" s="50" t="s">
        <v>4655</v>
      </c>
      <c r="C6" s="70">
        <v>1363557877.7770076</v>
      </c>
      <c r="D6" s="70">
        <v>1434648678.0969045</v>
      </c>
      <c r="E6" s="70">
        <v>1605347447.0141087</v>
      </c>
      <c r="F6" s="70">
        <v>1749913646.8262372</v>
      </c>
      <c r="G6" s="70">
        <v>1800655983.4306571</v>
      </c>
      <c r="H6" s="70">
        <v>1837187964.5633302</v>
      </c>
      <c r="I6" s="70">
        <v>1843886280.7314403</v>
      </c>
      <c r="J6" s="70">
        <v>1868679925.7376482</v>
      </c>
      <c r="K6" s="70">
        <v>1890479546.3798747</v>
      </c>
      <c r="L6" s="70">
        <f>+K5</f>
        <v>1899839415.4456737</v>
      </c>
      <c r="M6" s="70">
        <f>+L5</f>
        <v>2180497033.4095755</v>
      </c>
      <c r="N6" s="70">
        <f>+M5</f>
        <v>2597687173.5148253</v>
      </c>
    </row>
    <row r="7" spans="1:15" ht="14.45">
      <c r="A7" s="65"/>
      <c r="B7" s="50" t="s">
        <v>4656</v>
      </c>
      <c r="C7" s="70">
        <v>72473609.130501255</v>
      </c>
      <c r="D7" s="70">
        <v>176473056.86175206</v>
      </c>
      <c r="E7" s="70">
        <v>145497409.40202647</v>
      </c>
      <c r="F7" s="70">
        <v>53155884.535348006</v>
      </c>
      <c r="G7" s="70">
        <v>36645207.492974475</v>
      </c>
      <c r="H7" s="70">
        <v>14832733.878667828</v>
      </c>
      <c r="I7" s="70">
        <v>26694798.391118776</v>
      </c>
      <c r="J7" s="70">
        <v>21799620.642225452</v>
      </c>
      <c r="K7" s="70">
        <v>9359869.0657989569</v>
      </c>
      <c r="L7" s="307">
        <f>INDEX(Investimentos!$D$6:$H$6,1,MATCH(L$4,Investimentos!$D$5:$H$5,0))*1000</f>
        <v>280657617.96390158</v>
      </c>
      <c r="M7" s="307">
        <f>INDEX(Investimentos!$D$6:$H$6,1,MATCH(M$4,Investimentos!$D$5:$H$5,0))*1000</f>
        <v>417190140.10525</v>
      </c>
      <c r="N7" s="307">
        <f>INDEX(Investimentos!$D$6:$H$6,1,MATCH(N$4,Investimentos!$D$5:$H$5,0))*1000</f>
        <v>78993760.162858903</v>
      </c>
      <c r="O7"/>
    </row>
    <row r="8" spans="1:15" ht="14.45">
      <c r="B8" s="50" t="s">
        <v>4657</v>
      </c>
      <c r="C8" s="70">
        <v>-1382808.8106070911</v>
      </c>
      <c r="D8" s="70">
        <v>-5774287.9445503205</v>
      </c>
      <c r="E8" s="70">
        <v>-931209.58989708603</v>
      </c>
      <c r="F8" s="70">
        <v>-2413547.9309285288</v>
      </c>
      <c r="G8" s="70">
        <v>-113226.36030306596</v>
      </c>
      <c r="H8" s="70">
        <v>-8134417.7105548829</v>
      </c>
      <c r="I8" s="70">
        <v>-1901153.3849156287</v>
      </c>
      <c r="J8" s="70">
        <v>0</v>
      </c>
      <c r="K8" s="70">
        <v>0</v>
      </c>
      <c r="L8" s="70">
        <f>+K8</f>
        <v>0</v>
      </c>
      <c r="M8" s="55">
        <f>+L8</f>
        <v>0</v>
      </c>
      <c r="N8" s="55">
        <f>+M8</f>
        <v>0</v>
      </c>
      <c r="O8"/>
    </row>
    <row r="9" spans="1:15" ht="14.45">
      <c r="C9" s="70"/>
      <c r="D9" s="70"/>
      <c r="E9" s="70"/>
      <c r="F9" s="70"/>
      <c r="G9" s="70"/>
      <c r="H9" s="70"/>
      <c r="I9" s="70"/>
      <c r="J9" s="70"/>
      <c r="K9" s="70"/>
      <c r="L9" s="59"/>
      <c r="M9" s="59"/>
      <c r="N9" s="59"/>
      <c r="O9"/>
    </row>
    <row r="10" spans="1:15" ht="14.45">
      <c r="B10" s="68" t="s">
        <v>4658</v>
      </c>
      <c r="C10" s="69">
        <f>+SUM(C11:C13)</f>
        <v>458527532.74714106</v>
      </c>
      <c r="D10" s="69">
        <f>+SUM(D11:D13)</f>
        <v>504015405.94094074</v>
      </c>
      <c r="E10" s="69">
        <f t="shared" ref="E10:H10" si="3">+SUM(E11:E13)</f>
        <v>559393984.8689543</v>
      </c>
      <c r="F10" s="69">
        <f t="shared" si="3"/>
        <v>617312841.9358629</v>
      </c>
      <c r="G10" s="69">
        <f t="shared" si="3"/>
        <v>677555993.75297832</v>
      </c>
      <c r="H10" s="69">
        <f t="shared" si="3"/>
        <v>735094905.17625189</v>
      </c>
      <c r="I10" s="69">
        <f>+SUM(I11:I13)</f>
        <v>795728340.48652411</v>
      </c>
      <c r="J10" s="69">
        <f t="shared" ref="J10:K10" si="4">+SUM(J11:J13)</f>
        <v>857947058.06781948</v>
      </c>
      <c r="K10" s="69">
        <f t="shared" si="4"/>
        <v>920688413.59264457</v>
      </c>
      <c r="L10" s="69">
        <f>+SUM(L11:L13)</f>
        <v>988630693.0930506</v>
      </c>
      <c r="M10" s="69">
        <f t="shared" ref="M10:N10" si="5">+SUM(M11:M13)</f>
        <v>1068194413.3073436</v>
      </c>
      <c r="N10" s="69">
        <f t="shared" si="5"/>
        <v>1156013958.8547683</v>
      </c>
      <c r="O10"/>
    </row>
    <row r="11" spans="1:15" ht="14.45">
      <c r="B11" s="50" t="s">
        <v>4655</v>
      </c>
      <c r="C11" s="70">
        <v>457597787.04381371</v>
      </c>
      <c r="D11" s="70">
        <v>505892354.91944224</v>
      </c>
      <c r="E11" s="70">
        <v>557202819.98120654</v>
      </c>
      <c r="F11" s="70">
        <v>617400272.23629212</v>
      </c>
      <c r="G11" s="70">
        <v>676954675.82478738</v>
      </c>
      <c r="H11" s="70">
        <v>738359695.64776635</v>
      </c>
      <c r="I11" s="70">
        <v>796121884.27665758</v>
      </c>
      <c r="J11" s="70">
        <v>857581991.35014808</v>
      </c>
      <c r="K11" s="70">
        <v>920527362.95285702</v>
      </c>
      <c r="L11" s="70">
        <f>+K10+L16</f>
        <v>983953066.12698555</v>
      </c>
      <c r="M11" s="70">
        <f>+L10+M16</f>
        <v>1061241244.3055894</v>
      </c>
      <c r="N11" s="70">
        <f>+M10+N16</f>
        <v>1154697396.1853874</v>
      </c>
      <c r="O11" s="16"/>
    </row>
    <row r="12" spans="1:15" ht="14.45">
      <c r="B12" s="50" t="s">
        <v>4656</v>
      </c>
      <c r="C12" s="70">
        <v>1207893.485508356</v>
      </c>
      <c r="D12" s="70">
        <v>2919332.8174559083</v>
      </c>
      <c r="E12" s="70">
        <v>2412520.3889740612</v>
      </c>
      <c r="F12" s="70">
        <v>885931.40892246633</v>
      </c>
      <c r="G12" s="70">
        <v>610753.4582162411</v>
      </c>
      <c r="H12" s="70">
        <v>247212.23131113104</v>
      </c>
      <c r="I12" s="70">
        <v>444913.30651864671</v>
      </c>
      <c r="J12" s="70">
        <v>365066.71767144959</v>
      </c>
      <c r="K12" s="70">
        <v>161050.63978751781</v>
      </c>
      <c r="L12" s="70">
        <f>L17</f>
        <v>4677626.9660650212</v>
      </c>
      <c r="M12" s="70">
        <f>+M17</f>
        <v>6953169.0017541591</v>
      </c>
      <c r="N12" s="70">
        <f>+N17</f>
        <v>1316562.6693809803</v>
      </c>
      <c r="O12"/>
    </row>
    <row r="13" spans="1:15" ht="14.45">
      <c r="B13" s="50" t="s">
        <v>4657</v>
      </c>
      <c r="C13" s="70">
        <v>-278147.7821810295</v>
      </c>
      <c r="D13" s="70">
        <v>-4796281.7959573586</v>
      </c>
      <c r="E13" s="70">
        <v>-221355.5012262495</v>
      </c>
      <c r="F13" s="70">
        <v>-973361.70935165836</v>
      </c>
      <c r="G13" s="70">
        <v>-9435.5300252554953</v>
      </c>
      <c r="H13" s="70">
        <v>-3512002.7028255314</v>
      </c>
      <c r="I13" s="70">
        <v>-838457.09665214689</v>
      </c>
      <c r="J13" s="70">
        <v>0</v>
      </c>
      <c r="K13" s="70">
        <v>0</v>
      </c>
      <c r="L13" s="70">
        <f>+K13+L18</f>
        <v>0</v>
      </c>
      <c r="M13" s="70">
        <f t="shared" ref="M13:N13" si="6">+L13+M18</f>
        <v>0</v>
      </c>
      <c r="N13" s="70">
        <f t="shared" si="6"/>
        <v>0</v>
      </c>
      <c r="O13"/>
    </row>
    <row r="14" spans="1:15" ht="14.45"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/>
    </row>
    <row r="15" spans="1:15" ht="14.45">
      <c r="B15" s="68" t="s">
        <v>4659</v>
      </c>
      <c r="C15" s="69"/>
      <c r="D15" s="69">
        <f t="shared" ref="D15:N15" si="7">+SUM(D16:D18)</f>
        <v>45487873.193799749</v>
      </c>
      <c r="E15" s="69">
        <f t="shared" si="7"/>
        <v>55378578.928013563</v>
      </c>
      <c r="F15" s="69">
        <f t="shared" si="7"/>
        <v>57918857.066908583</v>
      </c>
      <c r="G15" s="69">
        <f t="shared" si="7"/>
        <v>60243151.817115426</v>
      </c>
      <c r="H15" s="69">
        <f t="shared" si="7"/>
        <v>57538911.423273593</v>
      </c>
      <c r="I15" s="69">
        <f t="shared" si="7"/>
        <v>60633435.310272127</v>
      </c>
      <c r="J15" s="69">
        <f t="shared" si="7"/>
        <v>62218717.581295453</v>
      </c>
      <c r="K15" s="69">
        <f t="shared" si="7"/>
        <v>62741355.524825007</v>
      </c>
      <c r="L15" s="69">
        <f t="shared" si="7"/>
        <v>67942279.500405967</v>
      </c>
      <c r="M15" s="69">
        <f t="shared" si="7"/>
        <v>79563720.214293033</v>
      </c>
      <c r="N15" s="69">
        <f t="shared" si="7"/>
        <v>87819545.547424674</v>
      </c>
      <c r="O15"/>
    </row>
    <row r="16" spans="1:15" ht="14.45">
      <c r="B16" s="50" t="s">
        <v>4655</v>
      </c>
      <c r="C16" s="70"/>
      <c r="D16" s="70">
        <f t="shared" ref="D16:I18" si="8">+D11-C11</f>
        <v>48294567.875628531</v>
      </c>
      <c r="E16" s="70">
        <f t="shared" si="8"/>
        <v>51310465.0617643</v>
      </c>
      <c r="F16" s="70">
        <f t="shared" si="8"/>
        <v>60197452.255085588</v>
      </c>
      <c r="G16" s="70">
        <f t="shared" si="8"/>
        <v>59554403.588495255</v>
      </c>
      <c r="H16" s="70">
        <f>+H11-G11</f>
        <v>61405019.822978973</v>
      </c>
      <c r="I16" s="70">
        <f>+I11-H11</f>
        <v>57762188.62889123</v>
      </c>
      <c r="J16" s="70">
        <f t="shared" ref="J16:K18" si="9">+J11-I11</f>
        <v>61460107.0734905</v>
      </c>
      <c r="K16" s="70">
        <f t="shared" si="9"/>
        <v>62945371.602708936</v>
      </c>
      <c r="L16" s="70">
        <f>3.33%*L6</f>
        <v>63264652.53434094</v>
      </c>
      <c r="M16" s="70">
        <f t="shared" ref="M16:N16" si="10">3.33%*M6</f>
        <v>72610551.212538868</v>
      </c>
      <c r="N16" s="70">
        <f t="shared" si="10"/>
        <v>86502982.878043696</v>
      </c>
      <c r="O16"/>
    </row>
    <row r="17" spans="2:14">
      <c r="B17" s="50" t="s">
        <v>4656</v>
      </c>
      <c r="C17" s="70"/>
      <c r="D17" s="70">
        <f t="shared" si="8"/>
        <v>1711439.3319475523</v>
      </c>
      <c r="E17" s="70">
        <f t="shared" si="8"/>
        <v>-506812.42848184705</v>
      </c>
      <c r="F17" s="70">
        <f t="shared" si="8"/>
        <v>-1526588.9800515948</v>
      </c>
      <c r="G17" s="70">
        <f t="shared" si="8"/>
        <v>-275177.95070622524</v>
      </c>
      <c r="H17" s="70">
        <f t="shared" si="8"/>
        <v>-363541.22690511006</v>
      </c>
      <c r="I17" s="70">
        <f t="shared" si="8"/>
        <v>197701.07520751568</v>
      </c>
      <c r="J17" s="70">
        <f t="shared" si="9"/>
        <v>-79846.588847197127</v>
      </c>
      <c r="K17" s="70">
        <f t="shared" si="9"/>
        <v>-204016.07788393178</v>
      </c>
      <c r="L17" s="307">
        <f>+L7*(0.0333333333333333)/2</f>
        <v>4677626.9660650212</v>
      </c>
      <c r="M17" s="307">
        <f t="shared" ref="M17:N17" si="11">+M7*(0.0333333333333333)/2</f>
        <v>6953169.0017541591</v>
      </c>
      <c r="N17" s="307">
        <f t="shared" si="11"/>
        <v>1316562.6693809803</v>
      </c>
    </row>
    <row r="18" spans="2:14">
      <c r="B18" s="50" t="s">
        <v>4657</v>
      </c>
      <c r="C18" s="70"/>
      <c r="D18" s="70">
        <f t="shared" si="8"/>
        <v>-4518134.0137763293</v>
      </c>
      <c r="E18" s="70">
        <f t="shared" si="8"/>
        <v>4574926.2947311094</v>
      </c>
      <c r="F18" s="70">
        <f t="shared" si="8"/>
        <v>-752006.20812540886</v>
      </c>
      <c r="G18" s="70">
        <f t="shared" si="8"/>
        <v>963926.17932640284</v>
      </c>
      <c r="H18" s="70">
        <f t="shared" si="8"/>
        <v>-3502567.172800276</v>
      </c>
      <c r="I18" s="70">
        <f t="shared" si="8"/>
        <v>2673545.6061733845</v>
      </c>
      <c r="J18" s="70">
        <f t="shared" si="9"/>
        <v>838457.09665214689</v>
      </c>
      <c r="K18" s="70">
        <f t="shared" si="9"/>
        <v>0</v>
      </c>
      <c r="L18" s="70">
        <v>0</v>
      </c>
      <c r="M18" s="70">
        <v>0</v>
      </c>
      <c r="N18" s="70">
        <v>0</v>
      </c>
    </row>
    <row r="19" spans="2:14"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</row>
    <row r="20" spans="2:14">
      <c r="B20" s="68" t="s">
        <v>4660</v>
      </c>
      <c r="C20" s="69">
        <f>+SUM(C21:C23)</f>
        <v>976121145.34976363</v>
      </c>
      <c r="D20" s="69">
        <f>+SUM(D21:D23)</f>
        <v>1101332041.0731664</v>
      </c>
      <c r="E20" s="69">
        <f t="shared" ref="E20:H20" si="12">+SUM(E21:E23)</f>
        <v>1190519661.9572856</v>
      </c>
      <c r="F20" s="69">
        <f t="shared" si="12"/>
        <v>1183343141.4947979</v>
      </c>
      <c r="G20" s="69">
        <f t="shared" si="12"/>
        <v>1159631970.8103509</v>
      </c>
      <c r="H20" s="69">
        <f t="shared" si="12"/>
        <v>1108791375.5551839</v>
      </c>
      <c r="I20" s="71">
        <f>+SUM(I21:I23)</f>
        <v>1072951585.251124</v>
      </c>
      <c r="J20" s="71">
        <f t="shared" ref="J20:K20" si="13">+SUM(J21:J23)</f>
        <v>1032532488.3120534</v>
      </c>
      <c r="K20" s="71">
        <f t="shared" si="13"/>
        <v>979151001.85302079</v>
      </c>
      <c r="L20" s="71">
        <f>+SUM(L21:L23)</f>
        <v>1191866340.3165247</v>
      </c>
      <c r="M20" s="71">
        <f t="shared" ref="M20:N20" si="14">+SUM(M21:M23)</f>
        <v>1529492760.2074819</v>
      </c>
      <c r="N20" s="71">
        <f t="shared" si="14"/>
        <v>1520666974.8229158</v>
      </c>
    </row>
    <row r="21" spans="2:14">
      <c r="B21" s="50" t="s">
        <v>4655</v>
      </c>
      <c r="C21" s="70">
        <v>905960090.73319662</v>
      </c>
      <c r="D21" s="70">
        <v>928756323.17746317</v>
      </c>
      <c r="E21" s="70">
        <v>1048144627.0329038</v>
      </c>
      <c r="F21" s="70">
        <v>1132513374.5899494</v>
      </c>
      <c r="G21" s="70">
        <v>1123701307.6058707</v>
      </c>
      <c r="H21" s="70">
        <v>1098828268.9155564</v>
      </c>
      <c r="I21" s="70">
        <v>1047764396.4547873</v>
      </c>
      <c r="J21" s="70">
        <v>1011097934.3874995</v>
      </c>
      <c r="K21" s="70">
        <v>969952183.42700934</v>
      </c>
      <c r="L21" s="70">
        <f>+L6-L11</f>
        <v>915886349.31868815</v>
      </c>
      <c r="M21" s="70">
        <f t="shared" ref="M21:N21" si="15">+M6-M11</f>
        <v>1119255789.103986</v>
      </c>
      <c r="N21" s="70">
        <f t="shared" si="15"/>
        <v>1442989777.329438</v>
      </c>
    </row>
    <row r="22" spans="2:14">
      <c r="B22" s="50" t="s">
        <v>4656</v>
      </c>
      <c r="C22" s="70">
        <v>71265715.644993022</v>
      </c>
      <c r="D22" s="70">
        <v>173553724.04429612</v>
      </c>
      <c r="E22" s="70">
        <v>143084889.01305261</v>
      </c>
      <c r="F22" s="70">
        <v>52269953.126425527</v>
      </c>
      <c r="G22" s="70">
        <v>36034454.03475821</v>
      </c>
      <c r="H22" s="70">
        <v>14585521.647356696</v>
      </c>
      <c r="I22" s="70">
        <v>26249885.084600162</v>
      </c>
      <c r="J22" s="70">
        <v>21434553.924553998</v>
      </c>
      <c r="K22" s="70">
        <v>9198818.4260114394</v>
      </c>
      <c r="L22" s="70">
        <f>+L7-L12</f>
        <v>275979990.99783653</v>
      </c>
      <c r="M22" s="70">
        <f t="shared" ref="M22:N22" si="16">+M7-M12</f>
        <v>410236971.10349584</v>
      </c>
      <c r="N22" s="70">
        <f t="shared" si="16"/>
        <v>77677197.493477926</v>
      </c>
    </row>
    <row r="23" spans="2:14">
      <c r="B23" s="50" t="s">
        <v>4657</v>
      </c>
      <c r="C23" s="70">
        <v>-1104661.0284260616</v>
      </c>
      <c r="D23" s="70">
        <v>-978006.14859296009</v>
      </c>
      <c r="E23" s="70">
        <v>-709854.08867083665</v>
      </c>
      <c r="F23" s="70">
        <v>-1440186.2215768702</v>
      </c>
      <c r="G23" s="70">
        <v>-103790.83027781046</v>
      </c>
      <c r="H23" s="70">
        <v>-4622415.0077293525</v>
      </c>
      <c r="I23" s="70">
        <v>-1062696.2882634832</v>
      </c>
      <c r="J23" s="70">
        <v>0</v>
      </c>
      <c r="K23" s="70">
        <v>0</v>
      </c>
      <c r="L23" s="70">
        <f>+L8-L13</f>
        <v>0</v>
      </c>
      <c r="M23" s="70">
        <f t="shared" ref="M23:N23" si="17">+M8-M13</f>
        <v>0</v>
      </c>
      <c r="N23" s="70">
        <f t="shared" si="17"/>
        <v>0</v>
      </c>
    </row>
    <row r="25" spans="2:14">
      <c r="I25" s="55">
        <f>+I16+I18</f>
        <v>60435734.235064611</v>
      </c>
      <c r="J25" s="55">
        <f>+I25</f>
        <v>60435734.235064611</v>
      </c>
      <c r="K25" s="55">
        <f t="shared" ref="K25:N25" si="18">+J25</f>
        <v>60435734.235064611</v>
      </c>
      <c r="L25" s="55">
        <f t="shared" si="18"/>
        <v>60435734.235064611</v>
      </c>
      <c r="M25" s="55">
        <f t="shared" si="18"/>
        <v>60435734.235064611</v>
      </c>
      <c r="N25" s="55">
        <f t="shared" si="18"/>
        <v>60435734.235064611</v>
      </c>
    </row>
    <row r="26" spans="2:14">
      <c r="H26" s="55" t="s">
        <v>4661</v>
      </c>
      <c r="I26" s="55">
        <f>+I15-I25</f>
        <v>197701.07520751655</v>
      </c>
      <c r="J26" s="55">
        <f>+J15-J25</f>
        <v>1782983.3462308422</v>
      </c>
      <c r="K26" s="55">
        <f t="shared" ref="K26:N26" si="19">+K15-K25</f>
        <v>2305621.2897603959</v>
      </c>
      <c r="L26" s="55">
        <f t="shared" si="19"/>
        <v>7506545.2653413564</v>
      </c>
      <c r="M26" s="55">
        <f t="shared" si="19"/>
        <v>19127985.979228422</v>
      </c>
      <c r="N26" s="55">
        <f t="shared" si="19"/>
        <v>27383811.312360063</v>
      </c>
    </row>
    <row r="27" spans="2:14">
      <c r="I27" s="55"/>
    </row>
    <row r="28" spans="2:14" ht="14.45">
      <c r="I28" s="55"/>
      <c r="K2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B0A77-0BC2-4688-969F-134DDCD737C7}">
  <sheetPr>
    <tabColor theme="4" tint="0.79998168889431442"/>
  </sheetPr>
  <dimension ref="B1:P104"/>
  <sheetViews>
    <sheetView showGridLines="0" topLeftCell="A4" zoomScaleNormal="100" workbookViewId="0">
      <selection activeCell="J23" sqref="J23"/>
    </sheetView>
  </sheetViews>
  <sheetFormatPr defaultColWidth="8.7109375" defaultRowHeight="14.45"/>
  <cols>
    <col min="1" max="1" width="2.5703125" customWidth="1"/>
    <col min="2" max="2" width="32.42578125" customWidth="1"/>
    <col min="3" max="3" width="10" bestFit="1" customWidth="1"/>
    <col min="4" max="7" width="8" customWidth="1"/>
    <col min="8" max="8" width="11" bestFit="1" customWidth="1"/>
    <col min="9" max="9" width="8.7109375" customWidth="1"/>
  </cols>
  <sheetData>
    <row r="1" spans="2:9" ht="15.6">
      <c r="B1" s="523" t="s">
        <v>4662</v>
      </c>
      <c r="C1" s="522"/>
      <c r="D1" s="522"/>
    </row>
    <row r="3" spans="2:9">
      <c r="B3" s="521" t="s">
        <v>4663</v>
      </c>
    </row>
    <row r="5" spans="2:9">
      <c r="B5" s="510" t="s">
        <v>247</v>
      </c>
      <c r="C5" s="826" t="s">
        <v>119</v>
      </c>
      <c r="D5" s="826"/>
      <c r="E5" s="826"/>
      <c r="F5" s="826"/>
      <c r="G5" s="826"/>
      <c r="H5" s="520" t="s">
        <v>167</v>
      </c>
    </row>
    <row r="6" spans="2:9">
      <c r="B6" s="509" t="s">
        <v>120</v>
      </c>
      <c r="C6" s="519">
        <v>2018</v>
      </c>
      <c r="D6" s="519">
        <v>2019</v>
      </c>
      <c r="E6" s="519">
        <v>2020</v>
      </c>
      <c r="F6" s="519">
        <v>2021</v>
      </c>
      <c r="G6" s="518">
        <v>2022</v>
      </c>
      <c r="H6" s="517" t="s">
        <v>248</v>
      </c>
    </row>
    <row r="7" spans="2:9">
      <c r="B7" s="499" t="s">
        <v>249</v>
      </c>
      <c r="C7" s="516">
        <v>43.5</v>
      </c>
      <c r="D7" s="516">
        <v>26.05</v>
      </c>
      <c r="E7" s="516">
        <v>37.65</v>
      </c>
      <c r="F7" s="516">
        <v>27.45</v>
      </c>
      <c r="G7" s="516">
        <v>27.95</v>
      </c>
      <c r="H7" s="515">
        <f>SUM(C7:G7)</f>
        <v>162.59999999999997</v>
      </c>
    </row>
    <row r="8" spans="2:9">
      <c r="B8" s="506" t="s">
        <v>250</v>
      </c>
      <c r="C8" s="676">
        <f>C79/10^3</f>
        <v>43.498057832391261</v>
      </c>
      <c r="D8" s="676">
        <f>D79/10^3</f>
        <v>26.046734124853465</v>
      </c>
      <c r="E8" s="676">
        <f>E79/10^3</f>
        <v>19.543358850342955</v>
      </c>
      <c r="F8" s="676">
        <f>F79/10^3</f>
        <v>12.530090519127093</v>
      </c>
      <c r="G8" s="676">
        <f>G79/10^3</f>
        <v>30.638599206175808</v>
      </c>
      <c r="H8" s="514">
        <f>SUM(C8:G8)</f>
        <v>132.25684053289058</v>
      </c>
    </row>
    <row r="9" spans="2:9">
      <c r="G9" s="512"/>
      <c r="H9" s="513"/>
    </row>
    <row r="10" spans="2:9">
      <c r="H10" s="511"/>
    </row>
    <row r="11" spans="2:9">
      <c r="C11" s="827" t="s">
        <v>252</v>
      </c>
      <c r="D11" s="827"/>
      <c r="E11" s="827"/>
      <c r="F11" s="827"/>
      <c r="G11" s="827"/>
      <c r="H11" s="677">
        <v>9.4299999999999995E-2</v>
      </c>
    </row>
    <row r="12" spans="2:9">
      <c r="B12" s="510" t="s">
        <v>247</v>
      </c>
      <c r="C12" s="831" t="s">
        <v>119</v>
      </c>
      <c r="D12" s="831"/>
      <c r="E12" s="831"/>
      <c r="F12" s="831"/>
      <c r="G12" s="831"/>
      <c r="H12" s="824" t="s">
        <v>254</v>
      </c>
    </row>
    <row r="13" spans="2:9">
      <c r="B13" s="509" t="s">
        <v>120</v>
      </c>
      <c r="C13" s="508">
        <v>2018</v>
      </c>
      <c r="D13" s="508">
        <v>2019</v>
      </c>
      <c r="E13" s="508">
        <v>2020</v>
      </c>
      <c r="F13" s="508">
        <v>2021</v>
      </c>
      <c r="G13" s="508">
        <v>2022</v>
      </c>
      <c r="H13" s="825"/>
    </row>
    <row r="14" spans="2:9">
      <c r="B14" s="499" t="s">
        <v>249</v>
      </c>
      <c r="C14" s="497">
        <f>C7</f>
        <v>43.5</v>
      </c>
      <c r="D14" s="497">
        <f>D7</f>
        <v>26.05</v>
      </c>
      <c r="E14" s="497">
        <f>E7</f>
        <v>37.65</v>
      </c>
      <c r="F14" s="497">
        <f>F7</f>
        <v>27.45</v>
      </c>
      <c r="G14" s="497">
        <f>G7</f>
        <v>27.95</v>
      </c>
      <c r="H14" s="507">
        <f>NPV($H$11,C14:G14)</f>
        <v>127.19045085287731</v>
      </c>
    </row>
    <row r="15" spans="2:9">
      <c r="B15" s="506" t="s">
        <v>250</v>
      </c>
      <c r="C15" s="676">
        <f>+C79/1000</f>
        <v>43.498057832391261</v>
      </c>
      <c r="D15" s="676">
        <f t="shared" ref="D15:G15" si="0">+D79/1000</f>
        <v>26.046734124853465</v>
      </c>
      <c r="E15" s="676">
        <f>+E79/1000</f>
        <v>19.543358850342955</v>
      </c>
      <c r="F15" s="676">
        <f t="shared" si="0"/>
        <v>12.530090519127093</v>
      </c>
      <c r="G15" s="676">
        <f t="shared" si="0"/>
        <v>30.638599206175808</v>
      </c>
      <c r="H15" s="505">
        <f>NPV($H$11,C15:G15)</f>
        <v>104.67733045357117</v>
      </c>
    </row>
    <row r="16" spans="2:9">
      <c r="B16" s="504" t="s">
        <v>255</v>
      </c>
      <c r="C16" s="503">
        <f>C15-C14</f>
        <v>-1.9421676087389983E-3</v>
      </c>
      <c r="D16" s="502">
        <f>D15-D14</f>
        <v>-3.2658751465355351E-3</v>
      </c>
      <c r="E16" s="502">
        <f>E15-E14</f>
        <v>-18.106641149657044</v>
      </c>
      <c r="F16" s="502">
        <f>F15-F14</f>
        <v>-14.919909480872906</v>
      </c>
      <c r="G16" s="502">
        <f>G15-G14</f>
        <v>2.6885992061758088</v>
      </c>
      <c r="H16" s="501">
        <f>NPV($H$11,C16:G16)</f>
        <v>-22.513120399306139</v>
      </c>
      <c r="I16" s="495" t="s">
        <v>4664</v>
      </c>
    </row>
    <row r="17" spans="2:9">
      <c r="B17" s="499" t="s">
        <v>256</v>
      </c>
      <c r="C17" s="498">
        <f>+(C16/2/30)*0.34</f>
        <v>-1.100561644952099E-5</v>
      </c>
      <c r="D17" s="497">
        <f>+((D16/2/30)+(C16/30))*0.34</f>
        <v>-4.0517858729410014E-5</v>
      </c>
      <c r="E17" s="497">
        <f>((E16/2/30)+(D16/30)+(C16/30))*0.34</f>
        <v>-0.10266332433261637</v>
      </c>
      <c r="F17" s="497">
        <f>((F16/2/30)+(E16/30)+(D16/30)+(C16/30))*0.34</f>
        <v>-0.28981377790561946</v>
      </c>
      <c r="G17" s="497">
        <f>((G16/2/30)+(F16/30)+(E16/30)+(D16/30)+(C16/30))*0.34</f>
        <v>-0.35912453612890305</v>
      </c>
      <c r="H17" s="500">
        <f>NPV($H$11,C17:G17)</f>
        <v>-0.50934768484975723</v>
      </c>
      <c r="I17" s="495" t="s">
        <v>4665</v>
      </c>
    </row>
    <row r="18" spans="2:9">
      <c r="B18" s="499" t="s">
        <v>257</v>
      </c>
      <c r="C18" s="498">
        <v>0</v>
      </c>
      <c r="D18" s="497">
        <v>0</v>
      </c>
      <c r="E18" s="497">
        <v>0</v>
      </c>
      <c r="F18" s="497">
        <v>0</v>
      </c>
      <c r="G18" s="497">
        <f>+SUM(C16:G16)-SUM(C17:G17)/0.34</f>
        <v>-28.132414873455541</v>
      </c>
      <c r="H18" s="496">
        <f>NPV($H$11,C18:G18)</f>
        <v>-17.927718210140775</v>
      </c>
      <c r="I18" s="495" t="s">
        <v>4666</v>
      </c>
    </row>
    <row r="19" spans="2:9">
      <c r="B19" s="828" t="s">
        <v>258</v>
      </c>
      <c r="C19" s="829"/>
      <c r="D19" s="829"/>
      <c r="E19" s="829"/>
      <c r="F19" s="829"/>
      <c r="G19" s="830"/>
      <c r="H19" s="493">
        <f>H16-H17-H18</f>
        <v>-4.0760545043156071</v>
      </c>
      <c r="I19" s="494" t="s">
        <v>4667</v>
      </c>
    </row>
    <row r="20" spans="2:9">
      <c r="B20" s="828" t="s">
        <v>259</v>
      </c>
      <c r="C20" s="829"/>
      <c r="D20" s="829"/>
      <c r="E20" s="829"/>
      <c r="F20" s="829"/>
      <c r="G20" s="830"/>
      <c r="H20" s="493">
        <f>H19/C53*H53</f>
        <v>-6.7860480360858144</v>
      </c>
      <c r="I20" s="494"/>
    </row>
    <row r="21" spans="2:9">
      <c r="B21" s="828" t="s">
        <v>260</v>
      </c>
      <c r="C21" s="829"/>
      <c r="D21" s="829"/>
      <c r="E21" s="829"/>
      <c r="F21" s="829"/>
      <c r="G21" s="830"/>
      <c r="H21" s="493">
        <f>H20*(1+H11)^5</f>
        <v>-10.648757218549859</v>
      </c>
    </row>
    <row r="23" spans="2:9">
      <c r="B23" s="439" t="s">
        <v>4668</v>
      </c>
      <c r="C23" s="492">
        <v>2018</v>
      </c>
      <c r="D23" s="492">
        <v>2019</v>
      </c>
      <c r="E23" s="492">
        <v>2020</v>
      </c>
      <c r="F23" s="492">
        <v>2021</v>
      </c>
      <c r="G23" s="492">
        <v>2022</v>
      </c>
    </row>
    <row r="24" spans="2:9">
      <c r="B24" t="s">
        <v>4669</v>
      </c>
      <c r="C24" s="727">
        <v>145.49740940202648</v>
      </c>
      <c r="D24" s="727">
        <v>53.155884535348008</v>
      </c>
      <c r="E24" s="727">
        <v>36.645207492974478</v>
      </c>
      <c r="F24" s="727">
        <v>14.832733878667828</v>
      </c>
      <c r="G24" s="727">
        <v>26.694798391118777</v>
      </c>
    </row>
    <row r="25" spans="2:9">
      <c r="B25" s="439" t="s">
        <v>4670</v>
      </c>
      <c r="C25" s="492">
        <f>+C24*$C$53/$H$53</f>
        <v>87.39333523808294</v>
      </c>
      <c r="D25" s="492">
        <f>+D24*$C$53/$H$53</f>
        <v>31.928197595865896</v>
      </c>
      <c r="E25" s="492">
        <f>+E24*$C$53/$H$53</f>
        <v>22.011023539626148</v>
      </c>
      <c r="F25" s="492">
        <f>+F24*$C$53/$H$53</f>
        <v>8.9093138474645119</v>
      </c>
      <c r="G25" s="492">
        <f>+G24*$C$53/$H$53</f>
        <v>16.034288682500677</v>
      </c>
    </row>
    <row r="27" spans="2:9" ht="15">
      <c r="B27" s="479" t="s">
        <v>4671</v>
      </c>
      <c r="C27" s="478"/>
      <c r="D27" s="478"/>
      <c r="E27" s="478"/>
      <c r="F27" s="478"/>
      <c r="G27" s="478"/>
      <c r="H27" s="491"/>
    </row>
    <row r="28" spans="2:9">
      <c r="B28" s="476" t="s">
        <v>178</v>
      </c>
      <c r="C28" s="475">
        <v>2018</v>
      </c>
      <c r="D28" s="474">
        <v>2019</v>
      </c>
      <c r="E28" s="474">
        <v>2020</v>
      </c>
      <c r="F28" s="474">
        <v>2021</v>
      </c>
      <c r="G28" s="473">
        <v>2022</v>
      </c>
      <c r="H28" s="472" t="s">
        <v>248</v>
      </c>
    </row>
    <row r="29" spans="2:9">
      <c r="B29" s="471" t="s">
        <v>182</v>
      </c>
      <c r="C29" s="470">
        <v>46278.838929999991</v>
      </c>
      <c r="D29" s="469">
        <v>29570.569090000001</v>
      </c>
      <c r="E29" s="469">
        <v>27624.679470000003</v>
      </c>
      <c r="F29" s="469">
        <v>20860.809409999998</v>
      </c>
      <c r="G29" s="468">
        <v>52926.821750692099</v>
      </c>
      <c r="H29" s="467">
        <f t="shared" ref="H29:H49" si="1">SUM(C29:G29)</f>
        <v>177261.71865069208</v>
      </c>
    </row>
    <row r="30" spans="2:9">
      <c r="B30" s="466" t="s">
        <v>183</v>
      </c>
      <c r="C30" s="464">
        <v>16297.765189999998</v>
      </c>
      <c r="D30" s="463">
        <v>8238.6662399999987</v>
      </c>
      <c r="E30" s="463">
        <v>12563.21543</v>
      </c>
      <c r="F30" s="463">
        <v>7788.7964200000006</v>
      </c>
      <c r="G30" s="462">
        <v>27666.493433491803</v>
      </c>
      <c r="H30" s="461">
        <f t="shared" si="1"/>
        <v>72554.936713491799</v>
      </c>
    </row>
    <row r="31" spans="2:9">
      <c r="B31" s="460" t="s">
        <v>184</v>
      </c>
      <c r="C31" s="459">
        <v>1962.1755399999995</v>
      </c>
      <c r="D31" s="458">
        <v>994.3809500000001</v>
      </c>
      <c r="E31" s="458">
        <v>400.04310000000004</v>
      </c>
      <c r="F31" s="458">
        <v>815.12768000000005</v>
      </c>
      <c r="G31" s="457">
        <v>248.95599999999999</v>
      </c>
      <c r="H31" s="456">
        <f t="shared" si="1"/>
        <v>4420.6832699999995</v>
      </c>
    </row>
    <row r="32" spans="2:9">
      <c r="B32" s="460" t="s">
        <v>185</v>
      </c>
      <c r="C32" s="459">
        <v>12954.134350000002</v>
      </c>
      <c r="D32" s="458">
        <v>5699.5686700000006</v>
      </c>
      <c r="E32" s="458">
        <v>9845.9994600000009</v>
      </c>
      <c r="F32" s="458">
        <v>3484.5323799999987</v>
      </c>
      <c r="G32" s="457">
        <v>19550.136163491799</v>
      </c>
      <c r="H32" s="456">
        <f t="shared" si="1"/>
        <v>51534.371023491796</v>
      </c>
    </row>
    <row r="33" spans="2:8">
      <c r="B33" s="460" t="s">
        <v>186</v>
      </c>
      <c r="C33" s="459">
        <v>972.4405099999999</v>
      </c>
      <c r="D33" s="458">
        <v>1054.3218300000001</v>
      </c>
      <c r="E33" s="458">
        <v>1201.8687300000001</v>
      </c>
      <c r="F33" s="458">
        <v>2940.44686</v>
      </c>
      <c r="G33" s="457">
        <v>3513.3416799999991</v>
      </c>
      <c r="H33" s="456">
        <f t="shared" si="1"/>
        <v>9682.419609999999</v>
      </c>
    </row>
    <row r="34" spans="2:8">
      <c r="B34" s="460" t="s">
        <v>187</v>
      </c>
      <c r="C34" s="459">
        <v>409.01479</v>
      </c>
      <c r="D34" s="458">
        <v>490.39479</v>
      </c>
      <c r="E34" s="458">
        <v>1115.30414</v>
      </c>
      <c r="F34" s="458">
        <v>548.68949999999995</v>
      </c>
      <c r="G34" s="457">
        <v>4354.0595899999998</v>
      </c>
      <c r="H34" s="456">
        <f t="shared" si="1"/>
        <v>6917.46281</v>
      </c>
    </row>
    <row r="35" spans="2:8">
      <c r="B35" s="466" t="s">
        <v>188</v>
      </c>
      <c r="C35" s="464">
        <v>2247.3010199999999</v>
      </c>
      <c r="D35" s="463">
        <v>2190.6447100000005</v>
      </c>
      <c r="E35" s="463">
        <v>1173.3872999999999</v>
      </c>
      <c r="F35" s="463">
        <v>775.87944999999991</v>
      </c>
      <c r="G35" s="462">
        <v>1795.4840902715002</v>
      </c>
      <c r="H35" s="461">
        <f t="shared" si="1"/>
        <v>8182.6965702715006</v>
      </c>
    </row>
    <row r="36" spans="2:8">
      <c r="B36" s="460" t="s">
        <v>189</v>
      </c>
      <c r="C36" s="459">
        <v>2247.3010199999999</v>
      </c>
      <c r="D36" s="458">
        <v>2190.6447100000005</v>
      </c>
      <c r="E36" s="458">
        <v>1173.3872999999999</v>
      </c>
      <c r="F36" s="458">
        <v>775.87944999999991</v>
      </c>
      <c r="G36" s="457">
        <v>1795.4840902715002</v>
      </c>
      <c r="H36" s="456">
        <f t="shared" si="1"/>
        <v>8182.6965702715006</v>
      </c>
    </row>
    <row r="37" spans="2:8">
      <c r="B37" s="460" t="s">
        <v>190</v>
      </c>
      <c r="C37" s="459">
        <v>0</v>
      </c>
      <c r="D37" s="458">
        <v>0</v>
      </c>
      <c r="E37" s="458">
        <v>0</v>
      </c>
      <c r="F37" s="458">
        <v>0</v>
      </c>
      <c r="G37" s="457">
        <v>0</v>
      </c>
      <c r="H37" s="456">
        <f t="shared" si="1"/>
        <v>0</v>
      </c>
    </row>
    <row r="38" spans="2:8">
      <c r="B38" s="460" t="s">
        <v>191</v>
      </c>
      <c r="C38" s="459">
        <v>0</v>
      </c>
      <c r="D38" s="458">
        <v>0</v>
      </c>
      <c r="E38" s="458">
        <v>0</v>
      </c>
      <c r="F38" s="458">
        <v>0</v>
      </c>
      <c r="G38" s="457">
        <v>0</v>
      </c>
      <c r="H38" s="456">
        <f t="shared" si="1"/>
        <v>0</v>
      </c>
    </row>
    <row r="39" spans="2:8">
      <c r="B39" s="465" t="s">
        <v>4672</v>
      </c>
      <c r="C39" s="464">
        <v>12549.377419999999</v>
      </c>
      <c r="D39" s="463">
        <v>5019.5969799999993</v>
      </c>
      <c r="E39" s="463">
        <v>2785.8133799999996</v>
      </c>
      <c r="F39" s="463">
        <v>2780.0443300000006</v>
      </c>
      <c r="G39" s="462">
        <v>4133.7148140128002</v>
      </c>
      <c r="H39" s="461">
        <f t="shared" si="1"/>
        <v>27268.5469240128</v>
      </c>
    </row>
    <row r="40" spans="2:8">
      <c r="B40" s="465" t="s">
        <v>193</v>
      </c>
      <c r="C40" s="464">
        <v>2829.1052400000003</v>
      </c>
      <c r="D40" s="463">
        <v>3853.7492400000001</v>
      </c>
      <c r="E40" s="463">
        <v>3269.4978300000002</v>
      </c>
      <c r="F40" s="463">
        <v>2214.5783199999996</v>
      </c>
      <c r="G40" s="462">
        <v>10224.959359999999</v>
      </c>
      <c r="H40" s="461">
        <f t="shared" si="1"/>
        <v>22391.889989999996</v>
      </c>
    </row>
    <row r="41" spans="2:8">
      <c r="B41" s="465" t="s">
        <v>194</v>
      </c>
      <c r="C41" s="464">
        <v>12355.290059999999</v>
      </c>
      <c r="D41" s="463">
        <v>10267.911919999999</v>
      </c>
      <c r="E41" s="463">
        <v>7832.7655300000006</v>
      </c>
      <c r="F41" s="463">
        <v>7301.49089</v>
      </c>
      <c r="G41" s="462">
        <v>9106.1700529160007</v>
      </c>
      <c r="H41" s="461">
        <f t="shared" si="1"/>
        <v>46863.628452915997</v>
      </c>
    </row>
    <row r="42" spans="2:8">
      <c r="B42" s="460" t="s">
        <v>195</v>
      </c>
      <c r="C42" s="459">
        <v>6267.4271600000002</v>
      </c>
      <c r="D42" s="458">
        <v>5812.8722699999989</v>
      </c>
      <c r="E42" s="458">
        <v>5264.0911799999994</v>
      </c>
      <c r="F42" s="458">
        <v>5145.3052099999986</v>
      </c>
      <c r="G42" s="457">
        <v>5917.6738544846994</v>
      </c>
      <c r="H42" s="456">
        <f t="shared" si="1"/>
        <v>28407.369674484697</v>
      </c>
    </row>
    <row r="43" spans="2:8">
      <c r="B43" s="460" t="s">
        <v>196</v>
      </c>
      <c r="C43" s="459">
        <v>3601.4603199999997</v>
      </c>
      <c r="D43" s="458">
        <v>561.63813000000005</v>
      </c>
      <c r="E43" s="458">
        <v>618.72149999999999</v>
      </c>
      <c r="F43" s="458">
        <v>453.90287999999998</v>
      </c>
      <c r="G43" s="457">
        <v>294.65381000000002</v>
      </c>
      <c r="H43" s="456">
        <f t="shared" si="1"/>
        <v>5530.3766399999986</v>
      </c>
    </row>
    <row r="44" spans="2:8">
      <c r="B44" s="460" t="s">
        <v>197</v>
      </c>
      <c r="C44" s="459">
        <v>0</v>
      </c>
      <c r="D44" s="458">
        <v>0</v>
      </c>
      <c r="E44" s="458">
        <v>0</v>
      </c>
      <c r="F44" s="458">
        <v>0</v>
      </c>
      <c r="G44" s="457">
        <v>100</v>
      </c>
      <c r="H44" s="456">
        <f t="shared" si="1"/>
        <v>100</v>
      </c>
    </row>
    <row r="45" spans="2:8">
      <c r="B45" s="460" t="s">
        <v>198</v>
      </c>
      <c r="C45" s="459">
        <v>2232.8462</v>
      </c>
      <c r="D45" s="458">
        <v>3302.5182100000002</v>
      </c>
      <c r="E45" s="458">
        <v>1772.0563000000002</v>
      </c>
      <c r="F45" s="458">
        <v>1688.2828000000002</v>
      </c>
      <c r="G45" s="457">
        <v>2285.3155310636998</v>
      </c>
      <c r="H45" s="456">
        <f t="shared" si="1"/>
        <v>11281.019041063701</v>
      </c>
    </row>
    <row r="46" spans="2:8">
      <c r="B46" s="460" t="s">
        <v>199</v>
      </c>
      <c r="C46" s="459">
        <v>18.432260000000003</v>
      </c>
      <c r="D46" s="458">
        <v>106.7392</v>
      </c>
      <c r="E46" s="458">
        <v>177.89654999999999</v>
      </c>
      <c r="F46" s="458">
        <v>14</v>
      </c>
      <c r="G46" s="457">
        <v>108.52685736760002</v>
      </c>
      <c r="H46" s="456">
        <f t="shared" si="1"/>
        <v>425.59486736759999</v>
      </c>
    </row>
    <row r="47" spans="2:8">
      <c r="B47" s="460" t="s">
        <v>200</v>
      </c>
      <c r="C47" s="459">
        <v>0</v>
      </c>
      <c r="D47" s="458">
        <v>0</v>
      </c>
      <c r="E47" s="458">
        <v>0</v>
      </c>
      <c r="F47" s="458">
        <v>0</v>
      </c>
      <c r="G47" s="457">
        <v>0</v>
      </c>
      <c r="H47" s="456">
        <f t="shared" si="1"/>
        <v>0</v>
      </c>
    </row>
    <row r="48" spans="2:8">
      <c r="B48" s="460" t="s">
        <v>201</v>
      </c>
      <c r="C48" s="459">
        <v>235.12412</v>
      </c>
      <c r="D48" s="458">
        <v>484.14410999999984</v>
      </c>
      <c r="E48" s="458">
        <v>0</v>
      </c>
      <c r="F48" s="458">
        <v>0</v>
      </c>
      <c r="G48" s="457">
        <v>400</v>
      </c>
      <c r="H48" s="456">
        <f t="shared" si="1"/>
        <v>1119.2682299999999</v>
      </c>
    </row>
    <row r="49" spans="2:16">
      <c r="B49" s="455" t="s">
        <v>202</v>
      </c>
      <c r="C49" s="454">
        <v>253.935</v>
      </c>
      <c r="D49" s="453">
        <v>328.52184999999997</v>
      </c>
      <c r="E49" s="453">
        <v>0</v>
      </c>
      <c r="F49" s="453">
        <v>0</v>
      </c>
      <c r="G49" s="452">
        <v>0</v>
      </c>
      <c r="H49" s="451">
        <f t="shared" si="1"/>
        <v>582.45685000000003</v>
      </c>
    </row>
    <row r="50" spans="2:16">
      <c r="B50" s="450" t="s">
        <v>4673</v>
      </c>
      <c r="C50" s="449">
        <f>SUM(C49,C29)</f>
        <v>46532.773929999988</v>
      </c>
      <c r="D50" s="448">
        <f>SUM(D49,D29)</f>
        <v>29899.090940000002</v>
      </c>
      <c r="E50" s="448">
        <f>SUM(E49,E29)</f>
        <v>27624.679470000003</v>
      </c>
      <c r="F50" s="448">
        <f>SUM(F49,F29)</f>
        <v>20860.809409999998</v>
      </c>
      <c r="G50" s="447">
        <v>52926.821750692099</v>
      </c>
      <c r="H50" s="446">
        <f>SUM(H49,H29)</f>
        <v>177844.17550069207</v>
      </c>
    </row>
    <row r="51" spans="2:16">
      <c r="B51" s="485"/>
      <c r="C51" s="485"/>
      <c r="D51" s="485"/>
      <c r="E51" s="485"/>
      <c r="F51" s="485"/>
      <c r="G51" s="485"/>
      <c r="H51" s="485"/>
    </row>
    <row r="52" spans="2:16">
      <c r="B52" s="490" t="s">
        <v>4674</v>
      </c>
      <c r="C52" s="490">
        <v>42705</v>
      </c>
      <c r="D52" s="489">
        <v>43070</v>
      </c>
      <c r="E52" s="489">
        <v>43435</v>
      </c>
      <c r="F52" s="489">
        <v>43800</v>
      </c>
      <c r="G52" s="489">
        <v>44166</v>
      </c>
      <c r="H52" s="488">
        <v>2021</v>
      </c>
      <c r="I52" s="488">
        <v>2022</v>
      </c>
    </row>
    <row r="53" spans="2:16">
      <c r="B53" s="487" t="s">
        <v>4675</v>
      </c>
      <c r="C53" s="487">
        <v>661.30399999999997</v>
      </c>
      <c r="D53" s="487">
        <v>657.85900000000004</v>
      </c>
      <c r="E53" s="487">
        <v>707.44100000000003</v>
      </c>
      <c r="F53" s="487">
        <v>759.11199999999997</v>
      </c>
      <c r="G53" s="487">
        <v>934.75800000000004</v>
      </c>
      <c r="H53" s="487">
        <v>1100.9766198426225</v>
      </c>
      <c r="I53" s="486">
        <v>1142.3733407487052</v>
      </c>
    </row>
    <row r="54" spans="2:16">
      <c r="B54" s="485"/>
      <c r="C54" s="485"/>
      <c r="D54" s="485"/>
      <c r="E54" s="485"/>
      <c r="F54" s="485"/>
      <c r="G54" s="485"/>
      <c r="H54" s="485"/>
    </row>
    <row r="55" spans="2:16">
      <c r="B55" s="485"/>
      <c r="C55" s="485"/>
      <c r="D55" s="485"/>
      <c r="E55" s="485"/>
      <c r="F55" s="485"/>
      <c r="G55" s="485"/>
      <c r="H55" s="485"/>
    </row>
    <row r="56" spans="2:16" ht="15">
      <c r="B56" s="479" t="s">
        <v>4676</v>
      </c>
      <c r="C56" s="484"/>
      <c r="D56" s="484"/>
      <c r="E56" s="484"/>
      <c r="F56" s="484"/>
      <c r="G56" s="484"/>
      <c r="H56" s="483"/>
      <c r="J56" t="s">
        <v>4677</v>
      </c>
    </row>
    <row r="57" spans="2:16">
      <c r="B57" s="476" t="s">
        <v>178</v>
      </c>
      <c r="C57" s="475">
        <v>2018</v>
      </c>
      <c r="D57" s="474">
        <v>2019</v>
      </c>
      <c r="E57" s="474">
        <v>2020</v>
      </c>
      <c r="F57" s="474">
        <v>2021</v>
      </c>
      <c r="G57" s="473">
        <v>2022</v>
      </c>
      <c r="H57" s="472" t="s">
        <v>248</v>
      </c>
      <c r="J57" s="475">
        <v>2018</v>
      </c>
      <c r="K57" s="474">
        <v>2019</v>
      </c>
      <c r="L57" s="474">
        <v>2020</v>
      </c>
      <c r="M57" s="474">
        <v>2021</v>
      </c>
      <c r="N57" s="482">
        <v>2022</v>
      </c>
      <c r="P57" t="s">
        <v>181</v>
      </c>
    </row>
    <row r="58" spans="2:16">
      <c r="B58" s="471" t="s">
        <v>182</v>
      </c>
      <c r="C58" s="470">
        <f t="shared" ref="C58:C79" si="2">C29/E$53*$C$53</f>
        <v>43260.683646784273</v>
      </c>
      <c r="D58" s="469">
        <f t="shared" ref="D58:D79" si="3">D29/F$53*$C$53</f>
        <v>25760.540765385558</v>
      </c>
      <c r="E58" s="469">
        <f t="shared" ref="E58:E79" si="4">E29/G$53*$C$53</f>
        <v>19543.358850342956</v>
      </c>
      <c r="F58" s="469">
        <f t="shared" ref="F58:F79" si="5">F29/H$53*$C$53</f>
        <v>12530.090519127092</v>
      </c>
      <c r="G58" s="468">
        <f t="shared" ref="G58:G79" si="6">G29/I$53*$C$53</f>
        <v>30638.599206175808</v>
      </c>
      <c r="H58" s="467">
        <f t="shared" ref="H58:H78" si="7">SUM(C58:G58)</f>
        <v>131733.27298781567</v>
      </c>
      <c r="J58" s="480">
        <f t="shared" ref="J58:J79" si="8">+C58/C$79</f>
        <v>0.99454287852295264</v>
      </c>
      <c r="K58" s="480">
        <f t="shared" ref="K58:K79" si="9">+D58/D$79</f>
        <v>0.98901231309476056</v>
      </c>
      <c r="L58" s="480">
        <f t="shared" ref="L58:L79" si="10">+E58/E$79</f>
        <v>1</v>
      </c>
      <c r="M58" s="480">
        <f t="shared" ref="M58:M79" si="11">+F58/F$79</f>
        <v>1</v>
      </c>
      <c r="N58" s="480">
        <f t="shared" ref="N58:N79" si="12">+G58/G$79</f>
        <v>1</v>
      </c>
      <c r="P58" s="552">
        <f>+AVERAGE(J58:N58)</f>
        <v>0.99671103832354258</v>
      </c>
    </row>
    <row r="59" spans="2:16">
      <c r="B59" s="466" t="s">
        <v>183</v>
      </c>
      <c r="C59" s="464">
        <f t="shared" si="2"/>
        <v>15234.877977397065</v>
      </c>
      <c r="D59" s="463">
        <f t="shared" si="3"/>
        <v>7177.1529618514251</v>
      </c>
      <c r="E59" s="463">
        <f t="shared" si="4"/>
        <v>8887.9738036162507</v>
      </c>
      <c r="F59" s="463">
        <f t="shared" si="5"/>
        <v>4678.3575008776734</v>
      </c>
      <c r="G59" s="462">
        <f t="shared" si="6"/>
        <v>16015.747322631662</v>
      </c>
      <c r="H59" s="461">
        <f t="shared" si="7"/>
        <v>51994.109566374085</v>
      </c>
      <c r="J59" s="481">
        <f t="shared" si="8"/>
        <v>0.35024271741282809</v>
      </c>
      <c r="K59" s="481">
        <f t="shared" si="9"/>
        <v>0.27554905453590345</v>
      </c>
      <c r="L59" s="481">
        <f t="shared" si="10"/>
        <v>0.45478230593203689</v>
      </c>
      <c r="M59" s="481">
        <f t="shared" si="11"/>
        <v>0.37336980876045506</v>
      </c>
      <c r="N59" s="481">
        <f t="shared" si="12"/>
        <v>0.52273105617058935</v>
      </c>
      <c r="P59" s="552">
        <f t="shared" ref="P59:P79" si="13">+AVERAGE(J59:N59)</f>
        <v>0.3953349885623626</v>
      </c>
    </row>
    <row r="60" spans="2:16">
      <c r="B60" s="460" t="s">
        <v>184</v>
      </c>
      <c r="C60" s="459">
        <f t="shared" si="2"/>
        <v>1834.2088362197831</v>
      </c>
      <c r="D60" s="458">
        <f t="shared" si="3"/>
        <v>866.25965570139851</v>
      </c>
      <c r="E60" s="458">
        <f t="shared" si="4"/>
        <v>283.01453659920537</v>
      </c>
      <c r="F60" s="458">
        <f t="shared" si="5"/>
        <v>489.60821290807547</v>
      </c>
      <c r="G60" s="457">
        <f t="shared" si="6"/>
        <v>144.11715745755998</v>
      </c>
      <c r="H60" s="456">
        <f t="shared" si="7"/>
        <v>3617.2083988860222</v>
      </c>
      <c r="J60" s="481">
        <f t="shared" si="8"/>
        <v>4.2167603052242972E-2</v>
      </c>
      <c r="K60" s="481">
        <f t="shared" si="9"/>
        <v>3.325789911122963E-2</v>
      </c>
      <c r="L60" s="481">
        <f t="shared" si="10"/>
        <v>1.448136621583034E-2</v>
      </c>
      <c r="M60" s="481">
        <f t="shared" si="11"/>
        <v>3.9074595044680013E-2</v>
      </c>
      <c r="N60" s="481">
        <f t="shared" si="12"/>
        <v>4.7037776266386994E-3</v>
      </c>
      <c r="P60" s="552">
        <f t="shared" si="13"/>
        <v>2.673704821012433E-2</v>
      </c>
    </row>
    <row r="61" spans="2:16">
      <c r="B61" s="460" t="s">
        <v>185</v>
      </c>
      <c r="C61" s="459">
        <f t="shared" si="2"/>
        <v>12109.307860574099</v>
      </c>
      <c r="D61" s="458">
        <f t="shared" si="3"/>
        <v>4965.2061352549827</v>
      </c>
      <c r="E61" s="458">
        <f t="shared" si="4"/>
        <v>6965.651887328956</v>
      </c>
      <c r="F61" s="458">
        <f t="shared" si="5"/>
        <v>2092.9919486872564</v>
      </c>
      <c r="G61" s="457">
        <f t="shared" si="6"/>
        <v>11317.301257212863</v>
      </c>
      <c r="H61" s="456">
        <f t="shared" si="7"/>
        <v>37450.45908905816</v>
      </c>
      <c r="J61" s="481">
        <f t="shared" si="8"/>
        <v>0.2783873226532147</v>
      </c>
      <c r="K61" s="481">
        <f t="shared" si="9"/>
        <v>0.1906268214454282</v>
      </c>
      <c r="L61" s="481">
        <f t="shared" si="10"/>
        <v>0.35642040555412097</v>
      </c>
      <c r="M61" s="481">
        <f t="shared" si="11"/>
        <v>0.16703725687315021</v>
      </c>
      <c r="N61" s="481">
        <f t="shared" si="12"/>
        <v>0.36938050532452671</v>
      </c>
      <c r="P61" s="552">
        <f t="shared" si="13"/>
        <v>0.27237046237008816</v>
      </c>
    </row>
    <row r="62" spans="2:16">
      <c r="B62" s="460" t="s">
        <v>186</v>
      </c>
      <c r="C62" s="459">
        <f t="shared" si="2"/>
        <v>909.02110426882234</v>
      </c>
      <c r="D62" s="458">
        <f t="shared" si="3"/>
        <v>918.47743609153861</v>
      </c>
      <c r="E62" s="458">
        <f t="shared" si="4"/>
        <v>850.27418714139912</v>
      </c>
      <c r="F62" s="458">
        <f t="shared" si="5"/>
        <v>1766.1857983718107</v>
      </c>
      <c r="G62" s="457">
        <f t="shared" si="6"/>
        <v>2033.824515572102</v>
      </c>
      <c r="H62" s="456">
        <f t="shared" si="7"/>
        <v>6477.783041445673</v>
      </c>
      <c r="J62" s="481">
        <f t="shared" si="8"/>
        <v>2.0897969922507913E-2</v>
      </c>
      <c r="K62" s="481">
        <f t="shared" si="9"/>
        <v>3.526267176870896E-2</v>
      </c>
      <c r="L62" s="481">
        <f t="shared" si="10"/>
        <v>4.3507065169940226E-2</v>
      </c>
      <c r="M62" s="481">
        <f t="shared" si="11"/>
        <v>0.14095554981631944</v>
      </c>
      <c r="N62" s="481">
        <f t="shared" si="12"/>
        <v>6.6381119511565168E-2</v>
      </c>
      <c r="P62" s="552">
        <f t="shared" si="13"/>
        <v>6.1400875237808336E-2</v>
      </c>
    </row>
    <row r="63" spans="2:16">
      <c r="B63" s="460" t="s">
        <v>187</v>
      </c>
      <c r="C63" s="459">
        <f t="shared" si="2"/>
        <v>382.34017633436571</v>
      </c>
      <c r="D63" s="458">
        <f t="shared" si="3"/>
        <v>427.20973480350727</v>
      </c>
      <c r="E63" s="458">
        <f t="shared" si="4"/>
        <v>789.03319254669111</v>
      </c>
      <c r="F63" s="458">
        <f t="shared" si="5"/>
        <v>329.57154091053008</v>
      </c>
      <c r="G63" s="457">
        <f t="shared" si="6"/>
        <v>2520.5043923891335</v>
      </c>
      <c r="H63" s="456">
        <f t="shared" si="7"/>
        <v>4448.6590369842279</v>
      </c>
      <c r="J63" s="481">
        <f t="shared" si="8"/>
        <v>8.7898217848625948E-3</v>
      </c>
      <c r="K63" s="481">
        <f t="shared" si="9"/>
        <v>1.6401662210536759E-2</v>
      </c>
      <c r="L63" s="481">
        <f t="shared" si="10"/>
        <v>4.0373468992145368E-2</v>
      </c>
      <c r="M63" s="481">
        <f t="shared" si="11"/>
        <v>2.6302407026305319E-2</v>
      </c>
      <c r="N63" s="481">
        <f t="shared" si="12"/>
        <v>8.2265653707858696E-2</v>
      </c>
      <c r="P63" s="552">
        <f t="shared" si="13"/>
        <v>3.4826602744341753E-2</v>
      </c>
    </row>
    <row r="64" spans="2:16">
      <c r="B64" s="466" t="s">
        <v>188</v>
      </c>
      <c r="C64" s="464">
        <f t="shared" si="2"/>
        <v>2100.7393602153111</v>
      </c>
      <c r="D64" s="463">
        <f t="shared" si="3"/>
        <v>1908.3904737401601</v>
      </c>
      <c r="E64" s="463">
        <f t="shared" si="4"/>
        <v>830.12471146457142</v>
      </c>
      <c r="F64" s="463">
        <f t="shared" si="5"/>
        <v>466.03367824118106</v>
      </c>
      <c r="G64" s="462">
        <f t="shared" si="6"/>
        <v>1039.3807072342167</v>
      </c>
      <c r="H64" s="461">
        <f t="shared" si="7"/>
        <v>6344.668930895441</v>
      </c>
      <c r="J64" s="481">
        <f t="shared" si="8"/>
        <v>4.8295015108719967E-2</v>
      </c>
      <c r="K64" s="481">
        <f t="shared" si="9"/>
        <v>7.3267936954875199E-2</v>
      </c>
      <c r="L64" s="481">
        <f t="shared" si="10"/>
        <v>4.2476051216242393E-2</v>
      </c>
      <c r="M64" s="481">
        <f t="shared" si="11"/>
        <v>3.7193161336686598E-2</v>
      </c>
      <c r="N64" s="481">
        <f t="shared" si="12"/>
        <v>3.392389776829971E-2</v>
      </c>
      <c r="P64" s="552">
        <f t="shared" si="13"/>
        <v>4.7031212476964776E-2</v>
      </c>
    </row>
    <row r="65" spans="2:16">
      <c r="B65" s="460" t="s">
        <v>189</v>
      </c>
      <c r="C65" s="459">
        <f t="shared" si="2"/>
        <v>2100.7393602153111</v>
      </c>
      <c r="D65" s="458">
        <f t="shared" si="3"/>
        <v>1908.3904737401601</v>
      </c>
      <c r="E65" s="458">
        <f t="shared" si="4"/>
        <v>830.12471146457142</v>
      </c>
      <c r="F65" s="458">
        <f t="shared" si="5"/>
        <v>466.03367824118106</v>
      </c>
      <c r="G65" s="457">
        <f t="shared" si="6"/>
        <v>1039.3807072342167</v>
      </c>
      <c r="H65" s="456">
        <f t="shared" si="7"/>
        <v>6344.668930895441</v>
      </c>
      <c r="J65" s="481">
        <f t="shared" si="8"/>
        <v>4.8295015108719967E-2</v>
      </c>
      <c r="K65" s="481">
        <f t="shared" si="9"/>
        <v>7.3267936954875199E-2</v>
      </c>
      <c r="L65" s="481">
        <f t="shared" si="10"/>
        <v>4.2476051216242393E-2</v>
      </c>
      <c r="M65" s="481">
        <f t="shared" si="11"/>
        <v>3.7193161336686598E-2</v>
      </c>
      <c r="N65" s="481">
        <f t="shared" si="12"/>
        <v>3.392389776829971E-2</v>
      </c>
      <c r="P65" s="552">
        <f t="shared" si="13"/>
        <v>4.7031212476964776E-2</v>
      </c>
    </row>
    <row r="66" spans="2:16">
      <c r="B66" s="460" t="s">
        <v>190</v>
      </c>
      <c r="C66" s="459">
        <f t="shared" si="2"/>
        <v>0</v>
      </c>
      <c r="D66" s="458">
        <f t="shared" si="3"/>
        <v>0</v>
      </c>
      <c r="E66" s="458">
        <f t="shared" si="4"/>
        <v>0</v>
      </c>
      <c r="F66" s="458">
        <f t="shared" si="5"/>
        <v>0</v>
      </c>
      <c r="G66" s="457">
        <f t="shared" si="6"/>
        <v>0</v>
      </c>
      <c r="H66" s="456">
        <f t="shared" si="7"/>
        <v>0</v>
      </c>
      <c r="J66" s="481">
        <f t="shared" si="8"/>
        <v>0</v>
      </c>
      <c r="K66" s="481">
        <f t="shared" si="9"/>
        <v>0</v>
      </c>
      <c r="L66" s="481">
        <f t="shared" si="10"/>
        <v>0</v>
      </c>
      <c r="M66" s="481">
        <f t="shared" si="11"/>
        <v>0</v>
      </c>
      <c r="N66" s="481">
        <f t="shared" si="12"/>
        <v>0</v>
      </c>
      <c r="P66" s="552">
        <f t="shared" si="13"/>
        <v>0</v>
      </c>
    </row>
    <row r="67" spans="2:16">
      <c r="B67" s="460" t="s">
        <v>191</v>
      </c>
      <c r="C67" s="459">
        <f t="shared" si="2"/>
        <v>0</v>
      </c>
      <c r="D67" s="458">
        <f t="shared" si="3"/>
        <v>0</v>
      </c>
      <c r="E67" s="458">
        <f t="shared" si="4"/>
        <v>0</v>
      </c>
      <c r="F67" s="458">
        <f t="shared" si="5"/>
        <v>0</v>
      </c>
      <c r="G67" s="457">
        <f t="shared" si="6"/>
        <v>0</v>
      </c>
      <c r="H67" s="456">
        <f t="shared" si="7"/>
        <v>0</v>
      </c>
      <c r="J67" s="481">
        <f t="shared" si="8"/>
        <v>0</v>
      </c>
      <c r="K67" s="481">
        <f t="shared" si="9"/>
        <v>0</v>
      </c>
      <c r="L67" s="481">
        <f t="shared" si="10"/>
        <v>0</v>
      </c>
      <c r="M67" s="481">
        <f t="shared" si="11"/>
        <v>0</v>
      </c>
      <c r="N67" s="481">
        <f t="shared" si="12"/>
        <v>0</v>
      </c>
      <c r="P67" s="552">
        <f t="shared" si="13"/>
        <v>0</v>
      </c>
    </row>
    <row r="68" spans="2:16">
      <c r="B68" s="465" t="s">
        <v>192</v>
      </c>
      <c r="C68" s="464">
        <f t="shared" si="2"/>
        <v>11730.947860465649</v>
      </c>
      <c r="D68" s="463">
        <f t="shared" si="3"/>
        <v>4372.8455896651867</v>
      </c>
      <c r="E68" s="463">
        <f t="shared" si="4"/>
        <v>1970.8518476948254</v>
      </c>
      <c r="F68" s="463">
        <f t="shared" si="5"/>
        <v>1669.8396700459591</v>
      </c>
      <c r="G68" s="462">
        <f t="shared" si="6"/>
        <v>2392.9498736151409</v>
      </c>
      <c r="H68" s="461">
        <f t="shared" si="7"/>
        <v>22137.43484148676</v>
      </c>
      <c r="J68" s="481">
        <f t="shared" si="8"/>
        <v>0.26968900325775191</v>
      </c>
      <c r="K68" s="481">
        <f t="shared" si="9"/>
        <v>0.16788460191224791</v>
      </c>
      <c r="L68" s="481">
        <f t="shared" si="10"/>
        <v>0.10084509335304151</v>
      </c>
      <c r="M68" s="481">
        <f t="shared" si="11"/>
        <v>0.13326636926500737</v>
      </c>
      <c r="N68" s="481">
        <f t="shared" si="12"/>
        <v>7.8102456888198571E-2</v>
      </c>
      <c r="P68" s="552">
        <f t="shared" si="13"/>
        <v>0.14995750493524945</v>
      </c>
    </row>
    <row r="69" spans="2:16">
      <c r="B69" s="465" t="s">
        <v>193</v>
      </c>
      <c r="C69" s="464">
        <f t="shared" si="2"/>
        <v>2644.6002021835884</v>
      </c>
      <c r="D69" s="463">
        <f t="shared" si="3"/>
        <v>3357.2118309405728</v>
      </c>
      <c r="E69" s="463">
        <f t="shared" si="4"/>
        <v>2313.0393031889753</v>
      </c>
      <c r="F69" s="463">
        <f t="shared" si="5"/>
        <v>1330.1912819353256</v>
      </c>
      <c r="G69" s="462">
        <f t="shared" si="6"/>
        <v>5919.0864172073443</v>
      </c>
      <c r="H69" s="461">
        <f t="shared" si="7"/>
        <v>15564.129035455804</v>
      </c>
      <c r="J69" s="481">
        <f t="shared" si="8"/>
        <v>6.0798121432774875E-2</v>
      </c>
      <c r="K69" s="481">
        <f t="shared" si="9"/>
        <v>0.12889185319157398</v>
      </c>
      <c r="L69" s="481">
        <f t="shared" si="10"/>
        <v>0.11835423587631586</v>
      </c>
      <c r="M69" s="481">
        <f t="shared" si="11"/>
        <v>0.10615975039484338</v>
      </c>
      <c r="N69" s="481">
        <f t="shared" si="12"/>
        <v>0.19319050382741509</v>
      </c>
      <c r="P69" s="552">
        <f t="shared" si="13"/>
        <v>0.12147889294458465</v>
      </c>
    </row>
    <row r="70" spans="2:16">
      <c r="B70" s="465" t="s">
        <v>194</v>
      </c>
      <c r="C70" s="464">
        <f t="shared" si="2"/>
        <v>11549.518246522663</v>
      </c>
      <c r="D70" s="463">
        <f t="shared" si="3"/>
        <v>8944.9399091882078</v>
      </c>
      <c r="E70" s="463">
        <f t="shared" si="4"/>
        <v>5541.3691843783317</v>
      </c>
      <c r="F70" s="463">
        <f t="shared" si="5"/>
        <v>4385.6563749834786</v>
      </c>
      <c r="G70" s="462">
        <f t="shared" si="6"/>
        <v>5271.4348854874461</v>
      </c>
      <c r="H70" s="461">
        <f t="shared" si="7"/>
        <v>35692.918600560122</v>
      </c>
      <c r="J70" s="481">
        <f t="shared" si="8"/>
        <v>0.26551802131087787</v>
      </c>
      <c r="K70" s="481">
        <f t="shared" si="9"/>
        <v>0.34341886650015979</v>
      </c>
      <c r="L70" s="481">
        <f t="shared" si="10"/>
        <v>0.28354231362236326</v>
      </c>
      <c r="M70" s="481">
        <f t="shared" si="11"/>
        <v>0.35000995150743769</v>
      </c>
      <c r="N70" s="481">
        <f t="shared" si="12"/>
        <v>0.17205208534549732</v>
      </c>
      <c r="P70" s="552">
        <f t="shared" si="13"/>
        <v>0.28290824765726719</v>
      </c>
    </row>
    <row r="71" spans="2:16">
      <c r="B71" s="460" t="s">
        <v>195</v>
      </c>
      <c r="C71" s="459">
        <f t="shared" si="2"/>
        <v>5858.6859548946695</v>
      </c>
      <c r="D71" s="458">
        <f t="shared" si="3"/>
        <v>5063.9111009180197</v>
      </c>
      <c r="E71" s="458">
        <f t="shared" si="4"/>
        <v>3724.1345393125484</v>
      </c>
      <c r="F71" s="458">
        <f t="shared" si="5"/>
        <v>3090.5387591974659</v>
      </c>
      <c r="G71" s="457">
        <f t="shared" si="6"/>
        <v>3425.6588902025155</v>
      </c>
      <c r="H71" s="456">
        <f t="shared" si="7"/>
        <v>21162.929244525218</v>
      </c>
      <c r="J71" s="481">
        <f t="shared" si="8"/>
        <v>0.13468844925145004</v>
      </c>
      <c r="K71" s="481">
        <f t="shared" si="9"/>
        <v>0.1944163547201144</v>
      </c>
      <c r="L71" s="481">
        <f t="shared" si="10"/>
        <v>0.19055754785197507</v>
      </c>
      <c r="M71" s="481">
        <f t="shared" si="11"/>
        <v>0.24664935616225445</v>
      </c>
      <c r="N71" s="481">
        <f t="shared" si="12"/>
        <v>0.11180860022843365</v>
      </c>
      <c r="P71" s="552">
        <f t="shared" si="13"/>
        <v>0.17562406164284552</v>
      </c>
    </row>
    <row r="72" spans="2:16">
      <c r="B72" s="460" t="s">
        <v>196</v>
      </c>
      <c r="C72" s="459">
        <f t="shared" si="2"/>
        <v>3366.5847971170451</v>
      </c>
      <c r="D72" s="458">
        <f t="shared" si="3"/>
        <v>489.27370654332964</v>
      </c>
      <c r="E72" s="458">
        <f t="shared" si="4"/>
        <v>437.72078210189159</v>
      </c>
      <c r="F72" s="458">
        <f t="shared" si="5"/>
        <v>272.63775156136103</v>
      </c>
      <c r="G72" s="457">
        <f t="shared" si="6"/>
        <v>170.57098254808068</v>
      </c>
      <c r="H72" s="456">
        <f t="shared" si="7"/>
        <v>4736.7880198717085</v>
      </c>
      <c r="J72" s="481">
        <f t="shared" si="8"/>
        <v>7.7396209506395114E-2</v>
      </c>
      <c r="K72" s="481">
        <f t="shared" si="9"/>
        <v>1.8784455056746283E-2</v>
      </c>
      <c r="L72" s="481">
        <f t="shared" si="10"/>
        <v>2.2397418245953676E-2</v>
      </c>
      <c r="M72" s="481">
        <f t="shared" si="11"/>
        <v>2.1758641818682912E-2</v>
      </c>
      <c r="N72" s="481">
        <f t="shared" si="12"/>
        <v>5.5671925925940757E-3</v>
      </c>
      <c r="P72" s="552">
        <f t="shared" si="13"/>
        <v>2.9180783444074414E-2</v>
      </c>
    </row>
    <row r="73" spans="2:16">
      <c r="B73" s="460" t="s">
        <v>197</v>
      </c>
      <c r="C73" s="459">
        <f t="shared" si="2"/>
        <v>0</v>
      </c>
      <c r="D73" s="458">
        <f t="shared" si="3"/>
        <v>0</v>
      </c>
      <c r="E73" s="458">
        <f t="shared" si="4"/>
        <v>0</v>
      </c>
      <c r="F73" s="458">
        <f t="shared" si="5"/>
        <v>0</v>
      </c>
      <c r="G73" s="457">
        <f t="shared" si="6"/>
        <v>57.888605800848346</v>
      </c>
      <c r="H73" s="456">
        <f t="shared" si="7"/>
        <v>57.888605800848346</v>
      </c>
      <c r="J73" s="481">
        <f t="shared" si="8"/>
        <v>0</v>
      </c>
      <c r="K73" s="481">
        <f t="shared" si="9"/>
        <v>0</v>
      </c>
      <c r="L73" s="481">
        <f t="shared" si="10"/>
        <v>0</v>
      </c>
      <c r="M73" s="481">
        <f t="shared" si="11"/>
        <v>0</v>
      </c>
      <c r="N73" s="481">
        <f t="shared" si="12"/>
        <v>1.8894011900250245E-3</v>
      </c>
      <c r="P73" s="552">
        <f t="shared" si="13"/>
        <v>3.778802380050049E-4</v>
      </c>
    </row>
    <row r="74" spans="2:16">
      <c r="B74" s="460" t="s">
        <v>198</v>
      </c>
      <c r="C74" s="459">
        <f t="shared" si="2"/>
        <v>2087.2272365395838</v>
      </c>
      <c r="D74" s="458">
        <f t="shared" si="3"/>
        <v>2877.0043186589596</v>
      </c>
      <c r="E74" s="458">
        <f t="shared" si="4"/>
        <v>1253.6591496571305</v>
      </c>
      <c r="F74" s="458">
        <f t="shared" si="5"/>
        <v>1014.0707337915967</v>
      </c>
      <c r="G74" s="457">
        <f t="shared" si="6"/>
        <v>1322.9372990830288</v>
      </c>
      <c r="H74" s="456">
        <f t="shared" si="7"/>
        <v>8554.8987377302983</v>
      </c>
      <c r="J74" s="481">
        <f t="shared" si="8"/>
        <v>4.798437770675152E-2</v>
      </c>
      <c r="K74" s="481">
        <f t="shared" si="9"/>
        <v>0.11045547226259581</v>
      </c>
      <c r="L74" s="481">
        <f t="shared" si="10"/>
        <v>6.4147578686819778E-2</v>
      </c>
      <c r="M74" s="481">
        <f t="shared" si="11"/>
        <v>8.0930838627512311E-2</v>
      </c>
      <c r="N74" s="481">
        <f t="shared" si="12"/>
        <v>4.3178778839744247E-2</v>
      </c>
      <c r="P74" s="552">
        <f t="shared" si="13"/>
        <v>6.9339409224684734E-2</v>
      </c>
    </row>
    <row r="75" spans="2:16">
      <c r="B75" s="460" t="s">
        <v>199</v>
      </c>
      <c r="C75" s="459">
        <f t="shared" si="2"/>
        <v>17.230167981556061</v>
      </c>
      <c r="D75" s="458">
        <f t="shared" si="3"/>
        <v>92.986357634710018</v>
      </c>
      <c r="E75" s="458">
        <f t="shared" si="4"/>
        <v>125.85471330675959</v>
      </c>
      <c r="F75" s="458">
        <f t="shared" si="5"/>
        <v>8.4091304330544343</v>
      </c>
      <c r="G75" s="457">
        <f t="shared" si="6"/>
        <v>62.824684649578906</v>
      </c>
      <c r="H75" s="456">
        <f t="shared" si="7"/>
        <v>307.30505400565903</v>
      </c>
      <c r="J75" s="481">
        <f t="shared" si="8"/>
        <v>3.9611350115787108E-4</v>
      </c>
      <c r="K75" s="481">
        <f t="shared" si="9"/>
        <v>3.5699814490747846E-3</v>
      </c>
      <c r="L75" s="481">
        <f t="shared" si="10"/>
        <v>6.4397688376146784E-3</v>
      </c>
      <c r="M75" s="481">
        <f t="shared" si="11"/>
        <v>6.7111489898799678E-4</v>
      </c>
      <c r="N75" s="481">
        <f t="shared" si="12"/>
        <v>2.0505077346001954E-3</v>
      </c>
      <c r="P75" s="552">
        <f t="shared" si="13"/>
        <v>2.6254972842871052E-3</v>
      </c>
    </row>
    <row r="76" spans="2:16">
      <c r="B76" s="460" t="s">
        <v>200</v>
      </c>
      <c r="C76" s="459">
        <f t="shared" si="2"/>
        <v>0</v>
      </c>
      <c r="D76" s="458">
        <f t="shared" si="3"/>
        <v>0</v>
      </c>
      <c r="E76" s="458">
        <f t="shared" si="4"/>
        <v>0</v>
      </c>
      <c r="F76" s="458">
        <f t="shared" si="5"/>
        <v>0</v>
      </c>
      <c r="G76" s="457">
        <f t="shared" si="6"/>
        <v>0</v>
      </c>
      <c r="H76" s="456">
        <f t="shared" si="7"/>
        <v>0</v>
      </c>
      <c r="J76" s="481">
        <f t="shared" si="8"/>
        <v>0</v>
      </c>
      <c r="K76" s="481">
        <f t="shared" si="9"/>
        <v>0</v>
      </c>
      <c r="L76" s="481">
        <f t="shared" si="10"/>
        <v>0</v>
      </c>
      <c r="M76" s="481">
        <f t="shared" si="11"/>
        <v>0</v>
      </c>
      <c r="N76" s="481">
        <f t="shared" si="12"/>
        <v>0</v>
      </c>
      <c r="P76" s="552">
        <f t="shared" si="13"/>
        <v>0</v>
      </c>
    </row>
    <row r="77" spans="2:16">
      <c r="B77" s="460" t="s">
        <v>201</v>
      </c>
      <c r="C77" s="459">
        <f t="shared" si="2"/>
        <v>219.79008998980831</v>
      </c>
      <c r="D77" s="458">
        <f t="shared" si="3"/>
        <v>421.76442543319018</v>
      </c>
      <c r="E77" s="458">
        <f t="shared" si="4"/>
        <v>0</v>
      </c>
      <c r="F77" s="458">
        <f t="shared" si="5"/>
        <v>0</v>
      </c>
      <c r="G77" s="457">
        <f t="shared" si="6"/>
        <v>231.55442320339338</v>
      </c>
      <c r="H77" s="456">
        <f t="shared" si="7"/>
        <v>873.10893862639193</v>
      </c>
      <c r="J77" s="481">
        <f t="shared" si="8"/>
        <v>5.0528713451233548E-3</v>
      </c>
      <c r="K77" s="481">
        <f t="shared" si="9"/>
        <v>1.6192603011628545E-2</v>
      </c>
      <c r="L77" s="481">
        <f t="shared" si="10"/>
        <v>0</v>
      </c>
      <c r="M77" s="481">
        <f t="shared" si="11"/>
        <v>0</v>
      </c>
      <c r="N77" s="481">
        <f t="shared" si="12"/>
        <v>7.5576047601000982E-3</v>
      </c>
      <c r="P77" s="552">
        <f t="shared" si="13"/>
        <v>5.760615823370399E-3</v>
      </c>
    </row>
    <row r="78" spans="2:16">
      <c r="B78" s="455" t="s">
        <v>202</v>
      </c>
      <c r="C78" s="454">
        <f t="shared" si="2"/>
        <v>237.3741856069976</v>
      </c>
      <c r="D78" s="453">
        <f t="shared" si="3"/>
        <v>286.19335946790454</v>
      </c>
      <c r="E78" s="453">
        <f t="shared" si="4"/>
        <v>0</v>
      </c>
      <c r="F78" s="453">
        <f t="shared" si="5"/>
        <v>0</v>
      </c>
      <c r="G78" s="452">
        <f t="shared" si="6"/>
        <v>0</v>
      </c>
      <c r="H78" s="451">
        <f t="shared" si="7"/>
        <v>523.56754507490211</v>
      </c>
      <c r="J78" s="480">
        <f t="shared" si="8"/>
        <v>5.4571214770475236E-3</v>
      </c>
      <c r="K78" s="480">
        <f t="shared" si="9"/>
        <v>1.0987686905239396E-2</v>
      </c>
      <c r="L78" s="480">
        <f t="shared" si="10"/>
        <v>0</v>
      </c>
      <c r="M78" s="480">
        <f t="shared" si="11"/>
        <v>0</v>
      </c>
      <c r="N78" s="480">
        <f t="shared" si="12"/>
        <v>0</v>
      </c>
      <c r="P78" s="552">
        <f t="shared" si="13"/>
        <v>3.288961676457384E-3</v>
      </c>
    </row>
    <row r="79" spans="2:16">
      <c r="B79" s="450" t="s">
        <v>4673</v>
      </c>
      <c r="C79" s="449">
        <f t="shared" si="2"/>
        <v>43498.057832391263</v>
      </c>
      <c r="D79" s="448">
        <f t="shared" si="3"/>
        <v>26046.734124853465</v>
      </c>
      <c r="E79" s="448">
        <f t="shared" si="4"/>
        <v>19543.358850342956</v>
      </c>
      <c r="F79" s="448">
        <f t="shared" si="5"/>
        <v>12530.090519127092</v>
      </c>
      <c r="G79" s="447">
        <f t="shared" si="6"/>
        <v>30638.599206175808</v>
      </c>
      <c r="H79" s="446">
        <f>SUM(H78,H58)</f>
        <v>132256.84053289058</v>
      </c>
      <c r="J79" s="480">
        <f t="shared" si="8"/>
        <v>1</v>
      </c>
      <c r="K79" s="480">
        <f t="shared" si="9"/>
        <v>1</v>
      </c>
      <c r="L79" s="480">
        <f t="shared" si="10"/>
        <v>1</v>
      </c>
      <c r="M79" s="480">
        <f t="shared" si="11"/>
        <v>1</v>
      </c>
      <c r="N79" s="480">
        <f t="shared" si="12"/>
        <v>1</v>
      </c>
      <c r="P79" s="552">
        <f t="shared" si="13"/>
        <v>1</v>
      </c>
    </row>
    <row r="81" spans="2:8" ht="15">
      <c r="B81" s="479" t="s">
        <v>4676</v>
      </c>
      <c r="C81" s="478"/>
      <c r="D81" s="478"/>
      <c r="E81" s="478"/>
      <c r="F81" s="478"/>
      <c r="G81" s="478"/>
      <c r="H81" s="477"/>
    </row>
    <row r="82" spans="2:8">
      <c r="B82" s="476" t="s">
        <v>178</v>
      </c>
      <c r="C82" s="475">
        <v>2018</v>
      </c>
      <c r="D82" s="474">
        <v>2019</v>
      </c>
      <c r="E82" s="474">
        <v>2020</v>
      </c>
      <c r="F82" s="474">
        <v>2021</v>
      </c>
      <c r="G82" s="473">
        <v>2022</v>
      </c>
      <c r="H82" s="472" t="s">
        <v>248</v>
      </c>
    </row>
    <row r="83" spans="2:8">
      <c r="B83" s="471" t="s">
        <v>182</v>
      </c>
      <c r="C83" s="470">
        <f t="shared" ref="C83:C104" si="14">+C$25*1000*J58</f>
        <v>86916.419191404406</v>
      </c>
      <c r="D83" s="469">
        <f t="shared" ref="D83:D104" si="15">+D$25*1000*K58</f>
        <v>31577.380557233901</v>
      </c>
      <c r="E83" s="469">
        <f t="shared" ref="E83:E104" si="16">+E$25*1000*L58</f>
        <v>22011.023539626149</v>
      </c>
      <c r="F83" s="469">
        <f t="shared" ref="F83:F104" si="17">+F$25*1000*M58</f>
        <v>8909.3138474645111</v>
      </c>
      <c r="G83" s="468">
        <f t="shared" ref="G83:G104" si="18">+G$25*1000*N58</f>
        <v>16034.288682500677</v>
      </c>
      <c r="H83" s="467">
        <f t="shared" ref="H83:H103" si="19">SUM(C83:G83)</f>
        <v>165448.42581822965</v>
      </c>
    </row>
    <row r="84" spans="2:8">
      <c r="B84" s="466" t="s">
        <v>183</v>
      </c>
      <c r="C84" s="464">
        <f t="shared" si="14"/>
        <v>30608.879217556438</v>
      </c>
      <c r="D84" s="463">
        <f t="shared" si="15"/>
        <v>8797.7846605763534</v>
      </c>
      <c r="E84" s="463">
        <f t="shared" si="16"/>
        <v>10010.224041275525</v>
      </c>
      <c r="F84" s="463">
        <f t="shared" si="17"/>
        <v>3326.4688074146984</v>
      </c>
      <c r="G84" s="462">
        <f t="shared" si="18"/>
        <v>8381.6206579477057</v>
      </c>
      <c r="H84" s="461">
        <f t="shared" si="19"/>
        <v>61124.977384770726</v>
      </c>
    </row>
    <row r="85" spans="2:8">
      <c r="B85" s="460" t="s">
        <v>184</v>
      </c>
      <c r="C85" s="459">
        <f t="shared" si="14"/>
        <v>3685.1674697310796</v>
      </c>
      <c r="D85" s="458">
        <f t="shared" si="15"/>
        <v>1061.8647744467123</v>
      </c>
      <c r="E85" s="458">
        <f t="shared" si="16"/>
        <v>318.74969266258847</v>
      </c>
      <c r="F85" s="458">
        <f t="shared" si="17"/>
        <v>348.12783071563581</v>
      </c>
      <c r="G85" s="457">
        <f t="shared" si="18"/>
        <v>75.42172836381279</v>
      </c>
      <c r="H85" s="456">
        <f t="shared" si="19"/>
        <v>5489.3314959198278</v>
      </c>
    </row>
    <row r="86" spans="2:8">
      <c r="B86" s="460" t="s">
        <v>185</v>
      </c>
      <c r="C86" s="459">
        <f t="shared" si="14"/>
        <v>24329.196614664754</v>
      </c>
      <c r="D86" s="458">
        <f t="shared" si="15"/>
        <v>6086.3708221814777</v>
      </c>
      <c r="E86" s="458">
        <f t="shared" si="16"/>
        <v>7845.1779366548553</v>
      </c>
      <c r="F86" s="458">
        <f t="shared" si="17"/>
        <v>1488.1873457024437</v>
      </c>
      <c r="G86" s="457">
        <f t="shared" si="18"/>
        <v>5922.7536560614399</v>
      </c>
      <c r="H86" s="456">
        <f t="shared" si="19"/>
        <v>45671.686375264966</v>
      </c>
    </row>
    <row r="87" spans="2:8">
      <c r="B87" s="460" t="s">
        <v>186</v>
      </c>
      <c r="C87" s="459">
        <f t="shared" si="14"/>
        <v>1826.3432912331084</v>
      </c>
      <c r="D87" s="458">
        <f t="shared" si="15"/>
        <v>1125.8735519895015</v>
      </c>
      <c r="E87" s="458">
        <f t="shared" si="16"/>
        <v>957.6350355956032</v>
      </c>
      <c r="F87" s="458">
        <f t="shared" si="17"/>
        <v>1255.8172318555085</v>
      </c>
      <c r="G87" s="457">
        <f t="shared" si="18"/>
        <v>1064.3740333160142</v>
      </c>
      <c r="H87" s="456">
        <f t="shared" si="19"/>
        <v>6230.0431439897357</v>
      </c>
    </row>
    <row r="88" spans="2:8">
      <c r="B88" s="460" t="s">
        <v>187</v>
      </c>
      <c r="C88" s="459">
        <f t="shared" si="14"/>
        <v>768.1718419275013</v>
      </c>
      <c r="D88" s="458">
        <f t="shared" si="15"/>
        <v>523.67551195866429</v>
      </c>
      <c r="E88" s="458">
        <f t="shared" si="16"/>
        <v>888.66137636247811</v>
      </c>
      <c r="F88" s="458">
        <f t="shared" si="17"/>
        <v>234.33639914110984</v>
      </c>
      <c r="G88" s="457">
        <f t="shared" si="18"/>
        <v>1319.0712402064385</v>
      </c>
      <c r="H88" s="456">
        <f t="shared" si="19"/>
        <v>3733.9163695961915</v>
      </c>
    </row>
    <row r="89" spans="2:8">
      <c r="B89" s="466" t="s">
        <v>188</v>
      </c>
      <c r="C89" s="464">
        <f t="shared" si="14"/>
        <v>4220.6624457246453</v>
      </c>
      <c r="D89" s="463">
        <f t="shared" si="15"/>
        <v>2339.3131685367002</v>
      </c>
      <c r="E89" s="463">
        <f t="shared" si="16"/>
        <v>934.94136319107724</v>
      </c>
      <c r="F89" s="463">
        <f t="shared" si="17"/>
        <v>331.36554732792359</v>
      </c>
      <c r="G89" s="462">
        <f t="shared" si="18"/>
        <v>543.94557005255797</v>
      </c>
      <c r="H89" s="461">
        <f t="shared" si="19"/>
        <v>8370.2280948329044</v>
      </c>
    </row>
    <row r="90" spans="2:8">
      <c r="B90" s="460" t="s">
        <v>189</v>
      </c>
      <c r="C90" s="459">
        <f t="shared" si="14"/>
        <v>4220.6624457246453</v>
      </c>
      <c r="D90" s="458">
        <f t="shared" si="15"/>
        <v>2339.3131685367002</v>
      </c>
      <c r="E90" s="458">
        <f t="shared" si="16"/>
        <v>934.94136319107724</v>
      </c>
      <c r="F90" s="458">
        <f t="shared" si="17"/>
        <v>331.36554732792359</v>
      </c>
      <c r="G90" s="457">
        <f t="shared" si="18"/>
        <v>543.94557005255797</v>
      </c>
      <c r="H90" s="456">
        <f t="shared" si="19"/>
        <v>8370.2280948329044</v>
      </c>
    </row>
    <row r="91" spans="2:8">
      <c r="B91" s="460" t="s">
        <v>190</v>
      </c>
      <c r="C91" s="459">
        <f t="shared" si="14"/>
        <v>0</v>
      </c>
      <c r="D91" s="458">
        <f t="shared" si="15"/>
        <v>0</v>
      </c>
      <c r="E91" s="458">
        <f t="shared" si="16"/>
        <v>0</v>
      </c>
      <c r="F91" s="458">
        <f t="shared" si="17"/>
        <v>0</v>
      </c>
      <c r="G91" s="457">
        <f t="shared" si="18"/>
        <v>0</v>
      </c>
      <c r="H91" s="456">
        <f t="shared" si="19"/>
        <v>0</v>
      </c>
    </row>
    <row r="92" spans="2:8">
      <c r="B92" s="460" t="s">
        <v>191</v>
      </c>
      <c r="C92" s="459">
        <f t="shared" si="14"/>
        <v>0</v>
      </c>
      <c r="D92" s="458">
        <f t="shared" si="15"/>
        <v>0</v>
      </c>
      <c r="E92" s="458">
        <f t="shared" si="16"/>
        <v>0</v>
      </c>
      <c r="F92" s="458">
        <f t="shared" si="17"/>
        <v>0</v>
      </c>
      <c r="G92" s="457">
        <f t="shared" si="18"/>
        <v>0</v>
      </c>
      <c r="H92" s="456">
        <f t="shared" si="19"/>
        <v>0</v>
      </c>
    </row>
    <row r="93" spans="2:8">
      <c r="B93" s="465" t="s">
        <v>4672</v>
      </c>
      <c r="C93" s="464">
        <f t="shared" si="14"/>
        <v>23569.021471729156</v>
      </c>
      <c r="D93" s="463">
        <f t="shared" si="15"/>
        <v>5360.2527431575363</v>
      </c>
      <c r="E93" s="463">
        <f t="shared" si="16"/>
        <v>2219.703723649593</v>
      </c>
      <c r="F93" s="463">
        <f t="shared" si="17"/>
        <v>1187.311909094049</v>
      </c>
      <c r="G93" s="462">
        <f t="shared" si="18"/>
        <v>1252.3173405579394</v>
      </c>
      <c r="H93" s="461">
        <f t="shared" si="19"/>
        <v>33588.607188188274</v>
      </c>
    </row>
    <row r="94" spans="2:8">
      <c r="B94" s="465" t="s">
        <v>193</v>
      </c>
      <c r="C94" s="464">
        <f t="shared" si="14"/>
        <v>5313.3506082201702</v>
      </c>
      <c r="D94" s="463">
        <f t="shared" si="15"/>
        <v>4115.2845571979124</v>
      </c>
      <c r="E94" s="463">
        <f t="shared" si="16"/>
        <v>2605.0978718880538</v>
      </c>
      <c r="F94" s="463">
        <f t="shared" si="17"/>
        <v>945.81053423615424</v>
      </c>
      <c r="G94" s="462">
        <f t="shared" si="18"/>
        <v>3097.6723090865257</v>
      </c>
      <c r="H94" s="461">
        <f t="shared" si="19"/>
        <v>16077.215880628817</v>
      </c>
    </row>
    <row r="95" spans="2:8">
      <c r="B95" s="465" t="s">
        <v>194</v>
      </c>
      <c r="C95" s="464">
        <f t="shared" si="14"/>
        <v>23204.505448174001</v>
      </c>
      <c r="D95" s="463">
        <f t="shared" si="15"/>
        <v>10964.745427765392</v>
      </c>
      <c r="E95" s="463">
        <f t="shared" si="16"/>
        <v>6241.0565396218981</v>
      </c>
      <c r="F95" s="463">
        <f t="shared" si="17"/>
        <v>3118.3485077155965</v>
      </c>
      <c r="G95" s="462">
        <f t="shared" si="18"/>
        <v>2758.7328048559484</v>
      </c>
      <c r="H95" s="461">
        <f t="shared" si="19"/>
        <v>46287.388728132843</v>
      </c>
    </row>
    <row r="96" spans="2:8">
      <c r="B96" s="460" t="s">
        <v>195</v>
      </c>
      <c r="C96" s="459">
        <f t="shared" si="14"/>
        <v>11770.872798129496</v>
      </c>
      <c r="D96" s="458">
        <f t="shared" si="15"/>
        <v>6207.3637893717678</v>
      </c>
      <c r="E96" s="458">
        <f t="shared" si="16"/>
        <v>4194.3666714232595</v>
      </c>
      <c r="F96" s="458">
        <f t="shared" si="17"/>
        <v>2197.4765243245797</v>
      </c>
      <c r="G96" s="457">
        <f t="shared" si="18"/>
        <v>1792.7713732490163</v>
      </c>
      <c r="H96" s="456">
        <f t="shared" si="19"/>
        <v>26162.851156498116</v>
      </c>
    </row>
    <row r="97" spans="2:8">
      <c r="B97" s="460" t="s">
        <v>196</v>
      </c>
      <c r="C97" s="459">
        <f t="shared" si="14"/>
        <v>6763.9128835492902</v>
      </c>
      <c r="D97" s="458">
        <f t="shared" si="15"/>
        <v>599.75379278245759</v>
      </c>
      <c r="E97" s="458">
        <f t="shared" si="16"/>
        <v>492.99010023853856</v>
      </c>
      <c r="F97" s="458">
        <f t="shared" si="17"/>
        <v>193.85456885721206</v>
      </c>
      <c r="G97" s="457">
        <f t="shared" si="18"/>
        <v>89.265973180732786</v>
      </c>
      <c r="H97" s="456">
        <f t="shared" si="19"/>
        <v>8139.7773186082313</v>
      </c>
    </row>
    <row r="98" spans="2:8">
      <c r="B98" s="460" t="s">
        <v>197</v>
      </c>
      <c r="C98" s="459">
        <f t="shared" si="14"/>
        <v>0</v>
      </c>
      <c r="D98" s="458">
        <f t="shared" si="15"/>
        <v>0</v>
      </c>
      <c r="E98" s="458">
        <f t="shared" si="16"/>
        <v>0</v>
      </c>
      <c r="F98" s="458">
        <f t="shared" si="17"/>
        <v>0</v>
      </c>
      <c r="G98" s="457">
        <f t="shared" si="18"/>
        <v>30.295204117921564</v>
      </c>
      <c r="H98" s="456">
        <f t="shared" si="19"/>
        <v>30.295204117921564</v>
      </c>
    </row>
    <row r="99" spans="2:8">
      <c r="B99" s="460" t="s">
        <v>198</v>
      </c>
      <c r="C99" s="459">
        <f t="shared" si="14"/>
        <v>4193.5148071169297</v>
      </c>
      <c r="D99" s="458">
        <f t="shared" si="15"/>
        <v>3526.6441439448436</v>
      </c>
      <c r="E99" s="458">
        <f t="shared" si="16"/>
        <v>1411.9538644856107</v>
      </c>
      <c r="F99" s="458">
        <f t="shared" si="17"/>
        <v>721.0382412710112</v>
      </c>
      <c r="G99" s="457">
        <f t="shared" si="18"/>
        <v>692.3410048743109</v>
      </c>
      <c r="H99" s="456">
        <f t="shared" si="19"/>
        <v>10545.492061692707</v>
      </c>
    </row>
    <row r="100" spans="2:8">
      <c r="B100" s="460" t="s">
        <v>199</v>
      </c>
      <c r="C100" s="459">
        <f t="shared" si="14"/>
        <v>34.617679999020588</v>
      </c>
      <c r="D100" s="458">
        <f t="shared" si="15"/>
        <v>113.98307311963538</v>
      </c>
      <c r="E100" s="458">
        <f t="shared" si="16"/>
        <v>141.74590347448762</v>
      </c>
      <c r="F100" s="458">
        <f t="shared" si="17"/>
        <v>5.9791732627935064</v>
      </c>
      <c r="G100" s="457">
        <f t="shared" si="18"/>
        <v>32.878432962280016</v>
      </c>
      <c r="H100" s="456">
        <f t="shared" si="19"/>
        <v>329.2042628182171</v>
      </c>
    </row>
    <row r="101" spans="2:8">
      <c r="B101" s="460" t="s">
        <v>200</v>
      </c>
      <c r="C101" s="459">
        <f t="shared" si="14"/>
        <v>0</v>
      </c>
      <c r="D101" s="458">
        <f t="shared" si="15"/>
        <v>0</v>
      </c>
      <c r="E101" s="458">
        <f t="shared" si="16"/>
        <v>0</v>
      </c>
      <c r="F101" s="458">
        <f t="shared" si="17"/>
        <v>0</v>
      </c>
      <c r="G101" s="457">
        <f t="shared" si="18"/>
        <v>0</v>
      </c>
      <c r="H101" s="456">
        <f t="shared" si="19"/>
        <v>0</v>
      </c>
    </row>
    <row r="102" spans="2:8">
      <c r="B102" s="460" t="s">
        <v>201</v>
      </c>
      <c r="C102" s="459">
        <f t="shared" si="14"/>
        <v>441.58727937926847</v>
      </c>
      <c r="D102" s="458">
        <f t="shared" si="15"/>
        <v>517.00062854668931</v>
      </c>
      <c r="E102" s="458">
        <f t="shared" si="16"/>
        <v>0</v>
      </c>
      <c r="F102" s="458">
        <f t="shared" si="17"/>
        <v>0</v>
      </c>
      <c r="G102" s="457">
        <f t="shared" si="18"/>
        <v>121.18081647168626</v>
      </c>
      <c r="H102" s="456">
        <f t="shared" si="19"/>
        <v>1079.7687243976441</v>
      </c>
    </row>
    <row r="103" spans="2:8">
      <c r="B103" s="455" t="s">
        <v>202</v>
      </c>
      <c r="C103" s="454">
        <f t="shared" si="14"/>
        <v>476.9160466785566</v>
      </c>
      <c r="D103" s="453">
        <f t="shared" si="15"/>
        <v>350.81703863199164</v>
      </c>
      <c r="E103" s="453">
        <f t="shared" si="16"/>
        <v>0</v>
      </c>
      <c r="F103" s="453">
        <f t="shared" si="17"/>
        <v>0</v>
      </c>
      <c r="G103" s="452">
        <f t="shared" si="18"/>
        <v>0</v>
      </c>
      <c r="H103" s="451">
        <f t="shared" si="19"/>
        <v>827.73308531054818</v>
      </c>
    </row>
    <row r="104" spans="2:8">
      <c r="B104" s="450" t="s">
        <v>4673</v>
      </c>
      <c r="C104" s="449">
        <f t="shared" si="14"/>
        <v>87393.335238082946</v>
      </c>
      <c r="D104" s="448">
        <f t="shared" si="15"/>
        <v>31928.197595865895</v>
      </c>
      <c r="E104" s="448">
        <f t="shared" si="16"/>
        <v>22011.023539626149</v>
      </c>
      <c r="F104" s="448">
        <f t="shared" si="17"/>
        <v>8909.3138474645111</v>
      </c>
      <c r="G104" s="447">
        <f t="shared" si="18"/>
        <v>16034.288682500677</v>
      </c>
      <c r="H104" s="446">
        <f>+H103+H83</f>
        <v>166276.1589035402</v>
      </c>
    </row>
  </sheetData>
  <mergeCells count="7">
    <mergeCell ref="H12:H13"/>
    <mergeCell ref="C5:G5"/>
    <mergeCell ref="C11:G11"/>
    <mergeCell ref="B21:G21"/>
    <mergeCell ref="B20:G20"/>
    <mergeCell ref="B19:G19"/>
    <mergeCell ref="C12:G1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BEA70-BFF3-4BCA-B8CC-FE3F3FE86656}">
  <sheetPr>
    <tabColor theme="4" tint="0.79998168889431442"/>
  </sheetPr>
  <dimension ref="A1:XFD35"/>
  <sheetViews>
    <sheetView showGridLines="0" workbookViewId="0">
      <selection activeCell="D17" sqref="D17"/>
    </sheetView>
  </sheetViews>
  <sheetFormatPr defaultColWidth="11.42578125" defaultRowHeight="11.45"/>
  <cols>
    <col min="1" max="1" width="11.42578125" style="50"/>
    <col min="2" max="3" width="30.85546875" style="50" bestFit="1" customWidth="1"/>
    <col min="4" max="5" width="11.5703125" style="50" bestFit="1" customWidth="1"/>
    <col min="6" max="8" width="13.140625" style="50" bestFit="1" customWidth="1"/>
    <col min="9" max="16384" width="11.42578125" style="50"/>
  </cols>
  <sheetData>
    <row r="1" spans="1:44">
      <c r="A1" s="50" t="s">
        <v>279</v>
      </c>
      <c r="B1" s="95">
        <f>+Inputs!C4</f>
        <v>44531</v>
      </c>
    </row>
    <row r="3" spans="1:44">
      <c r="B3" s="57" t="s">
        <v>4678</v>
      </c>
      <c r="E3" s="65"/>
    </row>
    <row r="5" spans="1:44">
      <c r="B5" s="77" t="s">
        <v>4679</v>
      </c>
      <c r="C5" s="77" t="s">
        <v>37</v>
      </c>
      <c r="D5" s="77">
        <v>2023</v>
      </c>
      <c r="E5" s="77">
        <v>2024</v>
      </c>
      <c r="F5" s="85">
        <f>+E5+1</f>
        <v>2025</v>
      </c>
      <c r="G5" s="85">
        <f t="shared" ref="G5:H5" si="0">+F5+1</f>
        <v>2026</v>
      </c>
      <c r="H5" s="85">
        <f t="shared" si="0"/>
        <v>2027</v>
      </c>
    </row>
    <row r="6" spans="1:44">
      <c r="B6" s="52" t="s">
        <v>4680</v>
      </c>
      <c r="C6" s="52" t="s">
        <v>38</v>
      </c>
      <c r="D6" s="137">
        <f>+BRR!J7/1000</f>
        <v>21799.620642225451</v>
      </c>
      <c r="E6" s="137">
        <f>+BRR!K7/1000</f>
        <v>9359.8690657989573</v>
      </c>
      <c r="F6" s="137">
        <f>+SUM(F7:F10)</f>
        <v>280657.6179639016</v>
      </c>
      <c r="G6" s="137">
        <f t="shared" ref="G6:H6" si="1">+SUM(G7:G10)</f>
        <v>417190.14010525</v>
      </c>
      <c r="H6" s="137">
        <f t="shared" si="1"/>
        <v>78993.760162858904</v>
      </c>
    </row>
    <row r="7" spans="1:44">
      <c r="B7" s="135" t="str">
        <f>Inputs!B18</f>
        <v>Crecimiento</v>
      </c>
      <c r="C7" s="50" t="s">
        <v>38</v>
      </c>
      <c r="D7" s="51">
        <v>10899.810321112725</v>
      </c>
      <c r="E7" s="51">
        <v>4679.9345328994787</v>
      </c>
      <c r="F7" s="51">
        <v>241434.18899734822</v>
      </c>
      <c r="G7" s="51">
        <v>332512.36314216361</v>
      </c>
      <c r="H7" s="51">
        <v>45314.821371185106</v>
      </c>
    </row>
    <row r="8" spans="1:44">
      <c r="B8" s="135" t="str">
        <f>Inputs!B19</f>
        <v>Mantenimiento</v>
      </c>
      <c r="C8" s="50" t="s">
        <v>38</v>
      </c>
      <c r="D8" s="51">
        <v>5449.9051605563627</v>
      </c>
      <c r="E8" s="51">
        <v>2339.9672664497393</v>
      </c>
      <c r="F8" s="51">
        <v>38214.819566436752</v>
      </c>
      <c r="G8" s="51">
        <v>66775.570737973627</v>
      </c>
      <c r="H8" s="51">
        <v>19645.96168700988</v>
      </c>
    </row>
    <row r="9" spans="1:44">
      <c r="B9" s="135" t="str">
        <f>Inputs!B20</f>
        <v>Estructura</v>
      </c>
      <c r="C9" s="50" t="s">
        <v>38</v>
      </c>
      <c r="D9" s="51">
        <v>5449.9051605563627</v>
      </c>
      <c r="E9" s="51">
        <v>2339.9672664497393</v>
      </c>
      <c r="F9" s="51">
        <v>1008.609400116586</v>
      </c>
      <c r="G9" s="51">
        <v>17902.206225112794</v>
      </c>
      <c r="H9" s="51">
        <v>14032.97710466392</v>
      </c>
    </row>
    <row r="10" spans="1:44">
      <c r="F10" s="58">
        <f>Inputs!E21*1000</f>
        <v>0</v>
      </c>
      <c r="G10" s="58">
        <f>Inputs!F21*1000</f>
        <v>0</v>
      </c>
      <c r="H10" s="58">
        <f>Inputs!G21*1000</f>
        <v>0</v>
      </c>
    </row>
    <row r="13" spans="1:44" ht="14.45">
      <c r="B13"/>
      <c r="C13"/>
      <c r="D13"/>
      <c r="E13"/>
      <c r="F13"/>
      <c r="G13"/>
      <c r="H13"/>
      <c r="I13"/>
    </row>
    <row r="14" spans="1:44" s="72" customFormat="1" ht="14.45">
      <c r="A14" s="50"/>
      <c r="B14"/>
      <c r="C14"/>
      <c r="D14"/>
      <c r="E14"/>
      <c r="F14"/>
      <c r="G14"/>
      <c r="H14"/>
      <c r="I14"/>
    </row>
    <row r="15" spans="1:44" s="72" customFormat="1" ht="14.45">
      <c r="A15" s="50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s="72" customFormat="1" ht="14.45">
      <c r="A16" s="50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2:16384" ht="14.45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GZ17" s="72"/>
      <c r="HA17" s="72"/>
      <c r="HB17" s="72"/>
      <c r="HC17" s="72"/>
      <c r="HD17" s="72"/>
      <c r="HE17" s="72"/>
      <c r="HF17" s="72"/>
      <c r="HG17" s="72"/>
      <c r="HH17" s="72"/>
      <c r="HI17" s="72"/>
      <c r="HJ17" s="72"/>
      <c r="HK17" s="72"/>
      <c r="HL17" s="72"/>
      <c r="HM17" s="72"/>
      <c r="HN17" s="72"/>
      <c r="HO17" s="72"/>
      <c r="HP17" s="72"/>
      <c r="HQ17" s="72"/>
      <c r="HR17" s="72"/>
      <c r="HS17" s="72"/>
      <c r="HT17" s="72"/>
      <c r="HU17" s="72"/>
      <c r="HV17" s="72"/>
      <c r="HW17" s="72"/>
      <c r="HX17" s="72"/>
      <c r="HY17" s="72"/>
      <c r="HZ17" s="72"/>
      <c r="IA17" s="72"/>
      <c r="IB17" s="72"/>
      <c r="IC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  <c r="IV17" s="72"/>
      <c r="IW17" s="72"/>
      <c r="IX17" s="72"/>
      <c r="IY17" s="72"/>
      <c r="IZ17" s="72"/>
      <c r="JA17" s="72"/>
      <c r="JB17" s="72"/>
      <c r="JC17" s="72"/>
      <c r="JD17" s="72"/>
      <c r="JE17" s="72"/>
      <c r="JF17" s="72"/>
      <c r="JG17" s="72"/>
      <c r="JH17" s="72"/>
      <c r="JI17" s="72"/>
      <c r="JJ17" s="72"/>
      <c r="JK17" s="72"/>
      <c r="JL17" s="72"/>
      <c r="JM17" s="72"/>
      <c r="JN17" s="72"/>
      <c r="JO17" s="72"/>
      <c r="JP17" s="72"/>
      <c r="JQ17" s="72"/>
      <c r="JR17" s="72"/>
      <c r="JS17" s="72"/>
      <c r="JT17" s="72"/>
      <c r="JU17" s="72"/>
      <c r="JV17" s="72"/>
      <c r="JW17" s="72"/>
      <c r="JX17" s="72"/>
      <c r="JY17" s="72"/>
      <c r="JZ17" s="72"/>
      <c r="KA17" s="72"/>
      <c r="KB17" s="72"/>
      <c r="KC17" s="72"/>
      <c r="KD17" s="72"/>
      <c r="KE17" s="72"/>
      <c r="KF17" s="72"/>
      <c r="KG17" s="72"/>
      <c r="KH17" s="72"/>
      <c r="KI17" s="72"/>
      <c r="KJ17" s="72"/>
      <c r="KK17" s="72"/>
      <c r="KL17" s="72"/>
      <c r="KM17" s="72"/>
      <c r="KN17" s="72"/>
      <c r="KO17" s="72"/>
      <c r="KP17" s="72"/>
      <c r="KQ17" s="72"/>
      <c r="KR17" s="72"/>
      <c r="KS17" s="72"/>
      <c r="KT17" s="72"/>
      <c r="KU17" s="72"/>
      <c r="KV17" s="72"/>
      <c r="KW17" s="72"/>
      <c r="KX17" s="72"/>
      <c r="KY17" s="72"/>
      <c r="KZ17" s="72"/>
      <c r="LA17" s="72"/>
      <c r="LB17" s="72"/>
      <c r="LC17" s="72"/>
      <c r="LD17" s="72"/>
      <c r="LE17" s="72"/>
      <c r="LF17" s="72"/>
      <c r="LG17" s="72"/>
      <c r="LH17" s="72"/>
      <c r="LI17" s="72"/>
      <c r="LJ17" s="72"/>
      <c r="LK17" s="72"/>
      <c r="LL17" s="72"/>
      <c r="LM17" s="72"/>
      <c r="LN17" s="72"/>
      <c r="LO17" s="72"/>
      <c r="LP17" s="72"/>
      <c r="LQ17" s="72"/>
      <c r="LR17" s="72"/>
      <c r="LS17" s="72"/>
      <c r="LT17" s="72"/>
      <c r="LU17" s="72"/>
      <c r="LV17" s="72"/>
      <c r="LW17" s="72"/>
      <c r="LX17" s="72"/>
      <c r="LY17" s="72"/>
      <c r="LZ17" s="72"/>
      <c r="MA17" s="72"/>
      <c r="MB17" s="72"/>
      <c r="MC17" s="72"/>
      <c r="MD17" s="72"/>
      <c r="ME17" s="72"/>
      <c r="MF17" s="72"/>
      <c r="MG17" s="72"/>
      <c r="MH17" s="72"/>
      <c r="MI17" s="72"/>
      <c r="MJ17" s="72"/>
      <c r="MK17" s="72"/>
      <c r="ML17" s="72"/>
      <c r="MM17" s="72"/>
      <c r="MN17" s="72"/>
      <c r="MO17" s="72"/>
      <c r="MP17" s="72"/>
      <c r="MQ17" s="72"/>
      <c r="MR17" s="72"/>
      <c r="MS17" s="72"/>
      <c r="MT17" s="72"/>
      <c r="MU17" s="72"/>
      <c r="MV17" s="72"/>
      <c r="MW17" s="72"/>
      <c r="MX17" s="72"/>
      <c r="MY17" s="72"/>
      <c r="MZ17" s="72"/>
      <c r="NA17" s="72"/>
      <c r="NB17" s="72"/>
      <c r="NC17" s="72"/>
      <c r="ND17" s="72"/>
      <c r="NE17" s="72"/>
      <c r="NF17" s="72"/>
      <c r="NG17" s="72"/>
      <c r="NH17" s="72"/>
      <c r="NI17" s="72"/>
      <c r="NJ17" s="72"/>
      <c r="NK17" s="72"/>
      <c r="NL17" s="72"/>
      <c r="NM17" s="72"/>
      <c r="NN17" s="72"/>
      <c r="NO17" s="72"/>
      <c r="NP17" s="72"/>
      <c r="NQ17" s="72"/>
      <c r="NR17" s="72"/>
      <c r="NS17" s="72"/>
      <c r="NT17" s="72"/>
      <c r="NU17" s="72"/>
      <c r="NV17" s="72"/>
      <c r="NW17" s="72"/>
      <c r="NX17" s="72"/>
      <c r="NY17" s="72"/>
      <c r="NZ17" s="72"/>
      <c r="OA17" s="72"/>
      <c r="OB17" s="72"/>
      <c r="OC17" s="72"/>
      <c r="OD17" s="72"/>
      <c r="OE17" s="72"/>
      <c r="OF17" s="72"/>
      <c r="OG17" s="72"/>
      <c r="OH17" s="72"/>
      <c r="OI17" s="72"/>
      <c r="OJ17" s="72"/>
      <c r="OK17" s="72"/>
      <c r="OL17" s="72"/>
      <c r="OM17" s="72"/>
      <c r="ON17" s="72"/>
      <c r="OO17" s="72"/>
      <c r="OP17" s="72"/>
      <c r="OQ17" s="72"/>
      <c r="OR17" s="72"/>
      <c r="OS17" s="72"/>
      <c r="OT17" s="72"/>
      <c r="OU17" s="72"/>
      <c r="OV17" s="72"/>
      <c r="OW17" s="72"/>
      <c r="OX17" s="72"/>
      <c r="OY17" s="72"/>
      <c r="OZ17" s="72"/>
      <c r="PA17" s="72"/>
      <c r="PB17" s="72"/>
      <c r="PC17" s="72"/>
      <c r="PD17" s="72"/>
      <c r="PE17" s="72"/>
      <c r="PF17" s="72"/>
      <c r="PG17" s="72"/>
      <c r="PH17" s="72"/>
      <c r="PI17" s="72"/>
      <c r="PJ17" s="72"/>
      <c r="PK17" s="72"/>
      <c r="PL17" s="72"/>
      <c r="PM17" s="72"/>
      <c r="PN17" s="72"/>
      <c r="PO17" s="72"/>
      <c r="PP17" s="72"/>
      <c r="PQ17" s="72"/>
      <c r="PR17" s="72"/>
      <c r="PS17" s="72"/>
      <c r="PT17" s="72"/>
      <c r="PU17" s="72"/>
      <c r="PV17" s="72"/>
      <c r="PW17" s="72"/>
      <c r="PX17" s="72"/>
      <c r="PY17" s="72"/>
      <c r="PZ17" s="72"/>
      <c r="QA17" s="72"/>
      <c r="QB17" s="72"/>
      <c r="QC17" s="72"/>
      <c r="QD17" s="72"/>
      <c r="QE17" s="72"/>
      <c r="QF17" s="72"/>
      <c r="QG17" s="72"/>
      <c r="QH17" s="72"/>
      <c r="QI17" s="72"/>
      <c r="QJ17" s="72"/>
      <c r="QK17" s="72"/>
      <c r="QL17" s="72"/>
      <c r="QM17" s="72"/>
      <c r="QN17" s="72"/>
      <c r="QO17" s="72"/>
      <c r="QP17" s="72"/>
      <c r="QQ17" s="72"/>
      <c r="QR17" s="72"/>
      <c r="QS17" s="72"/>
      <c r="QT17" s="72"/>
      <c r="QU17" s="72"/>
      <c r="QV17" s="72"/>
      <c r="QW17" s="72"/>
      <c r="QX17" s="72"/>
      <c r="QY17" s="72"/>
      <c r="QZ17" s="72"/>
      <c r="RA17" s="72"/>
      <c r="RB17" s="72"/>
      <c r="RC17" s="72"/>
      <c r="RD17" s="72"/>
      <c r="RE17" s="72"/>
      <c r="RF17" s="72"/>
      <c r="RG17" s="72"/>
      <c r="RH17" s="72"/>
      <c r="RI17" s="72"/>
      <c r="RJ17" s="72"/>
      <c r="RK17" s="72"/>
      <c r="RL17" s="72"/>
      <c r="RM17" s="72"/>
      <c r="RN17" s="72"/>
      <c r="RO17" s="72"/>
      <c r="RP17" s="72"/>
      <c r="RQ17" s="72"/>
      <c r="RR17" s="72"/>
      <c r="RS17" s="72"/>
      <c r="RT17" s="72"/>
      <c r="RU17" s="72"/>
      <c r="RV17" s="72"/>
      <c r="RW17" s="72"/>
      <c r="RX17" s="72"/>
      <c r="RY17" s="72"/>
      <c r="RZ17" s="72"/>
      <c r="SA17" s="72"/>
      <c r="SB17" s="72"/>
      <c r="SC17" s="72"/>
      <c r="SD17" s="72"/>
      <c r="SE17" s="72"/>
      <c r="SF17" s="72"/>
      <c r="SG17" s="72"/>
      <c r="SH17" s="72"/>
      <c r="SI17" s="72"/>
      <c r="SJ17" s="72"/>
      <c r="SK17" s="72"/>
      <c r="SL17" s="72"/>
      <c r="SM17" s="72"/>
      <c r="SN17" s="72"/>
      <c r="SO17" s="72"/>
      <c r="SP17" s="72"/>
      <c r="SQ17" s="72"/>
      <c r="SR17" s="72"/>
      <c r="SS17" s="72"/>
      <c r="ST17" s="72"/>
      <c r="SU17" s="72"/>
      <c r="SV17" s="72"/>
      <c r="SW17" s="72"/>
      <c r="SX17" s="72"/>
      <c r="SY17" s="72"/>
      <c r="SZ17" s="72"/>
      <c r="TA17" s="72"/>
      <c r="TB17" s="72"/>
      <c r="TC17" s="72"/>
      <c r="TD17" s="72"/>
      <c r="TE17" s="72"/>
      <c r="TF17" s="72"/>
      <c r="TG17" s="72"/>
      <c r="TH17" s="72"/>
      <c r="TI17" s="72"/>
      <c r="TJ17" s="72"/>
      <c r="TK17" s="72"/>
      <c r="TL17" s="72"/>
      <c r="TM17" s="72"/>
      <c r="TN17" s="72"/>
      <c r="TO17" s="72"/>
      <c r="TP17" s="72"/>
      <c r="TQ17" s="72"/>
      <c r="TR17" s="72"/>
      <c r="TS17" s="72"/>
      <c r="TT17" s="72"/>
      <c r="TU17" s="72"/>
      <c r="TV17" s="72"/>
      <c r="TW17" s="72"/>
      <c r="TX17" s="72"/>
      <c r="TY17" s="72"/>
      <c r="TZ17" s="72"/>
      <c r="UA17" s="72"/>
      <c r="UB17" s="72"/>
      <c r="UC17" s="72"/>
      <c r="UD17" s="72"/>
      <c r="UE17" s="72"/>
      <c r="UF17" s="72"/>
      <c r="UG17" s="72"/>
      <c r="UH17" s="72"/>
      <c r="UI17" s="72"/>
      <c r="UJ17" s="72"/>
      <c r="UK17" s="72"/>
      <c r="UL17" s="72"/>
      <c r="UM17" s="72"/>
      <c r="UN17" s="72"/>
      <c r="UO17" s="72"/>
      <c r="UP17" s="72"/>
      <c r="UQ17" s="72"/>
      <c r="UR17" s="72"/>
      <c r="US17" s="72"/>
      <c r="UT17" s="72"/>
      <c r="UU17" s="72"/>
      <c r="UV17" s="72"/>
      <c r="UW17" s="72"/>
      <c r="UX17" s="72"/>
      <c r="UY17" s="72"/>
      <c r="UZ17" s="72"/>
      <c r="VA17" s="72"/>
      <c r="VB17" s="72"/>
      <c r="VC17" s="72"/>
      <c r="VD17" s="72"/>
      <c r="VE17" s="72"/>
      <c r="VF17" s="72"/>
      <c r="VG17" s="72"/>
      <c r="VH17" s="72"/>
      <c r="VI17" s="72"/>
      <c r="VJ17" s="72"/>
      <c r="VK17" s="72"/>
      <c r="VL17" s="72"/>
      <c r="VM17" s="72"/>
      <c r="VN17" s="72"/>
      <c r="VO17" s="72"/>
      <c r="VP17" s="72"/>
      <c r="VQ17" s="72"/>
      <c r="VR17" s="72"/>
      <c r="VS17" s="72"/>
      <c r="VT17" s="72"/>
      <c r="VU17" s="72"/>
      <c r="VV17" s="72"/>
      <c r="VW17" s="72"/>
      <c r="VX17" s="72"/>
      <c r="VY17" s="72"/>
      <c r="VZ17" s="72"/>
      <c r="WA17" s="72"/>
      <c r="WB17" s="72"/>
      <c r="WC17" s="72"/>
      <c r="WD17" s="72"/>
      <c r="WE17" s="72"/>
      <c r="WF17" s="72"/>
      <c r="WG17" s="72"/>
      <c r="WH17" s="72"/>
      <c r="WI17" s="72"/>
      <c r="WJ17" s="72"/>
      <c r="WK17" s="72"/>
      <c r="WL17" s="72"/>
      <c r="WM17" s="72"/>
      <c r="WN17" s="72"/>
      <c r="WO17" s="72"/>
      <c r="WP17" s="72"/>
      <c r="WQ17" s="72"/>
      <c r="WR17" s="72"/>
      <c r="WS17" s="72"/>
      <c r="WT17" s="72"/>
      <c r="WU17" s="72"/>
      <c r="WV17" s="72"/>
      <c r="WW17" s="72"/>
      <c r="WX17" s="72"/>
      <c r="WY17" s="72"/>
      <c r="WZ17" s="72"/>
      <c r="XA17" s="72"/>
      <c r="XB17" s="72"/>
      <c r="XC17" s="72"/>
      <c r="XD17" s="72"/>
      <c r="XE17" s="72"/>
      <c r="XF17" s="72"/>
      <c r="XG17" s="72"/>
      <c r="XH17" s="72"/>
      <c r="XI17" s="72"/>
      <c r="XJ17" s="72"/>
      <c r="XK17" s="72"/>
      <c r="XL17" s="72"/>
      <c r="XM17" s="72"/>
      <c r="XN17" s="72"/>
      <c r="XO17" s="72"/>
      <c r="XP17" s="72"/>
      <c r="XQ17" s="72"/>
      <c r="XR17" s="72"/>
      <c r="XS17" s="72"/>
      <c r="XT17" s="72"/>
      <c r="XU17" s="72"/>
      <c r="XV17" s="72"/>
      <c r="XW17" s="72"/>
      <c r="XX17" s="72"/>
      <c r="XY17" s="72"/>
      <c r="XZ17" s="72"/>
      <c r="YA17" s="72"/>
      <c r="YB17" s="72"/>
      <c r="YC17" s="72"/>
      <c r="YD17" s="72"/>
      <c r="YE17" s="72"/>
      <c r="YF17" s="72"/>
      <c r="YG17" s="72"/>
      <c r="YH17" s="72"/>
      <c r="YI17" s="72"/>
      <c r="YJ17" s="72"/>
      <c r="YK17" s="72"/>
      <c r="YL17" s="72"/>
      <c r="YM17" s="72"/>
      <c r="YN17" s="72"/>
      <c r="YO17" s="72"/>
      <c r="YP17" s="72"/>
      <c r="YQ17" s="72"/>
      <c r="YR17" s="72"/>
      <c r="YS17" s="72"/>
      <c r="YT17" s="72"/>
      <c r="YU17" s="72"/>
      <c r="YV17" s="72"/>
      <c r="YW17" s="72"/>
      <c r="YX17" s="72"/>
      <c r="YY17" s="72"/>
      <c r="YZ17" s="72"/>
      <c r="ZA17" s="72"/>
      <c r="ZB17" s="72"/>
      <c r="ZC17" s="72"/>
      <c r="ZD17" s="72"/>
      <c r="ZE17" s="72"/>
      <c r="ZF17" s="72"/>
      <c r="ZG17" s="72"/>
      <c r="ZH17" s="72"/>
      <c r="ZI17" s="72"/>
      <c r="ZJ17" s="72"/>
      <c r="ZK17" s="72"/>
      <c r="ZL17" s="72"/>
      <c r="ZM17" s="72"/>
      <c r="ZN17" s="72"/>
      <c r="ZO17" s="72"/>
      <c r="ZP17" s="72"/>
      <c r="ZQ17" s="72"/>
      <c r="ZR17" s="72"/>
      <c r="ZS17" s="72"/>
      <c r="ZT17" s="72"/>
      <c r="ZU17" s="72"/>
      <c r="ZV17" s="72"/>
      <c r="ZW17" s="72"/>
      <c r="ZX17" s="72"/>
      <c r="ZY17" s="72"/>
      <c r="ZZ17" s="72"/>
      <c r="AAA17" s="72"/>
      <c r="AAB17" s="72"/>
      <c r="AAC17" s="72"/>
      <c r="AAD17" s="72"/>
      <c r="AAE17" s="72"/>
      <c r="AAF17" s="72"/>
      <c r="AAG17" s="72"/>
      <c r="AAH17" s="72"/>
      <c r="AAI17" s="72"/>
      <c r="AAJ17" s="72"/>
      <c r="AAK17" s="72"/>
      <c r="AAL17" s="72"/>
      <c r="AAM17" s="72"/>
      <c r="AAN17" s="72"/>
      <c r="AAO17" s="72"/>
      <c r="AAP17" s="72"/>
      <c r="AAQ17" s="72"/>
      <c r="AAR17" s="72"/>
      <c r="AAS17" s="72"/>
      <c r="AAT17" s="72"/>
      <c r="AAU17" s="72"/>
      <c r="AAV17" s="72"/>
      <c r="AAW17" s="72"/>
      <c r="AAX17" s="72"/>
      <c r="AAY17" s="72"/>
      <c r="AAZ17" s="72"/>
      <c r="ABA17" s="72"/>
      <c r="ABB17" s="72"/>
      <c r="ABC17" s="72"/>
      <c r="ABD17" s="72"/>
      <c r="ABE17" s="72"/>
      <c r="ABF17" s="72"/>
      <c r="ABG17" s="72"/>
      <c r="ABH17" s="72"/>
      <c r="ABI17" s="72"/>
      <c r="ABJ17" s="72"/>
      <c r="ABK17" s="72"/>
      <c r="ABL17" s="72"/>
      <c r="ABM17" s="72"/>
      <c r="ABN17" s="72"/>
      <c r="ABO17" s="72"/>
      <c r="ABP17" s="72"/>
      <c r="ABQ17" s="72"/>
      <c r="ABR17" s="72"/>
      <c r="ABS17" s="72"/>
      <c r="ABT17" s="72"/>
      <c r="ABU17" s="72"/>
      <c r="ABV17" s="72"/>
      <c r="ABW17" s="72"/>
      <c r="ABX17" s="72"/>
      <c r="ABY17" s="72"/>
      <c r="ABZ17" s="72"/>
      <c r="ACA17" s="72"/>
      <c r="ACB17" s="72"/>
      <c r="ACC17" s="72"/>
      <c r="ACD17" s="72"/>
      <c r="ACE17" s="72"/>
      <c r="ACF17" s="72"/>
      <c r="ACG17" s="72"/>
      <c r="ACH17" s="72"/>
      <c r="ACI17" s="72"/>
      <c r="ACJ17" s="72"/>
      <c r="ACK17" s="72"/>
      <c r="ACL17" s="72"/>
      <c r="ACM17" s="72"/>
      <c r="ACN17" s="72"/>
      <c r="ACO17" s="72"/>
      <c r="ACP17" s="72"/>
      <c r="ACQ17" s="72"/>
      <c r="ACR17" s="72"/>
      <c r="ACS17" s="72"/>
      <c r="ACT17" s="72"/>
      <c r="ACU17" s="72"/>
      <c r="ACV17" s="72"/>
      <c r="ACW17" s="72"/>
      <c r="ACX17" s="72"/>
      <c r="ACY17" s="72"/>
      <c r="ACZ17" s="72"/>
      <c r="ADA17" s="72"/>
      <c r="ADB17" s="72"/>
      <c r="ADC17" s="72"/>
      <c r="ADD17" s="72"/>
      <c r="ADE17" s="72"/>
      <c r="ADF17" s="72"/>
      <c r="ADG17" s="72"/>
      <c r="ADH17" s="72"/>
      <c r="ADI17" s="72"/>
      <c r="ADJ17" s="72"/>
      <c r="ADK17" s="72"/>
      <c r="ADL17" s="72"/>
      <c r="ADM17" s="72"/>
      <c r="ADN17" s="72"/>
      <c r="ADO17" s="72"/>
      <c r="ADP17" s="72"/>
      <c r="ADQ17" s="72"/>
      <c r="ADR17" s="72"/>
      <c r="ADS17" s="72"/>
      <c r="ADT17" s="72"/>
      <c r="ADU17" s="72"/>
      <c r="ADV17" s="72"/>
      <c r="ADW17" s="72"/>
      <c r="ADX17" s="72"/>
      <c r="ADY17" s="72"/>
      <c r="ADZ17" s="72"/>
      <c r="AEA17" s="72"/>
      <c r="AEB17" s="72"/>
      <c r="AEC17" s="72"/>
      <c r="AED17" s="72"/>
      <c r="AEE17" s="72"/>
      <c r="AEF17" s="72"/>
      <c r="AEG17" s="72"/>
      <c r="AEH17" s="72"/>
      <c r="AEI17" s="72"/>
      <c r="AEJ17" s="72"/>
      <c r="AEK17" s="72"/>
      <c r="AEL17" s="72"/>
      <c r="AEM17" s="72"/>
      <c r="AEN17" s="72"/>
      <c r="AEO17" s="72"/>
      <c r="AEP17" s="72"/>
      <c r="AEQ17" s="72"/>
      <c r="AER17" s="72"/>
      <c r="AES17" s="72"/>
      <c r="AET17" s="72"/>
      <c r="AEU17" s="72"/>
      <c r="AEV17" s="72"/>
      <c r="AEW17" s="72"/>
      <c r="AEX17" s="72"/>
      <c r="AEY17" s="72"/>
      <c r="AEZ17" s="72"/>
      <c r="AFA17" s="72"/>
      <c r="AFB17" s="72"/>
      <c r="AFC17" s="72"/>
      <c r="AFD17" s="72"/>
      <c r="AFE17" s="72"/>
      <c r="AFF17" s="72"/>
      <c r="AFG17" s="72"/>
      <c r="AFH17" s="72"/>
      <c r="AFI17" s="72"/>
      <c r="AFJ17" s="72"/>
      <c r="AFK17" s="72"/>
      <c r="AFL17" s="72"/>
      <c r="AFM17" s="72"/>
      <c r="AFN17" s="72"/>
      <c r="AFO17" s="72"/>
      <c r="AFP17" s="72"/>
      <c r="AFQ17" s="72"/>
      <c r="AFR17" s="72"/>
      <c r="AFS17" s="72"/>
      <c r="AFT17" s="72"/>
      <c r="AFU17" s="72"/>
      <c r="AFV17" s="72"/>
      <c r="AFW17" s="72"/>
      <c r="AFX17" s="72"/>
      <c r="AFY17" s="72"/>
      <c r="AFZ17" s="72"/>
      <c r="AGA17" s="72"/>
      <c r="AGB17" s="72"/>
      <c r="AGC17" s="72"/>
      <c r="AGD17" s="72"/>
      <c r="AGE17" s="72"/>
      <c r="AGF17" s="72"/>
      <c r="AGG17" s="72"/>
      <c r="AGH17" s="72"/>
      <c r="AGI17" s="72"/>
      <c r="AGJ17" s="72"/>
      <c r="AGK17" s="72"/>
      <c r="AGL17" s="72"/>
      <c r="AGM17" s="72"/>
      <c r="AGN17" s="72"/>
      <c r="AGO17" s="72"/>
      <c r="AGP17" s="72"/>
      <c r="AGQ17" s="72"/>
      <c r="AGR17" s="72"/>
      <c r="AGS17" s="72"/>
      <c r="AGT17" s="72"/>
      <c r="AGU17" s="72"/>
      <c r="AGV17" s="72"/>
      <c r="AGW17" s="72"/>
      <c r="AGX17" s="72"/>
      <c r="AGY17" s="72"/>
      <c r="AGZ17" s="72"/>
      <c r="AHA17" s="72"/>
      <c r="AHB17" s="72"/>
      <c r="AHC17" s="72"/>
      <c r="AHD17" s="72"/>
      <c r="AHE17" s="72"/>
      <c r="AHF17" s="72"/>
      <c r="AHG17" s="72"/>
      <c r="AHH17" s="72"/>
      <c r="AHI17" s="72"/>
      <c r="AHJ17" s="72"/>
      <c r="AHK17" s="72"/>
      <c r="AHL17" s="72"/>
      <c r="AHM17" s="72"/>
      <c r="AHN17" s="72"/>
      <c r="AHO17" s="72"/>
      <c r="AHP17" s="72"/>
      <c r="AHQ17" s="72"/>
      <c r="AHR17" s="72"/>
      <c r="AHS17" s="72"/>
      <c r="AHT17" s="72"/>
      <c r="AHU17" s="72"/>
      <c r="AHV17" s="72"/>
      <c r="AHW17" s="72"/>
      <c r="AHX17" s="72"/>
      <c r="AHY17" s="72"/>
      <c r="AHZ17" s="72"/>
      <c r="AIA17" s="72"/>
      <c r="AIB17" s="72"/>
      <c r="AIC17" s="72"/>
      <c r="AID17" s="72"/>
      <c r="AIE17" s="72"/>
      <c r="AIF17" s="72"/>
      <c r="AIG17" s="72"/>
      <c r="AIH17" s="72"/>
      <c r="AII17" s="72"/>
      <c r="AIJ17" s="72"/>
      <c r="AIK17" s="72"/>
      <c r="AIL17" s="72"/>
      <c r="AIM17" s="72"/>
      <c r="AIN17" s="72"/>
      <c r="AIO17" s="72"/>
      <c r="AIP17" s="72"/>
      <c r="AIQ17" s="72"/>
      <c r="AIR17" s="72"/>
      <c r="AIS17" s="72"/>
      <c r="AIT17" s="72"/>
      <c r="AIU17" s="72"/>
      <c r="AIV17" s="72"/>
      <c r="AIW17" s="72"/>
      <c r="AIX17" s="72"/>
      <c r="AIY17" s="72"/>
      <c r="AIZ17" s="72"/>
      <c r="AJA17" s="72"/>
      <c r="AJB17" s="72"/>
      <c r="AJC17" s="72"/>
      <c r="AJD17" s="72"/>
      <c r="AJE17" s="72"/>
      <c r="AJF17" s="72"/>
      <c r="AJG17" s="72"/>
      <c r="AJH17" s="72"/>
      <c r="AJI17" s="72"/>
      <c r="AJJ17" s="72"/>
      <c r="AJK17" s="72"/>
      <c r="AJL17" s="72"/>
      <c r="AJM17" s="72"/>
      <c r="AJN17" s="72"/>
      <c r="AJO17" s="72"/>
      <c r="AJP17" s="72"/>
      <c r="AJQ17" s="72"/>
      <c r="AJR17" s="72"/>
      <c r="AJS17" s="72"/>
      <c r="AJT17" s="72"/>
      <c r="AJU17" s="72"/>
      <c r="AJV17" s="72"/>
      <c r="AJW17" s="72"/>
      <c r="AJX17" s="72"/>
      <c r="AJY17" s="72"/>
      <c r="AJZ17" s="72"/>
      <c r="AKA17" s="72"/>
      <c r="AKB17" s="72"/>
      <c r="AKC17" s="72"/>
      <c r="AKD17" s="72"/>
      <c r="AKE17" s="72"/>
      <c r="AKF17" s="72"/>
      <c r="AKG17" s="72"/>
      <c r="AKH17" s="72"/>
      <c r="AKI17" s="72"/>
      <c r="AKJ17" s="72"/>
      <c r="AKK17" s="72"/>
      <c r="AKL17" s="72"/>
      <c r="AKM17" s="72"/>
      <c r="AKN17" s="72"/>
      <c r="AKO17" s="72"/>
      <c r="AKP17" s="72"/>
      <c r="AKQ17" s="72"/>
      <c r="AKR17" s="72"/>
      <c r="AKS17" s="72"/>
      <c r="AKT17" s="72"/>
      <c r="AKU17" s="72"/>
      <c r="AKV17" s="72"/>
      <c r="AKW17" s="72"/>
      <c r="AKX17" s="72"/>
      <c r="AKY17" s="72"/>
      <c r="AKZ17" s="72"/>
      <c r="ALA17" s="72"/>
      <c r="ALB17" s="72"/>
      <c r="ALC17" s="72"/>
      <c r="ALD17" s="72"/>
      <c r="ALE17" s="72"/>
      <c r="ALF17" s="72"/>
      <c r="ALG17" s="72"/>
      <c r="ALH17" s="72"/>
      <c r="ALI17" s="72"/>
      <c r="ALJ17" s="72"/>
      <c r="ALK17" s="72"/>
      <c r="ALL17" s="72"/>
      <c r="ALM17" s="72"/>
      <c r="ALN17" s="72"/>
      <c r="ALO17" s="72"/>
      <c r="ALP17" s="72"/>
      <c r="ALQ17" s="72"/>
      <c r="ALR17" s="72"/>
      <c r="ALS17" s="72"/>
      <c r="ALT17" s="72"/>
      <c r="ALU17" s="72"/>
      <c r="ALV17" s="72"/>
      <c r="ALW17" s="72"/>
      <c r="ALX17" s="72"/>
      <c r="ALY17" s="72"/>
      <c r="ALZ17" s="72"/>
      <c r="AMA17" s="72"/>
      <c r="AMB17" s="72"/>
      <c r="AMC17" s="72"/>
      <c r="AMD17" s="72"/>
      <c r="AME17" s="72"/>
      <c r="AMF17" s="72"/>
      <c r="AMG17" s="72"/>
      <c r="AMH17" s="72"/>
      <c r="AMI17" s="72"/>
      <c r="AMJ17" s="72"/>
      <c r="AMK17" s="72"/>
      <c r="AML17" s="72"/>
      <c r="AMM17" s="72"/>
      <c r="AMN17" s="72"/>
      <c r="AMO17" s="72"/>
      <c r="AMP17" s="72"/>
      <c r="AMQ17" s="72"/>
      <c r="AMR17" s="72"/>
      <c r="AMS17" s="72"/>
      <c r="AMT17" s="72"/>
      <c r="AMU17" s="72"/>
      <c r="AMV17" s="72"/>
      <c r="AMW17" s="72"/>
      <c r="AMX17" s="72"/>
      <c r="AMY17" s="72"/>
      <c r="AMZ17" s="72"/>
      <c r="ANA17" s="72"/>
      <c r="ANB17" s="72"/>
      <c r="ANC17" s="72"/>
      <c r="AND17" s="72"/>
      <c r="ANE17" s="72"/>
      <c r="ANF17" s="72"/>
      <c r="ANG17" s="72"/>
      <c r="ANH17" s="72"/>
      <c r="ANI17" s="72"/>
      <c r="ANJ17" s="72"/>
      <c r="ANK17" s="72"/>
      <c r="ANL17" s="72"/>
      <c r="ANM17" s="72"/>
      <c r="ANN17" s="72"/>
      <c r="ANO17" s="72"/>
      <c r="ANP17" s="72"/>
      <c r="ANQ17" s="72"/>
      <c r="ANR17" s="72"/>
      <c r="ANS17" s="72"/>
      <c r="ANT17" s="72"/>
      <c r="ANU17" s="72"/>
      <c r="ANV17" s="72"/>
      <c r="ANW17" s="72"/>
      <c r="ANX17" s="72"/>
      <c r="ANY17" s="72"/>
      <c r="ANZ17" s="72"/>
      <c r="AOA17" s="72"/>
      <c r="AOB17" s="72"/>
      <c r="AOC17" s="72"/>
      <c r="AOD17" s="72"/>
      <c r="AOE17" s="72"/>
      <c r="AOF17" s="72"/>
      <c r="AOG17" s="72"/>
      <c r="AOH17" s="72"/>
      <c r="AOI17" s="72"/>
      <c r="AOJ17" s="72"/>
      <c r="AOK17" s="72"/>
      <c r="AOL17" s="72"/>
      <c r="AOM17" s="72"/>
      <c r="AON17" s="72"/>
      <c r="AOO17" s="72"/>
      <c r="AOP17" s="72"/>
      <c r="AOQ17" s="72"/>
      <c r="AOR17" s="72"/>
      <c r="AOS17" s="72"/>
      <c r="AOT17" s="72"/>
      <c r="AOU17" s="72"/>
      <c r="AOV17" s="72"/>
      <c r="AOW17" s="72"/>
      <c r="AOX17" s="72"/>
      <c r="AOY17" s="72"/>
      <c r="AOZ17" s="72"/>
      <c r="APA17" s="72"/>
      <c r="APB17" s="72"/>
      <c r="APC17" s="72"/>
      <c r="APD17" s="72"/>
      <c r="APE17" s="72"/>
      <c r="APF17" s="72"/>
      <c r="APG17" s="72"/>
      <c r="APH17" s="72"/>
      <c r="API17" s="72"/>
      <c r="APJ17" s="72"/>
      <c r="APK17" s="72"/>
      <c r="APL17" s="72"/>
      <c r="APM17" s="72"/>
      <c r="APN17" s="72"/>
      <c r="APO17" s="72"/>
      <c r="APP17" s="72"/>
      <c r="APQ17" s="72"/>
      <c r="APR17" s="72"/>
      <c r="APS17" s="72"/>
      <c r="APT17" s="72"/>
      <c r="APU17" s="72"/>
      <c r="APV17" s="72"/>
      <c r="APW17" s="72"/>
      <c r="APX17" s="72"/>
      <c r="APY17" s="72"/>
      <c r="APZ17" s="72"/>
      <c r="AQA17" s="72"/>
      <c r="AQB17" s="72"/>
      <c r="AQC17" s="72"/>
      <c r="AQD17" s="72"/>
      <c r="AQE17" s="72"/>
      <c r="AQF17" s="72"/>
      <c r="AQG17" s="72"/>
      <c r="AQH17" s="72"/>
      <c r="AQI17" s="72"/>
      <c r="AQJ17" s="72"/>
      <c r="AQK17" s="72"/>
      <c r="AQL17" s="72"/>
      <c r="AQM17" s="72"/>
      <c r="AQN17" s="72"/>
      <c r="AQO17" s="72"/>
      <c r="AQP17" s="72"/>
      <c r="AQQ17" s="72"/>
      <c r="AQR17" s="72"/>
      <c r="AQS17" s="72"/>
      <c r="AQT17" s="72"/>
      <c r="AQU17" s="72"/>
      <c r="AQV17" s="72"/>
      <c r="AQW17" s="72"/>
      <c r="AQX17" s="72"/>
      <c r="AQY17" s="72"/>
      <c r="AQZ17" s="72"/>
      <c r="ARA17" s="72"/>
      <c r="ARB17" s="72"/>
      <c r="ARC17" s="72"/>
      <c r="ARD17" s="72"/>
      <c r="ARE17" s="72"/>
      <c r="ARF17" s="72"/>
      <c r="ARG17" s="72"/>
      <c r="ARH17" s="72"/>
      <c r="ARI17" s="72"/>
      <c r="ARJ17" s="72"/>
      <c r="ARK17" s="72"/>
      <c r="ARL17" s="72"/>
      <c r="ARM17" s="72"/>
      <c r="ARN17" s="72"/>
      <c r="ARO17" s="72"/>
      <c r="ARP17" s="72"/>
      <c r="ARQ17" s="72"/>
      <c r="ARR17" s="72"/>
      <c r="ARS17" s="72"/>
      <c r="ART17" s="72"/>
      <c r="ARU17" s="72"/>
      <c r="ARV17" s="72"/>
      <c r="ARW17" s="72"/>
      <c r="ARX17" s="72"/>
      <c r="ARY17" s="72"/>
      <c r="ARZ17" s="72"/>
      <c r="ASA17" s="72"/>
      <c r="ASB17" s="72"/>
      <c r="ASC17" s="72"/>
      <c r="ASD17" s="72"/>
      <c r="ASE17" s="72"/>
      <c r="ASF17" s="72"/>
      <c r="ASG17" s="72"/>
      <c r="ASH17" s="72"/>
      <c r="ASI17" s="72"/>
      <c r="ASJ17" s="72"/>
      <c r="ASK17" s="72"/>
      <c r="ASL17" s="72"/>
      <c r="ASM17" s="72"/>
      <c r="ASN17" s="72"/>
      <c r="ASO17" s="72"/>
      <c r="ASP17" s="72"/>
      <c r="ASQ17" s="72"/>
      <c r="ASR17" s="72"/>
      <c r="ASS17" s="72"/>
      <c r="AST17" s="72"/>
      <c r="ASU17" s="72"/>
      <c r="ASV17" s="72"/>
      <c r="ASW17" s="72"/>
      <c r="ASX17" s="72"/>
      <c r="ASY17" s="72"/>
      <c r="ASZ17" s="72"/>
      <c r="ATA17" s="72"/>
      <c r="ATB17" s="72"/>
      <c r="ATC17" s="72"/>
      <c r="ATD17" s="72"/>
      <c r="ATE17" s="72"/>
      <c r="ATF17" s="72"/>
      <c r="ATG17" s="72"/>
      <c r="ATH17" s="72"/>
      <c r="ATI17" s="72"/>
      <c r="ATJ17" s="72"/>
      <c r="ATK17" s="72"/>
      <c r="ATL17" s="72"/>
      <c r="ATM17" s="72"/>
      <c r="ATN17" s="72"/>
      <c r="ATO17" s="72"/>
      <c r="ATP17" s="72"/>
      <c r="ATQ17" s="72"/>
      <c r="ATR17" s="72"/>
      <c r="ATS17" s="72"/>
      <c r="ATT17" s="72"/>
      <c r="ATU17" s="72"/>
      <c r="ATV17" s="72"/>
      <c r="ATW17" s="72"/>
      <c r="ATX17" s="72"/>
      <c r="ATY17" s="72"/>
      <c r="ATZ17" s="72"/>
      <c r="AUA17" s="72"/>
      <c r="AUB17" s="72"/>
      <c r="AUC17" s="72"/>
      <c r="AUD17" s="72"/>
      <c r="AUE17" s="72"/>
      <c r="AUF17" s="72"/>
      <c r="AUG17" s="72"/>
      <c r="AUH17" s="72"/>
      <c r="AUI17" s="72"/>
      <c r="AUJ17" s="72"/>
      <c r="AUK17" s="72"/>
      <c r="AUL17" s="72"/>
      <c r="AUM17" s="72"/>
      <c r="AUN17" s="72"/>
      <c r="AUO17" s="72"/>
      <c r="AUP17" s="72"/>
      <c r="AUQ17" s="72"/>
      <c r="AUR17" s="72"/>
      <c r="AUS17" s="72"/>
      <c r="AUT17" s="72"/>
      <c r="AUU17" s="72"/>
      <c r="AUV17" s="72"/>
      <c r="AUW17" s="72"/>
      <c r="AUX17" s="72"/>
      <c r="AUY17" s="72"/>
      <c r="AUZ17" s="72"/>
      <c r="AVA17" s="72"/>
      <c r="AVB17" s="72"/>
      <c r="AVC17" s="72"/>
      <c r="AVD17" s="72"/>
      <c r="AVE17" s="72"/>
      <c r="AVF17" s="72"/>
      <c r="AVG17" s="72"/>
      <c r="AVH17" s="72"/>
      <c r="AVI17" s="72"/>
      <c r="AVJ17" s="72"/>
      <c r="AVK17" s="72"/>
      <c r="AVL17" s="72"/>
      <c r="AVM17" s="72"/>
      <c r="AVN17" s="72"/>
      <c r="AVO17" s="72"/>
      <c r="AVP17" s="72"/>
      <c r="AVQ17" s="72"/>
      <c r="AVR17" s="72"/>
      <c r="AVS17" s="72"/>
      <c r="AVT17" s="72"/>
      <c r="AVU17" s="72"/>
      <c r="AVV17" s="72"/>
      <c r="AVW17" s="72"/>
      <c r="AVX17" s="72"/>
      <c r="AVY17" s="72"/>
      <c r="AVZ17" s="72"/>
      <c r="AWA17" s="72"/>
      <c r="AWB17" s="72"/>
      <c r="AWC17" s="72"/>
      <c r="AWD17" s="72"/>
      <c r="AWE17" s="72"/>
      <c r="AWF17" s="72"/>
      <c r="AWG17" s="72"/>
      <c r="AWH17" s="72"/>
      <c r="AWI17" s="72"/>
      <c r="AWJ17" s="72"/>
      <c r="AWK17" s="72"/>
      <c r="AWL17" s="72"/>
      <c r="AWM17" s="72"/>
      <c r="AWN17" s="72"/>
      <c r="AWO17" s="72"/>
      <c r="AWP17" s="72"/>
      <c r="AWQ17" s="72"/>
      <c r="AWR17" s="72"/>
      <c r="AWS17" s="72"/>
      <c r="AWT17" s="72"/>
      <c r="AWU17" s="72"/>
      <c r="AWV17" s="72"/>
      <c r="AWW17" s="72"/>
      <c r="AWX17" s="72"/>
      <c r="AWY17" s="72"/>
      <c r="AWZ17" s="72"/>
      <c r="AXA17" s="72"/>
      <c r="AXB17" s="72"/>
      <c r="AXC17" s="72"/>
      <c r="AXD17" s="72"/>
      <c r="AXE17" s="72"/>
      <c r="AXF17" s="72"/>
      <c r="AXG17" s="72"/>
      <c r="AXH17" s="72"/>
      <c r="AXI17" s="72"/>
      <c r="AXJ17" s="72"/>
      <c r="AXK17" s="72"/>
      <c r="AXL17" s="72"/>
      <c r="AXM17" s="72"/>
      <c r="AXN17" s="72"/>
      <c r="AXO17" s="72"/>
      <c r="AXP17" s="72"/>
      <c r="AXQ17" s="72"/>
      <c r="AXR17" s="72"/>
      <c r="AXS17" s="72"/>
      <c r="AXT17" s="72"/>
      <c r="AXU17" s="72"/>
      <c r="AXV17" s="72"/>
      <c r="AXW17" s="72"/>
      <c r="AXX17" s="72"/>
      <c r="AXY17" s="72"/>
      <c r="AXZ17" s="72"/>
      <c r="AYA17" s="72"/>
      <c r="AYB17" s="72"/>
      <c r="AYC17" s="72"/>
      <c r="AYD17" s="72"/>
      <c r="AYE17" s="72"/>
      <c r="AYF17" s="72"/>
      <c r="AYG17" s="72"/>
      <c r="AYH17" s="72"/>
      <c r="AYI17" s="72"/>
      <c r="AYJ17" s="72"/>
      <c r="AYK17" s="72"/>
      <c r="AYL17" s="72"/>
      <c r="AYM17" s="72"/>
      <c r="AYN17" s="72"/>
      <c r="AYO17" s="72"/>
      <c r="AYP17" s="72"/>
      <c r="AYQ17" s="72"/>
      <c r="AYR17" s="72"/>
      <c r="AYS17" s="72"/>
      <c r="AYT17" s="72"/>
      <c r="AYU17" s="72"/>
      <c r="AYV17" s="72"/>
      <c r="AYW17" s="72"/>
      <c r="AYX17" s="72"/>
      <c r="AYY17" s="72"/>
      <c r="AYZ17" s="72"/>
      <c r="AZA17" s="72"/>
      <c r="AZB17" s="72"/>
      <c r="AZC17" s="72"/>
      <c r="AZD17" s="72"/>
      <c r="AZE17" s="72"/>
      <c r="AZF17" s="72"/>
      <c r="AZG17" s="72"/>
      <c r="AZH17" s="72"/>
      <c r="AZI17" s="72"/>
      <c r="AZJ17" s="72"/>
      <c r="AZK17" s="72"/>
      <c r="AZL17" s="72"/>
      <c r="AZM17" s="72"/>
      <c r="AZN17" s="72"/>
      <c r="AZO17" s="72"/>
      <c r="AZP17" s="72"/>
      <c r="AZQ17" s="72"/>
      <c r="AZR17" s="72"/>
      <c r="AZS17" s="72"/>
      <c r="AZT17" s="72"/>
      <c r="AZU17" s="72"/>
      <c r="AZV17" s="72"/>
      <c r="AZW17" s="72"/>
      <c r="AZX17" s="72"/>
      <c r="AZY17" s="72"/>
      <c r="AZZ17" s="72"/>
      <c r="BAA17" s="72"/>
      <c r="BAB17" s="72"/>
      <c r="BAC17" s="72"/>
      <c r="BAD17" s="72"/>
      <c r="BAE17" s="72"/>
      <c r="BAF17" s="72"/>
      <c r="BAG17" s="72"/>
      <c r="BAH17" s="72"/>
      <c r="BAI17" s="72"/>
      <c r="BAJ17" s="72"/>
      <c r="BAK17" s="72"/>
      <c r="BAL17" s="72"/>
      <c r="BAM17" s="72"/>
      <c r="BAN17" s="72"/>
      <c r="BAO17" s="72"/>
      <c r="BAP17" s="72"/>
      <c r="BAQ17" s="72"/>
      <c r="BAR17" s="72"/>
      <c r="BAS17" s="72"/>
      <c r="BAT17" s="72"/>
      <c r="BAU17" s="72"/>
      <c r="BAV17" s="72"/>
      <c r="BAW17" s="72"/>
      <c r="BAX17" s="72"/>
      <c r="BAY17" s="72"/>
      <c r="BAZ17" s="72"/>
      <c r="BBA17" s="72"/>
      <c r="BBB17" s="72"/>
      <c r="BBC17" s="72"/>
      <c r="BBD17" s="72"/>
      <c r="BBE17" s="72"/>
      <c r="BBF17" s="72"/>
      <c r="BBG17" s="72"/>
      <c r="BBH17" s="72"/>
      <c r="BBI17" s="72"/>
      <c r="BBJ17" s="72"/>
      <c r="BBK17" s="72"/>
      <c r="BBL17" s="72"/>
      <c r="BBM17" s="72"/>
      <c r="BBN17" s="72"/>
      <c r="BBO17" s="72"/>
      <c r="BBP17" s="72"/>
      <c r="BBQ17" s="72"/>
      <c r="BBR17" s="72"/>
      <c r="BBS17" s="72"/>
      <c r="BBT17" s="72"/>
      <c r="BBU17" s="72"/>
      <c r="BBV17" s="72"/>
      <c r="BBW17" s="72"/>
      <c r="BBX17" s="72"/>
      <c r="BBY17" s="72"/>
      <c r="BBZ17" s="72"/>
      <c r="BCA17" s="72"/>
      <c r="BCB17" s="72"/>
      <c r="BCC17" s="72"/>
      <c r="BCD17" s="72"/>
      <c r="BCE17" s="72"/>
      <c r="BCF17" s="72"/>
      <c r="BCG17" s="72"/>
      <c r="BCH17" s="72"/>
      <c r="BCI17" s="72"/>
      <c r="BCJ17" s="72"/>
      <c r="BCK17" s="72"/>
      <c r="BCL17" s="72"/>
      <c r="BCM17" s="72"/>
      <c r="BCN17" s="72"/>
      <c r="BCO17" s="72"/>
      <c r="BCP17" s="72"/>
      <c r="BCQ17" s="72"/>
      <c r="BCR17" s="72"/>
      <c r="BCS17" s="72"/>
      <c r="BCT17" s="72"/>
      <c r="BCU17" s="72"/>
      <c r="BCV17" s="72"/>
      <c r="BCW17" s="72"/>
      <c r="BCX17" s="72"/>
      <c r="BCY17" s="72"/>
      <c r="BCZ17" s="72"/>
      <c r="BDA17" s="72"/>
      <c r="BDB17" s="72"/>
      <c r="BDC17" s="72"/>
      <c r="BDD17" s="72"/>
      <c r="BDE17" s="72"/>
      <c r="BDF17" s="72"/>
      <c r="BDG17" s="72"/>
      <c r="BDH17" s="72"/>
      <c r="BDI17" s="72"/>
      <c r="BDJ17" s="72"/>
      <c r="BDK17" s="72"/>
      <c r="BDL17" s="72"/>
      <c r="BDM17" s="72"/>
      <c r="BDN17" s="72"/>
      <c r="BDO17" s="72"/>
      <c r="BDP17" s="72"/>
      <c r="BDQ17" s="72"/>
      <c r="BDR17" s="72"/>
      <c r="BDS17" s="72"/>
      <c r="BDT17" s="72"/>
      <c r="BDU17" s="72"/>
      <c r="BDV17" s="72"/>
      <c r="BDW17" s="72"/>
      <c r="BDX17" s="72"/>
      <c r="BDY17" s="72"/>
      <c r="BDZ17" s="72"/>
      <c r="BEA17" s="72"/>
      <c r="BEB17" s="72"/>
      <c r="BEC17" s="72"/>
      <c r="BED17" s="72"/>
      <c r="BEE17" s="72"/>
      <c r="BEF17" s="72"/>
      <c r="BEG17" s="72"/>
      <c r="BEH17" s="72"/>
      <c r="BEI17" s="72"/>
      <c r="BEJ17" s="72"/>
      <c r="BEK17" s="72"/>
      <c r="BEL17" s="72"/>
      <c r="BEM17" s="72"/>
      <c r="BEN17" s="72"/>
      <c r="BEO17" s="72"/>
      <c r="BEP17" s="72"/>
      <c r="BEQ17" s="72"/>
      <c r="BER17" s="72"/>
      <c r="BES17" s="72"/>
      <c r="BET17" s="72"/>
      <c r="BEU17" s="72"/>
      <c r="BEV17" s="72"/>
      <c r="BEW17" s="72"/>
      <c r="BEX17" s="72"/>
      <c r="BEY17" s="72"/>
      <c r="BEZ17" s="72"/>
      <c r="BFA17" s="72"/>
      <c r="BFB17" s="72"/>
      <c r="BFC17" s="72"/>
      <c r="BFD17" s="72"/>
      <c r="BFE17" s="72"/>
      <c r="BFF17" s="72"/>
      <c r="BFG17" s="72"/>
      <c r="BFH17" s="72"/>
      <c r="BFI17" s="72"/>
      <c r="BFJ17" s="72"/>
      <c r="BFK17" s="72"/>
      <c r="BFL17" s="72"/>
      <c r="BFM17" s="72"/>
      <c r="BFN17" s="72"/>
      <c r="BFO17" s="72"/>
      <c r="BFP17" s="72"/>
      <c r="BFQ17" s="72"/>
      <c r="BFR17" s="72"/>
      <c r="BFS17" s="72"/>
      <c r="BFT17" s="72"/>
      <c r="BFU17" s="72"/>
      <c r="BFV17" s="72"/>
      <c r="BFW17" s="72"/>
      <c r="BFX17" s="72"/>
      <c r="BFY17" s="72"/>
      <c r="BFZ17" s="72"/>
      <c r="BGA17" s="72"/>
      <c r="BGB17" s="72"/>
      <c r="BGC17" s="72"/>
      <c r="BGD17" s="72"/>
      <c r="BGE17" s="72"/>
      <c r="BGF17" s="72"/>
      <c r="BGG17" s="72"/>
      <c r="BGH17" s="72"/>
      <c r="BGI17" s="72"/>
      <c r="BGJ17" s="72"/>
      <c r="BGK17" s="72"/>
      <c r="BGL17" s="72"/>
      <c r="BGM17" s="72"/>
      <c r="BGN17" s="72"/>
      <c r="BGO17" s="72"/>
      <c r="BGP17" s="72"/>
      <c r="BGQ17" s="72"/>
      <c r="BGR17" s="72"/>
      <c r="BGS17" s="72"/>
      <c r="BGT17" s="72"/>
      <c r="BGU17" s="72"/>
      <c r="BGV17" s="72"/>
      <c r="BGW17" s="72"/>
      <c r="BGX17" s="72"/>
      <c r="BGY17" s="72"/>
      <c r="BGZ17" s="72"/>
      <c r="BHA17" s="72"/>
      <c r="BHB17" s="72"/>
      <c r="BHC17" s="72"/>
      <c r="BHD17" s="72"/>
      <c r="BHE17" s="72"/>
      <c r="BHF17" s="72"/>
      <c r="BHG17" s="72"/>
      <c r="BHH17" s="72"/>
      <c r="BHI17" s="72"/>
      <c r="BHJ17" s="72"/>
      <c r="BHK17" s="72"/>
      <c r="BHL17" s="72"/>
      <c r="BHM17" s="72"/>
      <c r="BHN17" s="72"/>
      <c r="BHO17" s="72"/>
      <c r="BHP17" s="72"/>
      <c r="BHQ17" s="72"/>
      <c r="BHR17" s="72"/>
      <c r="BHS17" s="72"/>
      <c r="BHT17" s="72"/>
      <c r="BHU17" s="72"/>
      <c r="BHV17" s="72"/>
      <c r="BHW17" s="72"/>
      <c r="BHX17" s="72"/>
      <c r="BHY17" s="72"/>
      <c r="BHZ17" s="72"/>
      <c r="BIA17" s="72"/>
      <c r="BIB17" s="72"/>
      <c r="BIC17" s="72"/>
      <c r="BID17" s="72"/>
      <c r="BIE17" s="72"/>
      <c r="BIF17" s="72"/>
      <c r="BIG17" s="72"/>
      <c r="BIH17" s="72"/>
      <c r="BII17" s="72"/>
      <c r="BIJ17" s="72"/>
      <c r="BIK17" s="72"/>
      <c r="BIL17" s="72"/>
      <c r="BIM17" s="72"/>
      <c r="BIN17" s="72"/>
      <c r="BIO17" s="72"/>
      <c r="BIP17" s="72"/>
      <c r="BIQ17" s="72"/>
      <c r="BIR17" s="72"/>
      <c r="BIS17" s="72"/>
      <c r="BIT17" s="72"/>
      <c r="BIU17" s="72"/>
      <c r="BIV17" s="72"/>
      <c r="BIW17" s="72"/>
      <c r="BIX17" s="72"/>
      <c r="BIY17" s="72"/>
      <c r="BIZ17" s="72"/>
      <c r="BJA17" s="72"/>
      <c r="BJB17" s="72"/>
      <c r="BJC17" s="72"/>
      <c r="BJD17" s="72"/>
      <c r="BJE17" s="72"/>
      <c r="BJF17" s="72"/>
      <c r="BJG17" s="72"/>
      <c r="BJH17" s="72"/>
      <c r="BJI17" s="72"/>
      <c r="BJJ17" s="72"/>
      <c r="BJK17" s="72"/>
      <c r="BJL17" s="72"/>
      <c r="BJM17" s="72"/>
      <c r="BJN17" s="72"/>
      <c r="BJO17" s="72"/>
      <c r="BJP17" s="72"/>
      <c r="BJQ17" s="72"/>
      <c r="BJR17" s="72"/>
      <c r="BJS17" s="72"/>
      <c r="BJT17" s="72"/>
      <c r="BJU17" s="72"/>
      <c r="BJV17" s="72"/>
      <c r="BJW17" s="72"/>
      <c r="BJX17" s="72"/>
      <c r="BJY17" s="72"/>
      <c r="BJZ17" s="72"/>
      <c r="BKA17" s="72"/>
      <c r="BKB17" s="72"/>
      <c r="BKC17" s="72"/>
      <c r="BKD17" s="72"/>
      <c r="BKE17" s="72"/>
      <c r="BKF17" s="72"/>
      <c r="BKG17" s="72"/>
      <c r="BKH17" s="72"/>
      <c r="BKI17" s="72"/>
      <c r="BKJ17" s="72"/>
      <c r="BKK17" s="72"/>
      <c r="BKL17" s="72"/>
      <c r="BKM17" s="72"/>
      <c r="BKN17" s="72"/>
      <c r="BKO17" s="72"/>
      <c r="BKP17" s="72"/>
      <c r="BKQ17" s="72"/>
      <c r="BKR17" s="72"/>
      <c r="BKS17" s="72"/>
      <c r="BKT17" s="72"/>
      <c r="BKU17" s="72"/>
      <c r="BKV17" s="72"/>
      <c r="BKW17" s="72"/>
      <c r="BKX17" s="72"/>
      <c r="BKY17" s="72"/>
      <c r="BKZ17" s="72"/>
      <c r="BLA17" s="72"/>
      <c r="BLB17" s="72"/>
      <c r="BLC17" s="72"/>
      <c r="BLD17" s="72"/>
      <c r="BLE17" s="72"/>
      <c r="BLF17" s="72"/>
      <c r="BLG17" s="72"/>
      <c r="BLH17" s="72"/>
      <c r="BLI17" s="72"/>
      <c r="BLJ17" s="72"/>
      <c r="BLK17" s="72"/>
      <c r="BLL17" s="72"/>
      <c r="BLM17" s="72"/>
      <c r="BLN17" s="72"/>
      <c r="BLO17" s="72"/>
      <c r="BLP17" s="72"/>
      <c r="BLQ17" s="72"/>
      <c r="BLR17" s="72"/>
      <c r="BLS17" s="72"/>
      <c r="BLT17" s="72"/>
      <c r="BLU17" s="72"/>
      <c r="BLV17" s="72"/>
      <c r="BLW17" s="72"/>
      <c r="BLX17" s="72"/>
      <c r="BLY17" s="72"/>
      <c r="BLZ17" s="72"/>
      <c r="BMA17" s="72"/>
      <c r="BMB17" s="72"/>
      <c r="BMC17" s="72"/>
      <c r="BMD17" s="72"/>
      <c r="BME17" s="72"/>
      <c r="BMF17" s="72"/>
      <c r="BMG17" s="72"/>
      <c r="BMH17" s="72"/>
      <c r="BMI17" s="72"/>
      <c r="BMJ17" s="72"/>
      <c r="BMK17" s="72"/>
      <c r="BML17" s="72"/>
      <c r="BMM17" s="72"/>
      <c r="BMN17" s="72"/>
      <c r="BMO17" s="72"/>
      <c r="BMP17" s="72"/>
      <c r="BMQ17" s="72"/>
      <c r="BMR17" s="72"/>
      <c r="BMS17" s="72"/>
      <c r="BMT17" s="72"/>
      <c r="BMU17" s="72"/>
      <c r="BMV17" s="72"/>
      <c r="BMW17" s="72"/>
      <c r="BMX17" s="72"/>
      <c r="BMY17" s="72"/>
      <c r="BMZ17" s="72"/>
      <c r="BNA17" s="72"/>
      <c r="BNB17" s="72"/>
      <c r="BNC17" s="72"/>
      <c r="BND17" s="72"/>
      <c r="BNE17" s="72"/>
      <c r="BNF17" s="72"/>
      <c r="BNG17" s="72"/>
      <c r="BNH17" s="72"/>
      <c r="BNI17" s="72"/>
      <c r="BNJ17" s="72"/>
      <c r="BNK17" s="72"/>
      <c r="BNL17" s="72"/>
      <c r="BNM17" s="72"/>
      <c r="BNN17" s="72"/>
      <c r="BNO17" s="72"/>
      <c r="BNP17" s="72"/>
      <c r="BNQ17" s="72"/>
      <c r="BNR17" s="72"/>
      <c r="BNS17" s="72"/>
      <c r="BNT17" s="72"/>
      <c r="BNU17" s="72"/>
      <c r="BNV17" s="72"/>
      <c r="BNW17" s="72"/>
      <c r="BNX17" s="72"/>
      <c r="BNY17" s="72"/>
      <c r="BNZ17" s="72"/>
      <c r="BOA17" s="72"/>
      <c r="BOB17" s="72"/>
      <c r="BOC17" s="72"/>
      <c r="BOD17" s="72"/>
      <c r="BOE17" s="72"/>
      <c r="BOF17" s="72"/>
      <c r="BOG17" s="72"/>
      <c r="BOH17" s="72"/>
      <c r="BOI17" s="72"/>
      <c r="BOJ17" s="72"/>
      <c r="BOK17" s="72"/>
      <c r="BOL17" s="72"/>
      <c r="BOM17" s="72"/>
      <c r="BON17" s="72"/>
      <c r="BOO17" s="72"/>
      <c r="BOP17" s="72"/>
      <c r="BOQ17" s="72"/>
      <c r="BOR17" s="72"/>
      <c r="BOS17" s="72"/>
      <c r="BOT17" s="72"/>
      <c r="BOU17" s="72"/>
      <c r="BOV17" s="72"/>
      <c r="BOW17" s="72"/>
      <c r="BOX17" s="72"/>
      <c r="BOY17" s="72"/>
      <c r="BOZ17" s="72"/>
      <c r="BPA17" s="72"/>
      <c r="BPB17" s="72"/>
      <c r="BPC17" s="72"/>
      <c r="BPD17" s="72"/>
      <c r="BPE17" s="72"/>
      <c r="BPF17" s="72"/>
      <c r="BPG17" s="72"/>
      <c r="BPH17" s="72"/>
      <c r="BPI17" s="72"/>
      <c r="BPJ17" s="72"/>
      <c r="BPK17" s="72"/>
      <c r="BPL17" s="72"/>
      <c r="BPM17" s="72"/>
      <c r="BPN17" s="72"/>
      <c r="BPO17" s="72"/>
      <c r="BPP17" s="72"/>
      <c r="BPQ17" s="72"/>
      <c r="BPR17" s="72"/>
      <c r="BPS17" s="72"/>
      <c r="BPT17" s="72"/>
      <c r="BPU17" s="72"/>
      <c r="BPV17" s="72"/>
      <c r="BPW17" s="72"/>
      <c r="BPX17" s="72"/>
      <c r="BPY17" s="72"/>
      <c r="BPZ17" s="72"/>
      <c r="BQA17" s="72"/>
      <c r="BQB17" s="72"/>
      <c r="BQC17" s="72"/>
      <c r="BQD17" s="72"/>
      <c r="BQE17" s="72"/>
      <c r="BQF17" s="72"/>
      <c r="BQG17" s="72"/>
      <c r="BQH17" s="72"/>
      <c r="BQI17" s="72"/>
      <c r="BQJ17" s="72"/>
      <c r="BQK17" s="72"/>
      <c r="BQL17" s="72"/>
      <c r="BQM17" s="72"/>
      <c r="BQN17" s="72"/>
      <c r="BQO17" s="72"/>
      <c r="BQP17" s="72"/>
      <c r="BQQ17" s="72"/>
      <c r="BQR17" s="72"/>
      <c r="BQS17" s="72"/>
      <c r="BQT17" s="72"/>
      <c r="BQU17" s="72"/>
      <c r="BQV17" s="72"/>
      <c r="BQW17" s="72"/>
      <c r="BQX17" s="72"/>
      <c r="BQY17" s="72"/>
      <c r="BQZ17" s="72"/>
      <c r="BRA17" s="72"/>
      <c r="BRB17" s="72"/>
      <c r="BRC17" s="72"/>
      <c r="BRD17" s="72"/>
      <c r="BRE17" s="72"/>
      <c r="BRF17" s="72"/>
      <c r="BRG17" s="72"/>
      <c r="BRH17" s="72"/>
      <c r="BRI17" s="72"/>
      <c r="BRJ17" s="72"/>
      <c r="BRK17" s="72"/>
      <c r="BRL17" s="72"/>
      <c r="BRM17" s="72"/>
      <c r="BRN17" s="72"/>
      <c r="BRO17" s="72"/>
      <c r="BRP17" s="72"/>
      <c r="BRQ17" s="72"/>
      <c r="BRR17" s="72"/>
      <c r="BRS17" s="72"/>
      <c r="BRT17" s="72"/>
      <c r="BRU17" s="72"/>
      <c r="BRV17" s="72"/>
      <c r="BRW17" s="72"/>
      <c r="BRX17" s="72"/>
      <c r="BRY17" s="72"/>
      <c r="BRZ17" s="72"/>
      <c r="BSA17" s="72"/>
      <c r="BSB17" s="72"/>
      <c r="BSC17" s="72"/>
      <c r="BSD17" s="72"/>
      <c r="BSE17" s="72"/>
      <c r="BSF17" s="72"/>
      <c r="BSG17" s="72"/>
      <c r="BSH17" s="72"/>
      <c r="BSI17" s="72"/>
      <c r="BSJ17" s="72"/>
      <c r="BSK17" s="72"/>
      <c r="BSL17" s="72"/>
      <c r="BSM17" s="72"/>
      <c r="BSN17" s="72"/>
      <c r="BSO17" s="72"/>
      <c r="BSP17" s="72"/>
      <c r="BSQ17" s="72"/>
      <c r="BSR17" s="72"/>
      <c r="BSS17" s="72"/>
      <c r="BST17" s="72"/>
      <c r="BSU17" s="72"/>
      <c r="BSV17" s="72"/>
      <c r="BSW17" s="72"/>
      <c r="BSX17" s="72"/>
      <c r="BSY17" s="72"/>
      <c r="BSZ17" s="72"/>
      <c r="BTA17" s="72"/>
      <c r="BTB17" s="72"/>
      <c r="BTC17" s="72"/>
      <c r="BTD17" s="72"/>
      <c r="BTE17" s="72"/>
      <c r="BTF17" s="72"/>
      <c r="BTG17" s="72"/>
      <c r="BTH17" s="72"/>
      <c r="BTI17" s="72"/>
      <c r="BTJ17" s="72"/>
      <c r="BTK17" s="72"/>
      <c r="BTL17" s="72"/>
      <c r="BTM17" s="72"/>
      <c r="BTN17" s="72"/>
      <c r="BTO17" s="72"/>
      <c r="BTP17" s="72"/>
      <c r="BTQ17" s="72"/>
      <c r="BTR17" s="72"/>
      <c r="BTS17" s="72"/>
      <c r="BTT17" s="72"/>
      <c r="BTU17" s="72"/>
      <c r="BTV17" s="72"/>
      <c r="BTW17" s="72"/>
      <c r="BTX17" s="72"/>
      <c r="BTY17" s="72"/>
      <c r="BTZ17" s="72"/>
      <c r="BUA17" s="72"/>
      <c r="BUB17" s="72"/>
      <c r="BUC17" s="72"/>
      <c r="BUD17" s="72"/>
      <c r="BUE17" s="72"/>
      <c r="BUF17" s="72"/>
      <c r="BUG17" s="72"/>
      <c r="BUH17" s="72"/>
      <c r="BUI17" s="72"/>
      <c r="BUJ17" s="72"/>
      <c r="BUK17" s="72"/>
      <c r="BUL17" s="72"/>
      <c r="BUM17" s="72"/>
      <c r="BUN17" s="72"/>
      <c r="BUO17" s="72"/>
      <c r="BUP17" s="72"/>
      <c r="BUQ17" s="72"/>
      <c r="BUR17" s="72"/>
      <c r="BUS17" s="72"/>
      <c r="BUT17" s="72"/>
      <c r="BUU17" s="72"/>
      <c r="BUV17" s="72"/>
      <c r="BUW17" s="72"/>
      <c r="BUX17" s="72"/>
      <c r="BUY17" s="72"/>
      <c r="BUZ17" s="72"/>
      <c r="BVA17" s="72"/>
      <c r="BVB17" s="72"/>
      <c r="BVC17" s="72"/>
      <c r="BVD17" s="72"/>
      <c r="BVE17" s="72"/>
      <c r="BVF17" s="72"/>
      <c r="BVG17" s="72"/>
      <c r="BVH17" s="72"/>
      <c r="BVI17" s="72"/>
      <c r="BVJ17" s="72"/>
      <c r="BVK17" s="72"/>
      <c r="BVL17" s="72"/>
      <c r="BVM17" s="72"/>
      <c r="BVN17" s="72"/>
      <c r="BVO17" s="72"/>
      <c r="BVP17" s="72"/>
      <c r="BVQ17" s="72"/>
      <c r="BVR17" s="72"/>
      <c r="BVS17" s="72"/>
      <c r="BVT17" s="72"/>
      <c r="BVU17" s="72"/>
      <c r="BVV17" s="72"/>
      <c r="BVW17" s="72"/>
      <c r="BVX17" s="72"/>
      <c r="BVY17" s="72"/>
      <c r="BVZ17" s="72"/>
      <c r="BWA17" s="72"/>
      <c r="BWB17" s="72"/>
      <c r="BWC17" s="72"/>
      <c r="BWD17" s="72"/>
      <c r="BWE17" s="72"/>
      <c r="BWF17" s="72"/>
      <c r="BWG17" s="72"/>
      <c r="BWH17" s="72"/>
      <c r="BWI17" s="72"/>
      <c r="BWJ17" s="72"/>
      <c r="BWK17" s="72"/>
      <c r="BWL17" s="72"/>
      <c r="BWM17" s="72"/>
      <c r="BWN17" s="72"/>
      <c r="BWO17" s="72"/>
      <c r="BWP17" s="72"/>
      <c r="BWQ17" s="72"/>
      <c r="BWR17" s="72"/>
      <c r="BWS17" s="72"/>
      <c r="BWT17" s="72"/>
      <c r="BWU17" s="72"/>
      <c r="BWV17" s="72"/>
      <c r="BWW17" s="72"/>
      <c r="BWX17" s="72"/>
      <c r="BWY17" s="72"/>
      <c r="BWZ17" s="72"/>
      <c r="BXA17" s="72"/>
      <c r="BXB17" s="72"/>
      <c r="BXC17" s="72"/>
      <c r="BXD17" s="72"/>
      <c r="BXE17" s="72"/>
      <c r="BXF17" s="72"/>
      <c r="BXG17" s="72"/>
      <c r="BXH17" s="72"/>
      <c r="BXI17" s="72"/>
      <c r="BXJ17" s="72"/>
      <c r="BXK17" s="72"/>
      <c r="BXL17" s="72"/>
      <c r="BXM17" s="72"/>
      <c r="BXN17" s="72"/>
      <c r="BXO17" s="72"/>
      <c r="BXP17" s="72"/>
      <c r="BXQ17" s="72"/>
      <c r="BXR17" s="72"/>
      <c r="BXS17" s="72"/>
      <c r="BXT17" s="72"/>
      <c r="BXU17" s="72"/>
      <c r="BXV17" s="72"/>
      <c r="BXW17" s="72"/>
      <c r="BXX17" s="72"/>
      <c r="BXY17" s="72"/>
      <c r="BXZ17" s="72"/>
      <c r="BYA17" s="72"/>
      <c r="BYB17" s="72"/>
      <c r="BYC17" s="72"/>
      <c r="BYD17" s="72"/>
      <c r="BYE17" s="72"/>
      <c r="BYF17" s="72"/>
      <c r="BYG17" s="72"/>
      <c r="BYH17" s="72"/>
      <c r="BYI17" s="72"/>
      <c r="BYJ17" s="72"/>
      <c r="BYK17" s="72"/>
      <c r="BYL17" s="72"/>
      <c r="BYM17" s="72"/>
      <c r="BYN17" s="72"/>
      <c r="BYO17" s="72"/>
      <c r="BYP17" s="72"/>
      <c r="BYQ17" s="72"/>
      <c r="BYR17" s="72"/>
      <c r="BYS17" s="72"/>
      <c r="BYT17" s="72"/>
      <c r="BYU17" s="72"/>
      <c r="BYV17" s="72"/>
      <c r="BYW17" s="72"/>
      <c r="BYX17" s="72"/>
      <c r="BYY17" s="72"/>
      <c r="BYZ17" s="72"/>
      <c r="BZA17" s="72"/>
      <c r="BZB17" s="72"/>
      <c r="BZC17" s="72"/>
      <c r="BZD17" s="72"/>
      <c r="BZE17" s="72"/>
      <c r="BZF17" s="72"/>
      <c r="BZG17" s="72"/>
      <c r="BZH17" s="72"/>
      <c r="BZI17" s="72"/>
      <c r="BZJ17" s="72"/>
      <c r="BZK17" s="72"/>
      <c r="BZL17" s="72"/>
      <c r="BZM17" s="72"/>
      <c r="BZN17" s="72"/>
      <c r="BZO17" s="72"/>
      <c r="BZP17" s="72"/>
      <c r="BZQ17" s="72"/>
      <c r="BZR17" s="72"/>
      <c r="BZS17" s="72"/>
      <c r="BZT17" s="72"/>
      <c r="BZU17" s="72"/>
      <c r="BZV17" s="72"/>
      <c r="BZW17" s="72"/>
      <c r="BZX17" s="72"/>
      <c r="BZY17" s="72"/>
      <c r="BZZ17" s="72"/>
      <c r="CAA17" s="72"/>
      <c r="CAB17" s="72"/>
      <c r="CAC17" s="72"/>
      <c r="CAD17" s="72"/>
      <c r="CAE17" s="72"/>
      <c r="CAF17" s="72"/>
      <c r="CAG17" s="72"/>
      <c r="CAH17" s="72"/>
      <c r="CAI17" s="72"/>
      <c r="CAJ17" s="72"/>
      <c r="CAK17" s="72"/>
      <c r="CAL17" s="72"/>
      <c r="CAM17" s="72"/>
      <c r="CAN17" s="72"/>
      <c r="CAO17" s="72"/>
      <c r="CAP17" s="72"/>
      <c r="CAQ17" s="72"/>
      <c r="CAR17" s="72"/>
      <c r="CAS17" s="72"/>
      <c r="CAT17" s="72"/>
      <c r="CAU17" s="72"/>
      <c r="CAV17" s="72"/>
      <c r="CAW17" s="72"/>
      <c r="CAX17" s="72"/>
      <c r="CAY17" s="72"/>
      <c r="CAZ17" s="72"/>
      <c r="CBA17" s="72"/>
      <c r="CBB17" s="72"/>
      <c r="CBC17" s="72"/>
      <c r="CBD17" s="72"/>
      <c r="CBE17" s="72"/>
      <c r="CBF17" s="72"/>
      <c r="CBG17" s="72"/>
      <c r="CBH17" s="72"/>
      <c r="CBI17" s="72"/>
      <c r="CBJ17" s="72"/>
      <c r="CBK17" s="72"/>
      <c r="CBL17" s="72"/>
      <c r="CBM17" s="72"/>
      <c r="CBN17" s="72"/>
      <c r="CBO17" s="72"/>
      <c r="CBP17" s="72"/>
      <c r="CBQ17" s="72"/>
      <c r="CBR17" s="72"/>
      <c r="CBS17" s="72"/>
      <c r="CBT17" s="72"/>
      <c r="CBU17" s="72"/>
      <c r="CBV17" s="72"/>
      <c r="CBW17" s="72"/>
      <c r="CBX17" s="72"/>
      <c r="CBY17" s="72"/>
      <c r="CBZ17" s="72"/>
      <c r="CCA17" s="72"/>
      <c r="CCB17" s="72"/>
      <c r="CCC17" s="72"/>
      <c r="CCD17" s="72"/>
      <c r="CCE17" s="72"/>
      <c r="CCF17" s="72"/>
      <c r="CCG17" s="72"/>
      <c r="CCH17" s="72"/>
      <c r="CCI17" s="72"/>
      <c r="CCJ17" s="72"/>
      <c r="CCK17" s="72"/>
      <c r="CCL17" s="72"/>
      <c r="CCM17" s="72"/>
      <c r="CCN17" s="72"/>
      <c r="CCO17" s="72"/>
      <c r="CCP17" s="72"/>
      <c r="CCQ17" s="72"/>
      <c r="CCR17" s="72"/>
      <c r="CCS17" s="72"/>
      <c r="CCT17" s="72"/>
      <c r="CCU17" s="72"/>
      <c r="CCV17" s="72"/>
      <c r="CCW17" s="72"/>
      <c r="CCX17" s="72"/>
      <c r="CCY17" s="72"/>
      <c r="CCZ17" s="72"/>
      <c r="CDA17" s="72"/>
      <c r="CDB17" s="72"/>
      <c r="CDC17" s="72"/>
      <c r="CDD17" s="72"/>
      <c r="CDE17" s="72"/>
      <c r="CDF17" s="72"/>
      <c r="CDG17" s="72"/>
      <c r="CDH17" s="72"/>
      <c r="CDI17" s="72"/>
      <c r="CDJ17" s="72"/>
      <c r="CDK17" s="72"/>
      <c r="CDL17" s="72"/>
      <c r="CDM17" s="72"/>
      <c r="CDN17" s="72"/>
      <c r="CDO17" s="72"/>
      <c r="CDP17" s="72"/>
      <c r="CDQ17" s="72"/>
      <c r="CDR17" s="72"/>
      <c r="CDS17" s="72"/>
      <c r="CDT17" s="72"/>
      <c r="CDU17" s="72"/>
      <c r="CDV17" s="72"/>
      <c r="CDW17" s="72"/>
      <c r="CDX17" s="72"/>
      <c r="CDY17" s="72"/>
      <c r="CDZ17" s="72"/>
      <c r="CEA17" s="72"/>
      <c r="CEB17" s="72"/>
      <c r="CEC17" s="72"/>
      <c r="CED17" s="72"/>
      <c r="CEE17" s="72"/>
      <c r="CEF17" s="72"/>
      <c r="CEG17" s="72"/>
      <c r="CEH17" s="72"/>
      <c r="CEI17" s="72"/>
      <c r="CEJ17" s="72"/>
      <c r="CEK17" s="72"/>
      <c r="CEL17" s="72"/>
      <c r="CEM17" s="72"/>
      <c r="CEN17" s="72"/>
      <c r="CEO17" s="72"/>
      <c r="CEP17" s="72"/>
      <c r="CEQ17" s="72"/>
      <c r="CER17" s="72"/>
      <c r="CES17" s="72"/>
      <c r="CET17" s="72"/>
      <c r="CEU17" s="72"/>
      <c r="CEV17" s="72"/>
      <c r="CEW17" s="72"/>
      <c r="CEX17" s="72"/>
      <c r="CEY17" s="72"/>
      <c r="CEZ17" s="72"/>
      <c r="CFA17" s="72"/>
      <c r="CFB17" s="72"/>
      <c r="CFC17" s="72"/>
      <c r="CFD17" s="72"/>
      <c r="CFE17" s="72"/>
      <c r="CFF17" s="72"/>
      <c r="CFG17" s="72"/>
      <c r="CFH17" s="72"/>
      <c r="CFI17" s="72"/>
      <c r="CFJ17" s="72"/>
      <c r="CFK17" s="72"/>
      <c r="CFL17" s="72"/>
      <c r="CFM17" s="72"/>
      <c r="CFN17" s="72"/>
      <c r="CFO17" s="72"/>
      <c r="CFP17" s="72"/>
      <c r="CFQ17" s="72"/>
      <c r="CFR17" s="72"/>
      <c r="CFS17" s="72"/>
      <c r="CFT17" s="72"/>
      <c r="CFU17" s="72"/>
      <c r="CFV17" s="72"/>
      <c r="CFW17" s="72"/>
      <c r="CFX17" s="72"/>
      <c r="CFY17" s="72"/>
      <c r="CFZ17" s="72"/>
      <c r="CGA17" s="72"/>
      <c r="CGB17" s="72"/>
      <c r="CGC17" s="72"/>
      <c r="CGD17" s="72"/>
      <c r="CGE17" s="72"/>
      <c r="CGF17" s="72"/>
      <c r="CGG17" s="72"/>
      <c r="CGH17" s="72"/>
      <c r="CGI17" s="72"/>
      <c r="CGJ17" s="72"/>
      <c r="CGK17" s="72"/>
      <c r="CGL17" s="72"/>
      <c r="CGM17" s="72"/>
      <c r="CGN17" s="72"/>
      <c r="CGO17" s="72"/>
      <c r="CGP17" s="72"/>
      <c r="CGQ17" s="72"/>
      <c r="CGR17" s="72"/>
      <c r="CGS17" s="72"/>
      <c r="CGT17" s="72"/>
      <c r="CGU17" s="72"/>
      <c r="CGV17" s="72"/>
      <c r="CGW17" s="72"/>
      <c r="CGX17" s="72"/>
      <c r="CGY17" s="72"/>
      <c r="CGZ17" s="72"/>
      <c r="CHA17" s="72"/>
      <c r="CHB17" s="72"/>
      <c r="CHC17" s="72"/>
      <c r="CHD17" s="72"/>
      <c r="CHE17" s="72"/>
      <c r="CHF17" s="72"/>
      <c r="CHG17" s="72"/>
      <c r="CHH17" s="72"/>
      <c r="CHI17" s="72"/>
      <c r="CHJ17" s="72"/>
      <c r="CHK17" s="72"/>
      <c r="CHL17" s="72"/>
      <c r="CHM17" s="72"/>
      <c r="CHN17" s="72"/>
      <c r="CHO17" s="72"/>
      <c r="CHP17" s="72"/>
      <c r="CHQ17" s="72"/>
      <c r="CHR17" s="72"/>
      <c r="CHS17" s="72"/>
      <c r="CHT17" s="72"/>
      <c r="CHU17" s="72"/>
      <c r="CHV17" s="72"/>
      <c r="CHW17" s="72"/>
      <c r="CHX17" s="72"/>
      <c r="CHY17" s="72"/>
      <c r="CHZ17" s="72"/>
      <c r="CIA17" s="72"/>
      <c r="CIB17" s="72"/>
      <c r="CIC17" s="72"/>
      <c r="CID17" s="72"/>
      <c r="CIE17" s="72"/>
      <c r="CIF17" s="72"/>
      <c r="CIG17" s="72"/>
      <c r="CIH17" s="72"/>
      <c r="CII17" s="72"/>
      <c r="CIJ17" s="72"/>
      <c r="CIK17" s="72"/>
      <c r="CIL17" s="72"/>
      <c r="CIM17" s="72"/>
      <c r="CIN17" s="72"/>
      <c r="CIO17" s="72"/>
      <c r="CIP17" s="72"/>
      <c r="CIQ17" s="72"/>
      <c r="CIR17" s="72"/>
      <c r="CIS17" s="72"/>
      <c r="CIT17" s="72"/>
      <c r="CIU17" s="72"/>
      <c r="CIV17" s="72"/>
      <c r="CIW17" s="72"/>
      <c r="CIX17" s="72"/>
      <c r="CIY17" s="72"/>
      <c r="CIZ17" s="72"/>
      <c r="CJA17" s="72"/>
      <c r="CJB17" s="72"/>
      <c r="CJC17" s="72"/>
      <c r="CJD17" s="72"/>
      <c r="CJE17" s="72"/>
      <c r="CJF17" s="72"/>
      <c r="CJG17" s="72"/>
      <c r="CJH17" s="72"/>
      <c r="CJI17" s="72"/>
      <c r="CJJ17" s="72"/>
      <c r="CJK17" s="72"/>
      <c r="CJL17" s="72"/>
      <c r="CJM17" s="72"/>
      <c r="CJN17" s="72"/>
      <c r="CJO17" s="72"/>
      <c r="CJP17" s="72"/>
      <c r="CJQ17" s="72"/>
      <c r="CJR17" s="72"/>
      <c r="CJS17" s="72"/>
      <c r="CJT17" s="72"/>
      <c r="CJU17" s="72"/>
      <c r="CJV17" s="72"/>
      <c r="CJW17" s="72"/>
      <c r="CJX17" s="72"/>
      <c r="CJY17" s="72"/>
      <c r="CJZ17" s="72"/>
      <c r="CKA17" s="72"/>
      <c r="CKB17" s="72"/>
      <c r="CKC17" s="72"/>
      <c r="CKD17" s="72"/>
      <c r="CKE17" s="72"/>
      <c r="CKF17" s="72"/>
      <c r="CKG17" s="72"/>
      <c r="CKH17" s="72"/>
      <c r="CKI17" s="72"/>
      <c r="CKJ17" s="72"/>
      <c r="CKK17" s="72"/>
      <c r="CKL17" s="72"/>
      <c r="CKM17" s="72"/>
      <c r="CKN17" s="72"/>
      <c r="CKO17" s="72"/>
      <c r="CKP17" s="72"/>
      <c r="CKQ17" s="72"/>
      <c r="CKR17" s="72"/>
      <c r="CKS17" s="72"/>
      <c r="CKT17" s="72"/>
      <c r="CKU17" s="72"/>
      <c r="CKV17" s="72"/>
      <c r="CKW17" s="72"/>
      <c r="CKX17" s="72"/>
      <c r="CKY17" s="72"/>
      <c r="CKZ17" s="72"/>
      <c r="CLA17" s="72"/>
      <c r="CLB17" s="72"/>
      <c r="CLC17" s="72"/>
      <c r="CLD17" s="72"/>
      <c r="CLE17" s="72"/>
      <c r="CLF17" s="72"/>
      <c r="CLG17" s="72"/>
      <c r="CLH17" s="72"/>
      <c r="CLI17" s="72"/>
      <c r="CLJ17" s="72"/>
      <c r="CLK17" s="72"/>
      <c r="CLL17" s="72"/>
      <c r="CLM17" s="72"/>
      <c r="CLN17" s="72"/>
      <c r="CLO17" s="72"/>
      <c r="CLP17" s="72"/>
      <c r="CLQ17" s="72"/>
      <c r="CLR17" s="72"/>
      <c r="CLS17" s="72"/>
      <c r="CLT17" s="72"/>
      <c r="CLU17" s="72"/>
      <c r="CLV17" s="72"/>
      <c r="CLW17" s="72"/>
      <c r="CLX17" s="72"/>
      <c r="CLY17" s="72"/>
      <c r="CLZ17" s="72"/>
      <c r="CMA17" s="72"/>
      <c r="CMB17" s="72"/>
      <c r="CMC17" s="72"/>
      <c r="CMD17" s="72"/>
      <c r="CME17" s="72"/>
      <c r="CMF17" s="72"/>
      <c r="CMG17" s="72"/>
      <c r="CMH17" s="72"/>
      <c r="CMI17" s="72"/>
      <c r="CMJ17" s="72"/>
      <c r="CMK17" s="72"/>
      <c r="CML17" s="72"/>
      <c r="CMM17" s="72"/>
      <c r="CMN17" s="72"/>
      <c r="CMO17" s="72"/>
      <c r="CMP17" s="72"/>
      <c r="CMQ17" s="72"/>
      <c r="CMR17" s="72"/>
      <c r="CMS17" s="72"/>
      <c r="CMT17" s="72"/>
      <c r="CMU17" s="72"/>
      <c r="CMV17" s="72"/>
      <c r="CMW17" s="72"/>
      <c r="CMX17" s="72"/>
      <c r="CMY17" s="72"/>
      <c r="CMZ17" s="72"/>
      <c r="CNA17" s="72"/>
      <c r="CNB17" s="72"/>
      <c r="CNC17" s="72"/>
      <c r="CND17" s="72"/>
      <c r="CNE17" s="72"/>
      <c r="CNF17" s="72"/>
      <c r="CNG17" s="72"/>
      <c r="CNH17" s="72"/>
      <c r="CNI17" s="72"/>
      <c r="CNJ17" s="72"/>
      <c r="CNK17" s="72"/>
      <c r="CNL17" s="72"/>
      <c r="CNM17" s="72"/>
      <c r="CNN17" s="72"/>
      <c r="CNO17" s="72"/>
      <c r="CNP17" s="72"/>
      <c r="CNQ17" s="72"/>
      <c r="CNR17" s="72"/>
      <c r="CNS17" s="72"/>
      <c r="CNT17" s="72"/>
      <c r="CNU17" s="72"/>
      <c r="CNV17" s="72"/>
      <c r="CNW17" s="72"/>
      <c r="CNX17" s="72"/>
      <c r="CNY17" s="72"/>
      <c r="CNZ17" s="72"/>
      <c r="COA17" s="72"/>
      <c r="COB17" s="72"/>
      <c r="COC17" s="72"/>
      <c r="COD17" s="72"/>
      <c r="COE17" s="72"/>
      <c r="COF17" s="72"/>
      <c r="COG17" s="72"/>
      <c r="COH17" s="72"/>
      <c r="COI17" s="72"/>
      <c r="COJ17" s="72"/>
      <c r="COK17" s="72"/>
      <c r="COL17" s="72"/>
      <c r="COM17" s="72"/>
      <c r="CON17" s="72"/>
      <c r="COO17" s="72"/>
      <c r="COP17" s="72"/>
      <c r="COQ17" s="72"/>
      <c r="COR17" s="72"/>
      <c r="COS17" s="72"/>
      <c r="COT17" s="72"/>
      <c r="COU17" s="72"/>
      <c r="COV17" s="72"/>
      <c r="COW17" s="72"/>
      <c r="COX17" s="72"/>
      <c r="COY17" s="72"/>
      <c r="COZ17" s="72"/>
      <c r="CPA17" s="72"/>
      <c r="CPB17" s="72"/>
      <c r="CPC17" s="72"/>
      <c r="CPD17" s="72"/>
      <c r="CPE17" s="72"/>
      <c r="CPF17" s="72"/>
      <c r="CPG17" s="72"/>
      <c r="CPH17" s="72"/>
      <c r="CPI17" s="72"/>
      <c r="CPJ17" s="72"/>
      <c r="CPK17" s="72"/>
      <c r="CPL17" s="72"/>
      <c r="CPM17" s="72"/>
      <c r="CPN17" s="72"/>
      <c r="CPO17" s="72"/>
      <c r="CPP17" s="72"/>
      <c r="CPQ17" s="72"/>
      <c r="CPR17" s="72"/>
      <c r="CPS17" s="72"/>
      <c r="CPT17" s="72"/>
      <c r="CPU17" s="72"/>
      <c r="CPV17" s="72"/>
      <c r="CPW17" s="72"/>
      <c r="CPX17" s="72"/>
      <c r="CPY17" s="72"/>
      <c r="CPZ17" s="72"/>
      <c r="CQA17" s="72"/>
      <c r="CQB17" s="72"/>
      <c r="CQC17" s="72"/>
      <c r="CQD17" s="72"/>
      <c r="CQE17" s="72"/>
      <c r="CQF17" s="72"/>
      <c r="CQG17" s="72"/>
      <c r="CQH17" s="72"/>
      <c r="CQI17" s="72"/>
      <c r="CQJ17" s="72"/>
      <c r="CQK17" s="72"/>
      <c r="CQL17" s="72"/>
      <c r="CQM17" s="72"/>
      <c r="CQN17" s="72"/>
      <c r="CQO17" s="72"/>
      <c r="CQP17" s="72"/>
      <c r="CQQ17" s="72"/>
      <c r="CQR17" s="72"/>
      <c r="CQS17" s="72"/>
      <c r="CQT17" s="72"/>
      <c r="CQU17" s="72"/>
      <c r="CQV17" s="72"/>
      <c r="CQW17" s="72"/>
      <c r="CQX17" s="72"/>
      <c r="CQY17" s="72"/>
      <c r="CQZ17" s="72"/>
      <c r="CRA17" s="72"/>
      <c r="CRB17" s="72"/>
      <c r="CRC17" s="72"/>
      <c r="CRD17" s="72"/>
      <c r="CRE17" s="72"/>
      <c r="CRF17" s="72"/>
      <c r="CRG17" s="72"/>
      <c r="CRH17" s="72"/>
      <c r="CRI17" s="72"/>
      <c r="CRJ17" s="72"/>
      <c r="CRK17" s="72"/>
      <c r="CRL17" s="72"/>
      <c r="CRM17" s="72"/>
      <c r="CRN17" s="72"/>
      <c r="CRO17" s="72"/>
      <c r="CRP17" s="72"/>
      <c r="CRQ17" s="72"/>
      <c r="CRR17" s="72"/>
      <c r="CRS17" s="72"/>
      <c r="CRT17" s="72"/>
      <c r="CRU17" s="72"/>
      <c r="CRV17" s="72"/>
      <c r="CRW17" s="72"/>
      <c r="CRX17" s="72"/>
      <c r="CRY17" s="72"/>
      <c r="CRZ17" s="72"/>
      <c r="CSA17" s="72"/>
      <c r="CSB17" s="72"/>
      <c r="CSC17" s="72"/>
      <c r="CSD17" s="72"/>
      <c r="CSE17" s="72"/>
      <c r="CSF17" s="72"/>
      <c r="CSG17" s="72"/>
      <c r="CSH17" s="72"/>
      <c r="CSI17" s="72"/>
      <c r="CSJ17" s="72"/>
      <c r="CSK17" s="72"/>
      <c r="CSL17" s="72"/>
      <c r="CSM17" s="72"/>
      <c r="CSN17" s="72"/>
      <c r="CSO17" s="72"/>
      <c r="CSP17" s="72"/>
      <c r="CSQ17" s="72"/>
      <c r="CSR17" s="72"/>
      <c r="CSS17" s="72"/>
      <c r="CST17" s="72"/>
      <c r="CSU17" s="72"/>
      <c r="CSV17" s="72"/>
      <c r="CSW17" s="72"/>
      <c r="CSX17" s="72"/>
      <c r="CSY17" s="72"/>
      <c r="CSZ17" s="72"/>
      <c r="CTA17" s="72"/>
      <c r="CTB17" s="72"/>
      <c r="CTC17" s="72"/>
      <c r="CTD17" s="72"/>
      <c r="CTE17" s="72"/>
      <c r="CTF17" s="72"/>
      <c r="CTG17" s="72"/>
      <c r="CTH17" s="72"/>
      <c r="CTI17" s="72"/>
      <c r="CTJ17" s="72"/>
      <c r="CTK17" s="72"/>
      <c r="CTL17" s="72"/>
      <c r="CTM17" s="72"/>
      <c r="CTN17" s="72"/>
      <c r="CTO17" s="72"/>
      <c r="CTP17" s="72"/>
      <c r="CTQ17" s="72"/>
      <c r="CTR17" s="72"/>
      <c r="CTS17" s="72"/>
      <c r="CTT17" s="72"/>
      <c r="CTU17" s="72"/>
      <c r="CTV17" s="72"/>
      <c r="CTW17" s="72"/>
      <c r="CTX17" s="72"/>
      <c r="CTY17" s="72"/>
      <c r="CTZ17" s="72"/>
      <c r="CUA17" s="72"/>
      <c r="CUB17" s="72"/>
      <c r="CUC17" s="72"/>
      <c r="CUD17" s="72"/>
      <c r="CUE17" s="72"/>
      <c r="CUF17" s="72"/>
      <c r="CUG17" s="72"/>
      <c r="CUH17" s="72"/>
      <c r="CUI17" s="72"/>
      <c r="CUJ17" s="72"/>
      <c r="CUK17" s="72"/>
      <c r="CUL17" s="72"/>
      <c r="CUM17" s="72"/>
      <c r="CUN17" s="72"/>
      <c r="CUO17" s="72"/>
      <c r="CUP17" s="72"/>
      <c r="CUQ17" s="72"/>
      <c r="CUR17" s="72"/>
      <c r="CUS17" s="72"/>
      <c r="CUT17" s="72"/>
      <c r="CUU17" s="72"/>
      <c r="CUV17" s="72"/>
      <c r="CUW17" s="72"/>
      <c r="CUX17" s="72"/>
      <c r="CUY17" s="72"/>
      <c r="CUZ17" s="72"/>
      <c r="CVA17" s="72"/>
      <c r="CVB17" s="72"/>
      <c r="CVC17" s="72"/>
      <c r="CVD17" s="72"/>
      <c r="CVE17" s="72"/>
      <c r="CVF17" s="72"/>
      <c r="CVG17" s="72"/>
      <c r="CVH17" s="72"/>
      <c r="CVI17" s="72"/>
      <c r="CVJ17" s="72"/>
      <c r="CVK17" s="72"/>
      <c r="CVL17" s="72"/>
      <c r="CVM17" s="72"/>
      <c r="CVN17" s="72"/>
      <c r="CVO17" s="72"/>
      <c r="CVP17" s="72"/>
      <c r="CVQ17" s="72"/>
      <c r="CVR17" s="72"/>
      <c r="CVS17" s="72"/>
      <c r="CVT17" s="72"/>
      <c r="CVU17" s="72"/>
      <c r="CVV17" s="72"/>
      <c r="CVW17" s="72"/>
      <c r="CVX17" s="72"/>
      <c r="CVY17" s="72"/>
      <c r="CVZ17" s="72"/>
      <c r="CWA17" s="72"/>
      <c r="CWB17" s="72"/>
      <c r="CWC17" s="72"/>
      <c r="CWD17" s="72"/>
      <c r="CWE17" s="72"/>
      <c r="CWF17" s="72"/>
      <c r="CWG17" s="72"/>
      <c r="CWH17" s="72"/>
      <c r="CWI17" s="72"/>
      <c r="CWJ17" s="72"/>
      <c r="CWK17" s="72"/>
      <c r="CWL17" s="72"/>
      <c r="CWM17" s="72"/>
      <c r="CWN17" s="72"/>
      <c r="CWO17" s="72"/>
      <c r="CWP17" s="72"/>
      <c r="CWQ17" s="72"/>
      <c r="CWR17" s="72"/>
      <c r="CWS17" s="72"/>
      <c r="CWT17" s="72"/>
      <c r="CWU17" s="72"/>
      <c r="CWV17" s="72"/>
      <c r="CWW17" s="72"/>
      <c r="CWX17" s="72"/>
      <c r="CWY17" s="72"/>
      <c r="CWZ17" s="72"/>
      <c r="CXA17" s="72"/>
      <c r="CXB17" s="72"/>
      <c r="CXC17" s="72"/>
      <c r="CXD17" s="72"/>
      <c r="CXE17" s="72"/>
      <c r="CXF17" s="72"/>
      <c r="CXG17" s="72"/>
      <c r="CXH17" s="72"/>
      <c r="CXI17" s="72"/>
      <c r="CXJ17" s="72"/>
      <c r="CXK17" s="72"/>
      <c r="CXL17" s="72"/>
      <c r="CXM17" s="72"/>
      <c r="CXN17" s="72"/>
      <c r="CXO17" s="72"/>
      <c r="CXP17" s="72"/>
      <c r="CXQ17" s="72"/>
      <c r="CXR17" s="72"/>
      <c r="CXS17" s="72"/>
      <c r="CXT17" s="72"/>
      <c r="CXU17" s="72"/>
      <c r="CXV17" s="72"/>
      <c r="CXW17" s="72"/>
      <c r="CXX17" s="72"/>
      <c r="CXY17" s="72"/>
      <c r="CXZ17" s="72"/>
      <c r="CYA17" s="72"/>
      <c r="CYB17" s="72"/>
      <c r="CYC17" s="72"/>
      <c r="CYD17" s="72"/>
      <c r="CYE17" s="72"/>
      <c r="CYF17" s="72"/>
      <c r="CYG17" s="72"/>
      <c r="CYH17" s="72"/>
      <c r="CYI17" s="72"/>
      <c r="CYJ17" s="72"/>
      <c r="CYK17" s="72"/>
      <c r="CYL17" s="72"/>
      <c r="CYM17" s="72"/>
      <c r="CYN17" s="72"/>
      <c r="CYO17" s="72"/>
      <c r="CYP17" s="72"/>
      <c r="CYQ17" s="72"/>
      <c r="CYR17" s="72"/>
      <c r="CYS17" s="72"/>
      <c r="CYT17" s="72"/>
      <c r="CYU17" s="72"/>
      <c r="CYV17" s="72"/>
      <c r="CYW17" s="72"/>
      <c r="CYX17" s="72"/>
      <c r="CYY17" s="72"/>
      <c r="CYZ17" s="72"/>
      <c r="CZA17" s="72"/>
      <c r="CZB17" s="72"/>
      <c r="CZC17" s="72"/>
      <c r="CZD17" s="72"/>
      <c r="CZE17" s="72"/>
      <c r="CZF17" s="72"/>
      <c r="CZG17" s="72"/>
      <c r="CZH17" s="72"/>
      <c r="CZI17" s="72"/>
      <c r="CZJ17" s="72"/>
      <c r="CZK17" s="72"/>
      <c r="CZL17" s="72"/>
      <c r="CZM17" s="72"/>
      <c r="CZN17" s="72"/>
      <c r="CZO17" s="72"/>
      <c r="CZP17" s="72"/>
      <c r="CZQ17" s="72"/>
      <c r="CZR17" s="72"/>
      <c r="CZS17" s="72"/>
      <c r="CZT17" s="72"/>
      <c r="CZU17" s="72"/>
      <c r="CZV17" s="72"/>
      <c r="CZW17" s="72"/>
      <c r="CZX17" s="72"/>
      <c r="CZY17" s="72"/>
      <c r="CZZ17" s="72"/>
      <c r="DAA17" s="72"/>
      <c r="DAB17" s="72"/>
      <c r="DAC17" s="72"/>
      <c r="DAD17" s="72"/>
      <c r="DAE17" s="72"/>
      <c r="DAF17" s="72"/>
      <c r="DAG17" s="72"/>
      <c r="DAH17" s="72"/>
      <c r="DAI17" s="72"/>
      <c r="DAJ17" s="72"/>
      <c r="DAK17" s="72"/>
      <c r="DAL17" s="72"/>
      <c r="DAM17" s="72"/>
      <c r="DAN17" s="72"/>
      <c r="DAO17" s="72"/>
      <c r="DAP17" s="72"/>
      <c r="DAQ17" s="72"/>
      <c r="DAR17" s="72"/>
      <c r="DAS17" s="72"/>
      <c r="DAT17" s="72"/>
      <c r="DAU17" s="72"/>
      <c r="DAV17" s="72"/>
      <c r="DAW17" s="72"/>
      <c r="DAX17" s="72"/>
      <c r="DAY17" s="72"/>
      <c r="DAZ17" s="72"/>
      <c r="DBA17" s="72"/>
      <c r="DBB17" s="72"/>
      <c r="DBC17" s="72"/>
      <c r="DBD17" s="72"/>
      <c r="DBE17" s="72"/>
      <c r="DBF17" s="72"/>
      <c r="DBG17" s="72"/>
      <c r="DBH17" s="72"/>
      <c r="DBI17" s="72"/>
      <c r="DBJ17" s="72"/>
      <c r="DBK17" s="72"/>
      <c r="DBL17" s="72"/>
      <c r="DBM17" s="72"/>
      <c r="DBN17" s="72"/>
      <c r="DBO17" s="72"/>
      <c r="DBP17" s="72"/>
      <c r="DBQ17" s="72"/>
      <c r="DBR17" s="72"/>
      <c r="DBS17" s="72"/>
      <c r="DBT17" s="72"/>
      <c r="DBU17" s="72"/>
      <c r="DBV17" s="72"/>
      <c r="DBW17" s="72"/>
      <c r="DBX17" s="72"/>
      <c r="DBY17" s="72"/>
      <c r="DBZ17" s="72"/>
      <c r="DCA17" s="72"/>
      <c r="DCB17" s="72"/>
      <c r="DCC17" s="72"/>
      <c r="DCD17" s="72"/>
      <c r="DCE17" s="72"/>
      <c r="DCF17" s="72"/>
      <c r="DCG17" s="72"/>
      <c r="DCH17" s="72"/>
      <c r="DCI17" s="72"/>
      <c r="DCJ17" s="72"/>
      <c r="DCK17" s="72"/>
      <c r="DCL17" s="72"/>
      <c r="DCM17" s="72"/>
      <c r="DCN17" s="72"/>
      <c r="DCO17" s="72"/>
      <c r="DCP17" s="72"/>
      <c r="DCQ17" s="72"/>
      <c r="DCR17" s="72"/>
      <c r="DCS17" s="72"/>
      <c r="DCT17" s="72"/>
      <c r="DCU17" s="72"/>
      <c r="DCV17" s="72"/>
      <c r="DCW17" s="72"/>
      <c r="DCX17" s="72"/>
      <c r="DCY17" s="72"/>
      <c r="DCZ17" s="72"/>
      <c r="DDA17" s="72"/>
      <c r="DDB17" s="72"/>
      <c r="DDC17" s="72"/>
      <c r="DDD17" s="72"/>
      <c r="DDE17" s="72"/>
      <c r="DDF17" s="72"/>
      <c r="DDG17" s="72"/>
      <c r="DDH17" s="72"/>
      <c r="DDI17" s="72"/>
      <c r="DDJ17" s="72"/>
      <c r="DDK17" s="72"/>
      <c r="DDL17" s="72"/>
      <c r="DDM17" s="72"/>
      <c r="DDN17" s="72"/>
      <c r="DDO17" s="72"/>
      <c r="DDP17" s="72"/>
      <c r="DDQ17" s="72"/>
      <c r="DDR17" s="72"/>
      <c r="DDS17" s="72"/>
      <c r="DDT17" s="72"/>
      <c r="DDU17" s="72"/>
      <c r="DDV17" s="72"/>
      <c r="DDW17" s="72"/>
      <c r="DDX17" s="72"/>
      <c r="DDY17" s="72"/>
      <c r="DDZ17" s="72"/>
      <c r="DEA17" s="72"/>
      <c r="DEB17" s="72"/>
      <c r="DEC17" s="72"/>
      <c r="DED17" s="72"/>
      <c r="DEE17" s="72"/>
      <c r="DEF17" s="72"/>
      <c r="DEG17" s="72"/>
      <c r="DEH17" s="72"/>
      <c r="DEI17" s="72"/>
      <c r="DEJ17" s="72"/>
      <c r="DEK17" s="72"/>
      <c r="DEL17" s="72"/>
      <c r="DEM17" s="72"/>
      <c r="DEN17" s="72"/>
      <c r="DEO17" s="72"/>
      <c r="DEP17" s="72"/>
      <c r="DEQ17" s="72"/>
      <c r="DER17" s="72"/>
      <c r="DES17" s="72"/>
      <c r="DET17" s="72"/>
      <c r="DEU17" s="72"/>
      <c r="DEV17" s="72"/>
      <c r="DEW17" s="72"/>
      <c r="DEX17" s="72"/>
      <c r="DEY17" s="72"/>
      <c r="DEZ17" s="72"/>
      <c r="DFA17" s="72"/>
      <c r="DFB17" s="72"/>
      <c r="DFC17" s="72"/>
      <c r="DFD17" s="72"/>
      <c r="DFE17" s="72"/>
      <c r="DFF17" s="72"/>
      <c r="DFG17" s="72"/>
      <c r="DFH17" s="72"/>
      <c r="DFI17" s="72"/>
      <c r="DFJ17" s="72"/>
      <c r="DFK17" s="72"/>
      <c r="DFL17" s="72"/>
      <c r="DFM17" s="72"/>
      <c r="DFN17" s="72"/>
      <c r="DFO17" s="72"/>
      <c r="DFP17" s="72"/>
      <c r="DFQ17" s="72"/>
      <c r="DFR17" s="72"/>
      <c r="DFS17" s="72"/>
      <c r="DFT17" s="72"/>
      <c r="DFU17" s="72"/>
      <c r="DFV17" s="72"/>
      <c r="DFW17" s="72"/>
      <c r="DFX17" s="72"/>
      <c r="DFY17" s="72"/>
      <c r="DFZ17" s="72"/>
      <c r="DGA17" s="72"/>
      <c r="DGB17" s="72"/>
      <c r="DGC17" s="72"/>
      <c r="DGD17" s="72"/>
      <c r="DGE17" s="72"/>
      <c r="DGF17" s="72"/>
      <c r="DGG17" s="72"/>
      <c r="DGH17" s="72"/>
      <c r="DGI17" s="72"/>
      <c r="DGJ17" s="72"/>
      <c r="DGK17" s="72"/>
      <c r="DGL17" s="72"/>
      <c r="DGM17" s="72"/>
      <c r="DGN17" s="72"/>
      <c r="DGO17" s="72"/>
      <c r="DGP17" s="72"/>
      <c r="DGQ17" s="72"/>
      <c r="DGR17" s="72"/>
      <c r="DGS17" s="72"/>
      <c r="DGT17" s="72"/>
      <c r="DGU17" s="72"/>
      <c r="DGV17" s="72"/>
      <c r="DGW17" s="72"/>
      <c r="DGX17" s="72"/>
      <c r="DGY17" s="72"/>
      <c r="DGZ17" s="72"/>
      <c r="DHA17" s="72"/>
      <c r="DHB17" s="72"/>
      <c r="DHC17" s="72"/>
      <c r="DHD17" s="72"/>
      <c r="DHE17" s="72"/>
      <c r="DHF17" s="72"/>
      <c r="DHG17" s="72"/>
      <c r="DHH17" s="72"/>
      <c r="DHI17" s="72"/>
      <c r="DHJ17" s="72"/>
      <c r="DHK17" s="72"/>
      <c r="DHL17" s="72"/>
      <c r="DHM17" s="72"/>
      <c r="DHN17" s="72"/>
      <c r="DHO17" s="72"/>
      <c r="DHP17" s="72"/>
      <c r="DHQ17" s="72"/>
      <c r="DHR17" s="72"/>
      <c r="DHS17" s="72"/>
      <c r="DHT17" s="72"/>
      <c r="DHU17" s="72"/>
      <c r="DHV17" s="72"/>
      <c r="DHW17" s="72"/>
      <c r="DHX17" s="72"/>
      <c r="DHY17" s="72"/>
      <c r="DHZ17" s="72"/>
      <c r="DIA17" s="72"/>
      <c r="DIB17" s="72"/>
      <c r="DIC17" s="72"/>
      <c r="DID17" s="72"/>
      <c r="DIE17" s="72"/>
      <c r="DIF17" s="72"/>
      <c r="DIG17" s="72"/>
      <c r="DIH17" s="72"/>
      <c r="DII17" s="72"/>
      <c r="DIJ17" s="72"/>
      <c r="DIK17" s="72"/>
      <c r="DIL17" s="72"/>
      <c r="DIM17" s="72"/>
      <c r="DIN17" s="72"/>
      <c r="DIO17" s="72"/>
      <c r="DIP17" s="72"/>
      <c r="DIQ17" s="72"/>
      <c r="DIR17" s="72"/>
      <c r="DIS17" s="72"/>
      <c r="DIT17" s="72"/>
      <c r="DIU17" s="72"/>
      <c r="DIV17" s="72"/>
      <c r="DIW17" s="72"/>
      <c r="DIX17" s="72"/>
      <c r="DIY17" s="72"/>
      <c r="DIZ17" s="72"/>
      <c r="DJA17" s="72"/>
      <c r="DJB17" s="72"/>
      <c r="DJC17" s="72"/>
      <c r="DJD17" s="72"/>
      <c r="DJE17" s="72"/>
      <c r="DJF17" s="72"/>
      <c r="DJG17" s="72"/>
      <c r="DJH17" s="72"/>
      <c r="DJI17" s="72"/>
      <c r="DJJ17" s="72"/>
      <c r="DJK17" s="72"/>
      <c r="DJL17" s="72"/>
      <c r="DJM17" s="72"/>
      <c r="DJN17" s="72"/>
      <c r="DJO17" s="72"/>
      <c r="DJP17" s="72"/>
      <c r="DJQ17" s="72"/>
      <c r="DJR17" s="72"/>
      <c r="DJS17" s="72"/>
      <c r="DJT17" s="72"/>
      <c r="DJU17" s="72"/>
      <c r="DJV17" s="72"/>
      <c r="DJW17" s="72"/>
      <c r="DJX17" s="72"/>
      <c r="DJY17" s="72"/>
      <c r="DJZ17" s="72"/>
      <c r="DKA17" s="72"/>
      <c r="DKB17" s="72"/>
      <c r="DKC17" s="72"/>
      <c r="DKD17" s="72"/>
      <c r="DKE17" s="72"/>
      <c r="DKF17" s="72"/>
      <c r="DKG17" s="72"/>
      <c r="DKH17" s="72"/>
      <c r="DKI17" s="72"/>
      <c r="DKJ17" s="72"/>
      <c r="DKK17" s="72"/>
      <c r="DKL17" s="72"/>
      <c r="DKM17" s="72"/>
      <c r="DKN17" s="72"/>
      <c r="DKO17" s="72"/>
      <c r="DKP17" s="72"/>
      <c r="DKQ17" s="72"/>
      <c r="DKR17" s="72"/>
      <c r="DKS17" s="72"/>
      <c r="DKT17" s="72"/>
      <c r="DKU17" s="72"/>
      <c r="DKV17" s="72"/>
      <c r="DKW17" s="72"/>
      <c r="DKX17" s="72"/>
      <c r="DKY17" s="72"/>
      <c r="DKZ17" s="72"/>
      <c r="DLA17" s="72"/>
      <c r="DLB17" s="72"/>
      <c r="DLC17" s="72"/>
      <c r="DLD17" s="72"/>
      <c r="DLE17" s="72"/>
      <c r="DLF17" s="72"/>
      <c r="DLG17" s="72"/>
      <c r="DLH17" s="72"/>
      <c r="DLI17" s="72"/>
      <c r="DLJ17" s="72"/>
      <c r="DLK17" s="72"/>
      <c r="DLL17" s="72"/>
      <c r="DLM17" s="72"/>
      <c r="DLN17" s="72"/>
      <c r="DLO17" s="72"/>
      <c r="DLP17" s="72"/>
      <c r="DLQ17" s="72"/>
      <c r="DLR17" s="72"/>
      <c r="DLS17" s="72"/>
      <c r="DLT17" s="72"/>
      <c r="DLU17" s="72"/>
      <c r="DLV17" s="72"/>
      <c r="DLW17" s="72"/>
      <c r="DLX17" s="72"/>
      <c r="DLY17" s="72"/>
      <c r="DLZ17" s="72"/>
      <c r="DMA17" s="72"/>
      <c r="DMB17" s="72"/>
      <c r="DMC17" s="72"/>
      <c r="DMD17" s="72"/>
      <c r="DME17" s="72"/>
      <c r="DMF17" s="72"/>
      <c r="DMG17" s="72"/>
      <c r="DMH17" s="72"/>
      <c r="DMI17" s="72"/>
      <c r="DMJ17" s="72"/>
      <c r="DMK17" s="72"/>
      <c r="DML17" s="72"/>
      <c r="DMM17" s="72"/>
      <c r="DMN17" s="72"/>
      <c r="DMO17" s="72"/>
      <c r="DMP17" s="72"/>
      <c r="DMQ17" s="72"/>
      <c r="DMR17" s="72"/>
      <c r="DMS17" s="72"/>
      <c r="DMT17" s="72"/>
      <c r="DMU17" s="72"/>
      <c r="DMV17" s="72"/>
      <c r="DMW17" s="72"/>
      <c r="DMX17" s="72"/>
      <c r="DMY17" s="72"/>
      <c r="DMZ17" s="72"/>
      <c r="DNA17" s="72"/>
      <c r="DNB17" s="72"/>
      <c r="DNC17" s="72"/>
      <c r="DND17" s="72"/>
      <c r="DNE17" s="72"/>
      <c r="DNF17" s="72"/>
      <c r="DNG17" s="72"/>
      <c r="DNH17" s="72"/>
      <c r="DNI17" s="72"/>
      <c r="DNJ17" s="72"/>
      <c r="DNK17" s="72"/>
      <c r="DNL17" s="72"/>
      <c r="DNM17" s="72"/>
      <c r="DNN17" s="72"/>
      <c r="DNO17" s="72"/>
      <c r="DNP17" s="72"/>
      <c r="DNQ17" s="72"/>
      <c r="DNR17" s="72"/>
      <c r="DNS17" s="72"/>
      <c r="DNT17" s="72"/>
      <c r="DNU17" s="72"/>
      <c r="DNV17" s="72"/>
      <c r="DNW17" s="72"/>
      <c r="DNX17" s="72"/>
      <c r="DNY17" s="72"/>
      <c r="DNZ17" s="72"/>
      <c r="DOA17" s="72"/>
      <c r="DOB17" s="72"/>
      <c r="DOC17" s="72"/>
      <c r="DOD17" s="72"/>
      <c r="DOE17" s="72"/>
      <c r="DOF17" s="72"/>
      <c r="DOG17" s="72"/>
      <c r="DOH17" s="72"/>
      <c r="DOI17" s="72"/>
      <c r="DOJ17" s="72"/>
      <c r="DOK17" s="72"/>
      <c r="DOL17" s="72"/>
      <c r="DOM17" s="72"/>
      <c r="DON17" s="72"/>
      <c r="DOO17" s="72"/>
      <c r="DOP17" s="72"/>
      <c r="DOQ17" s="72"/>
      <c r="DOR17" s="72"/>
      <c r="DOS17" s="72"/>
      <c r="DOT17" s="72"/>
      <c r="DOU17" s="72"/>
      <c r="DOV17" s="72"/>
      <c r="DOW17" s="72"/>
      <c r="DOX17" s="72"/>
      <c r="DOY17" s="72"/>
      <c r="DOZ17" s="72"/>
      <c r="DPA17" s="72"/>
      <c r="DPB17" s="72"/>
      <c r="DPC17" s="72"/>
      <c r="DPD17" s="72"/>
      <c r="DPE17" s="72"/>
      <c r="DPF17" s="72"/>
      <c r="DPG17" s="72"/>
      <c r="DPH17" s="72"/>
      <c r="DPI17" s="72"/>
      <c r="DPJ17" s="72"/>
      <c r="DPK17" s="72"/>
      <c r="DPL17" s="72"/>
      <c r="DPM17" s="72"/>
      <c r="DPN17" s="72"/>
      <c r="DPO17" s="72"/>
      <c r="DPP17" s="72"/>
      <c r="DPQ17" s="72"/>
      <c r="DPR17" s="72"/>
      <c r="DPS17" s="72"/>
      <c r="DPT17" s="72"/>
      <c r="DPU17" s="72"/>
      <c r="DPV17" s="72"/>
      <c r="DPW17" s="72"/>
      <c r="DPX17" s="72"/>
      <c r="DPY17" s="72"/>
      <c r="DPZ17" s="72"/>
      <c r="DQA17" s="72"/>
      <c r="DQB17" s="72"/>
      <c r="DQC17" s="72"/>
      <c r="DQD17" s="72"/>
      <c r="DQE17" s="72"/>
      <c r="DQF17" s="72"/>
      <c r="DQG17" s="72"/>
      <c r="DQH17" s="72"/>
      <c r="DQI17" s="72"/>
      <c r="DQJ17" s="72"/>
      <c r="DQK17" s="72"/>
      <c r="DQL17" s="72"/>
      <c r="DQM17" s="72"/>
      <c r="DQN17" s="72"/>
      <c r="DQO17" s="72"/>
      <c r="DQP17" s="72"/>
      <c r="DQQ17" s="72"/>
      <c r="DQR17" s="72"/>
      <c r="DQS17" s="72"/>
      <c r="DQT17" s="72"/>
      <c r="DQU17" s="72"/>
      <c r="DQV17" s="72"/>
      <c r="DQW17" s="72"/>
      <c r="DQX17" s="72"/>
      <c r="DQY17" s="72"/>
      <c r="DQZ17" s="72"/>
      <c r="DRA17" s="72"/>
      <c r="DRB17" s="72"/>
      <c r="DRC17" s="72"/>
      <c r="DRD17" s="72"/>
      <c r="DRE17" s="72"/>
      <c r="DRF17" s="72"/>
      <c r="DRG17" s="72"/>
      <c r="DRH17" s="72"/>
      <c r="DRI17" s="72"/>
      <c r="DRJ17" s="72"/>
      <c r="DRK17" s="72"/>
      <c r="DRL17" s="72"/>
      <c r="DRM17" s="72"/>
      <c r="DRN17" s="72"/>
      <c r="DRO17" s="72"/>
      <c r="DRP17" s="72"/>
      <c r="DRQ17" s="72"/>
      <c r="DRR17" s="72"/>
      <c r="DRS17" s="72"/>
      <c r="DRT17" s="72"/>
      <c r="DRU17" s="72"/>
      <c r="DRV17" s="72"/>
      <c r="DRW17" s="72"/>
      <c r="DRX17" s="72"/>
      <c r="DRY17" s="72"/>
      <c r="DRZ17" s="72"/>
      <c r="DSA17" s="72"/>
      <c r="DSB17" s="72"/>
      <c r="DSC17" s="72"/>
      <c r="DSD17" s="72"/>
      <c r="DSE17" s="72"/>
      <c r="DSF17" s="72"/>
      <c r="DSG17" s="72"/>
      <c r="DSH17" s="72"/>
      <c r="DSI17" s="72"/>
      <c r="DSJ17" s="72"/>
      <c r="DSK17" s="72"/>
      <c r="DSL17" s="72"/>
      <c r="DSM17" s="72"/>
      <c r="DSN17" s="72"/>
      <c r="DSO17" s="72"/>
      <c r="DSP17" s="72"/>
      <c r="DSQ17" s="72"/>
      <c r="DSR17" s="72"/>
      <c r="DSS17" s="72"/>
      <c r="DST17" s="72"/>
      <c r="DSU17" s="72"/>
      <c r="DSV17" s="72"/>
      <c r="DSW17" s="72"/>
      <c r="DSX17" s="72"/>
      <c r="DSY17" s="72"/>
      <c r="DSZ17" s="72"/>
      <c r="DTA17" s="72"/>
      <c r="DTB17" s="72"/>
      <c r="DTC17" s="72"/>
      <c r="DTD17" s="72"/>
      <c r="DTE17" s="72"/>
      <c r="DTF17" s="72"/>
      <c r="DTG17" s="72"/>
      <c r="DTH17" s="72"/>
      <c r="DTI17" s="72"/>
      <c r="DTJ17" s="72"/>
      <c r="DTK17" s="72"/>
      <c r="DTL17" s="72"/>
      <c r="DTM17" s="72"/>
      <c r="DTN17" s="72"/>
      <c r="DTO17" s="72"/>
      <c r="DTP17" s="72"/>
      <c r="DTQ17" s="72"/>
      <c r="DTR17" s="72"/>
      <c r="DTS17" s="72"/>
      <c r="DTT17" s="72"/>
      <c r="DTU17" s="72"/>
      <c r="DTV17" s="72"/>
      <c r="DTW17" s="72"/>
      <c r="DTX17" s="72"/>
      <c r="DTY17" s="72"/>
      <c r="DTZ17" s="72"/>
      <c r="DUA17" s="72"/>
      <c r="DUB17" s="72"/>
      <c r="DUC17" s="72"/>
      <c r="DUD17" s="72"/>
      <c r="DUE17" s="72"/>
      <c r="DUF17" s="72"/>
      <c r="DUG17" s="72"/>
      <c r="DUH17" s="72"/>
      <c r="DUI17" s="72"/>
      <c r="DUJ17" s="72"/>
      <c r="DUK17" s="72"/>
      <c r="DUL17" s="72"/>
      <c r="DUM17" s="72"/>
      <c r="DUN17" s="72"/>
      <c r="DUO17" s="72"/>
      <c r="DUP17" s="72"/>
      <c r="DUQ17" s="72"/>
      <c r="DUR17" s="72"/>
      <c r="DUS17" s="72"/>
      <c r="DUT17" s="72"/>
      <c r="DUU17" s="72"/>
      <c r="DUV17" s="72"/>
      <c r="DUW17" s="72"/>
      <c r="DUX17" s="72"/>
      <c r="DUY17" s="72"/>
      <c r="DUZ17" s="72"/>
      <c r="DVA17" s="72"/>
      <c r="DVB17" s="72"/>
      <c r="DVC17" s="72"/>
      <c r="DVD17" s="72"/>
      <c r="DVE17" s="72"/>
      <c r="DVF17" s="72"/>
      <c r="DVG17" s="72"/>
      <c r="DVH17" s="72"/>
      <c r="DVI17" s="72"/>
      <c r="DVJ17" s="72"/>
      <c r="DVK17" s="72"/>
      <c r="DVL17" s="72"/>
      <c r="DVM17" s="72"/>
      <c r="DVN17" s="72"/>
      <c r="DVO17" s="72"/>
      <c r="DVP17" s="72"/>
      <c r="DVQ17" s="72"/>
      <c r="DVR17" s="72"/>
      <c r="DVS17" s="72"/>
      <c r="DVT17" s="72"/>
      <c r="DVU17" s="72"/>
      <c r="DVV17" s="72"/>
      <c r="DVW17" s="72"/>
      <c r="DVX17" s="72"/>
      <c r="DVY17" s="72"/>
      <c r="DVZ17" s="72"/>
      <c r="DWA17" s="72"/>
      <c r="DWB17" s="72"/>
      <c r="DWC17" s="72"/>
      <c r="DWD17" s="72"/>
      <c r="DWE17" s="72"/>
      <c r="DWF17" s="72"/>
      <c r="DWG17" s="72"/>
      <c r="DWH17" s="72"/>
      <c r="DWI17" s="72"/>
      <c r="DWJ17" s="72"/>
      <c r="DWK17" s="72"/>
      <c r="DWL17" s="72"/>
      <c r="DWM17" s="72"/>
      <c r="DWN17" s="72"/>
      <c r="DWO17" s="72"/>
      <c r="DWP17" s="72"/>
      <c r="DWQ17" s="72"/>
      <c r="DWR17" s="72"/>
      <c r="DWS17" s="72"/>
      <c r="DWT17" s="72"/>
      <c r="DWU17" s="72"/>
      <c r="DWV17" s="72"/>
      <c r="DWW17" s="72"/>
      <c r="DWX17" s="72"/>
      <c r="DWY17" s="72"/>
      <c r="DWZ17" s="72"/>
      <c r="DXA17" s="72"/>
      <c r="DXB17" s="72"/>
      <c r="DXC17" s="72"/>
      <c r="DXD17" s="72"/>
      <c r="DXE17" s="72"/>
      <c r="DXF17" s="72"/>
      <c r="DXG17" s="72"/>
      <c r="DXH17" s="72"/>
      <c r="DXI17" s="72"/>
      <c r="DXJ17" s="72"/>
      <c r="DXK17" s="72"/>
      <c r="DXL17" s="72"/>
      <c r="DXM17" s="72"/>
      <c r="DXN17" s="72"/>
      <c r="DXO17" s="72"/>
      <c r="DXP17" s="72"/>
      <c r="DXQ17" s="72"/>
      <c r="DXR17" s="72"/>
      <c r="DXS17" s="72"/>
      <c r="DXT17" s="72"/>
      <c r="DXU17" s="72"/>
      <c r="DXV17" s="72"/>
      <c r="DXW17" s="72"/>
      <c r="DXX17" s="72"/>
      <c r="DXY17" s="72"/>
      <c r="DXZ17" s="72"/>
      <c r="DYA17" s="72"/>
      <c r="DYB17" s="72"/>
      <c r="DYC17" s="72"/>
      <c r="DYD17" s="72"/>
      <c r="DYE17" s="72"/>
      <c r="DYF17" s="72"/>
      <c r="DYG17" s="72"/>
      <c r="DYH17" s="72"/>
      <c r="DYI17" s="72"/>
      <c r="DYJ17" s="72"/>
      <c r="DYK17" s="72"/>
      <c r="DYL17" s="72"/>
      <c r="DYM17" s="72"/>
      <c r="DYN17" s="72"/>
      <c r="DYO17" s="72"/>
      <c r="DYP17" s="72"/>
      <c r="DYQ17" s="72"/>
      <c r="DYR17" s="72"/>
      <c r="DYS17" s="72"/>
      <c r="DYT17" s="72"/>
      <c r="DYU17" s="72"/>
      <c r="DYV17" s="72"/>
      <c r="DYW17" s="72"/>
      <c r="DYX17" s="72"/>
      <c r="DYY17" s="72"/>
      <c r="DYZ17" s="72"/>
      <c r="DZA17" s="72"/>
      <c r="DZB17" s="72"/>
      <c r="DZC17" s="72"/>
      <c r="DZD17" s="72"/>
      <c r="DZE17" s="72"/>
      <c r="DZF17" s="72"/>
      <c r="DZG17" s="72"/>
      <c r="DZH17" s="72"/>
      <c r="DZI17" s="72"/>
      <c r="DZJ17" s="72"/>
      <c r="DZK17" s="72"/>
      <c r="DZL17" s="72"/>
      <c r="DZM17" s="72"/>
      <c r="DZN17" s="72"/>
      <c r="DZO17" s="72"/>
      <c r="DZP17" s="72"/>
      <c r="DZQ17" s="72"/>
      <c r="DZR17" s="72"/>
      <c r="DZS17" s="72"/>
      <c r="DZT17" s="72"/>
      <c r="DZU17" s="72"/>
      <c r="DZV17" s="72"/>
      <c r="DZW17" s="72"/>
      <c r="DZX17" s="72"/>
      <c r="DZY17" s="72"/>
      <c r="DZZ17" s="72"/>
      <c r="EAA17" s="72"/>
      <c r="EAB17" s="72"/>
      <c r="EAC17" s="72"/>
      <c r="EAD17" s="72"/>
      <c r="EAE17" s="72"/>
      <c r="EAF17" s="72"/>
      <c r="EAG17" s="72"/>
      <c r="EAH17" s="72"/>
      <c r="EAI17" s="72"/>
      <c r="EAJ17" s="72"/>
      <c r="EAK17" s="72"/>
      <c r="EAL17" s="72"/>
      <c r="EAM17" s="72"/>
      <c r="EAN17" s="72"/>
      <c r="EAO17" s="72"/>
      <c r="EAP17" s="72"/>
      <c r="EAQ17" s="72"/>
      <c r="EAR17" s="72"/>
      <c r="EAS17" s="72"/>
      <c r="EAT17" s="72"/>
      <c r="EAU17" s="72"/>
      <c r="EAV17" s="72"/>
      <c r="EAW17" s="72"/>
      <c r="EAX17" s="72"/>
      <c r="EAY17" s="72"/>
      <c r="EAZ17" s="72"/>
      <c r="EBA17" s="72"/>
      <c r="EBB17" s="72"/>
      <c r="EBC17" s="72"/>
      <c r="EBD17" s="72"/>
      <c r="EBE17" s="72"/>
      <c r="EBF17" s="72"/>
      <c r="EBG17" s="72"/>
      <c r="EBH17" s="72"/>
      <c r="EBI17" s="72"/>
      <c r="EBJ17" s="72"/>
      <c r="EBK17" s="72"/>
      <c r="EBL17" s="72"/>
      <c r="EBM17" s="72"/>
      <c r="EBN17" s="72"/>
      <c r="EBO17" s="72"/>
      <c r="EBP17" s="72"/>
      <c r="EBQ17" s="72"/>
      <c r="EBR17" s="72"/>
      <c r="EBS17" s="72"/>
      <c r="EBT17" s="72"/>
      <c r="EBU17" s="72"/>
      <c r="EBV17" s="72"/>
      <c r="EBW17" s="72"/>
      <c r="EBX17" s="72"/>
      <c r="EBY17" s="72"/>
      <c r="EBZ17" s="72"/>
      <c r="ECA17" s="72"/>
      <c r="ECB17" s="72"/>
      <c r="ECC17" s="72"/>
      <c r="ECD17" s="72"/>
      <c r="ECE17" s="72"/>
      <c r="ECF17" s="72"/>
      <c r="ECG17" s="72"/>
      <c r="ECH17" s="72"/>
      <c r="ECI17" s="72"/>
      <c r="ECJ17" s="72"/>
      <c r="ECK17" s="72"/>
      <c r="ECL17" s="72"/>
      <c r="ECM17" s="72"/>
      <c r="ECN17" s="72"/>
      <c r="ECO17" s="72"/>
      <c r="ECP17" s="72"/>
      <c r="ECQ17" s="72"/>
      <c r="ECR17" s="72"/>
      <c r="ECS17" s="72"/>
      <c r="ECT17" s="72"/>
      <c r="ECU17" s="72"/>
      <c r="ECV17" s="72"/>
      <c r="ECW17" s="72"/>
      <c r="ECX17" s="72"/>
      <c r="ECY17" s="72"/>
      <c r="ECZ17" s="72"/>
      <c r="EDA17" s="72"/>
      <c r="EDB17" s="72"/>
      <c r="EDC17" s="72"/>
      <c r="EDD17" s="72"/>
      <c r="EDE17" s="72"/>
      <c r="EDF17" s="72"/>
      <c r="EDG17" s="72"/>
      <c r="EDH17" s="72"/>
      <c r="EDI17" s="72"/>
      <c r="EDJ17" s="72"/>
      <c r="EDK17" s="72"/>
      <c r="EDL17" s="72"/>
      <c r="EDM17" s="72"/>
      <c r="EDN17" s="72"/>
      <c r="EDO17" s="72"/>
      <c r="EDP17" s="72"/>
      <c r="EDQ17" s="72"/>
      <c r="EDR17" s="72"/>
      <c r="EDS17" s="72"/>
      <c r="EDT17" s="72"/>
      <c r="EDU17" s="72"/>
      <c r="EDV17" s="72"/>
      <c r="EDW17" s="72"/>
      <c r="EDX17" s="72"/>
      <c r="EDY17" s="72"/>
      <c r="EDZ17" s="72"/>
      <c r="EEA17" s="72"/>
      <c r="EEB17" s="72"/>
      <c r="EEC17" s="72"/>
      <c r="EED17" s="72"/>
      <c r="EEE17" s="72"/>
      <c r="EEF17" s="72"/>
      <c r="EEG17" s="72"/>
      <c r="EEH17" s="72"/>
      <c r="EEI17" s="72"/>
      <c r="EEJ17" s="72"/>
      <c r="EEK17" s="72"/>
      <c r="EEL17" s="72"/>
      <c r="EEM17" s="72"/>
      <c r="EEN17" s="72"/>
      <c r="EEO17" s="72"/>
      <c r="EEP17" s="72"/>
      <c r="EEQ17" s="72"/>
      <c r="EER17" s="72"/>
      <c r="EES17" s="72"/>
      <c r="EET17" s="72"/>
      <c r="EEU17" s="72"/>
      <c r="EEV17" s="72"/>
      <c r="EEW17" s="72"/>
      <c r="EEX17" s="72"/>
      <c r="EEY17" s="72"/>
      <c r="EEZ17" s="72"/>
      <c r="EFA17" s="72"/>
      <c r="EFB17" s="72"/>
      <c r="EFC17" s="72"/>
      <c r="EFD17" s="72"/>
      <c r="EFE17" s="72"/>
      <c r="EFF17" s="72"/>
      <c r="EFG17" s="72"/>
      <c r="EFH17" s="72"/>
      <c r="EFI17" s="72"/>
      <c r="EFJ17" s="72"/>
      <c r="EFK17" s="72"/>
      <c r="EFL17" s="72"/>
      <c r="EFM17" s="72"/>
      <c r="EFN17" s="72"/>
      <c r="EFO17" s="72"/>
      <c r="EFP17" s="72"/>
      <c r="EFQ17" s="72"/>
      <c r="EFR17" s="72"/>
      <c r="EFS17" s="72"/>
      <c r="EFT17" s="72"/>
      <c r="EFU17" s="72"/>
      <c r="EFV17" s="72"/>
      <c r="EFW17" s="72"/>
      <c r="EFX17" s="72"/>
      <c r="EFY17" s="72"/>
      <c r="EFZ17" s="72"/>
      <c r="EGA17" s="72"/>
      <c r="EGB17" s="72"/>
      <c r="EGC17" s="72"/>
      <c r="EGD17" s="72"/>
      <c r="EGE17" s="72"/>
      <c r="EGF17" s="72"/>
      <c r="EGG17" s="72"/>
      <c r="EGH17" s="72"/>
      <c r="EGI17" s="72"/>
      <c r="EGJ17" s="72"/>
      <c r="EGK17" s="72"/>
      <c r="EGL17" s="72"/>
      <c r="EGM17" s="72"/>
      <c r="EGN17" s="72"/>
      <c r="EGO17" s="72"/>
      <c r="EGP17" s="72"/>
      <c r="EGQ17" s="72"/>
      <c r="EGR17" s="72"/>
      <c r="EGS17" s="72"/>
      <c r="EGT17" s="72"/>
      <c r="EGU17" s="72"/>
      <c r="EGV17" s="72"/>
      <c r="EGW17" s="72"/>
      <c r="EGX17" s="72"/>
      <c r="EGY17" s="72"/>
      <c r="EGZ17" s="72"/>
      <c r="EHA17" s="72"/>
      <c r="EHB17" s="72"/>
      <c r="EHC17" s="72"/>
      <c r="EHD17" s="72"/>
      <c r="EHE17" s="72"/>
      <c r="EHF17" s="72"/>
      <c r="EHG17" s="72"/>
      <c r="EHH17" s="72"/>
      <c r="EHI17" s="72"/>
      <c r="EHJ17" s="72"/>
      <c r="EHK17" s="72"/>
      <c r="EHL17" s="72"/>
      <c r="EHM17" s="72"/>
      <c r="EHN17" s="72"/>
      <c r="EHO17" s="72"/>
      <c r="EHP17" s="72"/>
      <c r="EHQ17" s="72"/>
      <c r="EHR17" s="72"/>
      <c r="EHS17" s="72"/>
      <c r="EHT17" s="72"/>
      <c r="EHU17" s="72"/>
      <c r="EHV17" s="72"/>
      <c r="EHW17" s="72"/>
      <c r="EHX17" s="72"/>
      <c r="EHY17" s="72"/>
      <c r="EHZ17" s="72"/>
      <c r="EIA17" s="72"/>
      <c r="EIB17" s="72"/>
      <c r="EIC17" s="72"/>
      <c r="EID17" s="72"/>
      <c r="EIE17" s="72"/>
      <c r="EIF17" s="72"/>
      <c r="EIG17" s="72"/>
      <c r="EIH17" s="72"/>
      <c r="EII17" s="72"/>
      <c r="EIJ17" s="72"/>
      <c r="EIK17" s="72"/>
      <c r="EIL17" s="72"/>
      <c r="EIM17" s="72"/>
      <c r="EIN17" s="72"/>
      <c r="EIO17" s="72"/>
      <c r="EIP17" s="72"/>
      <c r="EIQ17" s="72"/>
      <c r="EIR17" s="72"/>
      <c r="EIS17" s="72"/>
      <c r="EIT17" s="72"/>
      <c r="EIU17" s="72"/>
      <c r="EIV17" s="72"/>
      <c r="EIW17" s="72"/>
      <c r="EIX17" s="72"/>
      <c r="EIY17" s="72"/>
      <c r="EIZ17" s="72"/>
      <c r="EJA17" s="72"/>
      <c r="EJB17" s="72"/>
      <c r="EJC17" s="72"/>
      <c r="EJD17" s="72"/>
      <c r="EJE17" s="72"/>
      <c r="EJF17" s="72"/>
      <c r="EJG17" s="72"/>
      <c r="EJH17" s="72"/>
      <c r="EJI17" s="72"/>
      <c r="EJJ17" s="72"/>
      <c r="EJK17" s="72"/>
      <c r="EJL17" s="72"/>
      <c r="EJM17" s="72"/>
      <c r="EJN17" s="72"/>
      <c r="EJO17" s="72"/>
      <c r="EJP17" s="72"/>
      <c r="EJQ17" s="72"/>
      <c r="EJR17" s="72"/>
      <c r="EJS17" s="72"/>
      <c r="EJT17" s="72"/>
      <c r="EJU17" s="72"/>
      <c r="EJV17" s="72"/>
      <c r="EJW17" s="72"/>
      <c r="EJX17" s="72"/>
      <c r="EJY17" s="72"/>
      <c r="EJZ17" s="72"/>
      <c r="EKA17" s="72"/>
      <c r="EKB17" s="72"/>
      <c r="EKC17" s="72"/>
      <c r="EKD17" s="72"/>
      <c r="EKE17" s="72"/>
      <c r="EKF17" s="72"/>
      <c r="EKG17" s="72"/>
      <c r="EKH17" s="72"/>
      <c r="EKI17" s="72"/>
      <c r="EKJ17" s="72"/>
      <c r="EKK17" s="72"/>
      <c r="EKL17" s="72"/>
      <c r="EKM17" s="72"/>
      <c r="EKN17" s="72"/>
      <c r="EKO17" s="72"/>
      <c r="EKP17" s="72"/>
      <c r="EKQ17" s="72"/>
      <c r="EKR17" s="72"/>
      <c r="EKS17" s="72"/>
      <c r="EKT17" s="72"/>
      <c r="EKU17" s="72"/>
      <c r="EKV17" s="72"/>
      <c r="EKW17" s="72"/>
      <c r="EKX17" s="72"/>
      <c r="EKY17" s="72"/>
      <c r="EKZ17" s="72"/>
      <c r="ELA17" s="72"/>
      <c r="ELB17" s="72"/>
      <c r="ELC17" s="72"/>
      <c r="ELD17" s="72"/>
      <c r="ELE17" s="72"/>
      <c r="ELF17" s="72"/>
      <c r="ELG17" s="72"/>
      <c r="ELH17" s="72"/>
      <c r="ELI17" s="72"/>
      <c r="ELJ17" s="72"/>
      <c r="ELK17" s="72"/>
      <c r="ELL17" s="72"/>
      <c r="ELM17" s="72"/>
      <c r="ELN17" s="72"/>
      <c r="ELO17" s="72"/>
      <c r="ELP17" s="72"/>
      <c r="ELQ17" s="72"/>
      <c r="ELR17" s="72"/>
      <c r="ELS17" s="72"/>
      <c r="ELT17" s="72"/>
      <c r="ELU17" s="72"/>
      <c r="ELV17" s="72"/>
      <c r="ELW17" s="72"/>
      <c r="ELX17" s="72"/>
      <c r="ELY17" s="72"/>
      <c r="ELZ17" s="72"/>
      <c r="EMA17" s="72"/>
      <c r="EMB17" s="72"/>
      <c r="EMC17" s="72"/>
      <c r="EMD17" s="72"/>
      <c r="EME17" s="72"/>
      <c r="EMF17" s="72"/>
      <c r="EMG17" s="72"/>
      <c r="EMH17" s="72"/>
      <c r="EMI17" s="72"/>
      <c r="EMJ17" s="72"/>
      <c r="EMK17" s="72"/>
      <c r="EML17" s="72"/>
      <c r="EMM17" s="72"/>
      <c r="EMN17" s="72"/>
      <c r="EMO17" s="72"/>
      <c r="EMP17" s="72"/>
      <c r="EMQ17" s="72"/>
      <c r="EMR17" s="72"/>
      <c r="EMS17" s="72"/>
      <c r="EMT17" s="72"/>
      <c r="EMU17" s="72"/>
      <c r="EMV17" s="72"/>
      <c r="EMW17" s="72"/>
      <c r="EMX17" s="72"/>
      <c r="EMY17" s="72"/>
      <c r="EMZ17" s="72"/>
      <c r="ENA17" s="72"/>
      <c r="ENB17" s="72"/>
      <c r="ENC17" s="72"/>
      <c r="END17" s="72"/>
      <c r="ENE17" s="72"/>
      <c r="ENF17" s="72"/>
      <c r="ENG17" s="72"/>
      <c r="ENH17" s="72"/>
      <c r="ENI17" s="72"/>
      <c r="ENJ17" s="72"/>
      <c r="ENK17" s="72"/>
      <c r="ENL17" s="72"/>
      <c r="ENM17" s="72"/>
      <c r="ENN17" s="72"/>
      <c r="ENO17" s="72"/>
      <c r="ENP17" s="72"/>
      <c r="ENQ17" s="72"/>
      <c r="ENR17" s="72"/>
      <c r="ENS17" s="72"/>
      <c r="ENT17" s="72"/>
      <c r="ENU17" s="72"/>
      <c r="ENV17" s="72"/>
      <c r="ENW17" s="72"/>
      <c r="ENX17" s="72"/>
      <c r="ENY17" s="72"/>
      <c r="ENZ17" s="72"/>
      <c r="EOA17" s="72"/>
      <c r="EOB17" s="72"/>
      <c r="EOC17" s="72"/>
      <c r="EOD17" s="72"/>
      <c r="EOE17" s="72"/>
      <c r="EOF17" s="72"/>
      <c r="EOG17" s="72"/>
      <c r="EOH17" s="72"/>
      <c r="EOI17" s="72"/>
      <c r="EOJ17" s="72"/>
      <c r="EOK17" s="72"/>
      <c r="EOL17" s="72"/>
      <c r="EOM17" s="72"/>
      <c r="EON17" s="72"/>
      <c r="EOO17" s="72"/>
      <c r="EOP17" s="72"/>
      <c r="EOQ17" s="72"/>
      <c r="EOR17" s="72"/>
      <c r="EOS17" s="72"/>
      <c r="EOT17" s="72"/>
      <c r="EOU17" s="72"/>
      <c r="EOV17" s="72"/>
      <c r="EOW17" s="72"/>
      <c r="EOX17" s="72"/>
      <c r="EOY17" s="72"/>
      <c r="EOZ17" s="72"/>
      <c r="EPA17" s="72"/>
      <c r="EPB17" s="72"/>
      <c r="EPC17" s="72"/>
      <c r="EPD17" s="72"/>
      <c r="EPE17" s="72"/>
      <c r="EPF17" s="72"/>
      <c r="EPG17" s="72"/>
      <c r="EPH17" s="72"/>
      <c r="EPI17" s="72"/>
      <c r="EPJ17" s="72"/>
      <c r="EPK17" s="72"/>
      <c r="EPL17" s="72"/>
      <c r="EPM17" s="72"/>
      <c r="EPN17" s="72"/>
      <c r="EPO17" s="72"/>
      <c r="EPP17" s="72"/>
      <c r="EPQ17" s="72"/>
      <c r="EPR17" s="72"/>
      <c r="EPS17" s="72"/>
      <c r="EPT17" s="72"/>
      <c r="EPU17" s="72"/>
      <c r="EPV17" s="72"/>
      <c r="EPW17" s="72"/>
      <c r="EPX17" s="72"/>
      <c r="EPY17" s="72"/>
      <c r="EPZ17" s="72"/>
      <c r="EQA17" s="72"/>
      <c r="EQB17" s="72"/>
      <c r="EQC17" s="72"/>
      <c r="EQD17" s="72"/>
      <c r="EQE17" s="72"/>
      <c r="EQF17" s="72"/>
      <c r="EQG17" s="72"/>
      <c r="EQH17" s="72"/>
      <c r="EQI17" s="72"/>
      <c r="EQJ17" s="72"/>
      <c r="EQK17" s="72"/>
      <c r="EQL17" s="72"/>
      <c r="EQM17" s="72"/>
      <c r="EQN17" s="72"/>
      <c r="EQO17" s="72"/>
      <c r="EQP17" s="72"/>
      <c r="EQQ17" s="72"/>
      <c r="EQR17" s="72"/>
      <c r="EQS17" s="72"/>
      <c r="EQT17" s="72"/>
      <c r="EQU17" s="72"/>
      <c r="EQV17" s="72"/>
      <c r="EQW17" s="72"/>
      <c r="EQX17" s="72"/>
      <c r="EQY17" s="72"/>
      <c r="EQZ17" s="72"/>
      <c r="ERA17" s="72"/>
      <c r="ERB17" s="72"/>
      <c r="ERC17" s="72"/>
      <c r="ERD17" s="72"/>
      <c r="ERE17" s="72"/>
      <c r="ERF17" s="72"/>
      <c r="ERG17" s="72"/>
      <c r="ERH17" s="72"/>
      <c r="ERI17" s="72"/>
      <c r="ERJ17" s="72"/>
      <c r="ERK17" s="72"/>
      <c r="ERL17" s="72"/>
      <c r="ERM17" s="72"/>
      <c r="ERN17" s="72"/>
      <c r="ERO17" s="72"/>
      <c r="ERP17" s="72"/>
      <c r="ERQ17" s="72"/>
      <c r="ERR17" s="72"/>
      <c r="ERS17" s="72"/>
      <c r="ERT17" s="72"/>
      <c r="ERU17" s="72"/>
      <c r="ERV17" s="72"/>
      <c r="ERW17" s="72"/>
      <c r="ERX17" s="72"/>
      <c r="ERY17" s="72"/>
      <c r="ERZ17" s="72"/>
      <c r="ESA17" s="72"/>
      <c r="ESB17" s="72"/>
      <c r="ESC17" s="72"/>
      <c r="ESD17" s="72"/>
      <c r="ESE17" s="72"/>
      <c r="ESF17" s="72"/>
      <c r="ESG17" s="72"/>
      <c r="ESH17" s="72"/>
      <c r="ESI17" s="72"/>
      <c r="ESJ17" s="72"/>
      <c r="ESK17" s="72"/>
      <c r="ESL17" s="72"/>
      <c r="ESM17" s="72"/>
      <c r="ESN17" s="72"/>
      <c r="ESO17" s="72"/>
      <c r="ESP17" s="72"/>
      <c r="ESQ17" s="72"/>
      <c r="ESR17" s="72"/>
      <c r="ESS17" s="72"/>
      <c r="EST17" s="72"/>
      <c r="ESU17" s="72"/>
      <c r="ESV17" s="72"/>
      <c r="ESW17" s="72"/>
      <c r="ESX17" s="72"/>
      <c r="ESY17" s="72"/>
      <c r="ESZ17" s="72"/>
      <c r="ETA17" s="72"/>
      <c r="ETB17" s="72"/>
      <c r="ETC17" s="72"/>
      <c r="ETD17" s="72"/>
      <c r="ETE17" s="72"/>
      <c r="ETF17" s="72"/>
      <c r="ETG17" s="72"/>
      <c r="ETH17" s="72"/>
      <c r="ETI17" s="72"/>
      <c r="ETJ17" s="72"/>
      <c r="ETK17" s="72"/>
      <c r="ETL17" s="72"/>
      <c r="ETM17" s="72"/>
      <c r="ETN17" s="72"/>
      <c r="ETO17" s="72"/>
      <c r="ETP17" s="72"/>
      <c r="ETQ17" s="72"/>
      <c r="ETR17" s="72"/>
      <c r="ETS17" s="72"/>
      <c r="ETT17" s="72"/>
      <c r="ETU17" s="72"/>
      <c r="ETV17" s="72"/>
      <c r="ETW17" s="72"/>
      <c r="ETX17" s="72"/>
      <c r="ETY17" s="72"/>
      <c r="ETZ17" s="72"/>
      <c r="EUA17" s="72"/>
      <c r="EUB17" s="72"/>
      <c r="EUC17" s="72"/>
      <c r="EUD17" s="72"/>
      <c r="EUE17" s="72"/>
      <c r="EUF17" s="72"/>
      <c r="EUG17" s="72"/>
      <c r="EUH17" s="72"/>
      <c r="EUI17" s="72"/>
      <c r="EUJ17" s="72"/>
      <c r="EUK17" s="72"/>
      <c r="EUL17" s="72"/>
      <c r="EUM17" s="72"/>
      <c r="EUN17" s="72"/>
      <c r="EUO17" s="72"/>
      <c r="EUP17" s="72"/>
      <c r="EUQ17" s="72"/>
      <c r="EUR17" s="72"/>
      <c r="EUS17" s="72"/>
      <c r="EUT17" s="72"/>
      <c r="EUU17" s="72"/>
      <c r="EUV17" s="72"/>
      <c r="EUW17" s="72"/>
      <c r="EUX17" s="72"/>
      <c r="EUY17" s="72"/>
      <c r="EUZ17" s="72"/>
      <c r="EVA17" s="72"/>
      <c r="EVB17" s="72"/>
      <c r="EVC17" s="72"/>
      <c r="EVD17" s="72"/>
      <c r="EVE17" s="72"/>
      <c r="EVF17" s="72"/>
      <c r="EVG17" s="72"/>
      <c r="EVH17" s="72"/>
      <c r="EVI17" s="72"/>
      <c r="EVJ17" s="72"/>
      <c r="EVK17" s="72"/>
      <c r="EVL17" s="72"/>
      <c r="EVM17" s="72"/>
      <c r="EVN17" s="72"/>
      <c r="EVO17" s="72"/>
      <c r="EVP17" s="72"/>
      <c r="EVQ17" s="72"/>
      <c r="EVR17" s="72"/>
      <c r="EVS17" s="72"/>
      <c r="EVT17" s="72"/>
      <c r="EVU17" s="72"/>
      <c r="EVV17" s="72"/>
      <c r="EVW17" s="72"/>
      <c r="EVX17" s="72"/>
      <c r="EVY17" s="72"/>
      <c r="EVZ17" s="72"/>
      <c r="EWA17" s="72"/>
      <c r="EWB17" s="72"/>
      <c r="EWC17" s="72"/>
      <c r="EWD17" s="72"/>
      <c r="EWE17" s="72"/>
      <c r="EWF17" s="72"/>
      <c r="EWG17" s="72"/>
      <c r="EWH17" s="72"/>
      <c r="EWI17" s="72"/>
      <c r="EWJ17" s="72"/>
      <c r="EWK17" s="72"/>
      <c r="EWL17" s="72"/>
      <c r="EWM17" s="72"/>
      <c r="EWN17" s="72"/>
      <c r="EWO17" s="72"/>
      <c r="EWP17" s="72"/>
      <c r="EWQ17" s="72"/>
      <c r="EWR17" s="72"/>
      <c r="EWS17" s="72"/>
      <c r="EWT17" s="72"/>
      <c r="EWU17" s="72"/>
      <c r="EWV17" s="72"/>
      <c r="EWW17" s="72"/>
      <c r="EWX17" s="72"/>
      <c r="EWY17" s="72"/>
      <c r="EWZ17" s="72"/>
      <c r="EXA17" s="72"/>
      <c r="EXB17" s="72"/>
      <c r="EXC17" s="72"/>
      <c r="EXD17" s="72"/>
      <c r="EXE17" s="72"/>
      <c r="EXF17" s="72"/>
      <c r="EXG17" s="72"/>
      <c r="EXH17" s="72"/>
      <c r="EXI17" s="72"/>
      <c r="EXJ17" s="72"/>
      <c r="EXK17" s="72"/>
      <c r="EXL17" s="72"/>
      <c r="EXM17" s="72"/>
      <c r="EXN17" s="72"/>
      <c r="EXO17" s="72"/>
      <c r="EXP17" s="72"/>
      <c r="EXQ17" s="72"/>
      <c r="EXR17" s="72"/>
      <c r="EXS17" s="72"/>
      <c r="EXT17" s="72"/>
      <c r="EXU17" s="72"/>
      <c r="EXV17" s="72"/>
      <c r="EXW17" s="72"/>
      <c r="EXX17" s="72"/>
      <c r="EXY17" s="72"/>
      <c r="EXZ17" s="72"/>
      <c r="EYA17" s="72"/>
      <c r="EYB17" s="72"/>
      <c r="EYC17" s="72"/>
      <c r="EYD17" s="72"/>
      <c r="EYE17" s="72"/>
      <c r="EYF17" s="72"/>
      <c r="EYG17" s="72"/>
      <c r="EYH17" s="72"/>
      <c r="EYI17" s="72"/>
      <c r="EYJ17" s="72"/>
      <c r="EYK17" s="72"/>
      <c r="EYL17" s="72"/>
      <c r="EYM17" s="72"/>
      <c r="EYN17" s="72"/>
      <c r="EYO17" s="72"/>
      <c r="EYP17" s="72"/>
      <c r="EYQ17" s="72"/>
      <c r="EYR17" s="72"/>
      <c r="EYS17" s="72"/>
      <c r="EYT17" s="72"/>
      <c r="EYU17" s="72"/>
      <c r="EYV17" s="72"/>
      <c r="EYW17" s="72"/>
      <c r="EYX17" s="72"/>
      <c r="EYY17" s="72"/>
      <c r="EYZ17" s="72"/>
      <c r="EZA17" s="72"/>
      <c r="EZB17" s="72"/>
      <c r="EZC17" s="72"/>
      <c r="EZD17" s="72"/>
      <c r="EZE17" s="72"/>
      <c r="EZF17" s="72"/>
      <c r="EZG17" s="72"/>
      <c r="EZH17" s="72"/>
      <c r="EZI17" s="72"/>
      <c r="EZJ17" s="72"/>
      <c r="EZK17" s="72"/>
      <c r="EZL17" s="72"/>
      <c r="EZM17" s="72"/>
      <c r="EZN17" s="72"/>
      <c r="EZO17" s="72"/>
      <c r="EZP17" s="72"/>
      <c r="EZQ17" s="72"/>
      <c r="EZR17" s="72"/>
      <c r="EZS17" s="72"/>
      <c r="EZT17" s="72"/>
      <c r="EZU17" s="72"/>
      <c r="EZV17" s="72"/>
      <c r="EZW17" s="72"/>
      <c r="EZX17" s="72"/>
      <c r="EZY17" s="72"/>
      <c r="EZZ17" s="72"/>
      <c r="FAA17" s="72"/>
      <c r="FAB17" s="72"/>
      <c r="FAC17" s="72"/>
      <c r="FAD17" s="72"/>
      <c r="FAE17" s="72"/>
      <c r="FAF17" s="72"/>
      <c r="FAG17" s="72"/>
      <c r="FAH17" s="72"/>
      <c r="FAI17" s="72"/>
      <c r="FAJ17" s="72"/>
      <c r="FAK17" s="72"/>
      <c r="FAL17" s="72"/>
      <c r="FAM17" s="72"/>
      <c r="FAN17" s="72"/>
      <c r="FAO17" s="72"/>
      <c r="FAP17" s="72"/>
      <c r="FAQ17" s="72"/>
      <c r="FAR17" s="72"/>
      <c r="FAS17" s="72"/>
      <c r="FAT17" s="72"/>
      <c r="FAU17" s="72"/>
      <c r="FAV17" s="72"/>
      <c r="FAW17" s="72"/>
      <c r="FAX17" s="72"/>
      <c r="FAY17" s="72"/>
      <c r="FAZ17" s="72"/>
      <c r="FBA17" s="72"/>
      <c r="FBB17" s="72"/>
      <c r="FBC17" s="72"/>
      <c r="FBD17" s="72"/>
      <c r="FBE17" s="72"/>
      <c r="FBF17" s="72"/>
      <c r="FBG17" s="72"/>
      <c r="FBH17" s="72"/>
      <c r="FBI17" s="72"/>
      <c r="FBJ17" s="72"/>
      <c r="FBK17" s="72"/>
      <c r="FBL17" s="72"/>
      <c r="FBM17" s="72"/>
      <c r="FBN17" s="72"/>
      <c r="FBO17" s="72"/>
      <c r="FBP17" s="72"/>
      <c r="FBQ17" s="72"/>
      <c r="FBR17" s="72"/>
      <c r="FBS17" s="72"/>
      <c r="FBT17" s="72"/>
      <c r="FBU17" s="72"/>
      <c r="FBV17" s="72"/>
      <c r="FBW17" s="72"/>
      <c r="FBX17" s="72"/>
      <c r="FBY17" s="72"/>
      <c r="FBZ17" s="72"/>
      <c r="FCA17" s="72"/>
      <c r="FCB17" s="72"/>
      <c r="FCC17" s="72"/>
      <c r="FCD17" s="72"/>
      <c r="FCE17" s="72"/>
      <c r="FCF17" s="72"/>
      <c r="FCG17" s="72"/>
      <c r="FCH17" s="72"/>
      <c r="FCI17" s="72"/>
      <c r="FCJ17" s="72"/>
      <c r="FCK17" s="72"/>
      <c r="FCL17" s="72"/>
      <c r="FCM17" s="72"/>
      <c r="FCN17" s="72"/>
      <c r="FCO17" s="72"/>
      <c r="FCP17" s="72"/>
      <c r="FCQ17" s="72"/>
      <c r="FCR17" s="72"/>
      <c r="FCS17" s="72"/>
      <c r="FCT17" s="72"/>
      <c r="FCU17" s="72"/>
      <c r="FCV17" s="72"/>
      <c r="FCW17" s="72"/>
      <c r="FCX17" s="72"/>
      <c r="FCY17" s="72"/>
      <c r="FCZ17" s="72"/>
      <c r="FDA17" s="72"/>
      <c r="FDB17" s="72"/>
      <c r="FDC17" s="72"/>
      <c r="FDD17" s="72"/>
      <c r="FDE17" s="72"/>
      <c r="FDF17" s="72"/>
      <c r="FDG17" s="72"/>
      <c r="FDH17" s="72"/>
      <c r="FDI17" s="72"/>
      <c r="FDJ17" s="72"/>
      <c r="FDK17" s="72"/>
      <c r="FDL17" s="72"/>
      <c r="FDM17" s="72"/>
      <c r="FDN17" s="72"/>
      <c r="FDO17" s="72"/>
      <c r="FDP17" s="72"/>
      <c r="FDQ17" s="72"/>
      <c r="FDR17" s="72"/>
      <c r="FDS17" s="72"/>
      <c r="FDT17" s="72"/>
      <c r="FDU17" s="72"/>
      <c r="FDV17" s="72"/>
      <c r="FDW17" s="72"/>
      <c r="FDX17" s="72"/>
      <c r="FDY17" s="72"/>
      <c r="FDZ17" s="72"/>
      <c r="FEA17" s="72"/>
      <c r="FEB17" s="72"/>
      <c r="FEC17" s="72"/>
      <c r="FED17" s="72"/>
      <c r="FEE17" s="72"/>
      <c r="FEF17" s="72"/>
      <c r="FEG17" s="72"/>
      <c r="FEH17" s="72"/>
      <c r="FEI17" s="72"/>
      <c r="FEJ17" s="72"/>
      <c r="FEK17" s="72"/>
      <c r="FEL17" s="72"/>
      <c r="FEM17" s="72"/>
      <c r="FEN17" s="72"/>
      <c r="FEO17" s="72"/>
      <c r="FEP17" s="72"/>
      <c r="FEQ17" s="72"/>
      <c r="FER17" s="72"/>
      <c r="FES17" s="72"/>
      <c r="FET17" s="72"/>
      <c r="FEU17" s="72"/>
      <c r="FEV17" s="72"/>
      <c r="FEW17" s="72"/>
      <c r="FEX17" s="72"/>
      <c r="FEY17" s="72"/>
      <c r="FEZ17" s="72"/>
      <c r="FFA17" s="72"/>
      <c r="FFB17" s="72"/>
      <c r="FFC17" s="72"/>
      <c r="FFD17" s="72"/>
      <c r="FFE17" s="72"/>
      <c r="FFF17" s="72"/>
      <c r="FFG17" s="72"/>
      <c r="FFH17" s="72"/>
      <c r="FFI17" s="72"/>
      <c r="FFJ17" s="72"/>
      <c r="FFK17" s="72"/>
      <c r="FFL17" s="72"/>
      <c r="FFM17" s="72"/>
      <c r="FFN17" s="72"/>
      <c r="FFO17" s="72"/>
      <c r="FFP17" s="72"/>
      <c r="FFQ17" s="72"/>
      <c r="FFR17" s="72"/>
      <c r="FFS17" s="72"/>
      <c r="FFT17" s="72"/>
      <c r="FFU17" s="72"/>
      <c r="FFV17" s="72"/>
      <c r="FFW17" s="72"/>
      <c r="FFX17" s="72"/>
      <c r="FFY17" s="72"/>
      <c r="FFZ17" s="72"/>
      <c r="FGA17" s="72"/>
      <c r="FGB17" s="72"/>
      <c r="FGC17" s="72"/>
      <c r="FGD17" s="72"/>
      <c r="FGE17" s="72"/>
      <c r="FGF17" s="72"/>
      <c r="FGG17" s="72"/>
      <c r="FGH17" s="72"/>
      <c r="FGI17" s="72"/>
      <c r="FGJ17" s="72"/>
      <c r="FGK17" s="72"/>
      <c r="FGL17" s="72"/>
      <c r="FGM17" s="72"/>
      <c r="FGN17" s="72"/>
      <c r="FGO17" s="72"/>
      <c r="FGP17" s="72"/>
      <c r="FGQ17" s="72"/>
      <c r="FGR17" s="72"/>
      <c r="FGS17" s="72"/>
      <c r="FGT17" s="72"/>
      <c r="FGU17" s="72"/>
      <c r="FGV17" s="72"/>
      <c r="FGW17" s="72"/>
      <c r="FGX17" s="72"/>
      <c r="FGY17" s="72"/>
      <c r="FGZ17" s="72"/>
      <c r="FHA17" s="72"/>
      <c r="FHB17" s="72"/>
      <c r="FHC17" s="72"/>
      <c r="FHD17" s="72"/>
      <c r="FHE17" s="72"/>
      <c r="FHF17" s="72"/>
      <c r="FHG17" s="72"/>
      <c r="FHH17" s="72"/>
      <c r="FHI17" s="72"/>
      <c r="FHJ17" s="72"/>
      <c r="FHK17" s="72"/>
      <c r="FHL17" s="72"/>
      <c r="FHM17" s="72"/>
      <c r="FHN17" s="72"/>
      <c r="FHO17" s="72"/>
      <c r="FHP17" s="72"/>
      <c r="FHQ17" s="72"/>
      <c r="FHR17" s="72"/>
      <c r="FHS17" s="72"/>
      <c r="FHT17" s="72"/>
      <c r="FHU17" s="72"/>
      <c r="FHV17" s="72"/>
      <c r="FHW17" s="72"/>
      <c r="FHX17" s="72"/>
      <c r="FHY17" s="72"/>
      <c r="FHZ17" s="72"/>
      <c r="FIA17" s="72"/>
      <c r="FIB17" s="72"/>
      <c r="FIC17" s="72"/>
      <c r="FID17" s="72"/>
      <c r="FIE17" s="72"/>
      <c r="FIF17" s="72"/>
      <c r="FIG17" s="72"/>
      <c r="FIH17" s="72"/>
      <c r="FII17" s="72"/>
      <c r="FIJ17" s="72"/>
      <c r="FIK17" s="72"/>
      <c r="FIL17" s="72"/>
      <c r="FIM17" s="72"/>
      <c r="FIN17" s="72"/>
      <c r="FIO17" s="72"/>
      <c r="FIP17" s="72"/>
      <c r="FIQ17" s="72"/>
      <c r="FIR17" s="72"/>
      <c r="FIS17" s="72"/>
      <c r="FIT17" s="72"/>
      <c r="FIU17" s="72"/>
      <c r="FIV17" s="72"/>
      <c r="FIW17" s="72"/>
      <c r="FIX17" s="72"/>
      <c r="FIY17" s="72"/>
      <c r="FIZ17" s="72"/>
      <c r="FJA17" s="72"/>
      <c r="FJB17" s="72"/>
      <c r="FJC17" s="72"/>
      <c r="FJD17" s="72"/>
      <c r="FJE17" s="72"/>
      <c r="FJF17" s="72"/>
      <c r="FJG17" s="72"/>
      <c r="FJH17" s="72"/>
      <c r="FJI17" s="72"/>
      <c r="FJJ17" s="72"/>
      <c r="FJK17" s="72"/>
      <c r="FJL17" s="72"/>
      <c r="FJM17" s="72"/>
      <c r="FJN17" s="72"/>
      <c r="FJO17" s="72"/>
      <c r="FJP17" s="72"/>
      <c r="FJQ17" s="72"/>
      <c r="FJR17" s="72"/>
      <c r="FJS17" s="72"/>
      <c r="FJT17" s="72"/>
      <c r="FJU17" s="72"/>
      <c r="FJV17" s="72"/>
      <c r="FJW17" s="72"/>
      <c r="FJX17" s="72"/>
      <c r="FJY17" s="72"/>
      <c r="FJZ17" s="72"/>
      <c r="FKA17" s="72"/>
      <c r="FKB17" s="72"/>
      <c r="FKC17" s="72"/>
      <c r="FKD17" s="72"/>
      <c r="FKE17" s="72"/>
      <c r="FKF17" s="72"/>
      <c r="FKG17" s="72"/>
      <c r="FKH17" s="72"/>
      <c r="FKI17" s="72"/>
      <c r="FKJ17" s="72"/>
      <c r="FKK17" s="72"/>
      <c r="FKL17" s="72"/>
      <c r="FKM17" s="72"/>
      <c r="FKN17" s="72"/>
      <c r="FKO17" s="72"/>
      <c r="FKP17" s="72"/>
      <c r="FKQ17" s="72"/>
      <c r="FKR17" s="72"/>
      <c r="FKS17" s="72"/>
      <c r="FKT17" s="72"/>
      <c r="FKU17" s="72"/>
      <c r="FKV17" s="72"/>
      <c r="FKW17" s="72"/>
      <c r="FKX17" s="72"/>
      <c r="FKY17" s="72"/>
      <c r="FKZ17" s="72"/>
      <c r="FLA17" s="72"/>
      <c r="FLB17" s="72"/>
      <c r="FLC17" s="72"/>
      <c r="FLD17" s="72"/>
      <c r="FLE17" s="72"/>
      <c r="FLF17" s="72"/>
      <c r="FLG17" s="72"/>
      <c r="FLH17" s="72"/>
      <c r="FLI17" s="72"/>
      <c r="FLJ17" s="72"/>
      <c r="FLK17" s="72"/>
      <c r="FLL17" s="72"/>
      <c r="FLM17" s="72"/>
      <c r="FLN17" s="72"/>
      <c r="FLO17" s="72"/>
      <c r="FLP17" s="72"/>
      <c r="FLQ17" s="72"/>
      <c r="FLR17" s="72"/>
      <c r="FLS17" s="72"/>
      <c r="FLT17" s="72"/>
      <c r="FLU17" s="72"/>
      <c r="FLV17" s="72"/>
      <c r="FLW17" s="72"/>
      <c r="FLX17" s="72"/>
      <c r="FLY17" s="72"/>
      <c r="FLZ17" s="72"/>
      <c r="FMA17" s="72"/>
      <c r="FMB17" s="72"/>
      <c r="FMC17" s="72"/>
      <c r="FMD17" s="72"/>
      <c r="FME17" s="72"/>
      <c r="FMF17" s="72"/>
      <c r="FMG17" s="72"/>
      <c r="FMH17" s="72"/>
      <c r="FMI17" s="72"/>
      <c r="FMJ17" s="72"/>
      <c r="FMK17" s="72"/>
      <c r="FML17" s="72"/>
      <c r="FMM17" s="72"/>
      <c r="FMN17" s="72"/>
      <c r="FMO17" s="72"/>
      <c r="FMP17" s="72"/>
      <c r="FMQ17" s="72"/>
      <c r="FMR17" s="72"/>
      <c r="FMS17" s="72"/>
      <c r="FMT17" s="72"/>
      <c r="FMU17" s="72"/>
      <c r="FMV17" s="72"/>
      <c r="FMW17" s="72"/>
      <c r="FMX17" s="72"/>
      <c r="FMY17" s="72"/>
      <c r="FMZ17" s="72"/>
      <c r="FNA17" s="72"/>
      <c r="FNB17" s="72"/>
      <c r="FNC17" s="72"/>
      <c r="FND17" s="72"/>
      <c r="FNE17" s="72"/>
      <c r="FNF17" s="72"/>
      <c r="FNG17" s="72"/>
      <c r="FNH17" s="72"/>
      <c r="FNI17" s="72"/>
      <c r="FNJ17" s="72"/>
      <c r="FNK17" s="72"/>
      <c r="FNL17" s="72"/>
      <c r="FNM17" s="72"/>
      <c r="FNN17" s="72"/>
      <c r="FNO17" s="72"/>
      <c r="FNP17" s="72"/>
      <c r="FNQ17" s="72"/>
      <c r="FNR17" s="72"/>
      <c r="FNS17" s="72"/>
      <c r="FNT17" s="72"/>
      <c r="FNU17" s="72"/>
      <c r="FNV17" s="72"/>
      <c r="FNW17" s="72"/>
      <c r="FNX17" s="72"/>
      <c r="FNY17" s="72"/>
      <c r="FNZ17" s="72"/>
      <c r="FOA17" s="72"/>
      <c r="FOB17" s="72"/>
      <c r="FOC17" s="72"/>
      <c r="FOD17" s="72"/>
      <c r="FOE17" s="72"/>
      <c r="FOF17" s="72"/>
      <c r="FOG17" s="72"/>
      <c r="FOH17" s="72"/>
      <c r="FOI17" s="72"/>
      <c r="FOJ17" s="72"/>
      <c r="FOK17" s="72"/>
      <c r="FOL17" s="72"/>
      <c r="FOM17" s="72"/>
      <c r="FON17" s="72"/>
      <c r="FOO17" s="72"/>
      <c r="FOP17" s="72"/>
      <c r="FOQ17" s="72"/>
      <c r="FOR17" s="72"/>
      <c r="FOS17" s="72"/>
      <c r="FOT17" s="72"/>
      <c r="FOU17" s="72"/>
      <c r="FOV17" s="72"/>
      <c r="FOW17" s="72"/>
      <c r="FOX17" s="72"/>
      <c r="FOY17" s="72"/>
      <c r="FOZ17" s="72"/>
      <c r="FPA17" s="72"/>
      <c r="FPB17" s="72"/>
      <c r="FPC17" s="72"/>
      <c r="FPD17" s="72"/>
      <c r="FPE17" s="72"/>
      <c r="FPF17" s="72"/>
      <c r="FPG17" s="72"/>
      <c r="FPH17" s="72"/>
      <c r="FPI17" s="72"/>
      <c r="FPJ17" s="72"/>
      <c r="FPK17" s="72"/>
      <c r="FPL17" s="72"/>
      <c r="FPM17" s="72"/>
      <c r="FPN17" s="72"/>
      <c r="FPO17" s="72"/>
      <c r="FPP17" s="72"/>
      <c r="FPQ17" s="72"/>
      <c r="FPR17" s="72"/>
      <c r="FPS17" s="72"/>
      <c r="FPT17" s="72"/>
      <c r="FPU17" s="72"/>
      <c r="FPV17" s="72"/>
      <c r="FPW17" s="72"/>
      <c r="FPX17" s="72"/>
      <c r="FPY17" s="72"/>
      <c r="FPZ17" s="72"/>
      <c r="FQA17" s="72"/>
      <c r="FQB17" s="72"/>
      <c r="FQC17" s="72"/>
      <c r="FQD17" s="72"/>
      <c r="FQE17" s="72"/>
      <c r="FQF17" s="72"/>
      <c r="FQG17" s="72"/>
      <c r="FQH17" s="72"/>
      <c r="FQI17" s="72"/>
      <c r="FQJ17" s="72"/>
      <c r="FQK17" s="72"/>
      <c r="FQL17" s="72"/>
      <c r="FQM17" s="72"/>
      <c r="FQN17" s="72"/>
      <c r="FQO17" s="72"/>
      <c r="FQP17" s="72"/>
      <c r="FQQ17" s="72"/>
      <c r="FQR17" s="72"/>
      <c r="FQS17" s="72"/>
      <c r="FQT17" s="72"/>
      <c r="FQU17" s="72"/>
      <c r="FQV17" s="72"/>
      <c r="FQW17" s="72"/>
      <c r="FQX17" s="72"/>
      <c r="FQY17" s="72"/>
      <c r="FQZ17" s="72"/>
      <c r="FRA17" s="72"/>
      <c r="FRB17" s="72"/>
      <c r="FRC17" s="72"/>
      <c r="FRD17" s="72"/>
      <c r="FRE17" s="72"/>
      <c r="FRF17" s="72"/>
      <c r="FRG17" s="72"/>
      <c r="FRH17" s="72"/>
      <c r="FRI17" s="72"/>
      <c r="FRJ17" s="72"/>
      <c r="FRK17" s="72"/>
      <c r="FRL17" s="72"/>
      <c r="FRM17" s="72"/>
      <c r="FRN17" s="72"/>
      <c r="FRO17" s="72"/>
      <c r="FRP17" s="72"/>
      <c r="FRQ17" s="72"/>
      <c r="FRR17" s="72"/>
      <c r="FRS17" s="72"/>
      <c r="FRT17" s="72"/>
      <c r="FRU17" s="72"/>
      <c r="FRV17" s="72"/>
      <c r="FRW17" s="72"/>
      <c r="FRX17" s="72"/>
      <c r="FRY17" s="72"/>
      <c r="FRZ17" s="72"/>
      <c r="FSA17" s="72"/>
      <c r="FSB17" s="72"/>
      <c r="FSC17" s="72"/>
      <c r="FSD17" s="72"/>
      <c r="FSE17" s="72"/>
      <c r="FSF17" s="72"/>
      <c r="FSG17" s="72"/>
      <c r="FSH17" s="72"/>
      <c r="FSI17" s="72"/>
      <c r="FSJ17" s="72"/>
      <c r="FSK17" s="72"/>
      <c r="FSL17" s="72"/>
      <c r="FSM17" s="72"/>
      <c r="FSN17" s="72"/>
      <c r="FSO17" s="72"/>
      <c r="FSP17" s="72"/>
      <c r="FSQ17" s="72"/>
      <c r="FSR17" s="72"/>
      <c r="FSS17" s="72"/>
      <c r="FST17" s="72"/>
      <c r="FSU17" s="72"/>
      <c r="FSV17" s="72"/>
      <c r="FSW17" s="72"/>
      <c r="FSX17" s="72"/>
      <c r="FSY17" s="72"/>
      <c r="FSZ17" s="72"/>
      <c r="FTA17" s="72"/>
      <c r="FTB17" s="72"/>
      <c r="FTC17" s="72"/>
      <c r="FTD17" s="72"/>
      <c r="FTE17" s="72"/>
      <c r="FTF17" s="72"/>
      <c r="FTG17" s="72"/>
      <c r="FTH17" s="72"/>
      <c r="FTI17" s="72"/>
      <c r="FTJ17" s="72"/>
      <c r="FTK17" s="72"/>
      <c r="FTL17" s="72"/>
      <c r="FTM17" s="72"/>
      <c r="FTN17" s="72"/>
      <c r="FTO17" s="72"/>
      <c r="FTP17" s="72"/>
      <c r="FTQ17" s="72"/>
      <c r="FTR17" s="72"/>
      <c r="FTS17" s="72"/>
      <c r="FTT17" s="72"/>
      <c r="FTU17" s="72"/>
      <c r="FTV17" s="72"/>
      <c r="FTW17" s="72"/>
      <c r="FTX17" s="72"/>
      <c r="FTY17" s="72"/>
      <c r="FTZ17" s="72"/>
      <c r="FUA17" s="72"/>
      <c r="FUB17" s="72"/>
      <c r="FUC17" s="72"/>
      <c r="FUD17" s="72"/>
      <c r="FUE17" s="72"/>
      <c r="FUF17" s="72"/>
      <c r="FUG17" s="72"/>
      <c r="FUH17" s="72"/>
      <c r="FUI17" s="72"/>
      <c r="FUJ17" s="72"/>
      <c r="FUK17" s="72"/>
      <c r="FUL17" s="72"/>
      <c r="FUM17" s="72"/>
      <c r="FUN17" s="72"/>
      <c r="FUO17" s="72"/>
      <c r="FUP17" s="72"/>
      <c r="FUQ17" s="72"/>
      <c r="FUR17" s="72"/>
      <c r="FUS17" s="72"/>
      <c r="FUT17" s="72"/>
      <c r="FUU17" s="72"/>
      <c r="FUV17" s="72"/>
      <c r="FUW17" s="72"/>
      <c r="FUX17" s="72"/>
      <c r="FUY17" s="72"/>
      <c r="FUZ17" s="72"/>
      <c r="FVA17" s="72"/>
      <c r="FVB17" s="72"/>
      <c r="FVC17" s="72"/>
      <c r="FVD17" s="72"/>
      <c r="FVE17" s="72"/>
      <c r="FVF17" s="72"/>
      <c r="FVG17" s="72"/>
      <c r="FVH17" s="72"/>
      <c r="FVI17" s="72"/>
      <c r="FVJ17" s="72"/>
      <c r="FVK17" s="72"/>
      <c r="FVL17" s="72"/>
      <c r="FVM17" s="72"/>
      <c r="FVN17" s="72"/>
      <c r="FVO17" s="72"/>
      <c r="FVP17" s="72"/>
      <c r="FVQ17" s="72"/>
      <c r="FVR17" s="72"/>
      <c r="FVS17" s="72"/>
      <c r="FVT17" s="72"/>
      <c r="FVU17" s="72"/>
      <c r="FVV17" s="72"/>
      <c r="FVW17" s="72"/>
      <c r="FVX17" s="72"/>
      <c r="FVY17" s="72"/>
      <c r="FVZ17" s="72"/>
      <c r="FWA17" s="72"/>
      <c r="FWB17" s="72"/>
      <c r="FWC17" s="72"/>
      <c r="FWD17" s="72"/>
      <c r="FWE17" s="72"/>
      <c r="FWF17" s="72"/>
      <c r="FWG17" s="72"/>
      <c r="FWH17" s="72"/>
      <c r="FWI17" s="72"/>
      <c r="FWJ17" s="72"/>
      <c r="FWK17" s="72"/>
      <c r="FWL17" s="72"/>
      <c r="FWM17" s="72"/>
      <c r="FWN17" s="72"/>
      <c r="FWO17" s="72"/>
      <c r="FWP17" s="72"/>
      <c r="FWQ17" s="72"/>
      <c r="FWR17" s="72"/>
      <c r="FWS17" s="72"/>
      <c r="FWT17" s="72"/>
      <c r="FWU17" s="72"/>
      <c r="FWV17" s="72"/>
      <c r="FWW17" s="72"/>
      <c r="FWX17" s="72"/>
      <c r="FWY17" s="72"/>
      <c r="FWZ17" s="72"/>
      <c r="FXA17" s="72"/>
      <c r="FXB17" s="72"/>
      <c r="FXC17" s="72"/>
      <c r="FXD17" s="72"/>
      <c r="FXE17" s="72"/>
      <c r="FXF17" s="72"/>
      <c r="FXG17" s="72"/>
      <c r="FXH17" s="72"/>
      <c r="FXI17" s="72"/>
      <c r="FXJ17" s="72"/>
      <c r="FXK17" s="72"/>
      <c r="FXL17" s="72"/>
      <c r="FXM17" s="72"/>
      <c r="FXN17" s="72"/>
      <c r="FXO17" s="72"/>
      <c r="FXP17" s="72"/>
      <c r="FXQ17" s="72"/>
      <c r="FXR17" s="72"/>
      <c r="FXS17" s="72"/>
      <c r="FXT17" s="72"/>
      <c r="FXU17" s="72"/>
      <c r="FXV17" s="72"/>
      <c r="FXW17" s="72"/>
      <c r="FXX17" s="72"/>
      <c r="FXY17" s="72"/>
      <c r="FXZ17" s="72"/>
      <c r="FYA17" s="72"/>
      <c r="FYB17" s="72"/>
      <c r="FYC17" s="72"/>
      <c r="FYD17" s="72"/>
      <c r="FYE17" s="72"/>
      <c r="FYF17" s="72"/>
      <c r="FYG17" s="72"/>
      <c r="FYH17" s="72"/>
      <c r="FYI17" s="72"/>
      <c r="FYJ17" s="72"/>
      <c r="FYK17" s="72"/>
      <c r="FYL17" s="72"/>
      <c r="FYM17" s="72"/>
      <c r="FYN17" s="72"/>
      <c r="FYO17" s="72"/>
      <c r="FYP17" s="72"/>
      <c r="FYQ17" s="72"/>
      <c r="FYR17" s="72"/>
      <c r="FYS17" s="72"/>
      <c r="FYT17" s="72"/>
      <c r="FYU17" s="72"/>
      <c r="FYV17" s="72"/>
      <c r="FYW17" s="72"/>
      <c r="FYX17" s="72"/>
      <c r="FYY17" s="72"/>
      <c r="FYZ17" s="72"/>
      <c r="FZA17" s="72"/>
      <c r="FZB17" s="72"/>
      <c r="FZC17" s="72"/>
      <c r="FZD17" s="72"/>
      <c r="FZE17" s="72"/>
      <c r="FZF17" s="72"/>
      <c r="FZG17" s="72"/>
      <c r="FZH17" s="72"/>
      <c r="FZI17" s="72"/>
      <c r="FZJ17" s="72"/>
      <c r="FZK17" s="72"/>
      <c r="FZL17" s="72"/>
      <c r="FZM17" s="72"/>
      <c r="FZN17" s="72"/>
      <c r="FZO17" s="72"/>
      <c r="FZP17" s="72"/>
      <c r="FZQ17" s="72"/>
      <c r="FZR17" s="72"/>
      <c r="FZS17" s="72"/>
      <c r="FZT17" s="72"/>
      <c r="FZU17" s="72"/>
      <c r="FZV17" s="72"/>
      <c r="FZW17" s="72"/>
      <c r="FZX17" s="72"/>
      <c r="FZY17" s="72"/>
      <c r="FZZ17" s="72"/>
      <c r="GAA17" s="72"/>
      <c r="GAB17" s="72"/>
      <c r="GAC17" s="72"/>
      <c r="GAD17" s="72"/>
      <c r="GAE17" s="72"/>
      <c r="GAF17" s="72"/>
      <c r="GAG17" s="72"/>
      <c r="GAH17" s="72"/>
      <c r="GAI17" s="72"/>
      <c r="GAJ17" s="72"/>
      <c r="GAK17" s="72"/>
      <c r="GAL17" s="72"/>
      <c r="GAM17" s="72"/>
      <c r="GAN17" s="72"/>
      <c r="GAO17" s="72"/>
      <c r="GAP17" s="72"/>
      <c r="GAQ17" s="72"/>
      <c r="GAR17" s="72"/>
      <c r="GAS17" s="72"/>
      <c r="GAT17" s="72"/>
      <c r="GAU17" s="72"/>
      <c r="GAV17" s="72"/>
      <c r="GAW17" s="72"/>
      <c r="GAX17" s="72"/>
      <c r="GAY17" s="72"/>
      <c r="GAZ17" s="72"/>
      <c r="GBA17" s="72"/>
      <c r="GBB17" s="72"/>
      <c r="GBC17" s="72"/>
      <c r="GBD17" s="72"/>
      <c r="GBE17" s="72"/>
      <c r="GBF17" s="72"/>
      <c r="GBG17" s="72"/>
      <c r="GBH17" s="72"/>
      <c r="GBI17" s="72"/>
      <c r="GBJ17" s="72"/>
      <c r="GBK17" s="72"/>
      <c r="GBL17" s="72"/>
      <c r="GBM17" s="72"/>
      <c r="GBN17" s="72"/>
      <c r="GBO17" s="72"/>
      <c r="GBP17" s="72"/>
      <c r="GBQ17" s="72"/>
      <c r="GBR17" s="72"/>
      <c r="GBS17" s="72"/>
      <c r="GBT17" s="72"/>
      <c r="GBU17" s="72"/>
      <c r="GBV17" s="72"/>
      <c r="GBW17" s="72"/>
      <c r="GBX17" s="72"/>
      <c r="GBY17" s="72"/>
      <c r="GBZ17" s="72"/>
      <c r="GCA17" s="72"/>
      <c r="GCB17" s="72"/>
      <c r="GCC17" s="72"/>
      <c r="GCD17" s="72"/>
      <c r="GCE17" s="72"/>
      <c r="GCF17" s="72"/>
      <c r="GCG17" s="72"/>
      <c r="GCH17" s="72"/>
      <c r="GCI17" s="72"/>
      <c r="GCJ17" s="72"/>
      <c r="GCK17" s="72"/>
      <c r="GCL17" s="72"/>
      <c r="GCM17" s="72"/>
      <c r="GCN17" s="72"/>
      <c r="GCO17" s="72"/>
      <c r="GCP17" s="72"/>
      <c r="GCQ17" s="72"/>
      <c r="GCR17" s="72"/>
      <c r="GCS17" s="72"/>
      <c r="GCT17" s="72"/>
      <c r="GCU17" s="72"/>
      <c r="GCV17" s="72"/>
      <c r="GCW17" s="72"/>
      <c r="GCX17" s="72"/>
      <c r="GCY17" s="72"/>
      <c r="GCZ17" s="72"/>
      <c r="GDA17" s="72"/>
      <c r="GDB17" s="72"/>
      <c r="GDC17" s="72"/>
      <c r="GDD17" s="72"/>
      <c r="GDE17" s="72"/>
      <c r="GDF17" s="72"/>
      <c r="GDG17" s="72"/>
      <c r="GDH17" s="72"/>
      <c r="GDI17" s="72"/>
      <c r="GDJ17" s="72"/>
      <c r="GDK17" s="72"/>
      <c r="GDL17" s="72"/>
      <c r="GDM17" s="72"/>
      <c r="GDN17" s="72"/>
      <c r="GDO17" s="72"/>
      <c r="GDP17" s="72"/>
      <c r="GDQ17" s="72"/>
      <c r="GDR17" s="72"/>
      <c r="GDS17" s="72"/>
      <c r="GDT17" s="72"/>
      <c r="GDU17" s="72"/>
      <c r="GDV17" s="72"/>
      <c r="GDW17" s="72"/>
      <c r="GDX17" s="72"/>
      <c r="GDY17" s="72"/>
      <c r="GDZ17" s="72"/>
      <c r="GEA17" s="72"/>
      <c r="GEB17" s="72"/>
      <c r="GEC17" s="72"/>
      <c r="GED17" s="72"/>
      <c r="GEE17" s="72"/>
      <c r="GEF17" s="72"/>
      <c r="GEG17" s="72"/>
      <c r="GEH17" s="72"/>
      <c r="GEI17" s="72"/>
      <c r="GEJ17" s="72"/>
      <c r="GEK17" s="72"/>
      <c r="GEL17" s="72"/>
      <c r="GEM17" s="72"/>
      <c r="GEN17" s="72"/>
      <c r="GEO17" s="72"/>
      <c r="GEP17" s="72"/>
      <c r="GEQ17" s="72"/>
      <c r="GER17" s="72"/>
      <c r="GES17" s="72"/>
      <c r="GET17" s="72"/>
      <c r="GEU17" s="72"/>
      <c r="GEV17" s="72"/>
      <c r="GEW17" s="72"/>
      <c r="GEX17" s="72"/>
      <c r="GEY17" s="72"/>
      <c r="GEZ17" s="72"/>
      <c r="GFA17" s="72"/>
      <c r="GFB17" s="72"/>
      <c r="GFC17" s="72"/>
      <c r="GFD17" s="72"/>
      <c r="GFE17" s="72"/>
      <c r="GFF17" s="72"/>
      <c r="GFG17" s="72"/>
      <c r="GFH17" s="72"/>
      <c r="GFI17" s="72"/>
      <c r="GFJ17" s="72"/>
      <c r="GFK17" s="72"/>
      <c r="GFL17" s="72"/>
      <c r="GFM17" s="72"/>
      <c r="GFN17" s="72"/>
      <c r="GFO17" s="72"/>
      <c r="GFP17" s="72"/>
      <c r="GFQ17" s="72"/>
      <c r="GFR17" s="72"/>
      <c r="GFS17" s="72"/>
      <c r="GFT17" s="72"/>
      <c r="GFU17" s="72"/>
      <c r="GFV17" s="72"/>
      <c r="GFW17" s="72"/>
      <c r="GFX17" s="72"/>
      <c r="GFY17" s="72"/>
      <c r="GFZ17" s="72"/>
      <c r="GGA17" s="72"/>
      <c r="GGB17" s="72"/>
      <c r="GGC17" s="72"/>
      <c r="GGD17" s="72"/>
      <c r="GGE17" s="72"/>
      <c r="GGF17" s="72"/>
      <c r="GGG17" s="72"/>
      <c r="GGH17" s="72"/>
      <c r="GGI17" s="72"/>
      <c r="GGJ17" s="72"/>
      <c r="GGK17" s="72"/>
      <c r="GGL17" s="72"/>
      <c r="GGM17" s="72"/>
      <c r="GGN17" s="72"/>
      <c r="GGO17" s="72"/>
      <c r="GGP17" s="72"/>
      <c r="GGQ17" s="72"/>
      <c r="GGR17" s="72"/>
      <c r="GGS17" s="72"/>
      <c r="GGT17" s="72"/>
      <c r="GGU17" s="72"/>
      <c r="GGV17" s="72"/>
      <c r="GGW17" s="72"/>
      <c r="GGX17" s="72"/>
      <c r="GGY17" s="72"/>
      <c r="GGZ17" s="72"/>
      <c r="GHA17" s="72"/>
      <c r="GHB17" s="72"/>
      <c r="GHC17" s="72"/>
      <c r="GHD17" s="72"/>
      <c r="GHE17" s="72"/>
      <c r="GHF17" s="72"/>
      <c r="GHG17" s="72"/>
      <c r="GHH17" s="72"/>
      <c r="GHI17" s="72"/>
      <c r="GHJ17" s="72"/>
      <c r="GHK17" s="72"/>
      <c r="GHL17" s="72"/>
      <c r="GHM17" s="72"/>
      <c r="GHN17" s="72"/>
      <c r="GHO17" s="72"/>
      <c r="GHP17" s="72"/>
      <c r="GHQ17" s="72"/>
      <c r="GHR17" s="72"/>
      <c r="GHS17" s="72"/>
      <c r="GHT17" s="72"/>
      <c r="GHU17" s="72"/>
      <c r="GHV17" s="72"/>
      <c r="GHW17" s="72"/>
      <c r="GHX17" s="72"/>
      <c r="GHY17" s="72"/>
      <c r="GHZ17" s="72"/>
      <c r="GIA17" s="72"/>
      <c r="GIB17" s="72"/>
      <c r="GIC17" s="72"/>
      <c r="GID17" s="72"/>
      <c r="GIE17" s="72"/>
      <c r="GIF17" s="72"/>
      <c r="GIG17" s="72"/>
      <c r="GIH17" s="72"/>
      <c r="GII17" s="72"/>
      <c r="GIJ17" s="72"/>
      <c r="GIK17" s="72"/>
      <c r="GIL17" s="72"/>
      <c r="GIM17" s="72"/>
      <c r="GIN17" s="72"/>
      <c r="GIO17" s="72"/>
      <c r="GIP17" s="72"/>
      <c r="GIQ17" s="72"/>
      <c r="GIR17" s="72"/>
      <c r="GIS17" s="72"/>
      <c r="GIT17" s="72"/>
      <c r="GIU17" s="72"/>
      <c r="GIV17" s="72"/>
      <c r="GIW17" s="72"/>
      <c r="GIX17" s="72"/>
      <c r="GIY17" s="72"/>
      <c r="GIZ17" s="72"/>
      <c r="GJA17" s="72"/>
      <c r="GJB17" s="72"/>
      <c r="GJC17" s="72"/>
      <c r="GJD17" s="72"/>
      <c r="GJE17" s="72"/>
      <c r="GJF17" s="72"/>
      <c r="GJG17" s="72"/>
      <c r="GJH17" s="72"/>
      <c r="GJI17" s="72"/>
      <c r="GJJ17" s="72"/>
      <c r="GJK17" s="72"/>
      <c r="GJL17" s="72"/>
      <c r="GJM17" s="72"/>
      <c r="GJN17" s="72"/>
      <c r="GJO17" s="72"/>
      <c r="GJP17" s="72"/>
      <c r="GJQ17" s="72"/>
      <c r="GJR17" s="72"/>
      <c r="GJS17" s="72"/>
      <c r="GJT17" s="72"/>
      <c r="GJU17" s="72"/>
      <c r="GJV17" s="72"/>
      <c r="GJW17" s="72"/>
      <c r="GJX17" s="72"/>
      <c r="GJY17" s="72"/>
      <c r="GJZ17" s="72"/>
      <c r="GKA17" s="72"/>
      <c r="GKB17" s="72"/>
      <c r="GKC17" s="72"/>
      <c r="GKD17" s="72"/>
      <c r="GKE17" s="72"/>
      <c r="GKF17" s="72"/>
      <c r="GKG17" s="72"/>
      <c r="GKH17" s="72"/>
      <c r="GKI17" s="72"/>
      <c r="GKJ17" s="72"/>
      <c r="GKK17" s="72"/>
      <c r="GKL17" s="72"/>
      <c r="GKM17" s="72"/>
      <c r="GKN17" s="72"/>
      <c r="GKO17" s="72"/>
      <c r="GKP17" s="72"/>
      <c r="GKQ17" s="72"/>
      <c r="GKR17" s="72"/>
      <c r="GKS17" s="72"/>
      <c r="GKT17" s="72"/>
      <c r="GKU17" s="72"/>
      <c r="GKV17" s="72"/>
      <c r="GKW17" s="72"/>
      <c r="GKX17" s="72"/>
      <c r="GKY17" s="72"/>
      <c r="GKZ17" s="72"/>
      <c r="GLA17" s="72"/>
      <c r="GLB17" s="72"/>
      <c r="GLC17" s="72"/>
      <c r="GLD17" s="72"/>
      <c r="GLE17" s="72"/>
      <c r="GLF17" s="72"/>
      <c r="GLG17" s="72"/>
      <c r="GLH17" s="72"/>
      <c r="GLI17" s="72"/>
      <c r="GLJ17" s="72"/>
      <c r="GLK17" s="72"/>
      <c r="GLL17" s="72"/>
      <c r="GLM17" s="72"/>
      <c r="GLN17" s="72"/>
      <c r="GLO17" s="72"/>
      <c r="GLP17" s="72"/>
      <c r="GLQ17" s="72"/>
      <c r="GLR17" s="72"/>
      <c r="GLS17" s="72"/>
      <c r="GLT17" s="72"/>
      <c r="GLU17" s="72"/>
      <c r="GLV17" s="72"/>
      <c r="GLW17" s="72"/>
      <c r="GLX17" s="72"/>
      <c r="GLY17" s="72"/>
      <c r="GLZ17" s="72"/>
      <c r="GMA17" s="72"/>
      <c r="GMB17" s="72"/>
      <c r="GMC17" s="72"/>
      <c r="GMD17" s="72"/>
      <c r="GME17" s="72"/>
      <c r="GMF17" s="72"/>
      <c r="GMG17" s="72"/>
      <c r="GMH17" s="72"/>
      <c r="GMI17" s="72"/>
      <c r="GMJ17" s="72"/>
      <c r="GMK17" s="72"/>
      <c r="GML17" s="72"/>
      <c r="GMM17" s="72"/>
      <c r="GMN17" s="72"/>
      <c r="GMO17" s="72"/>
      <c r="GMP17" s="72"/>
      <c r="GMQ17" s="72"/>
      <c r="GMR17" s="72"/>
      <c r="GMS17" s="72"/>
      <c r="GMT17" s="72"/>
      <c r="GMU17" s="72"/>
      <c r="GMV17" s="72"/>
      <c r="GMW17" s="72"/>
      <c r="GMX17" s="72"/>
      <c r="GMY17" s="72"/>
      <c r="GMZ17" s="72"/>
      <c r="GNA17" s="72"/>
      <c r="GNB17" s="72"/>
      <c r="GNC17" s="72"/>
      <c r="GND17" s="72"/>
      <c r="GNE17" s="72"/>
      <c r="GNF17" s="72"/>
      <c r="GNG17" s="72"/>
      <c r="GNH17" s="72"/>
      <c r="GNI17" s="72"/>
      <c r="GNJ17" s="72"/>
      <c r="GNK17" s="72"/>
      <c r="GNL17" s="72"/>
      <c r="GNM17" s="72"/>
      <c r="GNN17" s="72"/>
      <c r="GNO17" s="72"/>
      <c r="GNP17" s="72"/>
      <c r="GNQ17" s="72"/>
      <c r="GNR17" s="72"/>
      <c r="GNS17" s="72"/>
      <c r="GNT17" s="72"/>
      <c r="GNU17" s="72"/>
      <c r="GNV17" s="72"/>
      <c r="GNW17" s="72"/>
      <c r="GNX17" s="72"/>
      <c r="GNY17" s="72"/>
      <c r="GNZ17" s="72"/>
      <c r="GOA17" s="72"/>
      <c r="GOB17" s="72"/>
      <c r="GOC17" s="72"/>
      <c r="GOD17" s="72"/>
      <c r="GOE17" s="72"/>
      <c r="GOF17" s="72"/>
      <c r="GOG17" s="72"/>
      <c r="GOH17" s="72"/>
      <c r="GOI17" s="72"/>
      <c r="GOJ17" s="72"/>
      <c r="GOK17" s="72"/>
      <c r="GOL17" s="72"/>
      <c r="GOM17" s="72"/>
      <c r="GON17" s="72"/>
      <c r="GOO17" s="72"/>
      <c r="GOP17" s="72"/>
      <c r="GOQ17" s="72"/>
      <c r="GOR17" s="72"/>
      <c r="GOS17" s="72"/>
      <c r="GOT17" s="72"/>
      <c r="GOU17" s="72"/>
      <c r="GOV17" s="72"/>
      <c r="GOW17" s="72"/>
      <c r="GOX17" s="72"/>
      <c r="GOY17" s="72"/>
      <c r="GOZ17" s="72"/>
      <c r="GPA17" s="72"/>
      <c r="GPB17" s="72"/>
      <c r="GPC17" s="72"/>
      <c r="GPD17" s="72"/>
      <c r="GPE17" s="72"/>
      <c r="GPF17" s="72"/>
      <c r="GPG17" s="72"/>
      <c r="GPH17" s="72"/>
      <c r="GPI17" s="72"/>
      <c r="GPJ17" s="72"/>
      <c r="GPK17" s="72"/>
      <c r="GPL17" s="72"/>
      <c r="GPM17" s="72"/>
      <c r="GPN17" s="72"/>
      <c r="GPO17" s="72"/>
      <c r="GPP17" s="72"/>
      <c r="GPQ17" s="72"/>
      <c r="GPR17" s="72"/>
      <c r="GPS17" s="72"/>
      <c r="GPT17" s="72"/>
      <c r="GPU17" s="72"/>
      <c r="GPV17" s="72"/>
      <c r="GPW17" s="72"/>
      <c r="GPX17" s="72"/>
      <c r="GPY17" s="72"/>
      <c r="GPZ17" s="72"/>
      <c r="GQA17" s="72"/>
      <c r="GQB17" s="72"/>
      <c r="GQC17" s="72"/>
      <c r="GQD17" s="72"/>
      <c r="GQE17" s="72"/>
      <c r="GQF17" s="72"/>
      <c r="GQG17" s="72"/>
      <c r="GQH17" s="72"/>
      <c r="GQI17" s="72"/>
      <c r="GQJ17" s="72"/>
      <c r="GQK17" s="72"/>
      <c r="GQL17" s="72"/>
      <c r="GQM17" s="72"/>
      <c r="GQN17" s="72"/>
      <c r="GQO17" s="72"/>
      <c r="GQP17" s="72"/>
      <c r="GQQ17" s="72"/>
      <c r="GQR17" s="72"/>
      <c r="GQS17" s="72"/>
      <c r="GQT17" s="72"/>
      <c r="GQU17" s="72"/>
      <c r="GQV17" s="72"/>
      <c r="GQW17" s="72"/>
      <c r="GQX17" s="72"/>
      <c r="GQY17" s="72"/>
      <c r="GQZ17" s="72"/>
      <c r="GRA17" s="72"/>
      <c r="GRB17" s="72"/>
      <c r="GRC17" s="72"/>
      <c r="GRD17" s="72"/>
      <c r="GRE17" s="72"/>
      <c r="GRF17" s="72"/>
      <c r="GRG17" s="72"/>
      <c r="GRH17" s="72"/>
      <c r="GRI17" s="72"/>
      <c r="GRJ17" s="72"/>
      <c r="GRK17" s="72"/>
      <c r="GRL17" s="72"/>
      <c r="GRM17" s="72"/>
      <c r="GRN17" s="72"/>
      <c r="GRO17" s="72"/>
      <c r="GRP17" s="72"/>
      <c r="GRQ17" s="72"/>
      <c r="GRR17" s="72"/>
      <c r="GRS17" s="72"/>
      <c r="GRT17" s="72"/>
      <c r="GRU17" s="72"/>
      <c r="GRV17" s="72"/>
      <c r="GRW17" s="72"/>
      <c r="GRX17" s="72"/>
      <c r="GRY17" s="72"/>
      <c r="GRZ17" s="72"/>
      <c r="GSA17" s="72"/>
      <c r="GSB17" s="72"/>
      <c r="GSC17" s="72"/>
      <c r="GSD17" s="72"/>
      <c r="GSE17" s="72"/>
      <c r="GSF17" s="72"/>
      <c r="GSG17" s="72"/>
      <c r="GSH17" s="72"/>
      <c r="GSI17" s="72"/>
      <c r="GSJ17" s="72"/>
      <c r="GSK17" s="72"/>
      <c r="GSL17" s="72"/>
      <c r="GSM17" s="72"/>
      <c r="GSN17" s="72"/>
      <c r="GSO17" s="72"/>
      <c r="GSP17" s="72"/>
      <c r="GSQ17" s="72"/>
      <c r="GSR17" s="72"/>
      <c r="GSS17" s="72"/>
      <c r="GST17" s="72"/>
      <c r="GSU17" s="72"/>
      <c r="GSV17" s="72"/>
      <c r="GSW17" s="72"/>
      <c r="GSX17" s="72"/>
      <c r="GSY17" s="72"/>
      <c r="GSZ17" s="72"/>
      <c r="GTA17" s="72"/>
      <c r="GTB17" s="72"/>
      <c r="GTC17" s="72"/>
      <c r="GTD17" s="72"/>
      <c r="GTE17" s="72"/>
      <c r="GTF17" s="72"/>
      <c r="GTG17" s="72"/>
      <c r="GTH17" s="72"/>
      <c r="GTI17" s="72"/>
      <c r="GTJ17" s="72"/>
      <c r="GTK17" s="72"/>
      <c r="GTL17" s="72"/>
      <c r="GTM17" s="72"/>
      <c r="GTN17" s="72"/>
      <c r="GTO17" s="72"/>
      <c r="GTP17" s="72"/>
      <c r="GTQ17" s="72"/>
      <c r="GTR17" s="72"/>
      <c r="GTS17" s="72"/>
      <c r="GTT17" s="72"/>
      <c r="GTU17" s="72"/>
      <c r="GTV17" s="72"/>
      <c r="GTW17" s="72"/>
      <c r="GTX17" s="72"/>
      <c r="GTY17" s="72"/>
      <c r="GTZ17" s="72"/>
      <c r="GUA17" s="72"/>
      <c r="GUB17" s="72"/>
      <c r="GUC17" s="72"/>
      <c r="GUD17" s="72"/>
      <c r="GUE17" s="72"/>
      <c r="GUF17" s="72"/>
      <c r="GUG17" s="72"/>
      <c r="GUH17" s="72"/>
      <c r="GUI17" s="72"/>
      <c r="GUJ17" s="72"/>
      <c r="GUK17" s="72"/>
      <c r="GUL17" s="72"/>
      <c r="GUM17" s="72"/>
      <c r="GUN17" s="72"/>
      <c r="GUO17" s="72"/>
      <c r="GUP17" s="72"/>
      <c r="GUQ17" s="72"/>
      <c r="GUR17" s="72"/>
      <c r="GUS17" s="72"/>
      <c r="GUT17" s="72"/>
      <c r="GUU17" s="72"/>
      <c r="GUV17" s="72"/>
      <c r="GUW17" s="72"/>
      <c r="GUX17" s="72"/>
      <c r="GUY17" s="72"/>
      <c r="GUZ17" s="72"/>
      <c r="GVA17" s="72"/>
      <c r="GVB17" s="72"/>
      <c r="GVC17" s="72"/>
      <c r="GVD17" s="72"/>
      <c r="GVE17" s="72"/>
      <c r="GVF17" s="72"/>
      <c r="GVG17" s="72"/>
      <c r="GVH17" s="72"/>
      <c r="GVI17" s="72"/>
      <c r="GVJ17" s="72"/>
      <c r="GVK17" s="72"/>
      <c r="GVL17" s="72"/>
      <c r="GVM17" s="72"/>
      <c r="GVN17" s="72"/>
      <c r="GVO17" s="72"/>
      <c r="GVP17" s="72"/>
      <c r="GVQ17" s="72"/>
      <c r="GVR17" s="72"/>
      <c r="GVS17" s="72"/>
      <c r="GVT17" s="72"/>
      <c r="GVU17" s="72"/>
      <c r="GVV17" s="72"/>
      <c r="GVW17" s="72"/>
      <c r="GVX17" s="72"/>
      <c r="GVY17" s="72"/>
      <c r="GVZ17" s="72"/>
      <c r="GWA17" s="72"/>
      <c r="GWB17" s="72"/>
      <c r="GWC17" s="72"/>
      <c r="GWD17" s="72"/>
      <c r="GWE17" s="72"/>
      <c r="GWF17" s="72"/>
      <c r="GWG17" s="72"/>
      <c r="GWH17" s="72"/>
      <c r="GWI17" s="72"/>
      <c r="GWJ17" s="72"/>
      <c r="GWK17" s="72"/>
      <c r="GWL17" s="72"/>
      <c r="GWM17" s="72"/>
      <c r="GWN17" s="72"/>
      <c r="GWO17" s="72"/>
      <c r="GWP17" s="72"/>
      <c r="GWQ17" s="72"/>
      <c r="GWR17" s="72"/>
      <c r="GWS17" s="72"/>
      <c r="GWT17" s="72"/>
      <c r="GWU17" s="72"/>
      <c r="GWV17" s="72"/>
      <c r="GWW17" s="72"/>
      <c r="GWX17" s="72"/>
      <c r="GWY17" s="72"/>
      <c r="GWZ17" s="72"/>
      <c r="GXA17" s="72"/>
      <c r="GXB17" s="72"/>
      <c r="GXC17" s="72"/>
      <c r="GXD17" s="72"/>
      <c r="GXE17" s="72"/>
      <c r="GXF17" s="72"/>
      <c r="GXG17" s="72"/>
      <c r="GXH17" s="72"/>
      <c r="GXI17" s="72"/>
      <c r="GXJ17" s="72"/>
      <c r="GXK17" s="72"/>
      <c r="GXL17" s="72"/>
      <c r="GXM17" s="72"/>
      <c r="GXN17" s="72"/>
      <c r="GXO17" s="72"/>
      <c r="GXP17" s="72"/>
      <c r="GXQ17" s="72"/>
      <c r="GXR17" s="72"/>
      <c r="GXS17" s="72"/>
      <c r="GXT17" s="72"/>
      <c r="GXU17" s="72"/>
      <c r="GXV17" s="72"/>
      <c r="GXW17" s="72"/>
      <c r="GXX17" s="72"/>
      <c r="GXY17" s="72"/>
      <c r="GXZ17" s="72"/>
      <c r="GYA17" s="72"/>
      <c r="GYB17" s="72"/>
      <c r="GYC17" s="72"/>
      <c r="GYD17" s="72"/>
      <c r="GYE17" s="72"/>
      <c r="GYF17" s="72"/>
      <c r="GYG17" s="72"/>
      <c r="GYH17" s="72"/>
      <c r="GYI17" s="72"/>
      <c r="GYJ17" s="72"/>
      <c r="GYK17" s="72"/>
      <c r="GYL17" s="72"/>
      <c r="GYM17" s="72"/>
      <c r="GYN17" s="72"/>
      <c r="GYO17" s="72"/>
      <c r="GYP17" s="72"/>
      <c r="GYQ17" s="72"/>
      <c r="GYR17" s="72"/>
      <c r="GYS17" s="72"/>
      <c r="GYT17" s="72"/>
      <c r="GYU17" s="72"/>
      <c r="GYV17" s="72"/>
      <c r="GYW17" s="72"/>
      <c r="GYX17" s="72"/>
      <c r="GYY17" s="72"/>
      <c r="GYZ17" s="72"/>
      <c r="GZA17" s="72"/>
      <c r="GZB17" s="72"/>
      <c r="GZC17" s="72"/>
      <c r="GZD17" s="72"/>
      <c r="GZE17" s="72"/>
      <c r="GZF17" s="72"/>
      <c r="GZG17" s="72"/>
      <c r="GZH17" s="72"/>
      <c r="GZI17" s="72"/>
      <c r="GZJ17" s="72"/>
      <c r="GZK17" s="72"/>
      <c r="GZL17" s="72"/>
      <c r="GZM17" s="72"/>
      <c r="GZN17" s="72"/>
      <c r="GZO17" s="72"/>
      <c r="GZP17" s="72"/>
      <c r="GZQ17" s="72"/>
      <c r="GZR17" s="72"/>
      <c r="GZS17" s="72"/>
      <c r="GZT17" s="72"/>
      <c r="GZU17" s="72"/>
      <c r="GZV17" s="72"/>
      <c r="GZW17" s="72"/>
      <c r="GZX17" s="72"/>
      <c r="GZY17" s="72"/>
      <c r="GZZ17" s="72"/>
      <c r="HAA17" s="72"/>
      <c r="HAB17" s="72"/>
      <c r="HAC17" s="72"/>
      <c r="HAD17" s="72"/>
      <c r="HAE17" s="72"/>
      <c r="HAF17" s="72"/>
      <c r="HAG17" s="72"/>
      <c r="HAH17" s="72"/>
      <c r="HAI17" s="72"/>
      <c r="HAJ17" s="72"/>
      <c r="HAK17" s="72"/>
      <c r="HAL17" s="72"/>
      <c r="HAM17" s="72"/>
      <c r="HAN17" s="72"/>
      <c r="HAO17" s="72"/>
      <c r="HAP17" s="72"/>
      <c r="HAQ17" s="72"/>
      <c r="HAR17" s="72"/>
      <c r="HAS17" s="72"/>
      <c r="HAT17" s="72"/>
      <c r="HAU17" s="72"/>
      <c r="HAV17" s="72"/>
      <c r="HAW17" s="72"/>
      <c r="HAX17" s="72"/>
      <c r="HAY17" s="72"/>
      <c r="HAZ17" s="72"/>
      <c r="HBA17" s="72"/>
      <c r="HBB17" s="72"/>
      <c r="HBC17" s="72"/>
      <c r="HBD17" s="72"/>
      <c r="HBE17" s="72"/>
      <c r="HBF17" s="72"/>
      <c r="HBG17" s="72"/>
      <c r="HBH17" s="72"/>
      <c r="HBI17" s="72"/>
      <c r="HBJ17" s="72"/>
      <c r="HBK17" s="72"/>
      <c r="HBL17" s="72"/>
      <c r="HBM17" s="72"/>
      <c r="HBN17" s="72"/>
      <c r="HBO17" s="72"/>
      <c r="HBP17" s="72"/>
      <c r="HBQ17" s="72"/>
      <c r="HBR17" s="72"/>
      <c r="HBS17" s="72"/>
      <c r="HBT17" s="72"/>
      <c r="HBU17" s="72"/>
      <c r="HBV17" s="72"/>
      <c r="HBW17" s="72"/>
      <c r="HBX17" s="72"/>
      <c r="HBY17" s="72"/>
      <c r="HBZ17" s="72"/>
      <c r="HCA17" s="72"/>
      <c r="HCB17" s="72"/>
      <c r="HCC17" s="72"/>
      <c r="HCD17" s="72"/>
      <c r="HCE17" s="72"/>
      <c r="HCF17" s="72"/>
      <c r="HCG17" s="72"/>
      <c r="HCH17" s="72"/>
      <c r="HCI17" s="72"/>
      <c r="HCJ17" s="72"/>
      <c r="HCK17" s="72"/>
      <c r="HCL17" s="72"/>
      <c r="HCM17" s="72"/>
      <c r="HCN17" s="72"/>
      <c r="HCO17" s="72"/>
      <c r="HCP17" s="72"/>
      <c r="HCQ17" s="72"/>
      <c r="HCR17" s="72"/>
      <c r="HCS17" s="72"/>
      <c r="HCT17" s="72"/>
      <c r="HCU17" s="72"/>
      <c r="HCV17" s="72"/>
      <c r="HCW17" s="72"/>
      <c r="HCX17" s="72"/>
      <c r="HCY17" s="72"/>
      <c r="HCZ17" s="72"/>
      <c r="HDA17" s="72"/>
      <c r="HDB17" s="72"/>
      <c r="HDC17" s="72"/>
      <c r="HDD17" s="72"/>
      <c r="HDE17" s="72"/>
      <c r="HDF17" s="72"/>
      <c r="HDG17" s="72"/>
      <c r="HDH17" s="72"/>
      <c r="HDI17" s="72"/>
      <c r="HDJ17" s="72"/>
      <c r="HDK17" s="72"/>
      <c r="HDL17" s="72"/>
      <c r="HDM17" s="72"/>
      <c r="HDN17" s="72"/>
      <c r="HDO17" s="72"/>
      <c r="HDP17" s="72"/>
      <c r="HDQ17" s="72"/>
      <c r="HDR17" s="72"/>
      <c r="HDS17" s="72"/>
      <c r="HDT17" s="72"/>
      <c r="HDU17" s="72"/>
      <c r="HDV17" s="72"/>
      <c r="HDW17" s="72"/>
      <c r="HDX17" s="72"/>
      <c r="HDY17" s="72"/>
      <c r="HDZ17" s="72"/>
      <c r="HEA17" s="72"/>
      <c r="HEB17" s="72"/>
      <c r="HEC17" s="72"/>
      <c r="HED17" s="72"/>
      <c r="HEE17" s="72"/>
      <c r="HEF17" s="72"/>
      <c r="HEG17" s="72"/>
      <c r="HEH17" s="72"/>
      <c r="HEI17" s="72"/>
      <c r="HEJ17" s="72"/>
      <c r="HEK17" s="72"/>
      <c r="HEL17" s="72"/>
      <c r="HEM17" s="72"/>
      <c r="HEN17" s="72"/>
      <c r="HEO17" s="72"/>
      <c r="HEP17" s="72"/>
      <c r="HEQ17" s="72"/>
      <c r="HER17" s="72"/>
      <c r="HES17" s="72"/>
      <c r="HET17" s="72"/>
      <c r="HEU17" s="72"/>
      <c r="HEV17" s="72"/>
      <c r="HEW17" s="72"/>
      <c r="HEX17" s="72"/>
      <c r="HEY17" s="72"/>
      <c r="HEZ17" s="72"/>
      <c r="HFA17" s="72"/>
      <c r="HFB17" s="72"/>
      <c r="HFC17" s="72"/>
      <c r="HFD17" s="72"/>
      <c r="HFE17" s="72"/>
      <c r="HFF17" s="72"/>
      <c r="HFG17" s="72"/>
      <c r="HFH17" s="72"/>
      <c r="HFI17" s="72"/>
      <c r="HFJ17" s="72"/>
      <c r="HFK17" s="72"/>
      <c r="HFL17" s="72"/>
      <c r="HFM17" s="72"/>
      <c r="HFN17" s="72"/>
      <c r="HFO17" s="72"/>
      <c r="HFP17" s="72"/>
      <c r="HFQ17" s="72"/>
      <c r="HFR17" s="72"/>
      <c r="HFS17" s="72"/>
      <c r="HFT17" s="72"/>
      <c r="HFU17" s="72"/>
      <c r="HFV17" s="72"/>
      <c r="HFW17" s="72"/>
      <c r="HFX17" s="72"/>
      <c r="HFY17" s="72"/>
      <c r="HFZ17" s="72"/>
      <c r="HGA17" s="72"/>
      <c r="HGB17" s="72"/>
      <c r="HGC17" s="72"/>
      <c r="HGD17" s="72"/>
      <c r="HGE17" s="72"/>
      <c r="HGF17" s="72"/>
      <c r="HGG17" s="72"/>
      <c r="HGH17" s="72"/>
      <c r="HGI17" s="72"/>
      <c r="HGJ17" s="72"/>
      <c r="HGK17" s="72"/>
      <c r="HGL17" s="72"/>
      <c r="HGM17" s="72"/>
      <c r="HGN17" s="72"/>
      <c r="HGO17" s="72"/>
      <c r="HGP17" s="72"/>
      <c r="HGQ17" s="72"/>
      <c r="HGR17" s="72"/>
      <c r="HGS17" s="72"/>
      <c r="HGT17" s="72"/>
      <c r="HGU17" s="72"/>
      <c r="HGV17" s="72"/>
      <c r="HGW17" s="72"/>
      <c r="HGX17" s="72"/>
      <c r="HGY17" s="72"/>
      <c r="HGZ17" s="72"/>
      <c r="HHA17" s="72"/>
      <c r="HHB17" s="72"/>
      <c r="HHC17" s="72"/>
      <c r="HHD17" s="72"/>
      <c r="HHE17" s="72"/>
      <c r="HHF17" s="72"/>
      <c r="HHG17" s="72"/>
      <c r="HHH17" s="72"/>
      <c r="HHI17" s="72"/>
      <c r="HHJ17" s="72"/>
      <c r="HHK17" s="72"/>
      <c r="HHL17" s="72"/>
      <c r="HHM17" s="72"/>
      <c r="HHN17" s="72"/>
      <c r="HHO17" s="72"/>
      <c r="HHP17" s="72"/>
      <c r="HHQ17" s="72"/>
      <c r="HHR17" s="72"/>
      <c r="HHS17" s="72"/>
      <c r="HHT17" s="72"/>
      <c r="HHU17" s="72"/>
      <c r="HHV17" s="72"/>
      <c r="HHW17" s="72"/>
      <c r="HHX17" s="72"/>
      <c r="HHY17" s="72"/>
      <c r="HHZ17" s="72"/>
      <c r="HIA17" s="72"/>
      <c r="HIB17" s="72"/>
      <c r="HIC17" s="72"/>
      <c r="HID17" s="72"/>
      <c r="HIE17" s="72"/>
      <c r="HIF17" s="72"/>
      <c r="HIG17" s="72"/>
      <c r="HIH17" s="72"/>
      <c r="HII17" s="72"/>
      <c r="HIJ17" s="72"/>
      <c r="HIK17" s="72"/>
      <c r="HIL17" s="72"/>
      <c r="HIM17" s="72"/>
      <c r="HIN17" s="72"/>
      <c r="HIO17" s="72"/>
      <c r="HIP17" s="72"/>
      <c r="HIQ17" s="72"/>
      <c r="HIR17" s="72"/>
      <c r="HIS17" s="72"/>
      <c r="HIT17" s="72"/>
      <c r="HIU17" s="72"/>
      <c r="HIV17" s="72"/>
      <c r="HIW17" s="72"/>
      <c r="HIX17" s="72"/>
      <c r="HIY17" s="72"/>
      <c r="HIZ17" s="72"/>
      <c r="HJA17" s="72"/>
      <c r="HJB17" s="72"/>
      <c r="HJC17" s="72"/>
      <c r="HJD17" s="72"/>
      <c r="HJE17" s="72"/>
      <c r="HJF17" s="72"/>
      <c r="HJG17" s="72"/>
      <c r="HJH17" s="72"/>
      <c r="HJI17" s="72"/>
      <c r="HJJ17" s="72"/>
      <c r="HJK17" s="72"/>
      <c r="HJL17" s="72"/>
      <c r="HJM17" s="72"/>
      <c r="HJN17" s="72"/>
      <c r="HJO17" s="72"/>
      <c r="HJP17" s="72"/>
      <c r="HJQ17" s="72"/>
      <c r="HJR17" s="72"/>
      <c r="HJS17" s="72"/>
      <c r="HJT17" s="72"/>
      <c r="HJU17" s="72"/>
      <c r="HJV17" s="72"/>
      <c r="HJW17" s="72"/>
      <c r="HJX17" s="72"/>
      <c r="HJY17" s="72"/>
      <c r="HJZ17" s="72"/>
      <c r="HKA17" s="72"/>
      <c r="HKB17" s="72"/>
      <c r="HKC17" s="72"/>
      <c r="HKD17" s="72"/>
      <c r="HKE17" s="72"/>
      <c r="HKF17" s="72"/>
      <c r="HKG17" s="72"/>
      <c r="HKH17" s="72"/>
      <c r="HKI17" s="72"/>
      <c r="HKJ17" s="72"/>
      <c r="HKK17" s="72"/>
      <c r="HKL17" s="72"/>
      <c r="HKM17" s="72"/>
      <c r="HKN17" s="72"/>
      <c r="HKO17" s="72"/>
      <c r="HKP17" s="72"/>
      <c r="HKQ17" s="72"/>
      <c r="HKR17" s="72"/>
      <c r="HKS17" s="72"/>
      <c r="HKT17" s="72"/>
      <c r="HKU17" s="72"/>
      <c r="HKV17" s="72"/>
      <c r="HKW17" s="72"/>
      <c r="HKX17" s="72"/>
      <c r="HKY17" s="72"/>
      <c r="HKZ17" s="72"/>
      <c r="HLA17" s="72"/>
      <c r="HLB17" s="72"/>
      <c r="HLC17" s="72"/>
      <c r="HLD17" s="72"/>
      <c r="HLE17" s="72"/>
      <c r="HLF17" s="72"/>
      <c r="HLG17" s="72"/>
      <c r="HLH17" s="72"/>
      <c r="HLI17" s="72"/>
      <c r="HLJ17" s="72"/>
      <c r="HLK17" s="72"/>
      <c r="HLL17" s="72"/>
      <c r="HLM17" s="72"/>
      <c r="HLN17" s="72"/>
      <c r="HLO17" s="72"/>
      <c r="HLP17" s="72"/>
      <c r="HLQ17" s="72"/>
      <c r="HLR17" s="72"/>
      <c r="HLS17" s="72"/>
      <c r="HLT17" s="72"/>
      <c r="HLU17" s="72"/>
      <c r="HLV17" s="72"/>
      <c r="HLW17" s="72"/>
      <c r="HLX17" s="72"/>
      <c r="HLY17" s="72"/>
      <c r="HLZ17" s="72"/>
      <c r="HMA17" s="72"/>
      <c r="HMB17" s="72"/>
      <c r="HMC17" s="72"/>
      <c r="HMD17" s="72"/>
      <c r="HME17" s="72"/>
      <c r="HMF17" s="72"/>
      <c r="HMG17" s="72"/>
      <c r="HMH17" s="72"/>
      <c r="HMI17" s="72"/>
      <c r="HMJ17" s="72"/>
      <c r="HMK17" s="72"/>
      <c r="HML17" s="72"/>
      <c r="HMM17" s="72"/>
      <c r="HMN17" s="72"/>
      <c r="HMO17" s="72"/>
      <c r="HMP17" s="72"/>
      <c r="HMQ17" s="72"/>
      <c r="HMR17" s="72"/>
      <c r="HMS17" s="72"/>
      <c r="HMT17" s="72"/>
      <c r="HMU17" s="72"/>
      <c r="HMV17" s="72"/>
      <c r="HMW17" s="72"/>
      <c r="HMX17" s="72"/>
      <c r="HMY17" s="72"/>
      <c r="HMZ17" s="72"/>
      <c r="HNA17" s="72"/>
      <c r="HNB17" s="72"/>
      <c r="HNC17" s="72"/>
      <c r="HND17" s="72"/>
      <c r="HNE17" s="72"/>
      <c r="HNF17" s="72"/>
      <c r="HNG17" s="72"/>
      <c r="HNH17" s="72"/>
      <c r="HNI17" s="72"/>
      <c r="HNJ17" s="72"/>
      <c r="HNK17" s="72"/>
      <c r="HNL17" s="72"/>
      <c r="HNM17" s="72"/>
      <c r="HNN17" s="72"/>
      <c r="HNO17" s="72"/>
      <c r="HNP17" s="72"/>
      <c r="HNQ17" s="72"/>
      <c r="HNR17" s="72"/>
      <c r="HNS17" s="72"/>
      <c r="HNT17" s="72"/>
      <c r="HNU17" s="72"/>
      <c r="HNV17" s="72"/>
      <c r="HNW17" s="72"/>
      <c r="HNX17" s="72"/>
      <c r="HNY17" s="72"/>
      <c r="HNZ17" s="72"/>
      <c r="HOA17" s="72"/>
      <c r="HOB17" s="72"/>
      <c r="HOC17" s="72"/>
      <c r="HOD17" s="72"/>
      <c r="HOE17" s="72"/>
      <c r="HOF17" s="72"/>
      <c r="HOG17" s="72"/>
      <c r="HOH17" s="72"/>
      <c r="HOI17" s="72"/>
      <c r="HOJ17" s="72"/>
      <c r="HOK17" s="72"/>
      <c r="HOL17" s="72"/>
      <c r="HOM17" s="72"/>
      <c r="HON17" s="72"/>
      <c r="HOO17" s="72"/>
      <c r="HOP17" s="72"/>
      <c r="HOQ17" s="72"/>
      <c r="HOR17" s="72"/>
      <c r="HOS17" s="72"/>
      <c r="HOT17" s="72"/>
      <c r="HOU17" s="72"/>
      <c r="HOV17" s="72"/>
      <c r="HOW17" s="72"/>
      <c r="HOX17" s="72"/>
      <c r="HOY17" s="72"/>
      <c r="HOZ17" s="72"/>
      <c r="HPA17" s="72"/>
      <c r="HPB17" s="72"/>
      <c r="HPC17" s="72"/>
      <c r="HPD17" s="72"/>
      <c r="HPE17" s="72"/>
      <c r="HPF17" s="72"/>
      <c r="HPG17" s="72"/>
      <c r="HPH17" s="72"/>
      <c r="HPI17" s="72"/>
      <c r="HPJ17" s="72"/>
      <c r="HPK17" s="72"/>
      <c r="HPL17" s="72"/>
      <c r="HPM17" s="72"/>
      <c r="HPN17" s="72"/>
      <c r="HPO17" s="72"/>
      <c r="HPP17" s="72"/>
      <c r="HPQ17" s="72"/>
      <c r="HPR17" s="72"/>
      <c r="HPS17" s="72"/>
      <c r="HPT17" s="72"/>
      <c r="HPU17" s="72"/>
      <c r="HPV17" s="72"/>
      <c r="HPW17" s="72"/>
      <c r="HPX17" s="72"/>
      <c r="HPY17" s="72"/>
      <c r="HPZ17" s="72"/>
      <c r="HQA17" s="72"/>
      <c r="HQB17" s="72"/>
      <c r="HQC17" s="72"/>
      <c r="HQD17" s="72"/>
      <c r="HQE17" s="72"/>
      <c r="HQF17" s="72"/>
      <c r="HQG17" s="72"/>
      <c r="HQH17" s="72"/>
      <c r="HQI17" s="72"/>
      <c r="HQJ17" s="72"/>
      <c r="HQK17" s="72"/>
      <c r="HQL17" s="72"/>
      <c r="HQM17" s="72"/>
      <c r="HQN17" s="72"/>
      <c r="HQO17" s="72"/>
      <c r="HQP17" s="72"/>
      <c r="HQQ17" s="72"/>
      <c r="HQR17" s="72"/>
      <c r="HQS17" s="72"/>
      <c r="HQT17" s="72"/>
      <c r="HQU17" s="72"/>
      <c r="HQV17" s="72"/>
      <c r="HQW17" s="72"/>
      <c r="HQX17" s="72"/>
      <c r="HQY17" s="72"/>
      <c r="HQZ17" s="72"/>
      <c r="HRA17" s="72"/>
      <c r="HRB17" s="72"/>
      <c r="HRC17" s="72"/>
      <c r="HRD17" s="72"/>
      <c r="HRE17" s="72"/>
      <c r="HRF17" s="72"/>
      <c r="HRG17" s="72"/>
      <c r="HRH17" s="72"/>
      <c r="HRI17" s="72"/>
      <c r="HRJ17" s="72"/>
      <c r="HRK17" s="72"/>
      <c r="HRL17" s="72"/>
      <c r="HRM17" s="72"/>
      <c r="HRN17" s="72"/>
      <c r="HRO17" s="72"/>
      <c r="HRP17" s="72"/>
      <c r="HRQ17" s="72"/>
      <c r="HRR17" s="72"/>
      <c r="HRS17" s="72"/>
      <c r="HRT17" s="72"/>
      <c r="HRU17" s="72"/>
      <c r="HRV17" s="72"/>
      <c r="HRW17" s="72"/>
      <c r="HRX17" s="72"/>
      <c r="HRY17" s="72"/>
      <c r="HRZ17" s="72"/>
      <c r="HSA17" s="72"/>
      <c r="HSB17" s="72"/>
      <c r="HSC17" s="72"/>
      <c r="HSD17" s="72"/>
      <c r="HSE17" s="72"/>
      <c r="HSF17" s="72"/>
      <c r="HSG17" s="72"/>
      <c r="HSH17" s="72"/>
      <c r="HSI17" s="72"/>
      <c r="HSJ17" s="72"/>
      <c r="HSK17" s="72"/>
      <c r="HSL17" s="72"/>
      <c r="HSM17" s="72"/>
      <c r="HSN17" s="72"/>
      <c r="HSO17" s="72"/>
      <c r="HSP17" s="72"/>
      <c r="HSQ17" s="72"/>
      <c r="HSR17" s="72"/>
      <c r="HSS17" s="72"/>
      <c r="HST17" s="72"/>
      <c r="HSU17" s="72"/>
      <c r="HSV17" s="72"/>
      <c r="HSW17" s="72"/>
      <c r="HSX17" s="72"/>
      <c r="HSY17" s="72"/>
      <c r="HSZ17" s="72"/>
      <c r="HTA17" s="72"/>
      <c r="HTB17" s="72"/>
      <c r="HTC17" s="72"/>
      <c r="HTD17" s="72"/>
      <c r="HTE17" s="72"/>
      <c r="HTF17" s="72"/>
      <c r="HTG17" s="72"/>
      <c r="HTH17" s="72"/>
      <c r="HTI17" s="72"/>
      <c r="HTJ17" s="72"/>
      <c r="HTK17" s="72"/>
      <c r="HTL17" s="72"/>
      <c r="HTM17" s="72"/>
      <c r="HTN17" s="72"/>
      <c r="HTO17" s="72"/>
      <c r="HTP17" s="72"/>
      <c r="HTQ17" s="72"/>
      <c r="HTR17" s="72"/>
      <c r="HTS17" s="72"/>
      <c r="HTT17" s="72"/>
      <c r="HTU17" s="72"/>
      <c r="HTV17" s="72"/>
      <c r="HTW17" s="72"/>
      <c r="HTX17" s="72"/>
      <c r="HTY17" s="72"/>
      <c r="HTZ17" s="72"/>
      <c r="HUA17" s="72"/>
      <c r="HUB17" s="72"/>
      <c r="HUC17" s="72"/>
      <c r="HUD17" s="72"/>
      <c r="HUE17" s="72"/>
      <c r="HUF17" s="72"/>
      <c r="HUG17" s="72"/>
      <c r="HUH17" s="72"/>
      <c r="HUI17" s="72"/>
      <c r="HUJ17" s="72"/>
      <c r="HUK17" s="72"/>
      <c r="HUL17" s="72"/>
      <c r="HUM17" s="72"/>
      <c r="HUN17" s="72"/>
      <c r="HUO17" s="72"/>
      <c r="HUP17" s="72"/>
      <c r="HUQ17" s="72"/>
      <c r="HUR17" s="72"/>
      <c r="HUS17" s="72"/>
      <c r="HUT17" s="72"/>
      <c r="HUU17" s="72"/>
      <c r="HUV17" s="72"/>
      <c r="HUW17" s="72"/>
      <c r="HUX17" s="72"/>
      <c r="HUY17" s="72"/>
      <c r="HUZ17" s="72"/>
      <c r="HVA17" s="72"/>
      <c r="HVB17" s="72"/>
      <c r="HVC17" s="72"/>
      <c r="HVD17" s="72"/>
      <c r="HVE17" s="72"/>
      <c r="HVF17" s="72"/>
      <c r="HVG17" s="72"/>
      <c r="HVH17" s="72"/>
      <c r="HVI17" s="72"/>
      <c r="HVJ17" s="72"/>
      <c r="HVK17" s="72"/>
      <c r="HVL17" s="72"/>
      <c r="HVM17" s="72"/>
      <c r="HVN17" s="72"/>
      <c r="HVO17" s="72"/>
      <c r="HVP17" s="72"/>
      <c r="HVQ17" s="72"/>
      <c r="HVR17" s="72"/>
      <c r="HVS17" s="72"/>
      <c r="HVT17" s="72"/>
      <c r="HVU17" s="72"/>
      <c r="HVV17" s="72"/>
      <c r="HVW17" s="72"/>
      <c r="HVX17" s="72"/>
      <c r="HVY17" s="72"/>
      <c r="HVZ17" s="72"/>
      <c r="HWA17" s="72"/>
      <c r="HWB17" s="72"/>
      <c r="HWC17" s="72"/>
      <c r="HWD17" s="72"/>
      <c r="HWE17" s="72"/>
      <c r="HWF17" s="72"/>
      <c r="HWG17" s="72"/>
      <c r="HWH17" s="72"/>
      <c r="HWI17" s="72"/>
      <c r="HWJ17" s="72"/>
      <c r="HWK17" s="72"/>
      <c r="HWL17" s="72"/>
      <c r="HWM17" s="72"/>
      <c r="HWN17" s="72"/>
      <c r="HWO17" s="72"/>
      <c r="HWP17" s="72"/>
      <c r="HWQ17" s="72"/>
      <c r="HWR17" s="72"/>
      <c r="HWS17" s="72"/>
      <c r="HWT17" s="72"/>
      <c r="HWU17" s="72"/>
      <c r="HWV17" s="72"/>
      <c r="HWW17" s="72"/>
      <c r="HWX17" s="72"/>
      <c r="HWY17" s="72"/>
      <c r="HWZ17" s="72"/>
      <c r="HXA17" s="72"/>
      <c r="HXB17" s="72"/>
      <c r="HXC17" s="72"/>
      <c r="HXD17" s="72"/>
      <c r="HXE17" s="72"/>
      <c r="HXF17" s="72"/>
      <c r="HXG17" s="72"/>
      <c r="HXH17" s="72"/>
      <c r="HXI17" s="72"/>
      <c r="HXJ17" s="72"/>
      <c r="HXK17" s="72"/>
      <c r="HXL17" s="72"/>
      <c r="HXM17" s="72"/>
      <c r="HXN17" s="72"/>
      <c r="HXO17" s="72"/>
      <c r="HXP17" s="72"/>
      <c r="HXQ17" s="72"/>
      <c r="HXR17" s="72"/>
      <c r="HXS17" s="72"/>
      <c r="HXT17" s="72"/>
      <c r="HXU17" s="72"/>
      <c r="HXV17" s="72"/>
      <c r="HXW17" s="72"/>
      <c r="HXX17" s="72"/>
      <c r="HXY17" s="72"/>
      <c r="HXZ17" s="72"/>
      <c r="HYA17" s="72"/>
      <c r="HYB17" s="72"/>
      <c r="HYC17" s="72"/>
      <c r="HYD17" s="72"/>
      <c r="HYE17" s="72"/>
      <c r="HYF17" s="72"/>
      <c r="HYG17" s="72"/>
      <c r="HYH17" s="72"/>
      <c r="HYI17" s="72"/>
      <c r="HYJ17" s="72"/>
      <c r="HYK17" s="72"/>
      <c r="HYL17" s="72"/>
      <c r="HYM17" s="72"/>
      <c r="HYN17" s="72"/>
      <c r="HYO17" s="72"/>
      <c r="HYP17" s="72"/>
      <c r="HYQ17" s="72"/>
      <c r="HYR17" s="72"/>
      <c r="HYS17" s="72"/>
      <c r="HYT17" s="72"/>
      <c r="HYU17" s="72"/>
      <c r="HYV17" s="72"/>
      <c r="HYW17" s="72"/>
      <c r="HYX17" s="72"/>
      <c r="HYY17" s="72"/>
      <c r="HYZ17" s="72"/>
      <c r="HZA17" s="72"/>
      <c r="HZB17" s="72"/>
      <c r="HZC17" s="72"/>
      <c r="HZD17" s="72"/>
      <c r="HZE17" s="72"/>
      <c r="HZF17" s="72"/>
      <c r="HZG17" s="72"/>
      <c r="HZH17" s="72"/>
      <c r="HZI17" s="72"/>
      <c r="HZJ17" s="72"/>
      <c r="HZK17" s="72"/>
      <c r="HZL17" s="72"/>
      <c r="HZM17" s="72"/>
      <c r="HZN17" s="72"/>
      <c r="HZO17" s="72"/>
      <c r="HZP17" s="72"/>
      <c r="HZQ17" s="72"/>
      <c r="HZR17" s="72"/>
      <c r="HZS17" s="72"/>
      <c r="HZT17" s="72"/>
      <c r="HZU17" s="72"/>
      <c r="HZV17" s="72"/>
      <c r="HZW17" s="72"/>
      <c r="HZX17" s="72"/>
      <c r="HZY17" s="72"/>
      <c r="HZZ17" s="72"/>
      <c r="IAA17" s="72"/>
      <c r="IAB17" s="72"/>
      <c r="IAC17" s="72"/>
      <c r="IAD17" s="72"/>
      <c r="IAE17" s="72"/>
      <c r="IAF17" s="72"/>
      <c r="IAG17" s="72"/>
      <c r="IAH17" s="72"/>
      <c r="IAI17" s="72"/>
      <c r="IAJ17" s="72"/>
      <c r="IAK17" s="72"/>
      <c r="IAL17" s="72"/>
      <c r="IAM17" s="72"/>
      <c r="IAN17" s="72"/>
      <c r="IAO17" s="72"/>
      <c r="IAP17" s="72"/>
      <c r="IAQ17" s="72"/>
      <c r="IAR17" s="72"/>
      <c r="IAS17" s="72"/>
      <c r="IAT17" s="72"/>
      <c r="IAU17" s="72"/>
      <c r="IAV17" s="72"/>
      <c r="IAW17" s="72"/>
      <c r="IAX17" s="72"/>
      <c r="IAY17" s="72"/>
      <c r="IAZ17" s="72"/>
      <c r="IBA17" s="72"/>
      <c r="IBB17" s="72"/>
      <c r="IBC17" s="72"/>
      <c r="IBD17" s="72"/>
      <c r="IBE17" s="72"/>
      <c r="IBF17" s="72"/>
      <c r="IBG17" s="72"/>
      <c r="IBH17" s="72"/>
      <c r="IBI17" s="72"/>
      <c r="IBJ17" s="72"/>
      <c r="IBK17" s="72"/>
      <c r="IBL17" s="72"/>
      <c r="IBM17" s="72"/>
      <c r="IBN17" s="72"/>
      <c r="IBO17" s="72"/>
      <c r="IBP17" s="72"/>
      <c r="IBQ17" s="72"/>
      <c r="IBR17" s="72"/>
      <c r="IBS17" s="72"/>
      <c r="IBT17" s="72"/>
      <c r="IBU17" s="72"/>
      <c r="IBV17" s="72"/>
      <c r="IBW17" s="72"/>
      <c r="IBX17" s="72"/>
      <c r="IBY17" s="72"/>
      <c r="IBZ17" s="72"/>
      <c r="ICA17" s="72"/>
      <c r="ICB17" s="72"/>
      <c r="ICC17" s="72"/>
      <c r="ICD17" s="72"/>
      <c r="ICE17" s="72"/>
      <c r="ICF17" s="72"/>
      <c r="ICG17" s="72"/>
      <c r="ICH17" s="72"/>
      <c r="ICI17" s="72"/>
      <c r="ICJ17" s="72"/>
      <c r="ICK17" s="72"/>
      <c r="ICL17" s="72"/>
      <c r="ICM17" s="72"/>
      <c r="ICN17" s="72"/>
      <c r="ICO17" s="72"/>
      <c r="ICP17" s="72"/>
      <c r="ICQ17" s="72"/>
      <c r="ICR17" s="72"/>
      <c r="ICS17" s="72"/>
      <c r="ICT17" s="72"/>
      <c r="ICU17" s="72"/>
      <c r="ICV17" s="72"/>
      <c r="ICW17" s="72"/>
      <c r="ICX17" s="72"/>
      <c r="ICY17" s="72"/>
      <c r="ICZ17" s="72"/>
      <c r="IDA17" s="72"/>
      <c r="IDB17" s="72"/>
      <c r="IDC17" s="72"/>
      <c r="IDD17" s="72"/>
      <c r="IDE17" s="72"/>
      <c r="IDF17" s="72"/>
      <c r="IDG17" s="72"/>
      <c r="IDH17" s="72"/>
      <c r="IDI17" s="72"/>
      <c r="IDJ17" s="72"/>
      <c r="IDK17" s="72"/>
      <c r="IDL17" s="72"/>
      <c r="IDM17" s="72"/>
      <c r="IDN17" s="72"/>
      <c r="IDO17" s="72"/>
      <c r="IDP17" s="72"/>
      <c r="IDQ17" s="72"/>
      <c r="IDR17" s="72"/>
      <c r="IDS17" s="72"/>
      <c r="IDT17" s="72"/>
      <c r="IDU17" s="72"/>
      <c r="IDV17" s="72"/>
      <c r="IDW17" s="72"/>
      <c r="IDX17" s="72"/>
      <c r="IDY17" s="72"/>
      <c r="IDZ17" s="72"/>
      <c r="IEA17" s="72"/>
      <c r="IEB17" s="72"/>
      <c r="IEC17" s="72"/>
      <c r="IED17" s="72"/>
      <c r="IEE17" s="72"/>
      <c r="IEF17" s="72"/>
      <c r="IEG17" s="72"/>
      <c r="IEH17" s="72"/>
      <c r="IEI17" s="72"/>
      <c r="IEJ17" s="72"/>
      <c r="IEK17" s="72"/>
      <c r="IEL17" s="72"/>
      <c r="IEM17" s="72"/>
      <c r="IEN17" s="72"/>
      <c r="IEO17" s="72"/>
      <c r="IEP17" s="72"/>
      <c r="IEQ17" s="72"/>
      <c r="IER17" s="72"/>
      <c r="IES17" s="72"/>
      <c r="IET17" s="72"/>
      <c r="IEU17" s="72"/>
      <c r="IEV17" s="72"/>
      <c r="IEW17" s="72"/>
      <c r="IEX17" s="72"/>
      <c r="IEY17" s="72"/>
      <c r="IEZ17" s="72"/>
      <c r="IFA17" s="72"/>
      <c r="IFB17" s="72"/>
      <c r="IFC17" s="72"/>
      <c r="IFD17" s="72"/>
      <c r="IFE17" s="72"/>
      <c r="IFF17" s="72"/>
      <c r="IFG17" s="72"/>
      <c r="IFH17" s="72"/>
      <c r="IFI17" s="72"/>
      <c r="IFJ17" s="72"/>
      <c r="IFK17" s="72"/>
      <c r="IFL17" s="72"/>
      <c r="IFM17" s="72"/>
      <c r="IFN17" s="72"/>
      <c r="IFO17" s="72"/>
      <c r="IFP17" s="72"/>
      <c r="IFQ17" s="72"/>
      <c r="IFR17" s="72"/>
      <c r="IFS17" s="72"/>
      <c r="IFT17" s="72"/>
      <c r="IFU17" s="72"/>
      <c r="IFV17" s="72"/>
      <c r="IFW17" s="72"/>
      <c r="IFX17" s="72"/>
      <c r="IFY17" s="72"/>
      <c r="IFZ17" s="72"/>
      <c r="IGA17" s="72"/>
      <c r="IGB17" s="72"/>
      <c r="IGC17" s="72"/>
      <c r="IGD17" s="72"/>
      <c r="IGE17" s="72"/>
      <c r="IGF17" s="72"/>
      <c r="IGG17" s="72"/>
      <c r="IGH17" s="72"/>
      <c r="IGI17" s="72"/>
      <c r="IGJ17" s="72"/>
      <c r="IGK17" s="72"/>
      <c r="IGL17" s="72"/>
      <c r="IGM17" s="72"/>
      <c r="IGN17" s="72"/>
      <c r="IGO17" s="72"/>
      <c r="IGP17" s="72"/>
      <c r="IGQ17" s="72"/>
      <c r="IGR17" s="72"/>
      <c r="IGS17" s="72"/>
      <c r="IGT17" s="72"/>
      <c r="IGU17" s="72"/>
      <c r="IGV17" s="72"/>
      <c r="IGW17" s="72"/>
      <c r="IGX17" s="72"/>
      <c r="IGY17" s="72"/>
      <c r="IGZ17" s="72"/>
      <c r="IHA17" s="72"/>
      <c r="IHB17" s="72"/>
      <c r="IHC17" s="72"/>
      <c r="IHD17" s="72"/>
      <c r="IHE17" s="72"/>
      <c r="IHF17" s="72"/>
      <c r="IHG17" s="72"/>
      <c r="IHH17" s="72"/>
      <c r="IHI17" s="72"/>
      <c r="IHJ17" s="72"/>
      <c r="IHK17" s="72"/>
      <c r="IHL17" s="72"/>
      <c r="IHM17" s="72"/>
      <c r="IHN17" s="72"/>
      <c r="IHO17" s="72"/>
      <c r="IHP17" s="72"/>
      <c r="IHQ17" s="72"/>
      <c r="IHR17" s="72"/>
      <c r="IHS17" s="72"/>
      <c r="IHT17" s="72"/>
      <c r="IHU17" s="72"/>
      <c r="IHV17" s="72"/>
      <c r="IHW17" s="72"/>
      <c r="IHX17" s="72"/>
      <c r="IHY17" s="72"/>
      <c r="IHZ17" s="72"/>
      <c r="IIA17" s="72"/>
      <c r="IIB17" s="72"/>
      <c r="IIC17" s="72"/>
      <c r="IID17" s="72"/>
      <c r="IIE17" s="72"/>
      <c r="IIF17" s="72"/>
      <c r="IIG17" s="72"/>
      <c r="IIH17" s="72"/>
      <c r="III17" s="72"/>
      <c r="IIJ17" s="72"/>
      <c r="IIK17" s="72"/>
      <c r="IIL17" s="72"/>
      <c r="IIM17" s="72"/>
      <c r="IIN17" s="72"/>
      <c r="IIO17" s="72"/>
      <c r="IIP17" s="72"/>
      <c r="IIQ17" s="72"/>
      <c r="IIR17" s="72"/>
      <c r="IIS17" s="72"/>
      <c r="IIT17" s="72"/>
      <c r="IIU17" s="72"/>
      <c r="IIV17" s="72"/>
      <c r="IIW17" s="72"/>
      <c r="IIX17" s="72"/>
      <c r="IIY17" s="72"/>
      <c r="IIZ17" s="72"/>
      <c r="IJA17" s="72"/>
      <c r="IJB17" s="72"/>
      <c r="IJC17" s="72"/>
      <c r="IJD17" s="72"/>
      <c r="IJE17" s="72"/>
      <c r="IJF17" s="72"/>
      <c r="IJG17" s="72"/>
      <c r="IJH17" s="72"/>
      <c r="IJI17" s="72"/>
      <c r="IJJ17" s="72"/>
      <c r="IJK17" s="72"/>
      <c r="IJL17" s="72"/>
      <c r="IJM17" s="72"/>
      <c r="IJN17" s="72"/>
      <c r="IJO17" s="72"/>
      <c r="IJP17" s="72"/>
      <c r="IJQ17" s="72"/>
      <c r="IJR17" s="72"/>
      <c r="IJS17" s="72"/>
      <c r="IJT17" s="72"/>
      <c r="IJU17" s="72"/>
      <c r="IJV17" s="72"/>
      <c r="IJW17" s="72"/>
      <c r="IJX17" s="72"/>
      <c r="IJY17" s="72"/>
      <c r="IJZ17" s="72"/>
      <c r="IKA17" s="72"/>
      <c r="IKB17" s="72"/>
      <c r="IKC17" s="72"/>
      <c r="IKD17" s="72"/>
      <c r="IKE17" s="72"/>
      <c r="IKF17" s="72"/>
      <c r="IKG17" s="72"/>
      <c r="IKH17" s="72"/>
      <c r="IKI17" s="72"/>
      <c r="IKJ17" s="72"/>
      <c r="IKK17" s="72"/>
      <c r="IKL17" s="72"/>
      <c r="IKM17" s="72"/>
      <c r="IKN17" s="72"/>
      <c r="IKO17" s="72"/>
      <c r="IKP17" s="72"/>
      <c r="IKQ17" s="72"/>
      <c r="IKR17" s="72"/>
      <c r="IKS17" s="72"/>
      <c r="IKT17" s="72"/>
      <c r="IKU17" s="72"/>
      <c r="IKV17" s="72"/>
      <c r="IKW17" s="72"/>
      <c r="IKX17" s="72"/>
      <c r="IKY17" s="72"/>
      <c r="IKZ17" s="72"/>
      <c r="ILA17" s="72"/>
      <c r="ILB17" s="72"/>
      <c r="ILC17" s="72"/>
      <c r="ILD17" s="72"/>
      <c r="ILE17" s="72"/>
      <c r="ILF17" s="72"/>
      <c r="ILG17" s="72"/>
      <c r="ILH17" s="72"/>
      <c r="ILI17" s="72"/>
      <c r="ILJ17" s="72"/>
      <c r="ILK17" s="72"/>
      <c r="ILL17" s="72"/>
      <c r="ILM17" s="72"/>
      <c r="ILN17" s="72"/>
      <c r="ILO17" s="72"/>
      <c r="ILP17" s="72"/>
      <c r="ILQ17" s="72"/>
      <c r="ILR17" s="72"/>
      <c r="ILS17" s="72"/>
      <c r="ILT17" s="72"/>
      <c r="ILU17" s="72"/>
      <c r="ILV17" s="72"/>
      <c r="ILW17" s="72"/>
      <c r="ILX17" s="72"/>
      <c r="ILY17" s="72"/>
      <c r="ILZ17" s="72"/>
      <c r="IMA17" s="72"/>
      <c r="IMB17" s="72"/>
      <c r="IMC17" s="72"/>
      <c r="IMD17" s="72"/>
      <c r="IME17" s="72"/>
      <c r="IMF17" s="72"/>
      <c r="IMG17" s="72"/>
      <c r="IMH17" s="72"/>
      <c r="IMI17" s="72"/>
      <c r="IMJ17" s="72"/>
      <c r="IMK17" s="72"/>
      <c r="IML17" s="72"/>
      <c r="IMM17" s="72"/>
      <c r="IMN17" s="72"/>
      <c r="IMO17" s="72"/>
      <c r="IMP17" s="72"/>
      <c r="IMQ17" s="72"/>
      <c r="IMR17" s="72"/>
      <c r="IMS17" s="72"/>
      <c r="IMT17" s="72"/>
      <c r="IMU17" s="72"/>
      <c r="IMV17" s="72"/>
      <c r="IMW17" s="72"/>
      <c r="IMX17" s="72"/>
      <c r="IMY17" s="72"/>
      <c r="IMZ17" s="72"/>
      <c r="INA17" s="72"/>
      <c r="INB17" s="72"/>
      <c r="INC17" s="72"/>
      <c r="IND17" s="72"/>
      <c r="INE17" s="72"/>
      <c r="INF17" s="72"/>
      <c r="ING17" s="72"/>
      <c r="INH17" s="72"/>
      <c r="INI17" s="72"/>
      <c r="INJ17" s="72"/>
      <c r="INK17" s="72"/>
      <c r="INL17" s="72"/>
      <c r="INM17" s="72"/>
      <c r="INN17" s="72"/>
      <c r="INO17" s="72"/>
      <c r="INP17" s="72"/>
      <c r="INQ17" s="72"/>
      <c r="INR17" s="72"/>
      <c r="INS17" s="72"/>
      <c r="INT17" s="72"/>
      <c r="INU17" s="72"/>
      <c r="INV17" s="72"/>
      <c r="INW17" s="72"/>
      <c r="INX17" s="72"/>
      <c r="INY17" s="72"/>
      <c r="INZ17" s="72"/>
      <c r="IOA17" s="72"/>
      <c r="IOB17" s="72"/>
      <c r="IOC17" s="72"/>
      <c r="IOD17" s="72"/>
      <c r="IOE17" s="72"/>
      <c r="IOF17" s="72"/>
      <c r="IOG17" s="72"/>
      <c r="IOH17" s="72"/>
      <c r="IOI17" s="72"/>
      <c r="IOJ17" s="72"/>
      <c r="IOK17" s="72"/>
      <c r="IOL17" s="72"/>
      <c r="IOM17" s="72"/>
      <c r="ION17" s="72"/>
      <c r="IOO17" s="72"/>
      <c r="IOP17" s="72"/>
      <c r="IOQ17" s="72"/>
      <c r="IOR17" s="72"/>
      <c r="IOS17" s="72"/>
      <c r="IOT17" s="72"/>
      <c r="IOU17" s="72"/>
      <c r="IOV17" s="72"/>
      <c r="IOW17" s="72"/>
      <c r="IOX17" s="72"/>
      <c r="IOY17" s="72"/>
      <c r="IOZ17" s="72"/>
      <c r="IPA17" s="72"/>
      <c r="IPB17" s="72"/>
      <c r="IPC17" s="72"/>
      <c r="IPD17" s="72"/>
      <c r="IPE17" s="72"/>
      <c r="IPF17" s="72"/>
      <c r="IPG17" s="72"/>
      <c r="IPH17" s="72"/>
      <c r="IPI17" s="72"/>
      <c r="IPJ17" s="72"/>
      <c r="IPK17" s="72"/>
      <c r="IPL17" s="72"/>
      <c r="IPM17" s="72"/>
      <c r="IPN17" s="72"/>
      <c r="IPO17" s="72"/>
      <c r="IPP17" s="72"/>
      <c r="IPQ17" s="72"/>
      <c r="IPR17" s="72"/>
      <c r="IPS17" s="72"/>
      <c r="IPT17" s="72"/>
      <c r="IPU17" s="72"/>
      <c r="IPV17" s="72"/>
      <c r="IPW17" s="72"/>
      <c r="IPX17" s="72"/>
      <c r="IPY17" s="72"/>
      <c r="IPZ17" s="72"/>
      <c r="IQA17" s="72"/>
      <c r="IQB17" s="72"/>
      <c r="IQC17" s="72"/>
      <c r="IQD17" s="72"/>
      <c r="IQE17" s="72"/>
      <c r="IQF17" s="72"/>
      <c r="IQG17" s="72"/>
      <c r="IQH17" s="72"/>
      <c r="IQI17" s="72"/>
      <c r="IQJ17" s="72"/>
      <c r="IQK17" s="72"/>
      <c r="IQL17" s="72"/>
      <c r="IQM17" s="72"/>
      <c r="IQN17" s="72"/>
      <c r="IQO17" s="72"/>
      <c r="IQP17" s="72"/>
      <c r="IQQ17" s="72"/>
      <c r="IQR17" s="72"/>
      <c r="IQS17" s="72"/>
      <c r="IQT17" s="72"/>
      <c r="IQU17" s="72"/>
      <c r="IQV17" s="72"/>
      <c r="IQW17" s="72"/>
      <c r="IQX17" s="72"/>
      <c r="IQY17" s="72"/>
      <c r="IQZ17" s="72"/>
      <c r="IRA17" s="72"/>
      <c r="IRB17" s="72"/>
      <c r="IRC17" s="72"/>
      <c r="IRD17" s="72"/>
      <c r="IRE17" s="72"/>
      <c r="IRF17" s="72"/>
      <c r="IRG17" s="72"/>
      <c r="IRH17" s="72"/>
      <c r="IRI17" s="72"/>
      <c r="IRJ17" s="72"/>
      <c r="IRK17" s="72"/>
      <c r="IRL17" s="72"/>
      <c r="IRM17" s="72"/>
      <c r="IRN17" s="72"/>
      <c r="IRO17" s="72"/>
      <c r="IRP17" s="72"/>
      <c r="IRQ17" s="72"/>
      <c r="IRR17" s="72"/>
      <c r="IRS17" s="72"/>
      <c r="IRT17" s="72"/>
      <c r="IRU17" s="72"/>
      <c r="IRV17" s="72"/>
      <c r="IRW17" s="72"/>
      <c r="IRX17" s="72"/>
      <c r="IRY17" s="72"/>
      <c r="IRZ17" s="72"/>
      <c r="ISA17" s="72"/>
      <c r="ISB17" s="72"/>
      <c r="ISC17" s="72"/>
      <c r="ISD17" s="72"/>
      <c r="ISE17" s="72"/>
      <c r="ISF17" s="72"/>
      <c r="ISG17" s="72"/>
      <c r="ISH17" s="72"/>
      <c r="ISI17" s="72"/>
      <c r="ISJ17" s="72"/>
      <c r="ISK17" s="72"/>
      <c r="ISL17" s="72"/>
      <c r="ISM17" s="72"/>
      <c r="ISN17" s="72"/>
      <c r="ISO17" s="72"/>
      <c r="ISP17" s="72"/>
      <c r="ISQ17" s="72"/>
      <c r="ISR17" s="72"/>
      <c r="ISS17" s="72"/>
      <c r="IST17" s="72"/>
      <c r="ISU17" s="72"/>
      <c r="ISV17" s="72"/>
      <c r="ISW17" s="72"/>
      <c r="ISX17" s="72"/>
      <c r="ISY17" s="72"/>
      <c r="ISZ17" s="72"/>
      <c r="ITA17" s="72"/>
      <c r="ITB17" s="72"/>
      <c r="ITC17" s="72"/>
      <c r="ITD17" s="72"/>
      <c r="ITE17" s="72"/>
      <c r="ITF17" s="72"/>
      <c r="ITG17" s="72"/>
      <c r="ITH17" s="72"/>
      <c r="ITI17" s="72"/>
      <c r="ITJ17" s="72"/>
      <c r="ITK17" s="72"/>
      <c r="ITL17" s="72"/>
      <c r="ITM17" s="72"/>
      <c r="ITN17" s="72"/>
      <c r="ITO17" s="72"/>
      <c r="ITP17" s="72"/>
      <c r="ITQ17" s="72"/>
      <c r="ITR17" s="72"/>
      <c r="ITS17" s="72"/>
      <c r="ITT17" s="72"/>
      <c r="ITU17" s="72"/>
      <c r="ITV17" s="72"/>
      <c r="ITW17" s="72"/>
      <c r="ITX17" s="72"/>
      <c r="ITY17" s="72"/>
      <c r="ITZ17" s="72"/>
      <c r="IUA17" s="72"/>
      <c r="IUB17" s="72"/>
      <c r="IUC17" s="72"/>
      <c r="IUD17" s="72"/>
      <c r="IUE17" s="72"/>
      <c r="IUF17" s="72"/>
      <c r="IUG17" s="72"/>
      <c r="IUH17" s="72"/>
      <c r="IUI17" s="72"/>
      <c r="IUJ17" s="72"/>
      <c r="IUK17" s="72"/>
      <c r="IUL17" s="72"/>
      <c r="IUM17" s="72"/>
      <c r="IUN17" s="72"/>
      <c r="IUO17" s="72"/>
      <c r="IUP17" s="72"/>
      <c r="IUQ17" s="72"/>
      <c r="IUR17" s="72"/>
      <c r="IUS17" s="72"/>
      <c r="IUT17" s="72"/>
      <c r="IUU17" s="72"/>
      <c r="IUV17" s="72"/>
      <c r="IUW17" s="72"/>
      <c r="IUX17" s="72"/>
      <c r="IUY17" s="72"/>
      <c r="IUZ17" s="72"/>
      <c r="IVA17" s="72"/>
      <c r="IVB17" s="72"/>
      <c r="IVC17" s="72"/>
      <c r="IVD17" s="72"/>
      <c r="IVE17" s="72"/>
      <c r="IVF17" s="72"/>
      <c r="IVG17" s="72"/>
      <c r="IVH17" s="72"/>
      <c r="IVI17" s="72"/>
      <c r="IVJ17" s="72"/>
      <c r="IVK17" s="72"/>
      <c r="IVL17" s="72"/>
      <c r="IVM17" s="72"/>
      <c r="IVN17" s="72"/>
      <c r="IVO17" s="72"/>
      <c r="IVP17" s="72"/>
      <c r="IVQ17" s="72"/>
      <c r="IVR17" s="72"/>
      <c r="IVS17" s="72"/>
      <c r="IVT17" s="72"/>
      <c r="IVU17" s="72"/>
      <c r="IVV17" s="72"/>
      <c r="IVW17" s="72"/>
      <c r="IVX17" s="72"/>
      <c r="IVY17" s="72"/>
      <c r="IVZ17" s="72"/>
      <c r="IWA17" s="72"/>
      <c r="IWB17" s="72"/>
      <c r="IWC17" s="72"/>
      <c r="IWD17" s="72"/>
      <c r="IWE17" s="72"/>
      <c r="IWF17" s="72"/>
      <c r="IWG17" s="72"/>
      <c r="IWH17" s="72"/>
      <c r="IWI17" s="72"/>
      <c r="IWJ17" s="72"/>
      <c r="IWK17" s="72"/>
      <c r="IWL17" s="72"/>
      <c r="IWM17" s="72"/>
      <c r="IWN17" s="72"/>
      <c r="IWO17" s="72"/>
      <c r="IWP17" s="72"/>
      <c r="IWQ17" s="72"/>
      <c r="IWR17" s="72"/>
      <c r="IWS17" s="72"/>
      <c r="IWT17" s="72"/>
      <c r="IWU17" s="72"/>
      <c r="IWV17" s="72"/>
      <c r="IWW17" s="72"/>
      <c r="IWX17" s="72"/>
      <c r="IWY17" s="72"/>
      <c r="IWZ17" s="72"/>
      <c r="IXA17" s="72"/>
      <c r="IXB17" s="72"/>
      <c r="IXC17" s="72"/>
      <c r="IXD17" s="72"/>
      <c r="IXE17" s="72"/>
      <c r="IXF17" s="72"/>
      <c r="IXG17" s="72"/>
      <c r="IXH17" s="72"/>
      <c r="IXI17" s="72"/>
      <c r="IXJ17" s="72"/>
      <c r="IXK17" s="72"/>
      <c r="IXL17" s="72"/>
      <c r="IXM17" s="72"/>
      <c r="IXN17" s="72"/>
      <c r="IXO17" s="72"/>
      <c r="IXP17" s="72"/>
      <c r="IXQ17" s="72"/>
      <c r="IXR17" s="72"/>
      <c r="IXS17" s="72"/>
      <c r="IXT17" s="72"/>
      <c r="IXU17" s="72"/>
      <c r="IXV17" s="72"/>
      <c r="IXW17" s="72"/>
      <c r="IXX17" s="72"/>
      <c r="IXY17" s="72"/>
      <c r="IXZ17" s="72"/>
      <c r="IYA17" s="72"/>
      <c r="IYB17" s="72"/>
      <c r="IYC17" s="72"/>
      <c r="IYD17" s="72"/>
      <c r="IYE17" s="72"/>
      <c r="IYF17" s="72"/>
      <c r="IYG17" s="72"/>
      <c r="IYH17" s="72"/>
      <c r="IYI17" s="72"/>
      <c r="IYJ17" s="72"/>
      <c r="IYK17" s="72"/>
      <c r="IYL17" s="72"/>
      <c r="IYM17" s="72"/>
      <c r="IYN17" s="72"/>
      <c r="IYO17" s="72"/>
      <c r="IYP17" s="72"/>
      <c r="IYQ17" s="72"/>
      <c r="IYR17" s="72"/>
      <c r="IYS17" s="72"/>
      <c r="IYT17" s="72"/>
      <c r="IYU17" s="72"/>
      <c r="IYV17" s="72"/>
      <c r="IYW17" s="72"/>
      <c r="IYX17" s="72"/>
      <c r="IYY17" s="72"/>
      <c r="IYZ17" s="72"/>
      <c r="IZA17" s="72"/>
      <c r="IZB17" s="72"/>
      <c r="IZC17" s="72"/>
      <c r="IZD17" s="72"/>
      <c r="IZE17" s="72"/>
      <c r="IZF17" s="72"/>
      <c r="IZG17" s="72"/>
      <c r="IZH17" s="72"/>
      <c r="IZI17" s="72"/>
      <c r="IZJ17" s="72"/>
      <c r="IZK17" s="72"/>
      <c r="IZL17" s="72"/>
      <c r="IZM17" s="72"/>
      <c r="IZN17" s="72"/>
      <c r="IZO17" s="72"/>
      <c r="IZP17" s="72"/>
      <c r="IZQ17" s="72"/>
      <c r="IZR17" s="72"/>
      <c r="IZS17" s="72"/>
      <c r="IZT17" s="72"/>
      <c r="IZU17" s="72"/>
      <c r="IZV17" s="72"/>
      <c r="IZW17" s="72"/>
      <c r="IZX17" s="72"/>
      <c r="IZY17" s="72"/>
      <c r="IZZ17" s="72"/>
      <c r="JAA17" s="72"/>
      <c r="JAB17" s="72"/>
      <c r="JAC17" s="72"/>
      <c r="JAD17" s="72"/>
      <c r="JAE17" s="72"/>
      <c r="JAF17" s="72"/>
      <c r="JAG17" s="72"/>
      <c r="JAH17" s="72"/>
      <c r="JAI17" s="72"/>
      <c r="JAJ17" s="72"/>
      <c r="JAK17" s="72"/>
      <c r="JAL17" s="72"/>
      <c r="JAM17" s="72"/>
      <c r="JAN17" s="72"/>
      <c r="JAO17" s="72"/>
      <c r="JAP17" s="72"/>
      <c r="JAQ17" s="72"/>
      <c r="JAR17" s="72"/>
      <c r="JAS17" s="72"/>
      <c r="JAT17" s="72"/>
      <c r="JAU17" s="72"/>
      <c r="JAV17" s="72"/>
      <c r="JAW17" s="72"/>
      <c r="JAX17" s="72"/>
      <c r="JAY17" s="72"/>
      <c r="JAZ17" s="72"/>
      <c r="JBA17" s="72"/>
      <c r="JBB17" s="72"/>
      <c r="JBC17" s="72"/>
      <c r="JBD17" s="72"/>
      <c r="JBE17" s="72"/>
      <c r="JBF17" s="72"/>
      <c r="JBG17" s="72"/>
      <c r="JBH17" s="72"/>
      <c r="JBI17" s="72"/>
      <c r="JBJ17" s="72"/>
      <c r="JBK17" s="72"/>
      <c r="JBL17" s="72"/>
      <c r="JBM17" s="72"/>
      <c r="JBN17" s="72"/>
      <c r="JBO17" s="72"/>
      <c r="JBP17" s="72"/>
      <c r="JBQ17" s="72"/>
      <c r="JBR17" s="72"/>
      <c r="JBS17" s="72"/>
      <c r="JBT17" s="72"/>
      <c r="JBU17" s="72"/>
      <c r="JBV17" s="72"/>
      <c r="JBW17" s="72"/>
      <c r="JBX17" s="72"/>
      <c r="JBY17" s="72"/>
      <c r="JBZ17" s="72"/>
      <c r="JCA17" s="72"/>
      <c r="JCB17" s="72"/>
      <c r="JCC17" s="72"/>
      <c r="JCD17" s="72"/>
      <c r="JCE17" s="72"/>
      <c r="JCF17" s="72"/>
      <c r="JCG17" s="72"/>
      <c r="JCH17" s="72"/>
      <c r="JCI17" s="72"/>
      <c r="JCJ17" s="72"/>
      <c r="JCK17" s="72"/>
      <c r="JCL17" s="72"/>
      <c r="JCM17" s="72"/>
      <c r="JCN17" s="72"/>
      <c r="JCO17" s="72"/>
      <c r="JCP17" s="72"/>
      <c r="JCQ17" s="72"/>
      <c r="JCR17" s="72"/>
      <c r="JCS17" s="72"/>
      <c r="JCT17" s="72"/>
      <c r="JCU17" s="72"/>
      <c r="JCV17" s="72"/>
      <c r="JCW17" s="72"/>
      <c r="JCX17" s="72"/>
      <c r="JCY17" s="72"/>
      <c r="JCZ17" s="72"/>
      <c r="JDA17" s="72"/>
      <c r="JDB17" s="72"/>
      <c r="JDC17" s="72"/>
      <c r="JDD17" s="72"/>
      <c r="JDE17" s="72"/>
      <c r="JDF17" s="72"/>
      <c r="JDG17" s="72"/>
      <c r="JDH17" s="72"/>
      <c r="JDI17" s="72"/>
      <c r="JDJ17" s="72"/>
      <c r="JDK17" s="72"/>
      <c r="JDL17" s="72"/>
      <c r="JDM17" s="72"/>
      <c r="JDN17" s="72"/>
      <c r="JDO17" s="72"/>
      <c r="JDP17" s="72"/>
      <c r="JDQ17" s="72"/>
      <c r="JDR17" s="72"/>
      <c r="JDS17" s="72"/>
      <c r="JDT17" s="72"/>
      <c r="JDU17" s="72"/>
      <c r="JDV17" s="72"/>
      <c r="JDW17" s="72"/>
      <c r="JDX17" s="72"/>
      <c r="JDY17" s="72"/>
      <c r="JDZ17" s="72"/>
      <c r="JEA17" s="72"/>
      <c r="JEB17" s="72"/>
      <c r="JEC17" s="72"/>
      <c r="JED17" s="72"/>
      <c r="JEE17" s="72"/>
      <c r="JEF17" s="72"/>
      <c r="JEG17" s="72"/>
      <c r="JEH17" s="72"/>
      <c r="JEI17" s="72"/>
      <c r="JEJ17" s="72"/>
      <c r="JEK17" s="72"/>
      <c r="JEL17" s="72"/>
      <c r="JEM17" s="72"/>
      <c r="JEN17" s="72"/>
      <c r="JEO17" s="72"/>
      <c r="JEP17" s="72"/>
      <c r="JEQ17" s="72"/>
      <c r="JER17" s="72"/>
      <c r="JES17" s="72"/>
      <c r="JET17" s="72"/>
      <c r="JEU17" s="72"/>
      <c r="JEV17" s="72"/>
      <c r="JEW17" s="72"/>
      <c r="JEX17" s="72"/>
      <c r="JEY17" s="72"/>
      <c r="JEZ17" s="72"/>
      <c r="JFA17" s="72"/>
      <c r="JFB17" s="72"/>
      <c r="JFC17" s="72"/>
      <c r="JFD17" s="72"/>
      <c r="JFE17" s="72"/>
      <c r="JFF17" s="72"/>
      <c r="JFG17" s="72"/>
      <c r="JFH17" s="72"/>
      <c r="JFI17" s="72"/>
      <c r="JFJ17" s="72"/>
      <c r="JFK17" s="72"/>
      <c r="JFL17" s="72"/>
      <c r="JFM17" s="72"/>
      <c r="JFN17" s="72"/>
      <c r="JFO17" s="72"/>
      <c r="JFP17" s="72"/>
      <c r="JFQ17" s="72"/>
      <c r="JFR17" s="72"/>
      <c r="JFS17" s="72"/>
      <c r="JFT17" s="72"/>
      <c r="JFU17" s="72"/>
      <c r="JFV17" s="72"/>
      <c r="JFW17" s="72"/>
      <c r="JFX17" s="72"/>
      <c r="JFY17" s="72"/>
      <c r="JFZ17" s="72"/>
      <c r="JGA17" s="72"/>
      <c r="JGB17" s="72"/>
      <c r="JGC17" s="72"/>
      <c r="JGD17" s="72"/>
      <c r="JGE17" s="72"/>
      <c r="JGF17" s="72"/>
      <c r="JGG17" s="72"/>
      <c r="JGH17" s="72"/>
      <c r="JGI17" s="72"/>
      <c r="JGJ17" s="72"/>
      <c r="JGK17" s="72"/>
      <c r="JGL17" s="72"/>
      <c r="JGM17" s="72"/>
      <c r="JGN17" s="72"/>
      <c r="JGO17" s="72"/>
      <c r="JGP17" s="72"/>
      <c r="JGQ17" s="72"/>
      <c r="JGR17" s="72"/>
      <c r="JGS17" s="72"/>
      <c r="JGT17" s="72"/>
      <c r="JGU17" s="72"/>
      <c r="JGV17" s="72"/>
      <c r="JGW17" s="72"/>
      <c r="JGX17" s="72"/>
      <c r="JGY17" s="72"/>
      <c r="JGZ17" s="72"/>
      <c r="JHA17" s="72"/>
      <c r="JHB17" s="72"/>
      <c r="JHC17" s="72"/>
      <c r="JHD17" s="72"/>
      <c r="JHE17" s="72"/>
      <c r="JHF17" s="72"/>
      <c r="JHG17" s="72"/>
      <c r="JHH17" s="72"/>
      <c r="JHI17" s="72"/>
      <c r="JHJ17" s="72"/>
      <c r="JHK17" s="72"/>
      <c r="JHL17" s="72"/>
      <c r="JHM17" s="72"/>
      <c r="JHN17" s="72"/>
      <c r="JHO17" s="72"/>
      <c r="JHP17" s="72"/>
      <c r="JHQ17" s="72"/>
      <c r="JHR17" s="72"/>
      <c r="JHS17" s="72"/>
      <c r="JHT17" s="72"/>
      <c r="JHU17" s="72"/>
      <c r="JHV17" s="72"/>
      <c r="JHW17" s="72"/>
      <c r="JHX17" s="72"/>
      <c r="JHY17" s="72"/>
      <c r="JHZ17" s="72"/>
      <c r="JIA17" s="72"/>
      <c r="JIB17" s="72"/>
      <c r="JIC17" s="72"/>
      <c r="JID17" s="72"/>
      <c r="JIE17" s="72"/>
      <c r="JIF17" s="72"/>
      <c r="JIG17" s="72"/>
      <c r="JIH17" s="72"/>
      <c r="JII17" s="72"/>
      <c r="JIJ17" s="72"/>
      <c r="JIK17" s="72"/>
      <c r="JIL17" s="72"/>
      <c r="JIM17" s="72"/>
      <c r="JIN17" s="72"/>
      <c r="JIO17" s="72"/>
      <c r="JIP17" s="72"/>
      <c r="JIQ17" s="72"/>
      <c r="JIR17" s="72"/>
      <c r="JIS17" s="72"/>
      <c r="JIT17" s="72"/>
      <c r="JIU17" s="72"/>
      <c r="JIV17" s="72"/>
      <c r="JIW17" s="72"/>
      <c r="JIX17" s="72"/>
      <c r="JIY17" s="72"/>
      <c r="JIZ17" s="72"/>
      <c r="JJA17" s="72"/>
      <c r="JJB17" s="72"/>
      <c r="JJC17" s="72"/>
      <c r="JJD17" s="72"/>
      <c r="JJE17" s="72"/>
      <c r="JJF17" s="72"/>
      <c r="JJG17" s="72"/>
      <c r="JJH17" s="72"/>
      <c r="JJI17" s="72"/>
      <c r="JJJ17" s="72"/>
      <c r="JJK17" s="72"/>
      <c r="JJL17" s="72"/>
      <c r="JJM17" s="72"/>
      <c r="JJN17" s="72"/>
      <c r="JJO17" s="72"/>
      <c r="JJP17" s="72"/>
      <c r="JJQ17" s="72"/>
      <c r="JJR17" s="72"/>
      <c r="JJS17" s="72"/>
      <c r="JJT17" s="72"/>
      <c r="JJU17" s="72"/>
      <c r="JJV17" s="72"/>
      <c r="JJW17" s="72"/>
      <c r="JJX17" s="72"/>
      <c r="JJY17" s="72"/>
      <c r="JJZ17" s="72"/>
      <c r="JKA17" s="72"/>
      <c r="JKB17" s="72"/>
      <c r="JKC17" s="72"/>
      <c r="JKD17" s="72"/>
      <c r="JKE17" s="72"/>
      <c r="JKF17" s="72"/>
      <c r="JKG17" s="72"/>
      <c r="JKH17" s="72"/>
      <c r="JKI17" s="72"/>
      <c r="JKJ17" s="72"/>
      <c r="JKK17" s="72"/>
      <c r="JKL17" s="72"/>
      <c r="JKM17" s="72"/>
      <c r="JKN17" s="72"/>
      <c r="JKO17" s="72"/>
      <c r="JKP17" s="72"/>
      <c r="JKQ17" s="72"/>
      <c r="JKR17" s="72"/>
      <c r="JKS17" s="72"/>
      <c r="JKT17" s="72"/>
      <c r="JKU17" s="72"/>
      <c r="JKV17" s="72"/>
      <c r="JKW17" s="72"/>
      <c r="JKX17" s="72"/>
      <c r="JKY17" s="72"/>
      <c r="JKZ17" s="72"/>
      <c r="JLA17" s="72"/>
      <c r="JLB17" s="72"/>
      <c r="JLC17" s="72"/>
      <c r="JLD17" s="72"/>
      <c r="JLE17" s="72"/>
      <c r="JLF17" s="72"/>
      <c r="JLG17" s="72"/>
      <c r="JLH17" s="72"/>
      <c r="JLI17" s="72"/>
      <c r="JLJ17" s="72"/>
      <c r="JLK17" s="72"/>
      <c r="JLL17" s="72"/>
      <c r="JLM17" s="72"/>
      <c r="JLN17" s="72"/>
      <c r="JLO17" s="72"/>
      <c r="JLP17" s="72"/>
      <c r="JLQ17" s="72"/>
      <c r="JLR17" s="72"/>
      <c r="JLS17" s="72"/>
      <c r="JLT17" s="72"/>
      <c r="JLU17" s="72"/>
      <c r="JLV17" s="72"/>
      <c r="JLW17" s="72"/>
      <c r="JLX17" s="72"/>
      <c r="JLY17" s="72"/>
      <c r="JLZ17" s="72"/>
      <c r="JMA17" s="72"/>
      <c r="JMB17" s="72"/>
      <c r="JMC17" s="72"/>
      <c r="JMD17" s="72"/>
      <c r="JME17" s="72"/>
      <c r="JMF17" s="72"/>
      <c r="JMG17" s="72"/>
      <c r="JMH17" s="72"/>
      <c r="JMI17" s="72"/>
      <c r="JMJ17" s="72"/>
      <c r="JMK17" s="72"/>
      <c r="JML17" s="72"/>
      <c r="JMM17" s="72"/>
      <c r="JMN17" s="72"/>
      <c r="JMO17" s="72"/>
      <c r="JMP17" s="72"/>
      <c r="JMQ17" s="72"/>
      <c r="JMR17" s="72"/>
      <c r="JMS17" s="72"/>
      <c r="JMT17" s="72"/>
      <c r="JMU17" s="72"/>
      <c r="JMV17" s="72"/>
      <c r="JMW17" s="72"/>
      <c r="JMX17" s="72"/>
      <c r="JMY17" s="72"/>
      <c r="JMZ17" s="72"/>
      <c r="JNA17" s="72"/>
      <c r="JNB17" s="72"/>
      <c r="JNC17" s="72"/>
      <c r="JND17" s="72"/>
      <c r="JNE17" s="72"/>
      <c r="JNF17" s="72"/>
      <c r="JNG17" s="72"/>
      <c r="JNH17" s="72"/>
      <c r="JNI17" s="72"/>
      <c r="JNJ17" s="72"/>
      <c r="JNK17" s="72"/>
      <c r="JNL17" s="72"/>
      <c r="JNM17" s="72"/>
      <c r="JNN17" s="72"/>
      <c r="JNO17" s="72"/>
      <c r="JNP17" s="72"/>
      <c r="JNQ17" s="72"/>
      <c r="JNR17" s="72"/>
      <c r="JNS17" s="72"/>
      <c r="JNT17" s="72"/>
      <c r="JNU17" s="72"/>
      <c r="JNV17" s="72"/>
      <c r="JNW17" s="72"/>
      <c r="JNX17" s="72"/>
      <c r="JNY17" s="72"/>
      <c r="JNZ17" s="72"/>
      <c r="JOA17" s="72"/>
      <c r="JOB17" s="72"/>
      <c r="JOC17" s="72"/>
      <c r="JOD17" s="72"/>
      <c r="JOE17" s="72"/>
      <c r="JOF17" s="72"/>
      <c r="JOG17" s="72"/>
      <c r="JOH17" s="72"/>
      <c r="JOI17" s="72"/>
      <c r="JOJ17" s="72"/>
      <c r="JOK17" s="72"/>
      <c r="JOL17" s="72"/>
      <c r="JOM17" s="72"/>
      <c r="JON17" s="72"/>
      <c r="JOO17" s="72"/>
      <c r="JOP17" s="72"/>
      <c r="JOQ17" s="72"/>
      <c r="JOR17" s="72"/>
      <c r="JOS17" s="72"/>
      <c r="JOT17" s="72"/>
      <c r="JOU17" s="72"/>
      <c r="JOV17" s="72"/>
      <c r="JOW17" s="72"/>
      <c r="JOX17" s="72"/>
      <c r="JOY17" s="72"/>
      <c r="JOZ17" s="72"/>
      <c r="JPA17" s="72"/>
      <c r="JPB17" s="72"/>
      <c r="JPC17" s="72"/>
      <c r="JPD17" s="72"/>
      <c r="JPE17" s="72"/>
      <c r="JPF17" s="72"/>
      <c r="JPG17" s="72"/>
      <c r="JPH17" s="72"/>
      <c r="JPI17" s="72"/>
      <c r="JPJ17" s="72"/>
      <c r="JPK17" s="72"/>
      <c r="JPL17" s="72"/>
      <c r="JPM17" s="72"/>
      <c r="JPN17" s="72"/>
      <c r="JPO17" s="72"/>
      <c r="JPP17" s="72"/>
      <c r="JPQ17" s="72"/>
      <c r="JPR17" s="72"/>
      <c r="JPS17" s="72"/>
      <c r="JPT17" s="72"/>
      <c r="JPU17" s="72"/>
      <c r="JPV17" s="72"/>
      <c r="JPW17" s="72"/>
      <c r="JPX17" s="72"/>
      <c r="JPY17" s="72"/>
      <c r="JPZ17" s="72"/>
      <c r="JQA17" s="72"/>
      <c r="JQB17" s="72"/>
      <c r="JQC17" s="72"/>
      <c r="JQD17" s="72"/>
      <c r="JQE17" s="72"/>
      <c r="JQF17" s="72"/>
      <c r="JQG17" s="72"/>
      <c r="JQH17" s="72"/>
      <c r="JQI17" s="72"/>
      <c r="JQJ17" s="72"/>
      <c r="JQK17" s="72"/>
      <c r="JQL17" s="72"/>
      <c r="JQM17" s="72"/>
      <c r="JQN17" s="72"/>
      <c r="JQO17" s="72"/>
      <c r="JQP17" s="72"/>
      <c r="JQQ17" s="72"/>
      <c r="JQR17" s="72"/>
      <c r="JQS17" s="72"/>
      <c r="JQT17" s="72"/>
      <c r="JQU17" s="72"/>
      <c r="JQV17" s="72"/>
      <c r="JQW17" s="72"/>
      <c r="JQX17" s="72"/>
      <c r="JQY17" s="72"/>
      <c r="JQZ17" s="72"/>
      <c r="JRA17" s="72"/>
      <c r="JRB17" s="72"/>
      <c r="JRC17" s="72"/>
      <c r="JRD17" s="72"/>
      <c r="JRE17" s="72"/>
      <c r="JRF17" s="72"/>
      <c r="JRG17" s="72"/>
      <c r="JRH17" s="72"/>
      <c r="JRI17" s="72"/>
      <c r="JRJ17" s="72"/>
      <c r="JRK17" s="72"/>
      <c r="JRL17" s="72"/>
      <c r="JRM17" s="72"/>
      <c r="JRN17" s="72"/>
      <c r="JRO17" s="72"/>
      <c r="JRP17" s="72"/>
      <c r="JRQ17" s="72"/>
      <c r="JRR17" s="72"/>
      <c r="JRS17" s="72"/>
      <c r="JRT17" s="72"/>
      <c r="JRU17" s="72"/>
      <c r="JRV17" s="72"/>
      <c r="JRW17" s="72"/>
      <c r="JRX17" s="72"/>
      <c r="JRY17" s="72"/>
      <c r="JRZ17" s="72"/>
      <c r="JSA17" s="72"/>
      <c r="JSB17" s="72"/>
      <c r="JSC17" s="72"/>
      <c r="JSD17" s="72"/>
      <c r="JSE17" s="72"/>
      <c r="JSF17" s="72"/>
      <c r="JSG17" s="72"/>
      <c r="JSH17" s="72"/>
      <c r="JSI17" s="72"/>
      <c r="JSJ17" s="72"/>
      <c r="JSK17" s="72"/>
      <c r="JSL17" s="72"/>
      <c r="JSM17" s="72"/>
      <c r="JSN17" s="72"/>
      <c r="JSO17" s="72"/>
      <c r="JSP17" s="72"/>
      <c r="JSQ17" s="72"/>
      <c r="JSR17" s="72"/>
      <c r="JSS17" s="72"/>
      <c r="JST17" s="72"/>
      <c r="JSU17" s="72"/>
      <c r="JSV17" s="72"/>
      <c r="JSW17" s="72"/>
      <c r="JSX17" s="72"/>
      <c r="JSY17" s="72"/>
      <c r="JSZ17" s="72"/>
      <c r="JTA17" s="72"/>
      <c r="JTB17" s="72"/>
      <c r="JTC17" s="72"/>
      <c r="JTD17" s="72"/>
      <c r="JTE17" s="72"/>
      <c r="JTF17" s="72"/>
      <c r="JTG17" s="72"/>
      <c r="JTH17" s="72"/>
      <c r="JTI17" s="72"/>
      <c r="JTJ17" s="72"/>
      <c r="JTK17" s="72"/>
      <c r="JTL17" s="72"/>
      <c r="JTM17" s="72"/>
      <c r="JTN17" s="72"/>
      <c r="JTO17" s="72"/>
      <c r="JTP17" s="72"/>
      <c r="JTQ17" s="72"/>
      <c r="JTR17" s="72"/>
      <c r="JTS17" s="72"/>
      <c r="JTT17" s="72"/>
      <c r="JTU17" s="72"/>
      <c r="JTV17" s="72"/>
      <c r="JTW17" s="72"/>
      <c r="JTX17" s="72"/>
      <c r="JTY17" s="72"/>
      <c r="JTZ17" s="72"/>
      <c r="JUA17" s="72"/>
      <c r="JUB17" s="72"/>
      <c r="JUC17" s="72"/>
      <c r="JUD17" s="72"/>
      <c r="JUE17" s="72"/>
      <c r="JUF17" s="72"/>
      <c r="JUG17" s="72"/>
      <c r="JUH17" s="72"/>
      <c r="JUI17" s="72"/>
      <c r="JUJ17" s="72"/>
      <c r="JUK17" s="72"/>
      <c r="JUL17" s="72"/>
      <c r="JUM17" s="72"/>
      <c r="JUN17" s="72"/>
      <c r="JUO17" s="72"/>
      <c r="JUP17" s="72"/>
      <c r="JUQ17" s="72"/>
      <c r="JUR17" s="72"/>
      <c r="JUS17" s="72"/>
      <c r="JUT17" s="72"/>
      <c r="JUU17" s="72"/>
      <c r="JUV17" s="72"/>
      <c r="JUW17" s="72"/>
      <c r="JUX17" s="72"/>
      <c r="JUY17" s="72"/>
      <c r="JUZ17" s="72"/>
      <c r="JVA17" s="72"/>
      <c r="JVB17" s="72"/>
      <c r="JVC17" s="72"/>
      <c r="JVD17" s="72"/>
      <c r="JVE17" s="72"/>
      <c r="JVF17" s="72"/>
      <c r="JVG17" s="72"/>
      <c r="JVH17" s="72"/>
      <c r="JVI17" s="72"/>
      <c r="JVJ17" s="72"/>
      <c r="JVK17" s="72"/>
      <c r="JVL17" s="72"/>
      <c r="JVM17" s="72"/>
      <c r="JVN17" s="72"/>
      <c r="JVO17" s="72"/>
      <c r="JVP17" s="72"/>
      <c r="JVQ17" s="72"/>
      <c r="JVR17" s="72"/>
      <c r="JVS17" s="72"/>
      <c r="JVT17" s="72"/>
      <c r="JVU17" s="72"/>
      <c r="JVV17" s="72"/>
      <c r="JVW17" s="72"/>
      <c r="JVX17" s="72"/>
      <c r="JVY17" s="72"/>
      <c r="JVZ17" s="72"/>
      <c r="JWA17" s="72"/>
      <c r="JWB17" s="72"/>
      <c r="JWC17" s="72"/>
      <c r="JWD17" s="72"/>
      <c r="JWE17" s="72"/>
      <c r="JWF17" s="72"/>
      <c r="JWG17" s="72"/>
      <c r="JWH17" s="72"/>
      <c r="JWI17" s="72"/>
      <c r="JWJ17" s="72"/>
      <c r="JWK17" s="72"/>
      <c r="JWL17" s="72"/>
      <c r="JWM17" s="72"/>
      <c r="JWN17" s="72"/>
      <c r="JWO17" s="72"/>
      <c r="JWP17" s="72"/>
      <c r="JWQ17" s="72"/>
      <c r="JWR17" s="72"/>
      <c r="JWS17" s="72"/>
      <c r="JWT17" s="72"/>
      <c r="JWU17" s="72"/>
      <c r="JWV17" s="72"/>
      <c r="JWW17" s="72"/>
      <c r="JWX17" s="72"/>
      <c r="JWY17" s="72"/>
      <c r="JWZ17" s="72"/>
      <c r="JXA17" s="72"/>
      <c r="JXB17" s="72"/>
      <c r="JXC17" s="72"/>
      <c r="JXD17" s="72"/>
      <c r="JXE17" s="72"/>
      <c r="JXF17" s="72"/>
      <c r="JXG17" s="72"/>
      <c r="JXH17" s="72"/>
      <c r="JXI17" s="72"/>
      <c r="JXJ17" s="72"/>
      <c r="JXK17" s="72"/>
      <c r="JXL17" s="72"/>
      <c r="JXM17" s="72"/>
      <c r="JXN17" s="72"/>
      <c r="JXO17" s="72"/>
      <c r="JXP17" s="72"/>
      <c r="JXQ17" s="72"/>
      <c r="JXR17" s="72"/>
      <c r="JXS17" s="72"/>
      <c r="JXT17" s="72"/>
      <c r="JXU17" s="72"/>
      <c r="JXV17" s="72"/>
      <c r="JXW17" s="72"/>
      <c r="JXX17" s="72"/>
      <c r="JXY17" s="72"/>
      <c r="JXZ17" s="72"/>
      <c r="JYA17" s="72"/>
      <c r="JYB17" s="72"/>
      <c r="JYC17" s="72"/>
      <c r="JYD17" s="72"/>
      <c r="JYE17" s="72"/>
      <c r="JYF17" s="72"/>
      <c r="JYG17" s="72"/>
      <c r="JYH17" s="72"/>
      <c r="JYI17" s="72"/>
      <c r="JYJ17" s="72"/>
      <c r="JYK17" s="72"/>
      <c r="JYL17" s="72"/>
      <c r="JYM17" s="72"/>
      <c r="JYN17" s="72"/>
      <c r="JYO17" s="72"/>
      <c r="JYP17" s="72"/>
      <c r="JYQ17" s="72"/>
      <c r="JYR17" s="72"/>
      <c r="JYS17" s="72"/>
      <c r="JYT17" s="72"/>
      <c r="JYU17" s="72"/>
      <c r="JYV17" s="72"/>
      <c r="JYW17" s="72"/>
      <c r="JYX17" s="72"/>
      <c r="JYY17" s="72"/>
      <c r="JYZ17" s="72"/>
      <c r="JZA17" s="72"/>
      <c r="JZB17" s="72"/>
      <c r="JZC17" s="72"/>
      <c r="JZD17" s="72"/>
      <c r="JZE17" s="72"/>
      <c r="JZF17" s="72"/>
      <c r="JZG17" s="72"/>
      <c r="JZH17" s="72"/>
      <c r="JZI17" s="72"/>
      <c r="JZJ17" s="72"/>
      <c r="JZK17" s="72"/>
      <c r="JZL17" s="72"/>
      <c r="JZM17" s="72"/>
      <c r="JZN17" s="72"/>
      <c r="JZO17" s="72"/>
      <c r="JZP17" s="72"/>
      <c r="JZQ17" s="72"/>
      <c r="JZR17" s="72"/>
      <c r="JZS17" s="72"/>
      <c r="JZT17" s="72"/>
      <c r="JZU17" s="72"/>
      <c r="JZV17" s="72"/>
      <c r="JZW17" s="72"/>
      <c r="JZX17" s="72"/>
      <c r="JZY17" s="72"/>
      <c r="JZZ17" s="72"/>
      <c r="KAA17" s="72"/>
      <c r="KAB17" s="72"/>
      <c r="KAC17" s="72"/>
      <c r="KAD17" s="72"/>
      <c r="KAE17" s="72"/>
      <c r="KAF17" s="72"/>
      <c r="KAG17" s="72"/>
      <c r="KAH17" s="72"/>
      <c r="KAI17" s="72"/>
      <c r="KAJ17" s="72"/>
      <c r="KAK17" s="72"/>
      <c r="KAL17" s="72"/>
      <c r="KAM17" s="72"/>
      <c r="KAN17" s="72"/>
      <c r="KAO17" s="72"/>
      <c r="KAP17" s="72"/>
      <c r="KAQ17" s="72"/>
      <c r="KAR17" s="72"/>
      <c r="KAS17" s="72"/>
      <c r="KAT17" s="72"/>
      <c r="KAU17" s="72"/>
      <c r="KAV17" s="72"/>
      <c r="KAW17" s="72"/>
      <c r="KAX17" s="72"/>
      <c r="KAY17" s="72"/>
      <c r="KAZ17" s="72"/>
      <c r="KBA17" s="72"/>
      <c r="KBB17" s="72"/>
      <c r="KBC17" s="72"/>
      <c r="KBD17" s="72"/>
      <c r="KBE17" s="72"/>
      <c r="KBF17" s="72"/>
      <c r="KBG17" s="72"/>
      <c r="KBH17" s="72"/>
      <c r="KBI17" s="72"/>
      <c r="KBJ17" s="72"/>
      <c r="KBK17" s="72"/>
      <c r="KBL17" s="72"/>
      <c r="KBM17" s="72"/>
      <c r="KBN17" s="72"/>
      <c r="KBO17" s="72"/>
      <c r="KBP17" s="72"/>
      <c r="KBQ17" s="72"/>
      <c r="KBR17" s="72"/>
      <c r="KBS17" s="72"/>
      <c r="KBT17" s="72"/>
      <c r="KBU17" s="72"/>
      <c r="KBV17" s="72"/>
      <c r="KBW17" s="72"/>
      <c r="KBX17" s="72"/>
      <c r="KBY17" s="72"/>
      <c r="KBZ17" s="72"/>
      <c r="KCA17" s="72"/>
      <c r="KCB17" s="72"/>
      <c r="KCC17" s="72"/>
      <c r="KCD17" s="72"/>
      <c r="KCE17" s="72"/>
      <c r="KCF17" s="72"/>
      <c r="KCG17" s="72"/>
      <c r="KCH17" s="72"/>
      <c r="KCI17" s="72"/>
      <c r="KCJ17" s="72"/>
      <c r="KCK17" s="72"/>
      <c r="KCL17" s="72"/>
      <c r="KCM17" s="72"/>
      <c r="KCN17" s="72"/>
      <c r="KCO17" s="72"/>
      <c r="KCP17" s="72"/>
      <c r="KCQ17" s="72"/>
      <c r="KCR17" s="72"/>
      <c r="KCS17" s="72"/>
      <c r="KCT17" s="72"/>
      <c r="KCU17" s="72"/>
      <c r="KCV17" s="72"/>
      <c r="KCW17" s="72"/>
      <c r="KCX17" s="72"/>
      <c r="KCY17" s="72"/>
      <c r="KCZ17" s="72"/>
      <c r="KDA17" s="72"/>
      <c r="KDB17" s="72"/>
      <c r="KDC17" s="72"/>
      <c r="KDD17" s="72"/>
      <c r="KDE17" s="72"/>
      <c r="KDF17" s="72"/>
      <c r="KDG17" s="72"/>
      <c r="KDH17" s="72"/>
      <c r="KDI17" s="72"/>
      <c r="KDJ17" s="72"/>
      <c r="KDK17" s="72"/>
      <c r="KDL17" s="72"/>
      <c r="KDM17" s="72"/>
      <c r="KDN17" s="72"/>
      <c r="KDO17" s="72"/>
      <c r="KDP17" s="72"/>
      <c r="KDQ17" s="72"/>
      <c r="KDR17" s="72"/>
      <c r="KDS17" s="72"/>
      <c r="KDT17" s="72"/>
      <c r="KDU17" s="72"/>
      <c r="KDV17" s="72"/>
      <c r="KDW17" s="72"/>
      <c r="KDX17" s="72"/>
      <c r="KDY17" s="72"/>
      <c r="KDZ17" s="72"/>
      <c r="KEA17" s="72"/>
      <c r="KEB17" s="72"/>
      <c r="KEC17" s="72"/>
      <c r="KED17" s="72"/>
      <c r="KEE17" s="72"/>
      <c r="KEF17" s="72"/>
      <c r="KEG17" s="72"/>
      <c r="KEH17" s="72"/>
      <c r="KEI17" s="72"/>
      <c r="KEJ17" s="72"/>
      <c r="KEK17" s="72"/>
      <c r="KEL17" s="72"/>
      <c r="KEM17" s="72"/>
      <c r="KEN17" s="72"/>
      <c r="KEO17" s="72"/>
      <c r="KEP17" s="72"/>
      <c r="KEQ17" s="72"/>
      <c r="KER17" s="72"/>
      <c r="KES17" s="72"/>
      <c r="KET17" s="72"/>
      <c r="KEU17" s="72"/>
      <c r="KEV17" s="72"/>
      <c r="KEW17" s="72"/>
      <c r="KEX17" s="72"/>
      <c r="KEY17" s="72"/>
      <c r="KEZ17" s="72"/>
      <c r="KFA17" s="72"/>
      <c r="KFB17" s="72"/>
      <c r="KFC17" s="72"/>
      <c r="KFD17" s="72"/>
      <c r="KFE17" s="72"/>
      <c r="KFF17" s="72"/>
      <c r="KFG17" s="72"/>
      <c r="KFH17" s="72"/>
      <c r="KFI17" s="72"/>
      <c r="KFJ17" s="72"/>
      <c r="KFK17" s="72"/>
      <c r="KFL17" s="72"/>
      <c r="KFM17" s="72"/>
      <c r="KFN17" s="72"/>
      <c r="KFO17" s="72"/>
      <c r="KFP17" s="72"/>
      <c r="KFQ17" s="72"/>
      <c r="KFR17" s="72"/>
      <c r="KFS17" s="72"/>
      <c r="KFT17" s="72"/>
      <c r="KFU17" s="72"/>
      <c r="KFV17" s="72"/>
      <c r="KFW17" s="72"/>
      <c r="KFX17" s="72"/>
      <c r="KFY17" s="72"/>
      <c r="KFZ17" s="72"/>
      <c r="KGA17" s="72"/>
      <c r="KGB17" s="72"/>
      <c r="KGC17" s="72"/>
      <c r="KGD17" s="72"/>
      <c r="KGE17" s="72"/>
      <c r="KGF17" s="72"/>
      <c r="KGG17" s="72"/>
      <c r="KGH17" s="72"/>
      <c r="KGI17" s="72"/>
      <c r="KGJ17" s="72"/>
      <c r="KGK17" s="72"/>
      <c r="KGL17" s="72"/>
      <c r="KGM17" s="72"/>
      <c r="KGN17" s="72"/>
      <c r="KGO17" s="72"/>
      <c r="KGP17" s="72"/>
      <c r="KGQ17" s="72"/>
      <c r="KGR17" s="72"/>
      <c r="KGS17" s="72"/>
      <c r="KGT17" s="72"/>
      <c r="KGU17" s="72"/>
      <c r="KGV17" s="72"/>
      <c r="KGW17" s="72"/>
      <c r="KGX17" s="72"/>
      <c r="KGY17" s="72"/>
      <c r="KGZ17" s="72"/>
      <c r="KHA17" s="72"/>
      <c r="KHB17" s="72"/>
      <c r="KHC17" s="72"/>
      <c r="KHD17" s="72"/>
      <c r="KHE17" s="72"/>
      <c r="KHF17" s="72"/>
      <c r="KHG17" s="72"/>
      <c r="KHH17" s="72"/>
      <c r="KHI17" s="72"/>
      <c r="KHJ17" s="72"/>
      <c r="KHK17" s="72"/>
      <c r="KHL17" s="72"/>
      <c r="KHM17" s="72"/>
      <c r="KHN17" s="72"/>
      <c r="KHO17" s="72"/>
      <c r="KHP17" s="72"/>
      <c r="KHQ17" s="72"/>
      <c r="KHR17" s="72"/>
      <c r="KHS17" s="72"/>
      <c r="KHT17" s="72"/>
      <c r="KHU17" s="72"/>
      <c r="KHV17" s="72"/>
      <c r="KHW17" s="72"/>
      <c r="KHX17" s="72"/>
      <c r="KHY17" s="72"/>
      <c r="KHZ17" s="72"/>
      <c r="KIA17" s="72"/>
      <c r="KIB17" s="72"/>
      <c r="KIC17" s="72"/>
      <c r="KID17" s="72"/>
      <c r="KIE17" s="72"/>
      <c r="KIF17" s="72"/>
      <c r="KIG17" s="72"/>
      <c r="KIH17" s="72"/>
      <c r="KII17" s="72"/>
      <c r="KIJ17" s="72"/>
      <c r="KIK17" s="72"/>
      <c r="KIL17" s="72"/>
      <c r="KIM17" s="72"/>
      <c r="KIN17" s="72"/>
      <c r="KIO17" s="72"/>
      <c r="KIP17" s="72"/>
      <c r="KIQ17" s="72"/>
      <c r="KIR17" s="72"/>
      <c r="KIS17" s="72"/>
      <c r="KIT17" s="72"/>
      <c r="KIU17" s="72"/>
      <c r="KIV17" s="72"/>
      <c r="KIW17" s="72"/>
      <c r="KIX17" s="72"/>
      <c r="KIY17" s="72"/>
      <c r="KIZ17" s="72"/>
      <c r="KJA17" s="72"/>
      <c r="KJB17" s="72"/>
      <c r="KJC17" s="72"/>
      <c r="KJD17" s="72"/>
      <c r="KJE17" s="72"/>
      <c r="KJF17" s="72"/>
      <c r="KJG17" s="72"/>
      <c r="KJH17" s="72"/>
      <c r="KJI17" s="72"/>
      <c r="KJJ17" s="72"/>
      <c r="KJK17" s="72"/>
      <c r="KJL17" s="72"/>
      <c r="KJM17" s="72"/>
      <c r="KJN17" s="72"/>
      <c r="KJO17" s="72"/>
      <c r="KJP17" s="72"/>
      <c r="KJQ17" s="72"/>
      <c r="KJR17" s="72"/>
      <c r="KJS17" s="72"/>
      <c r="KJT17" s="72"/>
      <c r="KJU17" s="72"/>
      <c r="KJV17" s="72"/>
      <c r="KJW17" s="72"/>
      <c r="KJX17" s="72"/>
      <c r="KJY17" s="72"/>
      <c r="KJZ17" s="72"/>
      <c r="KKA17" s="72"/>
      <c r="KKB17" s="72"/>
      <c r="KKC17" s="72"/>
      <c r="KKD17" s="72"/>
      <c r="KKE17" s="72"/>
      <c r="KKF17" s="72"/>
      <c r="KKG17" s="72"/>
      <c r="KKH17" s="72"/>
      <c r="KKI17" s="72"/>
      <c r="KKJ17" s="72"/>
      <c r="KKK17" s="72"/>
      <c r="KKL17" s="72"/>
      <c r="KKM17" s="72"/>
      <c r="KKN17" s="72"/>
      <c r="KKO17" s="72"/>
      <c r="KKP17" s="72"/>
      <c r="KKQ17" s="72"/>
      <c r="KKR17" s="72"/>
      <c r="KKS17" s="72"/>
      <c r="KKT17" s="72"/>
      <c r="KKU17" s="72"/>
      <c r="KKV17" s="72"/>
      <c r="KKW17" s="72"/>
      <c r="KKX17" s="72"/>
      <c r="KKY17" s="72"/>
      <c r="KKZ17" s="72"/>
      <c r="KLA17" s="72"/>
      <c r="KLB17" s="72"/>
      <c r="KLC17" s="72"/>
      <c r="KLD17" s="72"/>
      <c r="KLE17" s="72"/>
      <c r="KLF17" s="72"/>
      <c r="KLG17" s="72"/>
      <c r="KLH17" s="72"/>
      <c r="KLI17" s="72"/>
      <c r="KLJ17" s="72"/>
      <c r="KLK17" s="72"/>
      <c r="KLL17" s="72"/>
      <c r="KLM17" s="72"/>
      <c r="KLN17" s="72"/>
      <c r="KLO17" s="72"/>
      <c r="KLP17" s="72"/>
      <c r="KLQ17" s="72"/>
      <c r="KLR17" s="72"/>
      <c r="KLS17" s="72"/>
      <c r="KLT17" s="72"/>
      <c r="KLU17" s="72"/>
      <c r="KLV17" s="72"/>
      <c r="KLW17" s="72"/>
      <c r="KLX17" s="72"/>
      <c r="KLY17" s="72"/>
      <c r="KLZ17" s="72"/>
      <c r="KMA17" s="72"/>
      <c r="KMB17" s="72"/>
      <c r="KMC17" s="72"/>
      <c r="KMD17" s="72"/>
      <c r="KME17" s="72"/>
      <c r="KMF17" s="72"/>
      <c r="KMG17" s="72"/>
      <c r="KMH17" s="72"/>
      <c r="KMI17" s="72"/>
      <c r="KMJ17" s="72"/>
      <c r="KMK17" s="72"/>
      <c r="KML17" s="72"/>
      <c r="KMM17" s="72"/>
      <c r="KMN17" s="72"/>
      <c r="KMO17" s="72"/>
      <c r="KMP17" s="72"/>
      <c r="KMQ17" s="72"/>
      <c r="KMR17" s="72"/>
      <c r="KMS17" s="72"/>
      <c r="KMT17" s="72"/>
      <c r="KMU17" s="72"/>
      <c r="KMV17" s="72"/>
      <c r="KMW17" s="72"/>
      <c r="KMX17" s="72"/>
      <c r="KMY17" s="72"/>
      <c r="KMZ17" s="72"/>
      <c r="KNA17" s="72"/>
      <c r="KNB17" s="72"/>
      <c r="KNC17" s="72"/>
      <c r="KND17" s="72"/>
      <c r="KNE17" s="72"/>
      <c r="KNF17" s="72"/>
      <c r="KNG17" s="72"/>
      <c r="KNH17" s="72"/>
      <c r="KNI17" s="72"/>
      <c r="KNJ17" s="72"/>
      <c r="KNK17" s="72"/>
      <c r="KNL17" s="72"/>
      <c r="KNM17" s="72"/>
      <c r="KNN17" s="72"/>
      <c r="KNO17" s="72"/>
      <c r="KNP17" s="72"/>
      <c r="KNQ17" s="72"/>
      <c r="KNR17" s="72"/>
      <c r="KNS17" s="72"/>
      <c r="KNT17" s="72"/>
      <c r="KNU17" s="72"/>
      <c r="KNV17" s="72"/>
      <c r="KNW17" s="72"/>
      <c r="KNX17" s="72"/>
      <c r="KNY17" s="72"/>
      <c r="KNZ17" s="72"/>
      <c r="KOA17" s="72"/>
      <c r="KOB17" s="72"/>
      <c r="KOC17" s="72"/>
      <c r="KOD17" s="72"/>
      <c r="KOE17" s="72"/>
      <c r="KOF17" s="72"/>
      <c r="KOG17" s="72"/>
      <c r="KOH17" s="72"/>
      <c r="KOI17" s="72"/>
      <c r="KOJ17" s="72"/>
      <c r="KOK17" s="72"/>
      <c r="KOL17" s="72"/>
      <c r="KOM17" s="72"/>
      <c r="KON17" s="72"/>
      <c r="KOO17" s="72"/>
      <c r="KOP17" s="72"/>
      <c r="KOQ17" s="72"/>
      <c r="KOR17" s="72"/>
      <c r="KOS17" s="72"/>
      <c r="KOT17" s="72"/>
      <c r="KOU17" s="72"/>
      <c r="KOV17" s="72"/>
      <c r="KOW17" s="72"/>
      <c r="KOX17" s="72"/>
      <c r="KOY17" s="72"/>
      <c r="KOZ17" s="72"/>
      <c r="KPA17" s="72"/>
      <c r="KPB17" s="72"/>
      <c r="KPC17" s="72"/>
      <c r="KPD17" s="72"/>
      <c r="KPE17" s="72"/>
      <c r="KPF17" s="72"/>
      <c r="KPG17" s="72"/>
      <c r="KPH17" s="72"/>
      <c r="KPI17" s="72"/>
      <c r="KPJ17" s="72"/>
      <c r="KPK17" s="72"/>
      <c r="KPL17" s="72"/>
      <c r="KPM17" s="72"/>
      <c r="KPN17" s="72"/>
      <c r="KPO17" s="72"/>
      <c r="KPP17" s="72"/>
      <c r="KPQ17" s="72"/>
      <c r="KPR17" s="72"/>
      <c r="KPS17" s="72"/>
      <c r="KPT17" s="72"/>
      <c r="KPU17" s="72"/>
      <c r="KPV17" s="72"/>
      <c r="KPW17" s="72"/>
      <c r="KPX17" s="72"/>
      <c r="KPY17" s="72"/>
      <c r="KPZ17" s="72"/>
      <c r="KQA17" s="72"/>
      <c r="KQB17" s="72"/>
      <c r="KQC17" s="72"/>
      <c r="KQD17" s="72"/>
      <c r="KQE17" s="72"/>
      <c r="KQF17" s="72"/>
      <c r="KQG17" s="72"/>
      <c r="KQH17" s="72"/>
      <c r="KQI17" s="72"/>
      <c r="KQJ17" s="72"/>
      <c r="KQK17" s="72"/>
      <c r="KQL17" s="72"/>
      <c r="KQM17" s="72"/>
      <c r="KQN17" s="72"/>
      <c r="KQO17" s="72"/>
      <c r="KQP17" s="72"/>
      <c r="KQQ17" s="72"/>
      <c r="KQR17" s="72"/>
      <c r="KQS17" s="72"/>
      <c r="KQT17" s="72"/>
      <c r="KQU17" s="72"/>
      <c r="KQV17" s="72"/>
      <c r="KQW17" s="72"/>
      <c r="KQX17" s="72"/>
      <c r="KQY17" s="72"/>
      <c r="KQZ17" s="72"/>
      <c r="KRA17" s="72"/>
      <c r="KRB17" s="72"/>
      <c r="KRC17" s="72"/>
      <c r="KRD17" s="72"/>
      <c r="KRE17" s="72"/>
      <c r="KRF17" s="72"/>
      <c r="KRG17" s="72"/>
      <c r="KRH17" s="72"/>
      <c r="KRI17" s="72"/>
      <c r="KRJ17" s="72"/>
      <c r="KRK17" s="72"/>
      <c r="KRL17" s="72"/>
      <c r="KRM17" s="72"/>
      <c r="KRN17" s="72"/>
      <c r="KRO17" s="72"/>
      <c r="KRP17" s="72"/>
      <c r="KRQ17" s="72"/>
      <c r="KRR17" s="72"/>
      <c r="KRS17" s="72"/>
      <c r="KRT17" s="72"/>
      <c r="KRU17" s="72"/>
      <c r="KRV17" s="72"/>
      <c r="KRW17" s="72"/>
      <c r="KRX17" s="72"/>
      <c r="KRY17" s="72"/>
      <c r="KRZ17" s="72"/>
      <c r="KSA17" s="72"/>
      <c r="KSB17" s="72"/>
      <c r="KSC17" s="72"/>
      <c r="KSD17" s="72"/>
      <c r="KSE17" s="72"/>
      <c r="KSF17" s="72"/>
      <c r="KSG17" s="72"/>
      <c r="KSH17" s="72"/>
      <c r="KSI17" s="72"/>
      <c r="KSJ17" s="72"/>
      <c r="KSK17" s="72"/>
      <c r="KSL17" s="72"/>
      <c r="KSM17" s="72"/>
      <c r="KSN17" s="72"/>
      <c r="KSO17" s="72"/>
      <c r="KSP17" s="72"/>
      <c r="KSQ17" s="72"/>
      <c r="KSR17" s="72"/>
      <c r="KSS17" s="72"/>
      <c r="KST17" s="72"/>
      <c r="KSU17" s="72"/>
      <c r="KSV17" s="72"/>
      <c r="KSW17" s="72"/>
      <c r="KSX17" s="72"/>
      <c r="KSY17" s="72"/>
      <c r="KSZ17" s="72"/>
      <c r="KTA17" s="72"/>
      <c r="KTB17" s="72"/>
      <c r="KTC17" s="72"/>
      <c r="KTD17" s="72"/>
      <c r="KTE17" s="72"/>
      <c r="KTF17" s="72"/>
      <c r="KTG17" s="72"/>
      <c r="KTH17" s="72"/>
      <c r="KTI17" s="72"/>
      <c r="KTJ17" s="72"/>
      <c r="KTK17" s="72"/>
      <c r="KTL17" s="72"/>
      <c r="KTM17" s="72"/>
      <c r="KTN17" s="72"/>
      <c r="KTO17" s="72"/>
      <c r="KTP17" s="72"/>
      <c r="KTQ17" s="72"/>
      <c r="KTR17" s="72"/>
      <c r="KTS17" s="72"/>
      <c r="KTT17" s="72"/>
      <c r="KTU17" s="72"/>
      <c r="KTV17" s="72"/>
      <c r="KTW17" s="72"/>
      <c r="KTX17" s="72"/>
      <c r="KTY17" s="72"/>
      <c r="KTZ17" s="72"/>
      <c r="KUA17" s="72"/>
      <c r="KUB17" s="72"/>
      <c r="KUC17" s="72"/>
      <c r="KUD17" s="72"/>
      <c r="KUE17" s="72"/>
      <c r="KUF17" s="72"/>
      <c r="KUG17" s="72"/>
      <c r="KUH17" s="72"/>
      <c r="KUI17" s="72"/>
      <c r="KUJ17" s="72"/>
      <c r="KUK17" s="72"/>
      <c r="KUL17" s="72"/>
      <c r="KUM17" s="72"/>
      <c r="KUN17" s="72"/>
      <c r="KUO17" s="72"/>
      <c r="KUP17" s="72"/>
      <c r="KUQ17" s="72"/>
      <c r="KUR17" s="72"/>
      <c r="KUS17" s="72"/>
      <c r="KUT17" s="72"/>
      <c r="KUU17" s="72"/>
      <c r="KUV17" s="72"/>
      <c r="KUW17" s="72"/>
      <c r="KUX17" s="72"/>
      <c r="KUY17" s="72"/>
      <c r="KUZ17" s="72"/>
      <c r="KVA17" s="72"/>
      <c r="KVB17" s="72"/>
      <c r="KVC17" s="72"/>
      <c r="KVD17" s="72"/>
      <c r="KVE17" s="72"/>
      <c r="KVF17" s="72"/>
      <c r="KVG17" s="72"/>
      <c r="KVH17" s="72"/>
      <c r="KVI17" s="72"/>
      <c r="KVJ17" s="72"/>
      <c r="KVK17" s="72"/>
      <c r="KVL17" s="72"/>
      <c r="KVM17" s="72"/>
      <c r="KVN17" s="72"/>
      <c r="KVO17" s="72"/>
      <c r="KVP17" s="72"/>
      <c r="KVQ17" s="72"/>
      <c r="KVR17" s="72"/>
      <c r="KVS17" s="72"/>
      <c r="KVT17" s="72"/>
      <c r="KVU17" s="72"/>
      <c r="KVV17" s="72"/>
      <c r="KVW17" s="72"/>
      <c r="KVX17" s="72"/>
      <c r="KVY17" s="72"/>
      <c r="KVZ17" s="72"/>
      <c r="KWA17" s="72"/>
      <c r="KWB17" s="72"/>
      <c r="KWC17" s="72"/>
      <c r="KWD17" s="72"/>
      <c r="KWE17" s="72"/>
      <c r="KWF17" s="72"/>
      <c r="KWG17" s="72"/>
      <c r="KWH17" s="72"/>
      <c r="KWI17" s="72"/>
      <c r="KWJ17" s="72"/>
      <c r="KWK17" s="72"/>
      <c r="KWL17" s="72"/>
      <c r="KWM17" s="72"/>
      <c r="KWN17" s="72"/>
      <c r="KWO17" s="72"/>
      <c r="KWP17" s="72"/>
      <c r="KWQ17" s="72"/>
      <c r="KWR17" s="72"/>
      <c r="KWS17" s="72"/>
      <c r="KWT17" s="72"/>
      <c r="KWU17" s="72"/>
      <c r="KWV17" s="72"/>
      <c r="KWW17" s="72"/>
      <c r="KWX17" s="72"/>
      <c r="KWY17" s="72"/>
      <c r="KWZ17" s="72"/>
      <c r="KXA17" s="72"/>
      <c r="KXB17" s="72"/>
      <c r="KXC17" s="72"/>
      <c r="KXD17" s="72"/>
      <c r="KXE17" s="72"/>
      <c r="KXF17" s="72"/>
      <c r="KXG17" s="72"/>
      <c r="KXH17" s="72"/>
      <c r="KXI17" s="72"/>
      <c r="KXJ17" s="72"/>
      <c r="KXK17" s="72"/>
      <c r="KXL17" s="72"/>
      <c r="KXM17" s="72"/>
      <c r="KXN17" s="72"/>
      <c r="KXO17" s="72"/>
      <c r="KXP17" s="72"/>
      <c r="KXQ17" s="72"/>
      <c r="KXR17" s="72"/>
      <c r="KXS17" s="72"/>
      <c r="KXT17" s="72"/>
      <c r="KXU17" s="72"/>
      <c r="KXV17" s="72"/>
      <c r="KXW17" s="72"/>
      <c r="KXX17" s="72"/>
      <c r="KXY17" s="72"/>
      <c r="KXZ17" s="72"/>
      <c r="KYA17" s="72"/>
      <c r="KYB17" s="72"/>
      <c r="KYC17" s="72"/>
      <c r="KYD17" s="72"/>
      <c r="KYE17" s="72"/>
      <c r="KYF17" s="72"/>
      <c r="KYG17" s="72"/>
      <c r="KYH17" s="72"/>
      <c r="KYI17" s="72"/>
      <c r="KYJ17" s="72"/>
      <c r="KYK17" s="72"/>
      <c r="KYL17" s="72"/>
      <c r="KYM17" s="72"/>
      <c r="KYN17" s="72"/>
      <c r="KYO17" s="72"/>
      <c r="KYP17" s="72"/>
      <c r="KYQ17" s="72"/>
      <c r="KYR17" s="72"/>
      <c r="KYS17" s="72"/>
      <c r="KYT17" s="72"/>
      <c r="KYU17" s="72"/>
      <c r="KYV17" s="72"/>
      <c r="KYW17" s="72"/>
      <c r="KYX17" s="72"/>
      <c r="KYY17" s="72"/>
      <c r="KYZ17" s="72"/>
      <c r="KZA17" s="72"/>
      <c r="KZB17" s="72"/>
      <c r="KZC17" s="72"/>
      <c r="KZD17" s="72"/>
      <c r="KZE17" s="72"/>
      <c r="KZF17" s="72"/>
      <c r="KZG17" s="72"/>
      <c r="KZH17" s="72"/>
      <c r="KZI17" s="72"/>
      <c r="KZJ17" s="72"/>
      <c r="KZK17" s="72"/>
      <c r="KZL17" s="72"/>
      <c r="KZM17" s="72"/>
      <c r="KZN17" s="72"/>
      <c r="KZO17" s="72"/>
      <c r="KZP17" s="72"/>
      <c r="KZQ17" s="72"/>
      <c r="KZR17" s="72"/>
      <c r="KZS17" s="72"/>
      <c r="KZT17" s="72"/>
      <c r="KZU17" s="72"/>
      <c r="KZV17" s="72"/>
      <c r="KZW17" s="72"/>
      <c r="KZX17" s="72"/>
      <c r="KZY17" s="72"/>
      <c r="KZZ17" s="72"/>
      <c r="LAA17" s="72"/>
      <c r="LAB17" s="72"/>
      <c r="LAC17" s="72"/>
      <c r="LAD17" s="72"/>
      <c r="LAE17" s="72"/>
      <c r="LAF17" s="72"/>
      <c r="LAG17" s="72"/>
      <c r="LAH17" s="72"/>
      <c r="LAI17" s="72"/>
      <c r="LAJ17" s="72"/>
      <c r="LAK17" s="72"/>
      <c r="LAL17" s="72"/>
      <c r="LAM17" s="72"/>
      <c r="LAN17" s="72"/>
      <c r="LAO17" s="72"/>
      <c r="LAP17" s="72"/>
      <c r="LAQ17" s="72"/>
      <c r="LAR17" s="72"/>
      <c r="LAS17" s="72"/>
      <c r="LAT17" s="72"/>
      <c r="LAU17" s="72"/>
      <c r="LAV17" s="72"/>
      <c r="LAW17" s="72"/>
      <c r="LAX17" s="72"/>
      <c r="LAY17" s="72"/>
      <c r="LAZ17" s="72"/>
      <c r="LBA17" s="72"/>
      <c r="LBB17" s="72"/>
      <c r="LBC17" s="72"/>
      <c r="LBD17" s="72"/>
      <c r="LBE17" s="72"/>
      <c r="LBF17" s="72"/>
      <c r="LBG17" s="72"/>
      <c r="LBH17" s="72"/>
      <c r="LBI17" s="72"/>
      <c r="LBJ17" s="72"/>
      <c r="LBK17" s="72"/>
      <c r="LBL17" s="72"/>
      <c r="LBM17" s="72"/>
      <c r="LBN17" s="72"/>
      <c r="LBO17" s="72"/>
      <c r="LBP17" s="72"/>
      <c r="LBQ17" s="72"/>
      <c r="LBR17" s="72"/>
      <c r="LBS17" s="72"/>
      <c r="LBT17" s="72"/>
      <c r="LBU17" s="72"/>
      <c r="LBV17" s="72"/>
      <c r="LBW17" s="72"/>
      <c r="LBX17" s="72"/>
      <c r="LBY17" s="72"/>
      <c r="LBZ17" s="72"/>
      <c r="LCA17" s="72"/>
      <c r="LCB17" s="72"/>
      <c r="LCC17" s="72"/>
      <c r="LCD17" s="72"/>
      <c r="LCE17" s="72"/>
      <c r="LCF17" s="72"/>
      <c r="LCG17" s="72"/>
      <c r="LCH17" s="72"/>
      <c r="LCI17" s="72"/>
      <c r="LCJ17" s="72"/>
      <c r="LCK17" s="72"/>
      <c r="LCL17" s="72"/>
      <c r="LCM17" s="72"/>
      <c r="LCN17" s="72"/>
      <c r="LCO17" s="72"/>
      <c r="LCP17" s="72"/>
      <c r="LCQ17" s="72"/>
      <c r="LCR17" s="72"/>
      <c r="LCS17" s="72"/>
      <c r="LCT17" s="72"/>
      <c r="LCU17" s="72"/>
      <c r="LCV17" s="72"/>
      <c r="LCW17" s="72"/>
      <c r="LCX17" s="72"/>
      <c r="LCY17" s="72"/>
      <c r="LCZ17" s="72"/>
      <c r="LDA17" s="72"/>
      <c r="LDB17" s="72"/>
      <c r="LDC17" s="72"/>
      <c r="LDD17" s="72"/>
      <c r="LDE17" s="72"/>
      <c r="LDF17" s="72"/>
      <c r="LDG17" s="72"/>
      <c r="LDH17" s="72"/>
      <c r="LDI17" s="72"/>
      <c r="LDJ17" s="72"/>
      <c r="LDK17" s="72"/>
      <c r="LDL17" s="72"/>
      <c r="LDM17" s="72"/>
      <c r="LDN17" s="72"/>
      <c r="LDO17" s="72"/>
      <c r="LDP17" s="72"/>
      <c r="LDQ17" s="72"/>
      <c r="LDR17" s="72"/>
      <c r="LDS17" s="72"/>
      <c r="LDT17" s="72"/>
      <c r="LDU17" s="72"/>
      <c r="LDV17" s="72"/>
      <c r="LDW17" s="72"/>
      <c r="LDX17" s="72"/>
      <c r="LDY17" s="72"/>
      <c r="LDZ17" s="72"/>
      <c r="LEA17" s="72"/>
      <c r="LEB17" s="72"/>
      <c r="LEC17" s="72"/>
      <c r="LED17" s="72"/>
      <c r="LEE17" s="72"/>
      <c r="LEF17" s="72"/>
      <c r="LEG17" s="72"/>
      <c r="LEH17" s="72"/>
      <c r="LEI17" s="72"/>
      <c r="LEJ17" s="72"/>
      <c r="LEK17" s="72"/>
      <c r="LEL17" s="72"/>
      <c r="LEM17" s="72"/>
      <c r="LEN17" s="72"/>
      <c r="LEO17" s="72"/>
      <c r="LEP17" s="72"/>
      <c r="LEQ17" s="72"/>
      <c r="LER17" s="72"/>
      <c r="LES17" s="72"/>
      <c r="LET17" s="72"/>
      <c r="LEU17" s="72"/>
      <c r="LEV17" s="72"/>
      <c r="LEW17" s="72"/>
      <c r="LEX17" s="72"/>
      <c r="LEY17" s="72"/>
      <c r="LEZ17" s="72"/>
      <c r="LFA17" s="72"/>
      <c r="LFB17" s="72"/>
      <c r="LFC17" s="72"/>
      <c r="LFD17" s="72"/>
      <c r="LFE17" s="72"/>
      <c r="LFF17" s="72"/>
      <c r="LFG17" s="72"/>
      <c r="LFH17" s="72"/>
      <c r="LFI17" s="72"/>
      <c r="LFJ17" s="72"/>
      <c r="LFK17" s="72"/>
      <c r="LFL17" s="72"/>
      <c r="LFM17" s="72"/>
      <c r="LFN17" s="72"/>
      <c r="LFO17" s="72"/>
      <c r="LFP17" s="72"/>
      <c r="LFQ17" s="72"/>
      <c r="LFR17" s="72"/>
      <c r="LFS17" s="72"/>
      <c r="LFT17" s="72"/>
      <c r="LFU17" s="72"/>
      <c r="LFV17" s="72"/>
      <c r="LFW17" s="72"/>
      <c r="LFX17" s="72"/>
      <c r="LFY17" s="72"/>
      <c r="LFZ17" s="72"/>
      <c r="LGA17" s="72"/>
      <c r="LGB17" s="72"/>
      <c r="LGC17" s="72"/>
      <c r="LGD17" s="72"/>
      <c r="LGE17" s="72"/>
      <c r="LGF17" s="72"/>
      <c r="LGG17" s="72"/>
      <c r="LGH17" s="72"/>
      <c r="LGI17" s="72"/>
      <c r="LGJ17" s="72"/>
      <c r="LGK17" s="72"/>
      <c r="LGL17" s="72"/>
      <c r="LGM17" s="72"/>
      <c r="LGN17" s="72"/>
      <c r="LGO17" s="72"/>
      <c r="LGP17" s="72"/>
      <c r="LGQ17" s="72"/>
      <c r="LGR17" s="72"/>
      <c r="LGS17" s="72"/>
      <c r="LGT17" s="72"/>
      <c r="LGU17" s="72"/>
      <c r="LGV17" s="72"/>
      <c r="LGW17" s="72"/>
      <c r="LGX17" s="72"/>
      <c r="LGY17" s="72"/>
      <c r="LGZ17" s="72"/>
      <c r="LHA17" s="72"/>
      <c r="LHB17" s="72"/>
      <c r="LHC17" s="72"/>
      <c r="LHD17" s="72"/>
      <c r="LHE17" s="72"/>
      <c r="LHF17" s="72"/>
      <c r="LHG17" s="72"/>
      <c r="LHH17" s="72"/>
      <c r="LHI17" s="72"/>
      <c r="LHJ17" s="72"/>
      <c r="LHK17" s="72"/>
      <c r="LHL17" s="72"/>
      <c r="LHM17" s="72"/>
      <c r="LHN17" s="72"/>
      <c r="LHO17" s="72"/>
      <c r="LHP17" s="72"/>
      <c r="LHQ17" s="72"/>
      <c r="LHR17" s="72"/>
      <c r="LHS17" s="72"/>
      <c r="LHT17" s="72"/>
      <c r="LHU17" s="72"/>
      <c r="LHV17" s="72"/>
      <c r="LHW17" s="72"/>
      <c r="LHX17" s="72"/>
      <c r="LHY17" s="72"/>
      <c r="LHZ17" s="72"/>
      <c r="LIA17" s="72"/>
      <c r="LIB17" s="72"/>
      <c r="LIC17" s="72"/>
      <c r="LID17" s="72"/>
      <c r="LIE17" s="72"/>
      <c r="LIF17" s="72"/>
      <c r="LIG17" s="72"/>
      <c r="LIH17" s="72"/>
      <c r="LII17" s="72"/>
      <c r="LIJ17" s="72"/>
      <c r="LIK17" s="72"/>
      <c r="LIL17" s="72"/>
      <c r="LIM17" s="72"/>
      <c r="LIN17" s="72"/>
      <c r="LIO17" s="72"/>
      <c r="LIP17" s="72"/>
      <c r="LIQ17" s="72"/>
      <c r="LIR17" s="72"/>
      <c r="LIS17" s="72"/>
      <c r="LIT17" s="72"/>
      <c r="LIU17" s="72"/>
      <c r="LIV17" s="72"/>
      <c r="LIW17" s="72"/>
      <c r="LIX17" s="72"/>
      <c r="LIY17" s="72"/>
      <c r="LIZ17" s="72"/>
      <c r="LJA17" s="72"/>
      <c r="LJB17" s="72"/>
      <c r="LJC17" s="72"/>
      <c r="LJD17" s="72"/>
      <c r="LJE17" s="72"/>
      <c r="LJF17" s="72"/>
      <c r="LJG17" s="72"/>
      <c r="LJH17" s="72"/>
      <c r="LJI17" s="72"/>
      <c r="LJJ17" s="72"/>
      <c r="LJK17" s="72"/>
      <c r="LJL17" s="72"/>
      <c r="LJM17" s="72"/>
      <c r="LJN17" s="72"/>
      <c r="LJO17" s="72"/>
      <c r="LJP17" s="72"/>
      <c r="LJQ17" s="72"/>
      <c r="LJR17" s="72"/>
      <c r="LJS17" s="72"/>
      <c r="LJT17" s="72"/>
      <c r="LJU17" s="72"/>
      <c r="LJV17" s="72"/>
      <c r="LJW17" s="72"/>
      <c r="LJX17" s="72"/>
      <c r="LJY17" s="72"/>
      <c r="LJZ17" s="72"/>
      <c r="LKA17" s="72"/>
      <c r="LKB17" s="72"/>
      <c r="LKC17" s="72"/>
      <c r="LKD17" s="72"/>
      <c r="LKE17" s="72"/>
      <c r="LKF17" s="72"/>
      <c r="LKG17" s="72"/>
      <c r="LKH17" s="72"/>
      <c r="LKI17" s="72"/>
      <c r="LKJ17" s="72"/>
      <c r="LKK17" s="72"/>
      <c r="LKL17" s="72"/>
      <c r="LKM17" s="72"/>
      <c r="LKN17" s="72"/>
      <c r="LKO17" s="72"/>
      <c r="LKP17" s="72"/>
      <c r="LKQ17" s="72"/>
      <c r="LKR17" s="72"/>
      <c r="LKS17" s="72"/>
      <c r="LKT17" s="72"/>
      <c r="LKU17" s="72"/>
      <c r="LKV17" s="72"/>
      <c r="LKW17" s="72"/>
      <c r="LKX17" s="72"/>
      <c r="LKY17" s="72"/>
      <c r="LKZ17" s="72"/>
      <c r="LLA17" s="72"/>
      <c r="LLB17" s="72"/>
      <c r="LLC17" s="72"/>
      <c r="LLD17" s="72"/>
      <c r="LLE17" s="72"/>
      <c r="LLF17" s="72"/>
      <c r="LLG17" s="72"/>
      <c r="LLH17" s="72"/>
      <c r="LLI17" s="72"/>
      <c r="LLJ17" s="72"/>
      <c r="LLK17" s="72"/>
      <c r="LLL17" s="72"/>
      <c r="LLM17" s="72"/>
      <c r="LLN17" s="72"/>
      <c r="LLO17" s="72"/>
      <c r="LLP17" s="72"/>
      <c r="LLQ17" s="72"/>
      <c r="LLR17" s="72"/>
      <c r="LLS17" s="72"/>
      <c r="LLT17" s="72"/>
      <c r="LLU17" s="72"/>
      <c r="LLV17" s="72"/>
      <c r="LLW17" s="72"/>
      <c r="LLX17" s="72"/>
      <c r="LLY17" s="72"/>
      <c r="LLZ17" s="72"/>
      <c r="LMA17" s="72"/>
      <c r="LMB17" s="72"/>
      <c r="LMC17" s="72"/>
      <c r="LMD17" s="72"/>
      <c r="LME17" s="72"/>
      <c r="LMF17" s="72"/>
      <c r="LMG17" s="72"/>
      <c r="LMH17" s="72"/>
      <c r="LMI17" s="72"/>
      <c r="LMJ17" s="72"/>
      <c r="LMK17" s="72"/>
      <c r="LML17" s="72"/>
      <c r="LMM17" s="72"/>
      <c r="LMN17" s="72"/>
      <c r="LMO17" s="72"/>
      <c r="LMP17" s="72"/>
      <c r="LMQ17" s="72"/>
      <c r="LMR17" s="72"/>
      <c r="LMS17" s="72"/>
      <c r="LMT17" s="72"/>
      <c r="LMU17" s="72"/>
      <c r="LMV17" s="72"/>
      <c r="LMW17" s="72"/>
      <c r="LMX17" s="72"/>
      <c r="LMY17" s="72"/>
      <c r="LMZ17" s="72"/>
      <c r="LNA17" s="72"/>
      <c r="LNB17" s="72"/>
      <c r="LNC17" s="72"/>
      <c r="LND17" s="72"/>
      <c r="LNE17" s="72"/>
      <c r="LNF17" s="72"/>
      <c r="LNG17" s="72"/>
      <c r="LNH17" s="72"/>
      <c r="LNI17" s="72"/>
      <c r="LNJ17" s="72"/>
      <c r="LNK17" s="72"/>
      <c r="LNL17" s="72"/>
      <c r="LNM17" s="72"/>
      <c r="LNN17" s="72"/>
      <c r="LNO17" s="72"/>
      <c r="LNP17" s="72"/>
      <c r="LNQ17" s="72"/>
      <c r="LNR17" s="72"/>
      <c r="LNS17" s="72"/>
      <c r="LNT17" s="72"/>
      <c r="LNU17" s="72"/>
      <c r="LNV17" s="72"/>
      <c r="LNW17" s="72"/>
      <c r="LNX17" s="72"/>
      <c r="LNY17" s="72"/>
      <c r="LNZ17" s="72"/>
      <c r="LOA17" s="72"/>
      <c r="LOB17" s="72"/>
      <c r="LOC17" s="72"/>
      <c r="LOD17" s="72"/>
      <c r="LOE17" s="72"/>
      <c r="LOF17" s="72"/>
      <c r="LOG17" s="72"/>
      <c r="LOH17" s="72"/>
      <c r="LOI17" s="72"/>
      <c r="LOJ17" s="72"/>
      <c r="LOK17" s="72"/>
      <c r="LOL17" s="72"/>
      <c r="LOM17" s="72"/>
      <c r="LON17" s="72"/>
      <c r="LOO17" s="72"/>
      <c r="LOP17" s="72"/>
      <c r="LOQ17" s="72"/>
      <c r="LOR17" s="72"/>
      <c r="LOS17" s="72"/>
      <c r="LOT17" s="72"/>
      <c r="LOU17" s="72"/>
      <c r="LOV17" s="72"/>
      <c r="LOW17" s="72"/>
      <c r="LOX17" s="72"/>
      <c r="LOY17" s="72"/>
      <c r="LOZ17" s="72"/>
      <c r="LPA17" s="72"/>
      <c r="LPB17" s="72"/>
      <c r="LPC17" s="72"/>
      <c r="LPD17" s="72"/>
      <c r="LPE17" s="72"/>
      <c r="LPF17" s="72"/>
      <c r="LPG17" s="72"/>
      <c r="LPH17" s="72"/>
      <c r="LPI17" s="72"/>
      <c r="LPJ17" s="72"/>
      <c r="LPK17" s="72"/>
      <c r="LPL17" s="72"/>
      <c r="LPM17" s="72"/>
      <c r="LPN17" s="72"/>
      <c r="LPO17" s="72"/>
      <c r="LPP17" s="72"/>
      <c r="LPQ17" s="72"/>
      <c r="LPR17" s="72"/>
      <c r="LPS17" s="72"/>
      <c r="LPT17" s="72"/>
      <c r="LPU17" s="72"/>
      <c r="LPV17" s="72"/>
      <c r="LPW17" s="72"/>
      <c r="LPX17" s="72"/>
      <c r="LPY17" s="72"/>
      <c r="LPZ17" s="72"/>
      <c r="LQA17" s="72"/>
      <c r="LQB17" s="72"/>
      <c r="LQC17" s="72"/>
      <c r="LQD17" s="72"/>
      <c r="LQE17" s="72"/>
      <c r="LQF17" s="72"/>
      <c r="LQG17" s="72"/>
      <c r="LQH17" s="72"/>
      <c r="LQI17" s="72"/>
      <c r="LQJ17" s="72"/>
      <c r="LQK17" s="72"/>
      <c r="LQL17" s="72"/>
      <c r="LQM17" s="72"/>
      <c r="LQN17" s="72"/>
      <c r="LQO17" s="72"/>
      <c r="LQP17" s="72"/>
      <c r="LQQ17" s="72"/>
      <c r="LQR17" s="72"/>
      <c r="LQS17" s="72"/>
      <c r="LQT17" s="72"/>
      <c r="LQU17" s="72"/>
      <c r="LQV17" s="72"/>
      <c r="LQW17" s="72"/>
      <c r="LQX17" s="72"/>
      <c r="LQY17" s="72"/>
      <c r="LQZ17" s="72"/>
      <c r="LRA17" s="72"/>
      <c r="LRB17" s="72"/>
      <c r="LRC17" s="72"/>
      <c r="LRD17" s="72"/>
      <c r="LRE17" s="72"/>
      <c r="LRF17" s="72"/>
      <c r="LRG17" s="72"/>
      <c r="LRH17" s="72"/>
      <c r="LRI17" s="72"/>
      <c r="LRJ17" s="72"/>
      <c r="LRK17" s="72"/>
      <c r="LRL17" s="72"/>
      <c r="LRM17" s="72"/>
      <c r="LRN17" s="72"/>
      <c r="LRO17" s="72"/>
      <c r="LRP17" s="72"/>
      <c r="LRQ17" s="72"/>
      <c r="LRR17" s="72"/>
      <c r="LRS17" s="72"/>
      <c r="LRT17" s="72"/>
      <c r="LRU17" s="72"/>
      <c r="LRV17" s="72"/>
      <c r="LRW17" s="72"/>
      <c r="LRX17" s="72"/>
      <c r="LRY17" s="72"/>
      <c r="LRZ17" s="72"/>
      <c r="LSA17" s="72"/>
      <c r="LSB17" s="72"/>
      <c r="LSC17" s="72"/>
      <c r="LSD17" s="72"/>
      <c r="LSE17" s="72"/>
      <c r="LSF17" s="72"/>
      <c r="LSG17" s="72"/>
      <c r="LSH17" s="72"/>
      <c r="LSI17" s="72"/>
      <c r="LSJ17" s="72"/>
      <c r="LSK17" s="72"/>
      <c r="LSL17" s="72"/>
      <c r="LSM17" s="72"/>
      <c r="LSN17" s="72"/>
      <c r="LSO17" s="72"/>
      <c r="LSP17" s="72"/>
      <c r="LSQ17" s="72"/>
      <c r="LSR17" s="72"/>
      <c r="LSS17" s="72"/>
      <c r="LST17" s="72"/>
      <c r="LSU17" s="72"/>
      <c r="LSV17" s="72"/>
      <c r="LSW17" s="72"/>
      <c r="LSX17" s="72"/>
      <c r="LSY17" s="72"/>
      <c r="LSZ17" s="72"/>
      <c r="LTA17" s="72"/>
      <c r="LTB17" s="72"/>
      <c r="LTC17" s="72"/>
      <c r="LTD17" s="72"/>
      <c r="LTE17" s="72"/>
      <c r="LTF17" s="72"/>
      <c r="LTG17" s="72"/>
      <c r="LTH17" s="72"/>
      <c r="LTI17" s="72"/>
      <c r="LTJ17" s="72"/>
      <c r="LTK17" s="72"/>
      <c r="LTL17" s="72"/>
      <c r="LTM17" s="72"/>
      <c r="LTN17" s="72"/>
      <c r="LTO17" s="72"/>
      <c r="LTP17" s="72"/>
      <c r="LTQ17" s="72"/>
      <c r="LTR17" s="72"/>
      <c r="LTS17" s="72"/>
      <c r="LTT17" s="72"/>
      <c r="LTU17" s="72"/>
      <c r="LTV17" s="72"/>
      <c r="LTW17" s="72"/>
      <c r="LTX17" s="72"/>
      <c r="LTY17" s="72"/>
      <c r="LTZ17" s="72"/>
      <c r="LUA17" s="72"/>
      <c r="LUB17" s="72"/>
      <c r="LUC17" s="72"/>
      <c r="LUD17" s="72"/>
      <c r="LUE17" s="72"/>
      <c r="LUF17" s="72"/>
      <c r="LUG17" s="72"/>
      <c r="LUH17" s="72"/>
      <c r="LUI17" s="72"/>
      <c r="LUJ17" s="72"/>
      <c r="LUK17" s="72"/>
      <c r="LUL17" s="72"/>
      <c r="LUM17" s="72"/>
      <c r="LUN17" s="72"/>
      <c r="LUO17" s="72"/>
      <c r="LUP17" s="72"/>
      <c r="LUQ17" s="72"/>
      <c r="LUR17" s="72"/>
      <c r="LUS17" s="72"/>
      <c r="LUT17" s="72"/>
      <c r="LUU17" s="72"/>
      <c r="LUV17" s="72"/>
      <c r="LUW17" s="72"/>
      <c r="LUX17" s="72"/>
      <c r="LUY17" s="72"/>
      <c r="LUZ17" s="72"/>
      <c r="LVA17" s="72"/>
      <c r="LVB17" s="72"/>
      <c r="LVC17" s="72"/>
      <c r="LVD17" s="72"/>
      <c r="LVE17" s="72"/>
      <c r="LVF17" s="72"/>
      <c r="LVG17" s="72"/>
      <c r="LVH17" s="72"/>
      <c r="LVI17" s="72"/>
      <c r="LVJ17" s="72"/>
      <c r="LVK17" s="72"/>
      <c r="LVL17" s="72"/>
      <c r="LVM17" s="72"/>
      <c r="LVN17" s="72"/>
      <c r="LVO17" s="72"/>
      <c r="LVP17" s="72"/>
      <c r="LVQ17" s="72"/>
      <c r="LVR17" s="72"/>
      <c r="LVS17" s="72"/>
      <c r="LVT17" s="72"/>
      <c r="LVU17" s="72"/>
      <c r="LVV17" s="72"/>
      <c r="LVW17" s="72"/>
      <c r="LVX17" s="72"/>
      <c r="LVY17" s="72"/>
      <c r="LVZ17" s="72"/>
      <c r="LWA17" s="72"/>
      <c r="LWB17" s="72"/>
      <c r="LWC17" s="72"/>
      <c r="LWD17" s="72"/>
      <c r="LWE17" s="72"/>
      <c r="LWF17" s="72"/>
      <c r="LWG17" s="72"/>
      <c r="LWH17" s="72"/>
      <c r="LWI17" s="72"/>
      <c r="LWJ17" s="72"/>
      <c r="LWK17" s="72"/>
      <c r="LWL17" s="72"/>
      <c r="LWM17" s="72"/>
      <c r="LWN17" s="72"/>
      <c r="LWO17" s="72"/>
      <c r="LWP17" s="72"/>
      <c r="LWQ17" s="72"/>
      <c r="LWR17" s="72"/>
      <c r="LWS17" s="72"/>
      <c r="LWT17" s="72"/>
      <c r="LWU17" s="72"/>
      <c r="LWV17" s="72"/>
      <c r="LWW17" s="72"/>
      <c r="LWX17" s="72"/>
      <c r="LWY17" s="72"/>
      <c r="LWZ17" s="72"/>
      <c r="LXA17" s="72"/>
      <c r="LXB17" s="72"/>
      <c r="LXC17" s="72"/>
      <c r="LXD17" s="72"/>
      <c r="LXE17" s="72"/>
      <c r="LXF17" s="72"/>
      <c r="LXG17" s="72"/>
      <c r="LXH17" s="72"/>
      <c r="LXI17" s="72"/>
      <c r="LXJ17" s="72"/>
      <c r="LXK17" s="72"/>
      <c r="LXL17" s="72"/>
      <c r="LXM17" s="72"/>
      <c r="LXN17" s="72"/>
      <c r="LXO17" s="72"/>
      <c r="LXP17" s="72"/>
      <c r="LXQ17" s="72"/>
      <c r="LXR17" s="72"/>
      <c r="LXS17" s="72"/>
      <c r="LXT17" s="72"/>
      <c r="LXU17" s="72"/>
      <c r="LXV17" s="72"/>
      <c r="LXW17" s="72"/>
      <c r="LXX17" s="72"/>
      <c r="LXY17" s="72"/>
      <c r="LXZ17" s="72"/>
      <c r="LYA17" s="72"/>
      <c r="LYB17" s="72"/>
      <c r="LYC17" s="72"/>
      <c r="LYD17" s="72"/>
      <c r="LYE17" s="72"/>
      <c r="LYF17" s="72"/>
      <c r="LYG17" s="72"/>
      <c r="LYH17" s="72"/>
      <c r="LYI17" s="72"/>
      <c r="LYJ17" s="72"/>
      <c r="LYK17" s="72"/>
      <c r="LYL17" s="72"/>
      <c r="LYM17" s="72"/>
      <c r="LYN17" s="72"/>
      <c r="LYO17" s="72"/>
      <c r="LYP17" s="72"/>
      <c r="LYQ17" s="72"/>
      <c r="LYR17" s="72"/>
      <c r="LYS17" s="72"/>
      <c r="LYT17" s="72"/>
      <c r="LYU17" s="72"/>
      <c r="LYV17" s="72"/>
      <c r="LYW17" s="72"/>
      <c r="LYX17" s="72"/>
      <c r="LYY17" s="72"/>
      <c r="LYZ17" s="72"/>
      <c r="LZA17" s="72"/>
      <c r="LZB17" s="72"/>
      <c r="LZC17" s="72"/>
      <c r="LZD17" s="72"/>
      <c r="LZE17" s="72"/>
      <c r="LZF17" s="72"/>
      <c r="LZG17" s="72"/>
      <c r="LZH17" s="72"/>
      <c r="LZI17" s="72"/>
      <c r="LZJ17" s="72"/>
      <c r="LZK17" s="72"/>
      <c r="LZL17" s="72"/>
      <c r="LZM17" s="72"/>
      <c r="LZN17" s="72"/>
      <c r="LZO17" s="72"/>
      <c r="LZP17" s="72"/>
      <c r="LZQ17" s="72"/>
      <c r="LZR17" s="72"/>
      <c r="LZS17" s="72"/>
      <c r="LZT17" s="72"/>
      <c r="LZU17" s="72"/>
      <c r="LZV17" s="72"/>
      <c r="LZW17" s="72"/>
      <c r="LZX17" s="72"/>
      <c r="LZY17" s="72"/>
      <c r="LZZ17" s="72"/>
      <c r="MAA17" s="72"/>
      <c r="MAB17" s="72"/>
      <c r="MAC17" s="72"/>
      <c r="MAD17" s="72"/>
      <c r="MAE17" s="72"/>
      <c r="MAF17" s="72"/>
      <c r="MAG17" s="72"/>
      <c r="MAH17" s="72"/>
      <c r="MAI17" s="72"/>
      <c r="MAJ17" s="72"/>
      <c r="MAK17" s="72"/>
      <c r="MAL17" s="72"/>
      <c r="MAM17" s="72"/>
      <c r="MAN17" s="72"/>
      <c r="MAO17" s="72"/>
      <c r="MAP17" s="72"/>
      <c r="MAQ17" s="72"/>
      <c r="MAR17" s="72"/>
      <c r="MAS17" s="72"/>
      <c r="MAT17" s="72"/>
      <c r="MAU17" s="72"/>
      <c r="MAV17" s="72"/>
      <c r="MAW17" s="72"/>
      <c r="MAX17" s="72"/>
      <c r="MAY17" s="72"/>
      <c r="MAZ17" s="72"/>
      <c r="MBA17" s="72"/>
      <c r="MBB17" s="72"/>
      <c r="MBC17" s="72"/>
      <c r="MBD17" s="72"/>
      <c r="MBE17" s="72"/>
      <c r="MBF17" s="72"/>
      <c r="MBG17" s="72"/>
      <c r="MBH17" s="72"/>
      <c r="MBI17" s="72"/>
      <c r="MBJ17" s="72"/>
      <c r="MBK17" s="72"/>
      <c r="MBL17" s="72"/>
      <c r="MBM17" s="72"/>
      <c r="MBN17" s="72"/>
      <c r="MBO17" s="72"/>
      <c r="MBP17" s="72"/>
      <c r="MBQ17" s="72"/>
      <c r="MBR17" s="72"/>
      <c r="MBS17" s="72"/>
      <c r="MBT17" s="72"/>
      <c r="MBU17" s="72"/>
      <c r="MBV17" s="72"/>
      <c r="MBW17" s="72"/>
      <c r="MBX17" s="72"/>
      <c r="MBY17" s="72"/>
      <c r="MBZ17" s="72"/>
      <c r="MCA17" s="72"/>
      <c r="MCB17" s="72"/>
      <c r="MCC17" s="72"/>
      <c r="MCD17" s="72"/>
      <c r="MCE17" s="72"/>
      <c r="MCF17" s="72"/>
      <c r="MCG17" s="72"/>
      <c r="MCH17" s="72"/>
      <c r="MCI17" s="72"/>
      <c r="MCJ17" s="72"/>
      <c r="MCK17" s="72"/>
      <c r="MCL17" s="72"/>
      <c r="MCM17" s="72"/>
      <c r="MCN17" s="72"/>
      <c r="MCO17" s="72"/>
      <c r="MCP17" s="72"/>
      <c r="MCQ17" s="72"/>
      <c r="MCR17" s="72"/>
      <c r="MCS17" s="72"/>
      <c r="MCT17" s="72"/>
      <c r="MCU17" s="72"/>
      <c r="MCV17" s="72"/>
      <c r="MCW17" s="72"/>
      <c r="MCX17" s="72"/>
      <c r="MCY17" s="72"/>
      <c r="MCZ17" s="72"/>
      <c r="MDA17" s="72"/>
      <c r="MDB17" s="72"/>
      <c r="MDC17" s="72"/>
      <c r="MDD17" s="72"/>
      <c r="MDE17" s="72"/>
      <c r="MDF17" s="72"/>
      <c r="MDG17" s="72"/>
      <c r="MDH17" s="72"/>
      <c r="MDI17" s="72"/>
      <c r="MDJ17" s="72"/>
      <c r="MDK17" s="72"/>
      <c r="MDL17" s="72"/>
      <c r="MDM17" s="72"/>
      <c r="MDN17" s="72"/>
      <c r="MDO17" s="72"/>
      <c r="MDP17" s="72"/>
      <c r="MDQ17" s="72"/>
      <c r="MDR17" s="72"/>
      <c r="MDS17" s="72"/>
      <c r="MDT17" s="72"/>
      <c r="MDU17" s="72"/>
      <c r="MDV17" s="72"/>
      <c r="MDW17" s="72"/>
      <c r="MDX17" s="72"/>
      <c r="MDY17" s="72"/>
      <c r="MDZ17" s="72"/>
      <c r="MEA17" s="72"/>
      <c r="MEB17" s="72"/>
      <c r="MEC17" s="72"/>
      <c r="MED17" s="72"/>
      <c r="MEE17" s="72"/>
      <c r="MEF17" s="72"/>
      <c r="MEG17" s="72"/>
      <c r="MEH17" s="72"/>
      <c r="MEI17" s="72"/>
      <c r="MEJ17" s="72"/>
      <c r="MEK17" s="72"/>
      <c r="MEL17" s="72"/>
      <c r="MEM17" s="72"/>
      <c r="MEN17" s="72"/>
      <c r="MEO17" s="72"/>
      <c r="MEP17" s="72"/>
      <c r="MEQ17" s="72"/>
      <c r="MER17" s="72"/>
      <c r="MES17" s="72"/>
      <c r="MET17" s="72"/>
      <c r="MEU17" s="72"/>
      <c r="MEV17" s="72"/>
      <c r="MEW17" s="72"/>
      <c r="MEX17" s="72"/>
      <c r="MEY17" s="72"/>
      <c r="MEZ17" s="72"/>
      <c r="MFA17" s="72"/>
      <c r="MFB17" s="72"/>
      <c r="MFC17" s="72"/>
      <c r="MFD17" s="72"/>
      <c r="MFE17" s="72"/>
      <c r="MFF17" s="72"/>
      <c r="MFG17" s="72"/>
      <c r="MFH17" s="72"/>
      <c r="MFI17" s="72"/>
      <c r="MFJ17" s="72"/>
      <c r="MFK17" s="72"/>
      <c r="MFL17" s="72"/>
      <c r="MFM17" s="72"/>
      <c r="MFN17" s="72"/>
      <c r="MFO17" s="72"/>
      <c r="MFP17" s="72"/>
      <c r="MFQ17" s="72"/>
      <c r="MFR17" s="72"/>
      <c r="MFS17" s="72"/>
      <c r="MFT17" s="72"/>
      <c r="MFU17" s="72"/>
      <c r="MFV17" s="72"/>
      <c r="MFW17" s="72"/>
      <c r="MFX17" s="72"/>
      <c r="MFY17" s="72"/>
      <c r="MFZ17" s="72"/>
      <c r="MGA17" s="72"/>
      <c r="MGB17" s="72"/>
      <c r="MGC17" s="72"/>
      <c r="MGD17" s="72"/>
      <c r="MGE17" s="72"/>
      <c r="MGF17" s="72"/>
      <c r="MGG17" s="72"/>
      <c r="MGH17" s="72"/>
      <c r="MGI17" s="72"/>
      <c r="MGJ17" s="72"/>
      <c r="MGK17" s="72"/>
      <c r="MGL17" s="72"/>
      <c r="MGM17" s="72"/>
      <c r="MGN17" s="72"/>
      <c r="MGO17" s="72"/>
      <c r="MGP17" s="72"/>
      <c r="MGQ17" s="72"/>
      <c r="MGR17" s="72"/>
      <c r="MGS17" s="72"/>
      <c r="MGT17" s="72"/>
      <c r="MGU17" s="72"/>
      <c r="MGV17" s="72"/>
      <c r="MGW17" s="72"/>
      <c r="MGX17" s="72"/>
      <c r="MGY17" s="72"/>
      <c r="MGZ17" s="72"/>
      <c r="MHA17" s="72"/>
      <c r="MHB17" s="72"/>
      <c r="MHC17" s="72"/>
      <c r="MHD17" s="72"/>
      <c r="MHE17" s="72"/>
      <c r="MHF17" s="72"/>
      <c r="MHG17" s="72"/>
      <c r="MHH17" s="72"/>
      <c r="MHI17" s="72"/>
      <c r="MHJ17" s="72"/>
      <c r="MHK17" s="72"/>
      <c r="MHL17" s="72"/>
      <c r="MHM17" s="72"/>
      <c r="MHN17" s="72"/>
      <c r="MHO17" s="72"/>
      <c r="MHP17" s="72"/>
      <c r="MHQ17" s="72"/>
      <c r="MHR17" s="72"/>
      <c r="MHS17" s="72"/>
      <c r="MHT17" s="72"/>
      <c r="MHU17" s="72"/>
      <c r="MHV17" s="72"/>
      <c r="MHW17" s="72"/>
      <c r="MHX17" s="72"/>
      <c r="MHY17" s="72"/>
      <c r="MHZ17" s="72"/>
      <c r="MIA17" s="72"/>
      <c r="MIB17" s="72"/>
      <c r="MIC17" s="72"/>
      <c r="MID17" s="72"/>
      <c r="MIE17" s="72"/>
      <c r="MIF17" s="72"/>
      <c r="MIG17" s="72"/>
      <c r="MIH17" s="72"/>
      <c r="MII17" s="72"/>
      <c r="MIJ17" s="72"/>
      <c r="MIK17" s="72"/>
      <c r="MIL17" s="72"/>
      <c r="MIM17" s="72"/>
      <c r="MIN17" s="72"/>
      <c r="MIO17" s="72"/>
      <c r="MIP17" s="72"/>
      <c r="MIQ17" s="72"/>
      <c r="MIR17" s="72"/>
      <c r="MIS17" s="72"/>
      <c r="MIT17" s="72"/>
      <c r="MIU17" s="72"/>
      <c r="MIV17" s="72"/>
      <c r="MIW17" s="72"/>
      <c r="MIX17" s="72"/>
      <c r="MIY17" s="72"/>
      <c r="MIZ17" s="72"/>
      <c r="MJA17" s="72"/>
      <c r="MJB17" s="72"/>
      <c r="MJC17" s="72"/>
      <c r="MJD17" s="72"/>
      <c r="MJE17" s="72"/>
      <c r="MJF17" s="72"/>
      <c r="MJG17" s="72"/>
      <c r="MJH17" s="72"/>
      <c r="MJI17" s="72"/>
      <c r="MJJ17" s="72"/>
      <c r="MJK17" s="72"/>
      <c r="MJL17" s="72"/>
      <c r="MJM17" s="72"/>
      <c r="MJN17" s="72"/>
      <c r="MJO17" s="72"/>
      <c r="MJP17" s="72"/>
      <c r="MJQ17" s="72"/>
      <c r="MJR17" s="72"/>
      <c r="MJS17" s="72"/>
      <c r="MJT17" s="72"/>
      <c r="MJU17" s="72"/>
      <c r="MJV17" s="72"/>
      <c r="MJW17" s="72"/>
      <c r="MJX17" s="72"/>
      <c r="MJY17" s="72"/>
      <c r="MJZ17" s="72"/>
      <c r="MKA17" s="72"/>
      <c r="MKB17" s="72"/>
      <c r="MKC17" s="72"/>
      <c r="MKD17" s="72"/>
      <c r="MKE17" s="72"/>
      <c r="MKF17" s="72"/>
      <c r="MKG17" s="72"/>
      <c r="MKH17" s="72"/>
      <c r="MKI17" s="72"/>
      <c r="MKJ17" s="72"/>
      <c r="MKK17" s="72"/>
      <c r="MKL17" s="72"/>
      <c r="MKM17" s="72"/>
      <c r="MKN17" s="72"/>
      <c r="MKO17" s="72"/>
      <c r="MKP17" s="72"/>
      <c r="MKQ17" s="72"/>
      <c r="MKR17" s="72"/>
      <c r="MKS17" s="72"/>
      <c r="MKT17" s="72"/>
      <c r="MKU17" s="72"/>
      <c r="MKV17" s="72"/>
      <c r="MKW17" s="72"/>
      <c r="MKX17" s="72"/>
      <c r="MKY17" s="72"/>
      <c r="MKZ17" s="72"/>
      <c r="MLA17" s="72"/>
      <c r="MLB17" s="72"/>
      <c r="MLC17" s="72"/>
      <c r="MLD17" s="72"/>
      <c r="MLE17" s="72"/>
      <c r="MLF17" s="72"/>
      <c r="MLG17" s="72"/>
      <c r="MLH17" s="72"/>
      <c r="MLI17" s="72"/>
      <c r="MLJ17" s="72"/>
      <c r="MLK17" s="72"/>
      <c r="MLL17" s="72"/>
      <c r="MLM17" s="72"/>
      <c r="MLN17" s="72"/>
      <c r="MLO17" s="72"/>
      <c r="MLP17" s="72"/>
      <c r="MLQ17" s="72"/>
      <c r="MLR17" s="72"/>
      <c r="MLS17" s="72"/>
      <c r="MLT17" s="72"/>
      <c r="MLU17" s="72"/>
      <c r="MLV17" s="72"/>
      <c r="MLW17" s="72"/>
      <c r="MLX17" s="72"/>
      <c r="MLY17" s="72"/>
      <c r="MLZ17" s="72"/>
      <c r="MMA17" s="72"/>
      <c r="MMB17" s="72"/>
      <c r="MMC17" s="72"/>
      <c r="MMD17" s="72"/>
      <c r="MME17" s="72"/>
      <c r="MMF17" s="72"/>
      <c r="MMG17" s="72"/>
      <c r="MMH17" s="72"/>
      <c r="MMI17" s="72"/>
      <c r="MMJ17" s="72"/>
      <c r="MMK17" s="72"/>
      <c r="MML17" s="72"/>
      <c r="MMM17" s="72"/>
      <c r="MMN17" s="72"/>
      <c r="MMO17" s="72"/>
      <c r="MMP17" s="72"/>
      <c r="MMQ17" s="72"/>
      <c r="MMR17" s="72"/>
      <c r="MMS17" s="72"/>
      <c r="MMT17" s="72"/>
      <c r="MMU17" s="72"/>
      <c r="MMV17" s="72"/>
      <c r="MMW17" s="72"/>
      <c r="MMX17" s="72"/>
      <c r="MMY17" s="72"/>
      <c r="MMZ17" s="72"/>
      <c r="MNA17" s="72"/>
      <c r="MNB17" s="72"/>
      <c r="MNC17" s="72"/>
      <c r="MND17" s="72"/>
      <c r="MNE17" s="72"/>
      <c r="MNF17" s="72"/>
      <c r="MNG17" s="72"/>
      <c r="MNH17" s="72"/>
      <c r="MNI17" s="72"/>
      <c r="MNJ17" s="72"/>
      <c r="MNK17" s="72"/>
      <c r="MNL17" s="72"/>
      <c r="MNM17" s="72"/>
      <c r="MNN17" s="72"/>
      <c r="MNO17" s="72"/>
      <c r="MNP17" s="72"/>
      <c r="MNQ17" s="72"/>
      <c r="MNR17" s="72"/>
      <c r="MNS17" s="72"/>
      <c r="MNT17" s="72"/>
      <c r="MNU17" s="72"/>
      <c r="MNV17" s="72"/>
      <c r="MNW17" s="72"/>
      <c r="MNX17" s="72"/>
      <c r="MNY17" s="72"/>
      <c r="MNZ17" s="72"/>
      <c r="MOA17" s="72"/>
      <c r="MOB17" s="72"/>
      <c r="MOC17" s="72"/>
      <c r="MOD17" s="72"/>
      <c r="MOE17" s="72"/>
      <c r="MOF17" s="72"/>
      <c r="MOG17" s="72"/>
      <c r="MOH17" s="72"/>
      <c r="MOI17" s="72"/>
      <c r="MOJ17" s="72"/>
      <c r="MOK17" s="72"/>
      <c r="MOL17" s="72"/>
      <c r="MOM17" s="72"/>
      <c r="MON17" s="72"/>
      <c r="MOO17" s="72"/>
      <c r="MOP17" s="72"/>
      <c r="MOQ17" s="72"/>
      <c r="MOR17" s="72"/>
      <c r="MOS17" s="72"/>
      <c r="MOT17" s="72"/>
      <c r="MOU17" s="72"/>
      <c r="MOV17" s="72"/>
      <c r="MOW17" s="72"/>
      <c r="MOX17" s="72"/>
      <c r="MOY17" s="72"/>
      <c r="MOZ17" s="72"/>
      <c r="MPA17" s="72"/>
      <c r="MPB17" s="72"/>
      <c r="MPC17" s="72"/>
      <c r="MPD17" s="72"/>
      <c r="MPE17" s="72"/>
      <c r="MPF17" s="72"/>
      <c r="MPG17" s="72"/>
      <c r="MPH17" s="72"/>
      <c r="MPI17" s="72"/>
      <c r="MPJ17" s="72"/>
      <c r="MPK17" s="72"/>
      <c r="MPL17" s="72"/>
      <c r="MPM17" s="72"/>
      <c r="MPN17" s="72"/>
      <c r="MPO17" s="72"/>
      <c r="MPP17" s="72"/>
      <c r="MPQ17" s="72"/>
      <c r="MPR17" s="72"/>
      <c r="MPS17" s="72"/>
      <c r="MPT17" s="72"/>
      <c r="MPU17" s="72"/>
      <c r="MPV17" s="72"/>
      <c r="MPW17" s="72"/>
      <c r="MPX17" s="72"/>
      <c r="MPY17" s="72"/>
      <c r="MPZ17" s="72"/>
      <c r="MQA17" s="72"/>
      <c r="MQB17" s="72"/>
      <c r="MQC17" s="72"/>
      <c r="MQD17" s="72"/>
      <c r="MQE17" s="72"/>
      <c r="MQF17" s="72"/>
      <c r="MQG17" s="72"/>
      <c r="MQH17" s="72"/>
      <c r="MQI17" s="72"/>
      <c r="MQJ17" s="72"/>
      <c r="MQK17" s="72"/>
      <c r="MQL17" s="72"/>
      <c r="MQM17" s="72"/>
      <c r="MQN17" s="72"/>
      <c r="MQO17" s="72"/>
      <c r="MQP17" s="72"/>
      <c r="MQQ17" s="72"/>
      <c r="MQR17" s="72"/>
      <c r="MQS17" s="72"/>
      <c r="MQT17" s="72"/>
      <c r="MQU17" s="72"/>
      <c r="MQV17" s="72"/>
      <c r="MQW17" s="72"/>
      <c r="MQX17" s="72"/>
      <c r="MQY17" s="72"/>
      <c r="MQZ17" s="72"/>
      <c r="MRA17" s="72"/>
      <c r="MRB17" s="72"/>
      <c r="MRC17" s="72"/>
      <c r="MRD17" s="72"/>
      <c r="MRE17" s="72"/>
      <c r="MRF17" s="72"/>
      <c r="MRG17" s="72"/>
      <c r="MRH17" s="72"/>
      <c r="MRI17" s="72"/>
      <c r="MRJ17" s="72"/>
      <c r="MRK17" s="72"/>
      <c r="MRL17" s="72"/>
      <c r="MRM17" s="72"/>
      <c r="MRN17" s="72"/>
      <c r="MRO17" s="72"/>
      <c r="MRP17" s="72"/>
      <c r="MRQ17" s="72"/>
      <c r="MRR17" s="72"/>
      <c r="MRS17" s="72"/>
      <c r="MRT17" s="72"/>
      <c r="MRU17" s="72"/>
      <c r="MRV17" s="72"/>
      <c r="MRW17" s="72"/>
      <c r="MRX17" s="72"/>
      <c r="MRY17" s="72"/>
      <c r="MRZ17" s="72"/>
      <c r="MSA17" s="72"/>
      <c r="MSB17" s="72"/>
      <c r="MSC17" s="72"/>
      <c r="MSD17" s="72"/>
      <c r="MSE17" s="72"/>
      <c r="MSF17" s="72"/>
      <c r="MSG17" s="72"/>
      <c r="MSH17" s="72"/>
      <c r="MSI17" s="72"/>
      <c r="MSJ17" s="72"/>
      <c r="MSK17" s="72"/>
      <c r="MSL17" s="72"/>
      <c r="MSM17" s="72"/>
      <c r="MSN17" s="72"/>
      <c r="MSO17" s="72"/>
      <c r="MSP17" s="72"/>
      <c r="MSQ17" s="72"/>
      <c r="MSR17" s="72"/>
      <c r="MSS17" s="72"/>
      <c r="MST17" s="72"/>
      <c r="MSU17" s="72"/>
      <c r="MSV17" s="72"/>
      <c r="MSW17" s="72"/>
      <c r="MSX17" s="72"/>
      <c r="MSY17" s="72"/>
      <c r="MSZ17" s="72"/>
      <c r="MTA17" s="72"/>
      <c r="MTB17" s="72"/>
      <c r="MTC17" s="72"/>
      <c r="MTD17" s="72"/>
      <c r="MTE17" s="72"/>
      <c r="MTF17" s="72"/>
      <c r="MTG17" s="72"/>
      <c r="MTH17" s="72"/>
      <c r="MTI17" s="72"/>
      <c r="MTJ17" s="72"/>
      <c r="MTK17" s="72"/>
      <c r="MTL17" s="72"/>
      <c r="MTM17" s="72"/>
      <c r="MTN17" s="72"/>
      <c r="MTO17" s="72"/>
      <c r="MTP17" s="72"/>
      <c r="MTQ17" s="72"/>
      <c r="MTR17" s="72"/>
      <c r="MTS17" s="72"/>
      <c r="MTT17" s="72"/>
      <c r="MTU17" s="72"/>
      <c r="MTV17" s="72"/>
      <c r="MTW17" s="72"/>
      <c r="MTX17" s="72"/>
      <c r="MTY17" s="72"/>
      <c r="MTZ17" s="72"/>
      <c r="MUA17" s="72"/>
      <c r="MUB17" s="72"/>
      <c r="MUC17" s="72"/>
      <c r="MUD17" s="72"/>
      <c r="MUE17" s="72"/>
      <c r="MUF17" s="72"/>
      <c r="MUG17" s="72"/>
      <c r="MUH17" s="72"/>
      <c r="MUI17" s="72"/>
      <c r="MUJ17" s="72"/>
      <c r="MUK17" s="72"/>
      <c r="MUL17" s="72"/>
      <c r="MUM17" s="72"/>
      <c r="MUN17" s="72"/>
      <c r="MUO17" s="72"/>
      <c r="MUP17" s="72"/>
      <c r="MUQ17" s="72"/>
      <c r="MUR17" s="72"/>
      <c r="MUS17" s="72"/>
      <c r="MUT17" s="72"/>
      <c r="MUU17" s="72"/>
      <c r="MUV17" s="72"/>
      <c r="MUW17" s="72"/>
      <c r="MUX17" s="72"/>
      <c r="MUY17" s="72"/>
      <c r="MUZ17" s="72"/>
      <c r="MVA17" s="72"/>
      <c r="MVB17" s="72"/>
      <c r="MVC17" s="72"/>
      <c r="MVD17" s="72"/>
      <c r="MVE17" s="72"/>
      <c r="MVF17" s="72"/>
      <c r="MVG17" s="72"/>
      <c r="MVH17" s="72"/>
      <c r="MVI17" s="72"/>
      <c r="MVJ17" s="72"/>
      <c r="MVK17" s="72"/>
      <c r="MVL17" s="72"/>
      <c r="MVM17" s="72"/>
      <c r="MVN17" s="72"/>
      <c r="MVO17" s="72"/>
      <c r="MVP17" s="72"/>
      <c r="MVQ17" s="72"/>
      <c r="MVR17" s="72"/>
      <c r="MVS17" s="72"/>
      <c r="MVT17" s="72"/>
      <c r="MVU17" s="72"/>
      <c r="MVV17" s="72"/>
      <c r="MVW17" s="72"/>
      <c r="MVX17" s="72"/>
      <c r="MVY17" s="72"/>
      <c r="MVZ17" s="72"/>
      <c r="MWA17" s="72"/>
      <c r="MWB17" s="72"/>
      <c r="MWC17" s="72"/>
      <c r="MWD17" s="72"/>
      <c r="MWE17" s="72"/>
      <c r="MWF17" s="72"/>
      <c r="MWG17" s="72"/>
      <c r="MWH17" s="72"/>
      <c r="MWI17" s="72"/>
      <c r="MWJ17" s="72"/>
      <c r="MWK17" s="72"/>
      <c r="MWL17" s="72"/>
      <c r="MWM17" s="72"/>
      <c r="MWN17" s="72"/>
      <c r="MWO17" s="72"/>
      <c r="MWP17" s="72"/>
      <c r="MWQ17" s="72"/>
      <c r="MWR17" s="72"/>
      <c r="MWS17" s="72"/>
      <c r="MWT17" s="72"/>
      <c r="MWU17" s="72"/>
      <c r="MWV17" s="72"/>
      <c r="MWW17" s="72"/>
      <c r="MWX17" s="72"/>
      <c r="MWY17" s="72"/>
      <c r="MWZ17" s="72"/>
      <c r="MXA17" s="72"/>
      <c r="MXB17" s="72"/>
      <c r="MXC17" s="72"/>
      <c r="MXD17" s="72"/>
      <c r="MXE17" s="72"/>
      <c r="MXF17" s="72"/>
      <c r="MXG17" s="72"/>
      <c r="MXH17" s="72"/>
      <c r="MXI17" s="72"/>
      <c r="MXJ17" s="72"/>
      <c r="MXK17" s="72"/>
      <c r="MXL17" s="72"/>
      <c r="MXM17" s="72"/>
      <c r="MXN17" s="72"/>
      <c r="MXO17" s="72"/>
      <c r="MXP17" s="72"/>
      <c r="MXQ17" s="72"/>
      <c r="MXR17" s="72"/>
      <c r="MXS17" s="72"/>
      <c r="MXT17" s="72"/>
      <c r="MXU17" s="72"/>
      <c r="MXV17" s="72"/>
      <c r="MXW17" s="72"/>
      <c r="MXX17" s="72"/>
      <c r="MXY17" s="72"/>
      <c r="MXZ17" s="72"/>
      <c r="MYA17" s="72"/>
      <c r="MYB17" s="72"/>
      <c r="MYC17" s="72"/>
      <c r="MYD17" s="72"/>
      <c r="MYE17" s="72"/>
      <c r="MYF17" s="72"/>
      <c r="MYG17" s="72"/>
      <c r="MYH17" s="72"/>
      <c r="MYI17" s="72"/>
      <c r="MYJ17" s="72"/>
      <c r="MYK17" s="72"/>
      <c r="MYL17" s="72"/>
      <c r="MYM17" s="72"/>
      <c r="MYN17" s="72"/>
      <c r="MYO17" s="72"/>
      <c r="MYP17" s="72"/>
      <c r="MYQ17" s="72"/>
      <c r="MYR17" s="72"/>
      <c r="MYS17" s="72"/>
      <c r="MYT17" s="72"/>
      <c r="MYU17" s="72"/>
      <c r="MYV17" s="72"/>
      <c r="MYW17" s="72"/>
      <c r="MYX17" s="72"/>
      <c r="MYY17" s="72"/>
      <c r="MYZ17" s="72"/>
      <c r="MZA17" s="72"/>
      <c r="MZB17" s="72"/>
      <c r="MZC17" s="72"/>
      <c r="MZD17" s="72"/>
      <c r="MZE17" s="72"/>
      <c r="MZF17" s="72"/>
      <c r="MZG17" s="72"/>
      <c r="MZH17" s="72"/>
      <c r="MZI17" s="72"/>
      <c r="MZJ17" s="72"/>
      <c r="MZK17" s="72"/>
      <c r="MZL17" s="72"/>
      <c r="MZM17" s="72"/>
      <c r="MZN17" s="72"/>
      <c r="MZO17" s="72"/>
      <c r="MZP17" s="72"/>
      <c r="MZQ17" s="72"/>
      <c r="MZR17" s="72"/>
      <c r="MZS17" s="72"/>
      <c r="MZT17" s="72"/>
      <c r="MZU17" s="72"/>
      <c r="MZV17" s="72"/>
      <c r="MZW17" s="72"/>
      <c r="MZX17" s="72"/>
      <c r="MZY17" s="72"/>
      <c r="MZZ17" s="72"/>
      <c r="NAA17" s="72"/>
      <c r="NAB17" s="72"/>
      <c r="NAC17" s="72"/>
      <c r="NAD17" s="72"/>
      <c r="NAE17" s="72"/>
      <c r="NAF17" s="72"/>
      <c r="NAG17" s="72"/>
      <c r="NAH17" s="72"/>
      <c r="NAI17" s="72"/>
      <c r="NAJ17" s="72"/>
      <c r="NAK17" s="72"/>
      <c r="NAL17" s="72"/>
      <c r="NAM17" s="72"/>
      <c r="NAN17" s="72"/>
      <c r="NAO17" s="72"/>
      <c r="NAP17" s="72"/>
      <c r="NAQ17" s="72"/>
      <c r="NAR17" s="72"/>
      <c r="NAS17" s="72"/>
      <c r="NAT17" s="72"/>
      <c r="NAU17" s="72"/>
      <c r="NAV17" s="72"/>
      <c r="NAW17" s="72"/>
      <c r="NAX17" s="72"/>
      <c r="NAY17" s="72"/>
      <c r="NAZ17" s="72"/>
      <c r="NBA17" s="72"/>
      <c r="NBB17" s="72"/>
      <c r="NBC17" s="72"/>
      <c r="NBD17" s="72"/>
      <c r="NBE17" s="72"/>
      <c r="NBF17" s="72"/>
      <c r="NBG17" s="72"/>
      <c r="NBH17" s="72"/>
      <c r="NBI17" s="72"/>
      <c r="NBJ17" s="72"/>
      <c r="NBK17" s="72"/>
      <c r="NBL17" s="72"/>
      <c r="NBM17" s="72"/>
      <c r="NBN17" s="72"/>
      <c r="NBO17" s="72"/>
      <c r="NBP17" s="72"/>
      <c r="NBQ17" s="72"/>
      <c r="NBR17" s="72"/>
      <c r="NBS17" s="72"/>
      <c r="NBT17" s="72"/>
      <c r="NBU17" s="72"/>
      <c r="NBV17" s="72"/>
      <c r="NBW17" s="72"/>
      <c r="NBX17" s="72"/>
      <c r="NBY17" s="72"/>
      <c r="NBZ17" s="72"/>
      <c r="NCA17" s="72"/>
      <c r="NCB17" s="72"/>
      <c r="NCC17" s="72"/>
      <c r="NCD17" s="72"/>
      <c r="NCE17" s="72"/>
      <c r="NCF17" s="72"/>
      <c r="NCG17" s="72"/>
      <c r="NCH17" s="72"/>
      <c r="NCI17" s="72"/>
      <c r="NCJ17" s="72"/>
      <c r="NCK17" s="72"/>
      <c r="NCL17" s="72"/>
      <c r="NCM17" s="72"/>
      <c r="NCN17" s="72"/>
      <c r="NCO17" s="72"/>
      <c r="NCP17" s="72"/>
      <c r="NCQ17" s="72"/>
      <c r="NCR17" s="72"/>
      <c r="NCS17" s="72"/>
      <c r="NCT17" s="72"/>
      <c r="NCU17" s="72"/>
      <c r="NCV17" s="72"/>
      <c r="NCW17" s="72"/>
      <c r="NCX17" s="72"/>
      <c r="NCY17" s="72"/>
      <c r="NCZ17" s="72"/>
      <c r="NDA17" s="72"/>
      <c r="NDB17" s="72"/>
      <c r="NDC17" s="72"/>
      <c r="NDD17" s="72"/>
      <c r="NDE17" s="72"/>
      <c r="NDF17" s="72"/>
      <c r="NDG17" s="72"/>
      <c r="NDH17" s="72"/>
      <c r="NDI17" s="72"/>
      <c r="NDJ17" s="72"/>
      <c r="NDK17" s="72"/>
      <c r="NDL17" s="72"/>
      <c r="NDM17" s="72"/>
      <c r="NDN17" s="72"/>
      <c r="NDO17" s="72"/>
      <c r="NDP17" s="72"/>
      <c r="NDQ17" s="72"/>
      <c r="NDR17" s="72"/>
      <c r="NDS17" s="72"/>
      <c r="NDT17" s="72"/>
      <c r="NDU17" s="72"/>
      <c r="NDV17" s="72"/>
      <c r="NDW17" s="72"/>
      <c r="NDX17" s="72"/>
      <c r="NDY17" s="72"/>
      <c r="NDZ17" s="72"/>
      <c r="NEA17" s="72"/>
      <c r="NEB17" s="72"/>
      <c r="NEC17" s="72"/>
      <c r="NED17" s="72"/>
      <c r="NEE17" s="72"/>
      <c r="NEF17" s="72"/>
      <c r="NEG17" s="72"/>
      <c r="NEH17" s="72"/>
      <c r="NEI17" s="72"/>
      <c r="NEJ17" s="72"/>
      <c r="NEK17" s="72"/>
      <c r="NEL17" s="72"/>
      <c r="NEM17" s="72"/>
      <c r="NEN17" s="72"/>
      <c r="NEO17" s="72"/>
      <c r="NEP17" s="72"/>
      <c r="NEQ17" s="72"/>
      <c r="NER17" s="72"/>
      <c r="NES17" s="72"/>
      <c r="NET17" s="72"/>
      <c r="NEU17" s="72"/>
      <c r="NEV17" s="72"/>
      <c r="NEW17" s="72"/>
      <c r="NEX17" s="72"/>
      <c r="NEY17" s="72"/>
      <c r="NEZ17" s="72"/>
      <c r="NFA17" s="72"/>
      <c r="NFB17" s="72"/>
      <c r="NFC17" s="72"/>
      <c r="NFD17" s="72"/>
      <c r="NFE17" s="72"/>
      <c r="NFF17" s="72"/>
      <c r="NFG17" s="72"/>
      <c r="NFH17" s="72"/>
      <c r="NFI17" s="72"/>
      <c r="NFJ17" s="72"/>
      <c r="NFK17" s="72"/>
      <c r="NFL17" s="72"/>
      <c r="NFM17" s="72"/>
      <c r="NFN17" s="72"/>
      <c r="NFO17" s="72"/>
      <c r="NFP17" s="72"/>
      <c r="NFQ17" s="72"/>
      <c r="NFR17" s="72"/>
      <c r="NFS17" s="72"/>
      <c r="NFT17" s="72"/>
      <c r="NFU17" s="72"/>
      <c r="NFV17" s="72"/>
      <c r="NFW17" s="72"/>
      <c r="NFX17" s="72"/>
      <c r="NFY17" s="72"/>
      <c r="NFZ17" s="72"/>
      <c r="NGA17" s="72"/>
      <c r="NGB17" s="72"/>
      <c r="NGC17" s="72"/>
      <c r="NGD17" s="72"/>
      <c r="NGE17" s="72"/>
      <c r="NGF17" s="72"/>
      <c r="NGG17" s="72"/>
      <c r="NGH17" s="72"/>
      <c r="NGI17" s="72"/>
      <c r="NGJ17" s="72"/>
      <c r="NGK17" s="72"/>
      <c r="NGL17" s="72"/>
      <c r="NGM17" s="72"/>
      <c r="NGN17" s="72"/>
      <c r="NGO17" s="72"/>
      <c r="NGP17" s="72"/>
      <c r="NGQ17" s="72"/>
      <c r="NGR17" s="72"/>
      <c r="NGS17" s="72"/>
      <c r="NGT17" s="72"/>
      <c r="NGU17" s="72"/>
      <c r="NGV17" s="72"/>
      <c r="NGW17" s="72"/>
      <c r="NGX17" s="72"/>
      <c r="NGY17" s="72"/>
      <c r="NGZ17" s="72"/>
      <c r="NHA17" s="72"/>
      <c r="NHB17" s="72"/>
      <c r="NHC17" s="72"/>
      <c r="NHD17" s="72"/>
      <c r="NHE17" s="72"/>
      <c r="NHF17" s="72"/>
      <c r="NHG17" s="72"/>
      <c r="NHH17" s="72"/>
      <c r="NHI17" s="72"/>
      <c r="NHJ17" s="72"/>
      <c r="NHK17" s="72"/>
      <c r="NHL17" s="72"/>
      <c r="NHM17" s="72"/>
      <c r="NHN17" s="72"/>
      <c r="NHO17" s="72"/>
      <c r="NHP17" s="72"/>
      <c r="NHQ17" s="72"/>
      <c r="NHR17" s="72"/>
      <c r="NHS17" s="72"/>
      <c r="NHT17" s="72"/>
      <c r="NHU17" s="72"/>
      <c r="NHV17" s="72"/>
      <c r="NHW17" s="72"/>
      <c r="NHX17" s="72"/>
      <c r="NHY17" s="72"/>
      <c r="NHZ17" s="72"/>
      <c r="NIA17" s="72"/>
      <c r="NIB17" s="72"/>
      <c r="NIC17" s="72"/>
      <c r="NID17" s="72"/>
      <c r="NIE17" s="72"/>
      <c r="NIF17" s="72"/>
      <c r="NIG17" s="72"/>
      <c r="NIH17" s="72"/>
      <c r="NII17" s="72"/>
      <c r="NIJ17" s="72"/>
      <c r="NIK17" s="72"/>
      <c r="NIL17" s="72"/>
      <c r="NIM17" s="72"/>
      <c r="NIN17" s="72"/>
      <c r="NIO17" s="72"/>
      <c r="NIP17" s="72"/>
      <c r="NIQ17" s="72"/>
      <c r="NIR17" s="72"/>
      <c r="NIS17" s="72"/>
      <c r="NIT17" s="72"/>
      <c r="NIU17" s="72"/>
      <c r="NIV17" s="72"/>
      <c r="NIW17" s="72"/>
      <c r="NIX17" s="72"/>
      <c r="NIY17" s="72"/>
      <c r="NIZ17" s="72"/>
      <c r="NJA17" s="72"/>
      <c r="NJB17" s="72"/>
      <c r="NJC17" s="72"/>
      <c r="NJD17" s="72"/>
      <c r="NJE17" s="72"/>
      <c r="NJF17" s="72"/>
      <c r="NJG17" s="72"/>
      <c r="NJH17" s="72"/>
      <c r="NJI17" s="72"/>
      <c r="NJJ17" s="72"/>
      <c r="NJK17" s="72"/>
      <c r="NJL17" s="72"/>
      <c r="NJM17" s="72"/>
      <c r="NJN17" s="72"/>
      <c r="NJO17" s="72"/>
      <c r="NJP17" s="72"/>
      <c r="NJQ17" s="72"/>
      <c r="NJR17" s="72"/>
      <c r="NJS17" s="72"/>
      <c r="NJT17" s="72"/>
      <c r="NJU17" s="72"/>
      <c r="NJV17" s="72"/>
      <c r="NJW17" s="72"/>
      <c r="NJX17" s="72"/>
      <c r="NJY17" s="72"/>
      <c r="NJZ17" s="72"/>
      <c r="NKA17" s="72"/>
      <c r="NKB17" s="72"/>
      <c r="NKC17" s="72"/>
      <c r="NKD17" s="72"/>
      <c r="NKE17" s="72"/>
      <c r="NKF17" s="72"/>
      <c r="NKG17" s="72"/>
      <c r="NKH17" s="72"/>
      <c r="NKI17" s="72"/>
      <c r="NKJ17" s="72"/>
      <c r="NKK17" s="72"/>
      <c r="NKL17" s="72"/>
      <c r="NKM17" s="72"/>
      <c r="NKN17" s="72"/>
      <c r="NKO17" s="72"/>
      <c r="NKP17" s="72"/>
      <c r="NKQ17" s="72"/>
      <c r="NKR17" s="72"/>
      <c r="NKS17" s="72"/>
      <c r="NKT17" s="72"/>
      <c r="NKU17" s="72"/>
      <c r="NKV17" s="72"/>
      <c r="NKW17" s="72"/>
      <c r="NKX17" s="72"/>
      <c r="NKY17" s="72"/>
      <c r="NKZ17" s="72"/>
      <c r="NLA17" s="72"/>
      <c r="NLB17" s="72"/>
      <c r="NLC17" s="72"/>
      <c r="NLD17" s="72"/>
      <c r="NLE17" s="72"/>
      <c r="NLF17" s="72"/>
      <c r="NLG17" s="72"/>
      <c r="NLH17" s="72"/>
      <c r="NLI17" s="72"/>
      <c r="NLJ17" s="72"/>
      <c r="NLK17" s="72"/>
      <c r="NLL17" s="72"/>
      <c r="NLM17" s="72"/>
      <c r="NLN17" s="72"/>
      <c r="NLO17" s="72"/>
      <c r="NLP17" s="72"/>
      <c r="NLQ17" s="72"/>
      <c r="NLR17" s="72"/>
      <c r="NLS17" s="72"/>
      <c r="NLT17" s="72"/>
      <c r="NLU17" s="72"/>
      <c r="NLV17" s="72"/>
      <c r="NLW17" s="72"/>
      <c r="NLX17" s="72"/>
      <c r="NLY17" s="72"/>
      <c r="NLZ17" s="72"/>
      <c r="NMA17" s="72"/>
      <c r="NMB17" s="72"/>
      <c r="NMC17" s="72"/>
      <c r="NMD17" s="72"/>
      <c r="NME17" s="72"/>
      <c r="NMF17" s="72"/>
      <c r="NMG17" s="72"/>
      <c r="NMH17" s="72"/>
      <c r="NMI17" s="72"/>
      <c r="NMJ17" s="72"/>
      <c r="NMK17" s="72"/>
      <c r="NML17" s="72"/>
      <c r="NMM17" s="72"/>
      <c r="NMN17" s="72"/>
      <c r="NMO17" s="72"/>
      <c r="NMP17" s="72"/>
      <c r="NMQ17" s="72"/>
      <c r="NMR17" s="72"/>
      <c r="NMS17" s="72"/>
      <c r="NMT17" s="72"/>
      <c r="NMU17" s="72"/>
      <c r="NMV17" s="72"/>
      <c r="NMW17" s="72"/>
      <c r="NMX17" s="72"/>
      <c r="NMY17" s="72"/>
      <c r="NMZ17" s="72"/>
      <c r="NNA17" s="72"/>
      <c r="NNB17" s="72"/>
      <c r="NNC17" s="72"/>
      <c r="NND17" s="72"/>
      <c r="NNE17" s="72"/>
      <c r="NNF17" s="72"/>
      <c r="NNG17" s="72"/>
      <c r="NNH17" s="72"/>
      <c r="NNI17" s="72"/>
      <c r="NNJ17" s="72"/>
      <c r="NNK17" s="72"/>
      <c r="NNL17" s="72"/>
      <c r="NNM17" s="72"/>
      <c r="NNN17" s="72"/>
      <c r="NNO17" s="72"/>
      <c r="NNP17" s="72"/>
      <c r="NNQ17" s="72"/>
      <c r="NNR17" s="72"/>
      <c r="NNS17" s="72"/>
      <c r="NNT17" s="72"/>
      <c r="NNU17" s="72"/>
      <c r="NNV17" s="72"/>
      <c r="NNW17" s="72"/>
      <c r="NNX17" s="72"/>
      <c r="NNY17" s="72"/>
      <c r="NNZ17" s="72"/>
      <c r="NOA17" s="72"/>
      <c r="NOB17" s="72"/>
      <c r="NOC17" s="72"/>
      <c r="NOD17" s="72"/>
      <c r="NOE17" s="72"/>
      <c r="NOF17" s="72"/>
      <c r="NOG17" s="72"/>
      <c r="NOH17" s="72"/>
      <c r="NOI17" s="72"/>
      <c r="NOJ17" s="72"/>
      <c r="NOK17" s="72"/>
      <c r="NOL17" s="72"/>
      <c r="NOM17" s="72"/>
      <c r="NON17" s="72"/>
      <c r="NOO17" s="72"/>
      <c r="NOP17" s="72"/>
      <c r="NOQ17" s="72"/>
      <c r="NOR17" s="72"/>
      <c r="NOS17" s="72"/>
      <c r="NOT17" s="72"/>
      <c r="NOU17" s="72"/>
      <c r="NOV17" s="72"/>
      <c r="NOW17" s="72"/>
      <c r="NOX17" s="72"/>
      <c r="NOY17" s="72"/>
      <c r="NOZ17" s="72"/>
      <c r="NPA17" s="72"/>
      <c r="NPB17" s="72"/>
      <c r="NPC17" s="72"/>
      <c r="NPD17" s="72"/>
      <c r="NPE17" s="72"/>
      <c r="NPF17" s="72"/>
      <c r="NPG17" s="72"/>
      <c r="NPH17" s="72"/>
      <c r="NPI17" s="72"/>
      <c r="NPJ17" s="72"/>
      <c r="NPK17" s="72"/>
      <c r="NPL17" s="72"/>
      <c r="NPM17" s="72"/>
      <c r="NPN17" s="72"/>
      <c r="NPO17" s="72"/>
      <c r="NPP17" s="72"/>
      <c r="NPQ17" s="72"/>
      <c r="NPR17" s="72"/>
      <c r="NPS17" s="72"/>
      <c r="NPT17" s="72"/>
      <c r="NPU17" s="72"/>
      <c r="NPV17" s="72"/>
      <c r="NPW17" s="72"/>
      <c r="NPX17" s="72"/>
      <c r="NPY17" s="72"/>
      <c r="NPZ17" s="72"/>
      <c r="NQA17" s="72"/>
      <c r="NQB17" s="72"/>
      <c r="NQC17" s="72"/>
      <c r="NQD17" s="72"/>
      <c r="NQE17" s="72"/>
      <c r="NQF17" s="72"/>
      <c r="NQG17" s="72"/>
      <c r="NQH17" s="72"/>
      <c r="NQI17" s="72"/>
      <c r="NQJ17" s="72"/>
      <c r="NQK17" s="72"/>
      <c r="NQL17" s="72"/>
      <c r="NQM17" s="72"/>
      <c r="NQN17" s="72"/>
      <c r="NQO17" s="72"/>
      <c r="NQP17" s="72"/>
      <c r="NQQ17" s="72"/>
      <c r="NQR17" s="72"/>
      <c r="NQS17" s="72"/>
      <c r="NQT17" s="72"/>
      <c r="NQU17" s="72"/>
      <c r="NQV17" s="72"/>
      <c r="NQW17" s="72"/>
      <c r="NQX17" s="72"/>
      <c r="NQY17" s="72"/>
      <c r="NQZ17" s="72"/>
      <c r="NRA17" s="72"/>
      <c r="NRB17" s="72"/>
      <c r="NRC17" s="72"/>
      <c r="NRD17" s="72"/>
      <c r="NRE17" s="72"/>
      <c r="NRF17" s="72"/>
      <c r="NRG17" s="72"/>
      <c r="NRH17" s="72"/>
      <c r="NRI17" s="72"/>
      <c r="NRJ17" s="72"/>
      <c r="NRK17" s="72"/>
      <c r="NRL17" s="72"/>
      <c r="NRM17" s="72"/>
      <c r="NRN17" s="72"/>
      <c r="NRO17" s="72"/>
      <c r="NRP17" s="72"/>
      <c r="NRQ17" s="72"/>
      <c r="NRR17" s="72"/>
      <c r="NRS17" s="72"/>
      <c r="NRT17" s="72"/>
      <c r="NRU17" s="72"/>
      <c r="NRV17" s="72"/>
      <c r="NRW17" s="72"/>
      <c r="NRX17" s="72"/>
      <c r="NRY17" s="72"/>
      <c r="NRZ17" s="72"/>
      <c r="NSA17" s="72"/>
      <c r="NSB17" s="72"/>
      <c r="NSC17" s="72"/>
      <c r="NSD17" s="72"/>
      <c r="NSE17" s="72"/>
      <c r="NSF17" s="72"/>
      <c r="NSG17" s="72"/>
      <c r="NSH17" s="72"/>
      <c r="NSI17" s="72"/>
      <c r="NSJ17" s="72"/>
      <c r="NSK17" s="72"/>
      <c r="NSL17" s="72"/>
      <c r="NSM17" s="72"/>
      <c r="NSN17" s="72"/>
      <c r="NSO17" s="72"/>
      <c r="NSP17" s="72"/>
      <c r="NSQ17" s="72"/>
      <c r="NSR17" s="72"/>
      <c r="NSS17" s="72"/>
      <c r="NST17" s="72"/>
      <c r="NSU17" s="72"/>
      <c r="NSV17" s="72"/>
      <c r="NSW17" s="72"/>
      <c r="NSX17" s="72"/>
      <c r="NSY17" s="72"/>
      <c r="NSZ17" s="72"/>
      <c r="NTA17" s="72"/>
      <c r="NTB17" s="72"/>
      <c r="NTC17" s="72"/>
      <c r="NTD17" s="72"/>
      <c r="NTE17" s="72"/>
      <c r="NTF17" s="72"/>
      <c r="NTG17" s="72"/>
      <c r="NTH17" s="72"/>
      <c r="NTI17" s="72"/>
      <c r="NTJ17" s="72"/>
      <c r="NTK17" s="72"/>
      <c r="NTL17" s="72"/>
      <c r="NTM17" s="72"/>
      <c r="NTN17" s="72"/>
      <c r="NTO17" s="72"/>
      <c r="NTP17" s="72"/>
      <c r="NTQ17" s="72"/>
      <c r="NTR17" s="72"/>
      <c r="NTS17" s="72"/>
      <c r="NTT17" s="72"/>
      <c r="NTU17" s="72"/>
      <c r="NTV17" s="72"/>
      <c r="NTW17" s="72"/>
      <c r="NTX17" s="72"/>
      <c r="NTY17" s="72"/>
      <c r="NTZ17" s="72"/>
      <c r="NUA17" s="72"/>
      <c r="NUB17" s="72"/>
      <c r="NUC17" s="72"/>
      <c r="NUD17" s="72"/>
      <c r="NUE17" s="72"/>
      <c r="NUF17" s="72"/>
      <c r="NUG17" s="72"/>
      <c r="NUH17" s="72"/>
      <c r="NUI17" s="72"/>
      <c r="NUJ17" s="72"/>
      <c r="NUK17" s="72"/>
      <c r="NUL17" s="72"/>
      <c r="NUM17" s="72"/>
      <c r="NUN17" s="72"/>
      <c r="NUO17" s="72"/>
      <c r="NUP17" s="72"/>
      <c r="NUQ17" s="72"/>
      <c r="NUR17" s="72"/>
      <c r="NUS17" s="72"/>
      <c r="NUT17" s="72"/>
      <c r="NUU17" s="72"/>
      <c r="NUV17" s="72"/>
      <c r="NUW17" s="72"/>
      <c r="NUX17" s="72"/>
      <c r="NUY17" s="72"/>
      <c r="NUZ17" s="72"/>
      <c r="NVA17" s="72"/>
      <c r="NVB17" s="72"/>
      <c r="NVC17" s="72"/>
      <c r="NVD17" s="72"/>
      <c r="NVE17" s="72"/>
      <c r="NVF17" s="72"/>
      <c r="NVG17" s="72"/>
      <c r="NVH17" s="72"/>
      <c r="NVI17" s="72"/>
      <c r="NVJ17" s="72"/>
      <c r="NVK17" s="72"/>
      <c r="NVL17" s="72"/>
      <c r="NVM17" s="72"/>
      <c r="NVN17" s="72"/>
      <c r="NVO17" s="72"/>
      <c r="NVP17" s="72"/>
      <c r="NVQ17" s="72"/>
      <c r="NVR17" s="72"/>
      <c r="NVS17" s="72"/>
      <c r="NVT17" s="72"/>
      <c r="NVU17" s="72"/>
      <c r="NVV17" s="72"/>
      <c r="NVW17" s="72"/>
      <c r="NVX17" s="72"/>
      <c r="NVY17" s="72"/>
      <c r="NVZ17" s="72"/>
      <c r="NWA17" s="72"/>
      <c r="NWB17" s="72"/>
      <c r="NWC17" s="72"/>
      <c r="NWD17" s="72"/>
      <c r="NWE17" s="72"/>
      <c r="NWF17" s="72"/>
      <c r="NWG17" s="72"/>
      <c r="NWH17" s="72"/>
      <c r="NWI17" s="72"/>
      <c r="NWJ17" s="72"/>
      <c r="NWK17" s="72"/>
      <c r="NWL17" s="72"/>
      <c r="NWM17" s="72"/>
      <c r="NWN17" s="72"/>
      <c r="NWO17" s="72"/>
      <c r="NWP17" s="72"/>
      <c r="NWQ17" s="72"/>
      <c r="NWR17" s="72"/>
      <c r="NWS17" s="72"/>
      <c r="NWT17" s="72"/>
      <c r="NWU17" s="72"/>
      <c r="NWV17" s="72"/>
      <c r="NWW17" s="72"/>
      <c r="NWX17" s="72"/>
      <c r="NWY17" s="72"/>
      <c r="NWZ17" s="72"/>
      <c r="NXA17" s="72"/>
      <c r="NXB17" s="72"/>
      <c r="NXC17" s="72"/>
      <c r="NXD17" s="72"/>
      <c r="NXE17" s="72"/>
      <c r="NXF17" s="72"/>
      <c r="NXG17" s="72"/>
      <c r="NXH17" s="72"/>
      <c r="NXI17" s="72"/>
      <c r="NXJ17" s="72"/>
      <c r="NXK17" s="72"/>
      <c r="NXL17" s="72"/>
      <c r="NXM17" s="72"/>
      <c r="NXN17" s="72"/>
      <c r="NXO17" s="72"/>
      <c r="NXP17" s="72"/>
      <c r="NXQ17" s="72"/>
      <c r="NXR17" s="72"/>
      <c r="NXS17" s="72"/>
      <c r="NXT17" s="72"/>
      <c r="NXU17" s="72"/>
      <c r="NXV17" s="72"/>
      <c r="NXW17" s="72"/>
      <c r="NXX17" s="72"/>
      <c r="NXY17" s="72"/>
      <c r="NXZ17" s="72"/>
      <c r="NYA17" s="72"/>
      <c r="NYB17" s="72"/>
      <c r="NYC17" s="72"/>
      <c r="NYD17" s="72"/>
      <c r="NYE17" s="72"/>
      <c r="NYF17" s="72"/>
      <c r="NYG17" s="72"/>
      <c r="NYH17" s="72"/>
      <c r="NYI17" s="72"/>
      <c r="NYJ17" s="72"/>
      <c r="NYK17" s="72"/>
      <c r="NYL17" s="72"/>
      <c r="NYM17" s="72"/>
      <c r="NYN17" s="72"/>
      <c r="NYO17" s="72"/>
      <c r="NYP17" s="72"/>
      <c r="NYQ17" s="72"/>
      <c r="NYR17" s="72"/>
      <c r="NYS17" s="72"/>
      <c r="NYT17" s="72"/>
      <c r="NYU17" s="72"/>
      <c r="NYV17" s="72"/>
      <c r="NYW17" s="72"/>
      <c r="NYX17" s="72"/>
      <c r="NYY17" s="72"/>
      <c r="NYZ17" s="72"/>
      <c r="NZA17" s="72"/>
      <c r="NZB17" s="72"/>
      <c r="NZC17" s="72"/>
      <c r="NZD17" s="72"/>
      <c r="NZE17" s="72"/>
      <c r="NZF17" s="72"/>
      <c r="NZG17" s="72"/>
      <c r="NZH17" s="72"/>
      <c r="NZI17" s="72"/>
      <c r="NZJ17" s="72"/>
      <c r="NZK17" s="72"/>
      <c r="NZL17" s="72"/>
      <c r="NZM17" s="72"/>
      <c r="NZN17" s="72"/>
      <c r="NZO17" s="72"/>
      <c r="NZP17" s="72"/>
      <c r="NZQ17" s="72"/>
      <c r="NZR17" s="72"/>
      <c r="NZS17" s="72"/>
      <c r="NZT17" s="72"/>
      <c r="NZU17" s="72"/>
      <c r="NZV17" s="72"/>
      <c r="NZW17" s="72"/>
      <c r="NZX17" s="72"/>
      <c r="NZY17" s="72"/>
      <c r="NZZ17" s="72"/>
      <c r="OAA17" s="72"/>
      <c r="OAB17" s="72"/>
      <c r="OAC17" s="72"/>
      <c r="OAD17" s="72"/>
      <c r="OAE17" s="72"/>
      <c r="OAF17" s="72"/>
      <c r="OAG17" s="72"/>
      <c r="OAH17" s="72"/>
      <c r="OAI17" s="72"/>
      <c r="OAJ17" s="72"/>
      <c r="OAK17" s="72"/>
      <c r="OAL17" s="72"/>
      <c r="OAM17" s="72"/>
      <c r="OAN17" s="72"/>
      <c r="OAO17" s="72"/>
      <c r="OAP17" s="72"/>
      <c r="OAQ17" s="72"/>
      <c r="OAR17" s="72"/>
      <c r="OAS17" s="72"/>
      <c r="OAT17" s="72"/>
      <c r="OAU17" s="72"/>
      <c r="OAV17" s="72"/>
      <c r="OAW17" s="72"/>
      <c r="OAX17" s="72"/>
      <c r="OAY17" s="72"/>
      <c r="OAZ17" s="72"/>
      <c r="OBA17" s="72"/>
      <c r="OBB17" s="72"/>
      <c r="OBC17" s="72"/>
      <c r="OBD17" s="72"/>
      <c r="OBE17" s="72"/>
      <c r="OBF17" s="72"/>
      <c r="OBG17" s="72"/>
      <c r="OBH17" s="72"/>
      <c r="OBI17" s="72"/>
      <c r="OBJ17" s="72"/>
      <c r="OBK17" s="72"/>
      <c r="OBL17" s="72"/>
      <c r="OBM17" s="72"/>
      <c r="OBN17" s="72"/>
      <c r="OBO17" s="72"/>
      <c r="OBP17" s="72"/>
      <c r="OBQ17" s="72"/>
      <c r="OBR17" s="72"/>
      <c r="OBS17" s="72"/>
      <c r="OBT17" s="72"/>
      <c r="OBU17" s="72"/>
      <c r="OBV17" s="72"/>
      <c r="OBW17" s="72"/>
      <c r="OBX17" s="72"/>
      <c r="OBY17" s="72"/>
      <c r="OBZ17" s="72"/>
      <c r="OCA17" s="72"/>
      <c r="OCB17" s="72"/>
      <c r="OCC17" s="72"/>
      <c r="OCD17" s="72"/>
      <c r="OCE17" s="72"/>
      <c r="OCF17" s="72"/>
      <c r="OCG17" s="72"/>
      <c r="OCH17" s="72"/>
      <c r="OCI17" s="72"/>
      <c r="OCJ17" s="72"/>
      <c r="OCK17" s="72"/>
      <c r="OCL17" s="72"/>
      <c r="OCM17" s="72"/>
      <c r="OCN17" s="72"/>
      <c r="OCO17" s="72"/>
      <c r="OCP17" s="72"/>
      <c r="OCQ17" s="72"/>
      <c r="OCR17" s="72"/>
      <c r="OCS17" s="72"/>
      <c r="OCT17" s="72"/>
      <c r="OCU17" s="72"/>
      <c r="OCV17" s="72"/>
      <c r="OCW17" s="72"/>
      <c r="OCX17" s="72"/>
      <c r="OCY17" s="72"/>
      <c r="OCZ17" s="72"/>
      <c r="ODA17" s="72"/>
      <c r="ODB17" s="72"/>
      <c r="ODC17" s="72"/>
      <c r="ODD17" s="72"/>
      <c r="ODE17" s="72"/>
      <c r="ODF17" s="72"/>
      <c r="ODG17" s="72"/>
      <c r="ODH17" s="72"/>
      <c r="ODI17" s="72"/>
      <c r="ODJ17" s="72"/>
      <c r="ODK17" s="72"/>
      <c r="ODL17" s="72"/>
      <c r="ODM17" s="72"/>
      <c r="ODN17" s="72"/>
      <c r="ODO17" s="72"/>
      <c r="ODP17" s="72"/>
      <c r="ODQ17" s="72"/>
      <c r="ODR17" s="72"/>
      <c r="ODS17" s="72"/>
      <c r="ODT17" s="72"/>
      <c r="ODU17" s="72"/>
      <c r="ODV17" s="72"/>
      <c r="ODW17" s="72"/>
      <c r="ODX17" s="72"/>
      <c r="ODY17" s="72"/>
      <c r="ODZ17" s="72"/>
      <c r="OEA17" s="72"/>
      <c r="OEB17" s="72"/>
      <c r="OEC17" s="72"/>
      <c r="OED17" s="72"/>
      <c r="OEE17" s="72"/>
      <c r="OEF17" s="72"/>
      <c r="OEG17" s="72"/>
      <c r="OEH17" s="72"/>
      <c r="OEI17" s="72"/>
      <c r="OEJ17" s="72"/>
      <c r="OEK17" s="72"/>
      <c r="OEL17" s="72"/>
      <c r="OEM17" s="72"/>
      <c r="OEN17" s="72"/>
      <c r="OEO17" s="72"/>
      <c r="OEP17" s="72"/>
      <c r="OEQ17" s="72"/>
      <c r="OER17" s="72"/>
      <c r="OES17" s="72"/>
      <c r="OET17" s="72"/>
      <c r="OEU17" s="72"/>
      <c r="OEV17" s="72"/>
      <c r="OEW17" s="72"/>
      <c r="OEX17" s="72"/>
      <c r="OEY17" s="72"/>
      <c r="OEZ17" s="72"/>
      <c r="OFA17" s="72"/>
      <c r="OFB17" s="72"/>
      <c r="OFC17" s="72"/>
      <c r="OFD17" s="72"/>
      <c r="OFE17" s="72"/>
      <c r="OFF17" s="72"/>
      <c r="OFG17" s="72"/>
      <c r="OFH17" s="72"/>
      <c r="OFI17" s="72"/>
      <c r="OFJ17" s="72"/>
      <c r="OFK17" s="72"/>
      <c r="OFL17" s="72"/>
      <c r="OFM17" s="72"/>
      <c r="OFN17" s="72"/>
      <c r="OFO17" s="72"/>
      <c r="OFP17" s="72"/>
      <c r="OFQ17" s="72"/>
      <c r="OFR17" s="72"/>
      <c r="OFS17" s="72"/>
      <c r="OFT17" s="72"/>
      <c r="OFU17" s="72"/>
      <c r="OFV17" s="72"/>
      <c r="OFW17" s="72"/>
      <c r="OFX17" s="72"/>
      <c r="OFY17" s="72"/>
      <c r="OFZ17" s="72"/>
      <c r="OGA17" s="72"/>
      <c r="OGB17" s="72"/>
      <c r="OGC17" s="72"/>
      <c r="OGD17" s="72"/>
      <c r="OGE17" s="72"/>
      <c r="OGF17" s="72"/>
      <c r="OGG17" s="72"/>
      <c r="OGH17" s="72"/>
      <c r="OGI17" s="72"/>
      <c r="OGJ17" s="72"/>
      <c r="OGK17" s="72"/>
      <c r="OGL17" s="72"/>
      <c r="OGM17" s="72"/>
      <c r="OGN17" s="72"/>
      <c r="OGO17" s="72"/>
      <c r="OGP17" s="72"/>
      <c r="OGQ17" s="72"/>
      <c r="OGR17" s="72"/>
      <c r="OGS17" s="72"/>
      <c r="OGT17" s="72"/>
      <c r="OGU17" s="72"/>
      <c r="OGV17" s="72"/>
      <c r="OGW17" s="72"/>
      <c r="OGX17" s="72"/>
      <c r="OGY17" s="72"/>
      <c r="OGZ17" s="72"/>
      <c r="OHA17" s="72"/>
      <c r="OHB17" s="72"/>
      <c r="OHC17" s="72"/>
      <c r="OHD17" s="72"/>
      <c r="OHE17" s="72"/>
      <c r="OHF17" s="72"/>
      <c r="OHG17" s="72"/>
      <c r="OHH17" s="72"/>
      <c r="OHI17" s="72"/>
      <c r="OHJ17" s="72"/>
      <c r="OHK17" s="72"/>
      <c r="OHL17" s="72"/>
      <c r="OHM17" s="72"/>
      <c r="OHN17" s="72"/>
      <c r="OHO17" s="72"/>
      <c r="OHP17" s="72"/>
      <c r="OHQ17" s="72"/>
      <c r="OHR17" s="72"/>
      <c r="OHS17" s="72"/>
      <c r="OHT17" s="72"/>
      <c r="OHU17" s="72"/>
      <c r="OHV17" s="72"/>
      <c r="OHW17" s="72"/>
      <c r="OHX17" s="72"/>
      <c r="OHY17" s="72"/>
      <c r="OHZ17" s="72"/>
      <c r="OIA17" s="72"/>
      <c r="OIB17" s="72"/>
      <c r="OIC17" s="72"/>
      <c r="OID17" s="72"/>
      <c r="OIE17" s="72"/>
      <c r="OIF17" s="72"/>
      <c r="OIG17" s="72"/>
      <c r="OIH17" s="72"/>
      <c r="OII17" s="72"/>
      <c r="OIJ17" s="72"/>
      <c r="OIK17" s="72"/>
      <c r="OIL17" s="72"/>
      <c r="OIM17" s="72"/>
      <c r="OIN17" s="72"/>
      <c r="OIO17" s="72"/>
      <c r="OIP17" s="72"/>
      <c r="OIQ17" s="72"/>
      <c r="OIR17" s="72"/>
      <c r="OIS17" s="72"/>
      <c r="OIT17" s="72"/>
      <c r="OIU17" s="72"/>
      <c r="OIV17" s="72"/>
      <c r="OIW17" s="72"/>
      <c r="OIX17" s="72"/>
      <c r="OIY17" s="72"/>
      <c r="OIZ17" s="72"/>
      <c r="OJA17" s="72"/>
      <c r="OJB17" s="72"/>
      <c r="OJC17" s="72"/>
      <c r="OJD17" s="72"/>
      <c r="OJE17" s="72"/>
      <c r="OJF17" s="72"/>
      <c r="OJG17" s="72"/>
      <c r="OJH17" s="72"/>
      <c r="OJI17" s="72"/>
      <c r="OJJ17" s="72"/>
      <c r="OJK17" s="72"/>
      <c r="OJL17" s="72"/>
      <c r="OJM17" s="72"/>
      <c r="OJN17" s="72"/>
      <c r="OJO17" s="72"/>
      <c r="OJP17" s="72"/>
      <c r="OJQ17" s="72"/>
      <c r="OJR17" s="72"/>
      <c r="OJS17" s="72"/>
      <c r="OJT17" s="72"/>
      <c r="OJU17" s="72"/>
      <c r="OJV17" s="72"/>
      <c r="OJW17" s="72"/>
      <c r="OJX17" s="72"/>
      <c r="OJY17" s="72"/>
      <c r="OJZ17" s="72"/>
      <c r="OKA17" s="72"/>
      <c r="OKB17" s="72"/>
      <c r="OKC17" s="72"/>
      <c r="OKD17" s="72"/>
      <c r="OKE17" s="72"/>
      <c r="OKF17" s="72"/>
      <c r="OKG17" s="72"/>
      <c r="OKH17" s="72"/>
      <c r="OKI17" s="72"/>
      <c r="OKJ17" s="72"/>
      <c r="OKK17" s="72"/>
      <c r="OKL17" s="72"/>
      <c r="OKM17" s="72"/>
      <c r="OKN17" s="72"/>
      <c r="OKO17" s="72"/>
      <c r="OKP17" s="72"/>
      <c r="OKQ17" s="72"/>
      <c r="OKR17" s="72"/>
      <c r="OKS17" s="72"/>
      <c r="OKT17" s="72"/>
      <c r="OKU17" s="72"/>
      <c r="OKV17" s="72"/>
      <c r="OKW17" s="72"/>
      <c r="OKX17" s="72"/>
      <c r="OKY17" s="72"/>
      <c r="OKZ17" s="72"/>
      <c r="OLA17" s="72"/>
      <c r="OLB17" s="72"/>
      <c r="OLC17" s="72"/>
      <c r="OLD17" s="72"/>
      <c r="OLE17" s="72"/>
      <c r="OLF17" s="72"/>
      <c r="OLG17" s="72"/>
      <c r="OLH17" s="72"/>
      <c r="OLI17" s="72"/>
      <c r="OLJ17" s="72"/>
      <c r="OLK17" s="72"/>
      <c r="OLL17" s="72"/>
      <c r="OLM17" s="72"/>
      <c r="OLN17" s="72"/>
      <c r="OLO17" s="72"/>
      <c r="OLP17" s="72"/>
      <c r="OLQ17" s="72"/>
      <c r="OLR17" s="72"/>
      <c r="OLS17" s="72"/>
      <c r="OLT17" s="72"/>
      <c r="OLU17" s="72"/>
      <c r="OLV17" s="72"/>
      <c r="OLW17" s="72"/>
      <c r="OLX17" s="72"/>
      <c r="OLY17" s="72"/>
      <c r="OLZ17" s="72"/>
      <c r="OMA17" s="72"/>
      <c r="OMB17" s="72"/>
      <c r="OMC17" s="72"/>
      <c r="OMD17" s="72"/>
      <c r="OME17" s="72"/>
      <c r="OMF17" s="72"/>
      <c r="OMG17" s="72"/>
      <c r="OMH17" s="72"/>
      <c r="OMI17" s="72"/>
      <c r="OMJ17" s="72"/>
      <c r="OMK17" s="72"/>
      <c r="OML17" s="72"/>
      <c r="OMM17" s="72"/>
      <c r="OMN17" s="72"/>
      <c r="OMO17" s="72"/>
      <c r="OMP17" s="72"/>
      <c r="OMQ17" s="72"/>
      <c r="OMR17" s="72"/>
      <c r="OMS17" s="72"/>
      <c r="OMT17" s="72"/>
      <c r="OMU17" s="72"/>
      <c r="OMV17" s="72"/>
      <c r="OMW17" s="72"/>
      <c r="OMX17" s="72"/>
      <c r="OMY17" s="72"/>
      <c r="OMZ17" s="72"/>
      <c r="ONA17" s="72"/>
      <c r="ONB17" s="72"/>
      <c r="ONC17" s="72"/>
      <c r="OND17" s="72"/>
      <c r="ONE17" s="72"/>
      <c r="ONF17" s="72"/>
      <c r="ONG17" s="72"/>
      <c r="ONH17" s="72"/>
      <c r="ONI17" s="72"/>
      <c r="ONJ17" s="72"/>
      <c r="ONK17" s="72"/>
      <c r="ONL17" s="72"/>
      <c r="ONM17" s="72"/>
      <c r="ONN17" s="72"/>
      <c r="ONO17" s="72"/>
      <c r="ONP17" s="72"/>
      <c r="ONQ17" s="72"/>
      <c r="ONR17" s="72"/>
      <c r="ONS17" s="72"/>
      <c r="ONT17" s="72"/>
      <c r="ONU17" s="72"/>
      <c r="ONV17" s="72"/>
      <c r="ONW17" s="72"/>
      <c r="ONX17" s="72"/>
      <c r="ONY17" s="72"/>
      <c r="ONZ17" s="72"/>
      <c r="OOA17" s="72"/>
      <c r="OOB17" s="72"/>
      <c r="OOC17" s="72"/>
      <c r="OOD17" s="72"/>
      <c r="OOE17" s="72"/>
      <c r="OOF17" s="72"/>
      <c r="OOG17" s="72"/>
      <c r="OOH17" s="72"/>
      <c r="OOI17" s="72"/>
      <c r="OOJ17" s="72"/>
      <c r="OOK17" s="72"/>
      <c r="OOL17" s="72"/>
      <c r="OOM17" s="72"/>
      <c r="OON17" s="72"/>
      <c r="OOO17" s="72"/>
      <c r="OOP17" s="72"/>
      <c r="OOQ17" s="72"/>
      <c r="OOR17" s="72"/>
      <c r="OOS17" s="72"/>
      <c r="OOT17" s="72"/>
      <c r="OOU17" s="72"/>
      <c r="OOV17" s="72"/>
      <c r="OOW17" s="72"/>
      <c r="OOX17" s="72"/>
      <c r="OOY17" s="72"/>
      <c r="OOZ17" s="72"/>
      <c r="OPA17" s="72"/>
      <c r="OPB17" s="72"/>
      <c r="OPC17" s="72"/>
      <c r="OPD17" s="72"/>
      <c r="OPE17" s="72"/>
      <c r="OPF17" s="72"/>
      <c r="OPG17" s="72"/>
      <c r="OPH17" s="72"/>
      <c r="OPI17" s="72"/>
      <c r="OPJ17" s="72"/>
      <c r="OPK17" s="72"/>
      <c r="OPL17" s="72"/>
      <c r="OPM17" s="72"/>
      <c r="OPN17" s="72"/>
      <c r="OPO17" s="72"/>
      <c r="OPP17" s="72"/>
      <c r="OPQ17" s="72"/>
      <c r="OPR17" s="72"/>
      <c r="OPS17" s="72"/>
      <c r="OPT17" s="72"/>
      <c r="OPU17" s="72"/>
      <c r="OPV17" s="72"/>
      <c r="OPW17" s="72"/>
      <c r="OPX17" s="72"/>
      <c r="OPY17" s="72"/>
      <c r="OPZ17" s="72"/>
      <c r="OQA17" s="72"/>
      <c r="OQB17" s="72"/>
      <c r="OQC17" s="72"/>
      <c r="OQD17" s="72"/>
      <c r="OQE17" s="72"/>
      <c r="OQF17" s="72"/>
      <c r="OQG17" s="72"/>
      <c r="OQH17" s="72"/>
      <c r="OQI17" s="72"/>
      <c r="OQJ17" s="72"/>
      <c r="OQK17" s="72"/>
      <c r="OQL17" s="72"/>
      <c r="OQM17" s="72"/>
      <c r="OQN17" s="72"/>
      <c r="OQO17" s="72"/>
      <c r="OQP17" s="72"/>
      <c r="OQQ17" s="72"/>
      <c r="OQR17" s="72"/>
      <c r="OQS17" s="72"/>
      <c r="OQT17" s="72"/>
      <c r="OQU17" s="72"/>
      <c r="OQV17" s="72"/>
      <c r="OQW17" s="72"/>
      <c r="OQX17" s="72"/>
      <c r="OQY17" s="72"/>
      <c r="OQZ17" s="72"/>
      <c r="ORA17" s="72"/>
      <c r="ORB17" s="72"/>
      <c r="ORC17" s="72"/>
      <c r="ORD17" s="72"/>
      <c r="ORE17" s="72"/>
      <c r="ORF17" s="72"/>
      <c r="ORG17" s="72"/>
      <c r="ORH17" s="72"/>
      <c r="ORI17" s="72"/>
      <c r="ORJ17" s="72"/>
      <c r="ORK17" s="72"/>
      <c r="ORL17" s="72"/>
      <c r="ORM17" s="72"/>
      <c r="ORN17" s="72"/>
      <c r="ORO17" s="72"/>
      <c r="ORP17" s="72"/>
      <c r="ORQ17" s="72"/>
      <c r="ORR17" s="72"/>
      <c r="ORS17" s="72"/>
      <c r="ORT17" s="72"/>
      <c r="ORU17" s="72"/>
      <c r="ORV17" s="72"/>
      <c r="ORW17" s="72"/>
      <c r="ORX17" s="72"/>
      <c r="ORY17" s="72"/>
      <c r="ORZ17" s="72"/>
      <c r="OSA17" s="72"/>
      <c r="OSB17" s="72"/>
      <c r="OSC17" s="72"/>
      <c r="OSD17" s="72"/>
      <c r="OSE17" s="72"/>
      <c r="OSF17" s="72"/>
      <c r="OSG17" s="72"/>
      <c r="OSH17" s="72"/>
      <c r="OSI17" s="72"/>
      <c r="OSJ17" s="72"/>
      <c r="OSK17" s="72"/>
      <c r="OSL17" s="72"/>
      <c r="OSM17" s="72"/>
      <c r="OSN17" s="72"/>
      <c r="OSO17" s="72"/>
      <c r="OSP17" s="72"/>
      <c r="OSQ17" s="72"/>
      <c r="OSR17" s="72"/>
      <c r="OSS17" s="72"/>
      <c r="OST17" s="72"/>
      <c r="OSU17" s="72"/>
      <c r="OSV17" s="72"/>
      <c r="OSW17" s="72"/>
      <c r="OSX17" s="72"/>
      <c r="OSY17" s="72"/>
      <c r="OSZ17" s="72"/>
      <c r="OTA17" s="72"/>
      <c r="OTB17" s="72"/>
      <c r="OTC17" s="72"/>
      <c r="OTD17" s="72"/>
      <c r="OTE17" s="72"/>
      <c r="OTF17" s="72"/>
      <c r="OTG17" s="72"/>
      <c r="OTH17" s="72"/>
      <c r="OTI17" s="72"/>
      <c r="OTJ17" s="72"/>
      <c r="OTK17" s="72"/>
      <c r="OTL17" s="72"/>
      <c r="OTM17" s="72"/>
      <c r="OTN17" s="72"/>
      <c r="OTO17" s="72"/>
      <c r="OTP17" s="72"/>
      <c r="OTQ17" s="72"/>
      <c r="OTR17" s="72"/>
      <c r="OTS17" s="72"/>
      <c r="OTT17" s="72"/>
      <c r="OTU17" s="72"/>
      <c r="OTV17" s="72"/>
      <c r="OTW17" s="72"/>
      <c r="OTX17" s="72"/>
      <c r="OTY17" s="72"/>
      <c r="OTZ17" s="72"/>
      <c r="OUA17" s="72"/>
      <c r="OUB17" s="72"/>
      <c r="OUC17" s="72"/>
      <c r="OUD17" s="72"/>
      <c r="OUE17" s="72"/>
      <c r="OUF17" s="72"/>
      <c r="OUG17" s="72"/>
      <c r="OUH17" s="72"/>
      <c r="OUI17" s="72"/>
      <c r="OUJ17" s="72"/>
      <c r="OUK17" s="72"/>
      <c r="OUL17" s="72"/>
      <c r="OUM17" s="72"/>
      <c r="OUN17" s="72"/>
      <c r="OUO17" s="72"/>
      <c r="OUP17" s="72"/>
      <c r="OUQ17" s="72"/>
      <c r="OUR17" s="72"/>
      <c r="OUS17" s="72"/>
      <c r="OUT17" s="72"/>
      <c r="OUU17" s="72"/>
      <c r="OUV17" s="72"/>
      <c r="OUW17" s="72"/>
      <c r="OUX17" s="72"/>
      <c r="OUY17" s="72"/>
      <c r="OUZ17" s="72"/>
      <c r="OVA17" s="72"/>
      <c r="OVB17" s="72"/>
      <c r="OVC17" s="72"/>
      <c r="OVD17" s="72"/>
      <c r="OVE17" s="72"/>
      <c r="OVF17" s="72"/>
      <c r="OVG17" s="72"/>
      <c r="OVH17" s="72"/>
      <c r="OVI17" s="72"/>
      <c r="OVJ17" s="72"/>
      <c r="OVK17" s="72"/>
      <c r="OVL17" s="72"/>
      <c r="OVM17" s="72"/>
      <c r="OVN17" s="72"/>
      <c r="OVO17" s="72"/>
      <c r="OVP17" s="72"/>
      <c r="OVQ17" s="72"/>
      <c r="OVR17" s="72"/>
      <c r="OVS17" s="72"/>
      <c r="OVT17" s="72"/>
      <c r="OVU17" s="72"/>
      <c r="OVV17" s="72"/>
      <c r="OVW17" s="72"/>
      <c r="OVX17" s="72"/>
      <c r="OVY17" s="72"/>
      <c r="OVZ17" s="72"/>
      <c r="OWA17" s="72"/>
      <c r="OWB17" s="72"/>
      <c r="OWC17" s="72"/>
      <c r="OWD17" s="72"/>
      <c r="OWE17" s="72"/>
      <c r="OWF17" s="72"/>
      <c r="OWG17" s="72"/>
      <c r="OWH17" s="72"/>
      <c r="OWI17" s="72"/>
      <c r="OWJ17" s="72"/>
      <c r="OWK17" s="72"/>
      <c r="OWL17" s="72"/>
      <c r="OWM17" s="72"/>
      <c r="OWN17" s="72"/>
      <c r="OWO17" s="72"/>
      <c r="OWP17" s="72"/>
      <c r="OWQ17" s="72"/>
      <c r="OWR17" s="72"/>
      <c r="OWS17" s="72"/>
      <c r="OWT17" s="72"/>
      <c r="OWU17" s="72"/>
      <c r="OWV17" s="72"/>
      <c r="OWW17" s="72"/>
      <c r="OWX17" s="72"/>
      <c r="OWY17" s="72"/>
      <c r="OWZ17" s="72"/>
      <c r="OXA17" s="72"/>
      <c r="OXB17" s="72"/>
      <c r="OXC17" s="72"/>
      <c r="OXD17" s="72"/>
      <c r="OXE17" s="72"/>
      <c r="OXF17" s="72"/>
      <c r="OXG17" s="72"/>
      <c r="OXH17" s="72"/>
      <c r="OXI17" s="72"/>
      <c r="OXJ17" s="72"/>
      <c r="OXK17" s="72"/>
      <c r="OXL17" s="72"/>
      <c r="OXM17" s="72"/>
      <c r="OXN17" s="72"/>
      <c r="OXO17" s="72"/>
      <c r="OXP17" s="72"/>
      <c r="OXQ17" s="72"/>
      <c r="OXR17" s="72"/>
      <c r="OXS17" s="72"/>
      <c r="OXT17" s="72"/>
      <c r="OXU17" s="72"/>
      <c r="OXV17" s="72"/>
      <c r="OXW17" s="72"/>
      <c r="OXX17" s="72"/>
      <c r="OXY17" s="72"/>
      <c r="OXZ17" s="72"/>
      <c r="OYA17" s="72"/>
      <c r="OYB17" s="72"/>
      <c r="OYC17" s="72"/>
      <c r="OYD17" s="72"/>
      <c r="OYE17" s="72"/>
      <c r="OYF17" s="72"/>
      <c r="OYG17" s="72"/>
      <c r="OYH17" s="72"/>
      <c r="OYI17" s="72"/>
      <c r="OYJ17" s="72"/>
      <c r="OYK17" s="72"/>
      <c r="OYL17" s="72"/>
      <c r="OYM17" s="72"/>
      <c r="OYN17" s="72"/>
      <c r="OYO17" s="72"/>
      <c r="OYP17" s="72"/>
      <c r="OYQ17" s="72"/>
      <c r="OYR17" s="72"/>
      <c r="OYS17" s="72"/>
      <c r="OYT17" s="72"/>
      <c r="OYU17" s="72"/>
      <c r="OYV17" s="72"/>
      <c r="OYW17" s="72"/>
      <c r="OYX17" s="72"/>
      <c r="OYY17" s="72"/>
      <c r="OYZ17" s="72"/>
      <c r="OZA17" s="72"/>
      <c r="OZB17" s="72"/>
      <c r="OZC17" s="72"/>
      <c r="OZD17" s="72"/>
      <c r="OZE17" s="72"/>
      <c r="OZF17" s="72"/>
      <c r="OZG17" s="72"/>
      <c r="OZH17" s="72"/>
      <c r="OZI17" s="72"/>
      <c r="OZJ17" s="72"/>
      <c r="OZK17" s="72"/>
      <c r="OZL17" s="72"/>
      <c r="OZM17" s="72"/>
      <c r="OZN17" s="72"/>
      <c r="OZO17" s="72"/>
      <c r="OZP17" s="72"/>
      <c r="OZQ17" s="72"/>
      <c r="OZR17" s="72"/>
      <c r="OZS17" s="72"/>
      <c r="OZT17" s="72"/>
      <c r="OZU17" s="72"/>
      <c r="OZV17" s="72"/>
      <c r="OZW17" s="72"/>
      <c r="OZX17" s="72"/>
      <c r="OZY17" s="72"/>
      <c r="OZZ17" s="72"/>
      <c r="PAA17" s="72"/>
      <c r="PAB17" s="72"/>
      <c r="PAC17" s="72"/>
      <c r="PAD17" s="72"/>
      <c r="PAE17" s="72"/>
      <c r="PAF17" s="72"/>
      <c r="PAG17" s="72"/>
      <c r="PAH17" s="72"/>
      <c r="PAI17" s="72"/>
      <c r="PAJ17" s="72"/>
      <c r="PAK17" s="72"/>
      <c r="PAL17" s="72"/>
      <c r="PAM17" s="72"/>
      <c r="PAN17" s="72"/>
      <c r="PAO17" s="72"/>
      <c r="PAP17" s="72"/>
      <c r="PAQ17" s="72"/>
      <c r="PAR17" s="72"/>
      <c r="PAS17" s="72"/>
      <c r="PAT17" s="72"/>
      <c r="PAU17" s="72"/>
      <c r="PAV17" s="72"/>
      <c r="PAW17" s="72"/>
      <c r="PAX17" s="72"/>
      <c r="PAY17" s="72"/>
      <c r="PAZ17" s="72"/>
      <c r="PBA17" s="72"/>
      <c r="PBB17" s="72"/>
      <c r="PBC17" s="72"/>
      <c r="PBD17" s="72"/>
      <c r="PBE17" s="72"/>
      <c r="PBF17" s="72"/>
      <c r="PBG17" s="72"/>
      <c r="PBH17" s="72"/>
      <c r="PBI17" s="72"/>
      <c r="PBJ17" s="72"/>
      <c r="PBK17" s="72"/>
      <c r="PBL17" s="72"/>
      <c r="PBM17" s="72"/>
      <c r="PBN17" s="72"/>
      <c r="PBO17" s="72"/>
      <c r="PBP17" s="72"/>
      <c r="PBQ17" s="72"/>
      <c r="PBR17" s="72"/>
      <c r="PBS17" s="72"/>
      <c r="PBT17" s="72"/>
      <c r="PBU17" s="72"/>
      <c r="PBV17" s="72"/>
      <c r="PBW17" s="72"/>
      <c r="PBX17" s="72"/>
      <c r="PBY17" s="72"/>
      <c r="PBZ17" s="72"/>
      <c r="PCA17" s="72"/>
      <c r="PCB17" s="72"/>
      <c r="PCC17" s="72"/>
      <c r="PCD17" s="72"/>
      <c r="PCE17" s="72"/>
      <c r="PCF17" s="72"/>
      <c r="PCG17" s="72"/>
      <c r="PCH17" s="72"/>
      <c r="PCI17" s="72"/>
      <c r="PCJ17" s="72"/>
      <c r="PCK17" s="72"/>
      <c r="PCL17" s="72"/>
      <c r="PCM17" s="72"/>
      <c r="PCN17" s="72"/>
      <c r="PCO17" s="72"/>
      <c r="PCP17" s="72"/>
      <c r="PCQ17" s="72"/>
      <c r="PCR17" s="72"/>
      <c r="PCS17" s="72"/>
      <c r="PCT17" s="72"/>
      <c r="PCU17" s="72"/>
      <c r="PCV17" s="72"/>
      <c r="PCW17" s="72"/>
      <c r="PCX17" s="72"/>
      <c r="PCY17" s="72"/>
      <c r="PCZ17" s="72"/>
      <c r="PDA17" s="72"/>
      <c r="PDB17" s="72"/>
      <c r="PDC17" s="72"/>
      <c r="PDD17" s="72"/>
      <c r="PDE17" s="72"/>
      <c r="PDF17" s="72"/>
      <c r="PDG17" s="72"/>
      <c r="PDH17" s="72"/>
      <c r="PDI17" s="72"/>
      <c r="PDJ17" s="72"/>
      <c r="PDK17" s="72"/>
      <c r="PDL17" s="72"/>
      <c r="PDM17" s="72"/>
      <c r="PDN17" s="72"/>
      <c r="PDO17" s="72"/>
      <c r="PDP17" s="72"/>
      <c r="PDQ17" s="72"/>
      <c r="PDR17" s="72"/>
      <c r="PDS17" s="72"/>
      <c r="PDT17" s="72"/>
      <c r="PDU17" s="72"/>
      <c r="PDV17" s="72"/>
      <c r="PDW17" s="72"/>
      <c r="PDX17" s="72"/>
      <c r="PDY17" s="72"/>
      <c r="PDZ17" s="72"/>
      <c r="PEA17" s="72"/>
      <c r="PEB17" s="72"/>
      <c r="PEC17" s="72"/>
      <c r="PED17" s="72"/>
      <c r="PEE17" s="72"/>
      <c r="PEF17" s="72"/>
      <c r="PEG17" s="72"/>
      <c r="PEH17" s="72"/>
      <c r="PEI17" s="72"/>
      <c r="PEJ17" s="72"/>
      <c r="PEK17" s="72"/>
      <c r="PEL17" s="72"/>
      <c r="PEM17" s="72"/>
      <c r="PEN17" s="72"/>
      <c r="PEO17" s="72"/>
      <c r="PEP17" s="72"/>
      <c r="PEQ17" s="72"/>
      <c r="PER17" s="72"/>
      <c r="PES17" s="72"/>
      <c r="PET17" s="72"/>
      <c r="PEU17" s="72"/>
      <c r="PEV17" s="72"/>
      <c r="PEW17" s="72"/>
      <c r="PEX17" s="72"/>
      <c r="PEY17" s="72"/>
      <c r="PEZ17" s="72"/>
      <c r="PFA17" s="72"/>
      <c r="PFB17" s="72"/>
      <c r="PFC17" s="72"/>
      <c r="PFD17" s="72"/>
      <c r="PFE17" s="72"/>
      <c r="PFF17" s="72"/>
      <c r="PFG17" s="72"/>
      <c r="PFH17" s="72"/>
      <c r="PFI17" s="72"/>
      <c r="PFJ17" s="72"/>
      <c r="PFK17" s="72"/>
      <c r="PFL17" s="72"/>
      <c r="PFM17" s="72"/>
      <c r="PFN17" s="72"/>
      <c r="PFO17" s="72"/>
      <c r="PFP17" s="72"/>
      <c r="PFQ17" s="72"/>
      <c r="PFR17" s="72"/>
      <c r="PFS17" s="72"/>
      <c r="PFT17" s="72"/>
      <c r="PFU17" s="72"/>
      <c r="PFV17" s="72"/>
      <c r="PFW17" s="72"/>
      <c r="PFX17" s="72"/>
      <c r="PFY17" s="72"/>
      <c r="PFZ17" s="72"/>
      <c r="PGA17" s="72"/>
      <c r="PGB17" s="72"/>
      <c r="PGC17" s="72"/>
      <c r="PGD17" s="72"/>
      <c r="PGE17" s="72"/>
      <c r="PGF17" s="72"/>
      <c r="PGG17" s="72"/>
      <c r="PGH17" s="72"/>
      <c r="PGI17" s="72"/>
      <c r="PGJ17" s="72"/>
      <c r="PGK17" s="72"/>
      <c r="PGL17" s="72"/>
      <c r="PGM17" s="72"/>
      <c r="PGN17" s="72"/>
      <c r="PGO17" s="72"/>
      <c r="PGP17" s="72"/>
      <c r="PGQ17" s="72"/>
      <c r="PGR17" s="72"/>
      <c r="PGS17" s="72"/>
      <c r="PGT17" s="72"/>
      <c r="PGU17" s="72"/>
      <c r="PGV17" s="72"/>
      <c r="PGW17" s="72"/>
      <c r="PGX17" s="72"/>
      <c r="PGY17" s="72"/>
      <c r="PGZ17" s="72"/>
      <c r="PHA17" s="72"/>
      <c r="PHB17" s="72"/>
      <c r="PHC17" s="72"/>
      <c r="PHD17" s="72"/>
      <c r="PHE17" s="72"/>
      <c r="PHF17" s="72"/>
      <c r="PHG17" s="72"/>
      <c r="PHH17" s="72"/>
      <c r="PHI17" s="72"/>
      <c r="PHJ17" s="72"/>
      <c r="PHK17" s="72"/>
      <c r="PHL17" s="72"/>
      <c r="PHM17" s="72"/>
      <c r="PHN17" s="72"/>
      <c r="PHO17" s="72"/>
      <c r="PHP17" s="72"/>
      <c r="PHQ17" s="72"/>
      <c r="PHR17" s="72"/>
      <c r="PHS17" s="72"/>
      <c r="PHT17" s="72"/>
      <c r="PHU17" s="72"/>
      <c r="PHV17" s="72"/>
      <c r="PHW17" s="72"/>
      <c r="PHX17" s="72"/>
      <c r="PHY17" s="72"/>
      <c r="PHZ17" s="72"/>
      <c r="PIA17" s="72"/>
      <c r="PIB17" s="72"/>
      <c r="PIC17" s="72"/>
      <c r="PID17" s="72"/>
      <c r="PIE17" s="72"/>
      <c r="PIF17" s="72"/>
      <c r="PIG17" s="72"/>
      <c r="PIH17" s="72"/>
      <c r="PII17" s="72"/>
      <c r="PIJ17" s="72"/>
      <c r="PIK17" s="72"/>
      <c r="PIL17" s="72"/>
      <c r="PIM17" s="72"/>
      <c r="PIN17" s="72"/>
      <c r="PIO17" s="72"/>
      <c r="PIP17" s="72"/>
      <c r="PIQ17" s="72"/>
      <c r="PIR17" s="72"/>
      <c r="PIS17" s="72"/>
      <c r="PIT17" s="72"/>
      <c r="PIU17" s="72"/>
      <c r="PIV17" s="72"/>
      <c r="PIW17" s="72"/>
      <c r="PIX17" s="72"/>
      <c r="PIY17" s="72"/>
      <c r="PIZ17" s="72"/>
      <c r="PJA17" s="72"/>
      <c r="PJB17" s="72"/>
      <c r="PJC17" s="72"/>
      <c r="PJD17" s="72"/>
      <c r="PJE17" s="72"/>
      <c r="PJF17" s="72"/>
      <c r="PJG17" s="72"/>
      <c r="PJH17" s="72"/>
      <c r="PJI17" s="72"/>
      <c r="PJJ17" s="72"/>
      <c r="PJK17" s="72"/>
      <c r="PJL17" s="72"/>
      <c r="PJM17" s="72"/>
      <c r="PJN17" s="72"/>
      <c r="PJO17" s="72"/>
      <c r="PJP17" s="72"/>
      <c r="PJQ17" s="72"/>
      <c r="PJR17" s="72"/>
      <c r="PJS17" s="72"/>
      <c r="PJT17" s="72"/>
      <c r="PJU17" s="72"/>
      <c r="PJV17" s="72"/>
      <c r="PJW17" s="72"/>
      <c r="PJX17" s="72"/>
      <c r="PJY17" s="72"/>
      <c r="PJZ17" s="72"/>
      <c r="PKA17" s="72"/>
      <c r="PKB17" s="72"/>
      <c r="PKC17" s="72"/>
      <c r="PKD17" s="72"/>
      <c r="PKE17" s="72"/>
      <c r="PKF17" s="72"/>
      <c r="PKG17" s="72"/>
      <c r="PKH17" s="72"/>
      <c r="PKI17" s="72"/>
      <c r="PKJ17" s="72"/>
      <c r="PKK17" s="72"/>
      <c r="PKL17" s="72"/>
      <c r="PKM17" s="72"/>
      <c r="PKN17" s="72"/>
      <c r="PKO17" s="72"/>
      <c r="PKP17" s="72"/>
      <c r="PKQ17" s="72"/>
      <c r="PKR17" s="72"/>
      <c r="PKS17" s="72"/>
      <c r="PKT17" s="72"/>
      <c r="PKU17" s="72"/>
      <c r="PKV17" s="72"/>
      <c r="PKW17" s="72"/>
      <c r="PKX17" s="72"/>
      <c r="PKY17" s="72"/>
      <c r="PKZ17" s="72"/>
      <c r="PLA17" s="72"/>
      <c r="PLB17" s="72"/>
      <c r="PLC17" s="72"/>
      <c r="PLD17" s="72"/>
      <c r="PLE17" s="72"/>
      <c r="PLF17" s="72"/>
      <c r="PLG17" s="72"/>
      <c r="PLH17" s="72"/>
      <c r="PLI17" s="72"/>
      <c r="PLJ17" s="72"/>
      <c r="PLK17" s="72"/>
      <c r="PLL17" s="72"/>
      <c r="PLM17" s="72"/>
      <c r="PLN17" s="72"/>
      <c r="PLO17" s="72"/>
      <c r="PLP17" s="72"/>
      <c r="PLQ17" s="72"/>
      <c r="PLR17" s="72"/>
      <c r="PLS17" s="72"/>
      <c r="PLT17" s="72"/>
      <c r="PLU17" s="72"/>
      <c r="PLV17" s="72"/>
      <c r="PLW17" s="72"/>
      <c r="PLX17" s="72"/>
      <c r="PLY17" s="72"/>
      <c r="PLZ17" s="72"/>
      <c r="PMA17" s="72"/>
      <c r="PMB17" s="72"/>
      <c r="PMC17" s="72"/>
      <c r="PMD17" s="72"/>
      <c r="PME17" s="72"/>
      <c r="PMF17" s="72"/>
      <c r="PMG17" s="72"/>
      <c r="PMH17" s="72"/>
      <c r="PMI17" s="72"/>
      <c r="PMJ17" s="72"/>
      <c r="PMK17" s="72"/>
      <c r="PML17" s="72"/>
      <c r="PMM17" s="72"/>
      <c r="PMN17" s="72"/>
      <c r="PMO17" s="72"/>
      <c r="PMP17" s="72"/>
      <c r="PMQ17" s="72"/>
      <c r="PMR17" s="72"/>
      <c r="PMS17" s="72"/>
      <c r="PMT17" s="72"/>
      <c r="PMU17" s="72"/>
      <c r="PMV17" s="72"/>
      <c r="PMW17" s="72"/>
      <c r="PMX17" s="72"/>
      <c r="PMY17" s="72"/>
      <c r="PMZ17" s="72"/>
      <c r="PNA17" s="72"/>
      <c r="PNB17" s="72"/>
      <c r="PNC17" s="72"/>
      <c r="PND17" s="72"/>
      <c r="PNE17" s="72"/>
      <c r="PNF17" s="72"/>
      <c r="PNG17" s="72"/>
      <c r="PNH17" s="72"/>
      <c r="PNI17" s="72"/>
      <c r="PNJ17" s="72"/>
      <c r="PNK17" s="72"/>
      <c r="PNL17" s="72"/>
      <c r="PNM17" s="72"/>
      <c r="PNN17" s="72"/>
      <c r="PNO17" s="72"/>
      <c r="PNP17" s="72"/>
      <c r="PNQ17" s="72"/>
      <c r="PNR17" s="72"/>
      <c r="PNS17" s="72"/>
      <c r="PNT17" s="72"/>
      <c r="PNU17" s="72"/>
      <c r="PNV17" s="72"/>
      <c r="PNW17" s="72"/>
      <c r="PNX17" s="72"/>
      <c r="PNY17" s="72"/>
      <c r="PNZ17" s="72"/>
      <c r="POA17" s="72"/>
      <c r="POB17" s="72"/>
      <c r="POC17" s="72"/>
      <c r="POD17" s="72"/>
      <c r="POE17" s="72"/>
      <c r="POF17" s="72"/>
      <c r="POG17" s="72"/>
      <c r="POH17" s="72"/>
      <c r="POI17" s="72"/>
      <c r="POJ17" s="72"/>
      <c r="POK17" s="72"/>
      <c r="POL17" s="72"/>
      <c r="POM17" s="72"/>
      <c r="PON17" s="72"/>
      <c r="POO17" s="72"/>
      <c r="POP17" s="72"/>
      <c r="POQ17" s="72"/>
      <c r="POR17" s="72"/>
      <c r="POS17" s="72"/>
      <c r="POT17" s="72"/>
      <c r="POU17" s="72"/>
      <c r="POV17" s="72"/>
      <c r="POW17" s="72"/>
      <c r="POX17" s="72"/>
      <c r="POY17" s="72"/>
      <c r="POZ17" s="72"/>
      <c r="PPA17" s="72"/>
      <c r="PPB17" s="72"/>
      <c r="PPC17" s="72"/>
      <c r="PPD17" s="72"/>
      <c r="PPE17" s="72"/>
      <c r="PPF17" s="72"/>
      <c r="PPG17" s="72"/>
      <c r="PPH17" s="72"/>
      <c r="PPI17" s="72"/>
      <c r="PPJ17" s="72"/>
      <c r="PPK17" s="72"/>
      <c r="PPL17" s="72"/>
      <c r="PPM17" s="72"/>
      <c r="PPN17" s="72"/>
      <c r="PPO17" s="72"/>
      <c r="PPP17" s="72"/>
      <c r="PPQ17" s="72"/>
      <c r="PPR17" s="72"/>
      <c r="PPS17" s="72"/>
      <c r="PPT17" s="72"/>
      <c r="PPU17" s="72"/>
      <c r="PPV17" s="72"/>
      <c r="PPW17" s="72"/>
      <c r="PPX17" s="72"/>
      <c r="PPY17" s="72"/>
      <c r="PPZ17" s="72"/>
      <c r="PQA17" s="72"/>
      <c r="PQB17" s="72"/>
      <c r="PQC17" s="72"/>
      <c r="PQD17" s="72"/>
      <c r="PQE17" s="72"/>
      <c r="PQF17" s="72"/>
      <c r="PQG17" s="72"/>
      <c r="PQH17" s="72"/>
      <c r="PQI17" s="72"/>
      <c r="PQJ17" s="72"/>
      <c r="PQK17" s="72"/>
      <c r="PQL17" s="72"/>
      <c r="PQM17" s="72"/>
      <c r="PQN17" s="72"/>
      <c r="PQO17" s="72"/>
      <c r="PQP17" s="72"/>
      <c r="PQQ17" s="72"/>
      <c r="PQR17" s="72"/>
      <c r="PQS17" s="72"/>
      <c r="PQT17" s="72"/>
      <c r="PQU17" s="72"/>
      <c r="PQV17" s="72"/>
      <c r="PQW17" s="72"/>
      <c r="PQX17" s="72"/>
      <c r="PQY17" s="72"/>
      <c r="PQZ17" s="72"/>
      <c r="PRA17" s="72"/>
      <c r="PRB17" s="72"/>
      <c r="PRC17" s="72"/>
      <c r="PRD17" s="72"/>
      <c r="PRE17" s="72"/>
      <c r="PRF17" s="72"/>
      <c r="PRG17" s="72"/>
      <c r="PRH17" s="72"/>
      <c r="PRI17" s="72"/>
      <c r="PRJ17" s="72"/>
      <c r="PRK17" s="72"/>
      <c r="PRL17" s="72"/>
      <c r="PRM17" s="72"/>
      <c r="PRN17" s="72"/>
      <c r="PRO17" s="72"/>
      <c r="PRP17" s="72"/>
      <c r="PRQ17" s="72"/>
      <c r="PRR17" s="72"/>
      <c r="PRS17" s="72"/>
      <c r="PRT17" s="72"/>
      <c r="PRU17" s="72"/>
      <c r="PRV17" s="72"/>
      <c r="PRW17" s="72"/>
      <c r="PRX17" s="72"/>
      <c r="PRY17" s="72"/>
      <c r="PRZ17" s="72"/>
      <c r="PSA17" s="72"/>
      <c r="PSB17" s="72"/>
      <c r="PSC17" s="72"/>
      <c r="PSD17" s="72"/>
      <c r="PSE17" s="72"/>
      <c r="PSF17" s="72"/>
      <c r="PSG17" s="72"/>
      <c r="PSH17" s="72"/>
      <c r="PSI17" s="72"/>
      <c r="PSJ17" s="72"/>
      <c r="PSK17" s="72"/>
      <c r="PSL17" s="72"/>
      <c r="PSM17" s="72"/>
      <c r="PSN17" s="72"/>
      <c r="PSO17" s="72"/>
      <c r="PSP17" s="72"/>
      <c r="PSQ17" s="72"/>
      <c r="PSR17" s="72"/>
      <c r="PSS17" s="72"/>
      <c r="PST17" s="72"/>
      <c r="PSU17" s="72"/>
      <c r="PSV17" s="72"/>
      <c r="PSW17" s="72"/>
      <c r="PSX17" s="72"/>
      <c r="PSY17" s="72"/>
      <c r="PSZ17" s="72"/>
      <c r="PTA17" s="72"/>
      <c r="PTB17" s="72"/>
      <c r="PTC17" s="72"/>
      <c r="PTD17" s="72"/>
      <c r="PTE17" s="72"/>
      <c r="PTF17" s="72"/>
      <c r="PTG17" s="72"/>
      <c r="PTH17" s="72"/>
      <c r="PTI17" s="72"/>
      <c r="PTJ17" s="72"/>
      <c r="PTK17" s="72"/>
      <c r="PTL17" s="72"/>
      <c r="PTM17" s="72"/>
      <c r="PTN17" s="72"/>
      <c r="PTO17" s="72"/>
      <c r="PTP17" s="72"/>
      <c r="PTQ17" s="72"/>
      <c r="PTR17" s="72"/>
      <c r="PTS17" s="72"/>
      <c r="PTT17" s="72"/>
      <c r="PTU17" s="72"/>
      <c r="PTV17" s="72"/>
      <c r="PTW17" s="72"/>
      <c r="PTX17" s="72"/>
      <c r="PTY17" s="72"/>
      <c r="PTZ17" s="72"/>
      <c r="PUA17" s="72"/>
      <c r="PUB17" s="72"/>
      <c r="PUC17" s="72"/>
      <c r="PUD17" s="72"/>
      <c r="PUE17" s="72"/>
      <c r="PUF17" s="72"/>
      <c r="PUG17" s="72"/>
      <c r="PUH17" s="72"/>
      <c r="PUI17" s="72"/>
      <c r="PUJ17" s="72"/>
      <c r="PUK17" s="72"/>
      <c r="PUL17" s="72"/>
      <c r="PUM17" s="72"/>
      <c r="PUN17" s="72"/>
      <c r="PUO17" s="72"/>
      <c r="PUP17" s="72"/>
      <c r="PUQ17" s="72"/>
      <c r="PUR17" s="72"/>
      <c r="PUS17" s="72"/>
      <c r="PUT17" s="72"/>
      <c r="PUU17" s="72"/>
      <c r="PUV17" s="72"/>
      <c r="PUW17" s="72"/>
      <c r="PUX17" s="72"/>
      <c r="PUY17" s="72"/>
      <c r="PUZ17" s="72"/>
      <c r="PVA17" s="72"/>
      <c r="PVB17" s="72"/>
      <c r="PVC17" s="72"/>
      <c r="PVD17" s="72"/>
      <c r="PVE17" s="72"/>
      <c r="PVF17" s="72"/>
      <c r="PVG17" s="72"/>
      <c r="PVH17" s="72"/>
      <c r="PVI17" s="72"/>
      <c r="PVJ17" s="72"/>
      <c r="PVK17" s="72"/>
      <c r="PVL17" s="72"/>
      <c r="PVM17" s="72"/>
      <c r="PVN17" s="72"/>
      <c r="PVO17" s="72"/>
      <c r="PVP17" s="72"/>
      <c r="PVQ17" s="72"/>
      <c r="PVR17" s="72"/>
      <c r="PVS17" s="72"/>
      <c r="PVT17" s="72"/>
      <c r="PVU17" s="72"/>
      <c r="PVV17" s="72"/>
      <c r="PVW17" s="72"/>
      <c r="PVX17" s="72"/>
      <c r="PVY17" s="72"/>
      <c r="PVZ17" s="72"/>
      <c r="PWA17" s="72"/>
      <c r="PWB17" s="72"/>
      <c r="PWC17" s="72"/>
      <c r="PWD17" s="72"/>
      <c r="PWE17" s="72"/>
      <c r="PWF17" s="72"/>
      <c r="PWG17" s="72"/>
      <c r="PWH17" s="72"/>
      <c r="PWI17" s="72"/>
      <c r="PWJ17" s="72"/>
      <c r="PWK17" s="72"/>
      <c r="PWL17" s="72"/>
      <c r="PWM17" s="72"/>
      <c r="PWN17" s="72"/>
      <c r="PWO17" s="72"/>
      <c r="PWP17" s="72"/>
      <c r="PWQ17" s="72"/>
      <c r="PWR17" s="72"/>
      <c r="PWS17" s="72"/>
      <c r="PWT17" s="72"/>
      <c r="PWU17" s="72"/>
      <c r="PWV17" s="72"/>
      <c r="PWW17" s="72"/>
      <c r="PWX17" s="72"/>
      <c r="PWY17" s="72"/>
      <c r="PWZ17" s="72"/>
      <c r="PXA17" s="72"/>
      <c r="PXB17" s="72"/>
      <c r="PXC17" s="72"/>
      <c r="PXD17" s="72"/>
      <c r="PXE17" s="72"/>
      <c r="PXF17" s="72"/>
      <c r="PXG17" s="72"/>
      <c r="PXH17" s="72"/>
      <c r="PXI17" s="72"/>
      <c r="PXJ17" s="72"/>
      <c r="PXK17" s="72"/>
      <c r="PXL17" s="72"/>
      <c r="PXM17" s="72"/>
      <c r="PXN17" s="72"/>
      <c r="PXO17" s="72"/>
      <c r="PXP17" s="72"/>
      <c r="PXQ17" s="72"/>
      <c r="PXR17" s="72"/>
      <c r="PXS17" s="72"/>
      <c r="PXT17" s="72"/>
      <c r="PXU17" s="72"/>
      <c r="PXV17" s="72"/>
      <c r="PXW17" s="72"/>
      <c r="PXX17" s="72"/>
      <c r="PXY17" s="72"/>
      <c r="PXZ17" s="72"/>
      <c r="PYA17" s="72"/>
      <c r="PYB17" s="72"/>
      <c r="PYC17" s="72"/>
      <c r="PYD17" s="72"/>
      <c r="PYE17" s="72"/>
      <c r="PYF17" s="72"/>
      <c r="PYG17" s="72"/>
      <c r="PYH17" s="72"/>
      <c r="PYI17" s="72"/>
      <c r="PYJ17" s="72"/>
      <c r="PYK17" s="72"/>
      <c r="PYL17" s="72"/>
      <c r="PYM17" s="72"/>
      <c r="PYN17" s="72"/>
      <c r="PYO17" s="72"/>
      <c r="PYP17" s="72"/>
      <c r="PYQ17" s="72"/>
      <c r="PYR17" s="72"/>
      <c r="PYS17" s="72"/>
      <c r="PYT17" s="72"/>
      <c r="PYU17" s="72"/>
      <c r="PYV17" s="72"/>
      <c r="PYW17" s="72"/>
      <c r="PYX17" s="72"/>
      <c r="PYY17" s="72"/>
      <c r="PYZ17" s="72"/>
      <c r="PZA17" s="72"/>
      <c r="PZB17" s="72"/>
      <c r="PZC17" s="72"/>
      <c r="PZD17" s="72"/>
      <c r="PZE17" s="72"/>
      <c r="PZF17" s="72"/>
      <c r="PZG17" s="72"/>
      <c r="PZH17" s="72"/>
      <c r="PZI17" s="72"/>
      <c r="PZJ17" s="72"/>
      <c r="PZK17" s="72"/>
      <c r="PZL17" s="72"/>
      <c r="PZM17" s="72"/>
      <c r="PZN17" s="72"/>
      <c r="PZO17" s="72"/>
      <c r="PZP17" s="72"/>
      <c r="PZQ17" s="72"/>
      <c r="PZR17" s="72"/>
      <c r="PZS17" s="72"/>
      <c r="PZT17" s="72"/>
      <c r="PZU17" s="72"/>
      <c r="PZV17" s="72"/>
      <c r="PZW17" s="72"/>
      <c r="PZX17" s="72"/>
      <c r="PZY17" s="72"/>
      <c r="PZZ17" s="72"/>
      <c r="QAA17" s="72"/>
      <c r="QAB17" s="72"/>
      <c r="QAC17" s="72"/>
      <c r="QAD17" s="72"/>
      <c r="QAE17" s="72"/>
      <c r="QAF17" s="72"/>
      <c r="QAG17" s="72"/>
      <c r="QAH17" s="72"/>
      <c r="QAI17" s="72"/>
      <c r="QAJ17" s="72"/>
      <c r="QAK17" s="72"/>
      <c r="QAL17" s="72"/>
      <c r="QAM17" s="72"/>
      <c r="QAN17" s="72"/>
      <c r="QAO17" s="72"/>
      <c r="QAP17" s="72"/>
      <c r="QAQ17" s="72"/>
      <c r="QAR17" s="72"/>
      <c r="QAS17" s="72"/>
      <c r="QAT17" s="72"/>
      <c r="QAU17" s="72"/>
      <c r="QAV17" s="72"/>
      <c r="QAW17" s="72"/>
      <c r="QAX17" s="72"/>
      <c r="QAY17" s="72"/>
      <c r="QAZ17" s="72"/>
      <c r="QBA17" s="72"/>
      <c r="QBB17" s="72"/>
      <c r="QBC17" s="72"/>
      <c r="QBD17" s="72"/>
      <c r="QBE17" s="72"/>
      <c r="QBF17" s="72"/>
      <c r="QBG17" s="72"/>
      <c r="QBH17" s="72"/>
      <c r="QBI17" s="72"/>
      <c r="QBJ17" s="72"/>
      <c r="QBK17" s="72"/>
      <c r="QBL17" s="72"/>
      <c r="QBM17" s="72"/>
      <c r="QBN17" s="72"/>
      <c r="QBO17" s="72"/>
      <c r="QBP17" s="72"/>
      <c r="QBQ17" s="72"/>
      <c r="QBR17" s="72"/>
      <c r="QBS17" s="72"/>
      <c r="QBT17" s="72"/>
      <c r="QBU17" s="72"/>
      <c r="QBV17" s="72"/>
      <c r="QBW17" s="72"/>
      <c r="QBX17" s="72"/>
      <c r="QBY17" s="72"/>
      <c r="QBZ17" s="72"/>
      <c r="QCA17" s="72"/>
      <c r="QCB17" s="72"/>
      <c r="QCC17" s="72"/>
      <c r="QCD17" s="72"/>
      <c r="QCE17" s="72"/>
      <c r="QCF17" s="72"/>
      <c r="QCG17" s="72"/>
      <c r="QCH17" s="72"/>
      <c r="QCI17" s="72"/>
      <c r="QCJ17" s="72"/>
      <c r="QCK17" s="72"/>
      <c r="QCL17" s="72"/>
      <c r="QCM17" s="72"/>
      <c r="QCN17" s="72"/>
      <c r="QCO17" s="72"/>
      <c r="QCP17" s="72"/>
      <c r="QCQ17" s="72"/>
      <c r="QCR17" s="72"/>
      <c r="QCS17" s="72"/>
      <c r="QCT17" s="72"/>
      <c r="QCU17" s="72"/>
      <c r="QCV17" s="72"/>
      <c r="QCW17" s="72"/>
      <c r="QCX17" s="72"/>
      <c r="QCY17" s="72"/>
      <c r="QCZ17" s="72"/>
      <c r="QDA17" s="72"/>
      <c r="QDB17" s="72"/>
      <c r="QDC17" s="72"/>
      <c r="QDD17" s="72"/>
      <c r="QDE17" s="72"/>
      <c r="QDF17" s="72"/>
      <c r="QDG17" s="72"/>
      <c r="QDH17" s="72"/>
      <c r="QDI17" s="72"/>
      <c r="QDJ17" s="72"/>
      <c r="QDK17" s="72"/>
      <c r="QDL17" s="72"/>
      <c r="QDM17" s="72"/>
      <c r="QDN17" s="72"/>
      <c r="QDO17" s="72"/>
      <c r="QDP17" s="72"/>
      <c r="QDQ17" s="72"/>
      <c r="QDR17" s="72"/>
      <c r="QDS17" s="72"/>
      <c r="QDT17" s="72"/>
      <c r="QDU17" s="72"/>
      <c r="QDV17" s="72"/>
      <c r="QDW17" s="72"/>
      <c r="QDX17" s="72"/>
      <c r="QDY17" s="72"/>
      <c r="QDZ17" s="72"/>
      <c r="QEA17" s="72"/>
      <c r="QEB17" s="72"/>
      <c r="QEC17" s="72"/>
      <c r="QED17" s="72"/>
      <c r="QEE17" s="72"/>
      <c r="QEF17" s="72"/>
      <c r="QEG17" s="72"/>
      <c r="QEH17" s="72"/>
      <c r="QEI17" s="72"/>
      <c r="QEJ17" s="72"/>
      <c r="QEK17" s="72"/>
      <c r="QEL17" s="72"/>
      <c r="QEM17" s="72"/>
      <c r="QEN17" s="72"/>
      <c r="QEO17" s="72"/>
      <c r="QEP17" s="72"/>
      <c r="QEQ17" s="72"/>
      <c r="QER17" s="72"/>
      <c r="QES17" s="72"/>
      <c r="QET17" s="72"/>
      <c r="QEU17" s="72"/>
      <c r="QEV17" s="72"/>
      <c r="QEW17" s="72"/>
      <c r="QEX17" s="72"/>
      <c r="QEY17" s="72"/>
      <c r="QEZ17" s="72"/>
      <c r="QFA17" s="72"/>
      <c r="QFB17" s="72"/>
      <c r="QFC17" s="72"/>
      <c r="QFD17" s="72"/>
      <c r="QFE17" s="72"/>
      <c r="QFF17" s="72"/>
      <c r="QFG17" s="72"/>
      <c r="QFH17" s="72"/>
      <c r="QFI17" s="72"/>
      <c r="QFJ17" s="72"/>
      <c r="QFK17" s="72"/>
      <c r="QFL17" s="72"/>
      <c r="QFM17" s="72"/>
      <c r="QFN17" s="72"/>
      <c r="QFO17" s="72"/>
      <c r="QFP17" s="72"/>
      <c r="QFQ17" s="72"/>
      <c r="QFR17" s="72"/>
      <c r="QFS17" s="72"/>
      <c r="QFT17" s="72"/>
      <c r="QFU17" s="72"/>
      <c r="QFV17" s="72"/>
      <c r="QFW17" s="72"/>
      <c r="QFX17" s="72"/>
      <c r="QFY17" s="72"/>
      <c r="QFZ17" s="72"/>
      <c r="QGA17" s="72"/>
      <c r="QGB17" s="72"/>
      <c r="QGC17" s="72"/>
      <c r="QGD17" s="72"/>
      <c r="QGE17" s="72"/>
      <c r="QGF17" s="72"/>
      <c r="QGG17" s="72"/>
      <c r="QGH17" s="72"/>
      <c r="QGI17" s="72"/>
      <c r="QGJ17" s="72"/>
      <c r="QGK17" s="72"/>
      <c r="QGL17" s="72"/>
      <c r="QGM17" s="72"/>
      <c r="QGN17" s="72"/>
      <c r="QGO17" s="72"/>
      <c r="QGP17" s="72"/>
      <c r="QGQ17" s="72"/>
      <c r="QGR17" s="72"/>
      <c r="QGS17" s="72"/>
      <c r="QGT17" s="72"/>
      <c r="QGU17" s="72"/>
      <c r="QGV17" s="72"/>
      <c r="QGW17" s="72"/>
      <c r="QGX17" s="72"/>
      <c r="QGY17" s="72"/>
      <c r="QGZ17" s="72"/>
      <c r="QHA17" s="72"/>
      <c r="QHB17" s="72"/>
      <c r="QHC17" s="72"/>
      <c r="QHD17" s="72"/>
      <c r="QHE17" s="72"/>
      <c r="QHF17" s="72"/>
      <c r="QHG17" s="72"/>
      <c r="QHH17" s="72"/>
      <c r="QHI17" s="72"/>
      <c r="QHJ17" s="72"/>
      <c r="QHK17" s="72"/>
      <c r="QHL17" s="72"/>
      <c r="QHM17" s="72"/>
      <c r="QHN17" s="72"/>
      <c r="QHO17" s="72"/>
      <c r="QHP17" s="72"/>
      <c r="QHQ17" s="72"/>
      <c r="QHR17" s="72"/>
      <c r="QHS17" s="72"/>
      <c r="QHT17" s="72"/>
      <c r="QHU17" s="72"/>
      <c r="QHV17" s="72"/>
      <c r="QHW17" s="72"/>
      <c r="QHX17" s="72"/>
      <c r="QHY17" s="72"/>
      <c r="QHZ17" s="72"/>
      <c r="QIA17" s="72"/>
      <c r="QIB17" s="72"/>
      <c r="QIC17" s="72"/>
      <c r="QID17" s="72"/>
      <c r="QIE17" s="72"/>
      <c r="QIF17" s="72"/>
      <c r="QIG17" s="72"/>
      <c r="QIH17" s="72"/>
      <c r="QII17" s="72"/>
      <c r="QIJ17" s="72"/>
      <c r="QIK17" s="72"/>
      <c r="QIL17" s="72"/>
      <c r="QIM17" s="72"/>
      <c r="QIN17" s="72"/>
      <c r="QIO17" s="72"/>
      <c r="QIP17" s="72"/>
      <c r="QIQ17" s="72"/>
      <c r="QIR17" s="72"/>
      <c r="QIS17" s="72"/>
      <c r="QIT17" s="72"/>
      <c r="QIU17" s="72"/>
      <c r="QIV17" s="72"/>
      <c r="QIW17" s="72"/>
      <c r="QIX17" s="72"/>
      <c r="QIY17" s="72"/>
      <c r="QIZ17" s="72"/>
      <c r="QJA17" s="72"/>
      <c r="QJB17" s="72"/>
      <c r="QJC17" s="72"/>
      <c r="QJD17" s="72"/>
      <c r="QJE17" s="72"/>
      <c r="QJF17" s="72"/>
      <c r="QJG17" s="72"/>
      <c r="QJH17" s="72"/>
      <c r="QJI17" s="72"/>
      <c r="QJJ17" s="72"/>
      <c r="QJK17" s="72"/>
      <c r="QJL17" s="72"/>
      <c r="QJM17" s="72"/>
      <c r="QJN17" s="72"/>
      <c r="QJO17" s="72"/>
      <c r="QJP17" s="72"/>
      <c r="QJQ17" s="72"/>
      <c r="QJR17" s="72"/>
      <c r="QJS17" s="72"/>
      <c r="QJT17" s="72"/>
      <c r="QJU17" s="72"/>
      <c r="QJV17" s="72"/>
      <c r="QJW17" s="72"/>
      <c r="QJX17" s="72"/>
      <c r="QJY17" s="72"/>
      <c r="QJZ17" s="72"/>
      <c r="QKA17" s="72"/>
      <c r="QKB17" s="72"/>
      <c r="QKC17" s="72"/>
      <c r="QKD17" s="72"/>
      <c r="QKE17" s="72"/>
      <c r="QKF17" s="72"/>
      <c r="QKG17" s="72"/>
      <c r="QKH17" s="72"/>
      <c r="QKI17" s="72"/>
      <c r="QKJ17" s="72"/>
      <c r="QKK17" s="72"/>
      <c r="QKL17" s="72"/>
      <c r="QKM17" s="72"/>
      <c r="QKN17" s="72"/>
      <c r="QKO17" s="72"/>
      <c r="QKP17" s="72"/>
      <c r="QKQ17" s="72"/>
      <c r="QKR17" s="72"/>
      <c r="QKS17" s="72"/>
      <c r="QKT17" s="72"/>
      <c r="QKU17" s="72"/>
      <c r="QKV17" s="72"/>
      <c r="QKW17" s="72"/>
      <c r="QKX17" s="72"/>
      <c r="QKY17" s="72"/>
      <c r="QKZ17" s="72"/>
      <c r="QLA17" s="72"/>
      <c r="QLB17" s="72"/>
      <c r="QLC17" s="72"/>
      <c r="QLD17" s="72"/>
      <c r="QLE17" s="72"/>
      <c r="QLF17" s="72"/>
      <c r="QLG17" s="72"/>
      <c r="QLH17" s="72"/>
      <c r="QLI17" s="72"/>
      <c r="QLJ17" s="72"/>
      <c r="QLK17" s="72"/>
      <c r="QLL17" s="72"/>
      <c r="QLM17" s="72"/>
      <c r="QLN17" s="72"/>
      <c r="QLO17" s="72"/>
      <c r="QLP17" s="72"/>
      <c r="QLQ17" s="72"/>
      <c r="QLR17" s="72"/>
      <c r="QLS17" s="72"/>
      <c r="QLT17" s="72"/>
      <c r="QLU17" s="72"/>
      <c r="QLV17" s="72"/>
      <c r="QLW17" s="72"/>
      <c r="QLX17" s="72"/>
      <c r="QLY17" s="72"/>
      <c r="QLZ17" s="72"/>
      <c r="QMA17" s="72"/>
      <c r="QMB17" s="72"/>
      <c r="QMC17" s="72"/>
      <c r="QMD17" s="72"/>
      <c r="QME17" s="72"/>
      <c r="QMF17" s="72"/>
      <c r="QMG17" s="72"/>
      <c r="QMH17" s="72"/>
      <c r="QMI17" s="72"/>
      <c r="QMJ17" s="72"/>
      <c r="QMK17" s="72"/>
      <c r="QML17" s="72"/>
      <c r="QMM17" s="72"/>
      <c r="QMN17" s="72"/>
      <c r="QMO17" s="72"/>
      <c r="QMP17" s="72"/>
      <c r="QMQ17" s="72"/>
      <c r="QMR17" s="72"/>
      <c r="QMS17" s="72"/>
      <c r="QMT17" s="72"/>
      <c r="QMU17" s="72"/>
      <c r="QMV17" s="72"/>
      <c r="QMW17" s="72"/>
      <c r="QMX17" s="72"/>
      <c r="QMY17" s="72"/>
      <c r="QMZ17" s="72"/>
      <c r="QNA17" s="72"/>
      <c r="QNB17" s="72"/>
      <c r="QNC17" s="72"/>
      <c r="QND17" s="72"/>
      <c r="QNE17" s="72"/>
      <c r="QNF17" s="72"/>
      <c r="QNG17" s="72"/>
      <c r="QNH17" s="72"/>
      <c r="QNI17" s="72"/>
      <c r="QNJ17" s="72"/>
      <c r="QNK17" s="72"/>
      <c r="QNL17" s="72"/>
      <c r="QNM17" s="72"/>
      <c r="QNN17" s="72"/>
      <c r="QNO17" s="72"/>
      <c r="QNP17" s="72"/>
      <c r="QNQ17" s="72"/>
      <c r="QNR17" s="72"/>
      <c r="QNS17" s="72"/>
      <c r="QNT17" s="72"/>
      <c r="QNU17" s="72"/>
      <c r="QNV17" s="72"/>
      <c r="QNW17" s="72"/>
      <c r="QNX17" s="72"/>
      <c r="QNY17" s="72"/>
      <c r="QNZ17" s="72"/>
      <c r="QOA17" s="72"/>
      <c r="QOB17" s="72"/>
      <c r="QOC17" s="72"/>
      <c r="QOD17" s="72"/>
      <c r="QOE17" s="72"/>
      <c r="QOF17" s="72"/>
      <c r="QOG17" s="72"/>
      <c r="QOH17" s="72"/>
      <c r="QOI17" s="72"/>
      <c r="QOJ17" s="72"/>
      <c r="QOK17" s="72"/>
      <c r="QOL17" s="72"/>
      <c r="QOM17" s="72"/>
      <c r="QON17" s="72"/>
      <c r="QOO17" s="72"/>
      <c r="QOP17" s="72"/>
      <c r="QOQ17" s="72"/>
      <c r="QOR17" s="72"/>
      <c r="QOS17" s="72"/>
      <c r="QOT17" s="72"/>
      <c r="QOU17" s="72"/>
      <c r="QOV17" s="72"/>
      <c r="QOW17" s="72"/>
      <c r="QOX17" s="72"/>
      <c r="QOY17" s="72"/>
      <c r="QOZ17" s="72"/>
      <c r="QPA17" s="72"/>
      <c r="QPB17" s="72"/>
      <c r="QPC17" s="72"/>
      <c r="QPD17" s="72"/>
      <c r="QPE17" s="72"/>
      <c r="QPF17" s="72"/>
      <c r="QPG17" s="72"/>
      <c r="QPH17" s="72"/>
      <c r="QPI17" s="72"/>
      <c r="QPJ17" s="72"/>
      <c r="QPK17" s="72"/>
      <c r="QPL17" s="72"/>
      <c r="QPM17" s="72"/>
      <c r="QPN17" s="72"/>
      <c r="QPO17" s="72"/>
      <c r="QPP17" s="72"/>
      <c r="QPQ17" s="72"/>
      <c r="QPR17" s="72"/>
      <c r="QPS17" s="72"/>
      <c r="QPT17" s="72"/>
      <c r="QPU17" s="72"/>
      <c r="QPV17" s="72"/>
      <c r="QPW17" s="72"/>
      <c r="QPX17" s="72"/>
      <c r="QPY17" s="72"/>
      <c r="QPZ17" s="72"/>
      <c r="QQA17" s="72"/>
      <c r="QQB17" s="72"/>
      <c r="QQC17" s="72"/>
      <c r="QQD17" s="72"/>
      <c r="QQE17" s="72"/>
      <c r="QQF17" s="72"/>
      <c r="QQG17" s="72"/>
      <c r="QQH17" s="72"/>
      <c r="QQI17" s="72"/>
      <c r="QQJ17" s="72"/>
      <c r="QQK17" s="72"/>
      <c r="QQL17" s="72"/>
      <c r="QQM17" s="72"/>
      <c r="QQN17" s="72"/>
      <c r="QQO17" s="72"/>
      <c r="QQP17" s="72"/>
      <c r="QQQ17" s="72"/>
      <c r="QQR17" s="72"/>
      <c r="QQS17" s="72"/>
      <c r="QQT17" s="72"/>
      <c r="QQU17" s="72"/>
      <c r="QQV17" s="72"/>
      <c r="QQW17" s="72"/>
      <c r="QQX17" s="72"/>
      <c r="QQY17" s="72"/>
      <c r="QQZ17" s="72"/>
      <c r="QRA17" s="72"/>
      <c r="QRB17" s="72"/>
      <c r="QRC17" s="72"/>
      <c r="QRD17" s="72"/>
      <c r="QRE17" s="72"/>
      <c r="QRF17" s="72"/>
      <c r="QRG17" s="72"/>
      <c r="QRH17" s="72"/>
      <c r="QRI17" s="72"/>
      <c r="QRJ17" s="72"/>
      <c r="QRK17" s="72"/>
      <c r="QRL17" s="72"/>
      <c r="QRM17" s="72"/>
      <c r="QRN17" s="72"/>
      <c r="QRO17" s="72"/>
      <c r="QRP17" s="72"/>
      <c r="QRQ17" s="72"/>
      <c r="QRR17" s="72"/>
      <c r="QRS17" s="72"/>
      <c r="QRT17" s="72"/>
      <c r="QRU17" s="72"/>
      <c r="QRV17" s="72"/>
      <c r="QRW17" s="72"/>
      <c r="QRX17" s="72"/>
      <c r="QRY17" s="72"/>
      <c r="QRZ17" s="72"/>
      <c r="QSA17" s="72"/>
      <c r="QSB17" s="72"/>
      <c r="QSC17" s="72"/>
      <c r="QSD17" s="72"/>
      <c r="QSE17" s="72"/>
      <c r="QSF17" s="72"/>
      <c r="QSG17" s="72"/>
      <c r="QSH17" s="72"/>
      <c r="QSI17" s="72"/>
      <c r="QSJ17" s="72"/>
      <c r="QSK17" s="72"/>
      <c r="QSL17" s="72"/>
      <c r="QSM17" s="72"/>
      <c r="QSN17" s="72"/>
      <c r="QSO17" s="72"/>
      <c r="QSP17" s="72"/>
      <c r="QSQ17" s="72"/>
      <c r="QSR17" s="72"/>
      <c r="QSS17" s="72"/>
      <c r="QST17" s="72"/>
      <c r="QSU17" s="72"/>
      <c r="QSV17" s="72"/>
      <c r="QSW17" s="72"/>
      <c r="QSX17" s="72"/>
      <c r="QSY17" s="72"/>
      <c r="QSZ17" s="72"/>
      <c r="QTA17" s="72"/>
      <c r="QTB17" s="72"/>
      <c r="QTC17" s="72"/>
      <c r="QTD17" s="72"/>
      <c r="QTE17" s="72"/>
      <c r="QTF17" s="72"/>
      <c r="QTG17" s="72"/>
      <c r="QTH17" s="72"/>
      <c r="QTI17" s="72"/>
      <c r="QTJ17" s="72"/>
      <c r="QTK17" s="72"/>
      <c r="QTL17" s="72"/>
      <c r="QTM17" s="72"/>
      <c r="QTN17" s="72"/>
      <c r="QTO17" s="72"/>
      <c r="QTP17" s="72"/>
      <c r="QTQ17" s="72"/>
      <c r="QTR17" s="72"/>
      <c r="QTS17" s="72"/>
      <c r="QTT17" s="72"/>
      <c r="QTU17" s="72"/>
      <c r="QTV17" s="72"/>
      <c r="QTW17" s="72"/>
      <c r="QTX17" s="72"/>
      <c r="QTY17" s="72"/>
      <c r="QTZ17" s="72"/>
      <c r="QUA17" s="72"/>
      <c r="QUB17" s="72"/>
      <c r="QUC17" s="72"/>
      <c r="QUD17" s="72"/>
      <c r="QUE17" s="72"/>
      <c r="QUF17" s="72"/>
      <c r="QUG17" s="72"/>
      <c r="QUH17" s="72"/>
      <c r="QUI17" s="72"/>
      <c r="QUJ17" s="72"/>
      <c r="QUK17" s="72"/>
      <c r="QUL17" s="72"/>
      <c r="QUM17" s="72"/>
      <c r="QUN17" s="72"/>
      <c r="QUO17" s="72"/>
      <c r="QUP17" s="72"/>
      <c r="QUQ17" s="72"/>
      <c r="QUR17" s="72"/>
      <c r="QUS17" s="72"/>
      <c r="QUT17" s="72"/>
      <c r="QUU17" s="72"/>
      <c r="QUV17" s="72"/>
      <c r="QUW17" s="72"/>
      <c r="QUX17" s="72"/>
      <c r="QUY17" s="72"/>
      <c r="QUZ17" s="72"/>
      <c r="QVA17" s="72"/>
      <c r="QVB17" s="72"/>
      <c r="QVC17" s="72"/>
      <c r="QVD17" s="72"/>
      <c r="QVE17" s="72"/>
      <c r="QVF17" s="72"/>
      <c r="QVG17" s="72"/>
      <c r="QVH17" s="72"/>
      <c r="QVI17" s="72"/>
      <c r="QVJ17" s="72"/>
      <c r="QVK17" s="72"/>
      <c r="QVL17" s="72"/>
      <c r="QVM17" s="72"/>
      <c r="QVN17" s="72"/>
      <c r="QVO17" s="72"/>
      <c r="QVP17" s="72"/>
      <c r="QVQ17" s="72"/>
      <c r="QVR17" s="72"/>
      <c r="QVS17" s="72"/>
      <c r="QVT17" s="72"/>
      <c r="QVU17" s="72"/>
      <c r="QVV17" s="72"/>
      <c r="QVW17" s="72"/>
      <c r="QVX17" s="72"/>
      <c r="QVY17" s="72"/>
      <c r="QVZ17" s="72"/>
      <c r="QWA17" s="72"/>
      <c r="QWB17" s="72"/>
      <c r="QWC17" s="72"/>
      <c r="QWD17" s="72"/>
      <c r="QWE17" s="72"/>
      <c r="QWF17" s="72"/>
      <c r="QWG17" s="72"/>
      <c r="QWH17" s="72"/>
      <c r="QWI17" s="72"/>
      <c r="QWJ17" s="72"/>
      <c r="QWK17" s="72"/>
      <c r="QWL17" s="72"/>
      <c r="QWM17" s="72"/>
      <c r="QWN17" s="72"/>
      <c r="QWO17" s="72"/>
      <c r="QWP17" s="72"/>
      <c r="QWQ17" s="72"/>
      <c r="QWR17" s="72"/>
      <c r="QWS17" s="72"/>
      <c r="QWT17" s="72"/>
      <c r="QWU17" s="72"/>
      <c r="QWV17" s="72"/>
      <c r="QWW17" s="72"/>
      <c r="QWX17" s="72"/>
      <c r="QWY17" s="72"/>
      <c r="QWZ17" s="72"/>
      <c r="QXA17" s="72"/>
      <c r="QXB17" s="72"/>
      <c r="QXC17" s="72"/>
      <c r="QXD17" s="72"/>
      <c r="QXE17" s="72"/>
      <c r="QXF17" s="72"/>
      <c r="QXG17" s="72"/>
      <c r="QXH17" s="72"/>
      <c r="QXI17" s="72"/>
      <c r="QXJ17" s="72"/>
      <c r="QXK17" s="72"/>
      <c r="QXL17" s="72"/>
      <c r="QXM17" s="72"/>
      <c r="QXN17" s="72"/>
      <c r="QXO17" s="72"/>
      <c r="QXP17" s="72"/>
      <c r="QXQ17" s="72"/>
      <c r="QXR17" s="72"/>
      <c r="QXS17" s="72"/>
      <c r="QXT17" s="72"/>
      <c r="QXU17" s="72"/>
      <c r="QXV17" s="72"/>
      <c r="QXW17" s="72"/>
      <c r="QXX17" s="72"/>
      <c r="QXY17" s="72"/>
      <c r="QXZ17" s="72"/>
      <c r="QYA17" s="72"/>
      <c r="QYB17" s="72"/>
      <c r="QYC17" s="72"/>
      <c r="QYD17" s="72"/>
      <c r="QYE17" s="72"/>
      <c r="QYF17" s="72"/>
      <c r="QYG17" s="72"/>
      <c r="QYH17" s="72"/>
      <c r="QYI17" s="72"/>
      <c r="QYJ17" s="72"/>
      <c r="QYK17" s="72"/>
      <c r="QYL17" s="72"/>
      <c r="QYM17" s="72"/>
      <c r="QYN17" s="72"/>
      <c r="QYO17" s="72"/>
      <c r="QYP17" s="72"/>
      <c r="QYQ17" s="72"/>
      <c r="QYR17" s="72"/>
      <c r="QYS17" s="72"/>
      <c r="QYT17" s="72"/>
      <c r="QYU17" s="72"/>
      <c r="QYV17" s="72"/>
      <c r="QYW17" s="72"/>
      <c r="QYX17" s="72"/>
      <c r="QYY17" s="72"/>
      <c r="QYZ17" s="72"/>
      <c r="QZA17" s="72"/>
      <c r="QZB17" s="72"/>
      <c r="QZC17" s="72"/>
      <c r="QZD17" s="72"/>
      <c r="QZE17" s="72"/>
      <c r="QZF17" s="72"/>
      <c r="QZG17" s="72"/>
      <c r="QZH17" s="72"/>
      <c r="QZI17" s="72"/>
      <c r="QZJ17" s="72"/>
      <c r="QZK17" s="72"/>
      <c r="QZL17" s="72"/>
      <c r="QZM17" s="72"/>
      <c r="QZN17" s="72"/>
      <c r="QZO17" s="72"/>
      <c r="QZP17" s="72"/>
      <c r="QZQ17" s="72"/>
      <c r="QZR17" s="72"/>
      <c r="QZS17" s="72"/>
      <c r="QZT17" s="72"/>
      <c r="QZU17" s="72"/>
      <c r="QZV17" s="72"/>
      <c r="QZW17" s="72"/>
      <c r="QZX17" s="72"/>
      <c r="QZY17" s="72"/>
      <c r="QZZ17" s="72"/>
      <c r="RAA17" s="72"/>
      <c r="RAB17" s="72"/>
      <c r="RAC17" s="72"/>
      <c r="RAD17" s="72"/>
      <c r="RAE17" s="72"/>
      <c r="RAF17" s="72"/>
      <c r="RAG17" s="72"/>
      <c r="RAH17" s="72"/>
      <c r="RAI17" s="72"/>
      <c r="RAJ17" s="72"/>
      <c r="RAK17" s="72"/>
      <c r="RAL17" s="72"/>
      <c r="RAM17" s="72"/>
      <c r="RAN17" s="72"/>
      <c r="RAO17" s="72"/>
      <c r="RAP17" s="72"/>
      <c r="RAQ17" s="72"/>
      <c r="RAR17" s="72"/>
      <c r="RAS17" s="72"/>
      <c r="RAT17" s="72"/>
      <c r="RAU17" s="72"/>
      <c r="RAV17" s="72"/>
      <c r="RAW17" s="72"/>
      <c r="RAX17" s="72"/>
      <c r="RAY17" s="72"/>
      <c r="RAZ17" s="72"/>
      <c r="RBA17" s="72"/>
      <c r="RBB17" s="72"/>
      <c r="RBC17" s="72"/>
      <c r="RBD17" s="72"/>
      <c r="RBE17" s="72"/>
      <c r="RBF17" s="72"/>
      <c r="RBG17" s="72"/>
      <c r="RBH17" s="72"/>
      <c r="RBI17" s="72"/>
      <c r="RBJ17" s="72"/>
      <c r="RBK17" s="72"/>
      <c r="RBL17" s="72"/>
      <c r="RBM17" s="72"/>
      <c r="RBN17" s="72"/>
      <c r="RBO17" s="72"/>
      <c r="RBP17" s="72"/>
      <c r="RBQ17" s="72"/>
      <c r="RBR17" s="72"/>
      <c r="RBS17" s="72"/>
      <c r="RBT17" s="72"/>
      <c r="RBU17" s="72"/>
      <c r="RBV17" s="72"/>
      <c r="RBW17" s="72"/>
      <c r="RBX17" s="72"/>
      <c r="RBY17" s="72"/>
      <c r="RBZ17" s="72"/>
      <c r="RCA17" s="72"/>
      <c r="RCB17" s="72"/>
      <c r="RCC17" s="72"/>
      <c r="RCD17" s="72"/>
      <c r="RCE17" s="72"/>
      <c r="RCF17" s="72"/>
      <c r="RCG17" s="72"/>
      <c r="RCH17" s="72"/>
      <c r="RCI17" s="72"/>
      <c r="RCJ17" s="72"/>
      <c r="RCK17" s="72"/>
      <c r="RCL17" s="72"/>
      <c r="RCM17" s="72"/>
      <c r="RCN17" s="72"/>
      <c r="RCO17" s="72"/>
      <c r="RCP17" s="72"/>
      <c r="RCQ17" s="72"/>
      <c r="RCR17" s="72"/>
      <c r="RCS17" s="72"/>
      <c r="RCT17" s="72"/>
      <c r="RCU17" s="72"/>
      <c r="RCV17" s="72"/>
      <c r="RCW17" s="72"/>
      <c r="RCX17" s="72"/>
      <c r="RCY17" s="72"/>
      <c r="RCZ17" s="72"/>
      <c r="RDA17" s="72"/>
      <c r="RDB17" s="72"/>
      <c r="RDC17" s="72"/>
      <c r="RDD17" s="72"/>
      <c r="RDE17" s="72"/>
      <c r="RDF17" s="72"/>
      <c r="RDG17" s="72"/>
      <c r="RDH17" s="72"/>
      <c r="RDI17" s="72"/>
      <c r="RDJ17" s="72"/>
      <c r="RDK17" s="72"/>
      <c r="RDL17" s="72"/>
      <c r="RDM17" s="72"/>
      <c r="RDN17" s="72"/>
      <c r="RDO17" s="72"/>
      <c r="RDP17" s="72"/>
      <c r="RDQ17" s="72"/>
      <c r="RDR17" s="72"/>
      <c r="RDS17" s="72"/>
      <c r="RDT17" s="72"/>
      <c r="RDU17" s="72"/>
      <c r="RDV17" s="72"/>
      <c r="RDW17" s="72"/>
      <c r="RDX17" s="72"/>
      <c r="RDY17" s="72"/>
      <c r="RDZ17" s="72"/>
      <c r="REA17" s="72"/>
      <c r="REB17" s="72"/>
      <c r="REC17" s="72"/>
      <c r="RED17" s="72"/>
      <c r="REE17" s="72"/>
      <c r="REF17" s="72"/>
      <c r="REG17" s="72"/>
      <c r="REH17" s="72"/>
      <c r="REI17" s="72"/>
      <c r="REJ17" s="72"/>
      <c r="REK17" s="72"/>
      <c r="REL17" s="72"/>
      <c r="REM17" s="72"/>
      <c r="REN17" s="72"/>
      <c r="REO17" s="72"/>
      <c r="REP17" s="72"/>
      <c r="REQ17" s="72"/>
      <c r="RER17" s="72"/>
      <c r="RES17" s="72"/>
      <c r="RET17" s="72"/>
      <c r="REU17" s="72"/>
      <c r="REV17" s="72"/>
      <c r="REW17" s="72"/>
      <c r="REX17" s="72"/>
      <c r="REY17" s="72"/>
      <c r="REZ17" s="72"/>
      <c r="RFA17" s="72"/>
      <c r="RFB17" s="72"/>
      <c r="RFC17" s="72"/>
      <c r="RFD17" s="72"/>
      <c r="RFE17" s="72"/>
      <c r="RFF17" s="72"/>
      <c r="RFG17" s="72"/>
      <c r="RFH17" s="72"/>
      <c r="RFI17" s="72"/>
      <c r="RFJ17" s="72"/>
      <c r="RFK17" s="72"/>
      <c r="RFL17" s="72"/>
      <c r="RFM17" s="72"/>
      <c r="RFN17" s="72"/>
      <c r="RFO17" s="72"/>
      <c r="RFP17" s="72"/>
      <c r="RFQ17" s="72"/>
      <c r="RFR17" s="72"/>
      <c r="RFS17" s="72"/>
      <c r="RFT17" s="72"/>
      <c r="RFU17" s="72"/>
      <c r="RFV17" s="72"/>
      <c r="RFW17" s="72"/>
      <c r="RFX17" s="72"/>
      <c r="RFY17" s="72"/>
      <c r="RFZ17" s="72"/>
      <c r="RGA17" s="72"/>
      <c r="RGB17" s="72"/>
      <c r="RGC17" s="72"/>
      <c r="RGD17" s="72"/>
      <c r="RGE17" s="72"/>
      <c r="RGF17" s="72"/>
      <c r="RGG17" s="72"/>
      <c r="RGH17" s="72"/>
      <c r="RGI17" s="72"/>
      <c r="RGJ17" s="72"/>
      <c r="RGK17" s="72"/>
      <c r="RGL17" s="72"/>
      <c r="RGM17" s="72"/>
      <c r="RGN17" s="72"/>
      <c r="RGO17" s="72"/>
      <c r="RGP17" s="72"/>
      <c r="RGQ17" s="72"/>
      <c r="RGR17" s="72"/>
      <c r="RGS17" s="72"/>
      <c r="RGT17" s="72"/>
      <c r="RGU17" s="72"/>
      <c r="RGV17" s="72"/>
      <c r="RGW17" s="72"/>
      <c r="RGX17" s="72"/>
      <c r="RGY17" s="72"/>
      <c r="RGZ17" s="72"/>
      <c r="RHA17" s="72"/>
      <c r="RHB17" s="72"/>
      <c r="RHC17" s="72"/>
      <c r="RHD17" s="72"/>
      <c r="RHE17" s="72"/>
      <c r="RHF17" s="72"/>
      <c r="RHG17" s="72"/>
      <c r="RHH17" s="72"/>
      <c r="RHI17" s="72"/>
      <c r="RHJ17" s="72"/>
      <c r="RHK17" s="72"/>
      <c r="RHL17" s="72"/>
      <c r="RHM17" s="72"/>
      <c r="RHN17" s="72"/>
      <c r="RHO17" s="72"/>
      <c r="RHP17" s="72"/>
      <c r="RHQ17" s="72"/>
      <c r="RHR17" s="72"/>
      <c r="RHS17" s="72"/>
      <c r="RHT17" s="72"/>
      <c r="RHU17" s="72"/>
      <c r="RHV17" s="72"/>
      <c r="RHW17" s="72"/>
      <c r="RHX17" s="72"/>
      <c r="RHY17" s="72"/>
      <c r="RHZ17" s="72"/>
      <c r="RIA17" s="72"/>
      <c r="RIB17" s="72"/>
      <c r="RIC17" s="72"/>
      <c r="RID17" s="72"/>
      <c r="RIE17" s="72"/>
      <c r="RIF17" s="72"/>
      <c r="RIG17" s="72"/>
      <c r="RIH17" s="72"/>
      <c r="RII17" s="72"/>
      <c r="RIJ17" s="72"/>
      <c r="RIK17" s="72"/>
      <c r="RIL17" s="72"/>
      <c r="RIM17" s="72"/>
      <c r="RIN17" s="72"/>
      <c r="RIO17" s="72"/>
      <c r="RIP17" s="72"/>
      <c r="RIQ17" s="72"/>
      <c r="RIR17" s="72"/>
      <c r="RIS17" s="72"/>
      <c r="RIT17" s="72"/>
      <c r="RIU17" s="72"/>
      <c r="RIV17" s="72"/>
      <c r="RIW17" s="72"/>
      <c r="RIX17" s="72"/>
      <c r="RIY17" s="72"/>
      <c r="RIZ17" s="72"/>
      <c r="RJA17" s="72"/>
      <c r="RJB17" s="72"/>
      <c r="RJC17" s="72"/>
      <c r="RJD17" s="72"/>
      <c r="RJE17" s="72"/>
      <c r="RJF17" s="72"/>
      <c r="RJG17" s="72"/>
      <c r="RJH17" s="72"/>
      <c r="RJI17" s="72"/>
      <c r="RJJ17" s="72"/>
      <c r="RJK17" s="72"/>
      <c r="RJL17" s="72"/>
      <c r="RJM17" s="72"/>
      <c r="RJN17" s="72"/>
      <c r="RJO17" s="72"/>
      <c r="RJP17" s="72"/>
      <c r="RJQ17" s="72"/>
      <c r="RJR17" s="72"/>
      <c r="RJS17" s="72"/>
      <c r="RJT17" s="72"/>
      <c r="RJU17" s="72"/>
      <c r="RJV17" s="72"/>
      <c r="RJW17" s="72"/>
      <c r="RJX17" s="72"/>
      <c r="RJY17" s="72"/>
      <c r="RJZ17" s="72"/>
      <c r="RKA17" s="72"/>
      <c r="RKB17" s="72"/>
      <c r="RKC17" s="72"/>
      <c r="RKD17" s="72"/>
      <c r="RKE17" s="72"/>
      <c r="RKF17" s="72"/>
      <c r="RKG17" s="72"/>
      <c r="RKH17" s="72"/>
      <c r="RKI17" s="72"/>
      <c r="RKJ17" s="72"/>
      <c r="RKK17" s="72"/>
      <c r="RKL17" s="72"/>
      <c r="RKM17" s="72"/>
      <c r="RKN17" s="72"/>
      <c r="RKO17" s="72"/>
      <c r="RKP17" s="72"/>
      <c r="RKQ17" s="72"/>
      <c r="RKR17" s="72"/>
      <c r="RKS17" s="72"/>
      <c r="RKT17" s="72"/>
      <c r="RKU17" s="72"/>
      <c r="RKV17" s="72"/>
      <c r="RKW17" s="72"/>
      <c r="RKX17" s="72"/>
      <c r="RKY17" s="72"/>
      <c r="RKZ17" s="72"/>
      <c r="RLA17" s="72"/>
      <c r="RLB17" s="72"/>
      <c r="RLC17" s="72"/>
      <c r="RLD17" s="72"/>
      <c r="RLE17" s="72"/>
      <c r="RLF17" s="72"/>
      <c r="RLG17" s="72"/>
      <c r="RLH17" s="72"/>
      <c r="RLI17" s="72"/>
      <c r="RLJ17" s="72"/>
      <c r="RLK17" s="72"/>
      <c r="RLL17" s="72"/>
      <c r="RLM17" s="72"/>
      <c r="RLN17" s="72"/>
      <c r="RLO17" s="72"/>
      <c r="RLP17" s="72"/>
      <c r="RLQ17" s="72"/>
      <c r="RLR17" s="72"/>
      <c r="RLS17" s="72"/>
      <c r="RLT17" s="72"/>
      <c r="RLU17" s="72"/>
      <c r="RLV17" s="72"/>
      <c r="RLW17" s="72"/>
      <c r="RLX17" s="72"/>
      <c r="RLY17" s="72"/>
      <c r="RLZ17" s="72"/>
      <c r="RMA17" s="72"/>
      <c r="RMB17" s="72"/>
      <c r="RMC17" s="72"/>
      <c r="RMD17" s="72"/>
      <c r="RME17" s="72"/>
      <c r="RMF17" s="72"/>
      <c r="RMG17" s="72"/>
      <c r="RMH17" s="72"/>
      <c r="RMI17" s="72"/>
      <c r="RMJ17" s="72"/>
      <c r="RMK17" s="72"/>
      <c r="RML17" s="72"/>
      <c r="RMM17" s="72"/>
      <c r="RMN17" s="72"/>
      <c r="RMO17" s="72"/>
      <c r="RMP17" s="72"/>
      <c r="RMQ17" s="72"/>
      <c r="RMR17" s="72"/>
      <c r="RMS17" s="72"/>
      <c r="RMT17" s="72"/>
      <c r="RMU17" s="72"/>
      <c r="RMV17" s="72"/>
      <c r="RMW17" s="72"/>
      <c r="RMX17" s="72"/>
      <c r="RMY17" s="72"/>
      <c r="RMZ17" s="72"/>
      <c r="RNA17" s="72"/>
      <c r="RNB17" s="72"/>
      <c r="RNC17" s="72"/>
      <c r="RND17" s="72"/>
      <c r="RNE17" s="72"/>
      <c r="RNF17" s="72"/>
      <c r="RNG17" s="72"/>
      <c r="RNH17" s="72"/>
      <c r="RNI17" s="72"/>
      <c r="RNJ17" s="72"/>
      <c r="RNK17" s="72"/>
      <c r="RNL17" s="72"/>
      <c r="RNM17" s="72"/>
      <c r="RNN17" s="72"/>
      <c r="RNO17" s="72"/>
      <c r="RNP17" s="72"/>
      <c r="RNQ17" s="72"/>
      <c r="RNR17" s="72"/>
      <c r="RNS17" s="72"/>
      <c r="RNT17" s="72"/>
      <c r="RNU17" s="72"/>
      <c r="RNV17" s="72"/>
      <c r="RNW17" s="72"/>
      <c r="RNX17" s="72"/>
      <c r="RNY17" s="72"/>
      <c r="RNZ17" s="72"/>
      <c r="ROA17" s="72"/>
      <c r="ROB17" s="72"/>
      <c r="ROC17" s="72"/>
      <c r="ROD17" s="72"/>
      <c r="ROE17" s="72"/>
      <c r="ROF17" s="72"/>
      <c r="ROG17" s="72"/>
      <c r="ROH17" s="72"/>
      <c r="ROI17" s="72"/>
      <c r="ROJ17" s="72"/>
      <c r="ROK17" s="72"/>
      <c r="ROL17" s="72"/>
      <c r="ROM17" s="72"/>
      <c r="RON17" s="72"/>
      <c r="ROO17" s="72"/>
      <c r="ROP17" s="72"/>
      <c r="ROQ17" s="72"/>
      <c r="ROR17" s="72"/>
      <c r="ROS17" s="72"/>
      <c r="ROT17" s="72"/>
      <c r="ROU17" s="72"/>
      <c r="ROV17" s="72"/>
      <c r="ROW17" s="72"/>
      <c r="ROX17" s="72"/>
      <c r="ROY17" s="72"/>
      <c r="ROZ17" s="72"/>
      <c r="RPA17" s="72"/>
      <c r="RPB17" s="72"/>
      <c r="RPC17" s="72"/>
      <c r="RPD17" s="72"/>
      <c r="RPE17" s="72"/>
      <c r="RPF17" s="72"/>
      <c r="RPG17" s="72"/>
      <c r="RPH17" s="72"/>
      <c r="RPI17" s="72"/>
      <c r="RPJ17" s="72"/>
      <c r="RPK17" s="72"/>
      <c r="RPL17" s="72"/>
      <c r="RPM17" s="72"/>
      <c r="RPN17" s="72"/>
      <c r="RPO17" s="72"/>
      <c r="RPP17" s="72"/>
      <c r="RPQ17" s="72"/>
      <c r="RPR17" s="72"/>
      <c r="RPS17" s="72"/>
      <c r="RPT17" s="72"/>
      <c r="RPU17" s="72"/>
      <c r="RPV17" s="72"/>
      <c r="RPW17" s="72"/>
      <c r="RPX17" s="72"/>
      <c r="RPY17" s="72"/>
      <c r="RPZ17" s="72"/>
      <c r="RQA17" s="72"/>
      <c r="RQB17" s="72"/>
      <c r="RQC17" s="72"/>
      <c r="RQD17" s="72"/>
      <c r="RQE17" s="72"/>
      <c r="RQF17" s="72"/>
      <c r="RQG17" s="72"/>
      <c r="RQH17" s="72"/>
      <c r="RQI17" s="72"/>
      <c r="RQJ17" s="72"/>
      <c r="RQK17" s="72"/>
      <c r="RQL17" s="72"/>
      <c r="RQM17" s="72"/>
      <c r="RQN17" s="72"/>
      <c r="RQO17" s="72"/>
      <c r="RQP17" s="72"/>
      <c r="RQQ17" s="72"/>
      <c r="RQR17" s="72"/>
      <c r="RQS17" s="72"/>
      <c r="RQT17" s="72"/>
      <c r="RQU17" s="72"/>
      <c r="RQV17" s="72"/>
      <c r="RQW17" s="72"/>
      <c r="RQX17" s="72"/>
      <c r="RQY17" s="72"/>
      <c r="RQZ17" s="72"/>
      <c r="RRA17" s="72"/>
      <c r="RRB17" s="72"/>
      <c r="RRC17" s="72"/>
      <c r="RRD17" s="72"/>
      <c r="RRE17" s="72"/>
      <c r="RRF17" s="72"/>
      <c r="RRG17" s="72"/>
      <c r="RRH17" s="72"/>
      <c r="RRI17" s="72"/>
      <c r="RRJ17" s="72"/>
      <c r="RRK17" s="72"/>
      <c r="RRL17" s="72"/>
      <c r="RRM17" s="72"/>
      <c r="RRN17" s="72"/>
      <c r="RRO17" s="72"/>
      <c r="RRP17" s="72"/>
      <c r="RRQ17" s="72"/>
      <c r="RRR17" s="72"/>
      <c r="RRS17" s="72"/>
      <c r="RRT17" s="72"/>
      <c r="RRU17" s="72"/>
      <c r="RRV17" s="72"/>
      <c r="RRW17" s="72"/>
      <c r="RRX17" s="72"/>
      <c r="RRY17" s="72"/>
      <c r="RRZ17" s="72"/>
      <c r="RSA17" s="72"/>
      <c r="RSB17" s="72"/>
      <c r="RSC17" s="72"/>
      <c r="RSD17" s="72"/>
      <c r="RSE17" s="72"/>
      <c r="RSF17" s="72"/>
      <c r="RSG17" s="72"/>
      <c r="RSH17" s="72"/>
      <c r="RSI17" s="72"/>
      <c r="RSJ17" s="72"/>
      <c r="RSK17" s="72"/>
      <c r="RSL17" s="72"/>
      <c r="RSM17" s="72"/>
      <c r="RSN17" s="72"/>
      <c r="RSO17" s="72"/>
      <c r="RSP17" s="72"/>
      <c r="RSQ17" s="72"/>
      <c r="RSR17" s="72"/>
      <c r="RSS17" s="72"/>
      <c r="RST17" s="72"/>
      <c r="RSU17" s="72"/>
      <c r="RSV17" s="72"/>
      <c r="RSW17" s="72"/>
      <c r="RSX17" s="72"/>
      <c r="RSY17" s="72"/>
      <c r="RSZ17" s="72"/>
      <c r="RTA17" s="72"/>
      <c r="RTB17" s="72"/>
      <c r="RTC17" s="72"/>
      <c r="RTD17" s="72"/>
      <c r="RTE17" s="72"/>
      <c r="RTF17" s="72"/>
      <c r="RTG17" s="72"/>
      <c r="RTH17" s="72"/>
      <c r="RTI17" s="72"/>
      <c r="RTJ17" s="72"/>
      <c r="RTK17" s="72"/>
      <c r="RTL17" s="72"/>
      <c r="RTM17" s="72"/>
      <c r="RTN17" s="72"/>
      <c r="RTO17" s="72"/>
      <c r="RTP17" s="72"/>
      <c r="RTQ17" s="72"/>
      <c r="RTR17" s="72"/>
      <c r="RTS17" s="72"/>
      <c r="RTT17" s="72"/>
      <c r="RTU17" s="72"/>
      <c r="RTV17" s="72"/>
      <c r="RTW17" s="72"/>
      <c r="RTX17" s="72"/>
      <c r="RTY17" s="72"/>
      <c r="RTZ17" s="72"/>
      <c r="RUA17" s="72"/>
      <c r="RUB17" s="72"/>
      <c r="RUC17" s="72"/>
      <c r="RUD17" s="72"/>
      <c r="RUE17" s="72"/>
      <c r="RUF17" s="72"/>
      <c r="RUG17" s="72"/>
      <c r="RUH17" s="72"/>
      <c r="RUI17" s="72"/>
      <c r="RUJ17" s="72"/>
      <c r="RUK17" s="72"/>
      <c r="RUL17" s="72"/>
      <c r="RUM17" s="72"/>
      <c r="RUN17" s="72"/>
      <c r="RUO17" s="72"/>
      <c r="RUP17" s="72"/>
      <c r="RUQ17" s="72"/>
      <c r="RUR17" s="72"/>
      <c r="RUS17" s="72"/>
      <c r="RUT17" s="72"/>
      <c r="RUU17" s="72"/>
      <c r="RUV17" s="72"/>
      <c r="RUW17" s="72"/>
      <c r="RUX17" s="72"/>
      <c r="RUY17" s="72"/>
      <c r="RUZ17" s="72"/>
      <c r="RVA17" s="72"/>
      <c r="RVB17" s="72"/>
      <c r="RVC17" s="72"/>
      <c r="RVD17" s="72"/>
      <c r="RVE17" s="72"/>
      <c r="RVF17" s="72"/>
      <c r="RVG17" s="72"/>
      <c r="RVH17" s="72"/>
      <c r="RVI17" s="72"/>
      <c r="RVJ17" s="72"/>
      <c r="RVK17" s="72"/>
      <c r="RVL17" s="72"/>
      <c r="RVM17" s="72"/>
      <c r="RVN17" s="72"/>
      <c r="RVO17" s="72"/>
      <c r="RVP17" s="72"/>
      <c r="RVQ17" s="72"/>
      <c r="RVR17" s="72"/>
      <c r="RVS17" s="72"/>
      <c r="RVT17" s="72"/>
      <c r="RVU17" s="72"/>
      <c r="RVV17" s="72"/>
      <c r="RVW17" s="72"/>
      <c r="RVX17" s="72"/>
      <c r="RVY17" s="72"/>
      <c r="RVZ17" s="72"/>
      <c r="RWA17" s="72"/>
      <c r="RWB17" s="72"/>
      <c r="RWC17" s="72"/>
      <c r="RWD17" s="72"/>
      <c r="RWE17" s="72"/>
      <c r="RWF17" s="72"/>
      <c r="RWG17" s="72"/>
      <c r="RWH17" s="72"/>
      <c r="RWI17" s="72"/>
      <c r="RWJ17" s="72"/>
      <c r="RWK17" s="72"/>
      <c r="RWL17" s="72"/>
      <c r="RWM17" s="72"/>
      <c r="RWN17" s="72"/>
      <c r="RWO17" s="72"/>
      <c r="RWP17" s="72"/>
      <c r="RWQ17" s="72"/>
      <c r="RWR17" s="72"/>
      <c r="RWS17" s="72"/>
      <c r="RWT17" s="72"/>
      <c r="RWU17" s="72"/>
      <c r="RWV17" s="72"/>
      <c r="RWW17" s="72"/>
      <c r="RWX17" s="72"/>
      <c r="RWY17" s="72"/>
      <c r="RWZ17" s="72"/>
      <c r="RXA17" s="72"/>
      <c r="RXB17" s="72"/>
      <c r="RXC17" s="72"/>
      <c r="RXD17" s="72"/>
      <c r="RXE17" s="72"/>
      <c r="RXF17" s="72"/>
      <c r="RXG17" s="72"/>
      <c r="RXH17" s="72"/>
      <c r="RXI17" s="72"/>
      <c r="RXJ17" s="72"/>
      <c r="RXK17" s="72"/>
      <c r="RXL17" s="72"/>
      <c r="RXM17" s="72"/>
      <c r="RXN17" s="72"/>
      <c r="RXO17" s="72"/>
      <c r="RXP17" s="72"/>
      <c r="RXQ17" s="72"/>
      <c r="RXR17" s="72"/>
      <c r="RXS17" s="72"/>
      <c r="RXT17" s="72"/>
      <c r="RXU17" s="72"/>
      <c r="RXV17" s="72"/>
      <c r="RXW17" s="72"/>
      <c r="RXX17" s="72"/>
      <c r="RXY17" s="72"/>
      <c r="RXZ17" s="72"/>
      <c r="RYA17" s="72"/>
      <c r="RYB17" s="72"/>
      <c r="RYC17" s="72"/>
      <c r="RYD17" s="72"/>
      <c r="RYE17" s="72"/>
      <c r="RYF17" s="72"/>
      <c r="RYG17" s="72"/>
      <c r="RYH17" s="72"/>
      <c r="RYI17" s="72"/>
      <c r="RYJ17" s="72"/>
      <c r="RYK17" s="72"/>
      <c r="RYL17" s="72"/>
      <c r="RYM17" s="72"/>
      <c r="RYN17" s="72"/>
      <c r="RYO17" s="72"/>
      <c r="RYP17" s="72"/>
      <c r="RYQ17" s="72"/>
      <c r="RYR17" s="72"/>
      <c r="RYS17" s="72"/>
      <c r="RYT17" s="72"/>
      <c r="RYU17" s="72"/>
      <c r="RYV17" s="72"/>
      <c r="RYW17" s="72"/>
      <c r="RYX17" s="72"/>
      <c r="RYY17" s="72"/>
      <c r="RYZ17" s="72"/>
      <c r="RZA17" s="72"/>
      <c r="RZB17" s="72"/>
      <c r="RZC17" s="72"/>
      <c r="RZD17" s="72"/>
      <c r="RZE17" s="72"/>
      <c r="RZF17" s="72"/>
      <c r="RZG17" s="72"/>
      <c r="RZH17" s="72"/>
      <c r="RZI17" s="72"/>
      <c r="RZJ17" s="72"/>
      <c r="RZK17" s="72"/>
      <c r="RZL17" s="72"/>
      <c r="RZM17" s="72"/>
      <c r="RZN17" s="72"/>
      <c r="RZO17" s="72"/>
      <c r="RZP17" s="72"/>
      <c r="RZQ17" s="72"/>
      <c r="RZR17" s="72"/>
      <c r="RZS17" s="72"/>
      <c r="RZT17" s="72"/>
      <c r="RZU17" s="72"/>
      <c r="RZV17" s="72"/>
      <c r="RZW17" s="72"/>
      <c r="RZX17" s="72"/>
      <c r="RZY17" s="72"/>
      <c r="RZZ17" s="72"/>
      <c r="SAA17" s="72"/>
      <c r="SAB17" s="72"/>
      <c r="SAC17" s="72"/>
      <c r="SAD17" s="72"/>
      <c r="SAE17" s="72"/>
      <c r="SAF17" s="72"/>
      <c r="SAG17" s="72"/>
      <c r="SAH17" s="72"/>
      <c r="SAI17" s="72"/>
      <c r="SAJ17" s="72"/>
      <c r="SAK17" s="72"/>
      <c r="SAL17" s="72"/>
      <c r="SAM17" s="72"/>
      <c r="SAN17" s="72"/>
      <c r="SAO17" s="72"/>
      <c r="SAP17" s="72"/>
      <c r="SAQ17" s="72"/>
      <c r="SAR17" s="72"/>
      <c r="SAS17" s="72"/>
      <c r="SAT17" s="72"/>
      <c r="SAU17" s="72"/>
      <c r="SAV17" s="72"/>
      <c r="SAW17" s="72"/>
      <c r="SAX17" s="72"/>
      <c r="SAY17" s="72"/>
      <c r="SAZ17" s="72"/>
      <c r="SBA17" s="72"/>
      <c r="SBB17" s="72"/>
      <c r="SBC17" s="72"/>
      <c r="SBD17" s="72"/>
      <c r="SBE17" s="72"/>
      <c r="SBF17" s="72"/>
      <c r="SBG17" s="72"/>
      <c r="SBH17" s="72"/>
      <c r="SBI17" s="72"/>
      <c r="SBJ17" s="72"/>
      <c r="SBK17" s="72"/>
      <c r="SBL17" s="72"/>
      <c r="SBM17" s="72"/>
      <c r="SBN17" s="72"/>
      <c r="SBO17" s="72"/>
      <c r="SBP17" s="72"/>
      <c r="SBQ17" s="72"/>
      <c r="SBR17" s="72"/>
      <c r="SBS17" s="72"/>
      <c r="SBT17" s="72"/>
      <c r="SBU17" s="72"/>
      <c r="SBV17" s="72"/>
      <c r="SBW17" s="72"/>
      <c r="SBX17" s="72"/>
      <c r="SBY17" s="72"/>
      <c r="SBZ17" s="72"/>
      <c r="SCA17" s="72"/>
      <c r="SCB17" s="72"/>
      <c r="SCC17" s="72"/>
      <c r="SCD17" s="72"/>
      <c r="SCE17" s="72"/>
      <c r="SCF17" s="72"/>
      <c r="SCG17" s="72"/>
      <c r="SCH17" s="72"/>
      <c r="SCI17" s="72"/>
      <c r="SCJ17" s="72"/>
      <c r="SCK17" s="72"/>
      <c r="SCL17" s="72"/>
      <c r="SCM17" s="72"/>
      <c r="SCN17" s="72"/>
      <c r="SCO17" s="72"/>
      <c r="SCP17" s="72"/>
      <c r="SCQ17" s="72"/>
      <c r="SCR17" s="72"/>
      <c r="SCS17" s="72"/>
      <c r="SCT17" s="72"/>
      <c r="SCU17" s="72"/>
      <c r="SCV17" s="72"/>
      <c r="SCW17" s="72"/>
      <c r="SCX17" s="72"/>
      <c r="SCY17" s="72"/>
      <c r="SCZ17" s="72"/>
      <c r="SDA17" s="72"/>
      <c r="SDB17" s="72"/>
      <c r="SDC17" s="72"/>
      <c r="SDD17" s="72"/>
      <c r="SDE17" s="72"/>
      <c r="SDF17" s="72"/>
      <c r="SDG17" s="72"/>
      <c r="SDH17" s="72"/>
      <c r="SDI17" s="72"/>
      <c r="SDJ17" s="72"/>
      <c r="SDK17" s="72"/>
      <c r="SDL17" s="72"/>
      <c r="SDM17" s="72"/>
      <c r="SDN17" s="72"/>
      <c r="SDO17" s="72"/>
      <c r="SDP17" s="72"/>
      <c r="SDQ17" s="72"/>
      <c r="SDR17" s="72"/>
      <c r="SDS17" s="72"/>
      <c r="SDT17" s="72"/>
      <c r="SDU17" s="72"/>
      <c r="SDV17" s="72"/>
      <c r="SDW17" s="72"/>
      <c r="SDX17" s="72"/>
      <c r="SDY17" s="72"/>
      <c r="SDZ17" s="72"/>
      <c r="SEA17" s="72"/>
      <c r="SEB17" s="72"/>
      <c r="SEC17" s="72"/>
      <c r="SED17" s="72"/>
      <c r="SEE17" s="72"/>
      <c r="SEF17" s="72"/>
      <c r="SEG17" s="72"/>
      <c r="SEH17" s="72"/>
      <c r="SEI17" s="72"/>
      <c r="SEJ17" s="72"/>
      <c r="SEK17" s="72"/>
      <c r="SEL17" s="72"/>
      <c r="SEM17" s="72"/>
      <c r="SEN17" s="72"/>
      <c r="SEO17" s="72"/>
      <c r="SEP17" s="72"/>
      <c r="SEQ17" s="72"/>
      <c r="SER17" s="72"/>
      <c r="SES17" s="72"/>
      <c r="SET17" s="72"/>
      <c r="SEU17" s="72"/>
      <c r="SEV17" s="72"/>
      <c r="SEW17" s="72"/>
      <c r="SEX17" s="72"/>
      <c r="SEY17" s="72"/>
      <c r="SEZ17" s="72"/>
      <c r="SFA17" s="72"/>
      <c r="SFB17" s="72"/>
      <c r="SFC17" s="72"/>
      <c r="SFD17" s="72"/>
      <c r="SFE17" s="72"/>
      <c r="SFF17" s="72"/>
      <c r="SFG17" s="72"/>
      <c r="SFH17" s="72"/>
      <c r="SFI17" s="72"/>
      <c r="SFJ17" s="72"/>
      <c r="SFK17" s="72"/>
      <c r="SFL17" s="72"/>
      <c r="SFM17" s="72"/>
      <c r="SFN17" s="72"/>
      <c r="SFO17" s="72"/>
      <c r="SFP17" s="72"/>
      <c r="SFQ17" s="72"/>
      <c r="SFR17" s="72"/>
      <c r="SFS17" s="72"/>
      <c r="SFT17" s="72"/>
      <c r="SFU17" s="72"/>
      <c r="SFV17" s="72"/>
      <c r="SFW17" s="72"/>
      <c r="SFX17" s="72"/>
      <c r="SFY17" s="72"/>
      <c r="SFZ17" s="72"/>
      <c r="SGA17" s="72"/>
      <c r="SGB17" s="72"/>
      <c r="SGC17" s="72"/>
      <c r="SGD17" s="72"/>
      <c r="SGE17" s="72"/>
      <c r="SGF17" s="72"/>
      <c r="SGG17" s="72"/>
      <c r="SGH17" s="72"/>
      <c r="SGI17" s="72"/>
      <c r="SGJ17" s="72"/>
      <c r="SGK17" s="72"/>
      <c r="SGL17" s="72"/>
      <c r="SGM17" s="72"/>
      <c r="SGN17" s="72"/>
      <c r="SGO17" s="72"/>
      <c r="SGP17" s="72"/>
      <c r="SGQ17" s="72"/>
      <c r="SGR17" s="72"/>
      <c r="SGS17" s="72"/>
      <c r="SGT17" s="72"/>
      <c r="SGU17" s="72"/>
      <c r="SGV17" s="72"/>
      <c r="SGW17" s="72"/>
      <c r="SGX17" s="72"/>
      <c r="SGY17" s="72"/>
      <c r="SGZ17" s="72"/>
      <c r="SHA17" s="72"/>
      <c r="SHB17" s="72"/>
      <c r="SHC17" s="72"/>
      <c r="SHD17" s="72"/>
      <c r="SHE17" s="72"/>
      <c r="SHF17" s="72"/>
      <c r="SHG17" s="72"/>
      <c r="SHH17" s="72"/>
      <c r="SHI17" s="72"/>
      <c r="SHJ17" s="72"/>
      <c r="SHK17" s="72"/>
      <c r="SHL17" s="72"/>
      <c r="SHM17" s="72"/>
      <c r="SHN17" s="72"/>
      <c r="SHO17" s="72"/>
      <c r="SHP17" s="72"/>
      <c r="SHQ17" s="72"/>
      <c r="SHR17" s="72"/>
      <c r="SHS17" s="72"/>
      <c r="SHT17" s="72"/>
      <c r="SHU17" s="72"/>
      <c r="SHV17" s="72"/>
      <c r="SHW17" s="72"/>
      <c r="SHX17" s="72"/>
      <c r="SHY17" s="72"/>
      <c r="SHZ17" s="72"/>
      <c r="SIA17" s="72"/>
      <c r="SIB17" s="72"/>
      <c r="SIC17" s="72"/>
      <c r="SID17" s="72"/>
      <c r="SIE17" s="72"/>
      <c r="SIF17" s="72"/>
      <c r="SIG17" s="72"/>
      <c r="SIH17" s="72"/>
      <c r="SII17" s="72"/>
      <c r="SIJ17" s="72"/>
      <c r="SIK17" s="72"/>
      <c r="SIL17" s="72"/>
      <c r="SIM17" s="72"/>
      <c r="SIN17" s="72"/>
      <c r="SIO17" s="72"/>
      <c r="SIP17" s="72"/>
      <c r="SIQ17" s="72"/>
      <c r="SIR17" s="72"/>
      <c r="SIS17" s="72"/>
      <c r="SIT17" s="72"/>
      <c r="SIU17" s="72"/>
      <c r="SIV17" s="72"/>
      <c r="SIW17" s="72"/>
      <c r="SIX17" s="72"/>
      <c r="SIY17" s="72"/>
      <c r="SIZ17" s="72"/>
      <c r="SJA17" s="72"/>
      <c r="SJB17" s="72"/>
      <c r="SJC17" s="72"/>
      <c r="SJD17" s="72"/>
      <c r="SJE17" s="72"/>
      <c r="SJF17" s="72"/>
      <c r="SJG17" s="72"/>
      <c r="SJH17" s="72"/>
      <c r="SJI17" s="72"/>
      <c r="SJJ17" s="72"/>
      <c r="SJK17" s="72"/>
      <c r="SJL17" s="72"/>
      <c r="SJM17" s="72"/>
      <c r="SJN17" s="72"/>
      <c r="SJO17" s="72"/>
      <c r="SJP17" s="72"/>
      <c r="SJQ17" s="72"/>
      <c r="SJR17" s="72"/>
      <c r="SJS17" s="72"/>
      <c r="SJT17" s="72"/>
      <c r="SJU17" s="72"/>
      <c r="SJV17" s="72"/>
      <c r="SJW17" s="72"/>
      <c r="SJX17" s="72"/>
      <c r="SJY17" s="72"/>
      <c r="SJZ17" s="72"/>
      <c r="SKA17" s="72"/>
      <c r="SKB17" s="72"/>
      <c r="SKC17" s="72"/>
      <c r="SKD17" s="72"/>
      <c r="SKE17" s="72"/>
      <c r="SKF17" s="72"/>
      <c r="SKG17" s="72"/>
      <c r="SKH17" s="72"/>
      <c r="SKI17" s="72"/>
      <c r="SKJ17" s="72"/>
      <c r="SKK17" s="72"/>
      <c r="SKL17" s="72"/>
      <c r="SKM17" s="72"/>
      <c r="SKN17" s="72"/>
      <c r="SKO17" s="72"/>
      <c r="SKP17" s="72"/>
      <c r="SKQ17" s="72"/>
      <c r="SKR17" s="72"/>
      <c r="SKS17" s="72"/>
      <c r="SKT17" s="72"/>
      <c r="SKU17" s="72"/>
      <c r="SKV17" s="72"/>
      <c r="SKW17" s="72"/>
      <c r="SKX17" s="72"/>
      <c r="SKY17" s="72"/>
      <c r="SKZ17" s="72"/>
      <c r="SLA17" s="72"/>
      <c r="SLB17" s="72"/>
      <c r="SLC17" s="72"/>
      <c r="SLD17" s="72"/>
      <c r="SLE17" s="72"/>
      <c r="SLF17" s="72"/>
      <c r="SLG17" s="72"/>
      <c r="SLH17" s="72"/>
      <c r="SLI17" s="72"/>
      <c r="SLJ17" s="72"/>
      <c r="SLK17" s="72"/>
      <c r="SLL17" s="72"/>
      <c r="SLM17" s="72"/>
      <c r="SLN17" s="72"/>
      <c r="SLO17" s="72"/>
      <c r="SLP17" s="72"/>
      <c r="SLQ17" s="72"/>
      <c r="SLR17" s="72"/>
      <c r="SLS17" s="72"/>
      <c r="SLT17" s="72"/>
      <c r="SLU17" s="72"/>
      <c r="SLV17" s="72"/>
      <c r="SLW17" s="72"/>
      <c r="SLX17" s="72"/>
      <c r="SLY17" s="72"/>
      <c r="SLZ17" s="72"/>
      <c r="SMA17" s="72"/>
      <c r="SMB17" s="72"/>
      <c r="SMC17" s="72"/>
      <c r="SMD17" s="72"/>
      <c r="SME17" s="72"/>
      <c r="SMF17" s="72"/>
      <c r="SMG17" s="72"/>
      <c r="SMH17" s="72"/>
      <c r="SMI17" s="72"/>
      <c r="SMJ17" s="72"/>
      <c r="SMK17" s="72"/>
      <c r="SML17" s="72"/>
      <c r="SMM17" s="72"/>
      <c r="SMN17" s="72"/>
      <c r="SMO17" s="72"/>
      <c r="SMP17" s="72"/>
      <c r="SMQ17" s="72"/>
      <c r="SMR17" s="72"/>
      <c r="SMS17" s="72"/>
      <c r="SMT17" s="72"/>
      <c r="SMU17" s="72"/>
      <c r="SMV17" s="72"/>
      <c r="SMW17" s="72"/>
      <c r="SMX17" s="72"/>
      <c r="SMY17" s="72"/>
      <c r="SMZ17" s="72"/>
      <c r="SNA17" s="72"/>
      <c r="SNB17" s="72"/>
      <c r="SNC17" s="72"/>
      <c r="SND17" s="72"/>
      <c r="SNE17" s="72"/>
      <c r="SNF17" s="72"/>
      <c r="SNG17" s="72"/>
      <c r="SNH17" s="72"/>
      <c r="SNI17" s="72"/>
      <c r="SNJ17" s="72"/>
      <c r="SNK17" s="72"/>
      <c r="SNL17" s="72"/>
      <c r="SNM17" s="72"/>
      <c r="SNN17" s="72"/>
      <c r="SNO17" s="72"/>
      <c r="SNP17" s="72"/>
      <c r="SNQ17" s="72"/>
      <c r="SNR17" s="72"/>
      <c r="SNS17" s="72"/>
      <c r="SNT17" s="72"/>
      <c r="SNU17" s="72"/>
      <c r="SNV17" s="72"/>
      <c r="SNW17" s="72"/>
      <c r="SNX17" s="72"/>
      <c r="SNY17" s="72"/>
      <c r="SNZ17" s="72"/>
      <c r="SOA17" s="72"/>
      <c r="SOB17" s="72"/>
      <c r="SOC17" s="72"/>
      <c r="SOD17" s="72"/>
      <c r="SOE17" s="72"/>
      <c r="SOF17" s="72"/>
      <c r="SOG17" s="72"/>
      <c r="SOH17" s="72"/>
      <c r="SOI17" s="72"/>
      <c r="SOJ17" s="72"/>
      <c r="SOK17" s="72"/>
      <c r="SOL17" s="72"/>
      <c r="SOM17" s="72"/>
      <c r="SON17" s="72"/>
      <c r="SOO17" s="72"/>
      <c r="SOP17" s="72"/>
      <c r="SOQ17" s="72"/>
      <c r="SOR17" s="72"/>
      <c r="SOS17" s="72"/>
      <c r="SOT17" s="72"/>
      <c r="SOU17" s="72"/>
      <c r="SOV17" s="72"/>
      <c r="SOW17" s="72"/>
      <c r="SOX17" s="72"/>
      <c r="SOY17" s="72"/>
      <c r="SOZ17" s="72"/>
      <c r="SPA17" s="72"/>
      <c r="SPB17" s="72"/>
      <c r="SPC17" s="72"/>
      <c r="SPD17" s="72"/>
      <c r="SPE17" s="72"/>
      <c r="SPF17" s="72"/>
      <c r="SPG17" s="72"/>
      <c r="SPH17" s="72"/>
      <c r="SPI17" s="72"/>
      <c r="SPJ17" s="72"/>
      <c r="SPK17" s="72"/>
      <c r="SPL17" s="72"/>
      <c r="SPM17" s="72"/>
      <c r="SPN17" s="72"/>
      <c r="SPO17" s="72"/>
      <c r="SPP17" s="72"/>
      <c r="SPQ17" s="72"/>
      <c r="SPR17" s="72"/>
      <c r="SPS17" s="72"/>
      <c r="SPT17" s="72"/>
      <c r="SPU17" s="72"/>
      <c r="SPV17" s="72"/>
      <c r="SPW17" s="72"/>
      <c r="SPX17" s="72"/>
      <c r="SPY17" s="72"/>
      <c r="SPZ17" s="72"/>
      <c r="SQA17" s="72"/>
      <c r="SQB17" s="72"/>
      <c r="SQC17" s="72"/>
      <c r="SQD17" s="72"/>
      <c r="SQE17" s="72"/>
      <c r="SQF17" s="72"/>
      <c r="SQG17" s="72"/>
      <c r="SQH17" s="72"/>
      <c r="SQI17" s="72"/>
      <c r="SQJ17" s="72"/>
      <c r="SQK17" s="72"/>
      <c r="SQL17" s="72"/>
      <c r="SQM17" s="72"/>
      <c r="SQN17" s="72"/>
      <c r="SQO17" s="72"/>
      <c r="SQP17" s="72"/>
      <c r="SQQ17" s="72"/>
      <c r="SQR17" s="72"/>
      <c r="SQS17" s="72"/>
      <c r="SQT17" s="72"/>
      <c r="SQU17" s="72"/>
      <c r="SQV17" s="72"/>
      <c r="SQW17" s="72"/>
      <c r="SQX17" s="72"/>
      <c r="SQY17" s="72"/>
      <c r="SQZ17" s="72"/>
      <c r="SRA17" s="72"/>
      <c r="SRB17" s="72"/>
      <c r="SRC17" s="72"/>
      <c r="SRD17" s="72"/>
      <c r="SRE17" s="72"/>
      <c r="SRF17" s="72"/>
      <c r="SRG17" s="72"/>
      <c r="SRH17" s="72"/>
      <c r="SRI17" s="72"/>
      <c r="SRJ17" s="72"/>
      <c r="SRK17" s="72"/>
      <c r="SRL17" s="72"/>
      <c r="SRM17" s="72"/>
      <c r="SRN17" s="72"/>
      <c r="SRO17" s="72"/>
      <c r="SRP17" s="72"/>
      <c r="SRQ17" s="72"/>
      <c r="SRR17" s="72"/>
      <c r="SRS17" s="72"/>
      <c r="SRT17" s="72"/>
      <c r="SRU17" s="72"/>
      <c r="SRV17" s="72"/>
      <c r="SRW17" s="72"/>
      <c r="SRX17" s="72"/>
      <c r="SRY17" s="72"/>
      <c r="SRZ17" s="72"/>
      <c r="SSA17" s="72"/>
      <c r="SSB17" s="72"/>
      <c r="SSC17" s="72"/>
      <c r="SSD17" s="72"/>
      <c r="SSE17" s="72"/>
      <c r="SSF17" s="72"/>
      <c r="SSG17" s="72"/>
      <c r="SSH17" s="72"/>
      <c r="SSI17" s="72"/>
      <c r="SSJ17" s="72"/>
      <c r="SSK17" s="72"/>
      <c r="SSL17" s="72"/>
      <c r="SSM17" s="72"/>
      <c r="SSN17" s="72"/>
      <c r="SSO17" s="72"/>
      <c r="SSP17" s="72"/>
      <c r="SSQ17" s="72"/>
      <c r="SSR17" s="72"/>
      <c r="SSS17" s="72"/>
      <c r="SST17" s="72"/>
      <c r="SSU17" s="72"/>
      <c r="SSV17" s="72"/>
      <c r="SSW17" s="72"/>
      <c r="SSX17" s="72"/>
      <c r="SSY17" s="72"/>
      <c r="SSZ17" s="72"/>
      <c r="STA17" s="72"/>
      <c r="STB17" s="72"/>
      <c r="STC17" s="72"/>
      <c r="STD17" s="72"/>
      <c r="STE17" s="72"/>
      <c r="STF17" s="72"/>
      <c r="STG17" s="72"/>
      <c r="STH17" s="72"/>
      <c r="STI17" s="72"/>
      <c r="STJ17" s="72"/>
      <c r="STK17" s="72"/>
      <c r="STL17" s="72"/>
      <c r="STM17" s="72"/>
      <c r="STN17" s="72"/>
      <c r="STO17" s="72"/>
      <c r="STP17" s="72"/>
      <c r="STQ17" s="72"/>
      <c r="STR17" s="72"/>
      <c r="STS17" s="72"/>
      <c r="STT17" s="72"/>
      <c r="STU17" s="72"/>
      <c r="STV17" s="72"/>
      <c r="STW17" s="72"/>
      <c r="STX17" s="72"/>
      <c r="STY17" s="72"/>
      <c r="STZ17" s="72"/>
      <c r="SUA17" s="72"/>
      <c r="SUB17" s="72"/>
      <c r="SUC17" s="72"/>
      <c r="SUD17" s="72"/>
      <c r="SUE17" s="72"/>
      <c r="SUF17" s="72"/>
      <c r="SUG17" s="72"/>
      <c r="SUH17" s="72"/>
      <c r="SUI17" s="72"/>
      <c r="SUJ17" s="72"/>
      <c r="SUK17" s="72"/>
      <c r="SUL17" s="72"/>
      <c r="SUM17" s="72"/>
      <c r="SUN17" s="72"/>
      <c r="SUO17" s="72"/>
      <c r="SUP17" s="72"/>
      <c r="SUQ17" s="72"/>
      <c r="SUR17" s="72"/>
      <c r="SUS17" s="72"/>
      <c r="SUT17" s="72"/>
      <c r="SUU17" s="72"/>
      <c r="SUV17" s="72"/>
      <c r="SUW17" s="72"/>
      <c r="SUX17" s="72"/>
      <c r="SUY17" s="72"/>
      <c r="SUZ17" s="72"/>
      <c r="SVA17" s="72"/>
      <c r="SVB17" s="72"/>
      <c r="SVC17" s="72"/>
      <c r="SVD17" s="72"/>
      <c r="SVE17" s="72"/>
      <c r="SVF17" s="72"/>
      <c r="SVG17" s="72"/>
      <c r="SVH17" s="72"/>
      <c r="SVI17" s="72"/>
      <c r="SVJ17" s="72"/>
      <c r="SVK17" s="72"/>
      <c r="SVL17" s="72"/>
      <c r="SVM17" s="72"/>
      <c r="SVN17" s="72"/>
      <c r="SVO17" s="72"/>
      <c r="SVP17" s="72"/>
      <c r="SVQ17" s="72"/>
      <c r="SVR17" s="72"/>
      <c r="SVS17" s="72"/>
      <c r="SVT17" s="72"/>
      <c r="SVU17" s="72"/>
      <c r="SVV17" s="72"/>
      <c r="SVW17" s="72"/>
      <c r="SVX17" s="72"/>
      <c r="SVY17" s="72"/>
      <c r="SVZ17" s="72"/>
      <c r="SWA17" s="72"/>
      <c r="SWB17" s="72"/>
      <c r="SWC17" s="72"/>
      <c r="SWD17" s="72"/>
      <c r="SWE17" s="72"/>
      <c r="SWF17" s="72"/>
      <c r="SWG17" s="72"/>
      <c r="SWH17" s="72"/>
      <c r="SWI17" s="72"/>
      <c r="SWJ17" s="72"/>
      <c r="SWK17" s="72"/>
      <c r="SWL17" s="72"/>
      <c r="SWM17" s="72"/>
      <c r="SWN17" s="72"/>
      <c r="SWO17" s="72"/>
      <c r="SWP17" s="72"/>
      <c r="SWQ17" s="72"/>
      <c r="SWR17" s="72"/>
      <c r="SWS17" s="72"/>
      <c r="SWT17" s="72"/>
      <c r="SWU17" s="72"/>
      <c r="SWV17" s="72"/>
      <c r="SWW17" s="72"/>
      <c r="SWX17" s="72"/>
      <c r="SWY17" s="72"/>
      <c r="SWZ17" s="72"/>
      <c r="SXA17" s="72"/>
      <c r="SXB17" s="72"/>
      <c r="SXC17" s="72"/>
      <c r="SXD17" s="72"/>
      <c r="SXE17" s="72"/>
      <c r="SXF17" s="72"/>
      <c r="SXG17" s="72"/>
      <c r="SXH17" s="72"/>
      <c r="SXI17" s="72"/>
      <c r="SXJ17" s="72"/>
      <c r="SXK17" s="72"/>
      <c r="SXL17" s="72"/>
      <c r="SXM17" s="72"/>
      <c r="SXN17" s="72"/>
      <c r="SXO17" s="72"/>
      <c r="SXP17" s="72"/>
      <c r="SXQ17" s="72"/>
      <c r="SXR17" s="72"/>
      <c r="SXS17" s="72"/>
      <c r="SXT17" s="72"/>
      <c r="SXU17" s="72"/>
      <c r="SXV17" s="72"/>
      <c r="SXW17" s="72"/>
      <c r="SXX17" s="72"/>
      <c r="SXY17" s="72"/>
      <c r="SXZ17" s="72"/>
      <c r="SYA17" s="72"/>
      <c r="SYB17" s="72"/>
      <c r="SYC17" s="72"/>
      <c r="SYD17" s="72"/>
      <c r="SYE17" s="72"/>
      <c r="SYF17" s="72"/>
      <c r="SYG17" s="72"/>
      <c r="SYH17" s="72"/>
      <c r="SYI17" s="72"/>
      <c r="SYJ17" s="72"/>
      <c r="SYK17" s="72"/>
      <c r="SYL17" s="72"/>
      <c r="SYM17" s="72"/>
      <c r="SYN17" s="72"/>
      <c r="SYO17" s="72"/>
      <c r="SYP17" s="72"/>
      <c r="SYQ17" s="72"/>
      <c r="SYR17" s="72"/>
      <c r="SYS17" s="72"/>
      <c r="SYT17" s="72"/>
      <c r="SYU17" s="72"/>
      <c r="SYV17" s="72"/>
      <c r="SYW17" s="72"/>
      <c r="SYX17" s="72"/>
      <c r="SYY17" s="72"/>
      <c r="SYZ17" s="72"/>
      <c r="SZA17" s="72"/>
      <c r="SZB17" s="72"/>
      <c r="SZC17" s="72"/>
      <c r="SZD17" s="72"/>
      <c r="SZE17" s="72"/>
      <c r="SZF17" s="72"/>
      <c r="SZG17" s="72"/>
      <c r="SZH17" s="72"/>
      <c r="SZI17" s="72"/>
      <c r="SZJ17" s="72"/>
      <c r="SZK17" s="72"/>
      <c r="SZL17" s="72"/>
      <c r="SZM17" s="72"/>
      <c r="SZN17" s="72"/>
      <c r="SZO17" s="72"/>
      <c r="SZP17" s="72"/>
      <c r="SZQ17" s="72"/>
      <c r="SZR17" s="72"/>
      <c r="SZS17" s="72"/>
      <c r="SZT17" s="72"/>
      <c r="SZU17" s="72"/>
      <c r="SZV17" s="72"/>
      <c r="SZW17" s="72"/>
      <c r="SZX17" s="72"/>
      <c r="SZY17" s="72"/>
      <c r="SZZ17" s="72"/>
      <c r="TAA17" s="72"/>
      <c r="TAB17" s="72"/>
      <c r="TAC17" s="72"/>
      <c r="TAD17" s="72"/>
      <c r="TAE17" s="72"/>
      <c r="TAF17" s="72"/>
      <c r="TAG17" s="72"/>
      <c r="TAH17" s="72"/>
      <c r="TAI17" s="72"/>
      <c r="TAJ17" s="72"/>
      <c r="TAK17" s="72"/>
      <c r="TAL17" s="72"/>
      <c r="TAM17" s="72"/>
      <c r="TAN17" s="72"/>
      <c r="TAO17" s="72"/>
      <c r="TAP17" s="72"/>
      <c r="TAQ17" s="72"/>
      <c r="TAR17" s="72"/>
      <c r="TAS17" s="72"/>
      <c r="TAT17" s="72"/>
      <c r="TAU17" s="72"/>
      <c r="TAV17" s="72"/>
      <c r="TAW17" s="72"/>
      <c r="TAX17" s="72"/>
      <c r="TAY17" s="72"/>
      <c r="TAZ17" s="72"/>
      <c r="TBA17" s="72"/>
      <c r="TBB17" s="72"/>
      <c r="TBC17" s="72"/>
      <c r="TBD17" s="72"/>
      <c r="TBE17" s="72"/>
      <c r="TBF17" s="72"/>
      <c r="TBG17" s="72"/>
      <c r="TBH17" s="72"/>
      <c r="TBI17" s="72"/>
      <c r="TBJ17" s="72"/>
      <c r="TBK17" s="72"/>
      <c r="TBL17" s="72"/>
      <c r="TBM17" s="72"/>
      <c r="TBN17" s="72"/>
      <c r="TBO17" s="72"/>
      <c r="TBP17" s="72"/>
      <c r="TBQ17" s="72"/>
      <c r="TBR17" s="72"/>
      <c r="TBS17" s="72"/>
      <c r="TBT17" s="72"/>
      <c r="TBU17" s="72"/>
      <c r="TBV17" s="72"/>
      <c r="TBW17" s="72"/>
      <c r="TBX17" s="72"/>
      <c r="TBY17" s="72"/>
      <c r="TBZ17" s="72"/>
      <c r="TCA17" s="72"/>
      <c r="TCB17" s="72"/>
      <c r="TCC17" s="72"/>
      <c r="TCD17" s="72"/>
      <c r="TCE17" s="72"/>
      <c r="TCF17" s="72"/>
      <c r="TCG17" s="72"/>
      <c r="TCH17" s="72"/>
      <c r="TCI17" s="72"/>
      <c r="TCJ17" s="72"/>
      <c r="TCK17" s="72"/>
      <c r="TCL17" s="72"/>
      <c r="TCM17" s="72"/>
      <c r="TCN17" s="72"/>
      <c r="TCO17" s="72"/>
      <c r="TCP17" s="72"/>
      <c r="TCQ17" s="72"/>
      <c r="TCR17" s="72"/>
      <c r="TCS17" s="72"/>
      <c r="TCT17" s="72"/>
      <c r="TCU17" s="72"/>
      <c r="TCV17" s="72"/>
      <c r="TCW17" s="72"/>
      <c r="TCX17" s="72"/>
      <c r="TCY17" s="72"/>
      <c r="TCZ17" s="72"/>
      <c r="TDA17" s="72"/>
      <c r="TDB17" s="72"/>
      <c r="TDC17" s="72"/>
      <c r="TDD17" s="72"/>
      <c r="TDE17" s="72"/>
      <c r="TDF17" s="72"/>
      <c r="TDG17" s="72"/>
      <c r="TDH17" s="72"/>
      <c r="TDI17" s="72"/>
      <c r="TDJ17" s="72"/>
      <c r="TDK17" s="72"/>
      <c r="TDL17" s="72"/>
      <c r="TDM17" s="72"/>
      <c r="TDN17" s="72"/>
      <c r="TDO17" s="72"/>
      <c r="TDP17" s="72"/>
      <c r="TDQ17" s="72"/>
      <c r="TDR17" s="72"/>
      <c r="TDS17" s="72"/>
      <c r="TDT17" s="72"/>
      <c r="TDU17" s="72"/>
      <c r="TDV17" s="72"/>
      <c r="TDW17" s="72"/>
      <c r="TDX17" s="72"/>
      <c r="TDY17" s="72"/>
      <c r="TDZ17" s="72"/>
      <c r="TEA17" s="72"/>
      <c r="TEB17" s="72"/>
      <c r="TEC17" s="72"/>
      <c r="TED17" s="72"/>
      <c r="TEE17" s="72"/>
      <c r="TEF17" s="72"/>
      <c r="TEG17" s="72"/>
      <c r="TEH17" s="72"/>
      <c r="TEI17" s="72"/>
      <c r="TEJ17" s="72"/>
      <c r="TEK17" s="72"/>
      <c r="TEL17" s="72"/>
      <c r="TEM17" s="72"/>
      <c r="TEN17" s="72"/>
      <c r="TEO17" s="72"/>
      <c r="TEP17" s="72"/>
      <c r="TEQ17" s="72"/>
      <c r="TER17" s="72"/>
      <c r="TES17" s="72"/>
      <c r="TET17" s="72"/>
      <c r="TEU17" s="72"/>
      <c r="TEV17" s="72"/>
      <c r="TEW17" s="72"/>
      <c r="TEX17" s="72"/>
      <c r="TEY17" s="72"/>
      <c r="TEZ17" s="72"/>
      <c r="TFA17" s="72"/>
      <c r="TFB17" s="72"/>
      <c r="TFC17" s="72"/>
      <c r="TFD17" s="72"/>
      <c r="TFE17" s="72"/>
      <c r="TFF17" s="72"/>
      <c r="TFG17" s="72"/>
      <c r="TFH17" s="72"/>
      <c r="TFI17" s="72"/>
      <c r="TFJ17" s="72"/>
      <c r="TFK17" s="72"/>
      <c r="TFL17" s="72"/>
      <c r="TFM17" s="72"/>
      <c r="TFN17" s="72"/>
      <c r="TFO17" s="72"/>
      <c r="TFP17" s="72"/>
      <c r="TFQ17" s="72"/>
      <c r="TFR17" s="72"/>
      <c r="TFS17" s="72"/>
      <c r="TFT17" s="72"/>
      <c r="TFU17" s="72"/>
      <c r="TFV17" s="72"/>
      <c r="TFW17" s="72"/>
      <c r="TFX17" s="72"/>
      <c r="TFY17" s="72"/>
      <c r="TFZ17" s="72"/>
      <c r="TGA17" s="72"/>
      <c r="TGB17" s="72"/>
      <c r="TGC17" s="72"/>
      <c r="TGD17" s="72"/>
      <c r="TGE17" s="72"/>
      <c r="TGF17" s="72"/>
      <c r="TGG17" s="72"/>
      <c r="TGH17" s="72"/>
      <c r="TGI17" s="72"/>
      <c r="TGJ17" s="72"/>
      <c r="TGK17" s="72"/>
      <c r="TGL17" s="72"/>
      <c r="TGM17" s="72"/>
      <c r="TGN17" s="72"/>
      <c r="TGO17" s="72"/>
      <c r="TGP17" s="72"/>
      <c r="TGQ17" s="72"/>
      <c r="TGR17" s="72"/>
      <c r="TGS17" s="72"/>
      <c r="TGT17" s="72"/>
      <c r="TGU17" s="72"/>
      <c r="TGV17" s="72"/>
      <c r="TGW17" s="72"/>
      <c r="TGX17" s="72"/>
      <c r="TGY17" s="72"/>
      <c r="TGZ17" s="72"/>
      <c r="THA17" s="72"/>
      <c r="THB17" s="72"/>
      <c r="THC17" s="72"/>
      <c r="THD17" s="72"/>
      <c r="THE17" s="72"/>
      <c r="THF17" s="72"/>
      <c r="THG17" s="72"/>
      <c r="THH17" s="72"/>
      <c r="THI17" s="72"/>
      <c r="THJ17" s="72"/>
      <c r="THK17" s="72"/>
      <c r="THL17" s="72"/>
      <c r="THM17" s="72"/>
      <c r="THN17" s="72"/>
      <c r="THO17" s="72"/>
      <c r="THP17" s="72"/>
      <c r="THQ17" s="72"/>
      <c r="THR17" s="72"/>
      <c r="THS17" s="72"/>
      <c r="THT17" s="72"/>
      <c r="THU17" s="72"/>
      <c r="THV17" s="72"/>
      <c r="THW17" s="72"/>
      <c r="THX17" s="72"/>
      <c r="THY17" s="72"/>
      <c r="THZ17" s="72"/>
      <c r="TIA17" s="72"/>
      <c r="TIB17" s="72"/>
      <c r="TIC17" s="72"/>
      <c r="TID17" s="72"/>
      <c r="TIE17" s="72"/>
      <c r="TIF17" s="72"/>
      <c r="TIG17" s="72"/>
      <c r="TIH17" s="72"/>
      <c r="TII17" s="72"/>
      <c r="TIJ17" s="72"/>
      <c r="TIK17" s="72"/>
      <c r="TIL17" s="72"/>
      <c r="TIM17" s="72"/>
      <c r="TIN17" s="72"/>
      <c r="TIO17" s="72"/>
      <c r="TIP17" s="72"/>
      <c r="TIQ17" s="72"/>
      <c r="TIR17" s="72"/>
      <c r="TIS17" s="72"/>
      <c r="TIT17" s="72"/>
      <c r="TIU17" s="72"/>
      <c r="TIV17" s="72"/>
      <c r="TIW17" s="72"/>
      <c r="TIX17" s="72"/>
      <c r="TIY17" s="72"/>
      <c r="TIZ17" s="72"/>
      <c r="TJA17" s="72"/>
      <c r="TJB17" s="72"/>
      <c r="TJC17" s="72"/>
      <c r="TJD17" s="72"/>
      <c r="TJE17" s="72"/>
      <c r="TJF17" s="72"/>
      <c r="TJG17" s="72"/>
      <c r="TJH17" s="72"/>
      <c r="TJI17" s="72"/>
      <c r="TJJ17" s="72"/>
      <c r="TJK17" s="72"/>
      <c r="TJL17" s="72"/>
      <c r="TJM17" s="72"/>
      <c r="TJN17" s="72"/>
      <c r="TJO17" s="72"/>
      <c r="TJP17" s="72"/>
      <c r="TJQ17" s="72"/>
      <c r="TJR17" s="72"/>
      <c r="TJS17" s="72"/>
      <c r="TJT17" s="72"/>
      <c r="TJU17" s="72"/>
      <c r="TJV17" s="72"/>
      <c r="TJW17" s="72"/>
      <c r="TJX17" s="72"/>
      <c r="TJY17" s="72"/>
      <c r="TJZ17" s="72"/>
      <c r="TKA17" s="72"/>
      <c r="TKB17" s="72"/>
      <c r="TKC17" s="72"/>
      <c r="TKD17" s="72"/>
      <c r="TKE17" s="72"/>
      <c r="TKF17" s="72"/>
      <c r="TKG17" s="72"/>
      <c r="TKH17" s="72"/>
      <c r="TKI17" s="72"/>
      <c r="TKJ17" s="72"/>
      <c r="TKK17" s="72"/>
      <c r="TKL17" s="72"/>
      <c r="TKM17" s="72"/>
      <c r="TKN17" s="72"/>
      <c r="TKO17" s="72"/>
      <c r="TKP17" s="72"/>
      <c r="TKQ17" s="72"/>
      <c r="TKR17" s="72"/>
      <c r="TKS17" s="72"/>
      <c r="TKT17" s="72"/>
      <c r="TKU17" s="72"/>
      <c r="TKV17" s="72"/>
      <c r="TKW17" s="72"/>
      <c r="TKX17" s="72"/>
      <c r="TKY17" s="72"/>
      <c r="TKZ17" s="72"/>
      <c r="TLA17" s="72"/>
      <c r="TLB17" s="72"/>
      <c r="TLC17" s="72"/>
      <c r="TLD17" s="72"/>
      <c r="TLE17" s="72"/>
      <c r="TLF17" s="72"/>
      <c r="TLG17" s="72"/>
      <c r="TLH17" s="72"/>
      <c r="TLI17" s="72"/>
      <c r="TLJ17" s="72"/>
      <c r="TLK17" s="72"/>
      <c r="TLL17" s="72"/>
      <c r="TLM17" s="72"/>
      <c r="TLN17" s="72"/>
      <c r="TLO17" s="72"/>
      <c r="TLP17" s="72"/>
      <c r="TLQ17" s="72"/>
      <c r="TLR17" s="72"/>
      <c r="TLS17" s="72"/>
      <c r="TLT17" s="72"/>
      <c r="TLU17" s="72"/>
      <c r="TLV17" s="72"/>
      <c r="TLW17" s="72"/>
      <c r="TLX17" s="72"/>
      <c r="TLY17" s="72"/>
      <c r="TLZ17" s="72"/>
      <c r="TMA17" s="72"/>
      <c r="TMB17" s="72"/>
      <c r="TMC17" s="72"/>
      <c r="TMD17" s="72"/>
      <c r="TME17" s="72"/>
      <c r="TMF17" s="72"/>
      <c r="TMG17" s="72"/>
      <c r="TMH17" s="72"/>
      <c r="TMI17" s="72"/>
      <c r="TMJ17" s="72"/>
      <c r="TMK17" s="72"/>
      <c r="TML17" s="72"/>
      <c r="TMM17" s="72"/>
      <c r="TMN17" s="72"/>
      <c r="TMO17" s="72"/>
      <c r="TMP17" s="72"/>
      <c r="TMQ17" s="72"/>
      <c r="TMR17" s="72"/>
      <c r="TMS17" s="72"/>
      <c r="TMT17" s="72"/>
      <c r="TMU17" s="72"/>
      <c r="TMV17" s="72"/>
      <c r="TMW17" s="72"/>
      <c r="TMX17" s="72"/>
      <c r="TMY17" s="72"/>
      <c r="TMZ17" s="72"/>
      <c r="TNA17" s="72"/>
      <c r="TNB17" s="72"/>
      <c r="TNC17" s="72"/>
      <c r="TND17" s="72"/>
      <c r="TNE17" s="72"/>
      <c r="TNF17" s="72"/>
      <c r="TNG17" s="72"/>
      <c r="TNH17" s="72"/>
      <c r="TNI17" s="72"/>
      <c r="TNJ17" s="72"/>
      <c r="TNK17" s="72"/>
      <c r="TNL17" s="72"/>
      <c r="TNM17" s="72"/>
      <c r="TNN17" s="72"/>
      <c r="TNO17" s="72"/>
      <c r="TNP17" s="72"/>
      <c r="TNQ17" s="72"/>
      <c r="TNR17" s="72"/>
      <c r="TNS17" s="72"/>
      <c r="TNT17" s="72"/>
      <c r="TNU17" s="72"/>
      <c r="TNV17" s="72"/>
      <c r="TNW17" s="72"/>
      <c r="TNX17" s="72"/>
      <c r="TNY17" s="72"/>
      <c r="TNZ17" s="72"/>
      <c r="TOA17" s="72"/>
      <c r="TOB17" s="72"/>
      <c r="TOC17" s="72"/>
      <c r="TOD17" s="72"/>
      <c r="TOE17" s="72"/>
      <c r="TOF17" s="72"/>
      <c r="TOG17" s="72"/>
      <c r="TOH17" s="72"/>
      <c r="TOI17" s="72"/>
      <c r="TOJ17" s="72"/>
      <c r="TOK17" s="72"/>
      <c r="TOL17" s="72"/>
      <c r="TOM17" s="72"/>
      <c r="TON17" s="72"/>
      <c r="TOO17" s="72"/>
      <c r="TOP17" s="72"/>
      <c r="TOQ17" s="72"/>
      <c r="TOR17" s="72"/>
      <c r="TOS17" s="72"/>
      <c r="TOT17" s="72"/>
      <c r="TOU17" s="72"/>
      <c r="TOV17" s="72"/>
      <c r="TOW17" s="72"/>
      <c r="TOX17" s="72"/>
      <c r="TOY17" s="72"/>
      <c r="TOZ17" s="72"/>
      <c r="TPA17" s="72"/>
      <c r="TPB17" s="72"/>
      <c r="TPC17" s="72"/>
      <c r="TPD17" s="72"/>
      <c r="TPE17" s="72"/>
      <c r="TPF17" s="72"/>
      <c r="TPG17" s="72"/>
      <c r="TPH17" s="72"/>
      <c r="TPI17" s="72"/>
      <c r="TPJ17" s="72"/>
      <c r="TPK17" s="72"/>
      <c r="TPL17" s="72"/>
      <c r="TPM17" s="72"/>
      <c r="TPN17" s="72"/>
      <c r="TPO17" s="72"/>
      <c r="TPP17" s="72"/>
      <c r="TPQ17" s="72"/>
      <c r="TPR17" s="72"/>
      <c r="TPS17" s="72"/>
      <c r="TPT17" s="72"/>
      <c r="TPU17" s="72"/>
      <c r="TPV17" s="72"/>
      <c r="TPW17" s="72"/>
      <c r="TPX17" s="72"/>
      <c r="TPY17" s="72"/>
      <c r="TPZ17" s="72"/>
      <c r="TQA17" s="72"/>
      <c r="TQB17" s="72"/>
      <c r="TQC17" s="72"/>
      <c r="TQD17" s="72"/>
      <c r="TQE17" s="72"/>
      <c r="TQF17" s="72"/>
      <c r="TQG17" s="72"/>
      <c r="TQH17" s="72"/>
      <c r="TQI17" s="72"/>
      <c r="TQJ17" s="72"/>
      <c r="TQK17" s="72"/>
      <c r="TQL17" s="72"/>
      <c r="TQM17" s="72"/>
      <c r="TQN17" s="72"/>
      <c r="TQO17" s="72"/>
      <c r="TQP17" s="72"/>
      <c r="TQQ17" s="72"/>
      <c r="TQR17" s="72"/>
      <c r="TQS17" s="72"/>
      <c r="TQT17" s="72"/>
      <c r="TQU17" s="72"/>
      <c r="TQV17" s="72"/>
      <c r="TQW17" s="72"/>
      <c r="TQX17" s="72"/>
      <c r="TQY17" s="72"/>
      <c r="TQZ17" s="72"/>
      <c r="TRA17" s="72"/>
      <c r="TRB17" s="72"/>
      <c r="TRC17" s="72"/>
      <c r="TRD17" s="72"/>
      <c r="TRE17" s="72"/>
      <c r="TRF17" s="72"/>
      <c r="TRG17" s="72"/>
      <c r="TRH17" s="72"/>
      <c r="TRI17" s="72"/>
      <c r="TRJ17" s="72"/>
      <c r="TRK17" s="72"/>
      <c r="TRL17" s="72"/>
      <c r="TRM17" s="72"/>
      <c r="TRN17" s="72"/>
      <c r="TRO17" s="72"/>
      <c r="TRP17" s="72"/>
      <c r="TRQ17" s="72"/>
      <c r="TRR17" s="72"/>
      <c r="TRS17" s="72"/>
      <c r="TRT17" s="72"/>
      <c r="TRU17" s="72"/>
      <c r="TRV17" s="72"/>
      <c r="TRW17" s="72"/>
      <c r="TRX17" s="72"/>
      <c r="TRY17" s="72"/>
      <c r="TRZ17" s="72"/>
      <c r="TSA17" s="72"/>
      <c r="TSB17" s="72"/>
      <c r="TSC17" s="72"/>
      <c r="TSD17" s="72"/>
      <c r="TSE17" s="72"/>
      <c r="TSF17" s="72"/>
      <c r="TSG17" s="72"/>
      <c r="TSH17" s="72"/>
      <c r="TSI17" s="72"/>
      <c r="TSJ17" s="72"/>
      <c r="TSK17" s="72"/>
      <c r="TSL17" s="72"/>
      <c r="TSM17" s="72"/>
      <c r="TSN17" s="72"/>
      <c r="TSO17" s="72"/>
      <c r="TSP17" s="72"/>
      <c r="TSQ17" s="72"/>
      <c r="TSR17" s="72"/>
      <c r="TSS17" s="72"/>
      <c r="TST17" s="72"/>
      <c r="TSU17" s="72"/>
      <c r="TSV17" s="72"/>
      <c r="TSW17" s="72"/>
      <c r="TSX17" s="72"/>
      <c r="TSY17" s="72"/>
      <c r="TSZ17" s="72"/>
      <c r="TTA17" s="72"/>
      <c r="TTB17" s="72"/>
      <c r="TTC17" s="72"/>
      <c r="TTD17" s="72"/>
      <c r="TTE17" s="72"/>
      <c r="TTF17" s="72"/>
      <c r="TTG17" s="72"/>
      <c r="TTH17" s="72"/>
      <c r="TTI17" s="72"/>
      <c r="TTJ17" s="72"/>
      <c r="TTK17" s="72"/>
      <c r="TTL17" s="72"/>
      <c r="TTM17" s="72"/>
      <c r="TTN17" s="72"/>
      <c r="TTO17" s="72"/>
      <c r="TTP17" s="72"/>
      <c r="TTQ17" s="72"/>
      <c r="TTR17" s="72"/>
      <c r="TTS17" s="72"/>
      <c r="TTT17" s="72"/>
      <c r="TTU17" s="72"/>
      <c r="TTV17" s="72"/>
      <c r="TTW17" s="72"/>
      <c r="TTX17" s="72"/>
      <c r="TTY17" s="72"/>
      <c r="TTZ17" s="72"/>
      <c r="TUA17" s="72"/>
      <c r="TUB17" s="72"/>
      <c r="TUC17" s="72"/>
      <c r="TUD17" s="72"/>
      <c r="TUE17" s="72"/>
      <c r="TUF17" s="72"/>
      <c r="TUG17" s="72"/>
      <c r="TUH17" s="72"/>
      <c r="TUI17" s="72"/>
      <c r="TUJ17" s="72"/>
      <c r="TUK17" s="72"/>
      <c r="TUL17" s="72"/>
      <c r="TUM17" s="72"/>
      <c r="TUN17" s="72"/>
      <c r="TUO17" s="72"/>
      <c r="TUP17" s="72"/>
      <c r="TUQ17" s="72"/>
      <c r="TUR17" s="72"/>
      <c r="TUS17" s="72"/>
      <c r="TUT17" s="72"/>
      <c r="TUU17" s="72"/>
      <c r="TUV17" s="72"/>
      <c r="TUW17" s="72"/>
      <c r="TUX17" s="72"/>
      <c r="TUY17" s="72"/>
      <c r="TUZ17" s="72"/>
      <c r="TVA17" s="72"/>
      <c r="TVB17" s="72"/>
      <c r="TVC17" s="72"/>
      <c r="TVD17" s="72"/>
      <c r="TVE17" s="72"/>
      <c r="TVF17" s="72"/>
      <c r="TVG17" s="72"/>
      <c r="TVH17" s="72"/>
      <c r="TVI17" s="72"/>
      <c r="TVJ17" s="72"/>
      <c r="TVK17" s="72"/>
      <c r="TVL17" s="72"/>
      <c r="TVM17" s="72"/>
      <c r="TVN17" s="72"/>
      <c r="TVO17" s="72"/>
      <c r="TVP17" s="72"/>
      <c r="TVQ17" s="72"/>
      <c r="TVR17" s="72"/>
      <c r="TVS17" s="72"/>
      <c r="TVT17" s="72"/>
      <c r="TVU17" s="72"/>
      <c r="TVV17" s="72"/>
      <c r="TVW17" s="72"/>
      <c r="TVX17" s="72"/>
      <c r="TVY17" s="72"/>
      <c r="TVZ17" s="72"/>
      <c r="TWA17" s="72"/>
      <c r="TWB17" s="72"/>
      <c r="TWC17" s="72"/>
      <c r="TWD17" s="72"/>
      <c r="TWE17" s="72"/>
      <c r="TWF17" s="72"/>
      <c r="TWG17" s="72"/>
      <c r="TWH17" s="72"/>
      <c r="TWI17" s="72"/>
      <c r="TWJ17" s="72"/>
      <c r="TWK17" s="72"/>
      <c r="TWL17" s="72"/>
      <c r="TWM17" s="72"/>
      <c r="TWN17" s="72"/>
      <c r="TWO17" s="72"/>
      <c r="TWP17" s="72"/>
      <c r="TWQ17" s="72"/>
      <c r="TWR17" s="72"/>
      <c r="TWS17" s="72"/>
      <c r="TWT17" s="72"/>
      <c r="TWU17" s="72"/>
      <c r="TWV17" s="72"/>
      <c r="TWW17" s="72"/>
      <c r="TWX17" s="72"/>
      <c r="TWY17" s="72"/>
      <c r="TWZ17" s="72"/>
      <c r="TXA17" s="72"/>
      <c r="TXB17" s="72"/>
      <c r="TXC17" s="72"/>
      <c r="TXD17" s="72"/>
      <c r="TXE17" s="72"/>
      <c r="TXF17" s="72"/>
      <c r="TXG17" s="72"/>
      <c r="TXH17" s="72"/>
      <c r="TXI17" s="72"/>
      <c r="TXJ17" s="72"/>
      <c r="TXK17" s="72"/>
      <c r="TXL17" s="72"/>
      <c r="TXM17" s="72"/>
      <c r="TXN17" s="72"/>
      <c r="TXO17" s="72"/>
      <c r="TXP17" s="72"/>
      <c r="TXQ17" s="72"/>
      <c r="TXR17" s="72"/>
      <c r="TXS17" s="72"/>
      <c r="TXT17" s="72"/>
      <c r="TXU17" s="72"/>
      <c r="TXV17" s="72"/>
      <c r="TXW17" s="72"/>
      <c r="TXX17" s="72"/>
      <c r="TXY17" s="72"/>
      <c r="TXZ17" s="72"/>
      <c r="TYA17" s="72"/>
      <c r="TYB17" s="72"/>
      <c r="TYC17" s="72"/>
      <c r="TYD17" s="72"/>
      <c r="TYE17" s="72"/>
      <c r="TYF17" s="72"/>
      <c r="TYG17" s="72"/>
      <c r="TYH17" s="72"/>
      <c r="TYI17" s="72"/>
      <c r="TYJ17" s="72"/>
      <c r="TYK17" s="72"/>
      <c r="TYL17" s="72"/>
      <c r="TYM17" s="72"/>
      <c r="TYN17" s="72"/>
      <c r="TYO17" s="72"/>
      <c r="TYP17" s="72"/>
      <c r="TYQ17" s="72"/>
      <c r="TYR17" s="72"/>
      <c r="TYS17" s="72"/>
      <c r="TYT17" s="72"/>
      <c r="TYU17" s="72"/>
      <c r="TYV17" s="72"/>
      <c r="TYW17" s="72"/>
      <c r="TYX17" s="72"/>
      <c r="TYY17" s="72"/>
      <c r="TYZ17" s="72"/>
      <c r="TZA17" s="72"/>
      <c r="TZB17" s="72"/>
      <c r="TZC17" s="72"/>
      <c r="TZD17" s="72"/>
      <c r="TZE17" s="72"/>
      <c r="TZF17" s="72"/>
      <c r="TZG17" s="72"/>
      <c r="TZH17" s="72"/>
      <c r="TZI17" s="72"/>
      <c r="TZJ17" s="72"/>
      <c r="TZK17" s="72"/>
      <c r="TZL17" s="72"/>
      <c r="TZM17" s="72"/>
      <c r="TZN17" s="72"/>
      <c r="TZO17" s="72"/>
      <c r="TZP17" s="72"/>
      <c r="TZQ17" s="72"/>
      <c r="TZR17" s="72"/>
      <c r="TZS17" s="72"/>
      <c r="TZT17" s="72"/>
      <c r="TZU17" s="72"/>
      <c r="TZV17" s="72"/>
      <c r="TZW17" s="72"/>
      <c r="TZX17" s="72"/>
      <c r="TZY17" s="72"/>
      <c r="TZZ17" s="72"/>
      <c r="UAA17" s="72"/>
      <c r="UAB17" s="72"/>
      <c r="UAC17" s="72"/>
      <c r="UAD17" s="72"/>
      <c r="UAE17" s="72"/>
      <c r="UAF17" s="72"/>
      <c r="UAG17" s="72"/>
      <c r="UAH17" s="72"/>
      <c r="UAI17" s="72"/>
      <c r="UAJ17" s="72"/>
      <c r="UAK17" s="72"/>
      <c r="UAL17" s="72"/>
      <c r="UAM17" s="72"/>
      <c r="UAN17" s="72"/>
      <c r="UAO17" s="72"/>
      <c r="UAP17" s="72"/>
      <c r="UAQ17" s="72"/>
      <c r="UAR17" s="72"/>
      <c r="UAS17" s="72"/>
      <c r="UAT17" s="72"/>
      <c r="UAU17" s="72"/>
      <c r="UAV17" s="72"/>
      <c r="UAW17" s="72"/>
      <c r="UAX17" s="72"/>
      <c r="UAY17" s="72"/>
      <c r="UAZ17" s="72"/>
      <c r="UBA17" s="72"/>
      <c r="UBB17" s="72"/>
      <c r="UBC17" s="72"/>
      <c r="UBD17" s="72"/>
      <c r="UBE17" s="72"/>
      <c r="UBF17" s="72"/>
      <c r="UBG17" s="72"/>
      <c r="UBH17" s="72"/>
      <c r="UBI17" s="72"/>
      <c r="UBJ17" s="72"/>
      <c r="UBK17" s="72"/>
      <c r="UBL17" s="72"/>
      <c r="UBM17" s="72"/>
      <c r="UBN17" s="72"/>
      <c r="UBO17" s="72"/>
      <c r="UBP17" s="72"/>
      <c r="UBQ17" s="72"/>
      <c r="UBR17" s="72"/>
      <c r="UBS17" s="72"/>
      <c r="UBT17" s="72"/>
      <c r="UBU17" s="72"/>
      <c r="UBV17" s="72"/>
      <c r="UBW17" s="72"/>
      <c r="UBX17" s="72"/>
      <c r="UBY17" s="72"/>
      <c r="UBZ17" s="72"/>
      <c r="UCA17" s="72"/>
      <c r="UCB17" s="72"/>
      <c r="UCC17" s="72"/>
      <c r="UCD17" s="72"/>
      <c r="UCE17" s="72"/>
      <c r="UCF17" s="72"/>
      <c r="UCG17" s="72"/>
      <c r="UCH17" s="72"/>
      <c r="UCI17" s="72"/>
      <c r="UCJ17" s="72"/>
      <c r="UCK17" s="72"/>
      <c r="UCL17" s="72"/>
      <c r="UCM17" s="72"/>
      <c r="UCN17" s="72"/>
      <c r="UCO17" s="72"/>
      <c r="UCP17" s="72"/>
      <c r="UCQ17" s="72"/>
      <c r="UCR17" s="72"/>
      <c r="UCS17" s="72"/>
      <c r="UCT17" s="72"/>
      <c r="UCU17" s="72"/>
      <c r="UCV17" s="72"/>
      <c r="UCW17" s="72"/>
      <c r="UCX17" s="72"/>
      <c r="UCY17" s="72"/>
      <c r="UCZ17" s="72"/>
      <c r="UDA17" s="72"/>
      <c r="UDB17" s="72"/>
      <c r="UDC17" s="72"/>
      <c r="UDD17" s="72"/>
      <c r="UDE17" s="72"/>
      <c r="UDF17" s="72"/>
      <c r="UDG17" s="72"/>
      <c r="UDH17" s="72"/>
      <c r="UDI17" s="72"/>
      <c r="UDJ17" s="72"/>
      <c r="UDK17" s="72"/>
      <c r="UDL17" s="72"/>
      <c r="UDM17" s="72"/>
      <c r="UDN17" s="72"/>
      <c r="UDO17" s="72"/>
      <c r="UDP17" s="72"/>
      <c r="UDQ17" s="72"/>
      <c r="UDR17" s="72"/>
      <c r="UDS17" s="72"/>
      <c r="UDT17" s="72"/>
      <c r="UDU17" s="72"/>
      <c r="UDV17" s="72"/>
      <c r="UDW17" s="72"/>
      <c r="UDX17" s="72"/>
      <c r="UDY17" s="72"/>
      <c r="UDZ17" s="72"/>
      <c r="UEA17" s="72"/>
      <c r="UEB17" s="72"/>
      <c r="UEC17" s="72"/>
      <c r="UED17" s="72"/>
      <c r="UEE17" s="72"/>
      <c r="UEF17" s="72"/>
      <c r="UEG17" s="72"/>
      <c r="UEH17" s="72"/>
      <c r="UEI17" s="72"/>
      <c r="UEJ17" s="72"/>
      <c r="UEK17" s="72"/>
      <c r="UEL17" s="72"/>
      <c r="UEM17" s="72"/>
      <c r="UEN17" s="72"/>
      <c r="UEO17" s="72"/>
      <c r="UEP17" s="72"/>
      <c r="UEQ17" s="72"/>
      <c r="UER17" s="72"/>
      <c r="UES17" s="72"/>
      <c r="UET17" s="72"/>
      <c r="UEU17" s="72"/>
      <c r="UEV17" s="72"/>
      <c r="UEW17" s="72"/>
      <c r="UEX17" s="72"/>
      <c r="UEY17" s="72"/>
      <c r="UEZ17" s="72"/>
      <c r="UFA17" s="72"/>
      <c r="UFB17" s="72"/>
      <c r="UFC17" s="72"/>
      <c r="UFD17" s="72"/>
      <c r="UFE17" s="72"/>
      <c r="UFF17" s="72"/>
      <c r="UFG17" s="72"/>
      <c r="UFH17" s="72"/>
      <c r="UFI17" s="72"/>
      <c r="UFJ17" s="72"/>
      <c r="UFK17" s="72"/>
      <c r="UFL17" s="72"/>
      <c r="UFM17" s="72"/>
      <c r="UFN17" s="72"/>
      <c r="UFO17" s="72"/>
      <c r="UFP17" s="72"/>
      <c r="UFQ17" s="72"/>
      <c r="UFR17" s="72"/>
      <c r="UFS17" s="72"/>
      <c r="UFT17" s="72"/>
      <c r="UFU17" s="72"/>
      <c r="UFV17" s="72"/>
      <c r="UFW17" s="72"/>
      <c r="UFX17" s="72"/>
      <c r="UFY17" s="72"/>
      <c r="UFZ17" s="72"/>
      <c r="UGA17" s="72"/>
      <c r="UGB17" s="72"/>
      <c r="UGC17" s="72"/>
      <c r="UGD17" s="72"/>
      <c r="UGE17" s="72"/>
      <c r="UGF17" s="72"/>
      <c r="UGG17" s="72"/>
      <c r="UGH17" s="72"/>
      <c r="UGI17" s="72"/>
      <c r="UGJ17" s="72"/>
      <c r="UGK17" s="72"/>
      <c r="UGL17" s="72"/>
      <c r="UGM17" s="72"/>
      <c r="UGN17" s="72"/>
      <c r="UGO17" s="72"/>
      <c r="UGP17" s="72"/>
      <c r="UGQ17" s="72"/>
      <c r="UGR17" s="72"/>
      <c r="UGS17" s="72"/>
      <c r="UGT17" s="72"/>
      <c r="UGU17" s="72"/>
      <c r="UGV17" s="72"/>
      <c r="UGW17" s="72"/>
      <c r="UGX17" s="72"/>
      <c r="UGY17" s="72"/>
      <c r="UGZ17" s="72"/>
      <c r="UHA17" s="72"/>
      <c r="UHB17" s="72"/>
      <c r="UHC17" s="72"/>
      <c r="UHD17" s="72"/>
      <c r="UHE17" s="72"/>
      <c r="UHF17" s="72"/>
      <c r="UHG17" s="72"/>
      <c r="UHH17" s="72"/>
      <c r="UHI17" s="72"/>
      <c r="UHJ17" s="72"/>
      <c r="UHK17" s="72"/>
      <c r="UHL17" s="72"/>
      <c r="UHM17" s="72"/>
      <c r="UHN17" s="72"/>
      <c r="UHO17" s="72"/>
      <c r="UHP17" s="72"/>
      <c r="UHQ17" s="72"/>
      <c r="UHR17" s="72"/>
      <c r="UHS17" s="72"/>
      <c r="UHT17" s="72"/>
      <c r="UHU17" s="72"/>
      <c r="UHV17" s="72"/>
      <c r="UHW17" s="72"/>
      <c r="UHX17" s="72"/>
      <c r="UHY17" s="72"/>
      <c r="UHZ17" s="72"/>
      <c r="UIA17" s="72"/>
      <c r="UIB17" s="72"/>
      <c r="UIC17" s="72"/>
      <c r="UID17" s="72"/>
      <c r="UIE17" s="72"/>
      <c r="UIF17" s="72"/>
      <c r="UIG17" s="72"/>
      <c r="UIH17" s="72"/>
      <c r="UII17" s="72"/>
      <c r="UIJ17" s="72"/>
      <c r="UIK17" s="72"/>
      <c r="UIL17" s="72"/>
      <c r="UIM17" s="72"/>
      <c r="UIN17" s="72"/>
      <c r="UIO17" s="72"/>
      <c r="UIP17" s="72"/>
      <c r="UIQ17" s="72"/>
      <c r="UIR17" s="72"/>
      <c r="UIS17" s="72"/>
      <c r="UIT17" s="72"/>
      <c r="UIU17" s="72"/>
      <c r="UIV17" s="72"/>
      <c r="UIW17" s="72"/>
      <c r="UIX17" s="72"/>
      <c r="UIY17" s="72"/>
      <c r="UIZ17" s="72"/>
      <c r="UJA17" s="72"/>
      <c r="UJB17" s="72"/>
      <c r="UJC17" s="72"/>
      <c r="UJD17" s="72"/>
      <c r="UJE17" s="72"/>
      <c r="UJF17" s="72"/>
      <c r="UJG17" s="72"/>
      <c r="UJH17" s="72"/>
      <c r="UJI17" s="72"/>
      <c r="UJJ17" s="72"/>
      <c r="UJK17" s="72"/>
      <c r="UJL17" s="72"/>
      <c r="UJM17" s="72"/>
      <c r="UJN17" s="72"/>
      <c r="UJO17" s="72"/>
      <c r="UJP17" s="72"/>
      <c r="UJQ17" s="72"/>
      <c r="UJR17" s="72"/>
      <c r="UJS17" s="72"/>
      <c r="UJT17" s="72"/>
      <c r="UJU17" s="72"/>
      <c r="UJV17" s="72"/>
      <c r="UJW17" s="72"/>
      <c r="UJX17" s="72"/>
      <c r="UJY17" s="72"/>
      <c r="UJZ17" s="72"/>
      <c r="UKA17" s="72"/>
      <c r="UKB17" s="72"/>
      <c r="UKC17" s="72"/>
      <c r="UKD17" s="72"/>
      <c r="UKE17" s="72"/>
      <c r="UKF17" s="72"/>
      <c r="UKG17" s="72"/>
      <c r="UKH17" s="72"/>
      <c r="UKI17" s="72"/>
      <c r="UKJ17" s="72"/>
      <c r="UKK17" s="72"/>
      <c r="UKL17" s="72"/>
      <c r="UKM17" s="72"/>
      <c r="UKN17" s="72"/>
      <c r="UKO17" s="72"/>
      <c r="UKP17" s="72"/>
      <c r="UKQ17" s="72"/>
      <c r="UKR17" s="72"/>
      <c r="UKS17" s="72"/>
      <c r="UKT17" s="72"/>
      <c r="UKU17" s="72"/>
      <c r="UKV17" s="72"/>
      <c r="UKW17" s="72"/>
      <c r="UKX17" s="72"/>
      <c r="UKY17" s="72"/>
      <c r="UKZ17" s="72"/>
      <c r="ULA17" s="72"/>
      <c r="ULB17" s="72"/>
      <c r="ULC17" s="72"/>
      <c r="ULD17" s="72"/>
      <c r="ULE17" s="72"/>
      <c r="ULF17" s="72"/>
      <c r="ULG17" s="72"/>
      <c r="ULH17" s="72"/>
      <c r="ULI17" s="72"/>
      <c r="ULJ17" s="72"/>
      <c r="ULK17" s="72"/>
      <c r="ULL17" s="72"/>
      <c r="ULM17" s="72"/>
      <c r="ULN17" s="72"/>
      <c r="ULO17" s="72"/>
      <c r="ULP17" s="72"/>
      <c r="ULQ17" s="72"/>
      <c r="ULR17" s="72"/>
      <c r="ULS17" s="72"/>
      <c r="ULT17" s="72"/>
      <c r="ULU17" s="72"/>
      <c r="ULV17" s="72"/>
      <c r="ULW17" s="72"/>
      <c r="ULX17" s="72"/>
      <c r="ULY17" s="72"/>
      <c r="ULZ17" s="72"/>
      <c r="UMA17" s="72"/>
      <c r="UMB17" s="72"/>
      <c r="UMC17" s="72"/>
      <c r="UMD17" s="72"/>
      <c r="UME17" s="72"/>
      <c r="UMF17" s="72"/>
      <c r="UMG17" s="72"/>
      <c r="UMH17" s="72"/>
      <c r="UMI17" s="72"/>
      <c r="UMJ17" s="72"/>
      <c r="UMK17" s="72"/>
      <c r="UML17" s="72"/>
      <c r="UMM17" s="72"/>
      <c r="UMN17" s="72"/>
      <c r="UMO17" s="72"/>
      <c r="UMP17" s="72"/>
      <c r="UMQ17" s="72"/>
      <c r="UMR17" s="72"/>
      <c r="UMS17" s="72"/>
      <c r="UMT17" s="72"/>
      <c r="UMU17" s="72"/>
      <c r="UMV17" s="72"/>
      <c r="UMW17" s="72"/>
      <c r="UMX17" s="72"/>
      <c r="UMY17" s="72"/>
      <c r="UMZ17" s="72"/>
      <c r="UNA17" s="72"/>
      <c r="UNB17" s="72"/>
      <c r="UNC17" s="72"/>
      <c r="UND17" s="72"/>
      <c r="UNE17" s="72"/>
      <c r="UNF17" s="72"/>
      <c r="UNG17" s="72"/>
      <c r="UNH17" s="72"/>
      <c r="UNI17" s="72"/>
      <c r="UNJ17" s="72"/>
      <c r="UNK17" s="72"/>
      <c r="UNL17" s="72"/>
      <c r="UNM17" s="72"/>
      <c r="UNN17" s="72"/>
      <c r="UNO17" s="72"/>
      <c r="UNP17" s="72"/>
      <c r="UNQ17" s="72"/>
      <c r="UNR17" s="72"/>
      <c r="UNS17" s="72"/>
      <c r="UNT17" s="72"/>
      <c r="UNU17" s="72"/>
      <c r="UNV17" s="72"/>
      <c r="UNW17" s="72"/>
      <c r="UNX17" s="72"/>
      <c r="UNY17" s="72"/>
      <c r="UNZ17" s="72"/>
      <c r="UOA17" s="72"/>
      <c r="UOB17" s="72"/>
      <c r="UOC17" s="72"/>
      <c r="UOD17" s="72"/>
      <c r="UOE17" s="72"/>
      <c r="UOF17" s="72"/>
      <c r="UOG17" s="72"/>
      <c r="UOH17" s="72"/>
      <c r="UOI17" s="72"/>
      <c r="UOJ17" s="72"/>
      <c r="UOK17" s="72"/>
      <c r="UOL17" s="72"/>
      <c r="UOM17" s="72"/>
      <c r="UON17" s="72"/>
      <c r="UOO17" s="72"/>
      <c r="UOP17" s="72"/>
      <c r="UOQ17" s="72"/>
      <c r="UOR17" s="72"/>
      <c r="UOS17" s="72"/>
      <c r="UOT17" s="72"/>
      <c r="UOU17" s="72"/>
      <c r="UOV17" s="72"/>
      <c r="UOW17" s="72"/>
      <c r="UOX17" s="72"/>
      <c r="UOY17" s="72"/>
      <c r="UOZ17" s="72"/>
      <c r="UPA17" s="72"/>
      <c r="UPB17" s="72"/>
      <c r="UPC17" s="72"/>
      <c r="UPD17" s="72"/>
      <c r="UPE17" s="72"/>
      <c r="UPF17" s="72"/>
      <c r="UPG17" s="72"/>
      <c r="UPH17" s="72"/>
      <c r="UPI17" s="72"/>
      <c r="UPJ17" s="72"/>
      <c r="UPK17" s="72"/>
      <c r="UPL17" s="72"/>
      <c r="UPM17" s="72"/>
      <c r="UPN17" s="72"/>
      <c r="UPO17" s="72"/>
      <c r="UPP17" s="72"/>
      <c r="UPQ17" s="72"/>
      <c r="UPR17" s="72"/>
      <c r="UPS17" s="72"/>
      <c r="UPT17" s="72"/>
      <c r="UPU17" s="72"/>
      <c r="UPV17" s="72"/>
      <c r="UPW17" s="72"/>
      <c r="UPX17" s="72"/>
      <c r="UPY17" s="72"/>
      <c r="UPZ17" s="72"/>
      <c r="UQA17" s="72"/>
      <c r="UQB17" s="72"/>
      <c r="UQC17" s="72"/>
      <c r="UQD17" s="72"/>
      <c r="UQE17" s="72"/>
      <c r="UQF17" s="72"/>
      <c r="UQG17" s="72"/>
      <c r="UQH17" s="72"/>
      <c r="UQI17" s="72"/>
      <c r="UQJ17" s="72"/>
      <c r="UQK17" s="72"/>
      <c r="UQL17" s="72"/>
      <c r="UQM17" s="72"/>
      <c r="UQN17" s="72"/>
      <c r="UQO17" s="72"/>
      <c r="UQP17" s="72"/>
      <c r="UQQ17" s="72"/>
      <c r="UQR17" s="72"/>
      <c r="UQS17" s="72"/>
      <c r="UQT17" s="72"/>
      <c r="UQU17" s="72"/>
      <c r="UQV17" s="72"/>
      <c r="UQW17" s="72"/>
      <c r="UQX17" s="72"/>
      <c r="UQY17" s="72"/>
      <c r="UQZ17" s="72"/>
      <c r="URA17" s="72"/>
      <c r="URB17" s="72"/>
      <c r="URC17" s="72"/>
      <c r="URD17" s="72"/>
      <c r="URE17" s="72"/>
      <c r="URF17" s="72"/>
      <c r="URG17" s="72"/>
      <c r="URH17" s="72"/>
      <c r="URI17" s="72"/>
      <c r="URJ17" s="72"/>
      <c r="URK17" s="72"/>
      <c r="URL17" s="72"/>
      <c r="URM17" s="72"/>
      <c r="URN17" s="72"/>
      <c r="URO17" s="72"/>
      <c r="URP17" s="72"/>
      <c r="URQ17" s="72"/>
      <c r="URR17" s="72"/>
      <c r="URS17" s="72"/>
      <c r="URT17" s="72"/>
      <c r="URU17" s="72"/>
      <c r="URV17" s="72"/>
      <c r="URW17" s="72"/>
      <c r="URX17" s="72"/>
      <c r="URY17" s="72"/>
      <c r="URZ17" s="72"/>
      <c r="USA17" s="72"/>
      <c r="USB17" s="72"/>
      <c r="USC17" s="72"/>
      <c r="USD17" s="72"/>
      <c r="USE17" s="72"/>
      <c r="USF17" s="72"/>
      <c r="USG17" s="72"/>
      <c r="USH17" s="72"/>
      <c r="USI17" s="72"/>
      <c r="USJ17" s="72"/>
      <c r="USK17" s="72"/>
      <c r="USL17" s="72"/>
      <c r="USM17" s="72"/>
      <c r="USN17" s="72"/>
      <c r="USO17" s="72"/>
      <c r="USP17" s="72"/>
      <c r="USQ17" s="72"/>
      <c r="USR17" s="72"/>
      <c r="USS17" s="72"/>
      <c r="UST17" s="72"/>
      <c r="USU17" s="72"/>
      <c r="USV17" s="72"/>
      <c r="USW17" s="72"/>
      <c r="USX17" s="72"/>
      <c r="USY17" s="72"/>
      <c r="USZ17" s="72"/>
      <c r="UTA17" s="72"/>
      <c r="UTB17" s="72"/>
      <c r="UTC17" s="72"/>
      <c r="UTD17" s="72"/>
      <c r="UTE17" s="72"/>
      <c r="UTF17" s="72"/>
      <c r="UTG17" s="72"/>
      <c r="UTH17" s="72"/>
      <c r="UTI17" s="72"/>
      <c r="UTJ17" s="72"/>
      <c r="UTK17" s="72"/>
      <c r="UTL17" s="72"/>
      <c r="UTM17" s="72"/>
      <c r="UTN17" s="72"/>
      <c r="UTO17" s="72"/>
      <c r="UTP17" s="72"/>
      <c r="UTQ17" s="72"/>
      <c r="UTR17" s="72"/>
      <c r="UTS17" s="72"/>
      <c r="UTT17" s="72"/>
      <c r="UTU17" s="72"/>
      <c r="UTV17" s="72"/>
      <c r="UTW17" s="72"/>
      <c r="UTX17" s="72"/>
      <c r="UTY17" s="72"/>
      <c r="UTZ17" s="72"/>
      <c r="UUA17" s="72"/>
      <c r="UUB17" s="72"/>
      <c r="UUC17" s="72"/>
      <c r="UUD17" s="72"/>
      <c r="UUE17" s="72"/>
      <c r="UUF17" s="72"/>
      <c r="UUG17" s="72"/>
      <c r="UUH17" s="72"/>
      <c r="UUI17" s="72"/>
      <c r="UUJ17" s="72"/>
      <c r="UUK17" s="72"/>
      <c r="UUL17" s="72"/>
      <c r="UUM17" s="72"/>
      <c r="UUN17" s="72"/>
      <c r="UUO17" s="72"/>
      <c r="UUP17" s="72"/>
      <c r="UUQ17" s="72"/>
      <c r="UUR17" s="72"/>
      <c r="UUS17" s="72"/>
      <c r="UUT17" s="72"/>
      <c r="UUU17" s="72"/>
      <c r="UUV17" s="72"/>
      <c r="UUW17" s="72"/>
      <c r="UUX17" s="72"/>
      <c r="UUY17" s="72"/>
      <c r="UUZ17" s="72"/>
      <c r="UVA17" s="72"/>
      <c r="UVB17" s="72"/>
      <c r="UVC17" s="72"/>
      <c r="UVD17" s="72"/>
      <c r="UVE17" s="72"/>
      <c r="UVF17" s="72"/>
      <c r="UVG17" s="72"/>
      <c r="UVH17" s="72"/>
      <c r="UVI17" s="72"/>
      <c r="UVJ17" s="72"/>
      <c r="UVK17" s="72"/>
      <c r="UVL17" s="72"/>
      <c r="UVM17" s="72"/>
      <c r="UVN17" s="72"/>
      <c r="UVO17" s="72"/>
      <c r="UVP17" s="72"/>
      <c r="UVQ17" s="72"/>
      <c r="UVR17" s="72"/>
      <c r="UVS17" s="72"/>
      <c r="UVT17" s="72"/>
      <c r="UVU17" s="72"/>
      <c r="UVV17" s="72"/>
      <c r="UVW17" s="72"/>
      <c r="UVX17" s="72"/>
      <c r="UVY17" s="72"/>
      <c r="UVZ17" s="72"/>
      <c r="UWA17" s="72"/>
      <c r="UWB17" s="72"/>
      <c r="UWC17" s="72"/>
      <c r="UWD17" s="72"/>
      <c r="UWE17" s="72"/>
      <c r="UWF17" s="72"/>
      <c r="UWG17" s="72"/>
      <c r="UWH17" s="72"/>
      <c r="UWI17" s="72"/>
      <c r="UWJ17" s="72"/>
      <c r="UWK17" s="72"/>
      <c r="UWL17" s="72"/>
      <c r="UWM17" s="72"/>
      <c r="UWN17" s="72"/>
      <c r="UWO17" s="72"/>
      <c r="UWP17" s="72"/>
      <c r="UWQ17" s="72"/>
      <c r="UWR17" s="72"/>
      <c r="UWS17" s="72"/>
      <c r="UWT17" s="72"/>
      <c r="UWU17" s="72"/>
      <c r="UWV17" s="72"/>
      <c r="UWW17" s="72"/>
      <c r="UWX17" s="72"/>
      <c r="UWY17" s="72"/>
      <c r="UWZ17" s="72"/>
      <c r="UXA17" s="72"/>
      <c r="UXB17" s="72"/>
      <c r="UXC17" s="72"/>
      <c r="UXD17" s="72"/>
      <c r="UXE17" s="72"/>
      <c r="UXF17" s="72"/>
      <c r="UXG17" s="72"/>
      <c r="UXH17" s="72"/>
      <c r="UXI17" s="72"/>
      <c r="UXJ17" s="72"/>
      <c r="UXK17" s="72"/>
      <c r="UXL17" s="72"/>
      <c r="UXM17" s="72"/>
      <c r="UXN17" s="72"/>
      <c r="UXO17" s="72"/>
      <c r="UXP17" s="72"/>
      <c r="UXQ17" s="72"/>
      <c r="UXR17" s="72"/>
      <c r="UXS17" s="72"/>
      <c r="UXT17" s="72"/>
      <c r="UXU17" s="72"/>
      <c r="UXV17" s="72"/>
      <c r="UXW17" s="72"/>
      <c r="UXX17" s="72"/>
      <c r="UXY17" s="72"/>
      <c r="UXZ17" s="72"/>
      <c r="UYA17" s="72"/>
      <c r="UYB17" s="72"/>
      <c r="UYC17" s="72"/>
      <c r="UYD17" s="72"/>
      <c r="UYE17" s="72"/>
      <c r="UYF17" s="72"/>
      <c r="UYG17" s="72"/>
      <c r="UYH17" s="72"/>
      <c r="UYI17" s="72"/>
      <c r="UYJ17" s="72"/>
      <c r="UYK17" s="72"/>
      <c r="UYL17" s="72"/>
      <c r="UYM17" s="72"/>
      <c r="UYN17" s="72"/>
      <c r="UYO17" s="72"/>
      <c r="UYP17" s="72"/>
      <c r="UYQ17" s="72"/>
      <c r="UYR17" s="72"/>
      <c r="UYS17" s="72"/>
      <c r="UYT17" s="72"/>
      <c r="UYU17" s="72"/>
      <c r="UYV17" s="72"/>
      <c r="UYW17" s="72"/>
      <c r="UYX17" s="72"/>
      <c r="UYY17" s="72"/>
      <c r="UYZ17" s="72"/>
      <c r="UZA17" s="72"/>
      <c r="UZB17" s="72"/>
      <c r="UZC17" s="72"/>
      <c r="UZD17" s="72"/>
      <c r="UZE17" s="72"/>
      <c r="UZF17" s="72"/>
      <c r="UZG17" s="72"/>
      <c r="UZH17" s="72"/>
      <c r="UZI17" s="72"/>
      <c r="UZJ17" s="72"/>
      <c r="UZK17" s="72"/>
      <c r="UZL17" s="72"/>
      <c r="UZM17" s="72"/>
      <c r="UZN17" s="72"/>
      <c r="UZO17" s="72"/>
      <c r="UZP17" s="72"/>
      <c r="UZQ17" s="72"/>
      <c r="UZR17" s="72"/>
      <c r="UZS17" s="72"/>
      <c r="UZT17" s="72"/>
      <c r="UZU17" s="72"/>
      <c r="UZV17" s="72"/>
      <c r="UZW17" s="72"/>
      <c r="UZX17" s="72"/>
      <c r="UZY17" s="72"/>
      <c r="UZZ17" s="72"/>
      <c r="VAA17" s="72"/>
      <c r="VAB17" s="72"/>
      <c r="VAC17" s="72"/>
      <c r="VAD17" s="72"/>
      <c r="VAE17" s="72"/>
      <c r="VAF17" s="72"/>
      <c r="VAG17" s="72"/>
      <c r="VAH17" s="72"/>
      <c r="VAI17" s="72"/>
      <c r="VAJ17" s="72"/>
      <c r="VAK17" s="72"/>
      <c r="VAL17" s="72"/>
      <c r="VAM17" s="72"/>
      <c r="VAN17" s="72"/>
      <c r="VAO17" s="72"/>
      <c r="VAP17" s="72"/>
      <c r="VAQ17" s="72"/>
      <c r="VAR17" s="72"/>
      <c r="VAS17" s="72"/>
      <c r="VAT17" s="72"/>
      <c r="VAU17" s="72"/>
      <c r="VAV17" s="72"/>
      <c r="VAW17" s="72"/>
      <c r="VAX17" s="72"/>
      <c r="VAY17" s="72"/>
      <c r="VAZ17" s="72"/>
      <c r="VBA17" s="72"/>
      <c r="VBB17" s="72"/>
      <c r="VBC17" s="72"/>
      <c r="VBD17" s="72"/>
      <c r="VBE17" s="72"/>
      <c r="VBF17" s="72"/>
      <c r="VBG17" s="72"/>
      <c r="VBH17" s="72"/>
      <c r="VBI17" s="72"/>
      <c r="VBJ17" s="72"/>
      <c r="VBK17" s="72"/>
      <c r="VBL17" s="72"/>
      <c r="VBM17" s="72"/>
      <c r="VBN17" s="72"/>
      <c r="VBO17" s="72"/>
      <c r="VBP17" s="72"/>
      <c r="VBQ17" s="72"/>
      <c r="VBR17" s="72"/>
      <c r="VBS17" s="72"/>
      <c r="VBT17" s="72"/>
      <c r="VBU17" s="72"/>
      <c r="VBV17" s="72"/>
      <c r="VBW17" s="72"/>
      <c r="VBX17" s="72"/>
      <c r="VBY17" s="72"/>
      <c r="VBZ17" s="72"/>
      <c r="VCA17" s="72"/>
      <c r="VCB17" s="72"/>
      <c r="VCC17" s="72"/>
      <c r="VCD17" s="72"/>
      <c r="VCE17" s="72"/>
      <c r="VCF17" s="72"/>
      <c r="VCG17" s="72"/>
      <c r="VCH17" s="72"/>
      <c r="VCI17" s="72"/>
      <c r="VCJ17" s="72"/>
      <c r="VCK17" s="72"/>
      <c r="VCL17" s="72"/>
      <c r="VCM17" s="72"/>
      <c r="VCN17" s="72"/>
      <c r="VCO17" s="72"/>
      <c r="VCP17" s="72"/>
      <c r="VCQ17" s="72"/>
      <c r="VCR17" s="72"/>
      <c r="VCS17" s="72"/>
      <c r="VCT17" s="72"/>
      <c r="VCU17" s="72"/>
      <c r="VCV17" s="72"/>
      <c r="VCW17" s="72"/>
      <c r="VCX17" s="72"/>
      <c r="VCY17" s="72"/>
      <c r="VCZ17" s="72"/>
      <c r="VDA17" s="72"/>
      <c r="VDB17" s="72"/>
      <c r="VDC17" s="72"/>
      <c r="VDD17" s="72"/>
      <c r="VDE17" s="72"/>
      <c r="VDF17" s="72"/>
      <c r="VDG17" s="72"/>
      <c r="VDH17" s="72"/>
      <c r="VDI17" s="72"/>
      <c r="VDJ17" s="72"/>
      <c r="VDK17" s="72"/>
      <c r="VDL17" s="72"/>
      <c r="VDM17" s="72"/>
      <c r="VDN17" s="72"/>
      <c r="VDO17" s="72"/>
      <c r="VDP17" s="72"/>
      <c r="VDQ17" s="72"/>
      <c r="VDR17" s="72"/>
      <c r="VDS17" s="72"/>
      <c r="VDT17" s="72"/>
      <c r="VDU17" s="72"/>
      <c r="VDV17" s="72"/>
      <c r="VDW17" s="72"/>
      <c r="VDX17" s="72"/>
      <c r="VDY17" s="72"/>
      <c r="VDZ17" s="72"/>
      <c r="VEA17" s="72"/>
      <c r="VEB17" s="72"/>
      <c r="VEC17" s="72"/>
      <c r="VED17" s="72"/>
      <c r="VEE17" s="72"/>
      <c r="VEF17" s="72"/>
      <c r="VEG17" s="72"/>
      <c r="VEH17" s="72"/>
      <c r="VEI17" s="72"/>
      <c r="VEJ17" s="72"/>
      <c r="VEK17" s="72"/>
      <c r="VEL17" s="72"/>
      <c r="VEM17" s="72"/>
      <c r="VEN17" s="72"/>
      <c r="VEO17" s="72"/>
      <c r="VEP17" s="72"/>
      <c r="VEQ17" s="72"/>
      <c r="VER17" s="72"/>
      <c r="VES17" s="72"/>
      <c r="VET17" s="72"/>
      <c r="VEU17" s="72"/>
      <c r="VEV17" s="72"/>
      <c r="VEW17" s="72"/>
      <c r="VEX17" s="72"/>
      <c r="VEY17" s="72"/>
      <c r="VEZ17" s="72"/>
      <c r="VFA17" s="72"/>
      <c r="VFB17" s="72"/>
      <c r="VFC17" s="72"/>
      <c r="VFD17" s="72"/>
      <c r="VFE17" s="72"/>
      <c r="VFF17" s="72"/>
      <c r="VFG17" s="72"/>
      <c r="VFH17" s="72"/>
      <c r="VFI17" s="72"/>
      <c r="VFJ17" s="72"/>
      <c r="VFK17" s="72"/>
      <c r="VFL17" s="72"/>
      <c r="VFM17" s="72"/>
      <c r="VFN17" s="72"/>
      <c r="VFO17" s="72"/>
      <c r="VFP17" s="72"/>
      <c r="VFQ17" s="72"/>
      <c r="VFR17" s="72"/>
      <c r="VFS17" s="72"/>
      <c r="VFT17" s="72"/>
      <c r="VFU17" s="72"/>
      <c r="VFV17" s="72"/>
      <c r="VFW17" s="72"/>
      <c r="VFX17" s="72"/>
      <c r="VFY17" s="72"/>
      <c r="VFZ17" s="72"/>
      <c r="VGA17" s="72"/>
      <c r="VGB17" s="72"/>
      <c r="VGC17" s="72"/>
      <c r="VGD17" s="72"/>
      <c r="VGE17" s="72"/>
      <c r="VGF17" s="72"/>
      <c r="VGG17" s="72"/>
      <c r="VGH17" s="72"/>
      <c r="VGI17" s="72"/>
      <c r="VGJ17" s="72"/>
      <c r="VGK17" s="72"/>
      <c r="VGL17" s="72"/>
      <c r="VGM17" s="72"/>
      <c r="VGN17" s="72"/>
      <c r="VGO17" s="72"/>
      <c r="VGP17" s="72"/>
      <c r="VGQ17" s="72"/>
      <c r="VGR17" s="72"/>
      <c r="VGS17" s="72"/>
      <c r="VGT17" s="72"/>
      <c r="VGU17" s="72"/>
      <c r="VGV17" s="72"/>
      <c r="VGW17" s="72"/>
      <c r="VGX17" s="72"/>
      <c r="VGY17" s="72"/>
      <c r="VGZ17" s="72"/>
      <c r="VHA17" s="72"/>
      <c r="VHB17" s="72"/>
      <c r="VHC17" s="72"/>
      <c r="VHD17" s="72"/>
      <c r="VHE17" s="72"/>
      <c r="VHF17" s="72"/>
      <c r="VHG17" s="72"/>
      <c r="VHH17" s="72"/>
      <c r="VHI17" s="72"/>
      <c r="VHJ17" s="72"/>
      <c r="VHK17" s="72"/>
      <c r="VHL17" s="72"/>
      <c r="VHM17" s="72"/>
      <c r="VHN17" s="72"/>
      <c r="VHO17" s="72"/>
      <c r="VHP17" s="72"/>
      <c r="VHQ17" s="72"/>
      <c r="VHR17" s="72"/>
      <c r="VHS17" s="72"/>
      <c r="VHT17" s="72"/>
      <c r="VHU17" s="72"/>
      <c r="VHV17" s="72"/>
      <c r="VHW17" s="72"/>
      <c r="VHX17" s="72"/>
      <c r="VHY17" s="72"/>
      <c r="VHZ17" s="72"/>
      <c r="VIA17" s="72"/>
      <c r="VIB17" s="72"/>
      <c r="VIC17" s="72"/>
      <c r="VID17" s="72"/>
      <c r="VIE17" s="72"/>
      <c r="VIF17" s="72"/>
      <c r="VIG17" s="72"/>
      <c r="VIH17" s="72"/>
      <c r="VII17" s="72"/>
      <c r="VIJ17" s="72"/>
      <c r="VIK17" s="72"/>
      <c r="VIL17" s="72"/>
      <c r="VIM17" s="72"/>
      <c r="VIN17" s="72"/>
      <c r="VIO17" s="72"/>
      <c r="VIP17" s="72"/>
      <c r="VIQ17" s="72"/>
      <c r="VIR17" s="72"/>
      <c r="VIS17" s="72"/>
      <c r="VIT17" s="72"/>
      <c r="VIU17" s="72"/>
      <c r="VIV17" s="72"/>
      <c r="VIW17" s="72"/>
      <c r="VIX17" s="72"/>
      <c r="VIY17" s="72"/>
      <c r="VIZ17" s="72"/>
      <c r="VJA17" s="72"/>
      <c r="VJB17" s="72"/>
      <c r="VJC17" s="72"/>
      <c r="VJD17" s="72"/>
      <c r="VJE17" s="72"/>
      <c r="VJF17" s="72"/>
      <c r="VJG17" s="72"/>
      <c r="VJH17" s="72"/>
      <c r="VJI17" s="72"/>
      <c r="VJJ17" s="72"/>
      <c r="VJK17" s="72"/>
      <c r="VJL17" s="72"/>
      <c r="VJM17" s="72"/>
      <c r="VJN17" s="72"/>
      <c r="VJO17" s="72"/>
      <c r="VJP17" s="72"/>
      <c r="VJQ17" s="72"/>
      <c r="VJR17" s="72"/>
      <c r="VJS17" s="72"/>
      <c r="VJT17" s="72"/>
      <c r="VJU17" s="72"/>
      <c r="VJV17" s="72"/>
      <c r="VJW17" s="72"/>
      <c r="VJX17" s="72"/>
      <c r="VJY17" s="72"/>
      <c r="VJZ17" s="72"/>
      <c r="VKA17" s="72"/>
      <c r="VKB17" s="72"/>
      <c r="VKC17" s="72"/>
      <c r="VKD17" s="72"/>
      <c r="VKE17" s="72"/>
      <c r="VKF17" s="72"/>
      <c r="VKG17" s="72"/>
      <c r="VKH17" s="72"/>
      <c r="VKI17" s="72"/>
      <c r="VKJ17" s="72"/>
      <c r="VKK17" s="72"/>
      <c r="VKL17" s="72"/>
      <c r="VKM17" s="72"/>
      <c r="VKN17" s="72"/>
      <c r="VKO17" s="72"/>
      <c r="VKP17" s="72"/>
      <c r="VKQ17" s="72"/>
      <c r="VKR17" s="72"/>
      <c r="VKS17" s="72"/>
      <c r="VKT17" s="72"/>
      <c r="VKU17" s="72"/>
      <c r="VKV17" s="72"/>
      <c r="VKW17" s="72"/>
      <c r="VKX17" s="72"/>
      <c r="VKY17" s="72"/>
      <c r="VKZ17" s="72"/>
      <c r="VLA17" s="72"/>
      <c r="VLB17" s="72"/>
      <c r="VLC17" s="72"/>
      <c r="VLD17" s="72"/>
      <c r="VLE17" s="72"/>
      <c r="VLF17" s="72"/>
      <c r="VLG17" s="72"/>
      <c r="VLH17" s="72"/>
      <c r="VLI17" s="72"/>
      <c r="VLJ17" s="72"/>
      <c r="VLK17" s="72"/>
      <c r="VLL17" s="72"/>
      <c r="VLM17" s="72"/>
      <c r="VLN17" s="72"/>
      <c r="VLO17" s="72"/>
      <c r="VLP17" s="72"/>
      <c r="VLQ17" s="72"/>
      <c r="VLR17" s="72"/>
      <c r="VLS17" s="72"/>
      <c r="VLT17" s="72"/>
      <c r="VLU17" s="72"/>
      <c r="VLV17" s="72"/>
      <c r="VLW17" s="72"/>
      <c r="VLX17" s="72"/>
      <c r="VLY17" s="72"/>
      <c r="VLZ17" s="72"/>
      <c r="VMA17" s="72"/>
      <c r="VMB17" s="72"/>
      <c r="VMC17" s="72"/>
      <c r="VMD17" s="72"/>
      <c r="VME17" s="72"/>
      <c r="VMF17" s="72"/>
      <c r="VMG17" s="72"/>
      <c r="VMH17" s="72"/>
      <c r="VMI17" s="72"/>
      <c r="VMJ17" s="72"/>
      <c r="VMK17" s="72"/>
      <c r="VML17" s="72"/>
      <c r="VMM17" s="72"/>
      <c r="VMN17" s="72"/>
      <c r="VMO17" s="72"/>
      <c r="VMP17" s="72"/>
      <c r="VMQ17" s="72"/>
      <c r="VMR17" s="72"/>
      <c r="VMS17" s="72"/>
      <c r="VMT17" s="72"/>
      <c r="VMU17" s="72"/>
      <c r="VMV17" s="72"/>
      <c r="VMW17" s="72"/>
      <c r="VMX17" s="72"/>
      <c r="VMY17" s="72"/>
      <c r="VMZ17" s="72"/>
      <c r="VNA17" s="72"/>
      <c r="VNB17" s="72"/>
      <c r="VNC17" s="72"/>
      <c r="VND17" s="72"/>
      <c r="VNE17" s="72"/>
      <c r="VNF17" s="72"/>
      <c r="VNG17" s="72"/>
      <c r="VNH17" s="72"/>
      <c r="VNI17" s="72"/>
      <c r="VNJ17" s="72"/>
      <c r="VNK17" s="72"/>
      <c r="VNL17" s="72"/>
      <c r="VNM17" s="72"/>
      <c r="VNN17" s="72"/>
      <c r="VNO17" s="72"/>
      <c r="VNP17" s="72"/>
      <c r="VNQ17" s="72"/>
      <c r="VNR17" s="72"/>
      <c r="VNS17" s="72"/>
      <c r="VNT17" s="72"/>
      <c r="VNU17" s="72"/>
      <c r="VNV17" s="72"/>
      <c r="VNW17" s="72"/>
      <c r="VNX17" s="72"/>
      <c r="VNY17" s="72"/>
      <c r="VNZ17" s="72"/>
      <c r="VOA17" s="72"/>
      <c r="VOB17" s="72"/>
      <c r="VOC17" s="72"/>
      <c r="VOD17" s="72"/>
      <c r="VOE17" s="72"/>
      <c r="VOF17" s="72"/>
      <c r="VOG17" s="72"/>
      <c r="VOH17" s="72"/>
      <c r="VOI17" s="72"/>
      <c r="VOJ17" s="72"/>
      <c r="VOK17" s="72"/>
      <c r="VOL17" s="72"/>
      <c r="VOM17" s="72"/>
      <c r="VON17" s="72"/>
      <c r="VOO17" s="72"/>
      <c r="VOP17" s="72"/>
      <c r="VOQ17" s="72"/>
      <c r="VOR17" s="72"/>
      <c r="VOS17" s="72"/>
      <c r="VOT17" s="72"/>
      <c r="VOU17" s="72"/>
      <c r="VOV17" s="72"/>
      <c r="VOW17" s="72"/>
      <c r="VOX17" s="72"/>
      <c r="VOY17" s="72"/>
      <c r="VOZ17" s="72"/>
      <c r="VPA17" s="72"/>
      <c r="VPB17" s="72"/>
      <c r="VPC17" s="72"/>
      <c r="VPD17" s="72"/>
      <c r="VPE17" s="72"/>
      <c r="VPF17" s="72"/>
      <c r="VPG17" s="72"/>
      <c r="VPH17" s="72"/>
      <c r="VPI17" s="72"/>
      <c r="VPJ17" s="72"/>
      <c r="VPK17" s="72"/>
      <c r="VPL17" s="72"/>
      <c r="VPM17" s="72"/>
      <c r="VPN17" s="72"/>
      <c r="VPO17" s="72"/>
      <c r="VPP17" s="72"/>
      <c r="VPQ17" s="72"/>
      <c r="VPR17" s="72"/>
      <c r="VPS17" s="72"/>
      <c r="VPT17" s="72"/>
      <c r="VPU17" s="72"/>
      <c r="VPV17" s="72"/>
      <c r="VPW17" s="72"/>
      <c r="VPX17" s="72"/>
      <c r="VPY17" s="72"/>
      <c r="VPZ17" s="72"/>
      <c r="VQA17" s="72"/>
      <c r="VQB17" s="72"/>
      <c r="VQC17" s="72"/>
      <c r="VQD17" s="72"/>
      <c r="VQE17" s="72"/>
      <c r="VQF17" s="72"/>
      <c r="VQG17" s="72"/>
      <c r="VQH17" s="72"/>
      <c r="VQI17" s="72"/>
      <c r="VQJ17" s="72"/>
      <c r="VQK17" s="72"/>
      <c r="VQL17" s="72"/>
      <c r="VQM17" s="72"/>
      <c r="VQN17" s="72"/>
      <c r="VQO17" s="72"/>
      <c r="VQP17" s="72"/>
      <c r="VQQ17" s="72"/>
      <c r="VQR17" s="72"/>
      <c r="VQS17" s="72"/>
      <c r="VQT17" s="72"/>
      <c r="VQU17" s="72"/>
      <c r="VQV17" s="72"/>
      <c r="VQW17" s="72"/>
      <c r="VQX17" s="72"/>
      <c r="VQY17" s="72"/>
      <c r="VQZ17" s="72"/>
      <c r="VRA17" s="72"/>
      <c r="VRB17" s="72"/>
      <c r="VRC17" s="72"/>
      <c r="VRD17" s="72"/>
      <c r="VRE17" s="72"/>
      <c r="VRF17" s="72"/>
      <c r="VRG17" s="72"/>
      <c r="VRH17" s="72"/>
      <c r="VRI17" s="72"/>
      <c r="VRJ17" s="72"/>
      <c r="VRK17" s="72"/>
      <c r="VRL17" s="72"/>
      <c r="VRM17" s="72"/>
      <c r="VRN17" s="72"/>
      <c r="VRO17" s="72"/>
      <c r="VRP17" s="72"/>
      <c r="VRQ17" s="72"/>
      <c r="VRR17" s="72"/>
      <c r="VRS17" s="72"/>
      <c r="VRT17" s="72"/>
      <c r="VRU17" s="72"/>
      <c r="VRV17" s="72"/>
      <c r="VRW17" s="72"/>
      <c r="VRX17" s="72"/>
      <c r="VRY17" s="72"/>
      <c r="VRZ17" s="72"/>
      <c r="VSA17" s="72"/>
      <c r="VSB17" s="72"/>
      <c r="VSC17" s="72"/>
      <c r="VSD17" s="72"/>
      <c r="VSE17" s="72"/>
      <c r="VSF17" s="72"/>
      <c r="VSG17" s="72"/>
      <c r="VSH17" s="72"/>
      <c r="VSI17" s="72"/>
      <c r="VSJ17" s="72"/>
      <c r="VSK17" s="72"/>
      <c r="VSL17" s="72"/>
      <c r="VSM17" s="72"/>
      <c r="VSN17" s="72"/>
      <c r="VSO17" s="72"/>
      <c r="VSP17" s="72"/>
      <c r="VSQ17" s="72"/>
      <c r="VSR17" s="72"/>
      <c r="VSS17" s="72"/>
      <c r="VST17" s="72"/>
      <c r="VSU17" s="72"/>
      <c r="VSV17" s="72"/>
      <c r="VSW17" s="72"/>
      <c r="VSX17" s="72"/>
      <c r="VSY17" s="72"/>
      <c r="VSZ17" s="72"/>
      <c r="VTA17" s="72"/>
      <c r="VTB17" s="72"/>
      <c r="VTC17" s="72"/>
      <c r="VTD17" s="72"/>
      <c r="VTE17" s="72"/>
      <c r="VTF17" s="72"/>
      <c r="VTG17" s="72"/>
      <c r="VTH17" s="72"/>
      <c r="VTI17" s="72"/>
      <c r="VTJ17" s="72"/>
      <c r="VTK17" s="72"/>
      <c r="VTL17" s="72"/>
      <c r="VTM17" s="72"/>
      <c r="VTN17" s="72"/>
      <c r="VTO17" s="72"/>
      <c r="VTP17" s="72"/>
      <c r="VTQ17" s="72"/>
      <c r="VTR17" s="72"/>
      <c r="VTS17" s="72"/>
      <c r="VTT17" s="72"/>
      <c r="VTU17" s="72"/>
      <c r="VTV17" s="72"/>
      <c r="VTW17" s="72"/>
      <c r="VTX17" s="72"/>
      <c r="VTY17" s="72"/>
      <c r="VTZ17" s="72"/>
      <c r="VUA17" s="72"/>
      <c r="VUB17" s="72"/>
      <c r="VUC17" s="72"/>
      <c r="VUD17" s="72"/>
      <c r="VUE17" s="72"/>
      <c r="VUF17" s="72"/>
      <c r="VUG17" s="72"/>
      <c r="VUH17" s="72"/>
      <c r="VUI17" s="72"/>
      <c r="VUJ17" s="72"/>
      <c r="VUK17" s="72"/>
      <c r="VUL17" s="72"/>
      <c r="VUM17" s="72"/>
      <c r="VUN17" s="72"/>
      <c r="VUO17" s="72"/>
      <c r="VUP17" s="72"/>
      <c r="VUQ17" s="72"/>
      <c r="VUR17" s="72"/>
      <c r="VUS17" s="72"/>
      <c r="VUT17" s="72"/>
      <c r="VUU17" s="72"/>
      <c r="VUV17" s="72"/>
      <c r="VUW17" s="72"/>
      <c r="VUX17" s="72"/>
      <c r="VUY17" s="72"/>
      <c r="VUZ17" s="72"/>
      <c r="VVA17" s="72"/>
      <c r="VVB17" s="72"/>
      <c r="VVC17" s="72"/>
      <c r="VVD17" s="72"/>
      <c r="VVE17" s="72"/>
      <c r="VVF17" s="72"/>
      <c r="VVG17" s="72"/>
      <c r="VVH17" s="72"/>
      <c r="VVI17" s="72"/>
      <c r="VVJ17" s="72"/>
      <c r="VVK17" s="72"/>
      <c r="VVL17" s="72"/>
      <c r="VVM17" s="72"/>
      <c r="VVN17" s="72"/>
      <c r="VVO17" s="72"/>
      <c r="VVP17" s="72"/>
      <c r="VVQ17" s="72"/>
      <c r="VVR17" s="72"/>
      <c r="VVS17" s="72"/>
      <c r="VVT17" s="72"/>
      <c r="VVU17" s="72"/>
      <c r="VVV17" s="72"/>
      <c r="VVW17" s="72"/>
      <c r="VVX17" s="72"/>
      <c r="VVY17" s="72"/>
      <c r="VVZ17" s="72"/>
      <c r="VWA17" s="72"/>
      <c r="VWB17" s="72"/>
      <c r="VWC17" s="72"/>
      <c r="VWD17" s="72"/>
      <c r="VWE17" s="72"/>
      <c r="VWF17" s="72"/>
      <c r="VWG17" s="72"/>
      <c r="VWH17" s="72"/>
      <c r="VWI17" s="72"/>
      <c r="VWJ17" s="72"/>
      <c r="VWK17" s="72"/>
      <c r="VWL17" s="72"/>
      <c r="VWM17" s="72"/>
      <c r="VWN17" s="72"/>
      <c r="VWO17" s="72"/>
      <c r="VWP17" s="72"/>
      <c r="VWQ17" s="72"/>
      <c r="VWR17" s="72"/>
      <c r="VWS17" s="72"/>
      <c r="VWT17" s="72"/>
      <c r="VWU17" s="72"/>
      <c r="VWV17" s="72"/>
      <c r="VWW17" s="72"/>
      <c r="VWX17" s="72"/>
      <c r="VWY17" s="72"/>
      <c r="VWZ17" s="72"/>
      <c r="VXA17" s="72"/>
      <c r="VXB17" s="72"/>
      <c r="VXC17" s="72"/>
      <c r="VXD17" s="72"/>
      <c r="VXE17" s="72"/>
      <c r="VXF17" s="72"/>
      <c r="VXG17" s="72"/>
      <c r="VXH17" s="72"/>
      <c r="VXI17" s="72"/>
      <c r="VXJ17" s="72"/>
      <c r="VXK17" s="72"/>
      <c r="VXL17" s="72"/>
      <c r="VXM17" s="72"/>
      <c r="VXN17" s="72"/>
      <c r="VXO17" s="72"/>
      <c r="VXP17" s="72"/>
      <c r="VXQ17" s="72"/>
      <c r="VXR17" s="72"/>
      <c r="VXS17" s="72"/>
      <c r="VXT17" s="72"/>
      <c r="VXU17" s="72"/>
      <c r="VXV17" s="72"/>
      <c r="VXW17" s="72"/>
      <c r="VXX17" s="72"/>
      <c r="VXY17" s="72"/>
      <c r="VXZ17" s="72"/>
      <c r="VYA17" s="72"/>
      <c r="VYB17" s="72"/>
      <c r="VYC17" s="72"/>
      <c r="VYD17" s="72"/>
      <c r="VYE17" s="72"/>
      <c r="VYF17" s="72"/>
      <c r="VYG17" s="72"/>
      <c r="VYH17" s="72"/>
      <c r="VYI17" s="72"/>
      <c r="VYJ17" s="72"/>
      <c r="VYK17" s="72"/>
      <c r="VYL17" s="72"/>
      <c r="VYM17" s="72"/>
      <c r="VYN17" s="72"/>
      <c r="VYO17" s="72"/>
      <c r="VYP17" s="72"/>
      <c r="VYQ17" s="72"/>
      <c r="VYR17" s="72"/>
      <c r="VYS17" s="72"/>
      <c r="VYT17" s="72"/>
      <c r="VYU17" s="72"/>
      <c r="VYV17" s="72"/>
      <c r="VYW17" s="72"/>
      <c r="VYX17" s="72"/>
      <c r="VYY17" s="72"/>
      <c r="VYZ17" s="72"/>
      <c r="VZA17" s="72"/>
      <c r="VZB17" s="72"/>
      <c r="VZC17" s="72"/>
      <c r="VZD17" s="72"/>
      <c r="VZE17" s="72"/>
      <c r="VZF17" s="72"/>
      <c r="VZG17" s="72"/>
      <c r="VZH17" s="72"/>
      <c r="VZI17" s="72"/>
      <c r="VZJ17" s="72"/>
      <c r="VZK17" s="72"/>
      <c r="VZL17" s="72"/>
      <c r="VZM17" s="72"/>
      <c r="VZN17" s="72"/>
      <c r="VZO17" s="72"/>
      <c r="VZP17" s="72"/>
      <c r="VZQ17" s="72"/>
      <c r="VZR17" s="72"/>
      <c r="VZS17" s="72"/>
      <c r="VZT17" s="72"/>
      <c r="VZU17" s="72"/>
      <c r="VZV17" s="72"/>
      <c r="VZW17" s="72"/>
      <c r="VZX17" s="72"/>
      <c r="VZY17" s="72"/>
      <c r="VZZ17" s="72"/>
      <c r="WAA17" s="72"/>
      <c r="WAB17" s="72"/>
      <c r="WAC17" s="72"/>
      <c r="WAD17" s="72"/>
      <c r="WAE17" s="72"/>
      <c r="WAF17" s="72"/>
      <c r="WAG17" s="72"/>
      <c r="WAH17" s="72"/>
      <c r="WAI17" s="72"/>
      <c r="WAJ17" s="72"/>
      <c r="WAK17" s="72"/>
      <c r="WAL17" s="72"/>
      <c r="WAM17" s="72"/>
      <c r="WAN17" s="72"/>
      <c r="WAO17" s="72"/>
      <c r="WAP17" s="72"/>
      <c r="WAQ17" s="72"/>
      <c r="WAR17" s="72"/>
      <c r="WAS17" s="72"/>
      <c r="WAT17" s="72"/>
      <c r="WAU17" s="72"/>
      <c r="WAV17" s="72"/>
      <c r="WAW17" s="72"/>
      <c r="WAX17" s="72"/>
      <c r="WAY17" s="72"/>
      <c r="WAZ17" s="72"/>
      <c r="WBA17" s="72"/>
      <c r="WBB17" s="72"/>
      <c r="WBC17" s="72"/>
      <c r="WBD17" s="72"/>
      <c r="WBE17" s="72"/>
      <c r="WBF17" s="72"/>
      <c r="WBG17" s="72"/>
      <c r="WBH17" s="72"/>
      <c r="WBI17" s="72"/>
      <c r="WBJ17" s="72"/>
      <c r="WBK17" s="72"/>
      <c r="WBL17" s="72"/>
      <c r="WBM17" s="72"/>
      <c r="WBN17" s="72"/>
      <c r="WBO17" s="72"/>
      <c r="WBP17" s="72"/>
      <c r="WBQ17" s="72"/>
      <c r="WBR17" s="72"/>
      <c r="WBS17" s="72"/>
      <c r="WBT17" s="72"/>
      <c r="WBU17" s="72"/>
      <c r="WBV17" s="72"/>
      <c r="WBW17" s="72"/>
      <c r="WBX17" s="72"/>
      <c r="WBY17" s="72"/>
      <c r="WBZ17" s="72"/>
      <c r="WCA17" s="72"/>
      <c r="WCB17" s="72"/>
      <c r="WCC17" s="72"/>
      <c r="WCD17" s="72"/>
      <c r="WCE17" s="72"/>
      <c r="WCF17" s="72"/>
      <c r="WCG17" s="72"/>
      <c r="WCH17" s="72"/>
      <c r="WCI17" s="72"/>
      <c r="WCJ17" s="72"/>
      <c r="WCK17" s="72"/>
      <c r="WCL17" s="72"/>
      <c r="WCM17" s="72"/>
      <c r="WCN17" s="72"/>
      <c r="WCO17" s="72"/>
      <c r="WCP17" s="72"/>
      <c r="WCQ17" s="72"/>
      <c r="WCR17" s="72"/>
      <c r="WCS17" s="72"/>
      <c r="WCT17" s="72"/>
      <c r="WCU17" s="72"/>
      <c r="WCV17" s="72"/>
      <c r="WCW17" s="72"/>
      <c r="WCX17" s="72"/>
      <c r="WCY17" s="72"/>
      <c r="WCZ17" s="72"/>
      <c r="WDA17" s="72"/>
      <c r="WDB17" s="72"/>
      <c r="WDC17" s="72"/>
      <c r="WDD17" s="72"/>
      <c r="WDE17" s="72"/>
      <c r="WDF17" s="72"/>
      <c r="WDG17" s="72"/>
      <c r="WDH17" s="72"/>
      <c r="WDI17" s="72"/>
      <c r="WDJ17" s="72"/>
      <c r="WDK17" s="72"/>
      <c r="WDL17" s="72"/>
      <c r="WDM17" s="72"/>
      <c r="WDN17" s="72"/>
      <c r="WDO17" s="72"/>
      <c r="WDP17" s="72"/>
      <c r="WDQ17" s="72"/>
      <c r="WDR17" s="72"/>
      <c r="WDS17" s="72"/>
      <c r="WDT17" s="72"/>
      <c r="WDU17" s="72"/>
      <c r="WDV17" s="72"/>
      <c r="WDW17" s="72"/>
      <c r="WDX17" s="72"/>
      <c r="WDY17" s="72"/>
      <c r="WDZ17" s="72"/>
      <c r="WEA17" s="72"/>
      <c r="WEB17" s="72"/>
      <c r="WEC17" s="72"/>
      <c r="WED17" s="72"/>
      <c r="WEE17" s="72"/>
      <c r="WEF17" s="72"/>
      <c r="WEG17" s="72"/>
      <c r="WEH17" s="72"/>
      <c r="WEI17" s="72"/>
      <c r="WEJ17" s="72"/>
      <c r="WEK17" s="72"/>
      <c r="WEL17" s="72"/>
      <c r="WEM17" s="72"/>
      <c r="WEN17" s="72"/>
      <c r="WEO17" s="72"/>
      <c r="WEP17" s="72"/>
      <c r="WEQ17" s="72"/>
      <c r="WER17" s="72"/>
      <c r="WES17" s="72"/>
      <c r="WET17" s="72"/>
      <c r="WEU17" s="72"/>
      <c r="WEV17" s="72"/>
      <c r="WEW17" s="72"/>
      <c r="WEX17" s="72"/>
      <c r="WEY17" s="72"/>
      <c r="WEZ17" s="72"/>
      <c r="WFA17" s="72"/>
      <c r="WFB17" s="72"/>
      <c r="WFC17" s="72"/>
      <c r="WFD17" s="72"/>
      <c r="WFE17" s="72"/>
      <c r="WFF17" s="72"/>
      <c r="WFG17" s="72"/>
      <c r="WFH17" s="72"/>
      <c r="WFI17" s="72"/>
      <c r="WFJ17" s="72"/>
      <c r="WFK17" s="72"/>
      <c r="WFL17" s="72"/>
      <c r="WFM17" s="72"/>
      <c r="WFN17" s="72"/>
      <c r="WFO17" s="72"/>
      <c r="WFP17" s="72"/>
      <c r="WFQ17" s="72"/>
      <c r="WFR17" s="72"/>
      <c r="WFS17" s="72"/>
      <c r="WFT17" s="72"/>
      <c r="WFU17" s="72"/>
      <c r="WFV17" s="72"/>
      <c r="WFW17" s="72"/>
      <c r="WFX17" s="72"/>
      <c r="WFY17" s="72"/>
      <c r="WFZ17" s="72"/>
      <c r="WGA17" s="72"/>
      <c r="WGB17" s="72"/>
      <c r="WGC17" s="72"/>
      <c r="WGD17" s="72"/>
      <c r="WGE17" s="72"/>
      <c r="WGF17" s="72"/>
      <c r="WGG17" s="72"/>
      <c r="WGH17" s="72"/>
      <c r="WGI17" s="72"/>
      <c r="WGJ17" s="72"/>
      <c r="WGK17" s="72"/>
      <c r="WGL17" s="72"/>
      <c r="WGM17" s="72"/>
      <c r="WGN17" s="72"/>
      <c r="WGO17" s="72"/>
      <c r="WGP17" s="72"/>
      <c r="WGQ17" s="72"/>
      <c r="WGR17" s="72"/>
      <c r="WGS17" s="72"/>
      <c r="WGT17" s="72"/>
      <c r="WGU17" s="72"/>
      <c r="WGV17" s="72"/>
      <c r="WGW17" s="72"/>
      <c r="WGX17" s="72"/>
      <c r="WGY17" s="72"/>
      <c r="WGZ17" s="72"/>
      <c r="WHA17" s="72"/>
      <c r="WHB17" s="72"/>
      <c r="WHC17" s="72"/>
      <c r="WHD17" s="72"/>
      <c r="WHE17" s="72"/>
      <c r="WHF17" s="72"/>
      <c r="WHG17" s="72"/>
      <c r="WHH17" s="72"/>
      <c r="WHI17" s="72"/>
      <c r="WHJ17" s="72"/>
      <c r="WHK17" s="72"/>
      <c r="WHL17" s="72"/>
      <c r="WHM17" s="72"/>
      <c r="WHN17" s="72"/>
      <c r="WHO17" s="72"/>
      <c r="WHP17" s="72"/>
      <c r="WHQ17" s="72"/>
      <c r="WHR17" s="72"/>
      <c r="WHS17" s="72"/>
      <c r="WHT17" s="72"/>
      <c r="WHU17" s="72"/>
      <c r="WHV17" s="72"/>
      <c r="WHW17" s="72"/>
      <c r="WHX17" s="72"/>
      <c r="WHY17" s="72"/>
      <c r="WHZ17" s="72"/>
      <c r="WIA17" s="72"/>
      <c r="WIB17" s="72"/>
      <c r="WIC17" s="72"/>
      <c r="WID17" s="72"/>
      <c r="WIE17" s="72"/>
      <c r="WIF17" s="72"/>
      <c r="WIG17" s="72"/>
      <c r="WIH17" s="72"/>
      <c r="WII17" s="72"/>
      <c r="WIJ17" s="72"/>
      <c r="WIK17" s="72"/>
      <c r="WIL17" s="72"/>
      <c r="WIM17" s="72"/>
      <c r="WIN17" s="72"/>
      <c r="WIO17" s="72"/>
      <c r="WIP17" s="72"/>
      <c r="WIQ17" s="72"/>
      <c r="WIR17" s="72"/>
      <c r="WIS17" s="72"/>
      <c r="WIT17" s="72"/>
      <c r="WIU17" s="72"/>
      <c r="WIV17" s="72"/>
      <c r="WIW17" s="72"/>
      <c r="WIX17" s="72"/>
      <c r="WIY17" s="72"/>
      <c r="WIZ17" s="72"/>
      <c r="WJA17" s="72"/>
      <c r="WJB17" s="72"/>
      <c r="WJC17" s="72"/>
      <c r="WJD17" s="72"/>
      <c r="WJE17" s="72"/>
      <c r="WJF17" s="72"/>
      <c r="WJG17" s="72"/>
      <c r="WJH17" s="72"/>
      <c r="WJI17" s="72"/>
      <c r="WJJ17" s="72"/>
      <c r="WJK17" s="72"/>
      <c r="WJL17" s="72"/>
      <c r="WJM17" s="72"/>
      <c r="WJN17" s="72"/>
      <c r="WJO17" s="72"/>
      <c r="WJP17" s="72"/>
      <c r="WJQ17" s="72"/>
      <c r="WJR17" s="72"/>
      <c r="WJS17" s="72"/>
      <c r="WJT17" s="72"/>
      <c r="WJU17" s="72"/>
      <c r="WJV17" s="72"/>
      <c r="WJW17" s="72"/>
      <c r="WJX17" s="72"/>
      <c r="WJY17" s="72"/>
      <c r="WJZ17" s="72"/>
      <c r="WKA17" s="72"/>
      <c r="WKB17" s="72"/>
      <c r="WKC17" s="72"/>
      <c r="WKD17" s="72"/>
      <c r="WKE17" s="72"/>
      <c r="WKF17" s="72"/>
      <c r="WKG17" s="72"/>
      <c r="WKH17" s="72"/>
      <c r="WKI17" s="72"/>
      <c r="WKJ17" s="72"/>
      <c r="WKK17" s="72"/>
      <c r="WKL17" s="72"/>
      <c r="WKM17" s="72"/>
      <c r="WKN17" s="72"/>
      <c r="WKO17" s="72"/>
      <c r="WKP17" s="72"/>
      <c r="WKQ17" s="72"/>
      <c r="WKR17" s="72"/>
      <c r="WKS17" s="72"/>
      <c r="WKT17" s="72"/>
      <c r="WKU17" s="72"/>
      <c r="WKV17" s="72"/>
      <c r="WKW17" s="72"/>
      <c r="WKX17" s="72"/>
      <c r="WKY17" s="72"/>
      <c r="WKZ17" s="72"/>
      <c r="WLA17" s="72"/>
      <c r="WLB17" s="72"/>
      <c r="WLC17" s="72"/>
      <c r="WLD17" s="72"/>
      <c r="WLE17" s="72"/>
      <c r="WLF17" s="72"/>
      <c r="WLG17" s="72"/>
      <c r="WLH17" s="72"/>
      <c r="WLI17" s="72"/>
      <c r="WLJ17" s="72"/>
      <c r="WLK17" s="72"/>
      <c r="WLL17" s="72"/>
      <c r="WLM17" s="72"/>
      <c r="WLN17" s="72"/>
      <c r="WLO17" s="72"/>
      <c r="WLP17" s="72"/>
      <c r="WLQ17" s="72"/>
      <c r="WLR17" s="72"/>
      <c r="WLS17" s="72"/>
      <c r="WLT17" s="72"/>
      <c r="WLU17" s="72"/>
      <c r="WLV17" s="72"/>
      <c r="WLW17" s="72"/>
      <c r="WLX17" s="72"/>
      <c r="WLY17" s="72"/>
      <c r="WLZ17" s="72"/>
      <c r="WMA17" s="72"/>
      <c r="WMB17" s="72"/>
      <c r="WMC17" s="72"/>
      <c r="WMD17" s="72"/>
      <c r="WME17" s="72"/>
      <c r="WMF17" s="72"/>
      <c r="WMG17" s="72"/>
      <c r="WMH17" s="72"/>
      <c r="WMI17" s="72"/>
      <c r="WMJ17" s="72"/>
      <c r="WMK17" s="72"/>
      <c r="WML17" s="72"/>
      <c r="WMM17" s="72"/>
      <c r="WMN17" s="72"/>
      <c r="WMO17" s="72"/>
      <c r="WMP17" s="72"/>
      <c r="WMQ17" s="72"/>
      <c r="WMR17" s="72"/>
      <c r="WMS17" s="72"/>
      <c r="WMT17" s="72"/>
      <c r="WMU17" s="72"/>
      <c r="WMV17" s="72"/>
      <c r="WMW17" s="72"/>
      <c r="WMX17" s="72"/>
      <c r="WMY17" s="72"/>
      <c r="WMZ17" s="72"/>
      <c r="WNA17" s="72"/>
      <c r="WNB17" s="72"/>
      <c r="WNC17" s="72"/>
      <c r="WND17" s="72"/>
      <c r="WNE17" s="72"/>
      <c r="WNF17" s="72"/>
      <c r="WNG17" s="72"/>
      <c r="WNH17" s="72"/>
      <c r="WNI17" s="72"/>
      <c r="WNJ17" s="72"/>
      <c r="WNK17" s="72"/>
      <c r="WNL17" s="72"/>
      <c r="WNM17" s="72"/>
      <c r="WNN17" s="72"/>
      <c r="WNO17" s="72"/>
      <c r="WNP17" s="72"/>
      <c r="WNQ17" s="72"/>
      <c r="WNR17" s="72"/>
      <c r="WNS17" s="72"/>
      <c r="WNT17" s="72"/>
      <c r="WNU17" s="72"/>
      <c r="WNV17" s="72"/>
      <c r="WNW17" s="72"/>
      <c r="WNX17" s="72"/>
      <c r="WNY17" s="72"/>
      <c r="WNZ17" s="72"/>
      <c r="WOA17" s="72"/>
      <c r="WOB17" s="72"/>
      <c r="WOC17" s="72"/>
      <c r="WOD17" s="72"/>
      <c r="WOE17" s="72"/>
      <c r="WOF17" s="72"/>
      <c r="WOG17" s="72"/>
      <c r="WOH17" s="72"/>
      <c r="WOI17" s="72"/>
      <c r="WOJ17" s="72"/>
      <c r="WOK17" s="72"/>
      <c r="WOL17" s="72"/>
      <c r="WOM17" s="72"/>
      <c r="WON17" s="72"/>
      <c r="WOO17" s="72"/>
      <c r="WOP17" s="72"/>
      <c r="WOQ17" s="72"/>
      <c r="WOR17" s="72"/>
      <c r="WOS17" s="72"/>
      <c r="WOT17" s="72"/>
      <c r="WOU17" s="72"/>
      <c r="WOV17" s="72"/>
      <c r="WOW17" s="72"/>
      <c r="WOX17" s="72"/>
      <c r="WOY17" s="72"/>
      <c r="WOZ17" s="72"/>
      <c r="WPA17" s="72"/>
      <c r="WPB17" s="72"/>
      <c r="WPC17" s="72"/>
      <c r="WPD17" s="72"/>
      <c r="WPE17" s="72"/>
      <c r="WPF17" s="72"/>
      <c r="WPG17" s="72"/>
      <c r="WPH17" s="72"/>
      <c r="WPI17" s="72"/>
      <c r="WPJ17" s="72"/>
      <c r="WPK17" s="72"/>
      <c r="WPL17" s="72"/>
      <c r="WPM17" s="72"/>
      <c r="WPN17" s="72"/>
      <c r="WPO17" s="72"/>
      <c r="WPP17" s="72"/>
      <c r="WPQ17" s="72"/>
      <c r="WPR17" s="72"/>
      <c r="WPS17" s="72"/>
      <c r="WPT17" s="72"/>
      <c r="WPU17" s="72"/>
      <c r="WPV17" s="72"/>
      <c r="WPW17" s="72"/>
      <c r="WPX17" s="72"/>
      <c r="WPY17" s="72"/>
      <c r="WPZ17" s="72"/>
      <c r="WQA17" s="72"/>
      <c r="WQB17" s="72"/>
      <c r="WQC17" s="72"/>
      <c r="WQD17" s="72"/>
      <c r="WQE17" s="72"/>
      <c r="WQF17" s="72"/>
      <c r="WQG17" s="72"/>
      <c r="WQH17" s="72"/>
      <c r="WQI17" s="72"/>
      <c r="WQJ17" s="72"/>
      <c r="WQK17" s="72"/>
      <c r="WQL17" s="72"/>
      <c r="WQM17" s="72"/>
      <c r="WQN17" s="72"/>
      <c r="WQO17" s="72"/>
      <c r="WQP17" s="72"/>
      <c r="WQQ17" s="72"/>
      <c r="WQR17" s="72"/>
      <c r="WQS17" s="72"/>
      <c r="WQT17" s="72"/>
      <c r="WQU17" s="72"/>
      <c r="WQV17" s="72"/>
      <c r="WQW17" s="72"/>
      <c r="WQX17" s="72"/>
      <c r="WQY17" s="72"/>
      <c r="WQZ17" s="72"/>
      <c r="WRA17" s="72"/>
      <c r="WRB17" s="72"/>
      <c r="WRC17" s="72"/>
      <c r="WRD17" s="72"/>
      <c r="WRE17" s="72"/>
      <c r="WRF17" s="72"/>
      <c r="WRG17" s="72"/>
      <c r="WRH17" s="72"/>
      <c r="WRI17" s="72"/>
      <c r="WRJ17" s="72"/>
      <c r="WRK17" s="72"/>
      <c r="WRL17" s="72"/>
      <c r="WRM17" s="72"/>
      <c r="WRN17" s="72"/>
      <c r="WRO17" s="72"/>
      <c r="WRP17" s="72"/>
      <c r="WRQ17" s="72"/>
      <c r="WRR17" s="72"/>
      <c r="WRS17" s="72"/>
      <c r="WRT17" s="72"/>
      <c r="WRU17" s="72"/>
      <c r="WRV17" s="72"/>
      <c r="WRW17" s="72"/>
      <c r="WRX17" s="72"/>
      <c r="WRY17" s="72"/>
      <c r="WRZ17" s="72"/>
      <c r="WSA17" s="72"/>
      <c r="WSB17" s="72"/>
      <c r="WSC17" s="72"/>
      <c r="WSD17" s="72"/>
      <c r="WSE17" s="72"/>
      <c r="WSF17" s="72"/>
      <c r="WSG17" s="72"/>
      <c r="WSH17" s="72"/>
      <c r="WSI17" s="72"/>
      <c r="WSJ17" s="72"/>
      <c r="WSK17" s="72"/>
      <c r="WSL17" s="72"/>
      <c r="WSM17" s="72"/>
      <c r="WSN17" s="72"/>
      <c r="WSO17" s="72"/>
      <c r="WSP17" s="72"/>
      <c r="WSQ17" s="72"/>
      <c r="WSR17" s="72"/>
      <c r="WSS17" s="72"/>
      <c r="WST17" s="72"/>
      <c r="WSU17" s="72"/>
      <c r="WSV17" s="72"/>
      <c r="WSW17" s="72"/>
      <c r="WSX17" s="72"/>
      <c r="WSY17" s="72"/>
      <c r="WSZ17" s="72"/>
      <c r="WTA17" s="72"/>
      <c r="WTB17" s="72"/>
      <c r="WTC17" s="72"/>
      <c r="WTD17" s="72"/>
      <c r="WTE17" s="72"/>
      <c r="WTF17" s="72"/>
      <c r="WTG17" s="72"/>
      <c r="WTH17" s="72"/>
      <c r="WTI17" s="72"/>
      <c r="WTJ17" s="72"/>
      <c r="WTK17" s="72"/>
      <c r="WTL17" s="72"/>
      <c r="WTM17" s="72"/>
      <c r="WTN17" s="72"/>
      <c r="WTO17" s="72"/>
      <c r="WTP17" s="72"/>
      <c r="WTQ17" s="72"/>
      <c r="WTR17" s="72"/>
      <c r="WTS17" s="72"/>
      <c r="WTT17" s="72"/>
      <c r="WTU17" s="72"/>
      <c r="WTV17" s="72"/>
      <c r="WTW17" s="72"/>
      <c r="WTX17" s="72"/>
      <c r="WTY17" s="72"/>
      <c r="WTZ17" s="72"/>
      <c r="WUA17" s="72"/>
      <c r="WUB17" s="72"/>
      <c r="WUC17" s="72"/>
      <c r="WUD17" s="72"/>
      <c r="WUE17" s="72"/>
      <c r="WUF17" s="72"/>
      <c r="WUG17" s="72"/>
      <c r="WUH17" s="72"/>
      <c r="WUI17" s="72"/>
      <c r="WUJ17" s="72"/>
      <c r="WUK17" s="72"/>
      <c r="WUL17" s="72"/>
      <c r="WUM17" s="72"/>
      <c r="WUN17" s="72"/>
      <c r="WUO17" s="72"/>
      <c r="WUP17" s="72"/>
      <c r="WUQ17" s="72"/>
      <c r="WUR17" s="72"/>
      <c r="WUS17" s="72"/>
      <c r="WUT17" s="72"/>
      <c r="WUU17" s="72"/>
      <c r="WUV17" s="72"/>
      <c r="WUW17" s="72"/>
      <c r="WUX17" s="72"/>
      <c r="WUY17" s="72"/>
      <c r="WUZ17" s="72"/>
      <c r="WVA17" s="72"/>
      <c r="WVB17" s="72"/>
      <c r="WVC17" s="72"/>
      <c r="WVD17" s="72"/>
      <c r="WVE17" s="72"/>
      <c r="WVF17" s="72"/>
      <c r="WVG17" s="72"/>
      <c r="WVH17" s="72"/>
      <c r="WVI17" s="72"/>
      <c r="WVJ17" s="72"/>
      <c r="WVK17" s="72"/>
      <c r="WVL17" s="72"/>
      <c r="WVM17" s="72"/>
      <c r="WVN17" s="72"/>
      <c r="WVO17" s="72"/>
      <c r="WVP17" s="72"/>
      <c r="WVQ17" s="72"/>
      <c r="WVR17" s="72"/>
      <c r="WVS17" s="72"/>
      <c r="WVT17" s="72"/>
      <c r="WVU17" s="72"/>
      <c r="WVV17" s="72"/>
      <c r="WVW17" s="72"/>
      <c r="WVX17" s="72"/>
      <c r="WVY17" s="72"/>
      <c r="WVZ17" s="72"/>
      <c r="WWA17" s="72"/>
      <c r="WWB17" s="72"/>
      <c r="WWC17" s="72"/>
      <c r="WWD17" s="72"/>
      <c r="WWE17" s="72"/>
      <c r="WWF17" s="72"/>
      <c r="WWG17" s="72"/>
      <c r="WWH17" s="72"/>
      <c r="WWI17" s="72"/>
      <c r="WWJ17" s="72"/>
      <c r="WWK17" s="72"/>
      <c r="WWL17" s="72"/>
      <c r="WWM17" s="72"/>
      <c r="WWN17" s="72"/>
      <c r="WWO17" s="72"/>
      <c r="WWP17" s="72"/>
      <c r="WWQ17" s="72"/>
      <c r="WWR17" s="72"/>
      <c r="WWS17" s="72"/>
      <c r="WWT17" s="72"/>
      <c r="WWU17" s="72"/>
      <c r="WWV17" s="72"/>
      <c r="WWW17" s="72"/>
      <c r="WWX17" s="72"/>
      <c r="WWY17" s="72"/>
      <c r="WWZ17" s="72"/>
      <c r="WXA17" s="72"/>
      <c r="WXB17" s="72"/>
      <c r="WXC17" s="72"/>
      <c r="WXD17" s="72"/>
      <c r="WXE17" s="72"/>
      <c r="WXF17" s="72"/>
      <c r="WXG17" s="72"/>
      <c r="WXH17" s="72"/>
      <c r="WXI17" s="72"/>
      <c r="WXJ17" s="72"/>
      <c r="WXK17" s="72"/>
      <c r="WXL17" s="72"/>
      <c r="WXM17" s="72"/>
      <c r="WXN17" s="72"/>
      <c r="WXO17" s="72"/>
      <c r="WXP17" s="72"/>
      <c r="WXQ17" s="72"/>
      <c r="WXR17" s="72"/>
      <c r="WXS17" s="72"/>
      <c r="WXT17" s="72"/>
      <c r="WXU17" s="72"/>
      <c r="WXV17" s="72"/>
      <c r="WXW17" s="72"/>
      <c r="WXX17" s="72"/>
      <c r="WXY17" s="72"/>
      <c r="WXZ17" s="72"/>
      <c r="WYA17" s="72"/>
      <c r="WYB17" s="72"/>
      <c r="WYC17" s="72"/>
      <c r="WYD17" s="72"/>
      <c r="WYE17" s="72"/>
      <c r="WYF17" s="72"/>
      <c r="WYG17" s="72"/>
      <c r="WYH17" s="72"/>
      <c r="WYI17" s="72"/>
      <c r="WYJ17" s="72"/>
      <c r="WYK17" s="72"/>
      <c r="WYL17" s="72"/>
      <c r="WYM17" s="72"/>
      <c r="WYN17" s="72"/>
      <c r="WYO17" s="72"/>
      <c r="WYP17" s="72"/>
      <c r="WYQ17" s="72"/>
      <c r="WYR17" s="72"/>
      <c r="WYS17" s="72"/>
      <c r="WYT17" s="72"/>
      <c r="WYU17" s="72"/>
      <c r="WYV17" s="72"/>
      <c r="WYW17" s="72"/>
      <c r="WYX17" s="72"/>
      <c r="WYY17" s="72"/>
      <c r="WYZ17" s="72"/>
      <c r="WZA17" s="72"/>
      <c r="WZB17" s="72"/>
      <c r="WZC17" s="72"/>
      <c r="WZD17" s="72"/>
      <c r="WZE17" s="72"/>
      <c r="WZF17" s="72"/>
      <c r="WZG17" s="72"/>
      <c r="WZH17" s="72"/>
      <c r="WZI17" s="72"/>
      <c r="WZJ17" s="72"/>
      <c r="WZK17" s="72"/>
      <c r="WZL17" s="72"/>
      <c r="WZM17" s="72"/>
      <c r="WZN17" s="72"/>
      <c r="WZO17" s="72"/>
      <c r="WZP17" s="72"/>
      <c r="WZQ17" s="72"/>
      <c r="WZR17" s="72"/>
      <c r="WZS17" s="72"/>
      <c r="WZT17" s="72"/>
      <c r="WZU17" s="72"/>
      <c r="WZV17" s="72"/>
      <c r="WZW17" s="72"/>
      <c r="WZX17" s="72"/>
      <c r="WZY17" s="72"/>
      <c r="WZZ17" s="72"/>
      <c r="XAA17" s="72"/>
      <c r="XAB17" s="72"/>
      <c r="XAC17" s="72"/>
      <c r="XAD17" s="72"/>
      <c r="XAE17" s="72"/>
      <c r="XAF17" s="72"/>
      <c r="XAG17" s="72"/>
      <c r="XAH17" s="72"/>
      <c r="XAI17" s="72"/>
      <c r="XAJ17" s="72"/>
      <c r="XAK17" s="72"/>
      <c r="XAL17" s="72"/>
      <c r="XAM17" s="72"/>
      <c r="XAN17" s="72"/>
      <c r="XAO17" s="72"/>
      <c r="XAP17" s="72"/>
      <c r="XAQ17" s="72"/>
      <c r="XAR17" s="72"/>
      <c r="XAS17" s="72"/>
      <c r="XAT17" s="72"/>
      <c r="XAU17" s="72"/>
      <c r="XAV17" s="72"/>
      <c r="XAW17" s="72"/>
      <c r="XAX17" s="72"/>
      <c r="XAY17" s="72"/>
      <c r="XAZ17" s="72"/>
      <c r="XBA17" s="72"/>
      <c r="XBB17" s="72"/>
      <c r="XBC17" s="72"/>
      <c r="XBD17" s="72"/>
      <c r="XBE17" s="72"/>
      <c r="XBF17" s="72"/>
      <c r="XBG17" s="72"/>
      <c r="XBH17" s="72"/>
      <c r="XBI17" s="72"/>
      <c r="XBJ17" s="72"/>
      <c r="XBK17" s="72"/>
      <c r="XBL17" s="72"/>
      <c r="XBM17" s="72"/>
      <c r="XBN17" s="72"/>
      <c r="XBO17" s="72"/>
      <c r="XBP17" s="72"/>
      <c r="XBQ17" s="72"/>
      <c r="XBR17" s="72"/>
      <c r="XBS17" s="72"/>
      <c r="XBT17" s="72"/>
      <c r="XBU17" s="72"/>
      <c r="XBV17" s="72"/>
      <c r="XBW17" s="72"/>
      <c r="XBX17" s="72"/>
      <c r="XBY17" s="72"/>
      <c r="XBZ17" s="72"/>
      <c r="XCA17" s="72"/>
      <c r="XCB17" s="72"/>
      <c r="XCC17" s="72"/>
      <c r="XCD17" s="72"/>
      <c r="XCE17" s="72"/>
      <c r="XCF17" s="72"/>
      <c r="XCG17" s="72"/>
      <c r="XCH17" s="72"/>
      <c r="XCI17" s="72"/>
      <c r="XCJ17" s="72"/>
      <c r="XCK17" s="72"/>
      <c r="XCL17" s="72"/>
      <c r="XCM17" s="72"/>
      <c r="XCN17" s="72"/>
      <c r="XCO17" s="72"/>
      <c r="XCP17" s="72"/>
      <c r="XCQ17" s="72"/>
      <c r="XCR17" s="72"/>
      <c r="XCS17" s="72"/>
      <c r="XCT17" s="72"/>
      <c r="XCU17" s="72"/>
      <c r="XCV17" s="72"/>
      <c r="XCW17" s="72"/>
      <c r="XCX17" s="72"/>
      <c r="XCY17" s="72"/>
      <c r="XCZ17" s="72"/>
      <c r="XDA17" s="72"/>
      <c r="XDB17" s="72"/>
      <c r="XDC17" s="72"/>
      <c r="XDD17" s="72"/>
      <c r="XDE17" s="72"/>
      <c r="XDF17" s="72"/>
      <c r="XDG17" s="72"/>
      <c r="XDH17" s="72"/>
      <c r="XDI17" s="72"/>
      <c r="XDJ17" s="72"/>
      <c r="XDK17" s="72"/>
      <c r="XDL17" s="72"/>
      <c r="XDM17" s="72"/>
      <c r="XDN17" s="72"/>
      <c r="XDO17" s="72"/>
      <c r="XDP17" s="72"/>
      <c r="XDQ17" s="72"/>
      <c r="XDR17" s="72"/>
      <c r="XDS17" s="72"/>
      <c r="XDT17" s="72"/>
      <c r="XDU17" s="72"/>
      <c r="XDV17" s="72"/>
      <c r="XDW17" s="72"/>
      <c r="XDX17" s="72"/>
      <c r="XDY17" s="72"/>
      <c r="XDZ17" s="72"/>
      <c r="XEA17" s="72"/>
      <c r="XEB17" s="72"/>
      <c r="XEC17" s="72"/>
      <c r="XED17" s="72"/>
      <c r="XEE17" s="72"/>
      <c r="XEF17" s="72"/>
      <c r="XEG17" s="72"/>
      <c r="XEH17" s="72"/>
      <c r="XEI17" s="72"/>
      <c r="XEJ17" s="72"/>
      <c r="XEK17" s="72"/>
      <c r="XEL17" s="72"/>
      <c r="XEM17" s="72"/>
      <c r="XEN17" s="72"/>
      <c r="XEO17" s="72"/>
      <c r="XEP17" s="72"/>
      <c r="XEQ17" s="72"/>
      <c r="XER17" s="72"/>
      <c r="XES17" s="72"/>
      <c r="XET17" s="72"/>
      <c r="XEU17" s="72"/>
      <c r="XEV17" s="72"/>
      <c r="XEW17" s="72"/>
      <c r="XEX17" s="72"/>
      <c r="XEY17" s="72"/>
      <c r="XEZ17" s="72"/>
      <c r="XFA17" s="72"/>
      <c r="XFB17" s="72"/>
      <c r="XFC17" s="72"/>
      <c r="XFD17" s="72"/>
    </row>
    <row r="18" spans="2:16384" ht="14.45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72"/>
      <c r="JV18" s="72"/>
      <c r="JW18" s="72"/>
      <c r="JX18" s="72"/>
      <c r="JY18" s="72"/>
      <c r="JZ18" s="72"/>
      <c r="KA18" s="72"/>
      <c r="KB18" s="72"/>
      <c r="KC18" s="72"/>
      <c r="KD18" s="72"/>
      <c r="KE18" s="72"/>
      <c r="KF18" s="72"/>
      <c r="KG18" s="72"/>
      <c r="KH18" s="72"/>
      <c r="KI18" s="72"/>
      <c r="KJ18" s="72"/>
      <c r="KK18" s="72"/>
      <c r="KL18" s="72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72"/>
      <c r="LE18" s="72"/>
      <c r="LF18" s="72"/>
      <c r="LG18" s="72"/>
      <c r="LH18" s="72"/>
      <c r="LI18" s="72"/>
      <c r="LJ18" s="72"/>
      <c r="LK18" s="72"/>
      <c r="LL18" s="72"/>
      <c r="LM18" s="72"/>
      <c r="LN18" s="72"/>
      <c r="LO18" s="72"/>
      <c r="LP18" s="72"/>
      <c r="LQ18" s="72"/>
      <c r="LR18" s="72"/>
      <c r="LS18" s="72"/>
      <c r="LT18" s="72"/>
      <c r="LU18" s="72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72"/>
      <c r="MN18" s="72"/>
      <c r="MO18" s="72"/>
      <c r="MP18" s="72"/>
      <c r="MQ18" s="72"/>
      <c r="MR18" s="72"/>
      <c r="MS18" s="72"/>
      <c r="MT18" s="72"/>
      <c r="MU18" s="72"/>
      <c r="MV18" s="72"/>
      <c r="MW18" s="72"/>
      <c r="MX18" s="72"/>
      <c r="MY18" s="72"/>
      <c r="MZ18" s="72"/>
      <c r="NA18" s="72"/>
      <c r="NB18" s="72"/>
      <c r="NC18" s="72"/>
      <c r="ND18" s="72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72"/>
      <c r="NW18" s="72"/>
      <c r="NX18" s="72"/>
      <c r="NY18" s="72"/>
      <c r="NZ18" s="72"/>
      <c r="OA18" s="72"/>
      <c r="OB18" s="72"/>
      <c r="OC18" s="72"/>
      <c r="OD18" s="72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72"/>
      <c r="QO18" s="72"/>
      <c r="QP18" s="72"/>
      <c r="QQ18" s="72"/>
      <c r="QR18" s="72"/>
      <c r="QS18" s="72"/>
      <c r="QT18" s="72"/>
      <c r="QU18" s="72"/>
      <c r="QV18" s="72"/>
      <c r="QW18" s="72"/>
      <c r="QX18" s="72"/>
      <c r="QY18" s="72"/>
      <c r="QZ18" s="72"/>
      <c r="RA18" s="72"/>
      <c r="RB18" s="72"/>
      <c r="RC18" s="72"/>
      <c r="RD18" s="72"/>
      <c r="RE18" s="72"/>
      <c r="RF18" s="72"/>
      <c r="RG18" s="72"/>
      <c r="RH18" s="72"/>
      <c r="RI18" s="72"/>
      <c r="RJ18" s="72"/>
      <c r="RK18" s="72"/>
      <c r="RL18" s="72"/>
      <c r="RM18" s="72"/>
      <c r="RN18" s="72"/>
      <c r="RO18" s="72"/>
      <c r="RP18" s="72"/>
      <c r="RQ18" s="72"/>
      <c r="RR18" s="72"/>
      <c r="RS18" s="72"/>
      <c r="RT18" s="72"/>
      <c r="RU18" s="72"/>
      <c r="RV18" s="72"/>
      <c r="RW18" s="72"/>
      <c r="RX18" s="72"/>
      <c r="RY18" s="72"/>
      <c r="RZ18" s="72"/>
      <c r="SA18" s="72"/>
      <c r="SB18" s="72"/>
      <c r="SC18" s="72"/>
      <c r="SD18" s="72"/>
      <c r="SE18" s="72"/>
      <c r="SF18" s="72"/>
      <c r="SG18" s="72"/>
      <c r="SH18" s="72"/>
      <c r="SI18" s="72"/>
      <c r="SJ18" s="72"/>
      <c r="SK18" s="72"/>
      <c r="SL18" s="72"/>
      <c r="SM18" s="72"/>
      <c r="SN18" s="72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72"/>
      <c r="TG18" s="72"/>
      <c r="TH18" s="72"/>
      <c r="TI18" s="72"/>
      <c r="TJ18" s="72"/>
      <c r="TK18" s="72"/>
      <c r="TL18" s="72"/>
      <c r="TM18" s="72"/>
      <c r="TN18" s="72"/>
      <c r="TO18" s="72"/>
      <c r="TP18" s="72"/>
      <c r="TQ18" s="72"/>
      <c r="TR18" s="72"/>
      <c r="TS18" s="72"/>
      <c r="TT18" s="72"/>
      <c r="TU18" s="72"/>
      <c r="TV18" s="72"/>
      <c r="TW18" s="72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72"/>
      <c r="UP18" s="72"/>
      <c r="UQ18" s="72"/>
      <c r="UR18" s="72"/>
      <c r="US18" s="72"/>
      <c r="UT18" s="72"/>
      <c r="UU18" s="72"/>
      <c r="UV18" s="72"/>
      <c r="UW18" s="72"/>
      <c r="UX18" s="72"/>
      <c r="UY18" s="72"/>
      <c r="UZ18" s="72"/>
      <c r="VA18" s="72"/>
      <c r="VB18" s="72"/>
      <c r="VC18" s="72"/>
      <c r="VD18" s="72"/>
      <c r="VE18" s="72"/>
      <c r="VF18" s="72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72"/>
      <c r="VY18" s="72"/>
      <c r="VZ18" s="72"/>
      <c r="WA18" s="72"/>
      <c r="WB18" s="72"/>
      <c r="WC18" s="72"/>
      <c r="WD18" s="72"/>
      <c r="WE18" s="72"/>
      <c r="WF18" s="72"/>
      <c r="WG18" s="72"/>
      <c r="WH18" s="72"/>
      <c r="WI18" s="72"/>
      <c r="WJ18" s="72"/>
      <c r="WK18" s="72"/>
      <c r="WL18" s="72"/>
      <c r="WM18" s="72"/>
      <c r="WN18" s="72"/>
      <c r="WO18" s="72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72"/>
      <c r="XH18" s="72"/>
      <c r="XI18" s="72"/>
      <c r="XJ18" s="72"/>
      <c r="XK18" s="72"/>
      <c r="XL18" s="72"/>
      <c r="XM18" s="72"/>
      <c r="XN18" s="72"/>
      <c r="XO18" s="72"/>
      <c r="XP18" s="72"/>
      <c r="XQ18" s="72"/>
      <c r="XR18" s="72"/>
      <c r="XS18" s="72"/>
      <c r="XT18" s="72"/>
      <c r="XU18" s="72"/>
      <c r="XV18" s="72"/>
      <c r="XW18" s="72"/>
      <c r="XX18" s="72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72"/>
      <c r="YQ18" s="72"/>
      <c r="YR18" s="72"/>
      <c r="YS18" s="72"/>
      <c r="YT18" s="72"/>
      <c r="YU18" s="72"/>
      <c r="YV18" s="72"/>
      <c r="YW18" s="72"/>
      <c r="YX18" s="72"/>
      <c r="YY18" s="72"/>
      <c r="YZ18" s="72"/>
      <c r="ZA18" s="72"/>
      <c r="ZB18" s="72"/>
      <c r="ZC18" s="72"/>
      <c r="ZD18" s="72"/>
      <c r="ZE18" s="72"/>
      <c r="ZF18" s="72"/>
      <c r="ZG18" s="72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72"/>
      <c r="ZZ18" s="72"/>
      <c r="AAA18" s="72"/>
      <c r="AAB18" s="72"/>
      <c r="AAC18" s="72"/>
      <c r="AAD18" s="72"/>
      <c r="AAE18" s="72"/>
      <c r="AAF18" s="72"/>
      <c r="AAG18" s="72"/>
      <c r="AAH18" s="72"/>
      <c r="AAI18" s="72"/>
      <c r="AAJ18" s="72"/>
      <c r="AAK18" s="72"/>
      <c r="AAL18" s="72"/>
      <c r="AAM18" s="72"/>
      <c r="AAN18" s="72"/>
      <c r="AAO18" s="72"/>
      <c r="AAP18" s="72"/>
      <c r="AAQ18" s="72"/>
      <c r="AAR18" s="72"/>
      <c r="AAS18" s="72"/>
      <c r="AAT18" s="72"/>
      <c r="AAU18" s="72"/>
      <c r="AAV18" s="72"/>
      <c r="AAW18" s="72"/>
      <c r="AAX18" s="72"/>
      <c r="AAY18" s="72"/>
      <c r="AAZ18" s="72"/>
      <c r="ABA18" s="72"/>
      <c r="ABB18" s="72"/>
      <c r="ABC18" s="72"/>
      <c r="ABD18" s="72"/>
      <c r="ABE18" s="72"/>
      <c r="ABF18" s="72"/>
      <c r="ABG18" s="72"/>
      <c r="ABH18" s="72"/>
      <c r="ABI18" s="72"/>
      <c r="ABJ18" s="72"/>
      <c r="ABK18" s="72"/>
      <c r="ABL18" s="72"/>
      <c r="ABM18" s="72"/>
      <c r="ABN18" s="72"/>
      <c r="ABO18" s="72"/>
      <c r="ABP18" s="72"/>
      <c r="ABQ18" s="72"/>
      <c r="ABR18" s="72"/>
      <c r="ABS18" s="72"/>
      <c r="ABT18" s="72"/>
      <c r="ABU18" s="72"/>
      <c r="ABV18" s="72"/>
      <c r="ABW18" s="72"/>
      <c r="ABX18" s="72"/>
      <c r="ABY18" s="72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72"/>
      <c r="ACR18" s="72"/>
      <c r="ACS18" s="72"/>
      <c r="ACT18" s="72"/>
      <c r="ACU18" s="72"/>
      <c r="ACV18" s="72"/>
      <c r="ACW18" s="72"/>
      <c r="ACX18" s="72"/>
      <c r="ACY18" s="72"/>
      <c r="ACZ18" s="72"/>
      <c r="ADA18" s="72"/>
      <c r="ADB18" s="72"/>
      <c r="ADC18" s="72"/>
      <c r="ADD18" s="72"/>
      <c r="ADE18" s="72"/>
      <c r="ADF18" s="72"/>
      <c r="ADG18" s="72"/>
      <c r="ADH18" s="72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72"/>
      <c r="AEA18" s="72"/>
      <c r="AEB18" s="72"/>
      <c r="AEC18" s="72"/>
      <c r="AED18" s="72"/>
      <c r="AEE18" s="72"/>
      <c r="AEF18" s="72"/>
      <c r="AEG18" s="72"/>
      <c r="AEH18" s="72"/>
      <c r="AEI18" s="72"/>
      <c r="AEJ18" s="72"/>
      <c r="AEK18" s="72"/>
      <c r="AEL18" s="72"/>
      <c r="AEM18" s="72"/>
      <c r="AEN18" s="72"/>
      <c r="AEO18" s="72"/>
      <c r="AEP18" s="72"/>
      <c r="AEQ18" s="72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72"/>
      <c r="AFJ18" s="72"/>
      <c r="AFK18" s="72"/>
      <c r="AFL18" s="72"/>
      <c r="AFM18" s="72"/>
      <c r="AFN18" s="72"/>
      <c r="AFO18" s="72"/>
      <c r="AFP18" s="72"/>
      <c r="AFQ18" s="72"/>
      <c r="AFR18" s="72"/>
      <c r="AFS18" s="72"/>
      <c r="AFT18" s="72"/>
      <c r="AFU18" s="72"/>
      <c r="AFV18" s="72"/>
      <c r="AFW18" s="72"/>
      <c r="AFX18" s="72"/>
      <c r="AFY18" s="72"/>
      <c r="AFZ18" s="72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72"/>
      <c r="AGS18" s="72"/>
      <c r="AGT18" s="72"/>
      <c r="AGU18" s="72"/>
      <c r="AGV18" s="72"/>
      <c r="AGW18" s="72"/>
      <c r="AGX18" s="72"/>
      <c r="AGY18" s="72"/>
      <c r="AGZ18" s="72"/>
      <c r="AHA18" s="72"/>
      <c r="AHB18" s="72"/>
      <c r="AHC18" s="72"/>
      <c r="AHD18" s="72"/>
      <c r="AHE18" s="72"/>
      <c r="AHF18" s="72"/>
      <c r="AHG18" s="72"/>
      <c r="AHH18" s="72"/>
      <c r="AHI18" s="72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72"/>
      <c r="AIB18" s="72"/>
      <c r="AIC18" s="72"/>
      <c r="AID18" s="72"/>
      <c r="AIE18" s="72"/>
      <c r="AIF18" s="72"/>
      <c r="AIG18" s="72"/>
      <c r="AIH18" s="72"/>
      <c r="AII18" s="72"/>
      <c r="AIJ18" s="72"/>
      <c r="AIK18" s="72"/>
      <c r="AIL18" s="72"/>
      <c r="AIM18" s="72"/>
      <c r="AIN18" s="72"/>
      <c r="AIO18" s="72"/>
      <c r="AIP18" s="72"/>
      <c r="AIQ18" s="72"/>
      <c r="AIR18" s="72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72"/>
      <c r="AJK18" s="72"/>
      <c r="AJL18" s="72"/>
      <c r="AJM18" s="72"/>
      <c r="AJN18" s="72"/>
      <c r="AJO18" s="72"/>
      <c r="AJP18" s="72"/>
      <c r="AJQ18" s="72"/>
      <c r="AJR18" s="72"/>
      <c r="AJS18" s="72"/>
      <c r="AJT18" s="72"/>
      <c r="AJU18" s="72"/>
      <c r="AJV18" s="72"/>
      <c r="AJW18" s="72"/>
      <c r="AJX18" s="72"/>
      <c r="AJY18" s="72"/>
      <c r="AJZ18" s="72"/>
      <c r="AKA18" s="72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M18" s="72"/>
      <c r="AKN18" s="72"/>
      <c r="AKO18" s="72"/>
      <c r="AKP18" s="72"/>
      <c r="AKQ18" s="72"/>
      <c r="AKR18" s="72"/>
      <c r="AKS18" s="72"/>
      <c r="AKT18" s="72"/>
      <c r="AKU18" s="72"/>
      <c r="AKV18" s="72"/>
      <c r="AKW18" s="72"/>
      <c r="AKX18" s="72"/>
      <c r="AKY18" s="72"/>
      <c r="AKZ18" s="72"/>
      <c r="ALA18" s="72"/>
      <c r="ALB18" s="72"/>
      <c r="ALC18" s="72"/>
      <c r="ALD18" s="72"/>
      <c r="ALE18" s="72"/>
      <c r="ALF18" s="72"/>
      <c r="ALG18" s="72"/>
      <c r="ALH18" s="72"/>
      <c r="ALI18" s="72"/>
      <c r="ALJ18" s="72"/>
      <c r="ALK18" s="72"/>
      <c r="ALL18" s="72"/>
      <c r="ALM18" s="72"/>
      <c r="ALN18" s="72"/>
      <c r="ALO18" s="72"/>
      <c r="ALP18" s="72"/>
      <c r="ALQ18" s="72"/>
      <c r="ALR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72"/>
      <c r="AMC18" s="72"/>
      <c r="AMD18" s="72"/>
      <c r="AME18" s="72"/>
      <c r="AMF18" s="72"/>
      <c r="AMG18" s="72"/>
      <c r="AMH18" s="72"/>
      <c r="AMI18" s="72"/>
      <c r="AMJ18" s="72"/>
      <c r="AMK18" s="72"/>
      <c r="AML18" s="72"/>
      <c r="AMM18" s="72"/>
      <c r="AMN18" s="72"/>
      <c r="AMO18" s="72"/>
      <c r="AMP18" s="72"/>
      <c r="AMQ18" s="72"/>
      <c r="AMR18" s="72"/>
      <c r="AMS18" s="72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72"/>
      <c r="ANL18" s="72"/>
      <c r="ANM18" s="72"/>
      <c r="ANN18" s="72"/>
      <c r="ANO18" s="72"/>
      <c r="ANP18" s="72"/>
      <c r="ANQ18" s="72"/>
      <c r="ANR18" s="72"/>
      <c r="ANS18" s="72"/>
      <c r="ANT18" s="72"/>
      <c r="ANU18" s="72"/>
      <c r="ANV18" s="72"/>
      <c r="ANW18" s="72"/>
      <c r="ANX18" s="72"/>
      <c r="ANY18" s="72"/>
      <c r="ANZ18" s="72"/>
      <c r="AOA18" s="72"/>
      <c r="AOB18" s="72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72"/>
      <c r="AOU18" s="72"/>
      <c r="AOV18" s="72"/>
      <c r="AOW18" s="72"/>
      <c r="AOX18" s="72"/>
      <c r="AOY18" s="72"/>
      <c r="AOZ18" s="72"/>
      <c r="APA18" s="72"/>
      <c r="APB18" s="72"/>
      <c r="APC18" s="72"/>
      <c r="APD18" s="72"/>
      <c r="APE18" s="72"/>
      <c r="APF18" s="72"/>
      <c r="APG18" s="72"/>
      <c r="APH18" s="72"/>
      <c r="API18" s="72"/>
      <c r="APJ18" s="72"/>
      <c r="APK18" s="72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72"/>
      <c r="AQD18" s="72"/>
      <c r="AQE18" s="72"/>
      <c r="AQF18" s="72"/>
      <c r="AQG18" s="72"/>
      <c r="AQH18" s="72"/>
      <c r="AQI18" s="72"/>
      <c r="AQJ18" s="72"/>
      <c r="AQK18" s="72"/>
      <c r="AQL18" s="72"/>
      <c r="AQM18" s="72"/>
      <c r="AQN18" s="72"/>
      <c r="AQO18" s="72"/>
      <c r="AQP18" s="72"/>
      <c r="AQQ18" s="72"/>
      <c r="AQR18" s="72"/>
      <c r="AQS18" s="72"/>
      <c r="AQT18" s="72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72"/>
      <c r="ARM18" s="72"/>
      <c r="ARN18" s="72"/>
      <c r="ARO18" s="72"/>
      <c r="ARP18" s="72"/>
      <c r="ARQ18" s="72"/>
      <c r="ARR18" s="72"/>
      <c r="ARS18" s="72"/>
      <c r="ART18" s="72"/>
      <c r="ARU18" s="72"/>
      <c r="ARV18" s="72"/>
      <c r="ARW18" s="72"/>
      <c r="ARX18" s="72"/>
      <c r="ARY18" s="72"/>
      <c r="ARZ18" s="72"/>
      <c r="ASA18" s="72"/>
      <c r="ASB18" s="72"/>
      <c r="ASC18" s="72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72"/>
      <c r="ASV18" s="72"/>
      <c r="ASW18" s="72"/>
      <c r="ASX18" s="72"/>
      <c r="ASY18" s="72"/>
      <c r="ASZ18" s="72"/>
      <c r="ATA18" s="72"/>
      <c r="ATB18" s="72"/>
      <c r="ATC18" s="72"/>
      <c r="ATD18" s="72"/>
      <c r="ATE18" s="72"/>
      <c r="ATF18" s="72"/>
      <c r="ATG18" s="72"/>
      <c r="ATH18" s="72"/>
      <c r="ATI18" s="72"/>
      <c r="ATJ18" s="72"/>
      <c r="ATK18" s="72"/>
      <c r="ATL18" s="72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72"/>
      <c r="AUE18" s="72"/>
      <c r="AUF18" s="72"/>
      <c r="AUG18" s="72"/>
      <c r="AUH18" s="72"/>
      <c r="AUI18" s="72"/>
      <c r="AUJ18" s="72"/>
      <c r="AUK18" s="72"/>
      <c r="AUL18" s="72"/>
      <c r="AUM18" s="72"/>
      <c r="AUN18" s="72"/>
      <c r="AUO18" s="72"/>
      <c r="AUP18" s="72"/>
      <c r="AUQ18" s="72"/>
      <c r="AUR18" s="72"/>
      <c r="AUS18" s="72"/>
      <c r="AUT18" s="72"/>
      <c r="AUU18" s="72"/>
      <c r="AUV18" s="72"/>
      <c r="AUW18" s="72"/>
      <c r="AUX18" s="72"/>
      <c r="AUY18" s="72"/>
      <c r="AUZ18" s="72"/>
      <c r="AVA18" s="72"/>
      <c r="AVB18" s="72"/>
      <c r="AVC18" s="72"/>
      <c r="AVD18" s="72"/>
      <c r="AVE18" s="72"/>
      <c r="AVF18" s="72"/>
      <c r="AVG18" s="72"/>
      <c r="AVH18" s="72"/>
      <c r="AVI18" s="72"/>
      <c r="AVJ18" s="72"/>
      <c r="AVK18" s="72"/>
      <c r="AVL18" s="72"/>
      <c r="AVM18" s="72"/>
      <c r="AVN18" s="72"/>
      <c r="AVO18" s="72"/>
      <c r="AVP18" s="72"/>
      <c r="AVQ18" s="72"/>
      <c r="AVR18" s="72"/>
      <c r="AVS18" s="72"/>
      <c r="AVT18" s="72"/>
      <c r="AVU18" s="72"/>
      <c r="AVV18" s="72"/>
      <c r="AVW18" s="72"/>
      <c r="AVX18" s="72"/>
      <c r="AVY18" s="72"/>
      <c r="AVZ18" s="72"/>
      <c r="AWA18" s="72"/>
      <c r="AWB18" s="72"/>
      <c r="AWC18" s="72"/>
      <c r="AWD18" s="72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72"/>
      <c r="AWW18" s="72"/>
      <c r="AWX18" s="72"/>
      <c r="AWY18" s="72"/>
      <c r="AWZ18" s="72"/>
      <c r="AXA18" s="72"/>
      <c r="AXB18" s="72"/>
      <c r="AXC18" s="72"/>
      <c r="AXD18" s="72"/>
      <c r="AXE18" s="72"/>
      <c r="AXF18" s="72"/>
      <c r="AXG18" s="72"/>
      <c r="AXH18" s="72"/>
      <c r="AXI18" s="72"/>
      <c r="AXJ18" s="72"/>
      <c r="AXK18" s="72"/>
      <c r="AXL18" s="72"/>
      <c r="AXM18" s="72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72"/>
      <c r="AYF18" s="72"/>
      <c r="AYG18" s="72"/>
      <c r="AYH18" s="72"/>
      <c r="AYI18" s="72"/>
      <c r="AYJ18" s="72"/>
      <c r="AYK18" s="72"/>
      <c r="AYL18" s="72"/>
      <c r="AYM18" s="72"/>
      <c r="AYN18" s="72"/>
      <c r="AYO18" s="72"/>
      <c r="AYP18" s="72"/>
      <c r="AYQ18" s="72"/>
      <c r="AYR18" s="72"/>
      <c r="AYS18" s="72"/>
      <c r="AYT18" s="72"/>
      <c r="AYU18" s="72"/>
      <c r="AYV18" s="72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72"/>
      <c r="AZO18" s="72"/>
      <c r="AZP18" s="72"/>
      <c r="AZQ18" s="72"/>
      <c r="AZR18" s="72"/>
      <c r="AZS18" s="72"/>
      <c r="AZT18" s="72"/>
      <c r="AZU18" s="72"/>
      <c r="AZV18" s="72"/>
      <c r="AZW18" s="72"/>
      <c r="AZX18" s="72"/>
      <c r="AZY18" s="72"/>
      <c r="AZZ18" s="72"/>
      <c r="BAA18" s="72"/>
      <c r="BAB18" s="72"/>
      <c r="BAC18" s="72"/>
      <c r="BAD18" s="72"/>
      <c r="BAE18" s="72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72"/>
      <c r="BAX18" s="72"/>
      <c r="BAY18" s="72"/>
      <c r="BAZ18" s="72"/>
      <c r="BBA18" s="72"/>
      <c r="BBB18" s="72"/>
      <c r="BBC18" s="72"/>
      <c r="BBD18" s="72"/>
      <c r="BBE18" s="72"/>
      <c r="BBF18" s="72"/>
      <c r="BBG18" s="72"/>
      <c r="BBH18" s="72"/>
      <c r="BBI18" s="72"/>
      <c r="BBJ18" s="72"/>
      <c r="BBK18" s="72"/>
      <c r="BBL18" s="72"/>
      <c r="BBM18" s="72"/>
      <c r="BBN18" s="72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72"/>
      <c r="BCG18" s="72"/>
      <c r="BCH18" s="72"/>
      <c r="BCI18" s="72"/>
      <c r="BCJ18" s="72"/>
      <c r="BCK18" s="72"/>
      <c r="BCL18" s="72"/>
      <c r="BCM18" s="72"/>
      <c r="BCN18" s="72"/>
      <c r="BCO18" s="72"/>
      <c r="BCP18" s="72"/>
      <c r="BCQ18" s="72"/>
      <c r="BCR18" s="72"/>
      <c r="BCS18" s="72"/>
      <c r="BCT18" s="72"/>
      <c r="BCU18" s="72"/>
      <c r="BCV18" s="72"/>
      <c r="BCW18" s="72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72"/>
      <c r="BDP18" s="72"/>
      <c r="BDQ18" s="72"/>
      <c r="BDR18" s="72"/>
      <c r="BDS18" s="72"/>
      <c r="BDT18" s="72"/>
      <c r="BDU18" s="72"/>
      <c r="BDV18" s="72"/>
      <c r="BDW18" s="72"/>
      <c r="BDX18" s="72"/>
      <c r="BDY18" s="72"/>
      <c r="BDZ18" s="72"/>
      <c r="BEA18" s="72"/>
      <c r="BEB18" s="72"/>
      <c r="BEC18" s="72"/>
      <c r="BED18" s="72"/>
      <c r="BEE18" s="72"/>
      <c r="BEF18" s="72"/>
      <c r="BEG18" s="72"/>
      <c r="BEH18" s="72"/>
      <c r="BEI18" s="72"/>
      <c r="BEJ18" s="72"/>
      <c r="BEK18" s="72"/>
      <c r="BEL18" s="72"/>
      <c r="BEM18" s="72"/>
      <c r="BEN18" s="72"/>
      <c r="BEO18" s="72"/>
      <c r="BEP18" s="72"/>
      <c r="BEQ18" s="72"/>
      <c r="BER18" s="72"/>
      <c r="BES18" s="72"/>
      <c r="BET18" s="72"/>
      <c r="BEU18" s="72"/>
      <c r="BEV18" s="72"/>
      <c r="BEW18" s="72"/>
      <c r="BEX18" s="72"/>
      <c r="BEY18" s="72"/>
      <c r="BEZ18" s="72"/>
      <c r="BFA18" s="72"/>
      <c r="BFB18" s="72"/>
      <c r="BFC18" s="72"/>
      <c r="BFD18" s="72"/>
      <c r="BFE18" s="72"/>
      <c r="BFF18" s="72"/>
      <c r="BFG18" s="72"/>
      <c r="BFH18" s="72"/>
      <c r="BFI18" s="72"/>
      <c r="BFJ18" s="72"/>
      <c r="BFK18" s="72"/>
      <c r="BFL18" s="72"/>
      <c r="BFM18" s="72"/>
      <c r="BFN18" s="72"/>
      <c r="BFO18" s="72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72"/>
      <c r="BGH18" s="72"/>
      <c r="BGI18" s="72"/>
      <c r="BGJ18" s="72"/>
      <c r="BGK18" s="72"/>
      <c r="BGL18" s="72"/>
      <c r="BGM18" s="72"/>
      <c r="BGN18" s="72"/>
      <c r="BGO18" s="72"/>
      <c r="BGP18" s="72"/>
      <c r="BGQ18" s="72"/>
      <c r="BGR18" s="72"/>
      <c r="BGS18" s="72"/>
      <c r="BGT18" s="72"/>
      <c r="BGU18" s="72"/>
      <c r="BGV18" s="72"/>
      <c r="BGW18" s="72"/>
      <c r="BGX18" s="72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72"/>
      <c r="BHQ18" s="72"/>
      <c r="BHR18" s="72"/>
      <c r="BHS18" s="72"/>
      <c r="BHT18" s="72"/>
      <c r="BHU18" s="72"/>
      <c r="BHV18" s="72"/>
      <c r="BHW18" s="72"/>
      <c r="BHX18" s="72"/>
      <c r="BHY18" s="72"/>
      <c r="BHZ18" s="72"/>
      <c r="BIA18" s="72"/>
      <c r="BIB18" s="72"/>
      <c r="BIC18" s="72"/>
      <c r="BID18" s="72"/>
      <c r="BIE18" s="72"/>
      <c r="BIF18" s="72"/>
      <c r="BIG18" s="72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72"/>
      <c r="BIZ18" s="72"/>
      <c r="BJA18" s="72"/>
      <c r="BJB18" s="72"/>
      <c r="BJC18" s="72"/>
      <c r="BJD18" s="72"/>
      <c r="BJE18" s="72"/>
      <c r="BJF18" s="72"/>
      <c r="BJG18" s="72"/>
      <c r="BJH18" s="72"/>
      <c r="BJI18" s="72"/>
      <c r="BJJ18" s="72"/>
      <c r="BJK18" s="72"/>
      <c r="BJL18" s="72"/>
      <c r="BJM18" s="72"/>
      <c r="BJN18" s="72"/>
      <c r="BJO18" s="72"/>
      <c r="BJP18" s="72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72"/>
      <c r="BKI18" s="72"/>
      <c r="BKJ18" s="72"/>
      <c r="BKK18" s="72"/>
      <c r="BKL18" s="72"/>
      <c r="BKM18" s="72"/>
      <c r="BKN18" s="72"/>
      <c r="BKO18" s="72"/>
      <c r="BKP18" s="72"/>
      <c r="BKQ18" s="72"/>
      <c r="BKR18" s="72"/>
      <c r="BKS18" s="72"/>
      <c r="BKT18" s="72"/>
      <c r="BKU18" s="72"/>
      <c r="BKV18" s="72"/>
      <c r="BKW18" s="72"/>
      <c r="BKX18" s="72"/>
      <c r="BKY18" s="72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72"/>
      <c r="BLR18" s="72"/>
      <c r="BLS18" s="72"/>
      <c r="BLT18" s="72"/>
      <c r="BLU18" s="72"/>
      <c r="BLV18" s="72"/>
      <c r="BLW18" s="72"/>
      <c r="BLX18" s="72"/>
      <c r="BLY18" s="72"/>
      <c r="BLZ18" s="72"/>
      <c r="BMA18" s="72"/>
      <c r="BMB18" s="72"/>
      <c r="BMC18" s="72"/>
      <c r="BMD18" s="72"/>
      <c r="BME18" s="72"/>
      <c r="BMF18" s="72"/>
      <c r="BMG18" s="72"/>
      <c r="BMH18" s="72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72"/>
      <c r="BNA18" s="72"/>
      <c r="BNB18" s="72"/>
      <c r="BNC18" s="72"/>
      <c r="BND18" s="72"/>
      <c r="BNE18" s="72"/>
      <c r="BNF18" s="72"/>
      <c r="BNG18" s="72"/>
      <c r="BNH18" s="72"/>
      <c r="BNI18" s="72"/>
      <c r="BNJ18" s="72"/>
      <c r="BNK18" s="72"/>
      <c r="BNL18" s="72"/>
      <c r="BNM18" s="72"/>
      <c r="BNN18" s="72"/>
      <c r="BNO18" s="72"/>
      <c r="BNP18" s="72"/>
      <c r="BNQ18" s="72"/>
      <c r="BNR18" s="72"/>
      <c r="BNS18" s="72"/>
      <c r="BNT18" s="72"/>
      <c r="BNU18" s="72"/>
      <c r="BNV18" s="72"/>
      <c r="BNW18" s="72"/>
      <c r="BNX18" s="72"/>
      <c r="BNY18" s="72"/>
      <c r="BNZ18" s="72"/>
      <c r="BOA18" s="72"/>
      <c r="BOB18" s="72"/>
      <c r="BOC18" s="72"/>
      <c r="BOD18" s="72"/>
      <c r="BOE18" s="72"/>
      <c r="BOF18" s="72"/>
      <c r="BOG18" s="72"/>
      <c r="BOH18" s="72"/>
      <c r="BOI18" s="72"/>
      <c r="BOJ18" s="72"/>
      <c r="BOK18" s="72"/>
      <c r="BOL18" s="72"/>
      <c r="BOM18" s="72"/>
      <c r="BON18" s="72"/>
      <c r="BOO18" s="72"/>
      <c r="BOP18" s="72"/>
      <c r="BOQ18" s="72"/>
      <c r="BOR18" s="72"/>
      <c r="BOS18" s="72"/>
      <c r="BOT18" s="72"/>
      <c r="BOU18" s="72"/>
      <c r="BOV18" s="72"/>
      <c r="BOW18" s="72"/>
      <c r="BOX18" s="72"/>
      <c r="BOY18" s="72"/>
      <c r="BOZ18" s="72"/>
      <c r="BPA18" s="72"/>
      <c r="BPB18" s="72"/>
      <c r="BPC18" s="72"/>
      <c r="BPD18" s="72"/>
      <c r="BPE18" s="72"/>
      <c r="BPF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72"/>
      <c r="BPS18" s="72"/>
      <c r="BPT18" s="72"/>
      <c r="BPU18" s="72"/>
      <c r="BPV18" s="72"/>
      <c r="BPW18" s="72"/>
      <c r="BPX18" s="72"/>
      <c r="BPY18" s="72"/>
      <c r="BPZ18" s="72"/>
      <c r="BQA18" s="72"/>
      <c r="BQB18" s="72"/>
      <c r="BQC18" s="72"/>
      <c r="BQD18" s="72"/>
      <c r="BQE18" s="72"/>
      <c r="BQF18" s="72"/>
      <c r="BQG18" s="72"/>
      <c r="BQH18" s="72"/>
      <c r="BQI18" s="72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72"/>
      <c r="BRB18" s="72"/>
      <c r="BRC18" s="72"/>
      <c r="BRD18" s="72"/>
      <c r="BRE18" s="72"/>
      <c r="BRF18" s="72"/>
      <c r="BRG18" s="72"/>
      <c r="BRH18" s="72"/>
      <c r="BRI18" s="72"/>
      <c r="BRJ18" s="72"/>
      <c r="BRK18" s="72"/>
      <c r="BRL18" s="72"/>
      <c r="BRM18" s="72"/>
      <c r="BRN18" s="72"/>
      <c r="BRO18" s="72"/>
      <c r="BRP18" s="72"/>
      <c r="BRQ18" s="72"/>
      <c r="BRR18" s="72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72"/>
      <c r="BSK18" s="72"/>
      <c r="BSL18" s="72"/>
      <c r="BSM18" s="72"/>
      <c r="BSN18" s="72"/>
      <c r="BSO18" s="72"/>
      <c r="BSP18" s="72"/>
      <c r="BSQ18" s="72"/>
      <c r="BSR18" s="72"/>
      <c r="BSS18" s="72"/>
      <c r="BST18" s="72"/>
      <c r="BSU18" s="72"/>
      <c r="BSV18" s="72"/>
      <c r="BSW18" s="72"/>
      <c r="BSX18" s="72"/>
      <c r="BSY18" s="72"/>
      <c r="BSZ18" s="72"/>
      <c r="BTA18" s="72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72"/>
      <c r="BTT18" s="72"/>
      <c r="BTU18" s="72"/>
      <c r="BTV18" s="72"/>
      <c r="BTW18" s="72"/>
      <c r="BTX18" s="72"/>
      <c r="BTY18" s="72"/>
      <c r="BTZ18" s="72"/>
      <c r="BUA18" s="72"/>
      <c r="BUB18" s="72"/>
      <c r="BUC18" s="72"/>
      <c r="BUD18" s="72"/>
      <c r="BUE18" s="72"/>
      <c r="BUF18" s="72"/>
      <c r="BUG18" s="72"/>
      <c r="BUH18" s="72"/>
      <c r="BUI18" s="72"/>
      <c r="BUJ18" s="72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72"/>
      <c r="BVC18" s="72"/>
      <c r="BVD18" s="72"/>
      <c r="BVE18" s="72"/>
      <c r="BVF18" s="72"/>
      <c r="BVG18" s="72"/>
      <c r="BVH18" s="72"/>
      <c r="BVI18" s="72"/>
      <c r="BVJ18" s="72"/>
      <c r="BVK18" s="72"/>
      <c r="BVL18" s="72"/>
      <c r="BVM18" s="72"/>
      <c r="BVN18" s="72"/>
      <c r="BVO18" s="72"/>
      <c r="BVP18" s="72"/>
      <c r="BVQ18" s="72"/>
      <c r="BVR18" s="72"/>
      <c r="BVS18" s="72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72"/>
      <c r="BWL18" s="72"/>
      <c r="BWM18" s="72"/>
      <c r="BWN18" s="72"/>
      <c r="BWO18" s="72"/>
      <c r="BWP18" s="72"/>
      <c r="BWQ18" s="72"/>
      <c r="BWR18" s="72"/>
      <c r="BWS18" s="72"/>
      <c r="BWT18" s="72"/>
      <c r="BWU18" s="72"/>
      <c r="BWV18" s="72"/>
      <c r="BWW18" s="72"/>
      <c r="BWX18" s="72"/>
      <c r="BWY18" s="72"/>
      <c r="BWZ18" s="72"/>
      <c r="BXA18" s="72"/>
      <c r="BXB18" s="72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72"/>
      <c r="BXU18" s="72"/>
      <c r="BXV18" s="72"/>
      <c r="BXW18" s="72"/>
      <c r="BXX18" s="72"/>
      <c r="BXY18" s="72"/>
      <c r="BXZ18" s="72"/>
      <c r="BYA18" s="72"/>
      <c r="BYB18" s="72"/>
      <c r="BYC18" s="72"/>
      <c r="BYD18" s="72"/>
      <c r="BYE18" s="72"/>
      <c r="BYF18" s="72"/>
      <c r="BYG18" s="72"/>
      <c r="BYH18" s="72"/>
      <c r="BYI18" s="72"/>
      <c r="BYJ18" s="72"/>
      <c r="BYK18" s="72"/>
      <c r="BYL18" s="72"/>
      <c r="BYM18" s="72"/>
      <c r="BYN18" s="72"/>
      <c r="BYO18" s="72"/>
      <c r="BYP18" s="72"/>
      <c r="BYQ18" s="72"/>
      <c r="BYR18" s="72"/>
      <c r="BYS18" s="72"/>
      <c r="BYT18" s="72"/>
      <c r="BYU18" s="72"/>
      <c r="BYV18" s="72"/>
      <c r="BYW18" s="72"/>
      <c r="BYX18" s="72"/>
      <c r="BYY18" s="72"/>
      <c r="BYZ18" s="72"/>
      <c r="BZA18" s="72"/>
      <c r="BZB18" s="72"/>
      <c r="BZC18" s="72"/>
      <c r="BZD18" s="72"/>
      <c r="BZE18" s="72"/>
      <c r="BZF18" s="72"/>
      <c r="BZG18" s="72"/>
      <c r="BZH18" s="72"/>
      <c r="BZI18" s="72"/>
      <c r="BZJ18" s="72"/>
      <c r="BZK18" s="72"/>
      <c r="BZL18" s="72"/>
      <c r="BZM18" s="72"/>
      <c r="BZN18" s="72"/>
      <c r="BZO18" s="72"/>
      <c r="BZP18" s="72"/>
      <c r="BZQ18" s="72"/>
      <c r="BZR18" s="72"/>
      <c r="BZS18" s="72"/>
      <c r="BZT18" s="72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72"/>
      <c r="CAM18" s="72"/>
      <c r="CAN18" s="72"/>
      <c r="CAO18" s="72"/>
      <c r="CAP18" s="72"/>
      <c r="CAQ18" s="72"/>
      <c r="CAR18" s="72"/>
      <c r="CAS18" s="72"/>
      <c r="CAT18" s="72"/>
      <c r="CAU18" s="72"/>
      <c r="CAV18" s="72"/>
      <c r="CAW18" s="72"/>
      <c r="CAX18" s="72"/>
      <c r="CAY18" s="72"/>
      <c r="CAZ18" s="72"/>
      <c r="CBA18" s="72"/>
      <c r="CBB18" s="72"/>
      <c r="CBC18" s="72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72"/>
      <c r="CBV18" s="72"/>
      <c r="CBW18" s="72"/>
      <c r="CBX18" s="72"/>
      <c r="CBY18" s="72"/>
      <c r="CBZ18" s="72"/>
      <c r="CCA18" s="72"/>
      <c r="CCB18" s="72"/>
      <c r="CCC18" s="72"/>
      <c r="CCD18" s="72"/>
      <c r="CCE18" s="72"/>
      <c r="CCF18" s="72"/>
      <c r="CCG18" s="72"/>
      <c r="CCH18" s="72"/>
      <c r="CCI18" s="72"/>
      <c r="CCJ18" s="72"/>
      <c r="CCK18" s="72"/>
      <c r="CCL18" s="72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72"/>
      <c r="CDE18" s="72"/>
      <c r="CDF18" s="72"/>
      <c r="CDG18" s="72"/>
      <c r="CDH18" s="72"/>
      <c r="CDI18" s="72"/>
      <c r="CDJ18" s="72"/>
      <c r="CDK18" s="72"/>
      <c r="CDL18" s="72"/>
      <c r="CDM18" s="72"/>
      <c r="CDN18" s="72"/>
      <c r="CDO18" s="72"/>
      <c r="CDP18" s="72"/>
      <c r="CDQ18" s="72"/>
      <c r="CDR18" s="72"/>
      <c r="CDS18" s="72"/>
      <c r="CDT18" s="72"/>
      <c r="CDU18" s="72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72"/>
      <c r="CEN18" s="72"/>
      <c r="CEO18" s="72"/>
      <c r="CEP18" s="72"/>
      <c r="CEQ18" s="72"/>
      <c r="CER18" s="72"/>
      <c r="CES18" s="72"/>
      <c r="CET18" s="72"/>
      <c r="CEU18" s="72"/>
      <c r="CEV18" s="72"/>
      <c r="CEW18" s="72"/>
      <c r="CEX18" s="72"/>
      <c r="CEY18" s="72"/>
      <c r="CEZ18" s="72"/>
      <c r="CFA18" s="72"/>
      <c r="CFB18" s="72"/>
      <c r="CFC18" s="72"/>
      <c r="CFD18" s="72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72"/>
      <c r="CFW18" s="72"/>
      <c r="CFX18" s="72"/>
      <c r="CFY18" s="72"/>
      <c r="CFZ18" s="72"/>
      <c r="CGA18" s="72"/>
      <c r="CGB18" s="72"/>
      <c r="CGC18" s="72"/>
      <c r="CGD18" s="72"/>
      <c r="CGE18" s="72"/>
      <c r="CGF18" s="72"/>
      <c r="CGG18" s="72"/>
      <c r="CGH18" s="72"/>
      <c r="CGI18" s="72"/>
      <c r="CGJ18" s="72"/>
      <c r="CGK18" s="72"/>
      <c r="CGL18" s="72"/>
      <c r="CGM18" s="72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72"/>
      <c r="CHF18" s="72"/>
      <c r="CHG18" s="72"/>
      <c r="CHH18" s="72"/>
      <c r="CHI18" s="72"/>
      <c r="CHJ18" s="72"/>
      <c r="CHK18" s="72"/>
      <c r="CHL18" s="72"/>
      <c r="CHM18" s="72"/>
      <c r="CHN18" s="72"/>
      <c r="CHO18" s="72"/>
      <c r="CHP18" s="72"/>
      <c r="CHQ18" s="72"/>
      <c r="CHR18" s="72"/>
      <c r="CHS18" s="72"/>
      <c r="CHT18" s="72"/>
      <c r="CHU18" s="72"/>
      <c r="CHV18" s="72"/>
      <c r="CHW18" s="72"/>
      <c r="CHX18" s="72"/>
      <c r="CHY18" s="72"/>
      <c r="CHZ18" s="72"/>
      <c r="CIA18" s="72"/>
      <c r="CIB18" s="72"/>
      <c r="CIC18" s="72"/>
      <c r="CID18" s="72"/>
      <c r="CIE18" s="72"/>
      <c r="CIF18" s="72"/>
      <c r="CIG18" s="72"/>
      <c r="CIH18" s="72"/>
      <c r="CII18" s="72"/>
      <c r="CIJ18" s="72"/>
      <c r="CIK18" s="72"/>
      <c r="CIL18" s="72"/>
      <c r="CIM18" s="72"/>
      <c r="CIN18" s="72"/>
      <c r="CIO18" s="72"/>
      <c r="CIP18" s="72"/>
      <c r="CIQ18" s="72"/>
      <c r="CIR18" s="72"/>
      <c r="CIS18" s="72"/>
      <c r="CIT18" s="72"/>
      <c r="CIU18" s="72"/>
      <c r="CIV18" s="72"/>
      <c r="CIW18" s="72"/>
      <c r="CIX18" s="72"/>
      <c r="CIY18" s="72"/>
      <c r="CIZ18" s="72"/>
      <c r="CJA18" s="72"/>
      <c r="CJB18" s="72"/>
      <c r="CJC18" s="72"/>
      <c r="CJD18" s="72"/>
      <c r="CJE18" s="72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72"/>
      <c r="CJX18" s="72"/>
      <c r="CJY18" s="72"/>
      <c r="CJZ18" s="72"/>
      <c r="CKA18" s="72"/>
      <c r="CKB18" s="72"/>
      <c r="CKC18" s="72"/>
      <c r="CKD18" s="72"/>
      <c r="CKE18" s="72"/>
      <c r="CKF18" s="72"/>
      <c r="CKG18" s="72"/>
      <c r="CKH18" s="72"/>
      <c r="CKI18" s="72"/>
      <c r="CKJ18" s="72"/>
      <c r="CKK18" s="72"/>
      <c r="CKL18" s="72"/>
      <c r="CKM18" s="72"/>
      <c r="CKN18" s="72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72"/>
      <c r="CLG18" s="72"/>
      <c r="CLH18" s="72"/>
      <c r="CLI18" s="72"/>
      <c r="CLJ18" s="72"/>
      <c r="CLK18" s="72"/>
      <c r="CLL18" s="72"/>
      <c r="CLM18" s="72"/>
      <c r="CLN18" s="72"/>
      <c r="CLO18" s="72"/>
      <c r="CLP18" s="72"/>
      <c r="CLQ18" s="72"/>
      <c r="CLR18" s="72"/>
      <c r="CLS18" s="72"/>
      <c r="CLT18" s="72"/>
      <c r="CLU18" s="72"/>
      <c r="CLV18" s="72"/>
      <c r="CLW18" s="72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72"/>
      <c r="CMP18" s="72"/>
      <c r="CMQ18" s="72"/>
      <c r="CMR18" s="72"/>
      <c r="CMS18" s="72"/>
      <c r="CMT18" s="72"/>
      <c r="CMU18" s="72"/>
      <c r="CMV18" s="72"/>
      <c r="CMW18" s="72"/>
      <c r="CMX18" s="72"/>
      <c r="CMY18" s="72"/>
      <c r="CMZ18" s="72"/>
      <c r="CNA18" s="72"/>
      <c r="CNB18" s="72"/>
      <c r="CNC18" s="72"/>
      <c r="CND18" s="72"/>
      <c r="CNE18" s="72"/>
      <c r="CNF18" s="72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72"/>
      <c r="CNY18" s="72"/>
      <c r="CNZ18" s="72"/>
      <c r="COA18" s="72"/>
      <c r="COB18" s="72"/>
      <c r="COC18" s="72"/>
      <c r="COD18" s="72"/>
      <c r="COE18" s="72"/>
      <c r="COF18" s="72"/>
      <c r="COG18" s="72"/>
      <c r="COH18" s="72"/>
      <c r="COI18" s="72"/>
      <c r="COJ18" s="72"/>
      <c r="COK18" s="72"/>
      <c r="COL18" s="72"/>
      <c r="COM18" s="72"/>
      <c r="CON18" s="72"/>
      <c r="COO18" s="72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72"/>
      <c r="CPH18" s="72"/>
      <c r="CPI18" s="72"/>
      <c r="CPJ18" s="72"/>
      <c r="CPK18" s="72"/>
      <c r="CPL18" s="72"/>
      <c r="CPM18" s="72"/>
      <c r="CPN18" s="72"/>
      <c r="CPO18" s="72"/>
      <c r="CPP18" s="72"/>
      <c r="CPQ18" s="72"/>
      <c r="CPR18" s="72"/>
      <c r="CPS18" s="72"/>
      <c r="CPT18" s="72"/>
      <c r="CPU18" s="72"/>
      <c r="CPV18" s="72"/>
      <c r="CPW18" s="72"/>
      <c r="CPX18" s="72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72"/>
      <c r="CQQ18" s="72"/>
      <c r="CQR18" s="72"/>
      <c r="CQS18" s="72"/>
      <c r="CQT18" s="72"/>
      <c r="CQU18" s="72"/>
      <c r="CQV18" s="72"/>
      <c r="CQW18" s="72"/>
      <c r="CQX18" s="72"/>
      <c r="CQY18" s="72"/>
      <c r="CQZ18" s="72"/>
      <c r="CRA18" s="72"/>
      <c r="CRB18" s="72"/>
      <c r="CRC18" s="72"/>
      <c r="CRD18" s="72"/>
      <c r="CRE18" s="72"/>
      <c r="CRF18" s="72"/>
      <c r="CRG18" s="72"/>
      <c r="CRH18" s="72"/>
      <c r="CRI18" s="72"/>
      <c r="CRJ18" s="72"/>
      <c r="CRK18" s="72"/>
      <c r="CRL18" s="72"/>
      <c r="CRM18" s="72"/>
      <c r="CRN18" s="72"/>
      <c r="CRO18" s="72"/>
      <c r="CRP18" s="72"/>
      <c r="CRQ18" s="72"/>
      <c r="CRR18" s="72"/>
      <c r="CRS18" s="72"/>
      <c r="CRT18" s="72"/>
      <c r="CRU18" s="72"/>
      <c r="CRV18" s="72"/>
      <c r="CRW18" s="72"/>
      <c r="CRX18" s="72"/>
      <c r="CRY18" s="72"/>
      <c r="CRZ18" s="72"/>
      <c r="CSA18" s="72"/>
      <c r="CSB18" s="72"/>
      <c r="CSC18" s="72"/>
      <c r="CSD18" s="72"/>
      <c r="CSE18" s="72"/>
      <c r="CSF18" s="72"/>
      <c r="CSG18" s="72"/>
      <c r="CSH18" s="72"/>
      <c r="CSI18" s="72"/>
      <c r="CSJ18" s="72"/>
      <c r="CSK18" s="72"/>
      <c r="CSL18" s="72"/>
      <c r="CSM18" s="72"/>
      <c r="CSN18" s="72"/>
      <c r="CSO18" s="72"/>
      <c r="CSP18" s="72"/>
      <c r="CSQ18" s="72"/>
      <c r="CSR18" s="72"/>
      <c r="CSS18" s="72"/>
      <c r="CST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72"/>
      <c r="CTI18" s="72"/>
      <c r="CTJ18" s="72"/>
      <c r="CTK18" s="72"/>
      <c r="CTL18" s="72"/>
      <c r="CTM18" s="72"/>
      <c r="CTN18" s="72"/>
      <c r="CTO18" s="72"/>
      <c r="CTP18" s="72"/>
      <c r="CTQ18" s="72"/>
      <c r="CTR18" s="72"/>
      <c r="CTS18" s="72"/>
      <c r="CTT18" s="72"/>
      <c r="CTU18" s="72"/>
      <c r="CTV18" s="72"/>
      <c r="CTW18" s="72"/>
      <c r="CTX18" s="72"/>
      <c r="CTY18" s="72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72"/>
      <c r="CUR18" s="72"/>
      <c r="CUS18" s="72"/>
      <c r="CUT18" s="72"/>
      <c r="CUU18" s="72"/>
      <c r="CUV18" s="72"/>
      <c r="CUW18" s="72"/>
      <c r="CUX18" s="72"/>
      <c r="CUY18" s="72"/>
      <c r="CUZ18" s="72"/>
      <c r="CVA18" s="72"/>
      <c r="CVB18" s="72"/>
      <c r="CVC18" s="72"/>
      <c r="CVD18" s="72"/>
      <c r="CVE18" s="72"/>
      <c r="CVF18" s="72"/>
      <c r="CVG18" s="72"/>
      <c r="CVH18" s="72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72"/>
      <c r="CWA18" s="72"/>
      <c r="CWB18" s="72"/>
      <c r="CWC18" s="72"/>
      <c r="CWD18" s="72"/>
      <c r="CWE18" s="72"/>
      <c r="CWF18" s="72"/>
      <c r="CWG18" s="72"/>
      <c r="CWH18" s="72"/>
      <c r="CWI18" s="72"/>
      <c r="CWJ18" s="72"/>
      <c r="CWK18" s="72"/>
      <c r="CWL18" s="72"/>
      <c r="CWM18" s="72"/>
      <c r="CWN18" s="72"/>
      <c r="CWO18" s="72"/>
      <c r="CWP18" s="72"/>
      <c r="CWQ18" s="72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72"/>
      <c r="CXJ18" s="72"/>
      <c r="CXK18" s="72"/>
      <c r="CXL18" s="72"/>
      <c r="CXM18" s="72"/>
      <c r="CXN18" s="72"/>
      <c r="CXO18" s="72"/>
      <c r="CXP18" s="72"/>
      <c r="CXQ18" s="72"/>
      <c r="CXR18" s="72"/>
      <c r="CXS18" s="72"/>
      <c r="CXT18" s="72"/>
      <c r="CXU18" s="72"/>
      <c r="CXV18" s="72"/>
      <c r="CXW18" s="72"/>
      <c r="CXX18" s="72"/>
      <c r="CXY18" s="72"/>
      <c r="CXZ18" s="72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72"/>
      <c r="CYS18" s="72"/>
      <c r="CYT18" s="72"/>
      <c r="CYU18" s="72"/>
      <c r="CYV18" s="72"/>
      <c r="CYW18" s="72"/>
      <c r="CYX18" s="72"/>
      <c r="CYY18" s="72"/>
      <c r="CYZ18" s="72"/>
      <c r="CZA18" s="72"/>
      <c r="CZB18" s="72"/>
      <c r="CZC18" s="72"/>
      <c r="CZD18" s="72"/>
      <c r="CZE18" s="72"/>
      <c r="CZF18" s="72"/>
      <c r="CZG18" s="72"/>
      <c r="CZH18" s="72"/>
      <c r="CZI18" s="72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72"/>
      <c r="DAB18" s="72"/>
      <c r="DAC18" s="72"/>
      <c r="DAD18" s="72"/>
      <c r="DAE18" s="72"/>
      <c r="DAF18" s="72"/>
      <c r="DAG18" s="72"/>
      <c r="DAH18" s="72"/>
      <c r="DAI18" s="72"/>
      <c r="DAJ18" s="72"/>
      <c r="DAK18" s="72"/>
      <c r="DAL18" s="72"/>
      <c r="DAM18" s="72"/>
      <c r="DAN18" s="72"/>
      <c r="DAO18" s="72"/>
      <c r="DAP18" s="72"/>
      <c r="DAQ18" s="72"/>
      <c r="DAR18" s="72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72"/>
      <c r="DBK18" s="72"/>
      <c r="DBL18" s="72"/>
      <c r="DBM18" s="72"/>
      <c r="DBN18" s="72"/>
      <c r="DBO18" s="72"/>
      <c r="DBP18" s="72"/>
      <c r="DBQ18" s="72"/>
      <c r="DBR18" s="72"/>
      <c r="DBS18" s="72"/>
      <c r="DBT18" s="72"/>
      <c r="DBU18" s="72"/>
      <c r="DBV18" s="72"/>
      <c r="DBW18" s="72"/>
      <c r="DBX18" s="72"/>
      <c r="DBY18" s="72"/>
      <c r="DBZ18" s="72"/>
      <c r="DCA18" s="72"/>
      <c r="DCB18" s="72"/>
      <c r="DCC18" s="72"/>
      <c r="DCD18" s="72"/>
      <c r="DCE18" s="72"/>
      <c r="DCF18" s="72"/>
      <c r="DCG18" s="72"/>
      <c r="DCH18" s="72"/>
      <c r="DCI18" s="72"/>
      <c r="DCJ18" s="72"/>
      <c r="DCK18" s="72"/>
      <c r="DCL18" s="72"/>
      <c r="DCM18" s="72"/>
      <c r="DCN18" s="72"/>
      <c r="DCO18" s="72"/>
      <c r="DCP18" s="72"/>
      <c r="DCQ18" s="72"/>
      <c r="DCR18" s="72"/>
      <c r="DCS18" s="72"/>
      <c r="DCT18" s="72"/>
      <c r="DCU18" s="72"/>
      <c r="DCV18" s="72"/>
      <c r="DCW18" s="72"/>
      <c r="DCX18" s="72"/>
      <c r="DCY18" s="72"/>
      <c r="DCZ18" s="72"/>
      <c r="DDA18" s="72"/>
      <c r="DDB18" s="72"/>
      <c r="DDC18" s="72"/>
      <c r="DDD18" s="72"/>
      <c r="DDE18" s="72"/>
      <c r="DDF18" s="72"/>
      <c r="DDG18" s="72"/>
      <c r="DDH18" s="72"/>
      <c r="DDI18" s="72"/>
      <c r="DDJ18" s="72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72"/>
      <c r="DEC18" s="72"/>
      <c r="DED18" s="72"/>
      <c r="DEE18" s="72"/>
      <c r="DEF18" s="72"/>
      <c r="DEG18" s="72"/>
      <c r="DEH18" s="72"/>
      <c r="DEI18" s="72"/>
      <c r="DEJ18" s="72"/>
      <c r="DEK18" s="72"/>
      <c r="DEL18" s="72"/>
      <c r="DEM18" s="72"/>
      <c r="DEN18" s="72"/>
      <c r="DEO18" s="72"/>
      <c r="DEP18" s="72"/>
      <c r="DEQ18" s="72"/>
      <c r="DER18" s="72"/>
      <c r="DES18" s="72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72"/>
      <c r="DFL18" s="72"/>
      <c r="DFM18" s="72"/>
      <c r="DFN18" s="72"/>
      <c r="DFO18" s="72"/>
      <c r="DFP18" s="72"/>
      <c r="DFQ18" s="72"/>
      <c r="DFR18" s="72"/>
      <c r="DFS18" s="72"/>
      <c r="DFT18" s="72"/>
      <c r="DFU18" s="72"/>
      <c r="DFV18" s="72"/>
      <c r="DFW18" s="72"/>
      <c r="DFX18" s="72"/>
      <c r="DFY18" s="72"/>
      <c r="DFZ18" s="72"/>
      <c r="DGA18" s="72"/>
      <c r="DGB18" s="72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72"/>
      <c r="DGU18" s="72"/>
      <c r="DGV18" s="72"/>
      <c r="DGW18" s="72"/>
      <c r="DGX18" s="72"/>
      <c r="DGY18" s="72"/>
      <c r="DGZ18" s="72"/>
      <c r="DHA18" s="72"/>
      <c r="DHB18" s="72"/>
      <c r="DHC18" s="72"/>
      <c r="DHD18" s="72"/>
      <c r="DHE18" s="72"/>
      <c r="DHF18" s="72"/>
      <c r="DHG18" s="72"/>
      <c r="DHH18" s="72"/>
      <c r="DHI18" s="72"/>
      <c r="DHJ18" s="72"/>
      <c r="DHK18" s="72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72"/>
      <c r="DID18" s="72"/>
      <c r="DIE18" s="72"/>
      <c r="DIF18" s="72"/>
      <c r="DIG18" s="72"/>
      <c r="DIH18" s="72"/>
      <c r="DII18" s="72"/>
      <c r="DIJ18" s="72"/>
      <c r="DIK18" s="72"/>
      <c r="DIL18" s="72"/>
      <c r="DIM18" s="72"/>
      <c r="DIN18" s="72"/>
      <c r="DIO18" s="72"/>
      <c r="DIP18" s="72"/>
      <c r="DIQ18" s="72"/>
      <c r="DIR18" s="72"/>
      <c r="DIS18" s="72"/>
      <c r="DIT18" s="72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72"/>
      <c r="DJM18" s="72"/>
      <c r="DJN18" s="72"/>
      <c r="DJO18" s="72"/>
      <c r="DJP18" s="72"/>
      <c r="DJQ18" s="72"/>
      <c r="DJR18" s="72"/>
      <c r="DJS18" s="72"/>
      <c r="DJT18" s="72"/>
      <c r="DJU18" s="72"/>
      <c r="DJV18" s="72"/>
      <c r="DJW18" s="72"/>
      <c r="DJX18" s="72"/>
      <c r="DJY18" s="72"/>
      <c r="DJZ18" s="72"/>
      <c r="DKA18" s="72"/>
      <c r="DKB18" s="72"/>
      <c r="DKC18" s="72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72"/>
      <c r="DKV18" s="72"/>
      <c r="DKW18" s="72"/>
      <c r="DKX18" s="72"/>
      <c r="DKY18" s="72"/>
      <c r="DKZ18" s="72"/>
      <c r="DLA18" s="72"/>
      <c r="DLB18" s="72"/>
      <c r="DLC18" s="72"/>
      <c r="DLD18" s="72"/>
      <c r="DLE18" s="72"/>
      <c r="DLF18" s="72"/>
      <c r="DLG18" s="72"/>
      <c r="DLH18" s="72"/>
      <c r="DLI18" s="72"/>
      <c r="DLJ18" s="72"/>
      <c r="DLK18" s="72"/>
      <c r="DLL18" s="72"/>
      <c r="DLM18" s="72"/>
      <c r="DLN18" s="72"/>
      <c r="DLO18" s="72"/>
      <c r="DLP18" s="72"/>
      <c r="DLQ18" s="72"/>
      <c r="DLR18" s="72"/>
      <c r="DLS18" s="72"/>
      <c r="DLT18" s="72"/>
      <c r="DLU18" s="72"/>
      <c r="DLV18" s="72"/>
      <c r="DLW18" s="72"/>
      <c r="DLX18" s="72"/>
      <c r="DLY18" s="72"/>
      <c r="DLZ18" s="72"/>
      <c r="DMA18" s="72"/>
      <c r="DMB18" s="72"/>
      <c r="DMC18" s="72"/>
      <c r="DMD18" s="72"/>
      <c r="DME18" s="72"/>
      <c r="DMF18" s="72"/>
      <c r="DMG18" s="72"/>
      <c r="DMH18" s="72"/>
      <c r="DMI18" s="72"/>
      <c r="DMJ18" s="72"/>
      <c r="DMK18" s="72"/>
      <c r="DML18" s="72"/>
      <c r="DMM18" s="72"/>
      <c r="DMN18" s="72"/>
      <c r="DMO18" s="72"/>
      <c r="DMP18" s="72"/>
      <c r="DMQ18" s="72"/>
      <c r="DMR18" s="72"/>
      <c r="DMS18" s="72"/>
      <c r="DMT18" s="72"/>
      <c r="DMU18" s="72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72"/>
      <c r="DNN18" s="72"/>
      <c r="DNO18" s="72"/>
      <c r="DNP18" s="72"/>
      <c r="DNQ18" s="72"/>
      <c r="DNR18" s="72"/>
      <c r="DNS18" s="72"/>
      <c r="DNT18" s="72"/>
      <c r="DNU18" s="72"/>
      <c r="DNV18" s="72"/>
      <c r="DNW18" s="72"/>
      <c r="DNX18" s="72"/>
      <c r="DNY18" s="72"/>
      <c r="DNZ18" s="72"/>
      <c r="DOA18" s="72"/>
      <c r="DOB18" s="72"/>
      <c r="DOC18" s="72"/>
      <c r="DOD18" s="72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72"/>
      <c r="DOW18" s="72"/>
      <c r="DOX18" s="72"/>
      <c r="DOY18" s="72"/>
      <c r="DOZ18" s="72"/>
      <c r="DPA18" s="72"/>
      <c r="DPB18" s="72"/>
      <c r="DPC18" s="72"/>
      <c r="DPD18" s="72"/>
      <c r="DPE18" s="72"/>
      <c r="DPF18" s="72"/>
      <c r="DPG18" s="72"/>
      <c r="DPH18" s="72"/>
      <c r="DPI18" s="72"/>
      <c r="DPJ18" s="72"/>
      <c r="DPK18" s="72"/>
      <c r="DPL18" s="72"/>
      <c r="DPM18" s="72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72"/>
      <c r="DQF18" s="72"/>
      <c r="DQG18" s="72"/>
      <c r="DQH18" s="72"/>
      <c r="DQI18" s="72"/>
      <c r="DQJ18" s="72"/>
      <c r="DQK18" s="72"/>
      <c r="DQL18" s="72"/>
      <c r="DQM18" s="72"/>
      <c r="DQN18" s="72"/>
      <c r="DQO18" s="72"/>
      <c r="DQP18" s="72"/>
      <c r="DQQ18" s="72"/>
      <c r="DQR18" s="72"/>
      <c r="DQS18" s="72"/>
      <c r="DQT18" s="72"/>
      <c r="DQU18" s="72"/>
      <c r="DQV18" s="72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72"/>
      <c r="DRO18" s="72"/>
      <c r="DRP18" s="72"/>
      <c r="DRQ18" s="72"/>
      <c r="DRR18" s="72"/>
      <c r="DRS18" s="72"/>
      <c r="DRT18" s="72"/>
      <c r="DRU18" s="72"/>
      <c r="DRV18" s="72"/>
      <c r="DRW18" s="72"/>
      <c r="DRX18" s="72"/>
      <c r="DRY18" s="72"/>
      <c r="DRZ18" s="72"/>
      <c r="DSA18" s="72"/>
      <c r="DSB18" s="72"/>
      <c r="DSC18" s="72"/>
      <c r="DSD18" s="72"/>
      <c r="DSE18" s="72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72"/>
      <c r="DSX18" s="72"/>
      <c r="DSY18" s="72"/>
      <c r="DSZ18" s="72"/>
      <c r="DTA18" s="72"/>
      <c r="DTB18" s="72"/>
      <c r="DTC18" s="72"/>
      <c r="DTD18" s="72"/>
      <c r="DTE18" s="72"/>
      <c r="DTF18" s="72"/>
      <c r="DTG18" s="72"/>
      <c r="DTH18" s="72"/>
      <c r="DTI18" s="72"/>
      <c r="DTJ18" s="72"/>
      <c r="DTK18" s="72"/>
      <c r="DTL18" s="72"/>
      <c r="DTM18" s="72"/>
      <c r="DTN18" s="72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72"/>
      <c r="DUG18" s="72"/>
      <c r="DUH18" s="72"/>
      <c r="DUI18" s="72"/>
      <c r="DUJ18" s="72"/>
      <c r="DUK18" s="72"/>
      <c r="DUL18" s="72"/>
      <c r="DUM18" s="72"/>
      <c r="DUN18" s="72"/>
      <c r="DUO18" s="72"/>
      <c r="DUP18" s="72"/>
      <c r="DUQ18" s="72"/>
      <c r="DUR18" s="72"/>
      <c r="DUS18" s="72"/>
      <c r="DUT18" s="72"/>
      <c r="DUU18" s="72"/>
      <c r="DUV18" s="72"/>
      <c r="DUW18" s="72"/>
      <c r="DUX18" s="72"/>
      <c r="DUY18" s="72"/>
      <c r="DUZ18" s="72"/>
      <c r="DVA18" s="72"/>
      <c r="DVB18" s="72"/>
      <c r="DVC18" s="72"/>
      <c r="DVD18" s="72"/>
      <c r="DVE18" s="72"/>
      <c r="DVF18" s="72"/>
      <c r="DVG18" s="72"/>
      <c r="DVH18" s="72"/>
      <c r="DVI18" s="72"/>
      <c r="DVJ18" s="72"/>
      <c r="DVK18" s="72"/>
      <c r="DVL18" s="72"/>
      <c r="DVM18" s="72"/>
      <c r="DVN18" s="72"/>
      <c r="DVO18" s="72"/>
      <c r="DVP18" s="72"/>
      <c r="DVQ18" s="72"/>
      <c r="DVR18" s="72"/>
      <c r="DVS18" s="72"/>
      <c r="DVT18" s="72"/>
      <c r="DVU18" s="72"/>
      <c r="DVV18" s="72"/>
      <c r="DVW18" s="72"/>
      <c r="DVX18" s="72"/>
      <c r="DVY18" s="72"/>
      <c r="DVZ18" s="72"/>
      <c r="DWA18" s="72"/>
      <c r="DWB18" s="72"/>
      <c r="DWC18" s="72"/>
      <c r="DWD18" s="72"/>
      <c r="DWE18" s="72"/>
      <c r="DWF18" s="72"/>
      <c r="DWG18" s="72"/>
      <c r="DWH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72"/>
      <c r="DWY18" s="72"/>
      <c r="DWZ18" s="72"/>
      <c r="DXA18" s="72"/>
      <c r="DXB18" s="72"/>
      <c r="DXC18" s="72"/>
      <c r="DXD18" s="72"/>
      <c r="DXE18" s="72"/>
      <c r="DXF18" s="72"/>
      <c r="DXG18" s="72"/>
      <c r="DXH18" s="72"/>
      <c r="DXI18" s="72"/>
      <c r="DXJ18" s="72"/>
      <c r="DXK18" s="72"/>
      <c r="DXL18" s="72"/>
      <c r="DXM18" s="72"/>
      <c r="DXN18" s="72"/>
      <c r="DXO18" s="72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72"/>
      <c r="DYH18" s="72"/>
      <c r="DYI18" s="72"/>
      <c r="DYJ18" s="72"/>
      <c r="DYK18" s="72"/>
      <c r="DYL18" s="72"/>
      <c r="DYM18" s="72"/>
      <c r="DYN18" s="72"/>
      <c r="DYO18" s="72"/>
      <c r="DYP18" s="72"/>
      <c r="DYQ18" s="72"/>
      <c r="DYR18" s="72"/>
      <c r="DYS18" s="72"/>
      <c r="DYT18" s="72"/>
      <c r="DYU18" s="72"/>
      <c r="DYV18" s="72"/>
      <c r="DYW18" s="72"/>
      <c r="DYX18" s="72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72"/>
      <c r="DZQ18" s="72"/>
      <c r="DZR18" s="72"/>
      <c r="DZS18" s="72"/>
      <c r="DZT18" s="72"/>
      <c r="DZU18" s="72"/>
      <c r="DZV18" s="72"/>
      <c r="DZW18" s="72"/>
      <c r="DZX18" s="72"/>
      <c r="DZY18" s="72"/>
      <c r="DZZ18" s="72"/>
      <c r="EAA18" s="72"/>
      <c r="EAB18" s="72"/>
      <c r="EAC18" s="72"/>
      <c r="EAD18" s="72"/>
      <c r="EAE18" s="72"/>
      <c r="EAF18" s="72"/>
      <c r="EAG18" s="72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72"/>
      <c r="EAZ18" s="72"/>
      <c r="EBA18" s="72"/>
      <c r="EBB18" s="72"/>
      <c r="EBC18" s="72"/>
      <c r="EBD18" s="72"/>
      <c r="EBE18" s="72"/>
      <c r="EBF18" s="72"/>
      <c r="EBG18" s="72"/>
      <c r="EBH18" s="72"/>
      <c r="EBI18" s="72"/>
      <c r="EBJ18" s="72"/>
      <c r="EBK18" s="72"/>
      <c r="EBL18" s="72"/>
      <c r="EBM18" s="72"/>
      <c r="EBN18" s="72"/>
      <c r="EBO18" s="72"/>
      <c r="EBP18" s="72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72"/>
      <c r="ECI18" s="72"/>
      <c r="ECJ18" s="72"/>
      <c r="ECK18" s="72"/>
      <c r="ECL18" s="72"/>
      <c r="ECM18" s="72"/>
      <c r="ECN18" s="72"/>
      <c r="ECO18" s="72"/>
      <c r="ECP18" s="72"/>
      <c r="ECQ18" s="72"/>
      <c r="ECR18" s="72"/>
      <c r="ECS18" s="72"/>
      <c r="ECT18" s="72"/>
      <c r="ECU18" s="72"/>
      <c r="ECV18" s="72"/>
      <c r="ECW18" s="72"/>
      <c r="ECX18" s="72"/>
      <c r="ECY18" s="72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72"/>
      <c r="EDR18" s="72"/>
      <c r="EDS18" s="72"/>
      <c r="EDT18" s="72"/>
      <c r="EDU18" s="72"/>
      <c r="EDV18" s="72"/>
      <c r="EDW18" s="72"/>
      <c r="EDX18" s="72"/>
      <c r="EDY18" s="72"/>
      <c r="EDZ18" s="72"/>
      <c r="EEA18" s="72"/>
      <c r="EEB18" s="72"/>
      <c r="EEC18" s="72"/>
      <c r="EED18" s="72"/>
      <c r="EEE18" s="72"/>
      <c r="EEF18" s="72"/>
      <c r="EEG18" s="72"/>
      <c r="EEH18" s="72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EY18" s="72"/>
      <c r="EEZ18" s="72"/>
      <c r="EFA18" s="72"/>
      <c r="EFB18" s="72"/>
      <c r="EFC18" s="72"/>
      <c r="EFD18" s="72"/>
      <c r="EFE18" s="72"/>
      <c r="EFF18" s="72"/>
      <c r="EFG18" s="72"/>
      <c r="EFH18" s="72"/>
      <c r="EFI18" s="72"/>
      <c r="EFJ18" s="72"/>
      <c r="EFK18" s="72"/>
      <c r="EFL18" s="72"/>
      <c r="EFM18" s="72"/>
      <c r="EFN18" s="72"/>
      <c r="EFO18" s="72"/>
      <c r="EFP18" s="72"/>
      <c r="EFQ18" s="72"/>
      <c r="EFR18" s="72"/>
      <c r="EFS18" s="72"/>
      <c r="EFT18" s="72"/>
      <c r="EFU18" s="72"/>
      <c r="EFV18" s="72"/>
      <c r="EFW18" s="72"/>
      <c r="EFX18" s="72"/>
      <c r="EFY18" s="72"/>
      <c r="EFZ18" s="72"/>
      <c r="EGA18" s="72"/>
      <c r="EGB18" s="72"/>
      <c r="EGC18" s="72"/>
      <c r="EGD18" s="72"/>
      <c r="EGE18" s="72"/>
      <c r="EGF18" s="72"/>
      <c r="EGG18" s="72"/>
      <c r="EGH18" s="72"/>
      <c r="EGI18" s="72"/>
      <c r="EGJ18" s="72"/>
      <c r="EGK18" s="72"/>
      <c r="EGL18" s="72"/>
      <c r="EGM18" s="72"/>
      <c r="EGN18" s="72"/>
      <c r="EGO18" s="72"/>
      <c r="EGP18" s="72"/>
      <c r="EGQ18" s="72"/>
      <c r="EGR18" s="72"/>
      <c r="EGS18" s="72"/>
      <c r="EGT18" s="72"/>
      <c r="EGU18" s="72"/>
      <c r="EGV18" s="72"/>
      <c r="EGW18" s="72"/>
      <c r="EGX18" s="72"/>
      <c r="EGY18" s="72"/>
      <c r="EGZ18" s="72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72"/>
      <c r="EHS18" s="72"/>
      <c r="EHT18" s="72"/>
      <c r="EHU18" s="72"/>
      <c r="EHV18" s="72"/>
      <c r="EHW18" s="72"/>
      <c r="EHX18" s="72"/>
      <c r="EHY18" s="72"/>
      <c r="EHZ18" s="72"/>
      <c r="EIA18" s="72"/>
      <c r="EIB18" s="72"/>
      <c r="EIC18" s="72"/>
      <c r="EID18" s="72"/>
      <c r="EIE18" s="72"/>
      <c r="EIF18" s="72"/>
      <c r="EIG18" s="72"/>
      <c r="EIH18" s="72"/>
      <c r="EII18" s="72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72"/>
      <c r="EJB18" s="72"/>
      <c r="EJC18" s="72"/>
      <c r="EJD18" s="72"/>
      <c r="EJE18" s="72"/>
      <c r="EJF18" s="72"/>
      <c r="EJG18" s="72"/>
      <c r="EJH18" s="72"/>
      <c r="EJI18" s="72"/>
      <c r="EJJ18" s="72"/>
      <c r="EJK18" s="72"/>
      <c r="EJL18" s="72"/>
      <c r="EJM18" s="72"/>
      <c r="EJN18" s="72"/>
      <c r="EJO18" s="72"/>
      <c r="EJP18" s="72"/>
      <c r="EJQ18" s="72"/>
      <c r="EJR18" s="72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72"/>
      <c r="EKK18" s="72"/>
      <c r="EKL18" s="72"/>
      <c r="EKM18" s="72"/>
      <c r="EKN18" s="72"/>
      <c r="EKO18" s="72"/>
      <c r="EKP18" s="72"/>
      <c r="EKQ18" s="72"/>
      <c r="EKR18" s="72"/>
      <c r="EKS18" s="72"/>
      <c r="EKT18" s="72"/>
      <c r="EKU18" s="72"/>
      <c r="EKV18" s="72"/>
      <c r="EKW18" s="72"/>
      <c r="EKX18" s="72"/>
      <c r="EKY18" s="72"/>
      <c r="EKZ18" s="72"/>
      <c r="ELA18" s="72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72"/>
      <c r="ELT18" s="72"/>
      <c r="ELU18" s="72"/>
      <c r="ELV18" s="72"/>
      <c r="ELW18" s="72"/>
      <c r="ELX18" s="72"/>
      <c r="ELY18" s="72"/>
      <c r="ELZ18" s="72"/>
      <c r="EMA18" s="72"/>
      <c r="EMB18" s="72"/>
      <c r="EMC18" s="72"/>
      <c r="EMD18" s="72"/>
      <c r="EME18" s="72"/>
      <c r="EMF18" s="72"/>
      <c r="EMG18" s="72"/>
      <c r="EMH18" s="72"/>
      <c r="EMI18" s="72"/>
      <c r="EMJ18" s="72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72"/>
      <c r="ENC18" s="72"/>
      <c r="END18" s="72"/>
      <c r="ENE18" s="72"/>
      <c r="ENF18" s="72"/>
      <c r="ENG18" s="72"/>
      <c r="ENH18" s="72"/>
      <c r="ENI18" s="72"/>
      <c r="ENJ18" s="72"/>
      <c r="ENK18" s="72"/>
      <c r="ENL18" s="72"/>
      <c r="ENM18" s="72"/>
      <c r="ENN18" s="72"/>
      <c r="ENO18" s="72"/>
      <c r="ENP18" s="72"/>
      <c r="ENQ18" s="72"/>
      <c r="ENR18" s="72"/>
      <c r="ENS18" s="72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72"/>
      <c r="EOL18" s="72"/>
      <c r="EOM18" s="72"/>
      <c r="EON18" s="72"/>
      <c r="EOO18" s="72"/>
      <c r="EOP18" s="72"/>
      <c r="EOQ18" s="72"/>
      <c r="EOR18" s="72"/>
      <c r="EOS18" s="72"/>
      <c r="EOT18" s="72"/>
      <c r="EOU18" s="72"/>
      <c r="EOV18" s="72"/>
      <c r="EOW18" s="72"/>
      <c r="EOX18" s="72"/>
      <c r="EOY18" s="72"/>
      <c r="EOZ18" s="72"/>
      <c r="EPA18" s="72"/>
      <c r="EPB18" s="72"/>
      <c r="EPC18" s="72"/>
      <c r="EPD18" s="72"/>
      <c r="EPE18" s="72"/>
      <c r="EPF18" s="72"/>
      <c r="EPG18" s="72"/>
      <c r="EPH18" s="72"/>
      <c r="EPI18" s="72"/>
      <c r="EPJ18" s="72"/>
      <c r="EPK18" s="72"/>
      <c r="EPL18" s="72"/>
      <c r="EPM18" s="72"/>
      <c r="EPN18" s="72"/>
      <c r="EPO18" s="72"/>
      <c r="EPP18" s="72"/>
      <c r="EPQ18" s="72"/>
      <c r="EPR18" s="72"/>
      <c r="EPS18" s="72"/>
      <c r="EPT18" s="72"/>
      <c r="EPU18" s="72"/>
      <c r="EPV18" s="72"/>
      <c r="EPW18" s="72"/>
      <c r="EPX18" s="72"/>
      <c r="EPY18" s="72"/>
      <c r="EPZ18" s="72"/>
      <c r="EQA18" s="72"/>
      <c r="EQB18" s="72"/>
      <c r="EQC18" s="72"/>
      <c r="EQD18" s="72"/>
      <c r="EQE18" s="72"/>
      <c r="EQF18" s="72"/>
      <c r="EQG18" s="72"/>
      <c r="EQH18" s="72"/>
      <c r="EQI18" s="72"/>
      <c r="EQJ18" s="72"/>
      <c r="EQK18" s="72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72"/>
      <c r="ERD18" s="72"/>
      <c r="ERE18" s="72"/>
      <c r="ERF18" s="72"/>
      <c r="ERG18" s="72"/>
      <c r="ERH18" s="72"/>
      <c r="ERI18" s="72"/>
      <c r="ERJ18" s="72"/>
      <c r="ERK18" s="72"/>
      <c r="ERL18" s="72"/>
      <c r="ERM18" s="72"/>
      <c r="ERN18" s="72"/>
      <c r="ERO18" s="72"/>
      <c r="ERP18" s="72"/>
      <c r="ERQ18" s="72"/>
      <c r="ERR18" s="72"/>
      <c r="ERS18" s="72"/>
      <c r="ERT18" s="72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72"/>
      <c r="ESM18" s="72"/>
      <c r="ESN18" s="72"/>
      <c r="ESO18" s="72"/>
      <c r="ESP18" s="72"/>
      <c r="ESQ18" s="72"/>
      <c r="ESR18" s="72"/>
      <c r="ESS18" s="72"/>
      <c r="EST18" s="72"/>
      <c r="ESU18" s="72"/>
      <c r="ESV18" s="72"/>
      <c r="ESW18" s="72"/>
      <c r="ESX18" s="72"/>
      <c r="ESY18" s="72"/>
      <c r="ESZ18" s="72"/>
      <c r="ETA18" s="72"/>
      <c r="ETB18" s="72"/>
      <c r="ETC18" s="72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72"/>
      <c r="ETV18" s="72"/>
      <c r="ETW18" s="72"/>
      <c r="ETX18" s="72"/>
      <c r="ETY18" s="72"/>
      <c r="ETZ18" s="72"/>
      <c r="EUA18" s="72"/>
      <c r="EUB18" s="72"/>
      <c r="EUC18" s="72"/>
      <c r="EUD18" s="72"/>
      <c r="EUE18" s="72"/>
      <c r="EUF18" s="72"/>
      <c r="EUG18" s="72"/>
      <c r="EUH18" s="72"/>
      <c r="EUI18" s="72"/>
      <c r="EUJ18" s="72"/>
      <c r="EUK18" s="72"/>
      <c r="EUL18" s="72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72"/>
      <c r="EVE18" s="72"/>
      <c r="EVF18" s="72"/>
      <c r="EVG18" s="72"/>
      <c r="EVH18" s="72"/>
      <c r="EVI18" s="72"/>
      <c r="EVJ18" s="72"/>
      <c r="EVK18" s="72"/>
      <c r="EVL18" s="72"/>
      <c r="EVM18" s="72"/>
      <c r="EVN18" s="72"/>
      <c r="EVO18" s="72"/>
      <c r="EVP18" s="72"/>
      <c r="EVQ18" s="72"/>
      <c r="EVR18" s="72"/>
      <c r="EVS18" s="72"/>
      <c r="EVT18" s="72"/>
      <c r="EVU18" s="72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72"/>
      <c r="EWN18" s="72"/>
      <c r="EWO18" s="72"/>
      <c r="EWP18" s="72"/>
      <c r="EWQ18" s="72"/>
      <c r="EWR18" s="72"/>
      <c r="EWS18" s="72"/>
      <c r="EWT18" s="72"/>
      <c r="EWU18" s="72"/>
      <c r="EWV18" s="72"/>
      <c r="EWW18" s="72"/>
      <c r="EWX18" s="72"/>
      <c r="EWY18" s="72"/>
      <c r="EWZ18" s="72"/>
      <c r="EXA18" s="72"/>
      <c r="EXB18" s="72"/>
      <c r="EXC18" s="72"/>
      <c r="EXD18" s="72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72"/>
      <c r="EXW18" s="72"/>
      <c r="EXX18" s="72"/>
      <c r="EXY18" s="72"/>
      <c r="EXZ18" s="72"/>
      <c r="EYA18" s="72"/>
      <c r="EYB18" s="72"/>
      <c r="EYC18" s="72"/>
      <c r="EYD18" s="72"/>
      <c r="EYE18" s="72"/>
      <c r="EYF18" s="72"/>
      <c r="EYG18" s="72"/>
      <c r="EYH18" s="72"/>
      <c r="EYI18" s="72"/>
      <c r="EYJ18" s="72"/>
      <c r="EYK18" s="72"/>
      <c r="EYL18" s="72"/>
      <c r="EYM18" s="72"/>
      <c r="EYN18" s="72"/>
      <c r="EYO18" s="72"/>
      <c r="EYP18" s="72"/>
      <c r="EYQ18" s="72"/>
      <c r="EYR18" s="72"/>
      <c r="EYS18" s="72"/>
      <c r="EYT18" s="72"/>
      <c r="EYU18" s="72"/>
      <c r="EYV18" s="72"/>
      <c r="EYW18" s="72"/>
      <c r="EYX18" s="72"/>
      <c r="EYY18" s="72"/>
      <c r="EYZ18" s="72"/>
      <c r="EZA18" s="72"/>
      <c r="EZB18" s="72"/>
      <c r="EZC18" s="72"/>
      <c r="EZD18" s="72"/>
      <c r="EZE18" s="72"/>
      <c r="EZF18" s="72"/>
      <c r="EZG18" s="72"/>
      <c r="EZH18" s="72"/>
      <c r="EZI18" s="72"/>
      <c r="EZJ18" s="72"/>
      <c r="EZK18" s="72"/>
      <c r="EZL18" s="72"/>
      <c r="EZM18" s="72"/>
      <c r="EZN18" s="72"/>
      <c r="EZO18" s="72"/>
      <c r="EZP18" s="72"/>
      <c r="EZQ18" s="72"/>
      <c r="EZR18" s="72"/>
      <c r="EZS18" s="72"/>
      <c r="EZT18" s="72"/>
      <c r="EZU18" s="72"/>
      <c r="EZV18" s="72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72"/>
      <c r="FAO18" s="72"/>
      <c r="FAP18" s="72"/>
      <c r="FAQ18" s="72"/>
      <c r="FAR18" s="72"/>
      <c r="FAS18" s="72"/>
      <c r="FAT18" s="72"/>
      <c r="FAU18" s="72"/>
      <c r="FAV18" s="72"/>
      <c r="FAW18" s="72"/>
      <c r="FAX18" s="72"/>
      <c r="FAY18" s="72"/>
      <c r="FAZ18" s="72"/>
      <c r="FBA18" s="72"/>
      <c r="FBB18" s="72"/>
      <c r="FBC18" s="72"/>
      <c r="FBD18" s="72"/>
      <c r="FBE18" s="72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72"/>
      <c r="FBX18" s="72"/>
      <c r="FBY18" s="72"/>
      <c r="FBZ18" s="72"/>
      <c r="FCA18" s="72"/>
      <c r="FCB18" s="72"/>
      <c r="FCC18" s="72"/>
      <c r="FCD18" s="72"/>
      <c r="FCE18" s="72"/>
      <c r="FCF18" s="72"/>
      <c r="FCG18" s="72"/>
      <c r="FCH18" s="72"/>
      <c r="FCI18" s="72"/>
      <c r="FCJ18" s="72"/>
      <c r="FCK18" s="72"/>
      <c r="FCL18" s="72"/>
      <c r="FCM18" s="72"/>
      <c r="FCN18" s="72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72"/>
      <c r="FDG18" s="72"/>
      <c r="FDH18" s="72"/>
      <c r="FDI18" s="72"/>
      <c r="FDJ18" s="72"/>
      <c r="FDK18" s="72"/>
      <c r="FDL18" s="72"/>
      <c r="FDM18" s="72"/>
      <c r="FDN18" s="72"/>
      <c r="FDO18" s="72"/>
      <c r="FDP18" s="72"/>
      <c r="FDQ18" s="72"/>
      <c r="FDR18" s="72"/>
      <c r="FDS18" s="72"/>
      <c r="FDT18" s="72"/>
      <c r="FDU18" s="72"/>
      <c r="FDV18" s="72"/>
      <c r="FDW18" s="72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72"/>
      <c r="FEP18" s="72"/>
      <c r="FEQ18" s="72"/>
      <c r="FER18" s="72"/>
      <c r="FES18" s="72"/>
      <c r="FET18" s="72"/>
      <c r="FEU18" s="72"/>
      <c r="FEV18" s="72"/>
      <c r="FEW18" s="72"/>
      <c r="FEX18" s="72"/>
      <c r="FEY18" s="72"/>
      <c r="FEZ18" s="72"/>
      <c r="FFA18" s="72"/>
      <c r="FFB18" s="72"/>
      <c r="FFC18" s="72"/>
      <c r="FFD18" s="72"/>
      <c r="FFE18" s="72"/>
      <c r="FFF18" s="72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72"/>
      <c r="FFY18" s="72"/>
      <c r="FFZ18" s="72"/>
      <c r="FGA18" s="72"/>
      <c r="FGB18" s="72"/>
      <c r="FGC18" s="72"/>
      <c r="FGD18" s="72"/>
      <c r="FGE18" s="72"/>
      <c r="FGF18" s="72"/>
      <c r="FGG18" s="72"/>
      <c r="FGH18" s="72"/>
      <c r="FGI18" s="72"/>
      <c r="FGJ18" s="72"/>
      <c r="FGK18" s="72"/>
      <c r="FGL18" s="72"/>
      <c r="FGM18" s="72"/>
      <c r="FGN18" s="72"/>
      <c r="FGO18" s="72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72"/>
      <c r="FHH18" s="72"/>
      <c r="FHI18" s="72"/>
      <c r="FHJ18" s="72"/>
      <c r="FHK18" s="72"/>
      <c r="FHL18" s="72"/>
      <c r="FHM18" s="72"/>
      <c r="FHN18" s="72"/>
      <c r="FHO18" s="72"/>
      <c r="FHP18" s="72"/>
      <c r="FHQ18" s="72"/>
      <c r="FHR18" s="72"/>
      <c r="FHS18" s="72"/>
      <c r="FHT18" s="72"/>
      <c r="FHU18" s="72"/>
      <c r="FHV18" s="72"/>
      <c r="FHW18" s="72"/>
      <c r="FHX18" s="72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M18" s="72"/>
      <c r="FIN18" s="72"/>
      <c r="FIO18" s="72"/>
      <c r="FIP18" s="72"/>
      <c r="FIQ18" s="72"/>
      <c r="FIR18" s="72"/>
      <c r="FIS18" s="72"/>
      <c r="FIT18" s="72"/>
      <c r="FIU18" s="72"/>
      <c r="FIV18" s="72"/>
      <c r="FIW18" s="72"/>
      <c r="FIX18" s="72"/>
      <c r="FIY18" s="72"/>
      <c r="FIZ18" s="72"/>
      <c r="FJA18" s="72"/>
      <c r="FJB18" s="72"/>
      <c r="FJC18" s="72"/>
      <c r="FJD18" s="72"/>
      <c r="FJE18" s="72"/>
      <c r="FJF18" s="72"/>
      <c r="FJG18" s="72"/>
      <c r="FJH18" s="72"/>
      <c r="FJI18" s="72"/>
      <c r="FJJ18" s="72"/>
      <c r="FJK18" s="72"/>
      <c r="FJL18" s="72"/>
      <c r="FJM18" s="72"/>
      <c r="FJN18" s="72"/>
      <c r="FJO18" s="72"/>
      <c r="FJP18" s="72"/>
      <c r="FJQ18" s="72"/>
      <c r="FJR18" s="72"/>
      <c r="FJS18" s="72"/>
      <c r="FJT18" s="72"/>
      <c r="FJU18" s="72"/>
      <c r="FJV18" s="72"/>
      <c r="FJW18" s="72"/>
      <c r="FJX18" s="72"/>
      <c r="FJY18" s="72"/>
      <c r="FJZ18" s="72"/>
      <c r="FKA18" s="72"/>
      <c r="FKB18" s="72"/>
      <c r="FKC18" s="72"/>
      <c r="FKD18" s="72"/>
      <c r="FKE18" s="72"/>
      <c r="FKF18" s="72"/>
      <c r="FKG18" s="72"/>
      <c r="FKH18" s="72"/>
      <c r="FKI18" s="72"/>
      <c r="FKJ18" s="72"/>
      <c r="FKK18" s="72"/>
      <c r="FKL18" s="72"/>
      <c r="FKM18" s="72"/>
      <c r="FKN18" s="72"/>
      <c r="FKO18" s="72"/>
      <c r="FKP18" s="72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72"/>
      <c r="FLI18" s="72"/>
      <c r="FLJ18" s="72"/>
      <c r="FLK18" s="72"/>
      <c r="FLL18" s="72"/>
      <c r="FLM18" s="72"/>
      <c r="FLN18" s="72"/>
      <c r="FLO18" s="72"/>
      <c r="FLP18" s="72"/>
      <c r="FLQ18" s="72"/>
      <c r="FLR18" s="72"/>
      <c r="FLS18" s="72"/>
      <c r="FLT18" s="72"/>
      <c r="FLU18" s="72"/>
      <c r="FLV18" s="72"/>
      <c r="FLW18" s="72"/>
      <c r="FLX18" s="72"/>
      <c r="FLY18" s="72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72"/>
      <c r="FMR18" s="72"/>
      <c r="FMS18" s="72"/>
      <c r="FMT18" s="72"/>
      <c r="FMU18" s="72"/>
      <c r="FMV18" s="72"/>
      <c r="FMW18" s="72"/>
      <c r="FMX18" s="72"/>
      <c r="FMY18" s="72"/>
      <c r="FMZ18" s="72"/>
      <c r="FNA18" s="72"/>
      <c r="FNB18" s="72"/>
      <c r="FNC18" s="72"/>
      <c r="FND18" s="72"/>
      <c r="FNE18" s="72"/>
      <c r="FNF18" s="72"/>
      <c r="FNG18" s="72"/>
      <c r="FNH18" s="72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72"/>
      <c r="FOA18" s="72"/>
      <c r="FOB18" s="72"/>
      <c r="FOC18" s="72"/>
      <c r="FOD18" s="72"/>
      <c r="FOE18" s="72"/>
      <c r="FOF18" s="72"/>
      <c r="FOG18" s="72"/>
      <c r="FOH18" s="72"/>
      <c r="FOI18" s="72"/>
      <c r="FOJ18" s="72"/>
      <c r="FOK18" s="72"/>
      <c r="FOL18" s="72"/>
      <c r="FOM18" s="72"/>
      <c r="FON18" s="72"/>
      <c r="FOO18" s="72"/>
      <c r="FOP18" s="72"/>
      <c r="FOQ18" s="72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72"/>
      <c r="FPJ18" s="72"/>
      <c r="FPK18" s="72"/>
      <c r="FPL18" s="72"/>
      <c r="FPM18" s="72"/>
      <c r="FPN18" s="72"/>
      <c r="FPO18" s="72"/>
      <c r="FPP18" s="72"/>
      <c r="FPQ18" s="72"/>
      <c r="FPR18" s="72"/>
      <c r="FPS18" s="72"/>
      <c r="FPT18" s="72"/>
      <c r="FPU18" s="72"/>
      <c r="FPV18" s="72"/>
      <c r="FPW18" s="72"/>
      <c r="FPX18" s="72"/>
      <c r="FPY18" s="72"/>
      <c r="FPZ18" s="72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72"/>
      <c r="FQS18" s="72"/>
      <c r="FQT18" s="72"/>
      <c r="FQU18" s="72"/>
      <c r="FQV18" s="72"/>
      <c r="FQW18" s="72"/>
      <c r="FQX18" s="72"/>
      <c r="FQY18" s="72"/>
      <c r="FQZ18" s="72"/>
      <c r="FRA18" s="72"/>
      <c r="FRB18" s="72"/>
      <c r="FRC18" s="72"/>
      <c r="FRD18" s="72"/>
      <c r="FRE18" s="72"/>
      <c r="FRF18" s="72"/>
      <c r="FRG18" s="72"/>
      <c r="FRH18" s="72"/>
      <c r="FRI18" s="72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72"/>
      <c r="FSB18" s="72"/>
      <c r="FSC18" s="72"/>
      <c r="FSD18" s="72"/>
      <c r="FSE18" s="72"/>
      <c r="FSF18" s="72"/>
      <c r="FSG18" s="72"/>
      <c r="FSH18" s="72"/>
      <c r="FSI18" s="72"/>
      <c r="FSJ18" s="72"/>
      <c r="FSK18" s="72"/>
      <c r="FSL18" s="72"/>
      <c r="FSM18" s="72"/>
      <c r="FSN18" s="72"/>
      <c r="FSO18" s="72"/>
      <c r="FSP18" s="72"/>
      <c r="FSQ18" s="72"/>
      <c r="FSR18" s="72"/>
      <c r="FSS18" s="72"/>
      <c r="FST18" s="72"/>
      <c r="FSU18" s="72"/>
      <c r="FSV18" s="72"/>
      <c r="FSW18" s="72"/>
      <c r="FSX18" s="72"/>
      <c r="FSY18" s="72"/>
      <c r="FSZ18" s="72"/>
      <c r="FTA18" s="72"/>
      <c r="FTB18" s="72"/>
      <c r="FTC18" s="72"/>
      <c r="FTD18" s="72"/>
      <c r="FTE18" s="72"/>
      <c r="FTF18" s="72"/>
      <c r="FTG18" s="72"/>
      <c r="FTH18" s="72"/>
      <c r="FTI18" s="72"/>
      <c r="FTJ18" s="72"/>
      <c r="FTK18" s="72"/>
      <c r="FTL18" s="72"/>
      <c r="FTM18" s="72"/>
      <c r="FTN18" s="72"/>
      <c r="FTO18" s="72"/>
      <c r="FTP18" s="72"/>
      <c r="FTQ18" s="72"/>
      <c r="FTR18" s="72"/>
      <c r="FTS18" s="72"/>
      <c r="FTT18" s="72"/>
      <c r="FTU18" s="72"/>
      <c r="FTV18" s="72"/>
      <c r="FTW18" s="72"/>
      <c r="FTX18" s="72"/>
      <c r="FTY18" s="72"/>
      <c r="FTZ18" s="72"/>
      <c r="FUA18" s="72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72"/>
      <c r="FUT18" s="72"/>
      <c r="FUU18" s="72"/>
      <c r="FUV18" s="72"/>
      <c r="FUW18" s="72"/>
      <c r="FUX18" s="72"/>
      <c r="FUY18" s="72"/>
      <c r="FUZ18" s="72"/>
      <c r="FVA18" s="72"/>
      <c r="FVB18" s="72"/>
      <c r="FVC18" s="72"/>
      <c r="FVD18" s="72"/>
      <c r="FVE18" s="72"/>
      <c r="FVF18" s="72"/>
      <c r="FVG18" s="72"/>
      <c r="FVH18" s="72"/>
      <c r="FVI18" s="72"/>
      <c r="FVJ18" s="72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72"/>
      <c r="FWC18" s="72"/>
      <c r="FWD18" s="72"/>
      <c r="FWE18" s="72"/>
      <c r="FWF18" s="72"/>
      <c r="FWG18" s="72"/>
      <c r="FWH18" s="72"/>
      <c r="FWI18" s="72"/>
      <c r="FWJ18" s="72"/>
      <c r="FWK18" s="72"/>
      <c r="FWL18" s="72"/>
      <c r="FWM18" s="72"/>
      <c r="FWN18" s="72"/>
      <c r="FWO18" s="72"/>
      <c r="FWP18" s="72"/>
      <c r="FWQ18" s="72"/>
      <c r="FWR18" s="72"/>
      <c r="FWS18" s="72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72"/>
      <c r="FXL18" s="72"/>
      <c r="FXM18" s="72"/>
      <c r="FXN18" s="72"/>
      <c r="FXO18" s="72"/>
      <c r="FXP18" s="72"/>
      <c r="FXQ18" s="72"/>
      <c r="FXR18" s="72"/>
      <c r="FXS18" s="72"/>
      <c r="FXT18" s="72"/>
      <c r="FXU18" s="72"/>
      <c r="FXV18" s="72"/>
      <c r="FXW18" s="72"/>
      <c r="FXX18" s="72"/>
      <c r="FXY18" s="72"/>
      <c r="FXZ18" s="72"/>
      <c r="FYA18" s="72"/>
      <c r="FYB18" s="72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72"/>
      <c r="FYU18" s="72"/>
      <c r="FYV18" s="72"/>
      <c r="FYW18" s="72"/>
      <c r="FYX18" s="72"/>
      <c r="FYY18" s="72"/>
      <c r="FYZ18" s="72"/>
      <c r="FZA18" s="72"/>
      <c r="FZB18" s="72"/>
      <c r="FZC18" s="72"/>
      <c r="FZD18" s="72"/>
      <c r="FZE18" s="72"/>
      <c r="FZF18" s="72"/>
      <c r="FZG18" s="72"/>
      <c r="FZH18" s="72"/>
      <c r="FZI18" s="72"/>
      <c r="FZJ18" s="72"/>
      <c r="FZK18" s="72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72"/>
      <c r="GAD18" s="72"/>
      <c r="GAE18" s="72"/>
      <c r="GAF18" s="72"/>
      <c r="GAG18" s="72"/>
      <c r="GAH18" s="72"/>
      <c r="GAI18" s="72"/>
      <c r="GAJ18" s="72"/>
      <c r="GAK18" s="72"/>
      <c r="GAL18" s="72"/>
      <c r="GAM18" s="72"/>
      <c r="GAN18" s="72"/>
      <c r="GAO18" s="72"/>
      <c r="GAP18" s="72"/>
      <c r="GAQ18" s="72"/>
      <c r="GAR18" s="72"/>
      <c r="GAS18" s="72"/>
      <c r="GAT18" s="72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72"/>
      <c r="GBM18" s="72"/>
      <c r="GBN18" s="72"/>
      <c r="GBO18" s="72"/>
      <c r="GBP18" s="72"/>
      <c r="GBQ18" s="72"/>
      <c r="GBR18" s="72"/>
      <c r="GBS18" s="72"/>
      <c r="GBT18" s="72"/>
      <c r="GBU18" s="72"/>
      <c r="GBV18" s="72"/>
      <c r="GBW18" s="72"/>
      <c r="GBX18" s="72"/>
      <c r="GBY18" s="72"/>
      <c r="GBZ18" s="72"/>
      <c r="GCA18" s="72"/>
      <c r="GCB18" s="72"/>
      <c r="GCC18" s="72"/>
      <c r="GCD18" s="72"/>
      <c r="GCE18" s="72"/>
      <c r="GCF18" s="72"/>
      <c r="GCG18" s="72"/>
      <c r="GCH18" s="72"/>
      <c r="GCI18" s="72"/>
      <c r="GCJ18" s="72"/>
      <c r="GCK18" s="72"/>
      <c r="GCL18" s="72"/>
      <c r="GCM18" s="72"/>
      <c r="GCN18" s="72"/>
      <c r="GCO18" s="72"/>
      <c r="GCP18" s="72"/>
      <c r="GCQ18" s="72"/>
      <c r="GCR18" s="72"/>
      <c r="GCS18" s="72"/>
      <c r="GCT18" s="72"/>
      <c r="GCU18" s="72"/>
      <c r="GCV18" s="72"/>
      <c r="GCW18" s="72"/>
      <c r="GCX18" s="72"/>
      <c r="GCY18" s="72"/>
      <c r="GCZ18" s="72"/>
      <c r="GDA18" s="72"/>
      <c r="GDB18" s="72"/>
      <c r="GDC18" s="72"/>
      <c r="GDD18" s="72"/>
      <c r="GDE18" s="72"/>
      <c r="GDF18" s="72"/>
      <c r="GDG18" s="72"/>
      <c r="GDH18" s="72"/>
      <c r="GDI18" s="72"/>
      <c r="GDJ18" s="72"/>
      <c r="GDK18" s="72"/>
      <c r="GDL18" s="72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72"/>
      <c r="GEE18" s="72"/>
      <c r="GEF18" s="72"/>
      <c r="GEG18" s="72"/>
      <c r="GEH18" s="72"/>
      <c r="GEI18" s="72"/>
      <c r="GEJ18" s="72"/>
      <c r="GEK18" s="72"/>
      <c r="GEL18" s="72"/>
      <c r="GEM18" s="72"/>
      <c r="GEN18" s="72"/>
      <c r="GEO18" s="72"/>
      <c r="GEP18" s="72"/>
      <c r="GEQ18" s="72"/>
      <c r="GER18" s="72"/>
      <c r="GES18" s="72"/>
      <c r="GET18" s="72"/>
      <c r="GEU18" s="72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72"/>
      <c r="GFN18" s="72"/>
      <c r="GFO18" s="72"/>
      <c r="GFP18" s="72"/>
      <c r="GFQ18" s="72"/>
      <c r="GFR18" s="72"/>
      <c r="GFS18" s="72"/>
      <c r="GFT18" s="72"/>
      <c r="GFU18" s="72"/>
      <c r="GFV18" s="72"/>
      <c r="GFW18" s="72"/>
      <c r="GFX18" s="72"/>
      <c r="GFY18" s="72"/>
      <c r="GFZ18" s="72"/>
      <c r="GGA18" s="72"/>
      <c r="GGB18" s="72"/>
      <c r="GGC18" s="72"/>
      <c r="GGD18" s="72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72"/>
      <c r="GGW18" s="72"/>
      <c r="GGX18" s="72"/>
      <c r="GGY18" s="72"/>
      <c r="GGZ18" s="72"/>
      <c r="GHA18" s="72"/>
      <c r="GHB18" s="72"/>
      <c r="GHC18" s="72"/>
      <c r="GHD18" s="72"/>
      <c r="GHE18" s="72"/>
      <c r="GHF18" s="72"/>
      <c r="GHG18" s="72"/>
      <c r="GHH18" s="72"/>
      <c r="GHI18" s="72"/>
      <c r="GHJ18" s="72"/>
      <c r="GHK18" s="72"/>
      <c r="GHL18" s="72"/>
      <c r="GHM18" s="72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72"/>
      <c r="GIF18" s="72"/>
      <c r="GIG18" s="72"/>
      <c r="GIH18" s="72"/>
      <c r="GII18" s="72"/>
      <c r="GIJ18" s="72"/>
      <c r="GIK18" s="72"/>
      <c r="GIL18" s="72"/>
      <c r="GIM18" s="72"/>
      <c r="GIN18" s="72"/>
      <c r="GIO18" s="72"/>
      <c r="GIP18" s="72"/>
      <c r="GIQ18" s="72"/>
      <c r="GIR18" s="72"/>
      <c r="GIS18" s="72"/>
      <c r="GIT18" s="72"/>
      <c r="GIU18" s="72"/>
      <c r="GIV18" s="72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72"/>
      <c r="GJO18" s="72"/>
      <c r="GJP18" s="72"/>
      <c r="GJQ18" s="72"/>
      <c r="GJR18" s="72"/>
      <c r="GJS18" s="72"/>
      <c r="GJT18" s="72"/>
      <c r="GJU18" s="72"/>
      <c r="GJV18" s="72"/>
      <c r="GJW18" s="72"/>
      <c r="GJX18" s="72"/>
      <c r="GJY18" s="72"/>
      <c r="GJZ18" s="72"/>
      <c r="GKA18" s="72"/>
      <c r="GKB18" s="72"/>
      <c r="GKC18" s="72"/>
      <c r="GKD18" s="72"/>
      <c r="GKE18" s="72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72"/>
      <c r="GKX18" s="72"/>
      <c r="GKY18" s="72"/>
      <c r="GKZ18" s="72"/>
      <c r="GLA18" s="72"/>
      <c r="GLB18" s="72"/>
      <c r="GLC18" s="72"/>
      <c r="GLD18" s="72"/>
      <c r="GLE18" s="72"/>
      <c r="GLF18" s="72"/>
      <c r="GLG18" s="72"/>
      <c r="GLH18" s="72"/>
      <c r="GLI18" s="72"/>
      <c r="GLJ18" s="72"/>
      <c r="GLK18" s="72"/>
      <c r="GLL18" s="72"/>
      <c r="GLM18" s="72"/>
      <c r="GLN18" s="72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A18" s="72"/>
      <c r="GMB18" s="72"/>
      <c r="GMC18" s="72"/>
      <c r="GMD18" s="72"/>
      <c r="GME18" s="72"/>
      <c r="GMF18" s="72"/>
      <c r="GMG18" s="72"/>
      <c r="GMH18" s="72"/>
      <c r="GMI18" s="72"/>
      <c r="GMJ18" s="72"/>
      <c r="GMK18" s="72"/>
      <c r="GML18" s="72"/>
      <c r="GMM18" s="72"/>
      <c r="GMN18" s="72"/>
      <c r="GMO18" s="72"/>
      <c r="GMP18" s="72"/>
      <c r="GMQ18" s="72"/>
      <c r="GMR18" s="72"/>
      <c r="GMS18" s="72"/>
      <c r="GMT18" s="72"/>
      <c r="GMU18" s="72"/>
      <c r="GMV18" s="72"/>
      <c r="GMW18" s="72"/>
      <c r="GMX18" s="72"/>
      <c r="GMY18" s="72"/>
      <c r="GMZ18" s="72"/>
      <c r="GNA18" s="72"/>
      <c r="GNB18" s="72"/>
      <c r="GNC18" s="72"/>
      <c r="GND18" s="72"/>
      <c r="GNE18" s="72"/>
      <c r="GNF18" s="72"/>
      <c r="GNG18" s="72"/>
      <c r="GNH18" s="72"/>
      <c r="GNI18" s="72"/>
      <c r="GNJ18" s="72"/>
      <c r="GNK18" s="72"/>
      <c r="GNL18" s="72"/>
      <c r="GNM18" s="72"/>
      <c r="GNN18" s="72"/>
      <c r="GNO18" s="72"/>
      <c r="GNP18" s="72"/>
      <c r="GNQ18" s="72"/>
      <c r="GNR18" s="72"/>
      <c r="GNS18" s="72"/>
      <c r="GNT18" s="72"/>
      <c r="GNU18" s="72"/>
      <c r="GNV18" s="72"/>
      <c r="GNW18" s="72"/>
      <c r="GNX18" s="72"/>
      <c r="GNY18" s="72"/>
      <c r="GNZ18" s="72"/>
      <c r="GOA18" s="72"/>
      <c r="GOB18" s="72"/>
      <c r="GOC18" s="72"/>
      <c r="GOD18" s="72"/>
      <c r="GOE18" s="72"/>
      <c r="GOF18" s="72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72"/>
      <c r="GOY18" s="72"/>
      <c r="GOZ18" s="72"/>
      <c r="GPA18" s="72"/>
      <c r="GPB18" s="72"/>
      <c r="GPC18" s="72"/>
      <c r="GPD18" s="72"/>
      <c r="GPE18" s="72"/>
      <c r="GPF18" s="72"/>
      <c r="GPG18" s="72"/>
      <c r="GPH18" s="72"/>
      <c r="GPI18" s="72"/>
      <c r="GPJ18" s="72"/>
      <c r="GPK18" s="72"/>
      <c r="GPL18" s="72"/>
      <c r="GPM18" s="72"/>
      <c r="GPN18" s="72"/>
      <c r="GPO18" s="72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72"/>
      <c r="GQH18" s="72"/>
      <c r="GQI18" s="72"/>
      <c r="GQJ18" s="72"/>
      <c r="GQK18" s="72"/>
      <c r="GQL18" s="72"/>
      <c r="GQM18" s="72"/>
      <c r="GQN18" s="72"/>
      <c r="GQO18" s="72"/>
      <c r="GQP18" s="72"/>
      <c r="GQQ18" s="72"/>
      <c r="GQR18" s="72"/>
      <c r="GQS18" s="72"/>
      <c r="GQT18" s="72"/>
      <c r="GQU18" s="72"/>
      <c r="GQV18" s="72"/>
      <c r="GQW18" s="72"/>
      <c r="GQX18" s="72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72"/>
      <c r="GRQ18" s="72"/>
      <c r="GRR18" s="72"/>
      <c r="GRS18" s="72"/>
      <c r="GRT18" s="72"/>
      <c r="GRU18" s="72"/>
      <c r="GRV18" s="72"/>
      <c r="GRW18" s="72"/>
      <c r="GRX18" s="72"/>
      <c r="GRY18" s="72"/>
      <c r="GRZ18" s="72"/>
      <c r="GSA18" s="72"/>
      <c r="GSB18" s="72"/>
      <c r="GSC18" s="72"/>
      <c r="GSD18" s="72"/>
      <c r="GSE18" s="72"/>
      <c r="GSF18" s="72"/>
      <c r="GSG18" s="72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72"/>
      <c r="GSZ18" s="72"/>
      <c r="GTA18" s="72"/>
      <c r="GTB18" s="72"/>
      <c r="GTC18" s="72"/>
      <c r="GTD18" s="72"/>
      <c r="GTE18" s="72"/>
      <c r="GTF18" s="72"/>
      <c r="GTG18" s="72"/>
      <c r="GTH18" s="72"/>
      <c r="GTI18" s="72"/>
      <c r="GTJ18" s="72"/>
      <c r="GTK18" s="72"/>
      <c r="GTL18" s="72"/>
      <c r="GTM18" s="72"/>
      <c r="GTN18" s="72"/>
      <c r="GTO18" s="72"/>
      <c r="GTP18" s="72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72"/>
      <c r="GUI18" s="72"/>
      <c r="GUJ18" s="72"/>
      <c r="GUK18" s="72"/>
      <c r="GUL18" s="72"/>
      <c r="GUM18" s="72"/>
      <c r="GUN18" s="72"/>
      <c r="GUO18" s="72"/>
      <c r="GUP18" s="72"/>
      <c r="GUQ18" s="72"/>
      <c r="GUR18" s="72"/>
      <c r="GUS18" s="72"/>
      <c r="GUT18" s="72"/>
      <c r="GUU18" s="72"/>
      <c r="GUV18" s="72"/>
      <c r="GUW18" s="72"/>
      <c r="GUX18" s="72"/>
      <c r="GUY18" s="72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72"/>
      <c r="GVR18" s="72"/>
      <c r="GVS18" s="72"/>
      <c r="GVT18" s="72"/>
      <c r="GVU18" s="72"/>
      <c r="GVV18" s="72"/>
      <c r="GVW18" s="72"/>
      <c r="GVX18" s="72"/>
      <c r="GVY18" s="72"/>
      <c r="GVZ18" s="72"/>
      <c r="GWA18" s="72"/>
      <c r="GWB18" s="72"/>
      <c r="GWC18" s="72"/>
      <c r="GWD18" s="72"/>
      <c r="GWE18" s="72"/>
      <c r="GWF18" s="72"/>
      <c r="GWG18" s="72"/>
      <c r="GWH18" s="72"/>
      <c r="GWI18" s="72"/>
      <c r="GWJ18" s="72"/>
      <c r="GWK18" s="72"/>
      <c r="GWL18" s="72"/>
      <c r="GWM18" s="72"/>
      <c r="GWN18" s="72"/>
      <c r="GWO18" s="72"/>
      <c r="GWP18" s="72"/>
      <c r="GWQ18" s="72"/>
      <c r="GWR18" s="72"/>
      <c r="GWS18" s="72"/>
      <c r="GWT18" s="72"/>
      <c r="GWU18" s="72"/>
      <c r="GWV18" s="72"/>
      <c r="GWW18" s="72"/>
      <c r="GWX18" s="72"/>
      <c r="GWY18" s="72"/>
      <c r="GWZ18" s="72"/>
      <c r="GXA18" s="72"/>
      <c r="GXB18" s="72"/>
      <c r="GXC18" s="72"/>
      <c r="GXD18" s="72"/>
      <c r="GXE18" s="72"/>
      <c r="GXF18" s="72"/>
      <c r="GXG18" s="72"/>
      <c r="GXH18" s="72"/>
      <c r="GXI18" s="72"/>
      <c r="GXJ18" s="72"/>
      <c r="GXK18" s="72"/>
      <c r="GXL18" s="72"/>
      <c r="GXM18" s="72"/>
      <c r="GXN18" s="72"/>
      <c r="GXO18" s="72"/>
      <c r="GXP18" s="72"/>
      <c r="GXQ18" s="72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72"/>
      <c r="GYJ18" s="72"/>
      <c r="GYK18" s="72"/>
      <c r="GYL18" s="72"/>
      <c r="GYM18" s="72"/>
      <c r="GYN18" s="72"/>
      <c r="GYO18" s="72"/>
      <c r="GYP18" s="72"/>
      <c r="GYQ18" s="72"/>
      <c r="GYR18" s="72"/>
      <c r="GYS18" s="72"/>
      <c r="GYT18" s="72"/>
      <c r="GYU18" s="72"/>
      <c r="GYV18" s="72"/>
      <c r="GYW18" s="72"/>
      <c r="GYX18" s="72"/>
      <c r="GYY18" s="72"/>
      <c r="GYZ18" s="72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72"/>
      <c r="GZS18" s="72"/>
      <c r="GZT18" s="72"/>
      <c r="GZU18" s="72"/>
      <c r="GZV18" s="72"/>
      <c r="GZW18" s="72"/>
      <c r="GZX18" s="72"/>
      <c r="GZY18" s="72"/>
      <c r="GZZ18" s="72"/>
      <c r="HAA18" s="72"/>
      <c r="HAB18" s="72"/>
      <c r="HAC18" s="72"/>
      <c r="HAD18" s="72"/>
      <c r="HAE18" s="72"/>
      <c r="HAF18" s="72"/>
      <c r="HAG18" s="72"/>
      <c r="HAH18" s="72"/>
      <c r="HAI18" s="72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72"/>
      <c r="HBB18" s="72"/>
      <c r="HBC18" s="72"/>
      <c r="HBD18" s="72"/>
      <c r="HBE18" s="72"/>
      <c r="HBF18" s="72"/>
      <c r="HBG18" s="72"/>
      <c r="HBH18" s="72"/>
      <c r="HBI18" s="72"/>
      <c r="HBJ18" s="72"/>
      <c r="HBK18" s="72"/>
      <c r="HBL18" s="72"/>
      <c r="HBM18" s="72"/>
      <c r="HBN18" s="72"/>
      <c r="HBO18" s="72"/>
      <c r="HBP18" s="72"/>
      <c r="HBQ18" s="72"/>
      <c r="HBR18" s="72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72"/>
      <c r="HCK18" s="72"/>
      <c r="HCL18" s="72"/>
      <c r="HCM18" s="72"/>
      <c r="HCN18" s="72"/>
      <c r="HCO18" s="72"/>
      <c r="HCP18" s="72"/>
      <c r="HCQ18" s="72"/>
      <c r="HCR18" s="72"/>
      <c r="HCS18" s="72"/>
      <c r="HCT18" s="72"/>
      <c r="HCU18" s="72"/>
      <c r="HCV18" s="72"/>
      <c r="HCW18" s="72"/>
      <c r="HCX18" s="72"/>
      <c r="HCY18" s="72"/>
      <c r="HCZ18" s="72"/>
      <c r="HDA18" s="72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72"/>
      <c r="HDT18" s="72"/>
      <c r="HDU18" s="72"/>
      <c r="HDV18" s="72"/>
      <c r="HDW18" s="72"/>
      <c r="HDX18" s="72"/>
      <c r="HDY18" s="72"/>
      <c r="HDZ18" s="72"/>
      <c r="HEA18" s="72"/>
      <c r="HEB18" s="72"/>
      <c r="HEC18" s="72"/>
      <c r="HED18" s="72"/>
      <c r="HEE18" s="72"/>
      <c r="HEF18" s="72"/>
      <c r="HEG18" s="72"/>
      <c r="HEH18" s="72"/>
      <c r="HEI18" s="72"/>
      <c r="HEJ18" s="72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72"/>
      <c r="HFC18" s="72"/>
      <c r="HFD18" s="72"/>
      <c r="HFE18" s="72"/>
      <c r="HFF18" s="72"/>
      <c r="HFG18" s="72"/>
      <c r="HFH18" s="72"/>
      <c r="HFI18" s="72"/>
      <c r="HFJ18" s="72"/>
      <c r="HFK18" s="72"/>
      <c r="HFL18" s="72"/>
      <c r="HFM18" s="72"/>
      <c r="HFN18" s="72"/>
      <c r="HFO18" s="72"/>
      <c r="HFP18" s="72"/>
      <c r="HFQ18" s="72"/>
      <c r="HFR18" s="72"/>
      <c r="HFS18" s="72"/>
      <c r="HFT18" s="72"/>
      <c r="HFU18" s="72"/>
      <c r="HFV18" s="72"/>
      <c r="HFW18" s="72"/>
      <c r="HFX18" s="72"/>
      <c r="HFY18" s="72"/>
      <c r="HFZ18" s="72"/>
      <c r="HGA18" s="72"/>
      <c r="HGB18" s="72"/>
      <c r="HGC18" s="72"/>
      <c r="HGD18" s="72"/>
      <c r="HGE18" s="72"/>
      <c r="HGF18" s="72"/>
      <c r="HGG18" s="72"/>
      <c r="HGH18" s="72"/>
      <c r="HGI18" s="72"/>
      <c r="HGJ18" s="72"/>
      <c r="HGK18" s="72"/>
      <c r="HGL18" s="72"/>
      <c r="HGM18" s="72"/>
      <c r="HGN18" s="72"/>
      <c r="HGO18" s="72"/>
      <c r="HGP18" s="72"/>
      <c r="HGQ18" s="72"/>
      <c r="HGR18" s="72"/>
      <c r="HGS18" s="72"/>
      <c r="HGT18" s="72"/>
      <c r="HGU18" s="72"/>
      <c r="HGV18" s="72"/>
      <c r="HGW18" s="72"/>
      <c r="HGX18" s="72"/>
      <c r="HGY18" s="72"/>
      <c r="HGZ18" s="72"/>
      <c r="HHA18" s="72"/>
      <c r="HHB18" s="72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72"/>
      <c r="HHU18" s="72"/>
      <c r="HHV18" s="72"/>
      <c r="HHW18" s="72"/>
      <c r="HHX18" s="72"/>
      <c r="HHY18" s="72"/>
      <c r="HHZ18" s="72"/>
      <c r="HIA18" s="72"/>
      <c r="HIB18" s="72"/>
      <c r="HIC18" s="72"/>
      <c r="HID18" s="72"/>
      <c r="HIE18" s="72"/>
      <c r="HIF18" s="72"/>
      <c r="HIG18" s="72"/>
      <c r="HIH18" s="72"/>
      <c r="HII18" s="72"/>
      <c r="HIJ18" s="72"/>
      <c r="HIK18" s="72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72"/>
      <c r="HJD18" s="72"/>
      <c r="HJE18" s="72"/>
      <c r="HJF18" s="72"/>
      <c r="HJG18" s="72"/>
      <c r="HJH18" s="72"/>
      <c r="HJI18" s="72"/>
      <c r="HJJ18" s="72"/>
      <c r="HJK18" s="72"/>
      <c r="HJL18" s="72"/>
      <c r="HJM18" s="72"/>
      <c r="HJN18" s="72"/>
      <c r="HJO18" s="72"/>
      <c r="HJP18" s="72"/>
      <c r="HJQ18" s="72"/>
      <c r="HJR18" s="72"/>
      <c r="HJS18" s="72"/>
      <c r="HJT18" s="72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72"/>
      <c r="HKM18" s="72"/>
      <c r="HKN18" s="72"/>
      <c r="HKO18" s="72"/>
      <c r="HKP18" s="72"/>
      <c r="HKQ18" s="72"/>
      <c r="HKR18" s="72"/>
      <c r="HKS18" s="72"/>
      <c r="HKT18" s="72"/>
      <c r="HKU18" s="72"/>
      <c r="HKV18" s="72"/>
      <c r="HKW18" s="72"/>
      <c r="HKX18" s="72"/>
      <c r="HKY18" s="72"/>
      <c r="HKZ18" s="72"/>
      <c r="HLA18" s="72"/>
      <c r="HLB18" s="72"/>
      <c r="HLC18" s="72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72"/>
      <c r="HLV18" s="72"/>
      <c r="HLW18" s="72"/>
      <c r="HLX18" s="72"/>
      <c r="HLY18" s="72"/>
      <c r="HLZ18" s="72"/>
      <c r="HMA18" s="72"/>
      <c r="HMB18" s="72"/>
      <c r="HMC18" s="72"/>
      <c r="HMD18" s="72"/>
      <c r="HME18" s="72"/>
      <c r="HMF18" s="72"/>
      <c r="HMG18" s="72"/>
      <c r="HMH18" s="72"/>
      <c r="HMI18" s="72"/>
      <c r="HMJ18" s="72"/>
      <c r="HMK18" s="72"/>
      <c r="HML18" s="72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72"/>
      <c r="HNE18" s="72"/>
      <c r="HNF18" s="72"/>
      <c r="HNG18" s="72"/>
      <c r="HNH18" s="72"/>
      <c r="HNI18" s="72"/>
      <c r="HNJ18" s="72"/>
      <c r="HNK18" s="72"/>
      <c r="HNL18" s="72"/>
      <c r="HNM18" s="72"/>
      <c r="HNN18" s="72"/>
      <c r="HNO18" s="72"/>
      <c r="HNP18" s="72"/>
      <c r="HNQ18" s="72"/>
      <c r="HNR18" s="72"/>
      <c r="HNS18" s="72"/>
      <c r="HNT18" s="72"/>
      <c r="HNU18" s="72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72"/>
      <c r="HON18" s="72"/>
      <c r="HOO18" s="72"/>
      <c r="HOP18" s="72"/>
      <c r="HOQ18" s="72"/>
      <c r="HOR18" s="72"/>
      <c r="HOS18" s="72"/>
      <c r="HOT18" s="72"/>
      <c r="HOU18" s="72"/>
      <c r="HOV18" s="72"/>
      <c r="HOW18" s="72"/>
      <c r="HOX18" s="72"/>
      <c r="HOY18" s="72"/>
      <c r="HOZ18" s="72"/>
      <c r="HPA18" s="72"/>
      <c r="HPB18" s="72"/>
      <c r="HPC18" s="72"/>
      <c r="HPD18" s="72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O18" s="72"/>
      <c r="HPP18" s="72"/>
      <c r="HPQ18" s="72"/>
      <c r="HPR18" s="72"/>
      <c r="HPS18" s="72"/>
      <c r="HPT18" s="72"/>
      <c r="HPU18" s="72"/>
      <c r="HPV18" s="72"/>
      <c r="HPW18" s="72"/>
      <c r="HPX18" s="72"/>
      <c r="HPY18" s="72"/>
      <c r="HPZ18" s="72"/>
      <c r="HQA18" s="72"/>
      <c r="HQB18" s="72"/>
      <c r="HQC18" s="72"/>
      <c r="HQD18" s="72"/>
      <c r="HQE18" s="72"/>
      <c r="HQF18" s="72"/>
      <c r="HQG18" s="72"/>
      <c r="HQH18" s="72"/>
      <c r="HQI18" s="72"/>
      <c r="HQJ18" s="72"/>
      <c r="HQK18" s="72"/>
      <c r="HQL18" s="72"/>
      <c r="HQM18" s="72"/>
      <c r="HQN18" s="72"/>
      <c r="HQO18" s="72"/>
      <c r="HQP18" s="72"/>
      <c r="HQQ18" s="72"/>
      <c r="HQR18" s="72"/>
      <c r="HQS18" s="72"/>
      <c r="HQT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72"/>
      <c r="HRF18" s="72"/>
      <c r="HRG18" s="72"/>
      <c r="HRH18" s="72"/>
      <c r="HRI18" s="72"/>
      <c r="HRJ18" s="72"/>
      <c r="HRK18" s="72"/>
      <c r="HRL18" s="72"/>
      <c r="HRM18" s="72"/>
      <c r="HRN18" s="72"/>
      <c r="HRO18" s="72"/>
      <c r="HRP18" s="72"/>
      <c r="HRQ18" s="72"/>
      <c r="HRR18" s="72"/>
      <c r="HRS18" s="72"/>
      <c r="HRT18" s="72"/>
      <c r="HRU18" s="72"/>
      <c r="HRV18" s="72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72"/>
      <c r="HSO18" s="72"/>
      <c r="HSP18" s="72"/>
      <c r="HSQ18" s="72"/>
      <c r="HSR18" s="72"/>
      <c r="HSS18" s="72"/>
      <c r="HST18" s="72"/>
      <c r="HSU18" s="72"/>
      <c r="HSV18" s="72"/>
      <c r="HSW18" s="72"/>
      <c r="HSX18" s="72"/>
      <c r="HSY18" s="72"/>
      <c r="HSZ18" s="72"/>
      <c r="HTA18" s="72"/>
      <c r="HTB18" s="72"/>
      <c r="HTC18" s="72"/>
      <c r="HTD18" s="72"/>
      <c r="HTE18" s="72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72"/>
      <c r="HTX18" s="72"/>
      <c r="HTY18" s="72"/>
      <c r="HTZ18" s="72"/>
      <c r="HUA18" s="72"/>
      <c r="HUB18" s="72"/>
      <c r="HUC18" s="72"/>
      <c r="HUD18" s="72"/>
      <c r="HUE18" s="72"/>
      <c r="HUF18" s="72"/>
      <c r="HUG18" s="72"/>
      <c r="HUH18" s="72"/>
      <c r="HUI18" s="72"/>
      <c r="HUJ18" s="72"/>
      <c r="HUK18" s="72"/>
      <c r="HUL18" s="72"/>
      <c r="HUM18" s="72"/>
      <c r="HUN18" s="72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72"/>
      <c r="HVG18" s="72"/>
      <c r="HVH18" s="72"/>
      <c r="HVI18" s="72"/>
      <c r="HVJ18" s="72"/>
      <c r="HVK18" s="72"/>
      <c r="HVL18" s="72"/>
      <c r="HVM18" s="72"/>
      <c r="HVN18" s="72"/>
      <c r="HVO18" s="72"/>
      <c r="HVP18" s="72"/>
      <c r="HVQ18" s="72"/>
      <c r="HVR18" s="72"/>
      <c r="HVS18" s="72"/>
      <c r="HVT18" s="72"/>
      <c r="HVU18" s="72"/>
      <c r="HVV18" s="72"/>
      <c r="HVW18" s="72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72"/>
      <c r="HWP18" s="72"/>
      <c r="HWQ18" s="72"/>
      <c r="HWR18" s="72"/>
      <c r="HWS18" s="72"/>
      <c r="HWT18" s="72"/>
      <c r="HWU18" s="72"/>
      <c r="HWV18" s="72"/>
      <c r="HWW18" s="72"/>
      <c r="HWX18" s="72"/>
      <c r="HWY18" s="72"/>
      <c r="HWZ18" s="72"/>
      <c r="HXA18" s="72"/>
      <c r="HXB18" s="72"/>
      <c r="HXC18" s="72"/>
      <c r="HXD18" s="72"/>
      <c r="HXE18" s="72"/>
      <c r="HXF18" s="72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72"/>
      <c r="HXY18" s="72"/>
      <c r="HXZ18" s="72"/>
      <c r="HYA18" s="72"/>
      <c r="HYB18" s="72"/>
      <c r="HYC18" s="72"/>
      <c r="HYD18" s="72"/>
      <c r="HYE18" s="72"/>
      <c r="HYF18" s="72"/>
      <c r="HYG18" s="72"/>
      <c r="HYH18" s="72"/>
      <c r="HYI18" s="72"/>
      <c r="HYJ18" s="72"/>
      <c r="HYK18" s="72"/>
      <c r="HYL18" s="72"/>
      <c r="HYM18" s="72"/>
      <c r="HYN18" s="72"/>
      <c r="HYO18" s="72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72"/>
      <c r="HZH18" s="72"/>
      <c r="HZI18" s="72"/>
      <c r="HZJ18" s="72"/>
      <c r="HZK18" s="72"/>
      <c r="HZL18" s="72"/>
      <c r="HZM18" s="72"/>
      <c r="HZN18" s="72"/>
      <c r="HZO18" s="72"/>
      <c r="HZP18" s="72"/>
      <c r="HZQ18" s="72"/>
      <c r="HZR18" s="72"/>
      <c r="HZS18" s="72"/>
      <c r="HZT18" s="72"/>
      <c r="HZU18" s="72"/>
      <c r="HZV18" s="72"/>
      <c r="HZW18" s="72"/>
      <c r="HZX18" s="72"/>
      <c r="HZY18" s="72"/>
      <c r="HZZ18" s="72"/>
      <c r="IAA18" s="72"/>
      <c r="IAB18" s="72"/>
      <c r="IAC18" s="72"/>
      <c r="IAD18" s="72"/>
      <c r="IAE18" s="72"/>
      <c r="IAF18" s="72"/>
      <c r="IAG18" s="72"/>
      <c r="IAH18" s="72"/>
      <c r="IAI18" s="72"/>
      <c r="IAJ18" s="72"/>
      <c r="IAK18" s="72"/>
      <c r="IAL18" s="72"/>
      <c r="IAM18" s="72"/>
      <c r="IAN18" s="72"/>
      <c r="IAO18" s="72"/>
      <c r="IAP18" s="72"/>
      <c r="IAQ18" s="72"/>
      <c r="IAR18" s="72"/>
      <c r="IAS18" s="72"/>
      <c r="IAT18" s="72"/>
      <c r="IAU18" s="72"/>
      <c r="IAV18" s="72"/>
      <c r="IAW18" s="72"/>
      <c r="IAX18" s="72"/>
      <c r="IAY18" s="72"/>
      <c r="IAZ18" s="72"/>
      <c r="IBA18" s="72"/>
      <c r="IBB18" s="72"/>
      <c r="IBC18" s="72"/>
      <c r="IBD18" s="72"/>
      <c r="IBE18" s="72"/>
      <c r="IBF18" s="72"/>
      <c r="IBG18" s="72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72"/>
      <c r="IBZ18" s="72"/>
      <c r="ICA18" s="72"/>
      <c r="ICB18" s="72"/>
      <c r="ICC18" s="72"/>
      <c r="ICD18" s="72"/>
      <c r="ICE18" s="72"/>
      <c r="ICF18" s="72"/>
      <c r="ICG18" s="72"/>
      <c r="ICH18" s="72"/>
      <c r="ICI18" s="72"/>
      <c r="ICJ18" s="72"/>
      <c r="ICK18" s="72"/>
      <c r="ICL18" s="72"/>
      <c r="ICM18" s="72"/>
      <c r="ICN18" s="72"/>
      <c r="ICO18" s="72"/>
      <c r="ICP18" s="72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72"/>
      <c r="IDI18" s="72"/>
      <c r="IDJ18" s="72"/>
      <c r="IDK18" s="72"/>
      <c r="IDL18" s="72"/>
      <c r="IDM18" s="72"/>
      <c r="IDN18" s="72"/>
      <c r="IDO18" s="72"/>
      <c r="IDP18" s="72"/>
      <c r="IDQ18" s="72"/>
      <c r="IDR18" s="72"/>
      <c r="IDS18" s="72"/>
      <c r="IDT18" s="72"/>
      <c r="IDU18" s="72"/>
      <c r="IDV18" s="72"/>
      <c r="IDW18" s="72"/>
      <c r="IDX18" s="72"/>
      <c r="IDY18" s="72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72"/>
      <c r="IER18" s="72"/>
      <c r="IES18" s="72"/>
      <c r="IET18" s="72"/>
      <c r="IEU18" s="72"/>
      <c r="IEV18" s="72"/>
      <c r="IEW18" s="72"/>
      <c r="IEX18" s="72"/>
      <c r="IEY18" s="72"/>
      <c r="IEZ18" s="72"/>
      <c r="IFA18" s="72"/>
      <c r="IFB18" s="72"/>
      <c r="IFC18" s="72"/>
      <c r="IFD18" s="72"/>
      <c r="IFE18" s="72"/>
      <c r="IFF18" s="72"/>
      <c r="IFG18" s="72"/>
      <c r="IFH18" s="72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72"/>
      <c r="IGA18" s="72"/>
      <c r="IGB18" s="72"/>
      <c r="IGC18" s="72"/>
      <c r="IGD18" s="72"/>
      <c r="IGE18" s="72"/>
      <c r="IGF18" s="72"/>
      <c r="IGG18" s="72"/>
      <c r="IGH18" s="72"/>
      <c r="IGI18" s="72"/>
      <c r="IGJ18" s="72"/>
      <c r="IGK18" s="72"/>
      <c r="IGL18" s="72"/>
      <c r="IGM18" s="72"/>
      <c r="IGN18" s="72"/>
      <c r="IGO18" s="72"/>
      <c r="IGP18" s="72"/>
      <c r="IGQ18" s="72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72"/>
      <c r="IHJ18" s="72"/>
      <c r="IHK18" s="72"/>
      <c r="IHL18" s="72"/>
      <c r="IHM18" s="72"/>
      <c r="IHN18" s="72"/>
      <c r="IHO18" s="72"/>
      <c r="IHP18" s="72"/>
      <c r="IHQ18" s="72"/>
      <c r="IHR18" s="72"/>
      <c r="IHS18" s="72"/>
      <c r="IHT18" s="72"/>
      <c r="IHU18" s="72"/>
      <c r="IHV18" s="72"/>
      <c r="IHW18" s="72"/>
      <c r="IHX18" s="72"/>
      <c r="IHY18" s="72"/>
      <c r="IHZ18" s="72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72"/>
      <c r="IIS18" s="72"/>
      <c r="IIT18" s="72"/>
      <c r="IIU18" s="72"/>
      <c r="IIV18" s="72"/>
      <c r="IIW18" s="72"/>
      <c r="IIX18" s="72"/>
      <c r="IIY18" s="72"/>
      <c r="IIZ18" s="72"/>
      <c r="IJA18" s="72"/>
      <c r="IJB18" s="72"/>
      <c r="IJC18" s="72"/>
      <c r="IJD18" s="72"/>
      <c r="IJE18" s="72"/>
      <c r="IJF18" s="72"/>
      <c r="IJG18" s="72"/>
      <c r="IJH18" s="72"/>
      <c r="IJI18" s="72"/>
      <c r="IJJ18" s="72"/>
      <c r="IJK18" s="72"/>
      <c r="IJL18" s="72"/>
      <c r="IJM18" s="72"/>
      <c r="IJN18" s="72"/>
      <c r="IJO18" s="72"/>
      <c r="IJP18" s="72"/>
      <c r="IJQ18" s="72"/>
      <c r="IJR18" s="72"/>
      <c r="IJS18" s="72"/>
      <c r="IJT18" s="72"/>
      <c r="IJU18" s="72"/>
      <c r="IJV18" s="72"/>
      <c r="IJW18" s="72"/>
      <c r="IJX18" s="72"/>
      <c r="IJY18" s="72"/>
      <c r="IJZ18" s="72"/>
      <c r="IKA18" s="72"/>
      <c r="IKB18" s="72"/>
      <c r="IKC18" s="72"/>
      <c r="IKD18" s="72"/>
      <c r="IKE18" s="72"/>
      <c r="IKF18" s="72"/>
      <c r="IKG18" s="72"/>
      <c r="IKH18" s="72"/>
      <c r="IKI18" s="72"/>
      <c r="IKJ18" s="72"/>
      <c r="IKK18" s="72"/>
      <c r="IKL18" s="72"/>
      <c r="IKM18" s="72"/>
      <c r="IKN18" s="72"/>
      <c r="IKO18" s="72"/>
      <c r="IKP18" s="72"/>
      <c r="IKQ18" s="72"/>
      <c r="IKR18" s="72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72"/>
      <c r="ILK18" s="72"/>
      <c r="ILL18" s="72"/>
      <c r="ILM18" s="72"/>
      <c r="ILN18" s="72"/>
      <c r="ILO18" s="72"/>
      <c r="ILP18" s="72"/>
      <c r="ILQ18" s="72"/>
      <c r="ILR18" s="72"/>
      <c r="ILS18" s="72"/>
      <c r="ILT18" s="72"/>
      <c r="ILU18" s="72"/>
      <c r="ILV18" s="72"/>
      <c r="ILW18" s="72"/>
      <c r="ILX18" s="72"/>
      <c r="ILY18" s="72"/>
      <c r="ILZ18" s="72"/>
      <c r="IMA18" s="72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72"/>
      <c r="IMT18" s="72"/>
      <c r="IMU18" s="72"/>
      <c r="IMV18" s="72"/>
      <c r="IMW18" s="72"/>
      <c r="IMX18" s="72"/>
      <c r="IMY18" s="72"/>
      <c r="IMZ18" s="72"/>
      <c r="INA18" s="72"/>
      <c r="INB18" s="72"/>
      <c r="INC18" s="72"/>
      <c r="IND18" s="72"/>
      <c r="INE18" s="72"/>
      <c r="INF18" s="72"/>
      <c r="ING18" s="72"/>
      <c r="INH18" s="72"/>
      <c r="INI18" s="72"/>
      <c r="INJ18" s="72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72"/>
      <c r="IOC18" s="72"/>
      <c r="IOD18" s="72"/>
      <c r="IOE18" s="72"/>
      <c r="IOF18" s="72"/>
      <c r="IOG18" s="72"/>
      <c r="IOH18" s="72"/>
      <c r="IOI18" s="72"/>
      <c r="IOJ18" s="72"/>
      <c r="IOK18" s="72"/>
      <c r="IOL18" s="72"/>
      <c r="IOM18" s="72"/>
      <c r="ION18" s="72"/>
      <c r="IOO18" s="72"/>
      <c r="IOP18" s="72"/>
      <c r="IOQ18" s="72"/>
      <c r="IOR18" s="72"/>
      <c r="IOS18" s="72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72"/>
      <c r="IPL18" s="72"/>
      <c r="IPM18" s="72"/>
      <c r="IPN18" s="72"/>
      <c r="IPO18" s="72"/>
      <c r="IPP18" s="72"/>
      <c r="IPQ18" s="72"/>
      <c r="IPR18" s="72"/>
      <c r="IPS18" s="72"/>
      <c r="IPT18" s="72"/>
      <c r="IPU18" s="72"/>
      <c r="IPV18" s="72"/>
      <c r="IPW18" s="72"/>
      <c r="IPX18" s="72"/>
      <c r="IPY18" s="72"/>
      <c r="IPZ18" s="72"/>
      <c r="IQA18" s="72"/>
      <c r="IQB18" s="72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72"/>
      <c r="IQU18" s="72"/>
      <c r="IQV18" s="72"/>
      <c r="IQW18" s="72"/>
      <c r="IQX18" s="72"/>
      <c r="IQY18" s="72"/>
      <c r="IQZ18" s="72"/>
      <c r="IRA18" s="72"/>
      <c r="IRB18" s="72"/>
      <c r="IRC18" s="72"/>
      <c r="IRD18" s="72"/>
      <c r="IRE18" s="72"/>
      <c r="IRF18" s="72"/>
      <c r="IRG18" s="72"/>
      <c r="IRH18" s="72"/>
      <c r="IRI18" s="72"/>
      <c r="IRJ18" s="72"/>
      <c r="IRK18" s="72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72"/>
      <c r="ISD18" s="72"/>
      <c r="ISE18" s="72"/>
      <c r="ISF18" s="72"/>
      <c r="ISG18" s="72"/>
      <c r="ISH18" s="72"/>
      <c r="ISI18" s="72"/>
      <c r="ISJ18" s="72"/>
      <c r="ISK18" s="72"/>
      <c r="ISL18" s="72"/>
      <c r="ISM18" s="72"/>
      <c r="ISN18" s="72"/>
      <c r="ISO18" s="72"/>
      <c r="ISP18" s="72"/>
      <c r="ISQ18" s="72"/>
      <c r="ISR18" s="72"/>
      <c r="ISS18" s="72"/>
      <c r="IST18" s="72"/>
      <c r="ISU18" s="72"/>
      <c r="ISV18" s="72"/>
      <c r="ISW18" s="72"/>
      <c r="ISX18" s="72"/>
      <c r="ISY18" s="72"/>
      <c r="ISZ18" s="72"/>
      <c r="ITA18" s="72"/>
      <c r="ITB18" s="72"/>
      <c r="ITC18" s="72"/>
      <c r="ITD18" s="72"/>
      <c r="ITE18" s="72"/>
      <c r="ITF18" s="72"/>
      <c r="ITG18" s="72"/>
      <c r="ITH18" s="72"/>
      <c r="ITI18" s="72"/>
      <c r="ITJ18" s="72"/>
      <c r="ITK18" s="72"/>
      <c r="ITL18" s="72"/>
      <c r="ITM18" s="72"/>
      <c r="ITN18" s="72"/>
      <c r="ITO18" s="72"/>
      <c r="ITP18" s="72"/>
      <c r="ITQ18" s="72"/>
      <c r="ITR18" s="72"/>
      <c r="ITS18" s="72"/>
      <c r="ITT18" s="72"/>
      <c r="ITU18" s="72"/>
      <c r="ITV18" s="72"/>
      <c r="ITW18" s="72"/>
      <c r="ITX18" s="72"/>
      <c r="ITY18" s="72"/>
      <c r="ITZ18" s="72"/>
      <c r="IUA18" s="72"/>
      <c r="IUB18" s="72"/>
      <c r="IUC18" s="72"/>
      <c r="IUD18" s="72"/>
      <c r="IUE18" s="72"/>
      <c r="IUF18" s="72"/>
      <c r="IUG18" s="72"/>
      <c r="IUH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72"/>
      <c r="IUV18" s="72"/>
      <c r="IUW18" s="72"/>
      <c r="IUX18" s="72"/>
      <c r="IUY18" s="72"/>
      <c r="IUZ18" s="72"/>
      <c r="IVA18" s="72"/>
      <c r="IVB18" s="72"/>
      <c r="IVC18" s="72"/>
      <c r="IVD18" s="72"/>
      <c r="IVE18" s="72"/>
      <c r="IVF18" s="72"/>
      <c r="IVG18" s="72"/>
      <c r="IVH18" s="72"/>
      <c r="IVI18" s="72"/>
      <c r="IVJ18" s="72"/>
      <c r="IVK18" s="72"/>
      <c r="IVL18" s="72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72"/>
      <c r="IWE18" s="72"/>
      <c r="IWF18" s="72"/>
      <c r="IWG18" s="72"/>
      <c r="IWH18" s="72"/>
      <c r="IWI18" s="72"/>
      <c r="IWJ18" s="72"/>
      <c r="IWK18" s="72"/>
      <c r="IWL18" s="72"/>
      <c r="IWM18" s="72"/>
      <c r="IWN18" s="72"/>
      <c r="IWO18" s="72"/>
      <c r="IWP18" s="72"/>
      <c r="IWQ18" s="72"/>
      <c r="IWR18" s="72"/>
      <c r="IWS18" s="72"/>
      <c r="IWT18" s="72"/>
      <c r="IWU18" s="72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72"/>
      <c r="IXN18" s="72"/>
      <c r="IXO18" s="72"/>
      <c r="IXP18" s="72"/>
      <c r="IXQ18" s="72"/>
      <c r="IXR18" s="72"/>
      <c r="IXS18" s="72"/>
      <c r="IXT18" s="72"/>
      <c r="IXU18" s="72"/>
      <c r="IXV18" s="72"/>
      <c r="IXW18" s="72"/>
      <c r="IXX18" s="72"/>
      <c r="IXY18" s="72"/>
      <c r="IXZ18" s="72"/>
      <c r="IYA18" s="72"/>
      <c r="IYB18" s="72"/>
      <c r="IYC18" s="72"/>
      <c r="IYD18" s="72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72"/>
      <c r="IYW18" s="72"/>
      <c r="IYX18" s="72"/>
      <c r="IYY18" s="72"/>
      <c r="IYZ18" s="72"/>
      <c r="IZA18" s="72"/>
      <c r="IZB18" s="72"/>
      <c r="IZC18" s="72"/>
      <c r="IZD18" s="72"/>
      <c r="IZE18" s="72"/>
      <c r="IZF18" s="72"/>
      <c r="IZG18" s="72"/>
      <c r="IZH18" s="72"/>
      <c r="IZI18" s="72"/>
      <c r="IZJ18" s="72"/>
      <c r="IZK18" s="72"/>
      <c r="IZL18" s="72"/>
      <c r="IZM18" s="72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72"/>
      <c r="JAF18" s="72"/>
      <c r="JAG18" s="72"/>
      <c r="JAH18" s="72"/>
      <c r="JAI18" s="72"/>
      <c r="JAJ18" s="72"/>
      <c r="JAK18" s="72"/>
      <c r="JAL18" s="72"/>
      <c r="JAM18" s="72"/>
      <c r="JAN18" s="72"/>
      <c r="JAO18" s="72"/>
      <c r="JAP18" s="72"/>
      <c r="JAQ18" s="72"/>
      <c r="JAR18" s="72"/>
      <c r="JAS18" s="72"/>
      <c r="JAT18" s="72"/>
      <c r="JAU18" s="72"/>
      <c r="JAV18" s="72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72"/>
      <c r="JBO18" s="72"/>
      <c r="JBP18" s="72"/>
      <c r="JBQ18" s="72"/>
      <c r="JBR18" s="72"/>
      <c r="JBS18" s="72"/>
      <c r="JBT18" s="72"/>
      <c r="JBU18" s="72"/>
      <c r="JBV18" s="72"/>
      <c r="JBW18" s="72"/>
      <c r="JBX18" s="72"/>
      <c r="JBY18" s="72"/>
      <c r="JBZ18" s="72"/>
      <c r="JCA18" s="72"/>
      <c r="JCB18" s="72"/>
      <c r="JCC18" s="72"/>
      <c r="JCD18" s="72"/>
      <c r="JCE18" s="72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72"/>
      <c r="JCX18" s="72"/>
      <c r="JCY18" s="72"/>
      <c r="JCZ18" s="72"/>
      <c r="JDA18" s="72"/>
      <c r="JDB18" s="72"/>
      <c r="JDC18" s="72"/>
      <c r="JDD18" s="72"/>
      <c r="JDE18" s="72"/>
      <c r="JDF18" s="72"/>
      <c r="JDG18" s="72"/>
      <c r="JDH18" s="72"/>
      <c r="JDI18" s="72"/>
      <c r="JDJ18" s="72"/>
      <c r="JDK18" s="72"/>
      <c r="JDL18" s="72"/>
      <c r="JDM18" s="72"/>
      <c r="JDN18" s="72"/>
      <c r="JDO18" s="72"/>
      <c r="JDP18" s="72"/>
      <c r="JDQ18" s="72"/>
      <c r="JDR18" s="72"/>
      <c r="JDS18" s="72"/>
      <c r="JDT18" s="72"/>
      <c r="JDU18" s="72"/>
      <c r="JDV18" s="72"/>
      <c r="JDW18" s="72"/>
      <c r="JDX18" s="72"/>
      <c r="JDY18" s="72"/>
      <c r="JDZ18" s="72"/>
      <c r="JEA18" s="72"/>
      <c r="JEB18" s="72"/>
      <c r="JEC18" s="72"/>
      <c r="JED18" s="72"/>
      <c r="JEE18" s="72"/>
      <c r="JEF18" s="72"/>
      <c r="JEG18" s="72"/>
      <c r="JEH18" s="72"/>
      <c r="JEI18" s="72"/>
      <c r="JEJ18" s="72"/>
      <c r="JEK18" s="72"/>
      <c r="JEL18" s="72"/>
      <c r="JEM18" s="72"/>
      <c r="JEN18" s="72"/>
      <c r="JEO18" s="72"/>
      <c r="JEP18" s="72"/>
      <c r="JEQ18" s="72"/>
      <c r="JER18" s="72"/>
      <c r="JES18" s="72"/>
      <c r="JET18" s="72"/>
      <c r="JEU18" s="72"/>
      <c r="JEV18" s="72"/>
      <c r="JEW18" s="72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72"/>
      <c r="JFP18" s="72"/>
      <c r="JFQ18" s="72"/>
      <c r="JFR18" s="72"/>
      <c r="JFS18" s="72"/>
      <c r="JFT18" s="72"/>
      <c r="JFU18" s="72"/>
      <c r="JFV18" s="72"/>
      <c r="JFW18" s="72"/>
      <c r="JFX18" s="72"/>
      <c r="JFY18" s="72"/>
      <c r="JFZ18" s="72"/>
      <c r="JGA18" s="72"/>
      <c r="JGB18" s="72"/>
      <c r="JGC18" s="72"/>
      <c r="JGD18" s="72"/>
      <c r="JGE18" s="72"/>
      <c r="JGF18" s="72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72"/>
      <c r="JGY18" s="72"/>
      <c r="JGZ18" s="72"/>
      <c r="JHA18" s="72"/>
      <c r="JHB18" s="72"/>
      <c r="JHC18" s="72"/>
      <c r="JHD18" s="72"/>
      <c r="JHE18" s="72"/>
      <c r="JHF18" s="72"/>
      <c r="JHG18" s="72"/>
      <c r="JHH18" s="72"/>
      <c r="JHI18" s="72"/>
      <c r="JHJ18" s="72"/>
      <c r="JHK18" s="72"/>
      <c r="JHL18" s="72"/>
      <c r="JHM18" s="72"/>
      <c r="JHN18" s="72"/>
      <c r="JHO18" s="72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72"/>
      <c r="JIH18" s="72"/>
      <c r="JII18" s="72"/>
      <c r="JIJ18" s="72"/>
      <c r="JIK18" s="72"/>
      <c r="JIL18" s="72"/>
      <c r="JIM18" s="72"/>
      <c r="JIN18" s="72"/>
      <c r="JIO18" s="72"/>
      <c r="JIP18" s="72"/>
      <c r="JIQ18" s="72"/>
      <c r="JIR18" s="72"/>
      <c r="JIS18" s="72"/>
      <c r="JIT18" s="72"/>
      <c r="JIU18" s="72"/>
      <c r="JIV18" s="72"/>
      <c r="JIW18" s="72"/>
      <c r="JIX18" s="72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72"/>
      <c r="JJQ18" s="72"/>
      <c r="JJR18" s="72"/>
      <c r="JJS18" s="72"/>
      <c r="JJT18" s="72"/>
      <c r="JJU18" s="72"/>
      <c r="JJV18" s="72"/>
      <c r="JJW18" s="72"/>
      <c r="JJX18" s="72"/>
      <c r="JJY18" s="72"/>
      <c r="JJZ18" s="72"/>
      <c r="JKA18" s="72"/>
      <c r="JKB18" s="72"/>
      <c r="JKC18" s="72"/>
      <c r="JKD18" s="72"/>
      <c r="JKE18" s="72"/>
      <c r="JKF18" s="72"/>
      <c r="JKG18" s="72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72"/>
      <c r="JKZ18" s="72"/>
      <c r="JLA18" s="72"/>
      <c r="JLB18" s="72"/>
      <c r="JLC18" s="72"/>
      <c r="JLD18" s="72"/>
      <c r="JLE18" s="72"/>
      <c r="JLF18" s="72"/>
      <c r="JLG18" s="72"/>
      <c r="JLH18" s="72"/>
      <c r="JLI18" s="72"/>
      <c r="JLJ18" s="72"/>
      <c r="JLK18" s="72"/>
      <c r="JLL18" s="72"/>
      <c r="JLM18" s="72"/>
      <c r="JLN18" s="72"/>
      <c r="JLO18" s="72"/>
      <c r="JLP18" s="72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72"/>
      <c r="JMI18" s="72"/>
      <c r="JMJ18" s="72"/>
      <c r="JMK18" s="72"/>
      <c r="JML18" s="72"/>
      <c r="JMM18" s="72"/>
      <c r="JMN18" s="72"/>
      <c r="JMO18" s="72"/>
      <c r="JMP18" s="72"/>
      <c r="JMQ18" s="72"/>
      <c r="JMR18" s="72"/>
      <c r="JMS18" s="72"/>
      <c r="JMT18" s="72"/>
      <c r="JMU18" s="72"/>
      <c r="JMV18" s="72"/>
      <c r="JMW18" s="72"/>
      <c r="JMX18" s="72"/>
      <c r="JMY18" s="72"/>
      <c r="JMZ18" s="72"/>
      <c r="JNA18" s="72"/>
      <c r="JNB18" s="72"/>
      <c r="JNC18" s="72"/>
      <c r="JND18" s="72"/>
      <c r="JNE18" s="72"/>
      <c r="JNF18" s="72"/>
      <c r="JNG18" s="72"/>
      <c r="JNH18" s="72"/>
      <c r="JNI18" s="72"/>
      <c r="JNJ18" s="72"/>
      <c r="JNK18" s="72"/>
      <c r="JNL18" s="72"/>
      <c r="JNM18" s="72"/>
      <c r="JNN18" s="72"/>
      <c r="JNO18" s="72"/>
      <c r="JNP18" s="72"/>
      <c r="JNQ18" s="72"/>
      <c r="JNR18" s="72"/>
      <c r="JNS18" s="72"/>
      <c r="JNT18" s="72"/>
      <c r="JNU18" s="72"/>
      <c r="JNV18" s="72"/>
      <c r="JNW18" s="72"/>
      <c r="JNX18" s="72"/>
      <c r="JNY18" s="72"/>
      <c r="JNZ18" s="72"/>
      <c r="JOA18" s="72"/>
      <c r="JOB18" s="72"/>
      <c r="JOC18" s="72"/>
      <c r="JOD18" s="72"/>
      <c r="JOE18" s="72"/>
      <c r="JOF18" s="72"/>
      <c r="JOG18" s="72"/>
      <c r="JOH18" s="72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72"/>
      <c r="JPA18" s="72"/>
      <c r="JPB18" s="72"/>
      <c r="JPC18" s="72"/>
      <c r="JPD18" s="72"/>
      <c r="JPE18" s="72"/>
      <c r="JPF18" s="72"/>
      <c r="JPG18" s="72"/>
      <c r="JPH18" s="72"/>
      <c r="JPI18" s="72"/>
      <c r="JPJ18" s="72"/>
      <c r="JPK18" s="72"/>
      <c r="JPL18" s="72"/>
      <c r="JPM18" s="72"/>
      <c r="JPN18" s="72"/>
      <c r="JPO18" s="72"/>
      <c r="JPP18" s="72"/>
      <c r="JPQ18" s="72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72"/>
      <c r="JQJ18" s="72"/>
      <c r="JQK18" s="72"/>
      <c r="JQL18" s="72"/>
      <c r="JQM18" s="72"/>
      <c r="JQN18" s="72"/>
      <c r="JQO18" s="72"/>
      <c r="JQP18" s="72"/>
      <c r="JQQ18" s="72"/>
      <c r="JQR18" s="72"/>
      <c r="JQS18" s="72"/>
      <c r="JQT18" s="72"/>
      <c r="JQU18" s="72"/>
      <c r="JQV18" s="72"/>
      <c r="JQW18" s="72"/>
      <c r="JQX18" s="72"/>
      <c r="JQY18" s="72"/>
      <c r="JQZ18" s="72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72"/>
      <c r="JRS18" s="72"/>
      <c r="JRT18" s="72"/>
      <c r="JRU18" s="72"/>
      <c r="JRV18" s="72"/>
      <c r="JRW18" s="72"/>
      <c r="JRX18" s="72"/>
      <c r="JRY18" s="72"/>
      <c r="JRZ18" s="72"/>
      <c r="JSA18" s="72"/>
      <c r="JSB18" s="72"/>
      <c r="JSC18" s="72"/>
      <c r="JSD18" s="72"/>
      <c r="JSE18" s="72"/>
      <c r="JSF18" s="72"/>
      <c r="JSG18" s="72"/>
      <c r="JSH18" s="72"/>
      <c r="JSI18" s="72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72"/>
      <c r="JTB18" s="72"/>
      <c r="JTC18" s="72"/>
      <c r="JTD18" s="72"/>
      <c r="JTE18" s="72"/>
      <c r="JTF18" s="72"/>
      <c r="JTG18" s="72"/>
      <c r="JTH18" s="72"/>
      <c r="JTI18" s="72"/>
      <c r="JTJ18" s="72"/>
      <c r="JTK18" s="72"/>
      <c r="JTL18" s="72"/>
      <c r="JTM18" s="72"/>
      <c r="JTN18" s="72"/>
      <c r="JTO18" s="72"/>
      <c r="JTP18" s="72"/>
      <c r="JTQ18" s="72"/>
      <c r="JTR18" s="72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72"/>
      <c r="JUK18" s="72"/>
      <c r="JUL18" s="72"/>
      <c r="JUM18" s="72"/>
      <c r="JUN18" s="72"/>
      <c r="JUO18" s="72"/>
      <c r="JUP18" s="72"/>
      <c r="JUQ18" s="72"/>
      <c r="JUR18" s="72"/>
      <c r="JUS18" s="72"/>
      <c r="JUT18" s="72"/>
      <c r="JUU18" s="72"/>
      <c r="JUV18" s="72"/>
      <c r="JUW18" s="72"/>
      <c r="JUX18" s="72"/>
      <c r="JUY18" s="72"/>
      <c r="JUZ18" s="72"/>
      <c r="JVA18" s="72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72"/>
      <c r="JVT18" s="72"/>
      <c r="JVU18" s="72"/>
      <c r="JVV18" s="72"/>
      <c r="JVW18" s="72"/>
      <c r="JVX18" s="72"/>
      <c r="JVY18" s="72"/>
      <c r="JVZ18" s="72"/>
      <c r="JWA18" s="72"/>
      <c r="JWB18" s="72"/>
      <c r="JWC18" s="72"/>
      <c r="JWD18" s="72"/>
      <c r="JWE18" s="72"/>
      <c r="JWF18" s="72"/>
      <c r="JWG18" s="72"/>
      <c r="JWH18" s="72"/>
      <c r="JWI18" s="72"/>
      <c r="JWJ18" s="72"/>
      <c r="JWK18" s="72"/>
      <c r="JWL18" s="72"/>
      <c r="JWM18" s="72"/>
      <c r="JWN18" s="72"/>
      <c r="JWO18" s="72"/>
      <c r="JWP18" s="72"/>
      <c r="JWQ18" s="72"/>
      <c r="JWR18" s="72"/>
      <c r="JWS18" s="72"/>
      <c r="JWT18" s="72"/>
      <c r="JWU18" s="72"/>
      <c r="JWV18" s="72"/>
      <c r="JWW18" s="72"/>
      <c r="JWX18" s="72"/>
      <c r="JWY18" s="72"/>
      <c r="JWZ18" s="72"/>
      <c r="JXA18" s="72"/>
      <c r="JXB18" s="72"/>
      <c r="JXC18" s="72"/>
      <c r="JXD18" s="72"/>
      <c r="JXE18" s="72"/>
      <c r="JXF18" s="72"/>
      <c r="JXG18" s="72"/>
      <c r="JXH18" s="72"/>
      <c r="JXI18" s="72"/>
      <c r="JXJ18" s="72"/>
      <c r="JXK18" s="72"/>
      <c r="JXL18" s="72"/>
      <c r="JXM18" s="72"/>
      <c r="JXN18" s="72"/>
      <c r="JXO18" s="72"/>
      <c r="JXP18" s="72"/>
      <c r="JXQ18" s="72"/>
      <c r="JXR18" s="72"/>
      <c r="JXS18" s="72"/>
      <c r="JXT18" s="72"/>
      <c r="JXU18" s="72"/>
      <c r="JXV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72"/>
      <c r="JYL18" s="72"/>
      <c r="JYM18" s="72"/>
      <c r="JYN18" s="72"/>
      <c r="JYO18" s="72"/>
      <c r="JYP18" s="72"/>
      <c r="JYQ18" s="72"/>
      <c r="JYR18" s="72"/>
      <c r="JYS18" s="72"/>
      <c r="JYT18" s="72"/>
      <c r="JYU18" s="72"/>
      <c r="JYV18" s="72"/>
      <c r="JYW18" s="72"/>
      <c r="JYX18" s="72"/>
      <c r="JYY18" s="72"/>
      <c r="JYZ18" s="72"/>
      <c r="JZA18" s="72"/>
      <c r="JZB18" s="72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72"/>
      <c r="JZU18" s="72"/>
      <c r="JZV18" s="72"/>
      <c r="JZW18" s="72"/>
      <c r="JZX18" s="72"/>
      <c r="JZY18" s="72"/>
      <c r="JZZ18" s="72"/>
      <c r="KAA18" s="72"/>
      <c r="KAB18" s="72"/>
      <c r="KAC18" s="72"/>
      <c r="KAD18" s="72"/>
      <c r="KAE18" s="72"/>
      <c r="KAF18" s="72"/>
      <c r="KAG18" s="72"/>
      <c r="KAH18" s="72"/>
      <c r="KAI18" s="72"/>
      <c r="KAJ18" s="72"/>
      <c r="KAK18" s="72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72"/>
      <c r="KBD18" s="72"/>
      <c r="KBE18" s="72"/>
      <c r="KBF18" s="72"/>
      <c r="KBG18" s="72"/>
      <c r="KBH18" s="72"/>
      <c r="KBI18" s="72"/>
      <c r="KBJ18" s="72"/>
      <c r="KBK18" s="72"/>
      <c r="KBL18" s="72"/>
      <c r="KBM18" s="72"/>
      <c r="KBN18" s="72"/>
      <c r="KBO18" s="72"/>
      <c r="KBP18" s="72"/>
      <c r="KBQ18" s="72"/>
      <c r="KBR18" s="72"/>
      <c r="KBS18" s="72"/>
      <c r="KBT18" s="72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72"/>
      <c r="KCM18" s="72"/>
      <c r="KCN18" s="72"/>
      <c r="KCO18" s="72"/>
      <c r="KCP18" s="72"/>
      <c r="KCQ18" s="72"/>
      <c r="KCR18" s="72"/>
      <c r="KCS18" s="72"/>
      <c r="KCT18" s="72"/>
      <c r="KCU18" s="72"/>
      <c r="KCV18" s="72"/>
      <c r="KCW18" s="72"/>
      <c r="KCX18" s="72"/>
      <c r="KCY18" s="72"/>
      <c r="KCZ18" s="72"/>
      <c r="KDA18" s="72"/>
      <c r="KDB18" s="72"/>
      <c r="KDC18" s="72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72"/>
      <c r="KDV18" s="72"/>
      <c r="KDW18" s="72"/>
      <c r="KDX18" s="72"/>
      <c r="KDY18" s="72"/>
      <c r="KDZ18" s="72"/>
      <c r="KEA18" s="72"/>
      <c r="KEB18" s="72"/>
      <c r="KEC18" s="72"/>
      <c r="KED18" s="72"/>
      <c r="KEE18" s="72"/>
      <c r="KEF18" s="72"/>
      <c r="KEG18" s="72"/>
      <c r="KEH18" s="72"/>
      <c r="KEI18" s="72"/>
      <c r="KEJ18" s="72"/>
      <c r="KEK18" s="72"/>
      <c r="KEL18" s="72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72"/>
      <c r="KFE18" s="72"/>
      <c r="KFF18" s="72"/>
      <c r="KFG18" s="72"/>
      <c r="KFH18" s="72"/>
      <c r="KFI18" s="72"/>
      <c r="KFJ18" s="72"/>
      <c r="KFK18" s="72"/>
      <c r="KFL18" s="72"/>
      <c r="KFM18" s="72"/>
      <c r="KFN18" s="72"/>
      <c r="KFO18" s="72"/>
      <c r="KFP18" s="72"/>
      <c r="KFQ18" s="72"/>
      <c r="KFR18" s="72"/>
      <c r="KFS18" s="72"/>
      <c r="KFT18" s="72"/>
      <c r="KFU18" s="72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M18" s="72"/>
      <c r="KGN18" s="72"/>
      <c r="KGO18" s="72"/>
      <c r="KGP18" s="72"/>
      <c r="KGQ18" s="72"/>
      <c r="KGR18" s="72"/>
      <c r="KGS18" s="72"/>
      <c r="KGT18" s="72"/>
      <c r="KGU18" s="72"/>
      <c r="KGV18" s="72"/>
      <c r="KGW18" s="72"/>
      <c r="KGX18" s="72"/>
      <c r="KGY18" s="72"/>
      <c r="KGZ18" s="72"/>
      <c r="KHA18" s="72"/>
      <c r="KHB18" s="72"/>
      <c r="KHC18" s="72"/>
      <c r="KHD18" s="72"/>
      <c r="KHE18" s="72"/>
      <c r="KHF18" s="72"/>
      <c r="KHG18" s="72"/>
      <c r="KHH18" s="72"/>
      <c r="KHI18" s="72"/>
      <c r="KHJ18" s="72"/>
      <c r="KHK18" s="72"/>
      <c r="KHL18" s="72"/>
      <c r="KHM18" s="72"/>
      <c r="KHN18" s="72"/>
      <c r="KHO18" s="72"/>
      <c r="KHP18" s="72"/>
      <c r="KHQ18" s="72"/>
      <c r="KHR18" s="72"/>
      <c r="KHS18" s="72"/>
      <c r="KHT18" s="72"/>
      <c r="KHU18" s="72"/>
      <c r="KHV18" s="72"/>
      <c r="KHW18" s="72"/>
      <c r="KHX18" s="72"/>
      <c r="KHY18" s="72"/>
      <c r="KHZ18" s="72"/>
      <c r="KIA18" s="72"/>
      <c r="KIB18" s="72"/>
      <c r="KIC18" s="72"/>
      <c r="KID18" s="72"/>
      <c r="KIE18" s="72"/>
      <c r="KIF18" s="72"/>
      <c r="KIG18" s="72"/>
      <c r="KIH18" s="72"/>
      <c r="KII18" s="72"/>
      <c r="KIJ18" s="72"/>
      <c r="KIK18" s="72"/>
      <c r="KIL18" s="72"/>
      <c r="KIM18" s="72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72"/>
      <c r="KJF18" s="72"/>
      <c r="KJG18" s="72"/>
      <c r="KJH18" s="72"/>
      <c r="KJI18" s="72"/>
      <c r="KJJ18" s="72"/>
      <c r="KJK18" s="72"/>
      <c r="KJL18" s="72"/>
      <c r="KJM18" s="72"/>
      <c r="KJN18" s="72"/>
      <c r="KJO18" s="72"/>
      <c r="KJP18" s="72"/>
      <c r="KJQ18" s="72"/>
      <c r="KJR18" s="72"/>
      <c r="KJS18" s="72"/>
      <c r="KJT18" s="72"/>
      <c r="KJU18" s="72"/>
      <c r="KJV18" s="72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72"/>
      <c r="KKO18" s="72"/>
      <c r="KKP18" s="72"/>
      <c r="KKQ18" s="72"/>
      <c r="KKR18" s="72"/>
      <c r="KKS18" s="72"/>
      <c r="KKT18" s="72"/>
      <c r="KKU18" s="72"/>
      <c r="KKV18" s="72"/>
      <c r="KKW18" s="72"/>
      <c r="KKX18" s="72"/>
      <c r="KKY18" s="72"/>
      <c r="KKZ18" s="72"/>
      <c r="KLA18" s="72"/>
      <c r="KLB18" s="72"/>
      <c r="KLC18" s="72"/>
      <c r="KLD18" s="72"/>
      <c r="KLE18" s="72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72"/>
      <c r="KLX18" s="72"/>
      <c r="KLY18" s="72"/>
      <c r="KLZ18" s="72"/>
      <c r="KMA18" s="72"/>
      <c r="KMB18" s="72"/>
      <c r="KMC18" s="72"/>
      <c r="KMD18" s="72"/>
      <c r="KME18" s="72"/>
      <c r="KMF18" s="72"/>
      <c r="KMG18" s="72"/>
      <c r="KMH18" s="72"/>
      <c r="KMI18" s="72"/>
      <c r="KMJ18" s="72"/>
      <c r="KMK18" s="72"/>
      <c r="KML18" s="72"/>
      <c r="KMM18" s="72"/>
      <c r="KMN18" s="72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72"/>
      <c r="KNG18" s="72"/>
      <c r="KNH18" s="72"/>
      <c r="KNI18" s="72"/>
      <c r="KNJ18" s="72"/>
      <c r="KNK18" s="72"/>
      <c r="KNL18" s="72"/>
      <c r="KNM18" s="72"/>
      <c r="KNN18" s="72"/>
      <c r="KNO18" s="72"/>
      <c r="KNP18" s="72"/>
      <c r="KNQ18" s="72"/>
      <c r="KNR18" s="72"/>
      <c r="KNS18" s="72"/>
      <c r="KNT18" s="72"/>
      <c r="KNU18" s="72"/>
      <c r="KNV18" s="72"/>
      <c r="KNW18" s="72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72"/>
      <c r="KOP18" s="72"/>
      <c r="KOQ18" s="72"/>
      <c r="KOR18" s="72"/>
      <c r="KOS18" s="72"/>
      <c r="KOT18" s="72"/>
      <c r="KOU18" s="72"/>
      <c r="KOV18" s="72"/>
      <c r="KOW18" s="72"/>
      <c r="KOX18" s="72"/>
      <c r="KOY18" s="72"/>
      <c r="KOZ18" s="72"/>
      <c r="KPA18" s="72"/>
      <c r="KPB18" s="72"/>
      <c r="KPC18" s="72"/>
      <c r="KPD18" s="72"/>
      <c r="KPE18" s="72"/>
      <c r="KPF18" s="72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72"/>
      <c r="KPY18" s="72"/>
      <c r="KPZ18" s="72"/>
      <c r="KQA18" s="72"/>
      <c r="KQB18" s="72"/>
      <c r="KQC18" s="72"/>
      <c r="KQD18" s="72"/>
      <c r="KQE18" s="72"/>
      <c r="KQF18" s="72"/>
      <c r="KQG18" s="72"/>
      <c r="KQH18" s="72"/>
      <c r="KQI18" s="72"/>
      <c r="KQJ18" s="72"/>
      <c r="KQK18" s="72"/>
      <c r="KQL18" s="72"/>
      <c r="KQM18" s="72"/>
      <c r="KQN18" s="72"/>
      <c r="KQO18" s="72"/>
      <c r="KQP18" s="72"/>
      <c r="KQQ18" s="72"/>
      <c r="KQR18" s="72"/>
      <c r="KQS18" s="72"/>
      <c r="KQT18" s="72"/>
      <c r="KQU18" s="72"/>
      <c r="KQV18" s="72"/>
      <c r="KQW18" s="72"/>
      <c r="KQX18" s="72"/>
      <c r="KQY18" s="72"/>
      <c r="KQZ18" s="72"/>
      <c r="KRA18" s="72"/>
      <c r="KRB18" s="72"/>
      <c r="KRC18" s="72"/>
      <c r="KRD18" s="72"/>
      <c r="KRE18" s="72"/>
      <c r="KRF18" s="72"/>
      <c r="KRG18" s="72"/>
      <c r="KRH18" s="72"/>
      <c r="KRI18" s="72"/>
      <c r="KRJ18" s="72"/>
      <c r="KRK18" s="72"/>
      <c r="KRL18" s="72"/>
      <c r="KRM18" s="72"/>
      <c r="KRN18" s="72"/>
      <c r="KRO18" s="72"/>
      <c r="KRP18" s="72"/>
      <c r="KRQ18" s="72"/>
      <c r="KRR18" s="72"/>
      <c r="KRS18" s="72"/>
      <c r="KRT18" s="72"/>
      <c r="KRU18" s="72"/>
      <c r="KRV18" s="72"/>
      <c r="KRW18" s="72"/>
      <c r="KRX18" s="72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72"/>
      <c r="KSQ18" s="72"/>
      <c r="KSR18" s="72"/>
      <c r="KSS18" s="72"/>
      <c r="KST18" s="72"/>
      <c r="KSU18" s="72"/>
      <c r="KSV18" s="72"/>
      <c r="KSW18" s="72"/>
      <c r="KSX18" s="72"/>
      <c r="KSY18" s="72"/>
      <c r="KSZ18" s="72"/>
      <c r="KTA18" s="72"/>
      <c r="KTB18" s="72"/>
      <c r="KTC18" s="72"/>
      <c r="KTD18" s="72"/>
      <c r="KTE18" s="72"/>
      <c r="KTF18" s="72"/>
      <c r="KTG18" s="72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72"/>
      <c r="KTZ18" s="72"/>
      <c r="KUA18" s="72"/>
      <c r="KUB18" s="72"/>
      <c r="KUC18" s="72"/>
      <c r="KUD18" s="72"/>
      <c r="KUE18" s="72"/>
      <c r="KUF18" s="72"/>
      <c r="KUG18" s="72"/>
      <c r="KUH18" s="72"/>
      <c r="KUI18" s="72"/>
      <c r="KUJ18" s="72"/>
      <c r="KUK18" s="72"/>
      <c r="KUL18" s="72"/>
      <c r="KUM18" s="72"/>
      <c r="KUN18" s="72"/>
      <c r="KUO18" s="72"/>
      <c r="KUP18" s="72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72"/>
      <c r="KVI18" s="72"/>
      <c r="KVJ18" s="72"/>
      <c r="KVK18" s="72"/>
      <c r="KVL18" s="72"/>
      <c r="KVM18" s="72"/>
      <c r="KVN18" s="72"/>
      <c r="KVO18" s="72"/>
      <c r="KVP18" s="72"/>
      <c r="KVQ18" s="72"/>
      <c r="KVR18" s="72"/>
      <c r="KVS18" s="72"/>
      <c r="KVT18" s="72"/>
      <c r="KVU18" s="72"/>
      <c r="KVV18" s="72"/>
      <c r="KVW18" s="72"/>
      <c r="KVX18" s="72"/>
      <c r="KVY18" s="72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72"/>
      <c r="KWR18" s="72"/>
      <c r="KWS18" s="72"/>
      <c r="KWT18" s="72"/>
      <c r="KWU18" s="72"/>
      <c r="KWV18" s="72"/>
      <c r="KWW18" s="72"/>
      <c r="KWX18" s="72"/>
      <c r="KWY18" s="72"/>
      <c r="KWZ18" s="72"/>
      <c r="KXA18" s="72"/>
      <c r="KXB18" s="72"/>
      <c r="KXC18" s="72"/>
      <c r="KXD18" s="72"/>
      <c r="KXE18" s="72"/>
      <c r="KXF18" s="72"/>
      <c r="KXG18" s="72"/>
      <c r="KXH18" s="72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72"/>
      <c r="KYA18" s="72"/>
      <c r="KYB18" s="72"/>
      <c r="KYC18" s="72"/>
      <c r="KYD18" s="72"/>
      <c r="KYE18" s="72"/>
      <c r="KYF18" s="72"/>
      <c r="KYG18" s="72"/>
      <c r="KYH18" s="72"/>
      <c r="KYI18" s="72"/>
      <c r="KYJ18" s="72"/>
      <c r="KYK18" s="72"/>
      <c r="KYL18" s="72"/>
      <c r="KYM18" s="72"/>
      <c r="KYN18" s="72"/>
      <c r="KYO18" s="72"/>
      <c r="KYP18" s="72"/>
      <c r="KYQ18" s="72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72"/>
      <c r="KZJ18" s="72"/>
      <c r="KZK18" s="72"/>
      <c r="KZL18" s="72"/>
      <c r="KZM18" s="72"/>
      <c r="KZN18" s="72"/>
      <c r="KZO18" s="72"/>
      <c r="KZP18" s="72"/>
      <c r="KZQ18" s="72"/>
      <c r="KZR18" s="72"/>
      <c r="KZS18" s="72"/>
      <c r="KZT18" s="72"/>
      <c r="KZU18" s="72"/>
      <c r="KZV18" s="72"/>
      <c r="KZW18" s="72"/>
      <c r="KZX18" s="72"/>
      <c r="KZY18" s="72"/>
      <c r="KZZ18" s="72"/>
      <c r="LAA18" s="72"/>
      <c r="LAB18" s="72"/>
      <c r="LAC18" s="72"/>
      <c r="LAD18" s="72"/>
      <c r="LAE18" s="72"/>
      <c r="LAF18" s="72"/>
      <c r="LAG18" s="72"/>
      <c r="LAH18" s="72"/>
      <c r="LAI18" s="72"/>
      <c r="LAJ18" s="72"/>
      <c r="LAK18" s="72"/>
      <c r="LAL18" s="72"/>
      <c r="LAM18" s="72"/>
      <c r="LAN18" s="72"/>
      <c r="LAO18" s="72"/>
      <c r="LAP18" s="72"/>
      <c r="LAQ18" s="72"/>
      <c r="LAR18" s="72"/>
      <c r="LAS18" s="72"/>
      <c r="LAT18" s="72"/>
      <c r="LAU18" s="72"/>
      <c r="LAV18" s="72"/>
      <c r="LAW18" s="72"/>
      <c r="LAX18" s="72"/>
      <c r="LAY18" s="72"/>
      <c r="LAZ18" s="72"/>
      <c r="LBA18" s="72"/>
      <c r="LBB18" s="72"/>
      <c r="LBC18" s="72"/>
      <c r="LBD18" s="72"/>
      <c r="LBE18" s="72"/>
      <c r="LBF18" s="72"/>
      <c r="LBG18" s="72"/>
      <c r="LBH18" s="72"/>
      <c r="LBI18" s="72"/>
      <c r="LBJ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72"/>
      <c r="LCB18" s="72"/>
      <c r="LCC18" s="72"/>
      <c r="LCD18" s="72"/>
      <c r="LCE18" s="72"/>
      <c r="LCF18" s="72"/>
      <c r="LCG18" s="72"/>
      <c r="LCH18" s="72"/>
      <c r="LCI18" s="72"/>
      <c r="LCJ18" s="72"/>
      <c r="LCK18" s="72"/>
      <c r="LCL18" s="72"/>
      <c r="LCM18" s="72"/>
      <c r="LCN18" s="72"/>
      <c r="LCO18" s="72"/>
      <c r="LCP18" s="72"/>
      <c r="LCQ18" s="72"/>
      <c r="LCR18" s="72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72"/>
      <c r="LDK18" s="72"/>
      <c r="LDL18" s="72"/>
      <c r="LDM18" s="72"/>
      <c r="LDN18" s="72"/>
      <c r="LDO18" s="72"/>
      <c r="LDP18" s="72"/>
      <c r="LDQ18" s="72"/>
      <c r="LDR18" s="72"/>
      <c r="LDS18" s="72"/>
      <c r="LDT18" s="72"/>
      <c r="LDU18" s="72"/>
      <c r="LDV18" s="72"/>
      <c r="LDW18" s="72"/>
      <c r="LDX18" s="72"/>
      <c r="LDY18" s="72"/>
      <c r="LDZ18" s="72"/>
      <c r="LEA18" s="72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72"/>
      <c r="LET18" s="72"/>
      <c r="LEU18" s="72"/>
      <c r="LEV18" s="72"/>
      <c r="LEW18" s="72"/>
      <c r="LEX18" s="72"/>
      <c r="LEY18" s="72"/>
      <c r="LEZ18" s="72"/>
      <c r="LFA18" s="72"/>
      <c r="LFB18" s="72"/>
      <c r="LFC18" s="72"/>
      <c r="LFD18" s="72"/>
      <c r="LFE18" s="72"/>
      <c r="LFF18" s="72"/>
      <c r="LFG18" s="72"/>
      <c r="LFH18" s="72"/>
      <c r="LFI18" s="72"/>
      <c r="LFJ18" s="72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72"/>
      <c r="LGC18" s="72"/>
      <c r="LGD18" s="72"/>
      <c r="LGE18" s="72"/>
      <c r="LGF18" s="72"/>
      <c r="LGG18" s="72"/>
      <c r="LGH18" s="72"/>
      <c r="LGI18" s="72"/>
      <c r="LGJ18" s="72"/>
      <c r="LGK18" s="72"/>
      <c r="LGL18" s="72"/>
      <c r="LGM18" s="72"/>
      <c r="LGN18" s="72"/>
      <c r="LGO18" s="72"/>
      <c r="LGP18" s="72"/>
      <c r="LGQ18" s="72"/>
      <c r="LGR18" s="72"/>
      <c r="LGS18" s="72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72"/>
      <c r="LHL18" s="72"/>
      <c r="LHM18" s="72"/>
      <c r="LHN18" s="72"/>
      <c r="LHO18" s="72"/>
      <c r="LHP18" s="72"/>
      <c r="LHQ18" s="72"/>
      <c r="LHR18" s="72"/>
      <c r="LHS18" s="72"/>
      <c r="LHT18" s="72"/>
      <c r="LHU18" s="72"/>
      <c r="LHV18" s="72"/>
      <c r="LHW18" s="72"/>
      <c r="LHX18" s="72"/>
      <c r="LHY18" s="72"/>
      <c r="LHZ18" s="72"/>
      <c r="LIA18" s="72"/>
      <c r="LIB18" s="72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72"/>
      <c r="LIU18" s="72"/>
      <c r="LIV18" s="72"/>
      <c r="LIW18" s="72"/>
      <c r="LIX18" s="72"/>
      <c r="LIY18" s="72"/>
      <c r="LIZ18" s="72"/>
      <c r="LJA18" s="72"/>
      <c r="LJB18" s="72"/>
      <c r="LJC18" s="72"/>
      <c r="LJD18" s="72"/>
      <c r="LJE18" s="72"/>
      <c r="LJF18" s="72"/>
      <c r="LJG18" s="72"/>
      <c r="LJH18" s="72"/>
      <c r="LJI18" s="72"/>
      <c r="LJJ18" s="72"/>
      <c r="LJK18" s="72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A18" s="72"/>
      <c r="LKB18" s="72"/>
      <c r="LKC18" s="72"/>
      <c r="LKD18" s="72"/>
      <c r="LKE18" s="72"/>
      <c r="LKF18" s="72"/>
      <c r="LKG18" s="72"/>
      <c r="LKH18" s="72"/>
      <c r="LKI18" s="72"/>
      <c r="LKJ18" s="72"/>
      <c r="LKK18" s="72"/>
      <c r="LKL18" s="72"/>
      <c r="LKM18" s="72"/>
      <c r="LKN18" s="72"/>
      <c r="LKO18" s="72"/>
      <c r="LKP18" s="72"/>
      <c r="LKQ18" s="72"/>
      <c r="LKR18" s="72"/>
      <c r="LKS18" s="72"/>
      <c r="LKT18" s="72"/>
      <c r="LKU18" s="72"/>
      <c r="LKV18" s="72"/>
      <c r="LKW18" s="72"/>
      <c r="LKX18" s="72"/>
      <c r="LKY18" s="72"/>
      <c r="LKZ18" s="72"/>
      <c r="LLA18" s="72"/>
      <c r="LLB18" s="72"/>
      <c r="LLC18" s="72"/>
      <c r="LLD18" s="72"/>
      <c r="LLE18" s="72"/>
      <c r="LLF18" s="72"/>
      <c r="LLG18" s="72"/>
      <c r="LLH18" s="72"/>
      <c r="LLI18" s="72"/>
      <c r="LLJ18" s="72"/>
      <c r="LLK18" s="72"/>
      <c r="LLL18" s="72"/>
      <c r="LLM18" s="72"/>
      <c r="LLN18" s="72"/>
      <c r="LLO18" s="72"/>
      <c r="LLP18" s="72"/>
      <c r="LLQ18" s="72"/>
      <c r="LLR18" s="72"/>
      <c r="LLS18" s="72"/>
      <c r="LLT18" s="72"/>
      <c r="LLU18" s="72"/>
      <c r="LLV18" s="72"/>
      <c r="LLW18" s="72"/>
      <c r="LLX18" s="72"/>
      <c r="LLY18" s="72"/>
      <c r="LLZ18" s="72"/>
      <c r="LMA18" s="72"/>
      <c r="LMB18" s="72"/>
      <c r="LMC18" s="72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72"/>
      <c r="LMV18" s="72"/>
      <c r="LMW18" s="72"/>
      <c r="LMX18" s="72"/>
      <c r="LMY18" s="72"/>
      <c r="LMZ18" s="72"/>
      <c r="LNA18" s="72"/>
      <c r="LNB18" s="72"/>
      <c r="LNC18" s="72"/>
      <c r="LND18" s="72"/>
      <c r="LNE18" s="72"/>
      <c r="LNF18" s="72"/>
      <c r="LNG18" s="72"/>
      <c r="LNH18" s="72"/>
      <c r="LNI18" s="72"/>
      <c r="LNJ18" s="72"/>
      <c r="LNK18" s="72"/>
      <c r="LNL18" s="72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72"/>
      <c r="LOE18" s="72"/>
      <c r="LOF18" s="72"/>
      <c r="LOG18" s="72"/>
      <c r="LOH18" s="72"/>
      <c r="LOI18" s="72"/>
      <c r="LOJ18" s="72"/>
      <c r="LOK18" s="72"/>
      <c r="LOL18" s="72"/>
      <c r="LOM18" s="72"/>
      <c r="LON18" s="72"/>
      <c r="LOO18" s="72"/>
      <c r="LOP18" s="72"/>
      <c r="LOQ18" s="72"/>
      <c r="LOR18" s="72"/>
      <c r="LOS18" s="72"/>
      <c r="LOT18" s="72"/>
      <c r="LOU18" s="72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72"/>
      <c r="LPN18" s="72"/>
      <c r="LPO18" s="72"/>
      <c r="LPP18" s="72"/>
      <c r="LPQ18" s="72"/>
      <c r="LPR18" s="72"/>
      <c r="LPS18" s="72"/>
      <c r="LPT18" s="72"/>
      <c r="LPU18" s="72"/>
      <c r="LPV18" s="72"/>
      <c r="LPW18" s="72"/>
      <c r="LPX18" s="72"/>
      <c r="LPY18" s="72"/>
      <c r="LPZ18" s="72"/>
      <c r="LQA18" s="72"/>
      <c r="LQB18" s="72"/>
      <c r="LQC18" s="72"/>
      <c r="LQD18" s="72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72"/>
      <c r="LQW18" s="72"/>
      <c r="LQX18" s="72"/>
      <c r="LQY18" s="72"/>
      <c r="LQZ18" s="72"/>
      <c r="LRA18" s="72"/>
      <c r="LRB18" s="72"/>
      <c r="LRC18" s="72"/>
      <c r="LRD18" s="72"/>
      <c r="LRE18" s="72"/>
      <c r="LRF18" s="72"/>
      <c r="LRG18" s="72"/>
      <c r="LRH18" s="72"/>
      <c r="LRI18" s="72"/>
      <c r="LRJ18" s="72"/>
      <c r="LRK18" s="72"/>
      <c r="LRL18" s="72"/>
      <c r="LRM18" s="72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72"/>
      <c r="LSF18" s="72"/>
      <c r="LSG18" s="72"/>
      <c r="LSH18" s="72"/>
      <c r="LSI18" s="72"/>
      <c r="LSJ18" s="72"/>
      <c r="LSK18" s="72"/>
      <c r="LSL18" s="72"/>
      <c r="LSM18" s="72"/>
      <c r="LSN18" s="72"/>
      <c r="LSO18" s="72"/>
      <c r="LSP18" s="72"/>
      <c r="LSQ18" s="72"/>
      <c r="LSR18" s="72"/>
      <c r="LSS18" s="72"/>
      <c r="LST18" s="72"/>
      <c r="LSU18" s="72"/>
      <c r="LSV18" s="72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72"/>
      <c r="LTO18" s="72"/>
      <c r="LTP18" s="72"/>
      <c r="LTQ18" s="72"/>
      <c r="LTR18" s="72"/>
      <c r="LTS18" s="72"/>
      <c r="LTT18" s="72"/>
      <c r="LTU18" s="72"/>
      <c r="LTV18" s="72"/>
      <c r="LTW18" s="72"/>
      <c r="LTX18" s="72"/>
      <c r="LTY18" s="72"/>
      <c r="LTZ18" s="72"/>
      <c r="LUA18" s="72"/>
      <c r="LUB18" s="72"/>
      <c r="LUC18" s="72"/>
      <c r="LUD18" s="72"/>
      <c r="LUE18" s="72"/>
      <c r="LUF18" s="72"/>
      <c r="LUG18" s="72"/>
      <c r="LUH18" s="72"/>
      <c r="LUI18" s="72"/>
      <c r="LUJ18" s="72"/>
      <c r="LUK18" s="72"/>
      <c r="LUL18" s="72"/>
      <c r="LUM18" s="72"/>
      <c r="LUN18" s="72"/>
      <c r="LUO18" s="72"/>
      <c r="LUP18" s="72"/>
      <c r="LUQ18" s="72"/>
      <c r="LUR18" s="72"/>
      <c r="LUS18" s="72"/>
      <c r="LUT18" s="72"/>
      <c r="LUU18" s="72"/>
      <c r="LUV18" s="72"/>
      <c r="LUW18" s="72"/>
      <c r="LUX18" s="72"/>
      <c r="LUY18" s="72"/>
      <c r="LUZ18" s="72"/>
      <c r="LVA18" s="72"/>
      <c r="LVB18" s="72"/>
      <c r="LVC18" s="72"/>
      <c r="LVD18" s="72"/>
      <c r="LVE18" s="72"/>
      <c r="LVF18" s="72"/>
      <c r="LVG18" s="72"/>
      <c r="LVH18" s="72"/>
      <c r="LVI18" s="72"/>
      <c r="LVJ18" s="72"/>
      <c r="LVK18" s="72"/>
      <c r="LVL18" s="72"/>
      <c r="LVM18" s="72"/>
      <c r="LVN18" s="72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72"/>
      <c r="LWG18" s="72"/>
      <c r="LWH18" s="72"/>
      <c r="LWI18" s="72"/>
      <c r="LWJ18" s="72"/>
      <c r="LWK18" s="72"/>
      <c r="LWL18" s="72"/>
      <c r="LWM18" s="72"/>
      <c r="LWN18" s="72"/>
      <c r="LWO18" s="72"/>
      <c r="LWP18" s="72"/>
      <c r="LWQ18" s="72"/>
      <c r="LWR18" s="72"/>
      <c r="LWS18" s="72"/>
      <c r="LWT18" s="72"/>
      <c r="LWU18" s="72"/>
      <c r="LWV18" s="72"/>
      <c r="LWW18" s="72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72"/>
      <c r="LXP18" s="72"/>
      <c r="LXQ18" s="72"/>
      <c r="LXR18" s="72"/>
      <c r="LXS18" s="72"/>
      <c r="LXT18" s="72"/>
      <c r="LXU18" s="72"/>
      <c r="LXV18" s="72"/>
      <c r="LXW18" s="72"/>
      <c r="LXX18" s="72"/>
      <c r="LXY18" s="72"/>
      <c r="LXZ18" s="72"/>
      <c r="LYA18" s="72"/>
      <c r="LYB18" s="72"/>
      <c r="LYC18" s="72"/>
      <c r="LYD18" s="72"/>
      <c r="LYE18" s="72"/>
      <c r="LYF18" s="72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72"/>
      <c r="LYY18" s="72"/>
      <c r="LYZ18" s="72"/>
      <c r="LZA18" s="72"/>
      <c r="LZB18" s="72"/>
      <c r="LZC18" s="72"/>
      <c r="LZD18" s="72"/>
      <c r="LZE18" s="72"/>
      <c r="LZF18" s="72"/>
      <c r="LZG18" s="72"/>
      <c r="LZH18" s="72"/>
      <c r="LZI18" s="72"/>
      <c r="LZJ18" s="72"/>
      <c r="LZK18" s="72"/>
      <c r="LZL18" s="72"/>
      <c r="LZM18" s="72"/>
      <c r="LZN18" s="72"/>
      <c r="LZO18" s="72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72"/>
      <c r="MAH18" s="72"/>
      <c r="MAI18" s="72"/>
      <c r="MAJ18" s="72"/>
      <c r="MAK18" s="72"/>
      <c r="MAL18" s="72"/>
      <c r="MAM18" s="72"/>
      <c r="MAN18" s="72"/>
      <c r="MAO18" s="72"/>
      <c r="MAP18" s="72"/>
      <c r="MAQ18" s="72"/>
      <c r="MAR18" s="72"/>
      <c r="MAS18" s="72"/>
      <c r="MAT18" s="72"/>
      <c r="MAU18" s="72"/>
      <c r="MAV18" s="72"/>
      <c r="MAW18" s="72"/>
      <c r="MAX18" s="72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72"/>
      <c r="MBQ18" s="72"/>
      <c r="MBR18" s="72"/>
      <c r="MBS18" s="72"/>
      <c r="MBT18" s="72"/>
      <c r="MBU18" s="72"/>
      <c r="MBV18" s="72"/>
      <c r="MBW18" s="72"/>
      <c r="MBX18" s="72"/>
      <c r="MBY18" s="72"/>
      <c r="MBZ18" s="72"/>
      <c r="MCA18" s="72"/>
      <c r="MCB18" s="72"/>
      <c r="MCC18" s="72"/>
      <c r="MCD18" s="72"/>
      <c r="MCE18" s="72"/>
      <c r="MCF18" s="72"/>
      <c r="MCG18" s="72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72"/>
      <c r="MCZ18" s="72"/>
      <c r="MDA18" s="72"/>
      <c r="MDB18" s="72"/>
      <c r="MDC18" s="72"/>
      <c r="MDD18" s="72"/>
      <c r="MDE18" s="72"/>
      <c r="MDF18" s="72"/>
      <c r="MDG18" s="72"/>
      <c r="MDH18" s="72"/>
      <c r="MDI18" s="72"/>
      <c r="MDJ18" s="72"/>
      <c r="MDK18" s="72"/>
      <c r="MDL18" s="72"/>
      <c r="MDM18" s="72"/>
      <c r="MDN18" s="72"/>
      <c r="MDO18" s="72"/>
      <c r="MDP18" s="72"/>
      <c r="MDQ18" s="72"/>
      <c r="MDR18" s="72"/>
      <c r="MDS18" s="72"/>
      <c r="MDT18" s="72"/>
      <c r="MDU18" s="72"/>
      <c r="MDV18" s="72"/>
      <c r="MDW18" s="72"/>
      <c r="MDX18" s="72"/>
      <c r="MDY18" s="72"/>
      <c r="MDZ18" s="72"/>
      <c r="MEA18" s="72"/>
      <c r="MEB18" s="72"/>
      <c r="MEC18" s="72"/>
      <c r="MED18" s="72"/>
      <c r="MEE18" s="72"/>
      <c r="MEF18" s="72"/>
      <c r="MEG18" s="72"/>
      <c r="MEH18" s="72"/>
      <c r="MEI18" s="72"/>
      <c r="MEJ18" s="72"/>
      <c r="MEK18" s="72"/>
      <c r="MEL18" s="72"/>
      <c r="MEM18" s="72"/>
      <c r="MEN18" s="72"/>
      <c r="MEO18" s="72"/>
      <c r="MEP18" s="72"/>
      <c r="MEQ18" s="72"/>
      <c r="MER18" s="72"/>
      <c r="MES18" s="72"/>
      <c r="MET18" s="72"/>
      <c r="MEU18" s="72"/>
      <c r="MEV18" s="72"/>
      <c r="MEW18" s="72"/>
      <c r="MEX18" s="72"/>
      <c r="MEY18" s="72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72"/>
      <c r="MFR18" s="72"/>
      <c r="MFS18" s="72"/>
      <c r="MFT18" s="72"/>
      <c r="MFU18" s="72"/>
      <c r="MFV18" s="72"/>
      <c r="MFW18" s="72"/>
      <c r="MFX18" s="72"/>
      <c r="MFY18" s="72"/>
      <c r="MFZ18" s="72"/>
      <c r="MGA18" s="72"/>
      <c r="MGB18" s="72"/>
      <c r="MGC18" s="72"/>
      <c r="MGD18" s="72"/>
      <c r="MGE18" s="72"/>
      <c r="MGF18" s="72"/>
      <c r="MGG18" s="72"/>
      <c r="MGH18" s="72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72"/>
      <c r="MHA18" s="72"/>
      <c r="MHB18" s="72"/>
      <c r="MHC18" s="72"/>
      <c r="MHD18" s="72"/>
      <c r="MHE18" s="72"/>
      <c r="MHF18" s="72"/>
      <c r="MHG18" s="72"/>
      <c r="MHH18" s="72"/>
      <c r="MHI18" s="72"/>
      <c r="MHJ18" s="72"/>
      <c r="MHK18" s="72"/>
      <c r="MHL18" s="72"/>
      <c r="MHM18" s="72"/>
      <c r="MHN18" s="72"/>
      <c r="MHO18" s="72"/>
      <c r="MHP18" s="72"/>
      <c r="MHQ18" s="72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72"/>
      <c r="MIJ18" s="72"/>
      <c r="MIK18" s="72"/>
      <c r="MIL18" s="72"/>
      <c r="MIM18" s="72"/>
      <c r="MIN18" s="72"/>
      <c r="MIO18" s="72"/>
      <c r="MIP18" s="72"/>
      <c r="MIQ18" s="72"/>
      <c r="MIR18" s="72"/>
      <c r="MIS18" s="72"/>
      <c r="MIT18" s="72"/>
      <c r="MIU18" s="72"/>
      <c r="MIV18" s="72"/>
      <c r="MIW18" s="72"/>
      <c r="MIX18" s="72"/>
      <c r="MIY18" s="72"/>
      <c r="MIZ18" s="72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72"/>
      <c r="MJS18" s="72"/>
      <c r="MJT18" s="72"/>
      <c r="MJU18" s="72"/>
      <c r="MJV18" s="72"/>
      <c r="MJW18" s="72"/>
      <c r="MJX18" s="72"/>
      <c r="MJY18" s="72"/>
      <c r="MJZ18" s="72"/>
      <c r="MKA18" s="72"/>
      <c r="MKB18" s="72"/>
      <c r="MKC18" s="72"/>
      <c r="MKD18" s="72"/>
      <c r="MKE18" s="72"/>
      <c r="MKF18" s="72"/>
      <c r="MKG18" s="72"/>
      <c r="MKH18" s="72"/>
      <c r="MKI18" s="72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72"/>
      <c r="MLB18" s="72"/>
      <c r="MLC18" s="72"/>
      <c r="MLD18" s="72"/>
      <c r="MLE18" s="72"/>
      <c r="MLF18" s="72"/>
      <c r="MLG18" s="72"/>
      <c r="MLH18" s="72"/>
      <c r="MLI18" s="72"/>
      <c r="MLJ18" s="72"/>
      <c r="MLK18" s="72"/>
      <c r="MLL18" s="72"/>
      <c r="MLM18" s="72"/>
      <c r="MLN18" s="72"/>
      <c r="MLO18" s="72"/>
      <c r="MLP18" s="72"/>
      <c r="MLQ18" s="72"/>
      <c r="MLR18" s="72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72"/>
      <c r="MMK18" s="72"/>
      <c r="MML18" s="72"/>
      <c r="MMM18" s="72"/>
      <c r="MMN18" s="72"/>
      <c r="MMO18" s="72"/>
      <c r="MMP18" s="72"/>
      <c r="MMQ18" s="72"/>
      <c r="MMR18" s="72"/>
      <c r="MMS18" s="72"/>
      <c r="MMT18" s="72"/>
      <c r="MMU18" s="72"/>
      <c r="MMV18" s="72"/>
      <c r="MMW18" s="72"/>
      <c r="MMX18" s="72"/>
      <c r="MMY18" s="72"/>
      <c r="MMZ18" s="72"/>
      <c r="MNA18" s="72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O18" s="72"/>
      <c r="MNP18" s="72"/>
      <c r="MNQ18" s="72"/>
      <c r="MNR18" s="72"/>
      <c r="MNS18" s="72"/>
      <c r="MNT18" s="72"/>
      <c r="MNU18" s="72"/>
      <c r="MNV18" s="72"/>
      <c r="MNW18" s="72"/>
      <c r="MNX18" s="72"/>
      <c r="MNY18" s="72"/>
      <c r="MNZ18" s="72"/>
      <c r="MOA18" s="72"/>
      <c r="MOB18" s="72"/>
      <c r="MOC18" s="72"/>
      <c r="MOD18" s="72"/>
      <c r="MOE18" s="72"/>
      <c r="MOF18" s="72"/>
      <c r="MOG18" s="72"/>
      <c r="MOH18" s="72"/>
      <c r="MOI18" s="72"/>
      <c r="MOJ18" s="72"/>
      <c r="MOK18" s="72"/>
      <c r="MOL18" s="72"/>
      <c r="MOM18" s="72"/>
      <c r="MON18" s="72"/>
      <c r="MOO18" s="72"/>
      <c r="MOP18" s="72"/>
      <c r="MOQ18" s="72"/>
      <c r="MOR18" s="72"/>
      <c r="MOS18" s="72"/>
      <c r="MOT18" s="72"/>
      <c r="MOU18" s="72"/>
      <c r="MOV18" s="72"/>
      <c r="MOW18" s="72"/>
      <c r="MOX18" s="72"/>
      <c r="MOY18" s="72"/>
      <c r="MOZ18" s="72"/>
      <c r="MPA18" s="72"/>
      <c r="MPB18" s="72"/>
      <c r="MPC18" s="72"/>
      <c r="MPD18" s="72"/>
      <c r="MPE18" s="72"/>
      <c r="MPF18" s="72"/>
      <c r="MPG18" s="72"/>
      <c r="MPH18" s="72"/>
      <c r="MPI18" s="72"/>
      <c r="MPJ18" s="72"/>
      <c r="MPK18" s="72"/>
      <c r="MPL18" s="72"/>
      <c r="MPM18" s="72"/>
      <c r="MPN18" s="72"/>
      <c r="MPO18" s="72"/>
      <c r="MPP18" s="72"/>
      <c r="MPQ18" s="72"/>
      <c r="MPR18" s="72"/>
      <c r="MPS18" s="72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72"/>
      <c r="MQL18" s="72"/>
      <c r="MQM18" s="72"/>
      <c r="MQN18" s="72"/>
      <c r="MQO18" s="72"/>
      <c r="MQP18" s="72"/>
      <c r="MQQ18" s="72"/>
      <c r="MQR18" s="72"/>
      <c r="MQS18" s="72"/>
      <c r="MQT18" s="72"/>
      <c r="MQU18" s="72"/>
      <c r="MQV18" s="72"/>
      <c r="MQW18" s="72"/>
      <c r="MQX18" s="72"/>
      <c r="MQY18" s="72"/>
      <c r="MQZ18" s="72"/>
      <c r="MRA18" s="72"/>
      <c r="MRB18" s="72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72"/>
      <c r="MRU18" s="72"/>
      <c r="MRV18" s="72"/>
      <c r="MRW18" s="72"/>
      <c r="MRX18" s="72"/>
      <c r="MRY18" s="72"/>
      <c r="MRZ18" s="72"/>
      <c r="MSA18" s="72"/>
      <c r="MSB18" s="72"/>
      <c r="MSC18" s="72"/>
      <c r="MSD18" s="72"/>
      <c r="MSE18" s="72"/>
      <c r="MSF18" s="72"/>
      <c r="MSG18" s="72"/>
      <c r="MSH18" s="72"/>
      <c r="MSI18" s="72"/>
      <c r="MSJ18" s="72"/>
      <c r="MSK18" s="72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72"/>
      <c r="MTD18" s="72"/>
      <c r="MTE18" s="72"/>
      <c r="MTF18" s="72"/>
      <c r="MTG18" s="72"/>
      <c r="MTH18" s="72"/>
      <c r="MTI18" s="72"/>
      <c r="MTJ18" s="72"/>
      <c r="MTK18" s="72"/>
      <c r="MTL18" s="72"/>
      <c r="MTM18" s="72"/>
      <c r="MTN18" s="72"/>
      <c r="MTO18" s="72"/>
      <c r="MTP18" s="72"/>
      <c r="MTQ18" s="72"/>
      <c r="MTR18" s="72"/>
      <c r="MTS18" s="72"/>
      <c r="MTT18" s="72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72"/>
      <c r="MUM18" s="72"/>
      <c r="MUN18" s="72"/>
      <c r="MUO18" s="72"/>
      <c r="MUP18" s="72"/>
      <c r="MUQ18" s="72"/>
      <c r="MUR18" s="72"/>
      <c r="MUS18" s="72"/>
      <c r="MUT18" s="72"/>
      <c r="MUU18" s="72"/>
      <c r="MUV18" s="72"/>
      <c r="MUW18" s="72"/>
      <c r="MUX18" s="72"/>
      <c r="MUY18" s="72"/>
      <c r="MUZ18" s="72"/>
      <c r="MVA18" s="72"/>
      <c r="MVB18" s="72"/>
      <c r="MVC18" s="72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72"/>
      <c r="MVV18" s="72"/>
      <c r="MVW18" s="72"/>
      <c r="MVX18" s="72"/>
      <c r="MVY18" s="72"/>
      <c r="MVZ18" s="72"/>
      <c r="MWA18" s="72"/>
      <c r="MWB18" s="72"/>
      <c r="MWC18" s="72"/>
      <c r="MWD18" s="72"/>
      <c r="MWE18" s="72"/>
      <c r="MWF18" s="72"/>
      <c r="MWG18" s="72"/>
      <c r="MWH18" s="72"/>
      <c r="MWI18" s="72"/>
      <c r="MWJ18" s="72"/>
      <c r="MWK18" s="72"/>
      <c r="MWL18" s="72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72"/>
      <c r="MXE18" s="72"/>
      <c r="MXF18" s="72"/>
      <c r="MXG18" s="72"/>
      <c r="MXH18" s="72"/>
      <c r="MXI18" s="72"/>
      <c r="MXJ18" s="72"/>
      <c r="MXK18" s="72"/>
      <c r="MXL18" s="72"/>
      <c r="MXM18" s="72"/>
      <c r="MXN18" s="72"/>
      <c r="MXO18" s="72"/>
      <c r="MXP18" s="72"/>
      <c r="MXQ18" s="72"/>
      <c r="MXR18" s="72"/>
      <c r="MXS18" s="72"/>
      <c r="MXT18" s="72"/>
      <c r="MXU18" s="72"/>
      <c r="MXV18" s="72"/>
      <c r="MXW18" s="72"/>
      <c r="MXX18" s="72"/>
      <c r="MXY18" s="72"/>
      <c r="MXZ18" s="72"/>
      <c r="MYA18" s="72"/>
      <c r="MYB18" s="72"/>
      <c r="MYC18" s="72"/>
      <c r="MYD18" s="72"/>
      <c r="MYE18" s="72"/>
      <c r="MYF18" s="72"/>
      <c r="MYG18" s="72"/>
      <c r="MYH18" s="72"/>
      <c r="MYI18" s="72"/>
      <c r="MYJ18" s="72"/>
      <c r="MYK18" s="72"/>
      <c r="MYL18" s="72"/>
      <c r="MYM18" s="72"/>
      <c r="MYN18" s="72"/>
      <c r="MYO18" s="72"/>
      <c r="MYP18" s="72"/>
      <c r="MYQ18" s="72"/>
      <c r="MYR18" s="72"/>
      <c r="MYS18" s="72"/>
      <c r="MYT18" s="72"/>
      <c r="MYU18" s="72"/>
      <c r="MYV18" s="72"/>
      <c r="MYW18" s="72"/>
      <c r="MYX18" s="72"/>
      <c r="MYY18" s="72"/>
      <c r="MYZ18" s="72"/>
      <c r="MZA18" s="72"/>
      <c r="MZB18" s="72"/>
      <c r="MZC18" s="72"/>
      <c r="MZD18" s="72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72"/>
      <c r="MZW18" s="72"/>
      <c r="MZX18" s="72"/>
      <c r="MZY18" s="72"/>
      <c r="MZZ18" s="72"/>
      <c r="NAA18" s="72"/>
      <c r="NAB18" s="72"/>
      <c r="NAC18" s="72"/>
      <c r="NAD18" s="72"/>
      <c r="NAE18" s="72"/>
      <c r="NAF18" s="72"/>
      <c r="NAG18" s="72"/>
      <c r="NAH18" s="72"/>
      <c r="NAI18" s="72"/>
      <c r="NAJ18" s="72"/>
      <c r="NAK18" s="72"/>
      <c r="NAL18" s="72"/>
      <c r="NAM18" s="72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72"/>
      <c r="NBF18" s="72"/>
      <c r="NBG18" s="72"/>
      <c r="NBH18" s="72"/>
      <c r="NBI18" s="72"/>
      <c r="NBJ18" s="72"/>
      <c r="NBK18" s="72"/>
      <c r="NBL18" s="72"/>
      <c r="NBM18" s="72"/>
      <c r="NBN18" s="72"/>
      <c r="NBO18" s="72"/>
      <c r="NBP18" s="72"/>
      <c r="NBQ18" s="72"/>
      <c r="NBR18" s="72"/>
      <c r="NBS18" s="72"/>
      <c r="NBT18" s="72"/>
      <c r="NBU18" s="72"/>
      <c r="NBV18" s="72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72"/>
      <c r="NCO18" s="72"/>
      <c r="NCP18" s="72"/>
      <c r="NCQ18" s="72"/>
      <c r="NCR18" s="72"/>
      <c r="NCS18" s="72"/>
      <c r="NCT18" s="72"/>
      <c r="NCU18" s="72"/>
      <c r="NCV18" s="72"/>
      <c r="NCW18" s="72"/>
      <c r="NCX18" s="72"/>
      <c r="NCY18" s="72"/>
      <c r="NCZ18" s="72"/>
      <c r="NDA18" s="72"/>
      <c r="NDB18" s="72"/>
      <c r="NDC18" s="72"/>
      <c r="NDD18" s="72"/>
      <c r="NDE18" s="72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72"/>
      <c r="NDX18" s="72"/>
      <c r="NDY18" s="72"/>
      <c r="NDZ18" s="72"/>
      <c r="NEA18" s="72"/>
      <c r="NEB18" s="72"/>
      <c r="NEC18" s="72"/>
      <c r="NED18" s="72"/>
      <c r="NEE18" s="72"/>
      <c r="NEF18" s="72"/>
      <c r="NEG18" s="72"/>
      <c r="NEH18" s="72"/>
      <c r="NEI18" s="72"/>
      <c r="NEJ18" s="72"/>
      <c r="NEK18" s="72"/>
      <c r="NEL18" s="72"/>
      <c r="NEM18" s="72"/>
      <c r="NEN18" s="72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72"/>
      <c r="NFG18" s="72"/>
      <c r="NFH18" s="72"/>
      <c r="NFI18" s="72"/>
      <c r="NFJ18" s="72"/>
      <c r="NFK18" s="72"/>
      <c r="NFL18" s="72"/>
      <c r="NFM18" s="72"/>
      <c r="NFN18" s="72"/>
      <c r="NFO18" s="72"/>
      <c r="NFP18" s="72"/>
      <c r="NFQ18" s="72"/>
      <c r="NFR18" s="72"/>
      <c r="NFS18" s="72"/>
      <c r="NFT18" s="72"/>
      <c r="NFU18" s="72"/>
      <c r="NFV18" s="72"/>
      <c r="NFW18" s="72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72"/>
      <c r="NGP18" s="72"/>
      <c r="NGQ18" s="72"/>
      <c r="NGR18" s="72"/>
      <c r="NGS18" s="72"/>
      <c r="NGT18" s="72"/>
      <c r="NGU18" s="72"/>
      <c r="NGV18" s="72"/>
      <c r="NGW18" s="72"/>
      <c r="NGX18" s="72"/>
      <c r="NGY18" s="72"/>
      <c r="NGZ18" s="72"/>
      <c r="NHA18" s="72"/>
      <c r="NHB18" s="72"/>
      <c r="NHC18" s="72"/>
      <c r="NHD18" s="72"/>
      <c r="NHE18" s="72"/>
      <c r="NHF18" s="72"/>
      <c r="NHG18" s="72"/>
      <c r="NHH18" s="72"/>
      <c r="NHI18" s="72"/>
      <c r="NHJ18" s="72"/>
      <c r="NHK18" s="72"/>
      <c r="NHL18" s="72"/>
      <c r="NHM18" s="72"/>
      <c r="NHN18" s="72"/>
      <c r="NHO18" s="72"/>
      <c r="NHP18" s="72"/>
      <c r="NHQ18" s="72"/>
      <c r="NHR18" s="72"/>
      <c r="NHS18" s="72"/>
      <c r="NHT18" s="72"/>
      <c r="NHU18" s="72"/>
      <c r="NHV18" s="72"/>
      <c r="NHW18" s="72"/>
      <c r="NHX18" s="72"/>
      <c r="NHY18" s="72"/>
      <c r="NHZ18" s="72"/>
      <c r="NIA18" s="72"/>
      <c r="NIB18" s="72"/>
      <c r="NIC18" s="72"/>
      <c r="NID18" s="72"/>
      <c r="NIE18" s="72"/>
      <c r="NIF18" s="72"/>
      <c r="NIG18" s="72"/>
      <c r="NIH18" s="72"/>
      <c r="NII18" s="72"/>
      <c r="NIJ18" s="72"/>
      <c r="NIK18" s="72"/>
      <c r="NIL18" s="72"/>
      <c r="NIM18" s="72"/>
      <c r="NIN18" s="72"/>
      <c r="NIO18" s="72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72"/>
      <c r="NJH18" s="72"/>
      <c r="NJI18" s="72"/>
      <c r="NJJ18" s="72"/>
      <c r="NJK18" s="72"/>
      <c r="NJL18" s="72"/>
      <c r="NJM18" s="72"/>
      <c r="NJN18" s="72"/>
      <c r="NJO18" s="72"/>
      <c r="NJP18" s="72"/>
      <c r="NJQ18" s="72"/>
      <c r="NJR18" s="72"/>
      <c r="NJS18" s="72"/>
      <c r="NJT18" s="72"/>
      <c r="NJU18" s="72"/>
      <c r="NJV18" s="72"/>
      <c r="NJW18" s="72"/>
      <c r="NJX18" s="72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72"/>
      <c r="NKQ18" s="72"/>
      <c r="NKR18" s="72"/>
      <c r="NKS18" s="72"/>
      <c r="NKT18" s="72"/>
      <c r="NKU18" s="72"/>
      <c r="NKV18" s="72"/>
      <c r="NKW18" s="72"/>
      <c r="NKX18" s="72"/>
      <c r="NKY18" s="72"/>
      <c r="NKZ18" s="72"/>
      <c r="NLA18" s="72"/>
      <c r="NLB18" s="72"/>
      <c r="NLC18" s="72"/>
      <c r="NLD18" s="72"/>
      <c r="NLE18" s="72"/>
      <c r="NLF18" s="72"/>
      <c r="NLG18" s="72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72"/>
      <c r="NLZ18" s="72"/>
      <c r="NMA18" s="72"/>
      <c r="NMB18" s="72"/>
      <c r="NMC18" s="72"/>
      <c r="NMD18" s="72"/>
      <c r="NME18" s="72"/>
      <c r="NMF18" s="72"/>
      <c r="NMG18" s="72"/>
      <c r="NMH18" s="72"/>
      <c r="NMI18" s="72"/>
      <c r="NMJ18" s="72"/>
      <c r="NMK18" s="72"/>
      <c r="NML18" s="72"/>
      <c r="NMM18" s="72"/>
      <c r="NMN18" s="72"/>
      <c r="NMO18" s="72"/>
      <c r="NMP18" s="72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72"/>
      <c r="NNI18" s="72"/>
      <c r="NNJ18" s="72"/>
      <c r="NNK18" s="72"/>
      <c r="NNL18" s="72"/>
      <c r="NNM18" s="72"/>
      <c r="NNN18" s="72"/>
      <c r="NNO18" s="72"/>
      <c r="NNP18" s="72"/>
      <c r="NNQ18" s="72"/>
      <c r="NNR18" s="72"/>
      <c r="NNS18" s="72"/>
      <c r="NNT18" s="72"/>
      <c r="NNU18" s="72"/>
      <c r="NNV18" s="72"/>
      <c r="NNW18" s="72"/>
      <c r="NNX18" s="72"/>
      <c r="NNY18" s="72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72"/>
      <c r="NOR18" s="72"/>
      <c r="NOS18" s="72"/>
      <c r="NOT18" s="72"/>
      <c r="NOU18" s="72"/>
      <c r="NOV18" s="72"/>
      <c r="NOW18" s="72"/>
      <c r="NOX18" s="72"/>
      <c r="NOY18" s="72"/>
      <c r="NOZ18" s="72"/>
      <c r="NPA18" s="72"/>
      <c r="NPB18" s="72"/>
      <c r="NPC18" s="72"/>
      <c r="NPD18" s="72"/>
      <c r="NPE18" s="72"/>
      <c r="NPF18" s="72"/>
      <c r="NPG18" s="72"/>
      <c r="NPH18" s="72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72"/>
      <c r="NQA18" s="72"/>
      <c r="NQB18" s="72"/>
      <c r="NQC18" s="72"/>
      <c r="NQD18" s="72"/>
      <c r="NQE18" s="72"/>
      <c r="NQF18" s="72"/>
      <c r="NQG18" s="72"/>
      <c r="NQH18" s="72"/>
      <c r="NQI18" s="72"/>
      <c r="NQJ18" s="72"/>
      <c r="NQK18" s="72"/>
      <c r="NQL18" s="72"/>
      <c r="NQM18" s="72"/>
      <c r="NQN18" s="72"/>
      <c r="NQO18" s="72"/>
      <c r="NQP18" s="72"/>
      <c r="NQQ18" s="72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C18" s="72"/>
      <c r="NRD18" s="72"/>
      <c r="NRE18" s="72"/>
      <c r="NRF18" s="72"/>
      <c r="NRG18" s="72"/>
      <c r="NRH18" s="72"/>
      <c r="NRI18" s="72"/>
      <c r="NRJ18" s="72"/>
      <c r="NRK18" s="72"/>
      <c r="NRL18" s="72"/>
      <c r="NRM18" s="72"/>
      <c r="NRN18" s="72"/>
      <c r="NRO18" s="72"/>
      <c r="NRP18" s="72"/>
      <c r="NRQ18" s="72"/>
      <c r="NRR18" s="72"/>
      <c r="NRS18" s="72"/>
      <c r="NRT18" s="72"/>
      <c r="NRU18" s="72"/>
      <c r="NRV18" s="72"/>
      <c r="NRW18" s="72"/>
      <c r="NRX18" s="72"/>
      <c r="NRY18" s="72"/>
      <c r="NRZ18" s="72"/>
      <c r="NSA18" s="72"/>
      <c r="NSB18" s="72"/>
      <c r="NSC18" s="72"/>
      <c r="NSD18" s="72"/>
      <c r="NSE18" s="72"/>
      <c r="NSF18" s="72"/>
      <c r="NSG18" s="72"/>
      <c r="NSH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72"/>
      <c r="NSS18" s="72"/>
      <c r="NST18" s="72"/>
      <c r="NSU18" s="72"/>
      <c r="NSV18" s="72"/>
      <c r="NSW18" s="72"/>
      <c r="NSX18" s="72"/>
      <c r="NSY18" s="72"/>
      <c r="NSZ18" s="72"/>
      <c r="NTA18" s="72"/>
      <c r="NTB18" s="72"/>
      <c r="NTC18" s="72"/>
      <c r="NTD18" s="72"/>
      <c r="NTE18" s="72"/>
      <c r="NTF18" s="72"/>
      <c r="NTG18" s="72"/>
      <c r="NTH18" s="72"/>
      <c r="NTI18" s="72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72"/>
      <c r="NUB18" s="72"/>
      <c r="NUC18" s="72"/>
      <c r="NUD18" s="72"/>
      <c r="NUE18" s="72"/>
      <c r="NUF18" s="72"/>
      <c r="NUG18" s="72"/>
      <c r="NUH18" s="72"/>
      <c r="NUI18" s="72"/>
      <c r="NUJ18" s="72"/>
      <c r="NUK18" s="72"/>
      <c r="NUL18" s="72"/>
      <c r="NUM18" s="72"/>
      <c r="NUN18" s="72"/>
      <c r="NUO18" s="72"/>
      <c r="NUP18" s="72"/>
      <c r="NUQ18" s="72"/>
      <c r="NUR18" s="72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72"/>
      <c r="NVK18" s="72"/>
      <c r="NVL18" s="72"/>
      <c r="NVM18" s="72"/>
      <c r="NVN18" s="72"/>
      <c r="NVO18" s="72"/>
      <c r="NVP18" s="72"/>
      <c r="NVQ18" s="72"/>
      <c r="NVR18" s="72"/>
      <c r="NVS18" s="72"/>
      <c r="NVT18" s="72"/>
      <c r="NVU18" s="72"/>
      <c r="NVV18" s="72"/>
      <c r="NVW18" s="72"/>
      <c r="NVX18" s="72"/>
      <c r="NVY18" s="72"/>
      <c r="NVZ18" s="72"/>
      <c r="NWA18" s="72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72"/>
      <c r="NWT18" s="72"/>
      <c r="NWU18" s="72"/>
      <c r="NWV18" s="72"/>
      <c r="NWW18" s="72"/>
      <c r="NWX18" s="72"/>
      <c r="NWY18" s="72"/>
      <c r="NWZ18" s="72"/>
      <c r="NXA18" s="72"/>
      <c r="NXB18" s="72"/>
      <c r="NXC18" s="72"/>
      <c r="NXD18" s="72"/>
      <c r="NXE18" s="72"/>
      <c r="NXF18" s="72"/>
      <c r="NXG18" s="72"/>
      <c r="NXH18" s="72"/>
      <c r="NXI18" s="72"/>
      <c r="NXJ18" s="72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72"/>
      <c r="NYC18" s="72"/>
      <c r="NYD18" s="72"/>
      <c r="NYE18" s="72"/>
      <c r="NYF18" s="72"/>
      <c r="NYG18" s="72"/>
      <c r="NYH18" s="72"/>
      <c r="NYI18" s="72"/>
      <c r="NYJ18" s="72"/>
      <c r="NYK18" s="72"/>
      <c r="NYL18" s="72"/>
      <c r="NYM18" s="72"/>
      <c r="NYN18" s="72"/>
      <c r="NYO18" s="72"/>
      <c r="NYP18" s="72"/>
      <c r="NYQ18" s="72"/>
      <c r="NYR18" s="72"/>
      <c r="NYS18" s="72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72"/>
      <c r="NZL18" s="72"/>
      <c r="NZM18" s="72"/>
      <c r="NZN18" s="72"/>
      <c r="NZO18" s="72"/>
      <c r="NZP18" s="72"/>
      <c r="NZQ18" s="72"/>
      <c r="NZR18" s="72"/>
      <c r="NZS18" s="72"/>
      <c r="NZT18" s="72"/>
      <c r="NZU18" s="72"/>
      <c r="NZV18" s="72"/>
      <c r="NZW18" s="72"/>
      <c r="NZX18" s="72"/>
      <c r="NZY18" s="72"/>
      <c r="NZZ18" s="72"/>
      <c r="OAA18" s="72"/>
      <c r="OAB18" s="72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72"/>
      <c r="OAU18" s="72"/>
      <c r="OAV18" s="72"/>
      <c r="OAW18" s="72"/>
      <c r="OAX18" s="72"/>
      <c r="OAY18" s="72"/>
      <c r="OAZ18" s="72"/>
      <c r="OBA18" s="72"/>
      <c r="OBB18" s="72"/>
      <c r="OBC18" s="72"/>
      <c r="OBD18" s="72"/>
      <c r="OBE18" s="72"/>
      <c r="OBF18" s="72"/>
      <c r="OBG18" s="72"/>
      <c r="OBH18" s="72"/>
      <c r="OBI18" s="72"/>
      <c r="OBJ18" s="72"/>
      <c r="OBK18" s="72"/>
      <c r="OBL18" s="72"/>
      <c r="OBM18" s="72"/>
      <c r="OBN18" s="72"/>
      <c r="OBO18" s="72"/>
      <c r="OBP18" s="72"/>
      <c r="OBQ18" s="72"/>
      <c r="OBR18" s="72"/>
      <c r="OBS18" s="72"/>
      <c r="OBT18" s="72"/>
      <c r="OBU18" s="72"/>
      <c r="OBV18" s="72"/>
      <c r="OBW18" s="72"/>
      <c r="OBX18" s="72"/>
      <c r="OBY18" s="72"/>
      <c r="OBZ18" s="72"/>
      <c r="OCA18" s="72"/>
      <c r="OCB18" s="72"/>
      <c r="OCC18" s="72"/>
      <c r="OCD18" s="72"/>
      <c r="OCE18" s="72"/>
      <c r="OCF18" s="72"/>
      <c r="OCG18" s="72"/>
      <c r="OCH18" s="72"/>
      <c r="OCI18" s="72"/>
      <c r="OCJ18" s="72"/>
      <c r="OCK18" s="72"/>
      <c r="OCL18" s="72"/>
      <c r="OCM18" s="72"/>
      <c r="OCN18" s="72"/>
      <c r="OCO18" s="72"/>
      <c r="OCP18" s="72"/>
      <c r="OCQ18" s="72"/>
      <c r="OCR18" s="72"/>
      <c r="OCS18" s="72"/>
      <c r="OCT18" s="72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72"/>
      <c r="ODM18" s="72"/>
      <c r="ODN18" s="72"/>
      <c r="ODO18" s="72"/>
      <c r="ODP18" s="72"/>
      <c r="ODQ18" s="72"/>
      <c r="ODR18" s="72"/>
      <c r="ODS18" s="72"/>
      <c r="ODT18" s="72"/>
      <c r="ODU18" s="72"/>
      <c r="ODV18" s="72"/>
      <c r="ODW18" s="72"/>
      <c r="ODX18" s="72"/>
      <c r="ODY18" s="72"/>
      <c r="ODZ18" s="72"/>
      <c r="OEA18" s="72"/>
      <c r="OEB18" s="72"/>
      <c r="OEC18" s="72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72"/>
      <c r="OEV18" s="72"/>
      <c r="OEW18" s="72"/>
      <c r="OEX18" s="72"/>
      <c r="OEY18" s="72"/>
      <c r="OEZ18" s="72"/>
      <c r="OFA18" s="72"/>
      <c r="OFB18" s="72"/>
      <c r="OFC18" s="72"/>
      <c r="OFD18" s="72"/>
      <c r="OFE18" s="72"/>
      <c r="OFF18" s="72"/>
      <c r="OFG18" s="72"/>
      <c r="OFH18" s="72"/>
      <c r="OFI18" s="72"/>
      <c r="OFJ18" s="72"/>
      <c r="OFK18" s="72"/>
      <c r="OFL18" s="72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72"/>
      <c r="OGE18" s="72"/>
      <c r="OGF18" s="72"/>
      <c r="OGG18" s="72"/>
      <c r="OGH18" s="72"/>
      <c r="OGI18" s="72"/>
      <c r="OGJ18" s="72"/>
      <c r="OGK18" s="72"/>
      <c r="OGL18" s="72"/>
      <c r="OGM18" s="72"/>
      <c r="OGN18" s="72"/>
      <c r="OGO18" s="72"/>
      <c r="OGP18" s="72"/>
      <c r="OGQ18" s="72"/>
      <c r="OGR18" s="72"/>
      <c r="OGS18" s="72"/>
      <c r="OGT18" s="72"/>
      <c r="OGU18" s="72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72"/>
      <c r="OHN18" s="72"/>
      <c r="OHO18" s="72"/>
      <c r="OHP18" s="72"/>
      <c r="OHQ18" s="72"/>
      <c r="OHR18" s="72"/>
      <c r="OHS18" s="72"/>
      <c r="OHT18" s="72"/>
      <c r="OHU18" s="72"/>
      <c r="OHV18" s="72"/>
      <c r="OHW18" s="72"/>
      <c r="OHX18" s="72"/>
      <c r="OHY18" s="72"/>
      <c r="OHZ18" s="72"/>
      <c r="OIA18" s="72"/>
      <c r="OIB18" s="72"/>
      <c r="OIC18" s="72"/>
      <c r="OID18" s="72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72"/>
      <c r="OIW18" s="72"/>
      <c r="OIX18" s="72"/>
      <c r="OIY18" s="72"/>
      <c r="OIZ18" s="72"/>
      <c r="OJA18" s="72"/>
      <c r="OJB18" s="72"/>
      <c r="OJC18" s="72"/>
      <c r="OJD18" s="72"/>
      <c r="OJE18" s="72"/>
      <c r="OJF18" s="72"/>
      <c r="OJG18" s="72"/>
      <c r="OJH18" s="72"/>
      <c r="OJI18" s="72"/>
      <c r="OJJ18" s="72"/>
      <c r="OJK18" s="72"/>
      <c r="OJL18" s="72"/>
      <c r="OJM18" s="72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72"/>
      <c r="OKF18" s="72"/>
      <c r="OKG18" s="72"/>
      <c r="OKH18" s="72"/>
      <c r="OKI18" s="72"/>
      <c r="OKJ18" s="72"/>
      <c r="OKK18" s="72"/>
      <c r="OKL18" s="72"/>
      <c r="OKM18" s="72"/>
      <c r="OKN18" s="72"/>
      <c r="OKO18" s="72"/>
      <c r="OKP18" s="72"/>
      <c r="OKQ18" s="72"/>
      <c r="OKR18" s="72"/>
      <c r="OKS18" s="72"/>
      <c r="OKT18" s="72"/>
      <c r="OKU18" s="72"/>
      <c r="OKV18" s="72"/>
      <c r="OKW18" s="72"/>
      <c r="OKX18" s="72"/>
      <c r="OKY18" s="72"/>
      <c r="OKZ18" s="72"/>
      <c r="OLA18" s="72"/>
      <c r="OLB18" s="72"/>
      <c r="OLC18" s="72"/>
      <c r="OLD18" s="72"/>
      <c r="OLE18" s="72"/>
      <c r="OLF18" s="72"/>
      <c r="OLG18" s="72"/>
      <c r="OLH18" s="72"/>
      <c r="OLI18" s="72"/>
      <c r="OLJ18" s="72"/>
      <c r="OLK18" s="72"/>
      <c r="OLL18" s="72"/>
      <c r="OLM18" s="72"/>
      <c r="OLN18" s="72"/>
      <c r="OLO18" s="72"/>
      <c r="OLP18" s="72"/>
      <c r="OLQ18" s="72"/>
      <c r="OLR18" s="72"/>
      <c r="OLS18" s="72"/>
      <c r="OLT18" s="72"/>
      <c r="OLU18" s="72"/>
      <c r="OLV18" s="72"/>
      <c r="OLW18" s="72"/>
      <c r="OLX18" s="72"/>
      <c r="OLY18" s="72"/>
      <c r="OLZ18" s="72"/>
      <c r="OMA18" s="72"/>
      <c r="OMB18" s="72"/>
      <c r="OMC18" s="72"/>
      <c r="OMD18" s="72"/>
      <c r="OME18" s="72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72"/>
      <c r="OMX18" s="72"/>
      <c r="OMY18" s="72"/>
      <c r="OMZ18" s="72"/>
      <c r="ONA18" s="72"/>
      <c r="ONB18" s="72"/>
      <c r="ONC18" s="72"/>
      <c r="OND18" s="72"/>
      <c r="ONE18" s="72"/>
      <c r="ONF18" s="72"/>
      <c r="ONG18" s="72"/>
      <c r="ONH18" s="72"/>
      <c r="ONI18" s="72"/>
      <c r="ONJ18" s="72"/>
      <c r="ONK18" s="72"/>
      <c r="ONL18" s="72"/>
      <c r="ONM18" s="72"/>
      <c r="ONN18" s="72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72"/>
      <c r="OOG18" s="72"/>
      <c r="OOH18" s="72"/>
      <c r="OOI18" s="72"/>
      <c r="OOJ18" s="72"/>
      <c r="OOK18" s="72"/>
      <c r="OOL18" s="72"/>
      <c r="OOM18" s="72"/>
      <c r="OON18" s="72"/>
      <c r="OOO18" s="72"/>
      <c r="OOP18" s="72"/>
      <c r="OOQ18" s="72"/>
      <c r="OOR18" s="72"/>
      <c r="OOS18" s="72"/>
      <c r="OOT18" s="72"/>
      <c r="OOU18" s="72"/>
      <c r="OOV18" s="72"/>
      <c r="OOW18" s="72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72"/>
      <c r="OPP18" s="72"/>
      <c r="OPQ18" s="72"/>
      <c r="OPR18" s="72"/>
      <c r="OPS18" s="72"/>
      <c r="OPT18" s="72"/>
      <c r="OPU18" s="72"/>
      <c r="OPV18" s="72"/>
      <c r="OPW18" s="72"/>
      <c r="OPX18" s="72"/>
      <c r="OPY18" s="72"/>
      <c r="OPZ18" s="72"/>
      <c r="OQA18" s="72"/>
      <c r="OQB18" s="72"/>
      <c r="OQC18" s="72"/>
      <c r="OQD18" s="72"/>
      <c r="OQE18" s="72"/>
      <c r="OQF18" s="72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72"/>
      <c r="OQY18" s="72"/>
      <c r="OQZ18" s="72"/>
      <c r="ORA18" s="72"/>
      <c r="ORB18" s="72"/>
      <c r="ORC18" s="72"/>
      <c r="ORD18" s="72"/>
      <c r="ORE18" s="72"/>
      <c r="ORF18" s="72"/>
      <c r="ORG18" s="72"/>
      <c r="ORH18" s="72"/>
      <c r="ORI18" s="72"/>
      <c r="ORJ18" s="72"/>
      <c r="ORK18" s="72"/>
      <c r="ORL18" s="72"/>
      <c r="ORM18" s="72"/>
      <c r="ORN18" s="72"/>
      <c r="ORO18" s="72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72"/>
      <c r="OSH18" s="72"/>
      <c r="OSI18" s="72"/>
      <c r="OSJ18" s="72"/>
      <c r="OSK18" s="72"/>
      <c r="OSL18" s="72"/>
      <c r="OSM18" s="72"/>
      <c r="OSN18" s="72"/>
      <c r="OSO18" s="72"/>
      <c r="OSP18" s="72"/>
      <c r="OSQ18" s="72"/>
      <c r="OSR18" s="72"/>
      <c r="OSS18" s="72"/>
      <c r="OST18" s="72"/>
      <c r="OSU18" s="72"/>
      <c r="OSV18" s="72"/>
      <c r="OSW18" s="72"/>
      <c r="OSX18" s="72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72"/>
      <c r="OTQ18" s="72"/>
      <c r="OTR18" s="72"/>
      <c r="OTS18" s="72"/>
      <c r="OTT18" s="72"/>
      <c r="OTU18" s="72"/>
      <c r="OTV18" s="72"/>
      <c r="OTW18" s="72"/>
      <c r="OTX18" s="72"/>
      <c r="OTY18" s="72"/>
      <c r="OTZ18" s="72"/>
      <c r="OUA18" s="72"/>
      <c r="OUB18" s="72"/>
      <c r="OUC18" s="72"/>
      <c r="OUD18" s="72"/>
      <c r="OUE18" s="72"/>
      <c r="OUF18" s="72"/>
      <c r="OUG18" s="72"/>
      <c r="OUH18" s="72"/>
      <c r="OUI18" s="72"/>
      <c r="OUJ18" s="72"/>
      <c r="OUK18" s="72"/>
      <c r="OUL18" s="72"/>
      <c r="OUM18" s="72"/>
      <c r="OUN18" s="72"/>
      <c r="OUO18" s="72"/>
      <c r="OUP18" s="72"/>
      <c r="OUQ18" s="72"/>
      <c r="OUR18" s="72"/>
      <c r="OUS18" s="72"/>
      <c r="OUT18" s="72"/>
      <c r="OUU18" s="72"/>
      <c r="OUV18" s="72"/>
      <c r="OUW18" s="72"/>
      <c r="OUX18" s="72"/>
      <c r="OUY18" s="72"/>
      <c r="OUZ18" s="72"/>
      <c r="OVA18" s="72"/>
      <c r="OVB18" s="72"/>
      <c r="OVC18" s="72"/>
      <c r="OVD18" s="72"/>
      <c r="OVE18" s="72"/>
      <c r="OVF18" s="72"/>
      <c r="OVG18" s="72"/>
      <c r="OVH18" s="72"/>
      <c r="OVI18" s="72"/>
      <c r="OVJ18" s="72"/>
      <c r="OVK18" s="72"/>
      <c r="OVL18" s="72"/>
      <c r="OVM18" s="72"/>
      <c r="OVN18" s="72"/>
      <c r="OVO18" s="72"/>
      <c r="OVP18" s="72"/>
      <c r="OVQ18" s="72"/>
      <c r="OVR18" s="72"/>
      <c r="OVS18" s="72"/>
      <c r="OVT18" s="72"/>
      <c r="OVU18" s="72"/>
      <c r="OVV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72"/>
      <c r="OWI18" s="72"/>
      <c r="OWJ18" s="72"/>
      <c r="OWK18" s="72"/>
      <c r="OWL18" s="72"/>
      <c r="OWM18" s="72"/>
      <c r="OWN18" s="72"/>
      <c r="OWO18" s="72"/>
      <c r="OWP18" s="72"/>
      <c r="OWQ18" s="72"/>
      <c r="OWR18" s="72"/>
      <c r="OWS18" s="72"/>
      <c r="OWT18" s="72"/>
      <c r="OWU18" s="72"/>
      <c r="OWV18" s="72"/>
      <c r="OWW18" s="72"/>
      <c r="OWX18" s="72"/>
      <c r="OWY18" s="72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72"/>
      <c r="OXR18" s="72"/>
      <c r="OXS18" s="72"/>
      <c r="OXT18" s="72"/>
      <c r="OXU18" s="72"/>
      <c r="OXV18" s="72"/>
      <c r="OXW18" s="72"/>
      <c r="OXX18" s="72"/>
      <c r="OXY18" s="72"/>
      <c r="OXZ18" s="72"/>
      <c r="OYA18" s="72"/>
      <c r="OYB18" s="72"/>
      <c r="OYC18" s="72"/>
      <c r="OYD18" s="72"/>
      <c r="OYE18" s="72"/>
      <c r="OYF18" s="72"/>
      <c r="OYG18" s="72"/>
      <c r="OYH18" s="72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72"/>
      <c r="OZA18" s="72"/>
      <c r="OZB18" s="72"/>
      <c r="OZC18" s="72"/>
      <c r="OZD18" s="72"/>
      <c r="OZE18" s="72"/>
      <c r="OZF18" s="72"/>
      <c r="OZG18" s="72"/>
      <c r="OZH18" s="72"/>
      <c r="OZI18" s="72"/>
      <c r="OZJ18" s="72"/>
      <c r="OZK18" s="72"/>
      <c r="OZL18" s="72"/>
      <c r="OZM18" s="72"/>
      <c r="OZN18" s="72"/>
      <c r="OZO18" s="72"/>
      <c r="OZP18" s="72"/>
      <c r="OZQ18" s="72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72"/>
      <c r="PAJ18" s="72"/>
      <c r="PAK18" s="72"/>
      <c r="PAL18" s="72"/>
      <c r="PAM18" s="72"/>
      <c r="PAN18" s="72"/>
      <c r="PAO18" s="72"/>
      <c r="PAP18" s="72"/>
      <c r="PAQ18" s="72"/>
      <c r="PAR18" s="72"/>
      <c r="PAS18" s="72"/>
      <c r="PAT18" s="72"/>
      <c r="PAU18" s="72"/>
      <c r="PAV18" s="72"/>
      <c r="PAW18" s="72"/>
      <c r="PAX18" s="72"/>
      <c r="PAY18" s="72"/>
      <c r="PAZ18" s="72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72"/>
      <c r="PBS18" s="72"/>
      <c r="PBT18" s="72"/>
      <c r="PBU18" s="72"/>
      <c r="PBV18" s="72"/>
      <c r="PBW18" s="72"/>
      <c r="PBX18" s="72"/>
      <c r="PBY18" s="72"/>
      <c r="PBZ18" s="72"/>
      <c r="PCA18" s="72"/>
      <c r="PCB18" s="72"/>
      <c r="PCC18" s="72"/>
      <c r="PCD18" s="72"/>
      <c r="PCE18" s="72"/>
      <c r="PCF18" s="72"/>
      <c r="PCG18" s="72"/>
      <c r="PCH18" s="72"/>
      <c r="PCI18" s="72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72"/>
      <c r="PDB18" s="72"/>
      <c r="PDC18" s="72"/>
      <c r="PDD18" s="72"/>
      <c r="PDE18" s="72"/>
      <c r="PDF18" s="72"/>
      <c r="PDG18" s="72"/>
      <c r="PDH18" s="72"/>
      <c r="PDI18" s="72"/>
      <c r="PDJ18" s="72"/>
      <c r="PDK18" s="72"/>
      <c r="PDL18" s="72"/>
      <c r="PDM18" s="72"/>
      <c r="PDN18" s="72"/>
      <c r="PDO18" s="72"/>
      <c r="PDP18" s="72"/>
      <c r="PDQ18" s="72"/>
      <c r="PDR18" s="72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72"/>
      <c r="PEK18" s="72"/>
      <c r="PEL18" s="72"/>
      <c r="PEM18" s="72"/>
      <c r="PEN18" s="72"/>
      <c r="PEO18" s="72"/>
      <c r="PEP18" s="72"/>
      <c r="PEQ18" s="72"/>
      <c r="PER18" s="72"/>
      <c r="PES18" s="72"/>
      <c r="PET18" s="72"/>
      <c r="PEU18" s="72"/>
      <c r="PEV18" s="72"/>
      <c r="PEW18" s="72"/>
      <c r="PEX18" s="72"/>
      <c r="PEY18" s="72"/>
      <c r="PEZ18" s="72"/>
      <c r="PFA18" s="72"/>
      <c r="PFB18" s="72"/>
      <c r="PFC18" s="72"/>
      <c r="PFD18" s="72"/>
      <c r="PFE18" s="72"/>
      <c r="PFF18" s="72"/>
      <c r="PFG18" s="72"/>
      <c r="PFH18" s="72"/>
      <c r="PFI18" s="72"/>
      <c r="PFJ18" s="72"/>
      <c r="PFK18" s="72"/>
      <c r="PFL18" s="72"/>
      <c r="PFM18" s="72"/>
      <c r="PFN18" s="72"/>
      <c r="PFO18" s="72"/>
      <c r="PFP18" s="72"/>
      <c r="PFQ18" s="72"/>
      <c r="PFR18" s="72"/>
      <c r="PFS18" s="72"/>
      <c r="PFT18" s="72"/>
      <c r="PFU18" s="72"/>
      <c r="PFV18" s="72"/>
      <c r="PFW18" s="72"/>
      <c r="PFX18" s="72"/>
      <c r="PFY18" s="72"/>
      <c r="PFZ18" s="72"/>
      <c r="PGA18" s="72"/>
      <c r="PGB18" s="72"/>
      <c r="PGC18" s="72"/>
      <c r="PGD18" s="72"/>
      <c r="PGE18" s="72"/>
      <c r="PGF18" s="72"/>
      <c r="PGG18" s="72"/>
      <c r="PGH18" s="72"/>
      <c r="PGI18" s="72"/>
      <c r="PGJ18" s="72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72"/>
      <c r="PHC18" s="72"/>
      <c r="PHD18" s="72"/>
      <c r="PHE18" s="72"/>
      <c r="PHF18" s="72"/>
      <c r="PHG18" s="72"/>
      <c r="PHH18" s="72"/>
      <c r="PHI18" s="72"/>
      <c r="PHJ18" s="72"/>
      <c r="PHK18" s="72"/>
      <c r="PHL18" s="72"/>
      <c r="PHM18" s="72"/>
      <c r="PHN18" s="72"/>
      <c r="PHO18" s="72"/>
      <c r="PHP18" s="72"/>
      <c r="PHQ18" s="72"/>
      <c r="PHR18" s="72"/>
      <c r="PHS18" s="72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72"/>
      <c r="PIL18" s="72"/>
      <c r="PIM18" s="72"/>
      <c r="PIN18" s="72"/>
      <c r="PIO18" s="72"/>
      <c r="PIP18" s="72"/>
      <c r="PIQ18" s="72"/>
      <c r="PIR18" s="72"/>
      <c r="PIS18" s="72"/>
      <c r="PIT18" s="72"/>
      <c r="PIU18" s="72"/>
      <c r="PIV18" s="72"/>
      <c r="PIW18" s="72"/>
      <c r="PIX18" s="72"/>
      <c r="PIY18" s="72"/>
      <c r="PIZ18" s="72"/>
      <c r="PJA18" s="72"/>
      <c r="PJB18" s="72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72"/>
      <c r="PJU18" s="72"/>
      <c r="PJV18" s="72"/>
      <c r="PJW18" s="72"/>
      <c r="PJX18" s="72"/>
      <c r="PJY18" s="72"/>
      <c r="PJZ18" s="72"/>
      <c r="PKA18" s="72"/>
      <c r="PKB18" s="72"/>
      <c r="PKC18" s="72"/>
      <c r="PKD18" s="72"/>
      <c r="PKE18" s="72"/>
      <c r="PKF18" s="72"/>
      <c r="PKG18" s="72"/>
      <c r="PKH18" s="72"/>
      <c r="PKI18" s="72"/>
      <c r="PKJ18" s="72"/>
      <c r="PKK18" s="72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72"/>
      <c r="PLD18" s="72"/>
      <c r="PLE18" s="72"/>
      <c r="PLF18" s="72"/>
      <c r="PLG18" s="72"/>
      <c r="PLH18" s="72"/>
      <c r="PLI18" s="72"/>
      <c r="PLJ18" s="72"/>
      <c r="PLK18" s="72"/>
      <c r="PLL18" s="72"/>
      <c r="PLM18" s="72"/>
      <c r="PLN18" s="72"/>
      <c r="PLO18" s="72"/>
      <c r="PLP18" s="72"/>
      <c r="PLQ18" s="72"/>
      <c r="PLR18" s="72"/>
      <c r="PLS18" s="72"/>
      <c r="PLT18" s="72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72"/>
      <c r="PMM18" s="72"/>
      <c r="PMN18" s="72"/>
      <c r="PMO18" s="72"/>
      <c r="PMP18" s="72"/>
      <c r="PMQ18" s="72"/>
      <c r="PMR18" s="72"/>
      <c r="PMS18" s="72"/>
      <c r="PMT18" s="72"/>
      <c r="PMU18" s="72"/>
      <c r="PMV18" s="72"/>
      <c r="PMW18" s="72"/>
      <c r="PMX18" s="72"/>
      <c r="PMY18" s="72"/>
      <c r="PMZ18" s="72"/>
      <c r="PNA18" s="72"/>
      <c r="PNB18" s="72"/>
      <c r="PNC18" s="72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72"/>
      <c r="PNV18" s="72"/>
      <c r="PNW18" s="72"/>
      <c r="PNX18" s="72"/>
      <c r="PNY18" s="72"/>
      <c r="PNZ18" s="72"/>
      <c r="POA18" s="72"/>
      <c r="POB18" s="72"/>
      <c r="POC18" s="72"/>
      <c r="POD18" s="72"/>
      <c r="POE18" s="72"/>
      <c r="POF18" s="72"/>
      <c r="POG18" s="72"/>
      <c r="POH18" s="72"/>
      <c r="POI18" s="72"/>
      <c r="POJ18" s="72"/>
      <c r="POK18" s="72"/>
      <c r="POL18" s="72"/>
      <c r="POM18" s="72"/>
      <c r="PON18" s="72"/>
      <c r="POO18" s="72"/>
      <c r="POP18" s="72"/>
      <c r="POQ18" s="72"/>
      <c r="POR18" s="72"/>
      <c r="POS18" s="72"/>
      <c r="POT18" s="72"/>
      <c r="POU18" s="72"/>
      <c r="POV18" s="72"/>
      <c r="POW18" s="72"/>
      <c r="POX18" s="72"/>
      <c r="POY18" s="72"/>
      <c r="POZ18" s="72"/>
      <c r="PPA18" s="72"/>
      <c r="PPB18" s="72"/>
      <c r="PPC18" s="72"/>
      <c r="PPD18" s="72"/>
      <c r="PPE18" s="72"/>
      <c r="PPF18" s="72"/>
      <c r="PPG18" s="72"/>
      <c r="PPH18" s="72"/>
      <c r="PPI18" s="72"/>
      <c r="PPJ18" s="72"/>
      <c r="PPK18" s="72"/>
      <c r="PPL18" s="72"/>
      <c r="PPM18" s="72"/>
      <c r="PPN18" s="72"/>
      <c r="PPO18" s="72"/>
      <c r="PPP18" s="72"/>
      <c r="PPQ18" s="72"/>
      <c r="PPR18" s="72"/>
      <c r="PPS18" s="72"/>
      <c r="PPT18" s="72"/>
      <c r="PPU18" s="72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72"/>
      <c r="PQN18" s="72"/>
      <c r="PQO18" s="72"/>
      <c r="PQP18" s="72"/>
      <c r="PQQ18" s="72"/>
      <c r="PQR18" s="72"/>
      <c r="PQS18" s="72"/>
      <c r="PQT18" s="72"/>
      <c r="PQU18" s="72"/>
      <c r="PQV18" s="72"/>
      <c r="PQW18" s="72"/>
      <c r="PQX18" s="72"/>
      <c r="PQY18" s="72"/>
      <c r="PQZ18" s="72"/>
      <c r="PRA18" s="72"/>
      <c r="PRB18" s="72"/>
      <c r="PRC18" s="72"/>
      <c r="PRD18" s="72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72"/>
      <c r="PRW18" s="72"/>
      <c r="PRX18" s="72"/>
      <c r="PRY18" s="72"/>
      <c r="PRZ18" s="72"/>
      <c r="PSA18" s="72"/>
      <c r="PSB18" s="72"/>
      <c r="PSC18" s="72"/>
      <c r="PSD18" s="72"/>
      <c r="PSE18" s="72"/>
      <c r="PSF18" s="72"/>
      <c r="PSG18" s="72"/>
      <c r="PSH18" s="72"/>
      <c r="PSI18" s="72"/>
      <c r="PSJ18" s="72"/>
      <c r="PSK18" s="72"/>
      <c r="PSL18" s="72"/>
      <c r="PSM18" s="72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72"/>
      <c r="PTF18" s="72"/>
      <c r="PTG18" s="72"/>
      <c r="PTH18" s="72"/>
      <c r="PTI18" s="72"/>
      <c r="PTJ18" s="72"/>
      <c r="PTK18" s="72"/>
      <c r="PTL18" s="72"/>
      <c r="PTM18" s="72"/>
      <c r="PTN18" s="72"/>
      <c r="PTO18" s="72"/>
      <c r="PTP18" s="72"/>
      <c r="PTQ18" s="72"/>
      <c r="PTR18" s="72"/>
      <c r="PTS18" s="72"/>
      <c r="PTT18" s="72"/>
      <c r="PTU18" s="72"/>
      <c r="PTV18" s="72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72"/>
      <c r="PUO18" s="72"/>
      <c r="PUP18" s="72"/>
      <c r="PUQ18" s="72"/>
      <c r="PUR18" s="72"/>
      <c r="PUS18" s="72"/>
      <c r="PUT18" s="72"/>
      <c r="PUU18" s="72"/>
      <c r="PUV18" s="72"/>
      <c r="PUW18" s="72"/>
      <c r="PUX18" s="72"/>
      <c r="PUY18" s="72"/>
      <c r="PUZ18" s="72"/>
      <c r="PVA18" s="72"/>
      <c r="PVB18" s="72"/>
      <c r="PVC18" s="72"/>
      <c r="PVD18" s="72"/>
      <c r="PVE18" s="72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72"/>
      <c r="PVX18" s="72"/>
      <c r="PVY18" s="72"/>
      <c r="PVZ18" s="72"/>
      <c r="PWA18" s="72"/>
      <c r="PWB18" s="72"/>
      <c r="PWC18" s="72"/>
      <c r="PWD18" s="72"/>
      <c r="PWE18" s="72"/>
      <c r="PWF18" s="72"/>
      <c r="PWG18" s="72"/>
      <c r="PWH18" s="72"/>
      <c r="PWI18" s="72"/>
      <c r="PWJ18" s="72"/>
      <c r="PWK18" s="72"/>
      <c r="PWL18" s="72"/>
      <c r="PWM18" s="72"/>
      <c r="PWN18" s="72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72"/>
      <c r="PXG18" s="72"/>
      <c r="PXH18" s="72"/>
      <c r="PXI18" s="72"/>
      <c r="PXJ18" s="72"/>
      <c r="PXK18" s="72"/>
      <c r="PXL18" s="72"/>
      <c r="PXM18" s="72"/>
      <c r="PXN18" s="72"/>
      <c r="PXO18" s="72"/>
      <c r="PXP18" s="72"/>
      <c r="PXQ18" s="72"/>
      <c r="PXR18" s="72"/>
      <c r="PXS18" s="72"/>
      <c r="PXT18" s="72"/>
      <c r="PXU18" s="72"/>
      <c r="PXV18" s="72"/>
      <c r="PXW18" s="72"/>
      <c r="PXX18" s="72"/>
      <c r="PXY18" s="72"/>
      <c r="PXZ18" s="72"/>
      <c r="PYA18" s="72"/>
      <c r="PYB18" s="72"/>
      <c r="PYC18" s="72"/>
      <c r="PYD18" s="72"/>
      <c r="PYE18" s="72"/>
      <c r="PYF18" s="72"/>
      <c r="PYG18" s="72"/>
      <c r="PYH18" s="72"/>
      <c r="PYI18" s="72"/>
      <c r="PYJ18" s="72"/>
      <c r="PYK18" s="72"/>
      <c r="PYL18" s="72"/>
      <c r="PYM18" s="72"/>
      <c r="PYN18" s="72"/>
      <c r="PYO18" s="72"/>
      <c r="PYP18" s="72"/>
      <c r="PYQ18" s="72"/>
      <c r="PYR18" s="72"/>
      <c r="PYS18" s="72"/>
      <c r="PYT18" s="72"/>
      <c r="PYU18" s="72"/>
      <c r="PYV18" s="72"/>
      <c r="PYW18" s="72"/>
      <c r="PYX18" s="72"/>
      <c r="PYY18" s="72"/>
      <c r="PYZ18" s="72"/>
      <c r="PZA18" s="72"/>
      <c r="PZB18" s="72"/>
      <c r="PZC18" s="72"/>
      <c r="PZD18" s="72"/>
      <c r="PZE18" s="72"/>
      <c r="PZF18" s="72"/>
      <c r="PZG18" s="72"/>
      <c r="PZH18" s="72"/>
      <c r="PZI18" s="72"/>
      <c r="PZJ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72"/>
      <c r="PZY18" s="72"/>
      <c r="PZZ18" s="72"/>
      <c r="QAA18" s="72"/>
      <c r="QAB18" s="72"/>
      <c r="QAC18" s="72"/>
      <c r="QAD18" s="72"/>
      <c r="QAE18" s="72"/>
      <c r="QAF18" s="72"/>
      <c r="QAG18" s="72"/>
      <c r="QAH18" s="72"/>
      <c r="QAI18" s="72"/>
      <c r="QAJ18" s="72"/>
      <c r="QAK18" s="72"/>
      <c r="QAL18" s="72"/>
      <c r="QAM18" s="72"/>
      <c r="QAN18" s="72"/>
      <c r="QAO18" s="72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72"/>
      <c r="QBH18" s="72"/>
      <c r="QBI18" s="72"/>
      <c r="QBJ18" s="72"/>
      <c r="QBK18" s="72"/>
      <c r="QBL18" s="72"/>
      <c r="QBM18" s="72"/>
      <c r="QBN18" s="72"/>
      <c r="QBO18" s="72"/>
      <c r="QBP18" s="72"/>
      <c r="QBQ18" s="72"/>
      <c r="QBR18" s="72"/>
      <c r="QBS18" s="72"/>
      <c r="QBT18" s="72"/>
      <c r="QBU18" s="72"/>
      <c r="QBV18" s="72"/>
      <c r="QBW18" s="72"/>
      <c r="QBX18" s="72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72"/>
      <c r="QCQ18" s="72"/>
      <c r="QCR18" s="72"/>
      <c r="QCS18" s="72"/>
      <c r="QCT18" s="72"/>
      <c r="QCU18" s="72"/>
      <c r="QCV18" s="72"/>
      <c r="QCW18" s="72"/>
      <c r="QCX18" s="72"/>
      <c r="QCY18" s="72"/>
      <c r="QCZ18" s="72"/>
      <c r="QDA18" s="72"/>
      <c r="QDB18" s="72"/>
      <c r="QDC18" s="72"/>
      <c r="QDD18" s="72"/>
      <c r="QDE18" s="72"/>
      <c r="QDF18" s="72"/>
      <c r="QDG18" s="72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72"/>
      <c r="QDZ18" s="72"/>
      <c r="QEA18" s="72"/>
      <c r="QEB18" s="72"/>
      <c r="QEC18" s="72"/>
      <c r="QED18" s="72"/>
      <c r="QEE18" s="72"/>
      <c r="QEF18" s="72"/>
      <c r="QEG18" s="72"/>
      <c r="QEH18" s="72"/>
      <c r="QEI18" s="72"/>
      <c r="QEJ18" s="72"/>
      <c r="QEK18" s="72"/>
      <c r="QEL18" s="72"/>
      <c r="QEM18" s="72"/>
      <c r="QEN18" s="72"/>
      <c r="QEO18" s="72"/>
      <c r="QEP18" s="72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72"/>
      <c r="QFI18" s="72"/>
      <c r="QFJ18" s="72"/>
      <c r="QFK18" s="72"/>
      <c r="QFL18" s="72"/>
      <c r="QFM18" s="72"/>
      <c r="QFN18" s="72"/>
      <c r="QFO18" s="72"/>
      <c r="QFP18" s="72"/>
      <c r="QFQ18" s="72"/>
      <c r="QFR18" s="72"/>
      <c r="QFS18" s="72"/>
      <c r="QFT18" s="72"/>
      <c r="QFU18" s="72"/>
      <c r="QFV18" s="72"/>
      <c r="QFW18" s="72"/>
      <c r="QFX18" s="72"/>
      <c r="QFY18" s="72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72"/>
      <c r="QGR18" s="72"/>
      <c r="QGS18" s="72"/>
      <c r="QGT18" s="72"/>
      <c r="QGU18" s="72"/>
      <c r="QGV18" s="72"/>
      <c r="QGW18" s="72"/>
      <c r="QGX18" s="72"/>
      <c r="QGY18" s="72"/>
      <c r="QGZ18" s="72"/>
      <c r="QHA18" s="72"/>
      <c r="QHB18" s="72"/>
      <c r="QHC18" s="72"/>
      <c r="QHD18" s="72"/>
      <c r="QHE18" s="72"/>
      <c r="QHF18" s="72"/>
      <c r="QHG18" s="72"/>
      <c r="QHH18" s="72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72"/>
      <c r="QIA18" s="72"/>
      <c r="QIB18" s="72"/>
      <c r="QIC18" s="72"/>
      <c r="QID18" s="72"/>
      <c r="QIE18" s="72"/>
      <c r="QIF18" s="72"/>
      <c r="QIG18" s="72"/>
      <c r="QIH18" s="72"/>
      <c r="QII18" s="72"/>
      <c r="QIJ18" s="72"/>
      <c r="QIK18" s="72"/>
      <c r="QIL18" s="72"/>
      <c r="QIM18" s="72"/>
      <c r="QIN18" s="72"/>
      <c r="QIO18" s="72"/>
      <c r="QIP18" s="72"/>
      <c r="QIQ18" s="72"/>
      <c r="QIR18" s="72"/>
      <c r="QIS18" s="72"/>
      <c r="QIT18" s="72"/>
      <c r="QIU18" s="72"/>
      <c r="QIV18" s="72"/>
      <c r="QIW18" s="72"/>
      <c r="QIX18" s="72"/>
      <c r="QIY18" s="72"/>
      <c r="QIZ18" s="72"/>
      <c r="QJA18" s="72"/>
      <c r="QJB18" s="72"/>
      <c r="QJC18" s="72"/>
      <c r="QJD18" s="72"/>
      <c r="QJE18" s="72"/>
      <c r="QJF18" s="72"/>
      <c r="QJG18" s="72"/>
      <c r="QJH18" s="72"/>
      <c r="QJI18" s="72"/>
      <c r="QJJ18" s="72"/>
      <c r="QJK18" s="72"/>
      <c r="QJL18" s="72"/>
      <c r="QJM18" s="72"/>
      <c r="QJN18" s="72"/>
      <c r="QJO18" s="72"/>
      <c r="QJP18" s="72"/>
      <c r="QJQ18" s="72"/>
      <c r="QJR18" s="72"/>
      <c r="QJS18" s="72"/>
      <c r="QJT18" s="72"/>
      <c r="QJU18" s="72"/>
      <c r="QJV18" s="72"/>
      <c r="QJW18" s="72"/>
      <c r="QJX18" s="72"/>
      <c r="QJY18" s="72"/>
      <c r="QJZ18" s="72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72"/>
      <c r="QKS18" s="72"/>
      <c r="QKT18" s="72"/>
      <c r="QKU18" s="72"/>
      <c r="QKV18" s="72"/>
      <c r="QKW18" s="72"/>
      <c r="QKX18" s="72"/>
      <c r="QKY18" s="72"/>
      <c r="QKZ18" s="72"/>
      <c r="QLA18" s="72"/>
      <c r="QLB18" s="72"/>
      <c r="QLC18" s="72"/>
      <c r="QLD18" s="72"/>
      <c r="QLE18" s="72"/>
      <c r="QLF18" s="72"/>
      <c r="QLG18" s="72"/>
      <c r="QLH18" s="72"/>
      <c r="QLI18" s="72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72"/>
      <c r="QMB18" s="72"/>
      <c r="QMC18" s="72"/>
      <c r="QMD18" s="72"/>
      <c r="QME18" s="72"/>
      <c r="QMF18" s="72"/>
      <c r="QMG18" s="72"/>
      <c r="QMH18" s="72"/>
      <c r="QMI18" s="72"/>
      <c r="QMJ18" s="72"/>
      <c r="QMK18" s="72"/>
      <c r="QML18" s="72"/>
      <c r="QMM18" s="72"/>
      <c r="QMN18" s="72"/>
      <c r="QMO18" s="72"/>
      <c r="QMP18" s="72"/>
      <c r="QMQ18" s="72"/>
      <c r="QMR18" s="72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72"/>
      <c r="QNK18" s="72"/>
      <c r="QNL18" s="72"/>
      <c r="QNM18" s="72"/>
      <c r="QNN18" s="72"/>
      <c r="QNO18" s="72"/>
      <c r="QNP18" s="72"/>
      <c r="QNQ18" s="72"/>
      <c r="QNR18" s="72"/>
      <c r="QNS18" s="72"/>
      <c r="QNT18" s="72"/>
      <c r="QNU18" s="72"/>
      <c r="QNV18" s="72"/>
      <c r="QNW18" s="72"/>
      <c r="QNX18" s="72"/>
      <c r="QNY18" s="72"/>
      <c r="QNZ18" s="72"/>
      <c r="QOA18" s="72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72"/>
      <c r="QOT18" s="72"/>
      <c r="QOU18" s="72"/>
      <c r="QOV18" s="72"/>
      <c r="QOW18" s="72"/>
      <c r="QOX18" s="72"/>
      <c r="QOY18" s="72"/>
      <c r="QOZ18" s="72"/>
      <c r="QPA18" s="72"/>
      <c r="QPB18" s="72"/>
      <c r="QPC18" s="72"/>
      <c r="QPD18" s="72"/>
      <c r="QPE18" s="72"/>
      <c r="QPF18" s="72"/>
      <c r="QPG18" s="72"/>
      <c r="QPH18" s="72"/>
      <c r="QPI18" s="72"/>
      <c r="QPJ18" s="72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72"/>
      <c r="QQC18" s="72"/>
      <c r="QQD18" s="72"/>
      <c r="QQE18" s="72"/>
      <c r="QQF18" s="72"/>
      <c r="QQG18" s="72"/>
      <c r="QQH18" s="72"/>
      <c r="QQI18" s="72"/>
      <c r="QQJ18" s="72"/>
      <c r="QQK18" s="72"/>
      <c r="QQL18" s="72"/>
      <c r="QQM18" s="72"/>
      <c r="QQN18" s="72"/>
      <c r="QQO18" s="72"/>
      <c r="QQP18" s="72"/>
      <c r="QQQ18" s="72"/>
      <c r="QQR18" s="72"/>
      <c r="QQS18" s="72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72"/>
      <c r="QRL18" s="72"/>
      <c r="QRM18" s="72"/>
      <c r="QRN18" s="72"/>
      <c r="QRO18" s="72"/>
      <c r="QRP18" s="72"/>
      <c r="QRQ18" s="72"/>
      <c r="QRR18" s="72"/>
      <c r="QRS18" s="72"/>
      <c r="QRT18" s="72"/>
      <c r="QRU18" s="72"/>
      <c r="QRV18" s="72"/>
      <c r="QRW18" s="72"/>
      <c r="QRX18" s="72"/>
      <c r="QRY18" s="72"/>
      <c r="QRZ18" s="72"/>
      <c r="QSA18" s="72"/>
      <c r="QSB18" s="72"/>
      <c r="QSC18" s="72"/>
      <c r="QSD18" s="72"/>
      <c r="QSE18" s="72"/>
      <c r="QSF18" s="72"/>
      <c r="QSG18" s="72"/>
      <c r="QSH18" s="72"/>
      <c r="QSI18" s="72"/>
      <c r="QSJ18" s="72"/>
      <c r="QSK18" s="72"/>
      <c r="QSL18" s="72"/>
      <c r="QSM18" s="72"/>
      <c r="QSN18" s="72"/>
      <c r="QSO18" s="72"/>
      <c r="QSP18" s="72"/>
      <c r="QSQ18" s="72"/>
      <c r="QSR18" s="72"/>
      <c r="QSS18" s="72"/>
      <c r="QST18" s="72"/>
      <c r="QSU18" s="72"/>
      <c r="QSV18" s="72"/>
      <c r="QSW18" s="72"/>
      <c r="QSX18" s="72"/>
      <c r="QSY18" s="72"/>
      <c r="QSZ18" s="72"/>
      <c r="QTA18" s="72"/>
      <c r="QTB18" s="72"/>
      <c r="QTC18" s="72"/>
      <c r="QTD18" s="72"/>
      <c r="QTE18" s="72"/>
      <c r="QTF18" s="72"/>
      <c r="QTG18" s="72"/>
      <c r="QTH18" s="72"/>
      <c r="QTI18" s="72"/>
      <c r="QTJ18" s="72"/>
      <c r="QTK18" s="72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72"/>
      <c r="QUD18" s="72"/>
      <c r="QUE18" s="72"/>
      <c r="QUF18" s="72"/>
      <c r="QUG18" s="72"/>
      <c r="QUH18" s="72"/>
      <c r="QUI18" s="72"/>
      <c r="QUJ18" s="72"/>
      <c r="QUK18" s="72"/>
      <c r="QUL18" s="72"/>
      <c r="QUM18" s="72"/>
      <c r="QUN18" s="72"/>
      <c r="QUO18" s="72"/>
      <c r="QUP18" s="72"/>
      <c r="QUQ18" s="72"/>
      <c r="QUR18" s="72"/>
      <c r="QUS18" s="72"/>
      <c r="QUT18" s="72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72"/>
      <c r="QVM18" s="72"/>
      <c r="QVN18" s="72"/>
      <c r="QVO18" s="72"/>
      <c r="QVP18" s="72"/>
      <c r="QVQ18" s="72"/>
      <c r="QVR18" s="72"/>
      <c r="QVS18" s="72"/>
      <c r="QVT18" s="72"/>
      <c r="QVU18" s="72"/>
      <c r="QVV18" s="72"/>
      <c r="QVW18" s="72"/>
      <c r="QVX18" s="72"/>
      <c r="QVY18" s="72"/>
      <c r="QVZ18" s="72"/>
      <c r="QWA18" s="72"/>
      <c r="QWB18" s="72"/>
      <c r="QWC18" s="72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72"/>
      <c r="QWV18" s="72"/>
      <c r="QWW18" s="72"/>
      <c r="QWX18" s="72"/>
      <c r="QWY18" s="72"/>
      <c r="QWZ18" s="72"/>
      <c r="QXA18" s="72"/>
      <c r="QXB18" s="72"/>
      <c r="QXC18" s="72"/>
      <c r="QXD18" s="72"/>
      <c r="QXE18" s="72"/>
      <c r="QXF18" s="72"/>
      <c r="QXG18" s="72"/>
      <c r="QXH18" s="72"/>
      <c r="QXI18" s="72"/>
      <c r="QXJ18" s="72"/>
      <c r="QXK18" s="72"/>
      <c r="QXL18" s="72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72"/>
      <c r="QYE18" s="72"/>
      <c r="QYF18" s="72"/>
      <c r="QYG18" s="72"/>
      <c r="QYH18" s="72"/>
      <c r="QYI18" s="72"/>
      <c r="QYJ18" s="72"/>
      <c r="QYK18" s="72"/>
      <c r="QYL18" s="72"/>
      <c r="QYM18" s="72"/>
      <c r="QYN18" s="72"/>
      <c r="QYO18" s="72"/>
      <c r="QYP18" s="72"/>
      <c r="QYQ18" s="72"/>
      <c r="QYR18" s="72"/>
      <c r="QYS18" s="72"/>
      <c r="QYT18" s="72"/>
      <c r="QYU18" s="72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72"/>
      <c r="QZN18" s="72"/>
      <c r="QZO18" s="72"/>
      <c r="QZP18" s="72"/>
      <c r="QZQ18" s="72"/>
      <c r="QZR18" s="72"/>
      <c r="QZS18" s="72"/>
      <c r="QZT18" s="72"/>
      <c r="QZU18" s="72"/>
      <c r="QZV18" s="72"/>
      <c r="QZW18" s="72"/>
      <c r="QZX18" s="72"/>
      <c r="QZY18" s="72"/>
      <c r="QZZ18" s="72"/>
      <c r="RAA18" s="72"/>
      <c r="RAB18" s="72"/>
      <c r="RAC18" s="72"/>
      <c r="RAD18" s="72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72"/>
      <c r="RAW18" s="72"/>
      <c r="RAX18" s="72"/>
      <c r="RAY18" s="72"/>
      <c r="RAZ18" s="72"/>
      <c r="RBA18" s="72"/>
      <c r="RBB18" s="72"/>
      <c r="RBC18" s="72"/>
      <c r="RBD18" s="72"/>
      <c r="RBE18" s="72"/>
      <c r="RBF18" s="72"/>
      <c r="RBG18" s="72"/>
      <c r="RBH18" s="72"/>
      <c r="RBI18" s="72"/>
      <c r="RBJ18" s="72"/>
      <c r="RBK18" s="72"/>
      <c r="RBL18" s="72"/>
      <c r="RBM18" s="72"/>
      <c r="RBN18" s="72"/>
      <c r="RBO18" s="72"/>
      <c r="RBP18" s="72"/>
      <c r="RBQ18" s="72"/>
      <c r="RBR18" s="72"/>
      <c r="RBS18" s="72"/>
      <c r="RBT18" s="72"/>
      <c r="RBU18" s="72"/>
      <c r="RBV18" s="72"/>
      <c r="RBW18" s="72"/>
      <c r="RBX18" s="72"/>
      <c r="RBY18" s="72"/>
      <c r="RBZ18" s="72"/>
      <c r="RCA18" s="72"/>
      <c r="RCB18" s="72"/>
      <c r="RCC18" s="72"/>
      <c r="RCD18" s="72"/>
      <c r="RCE18" s="72"/>
      <c r="RCF18" s="72"/>
      <c r="RCG18" s="72"/>
      <c r="RCH18" s="72"/>
      <c r="RCI18" s="72"/>
      <c r="RCJ18" s="72"/>
      <c r="RCK18" s="72"/>
      <c r="RCL18" s="72"/>
      <c r="RCM18" s="72"/>
      <c r="RCN18" s="72"/>
      <c r="RCO18" s="72"/>
      <c r="RCP18" s="72"/>
      <c r="RCQ18" s="72"/>
      <c r="RCR18" s="72"/>
      <c r="RCS18" s="72"/>
      <c r="RCT18" s="72"/>
      <c r="RCU18" s="72"/>
      <c r="RCV18" s="72"/>
      <c r="RCW18" s="72"/>
      <c r="RCX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72"/>
      <c r="RDO18" s="72"/>
      <c r="RDP18" s="72"/>
      <c r="RDQ18" s="72"/>
      <c r="RDR18" s="72"/>
      <c r="RDS18" s="72"/>
      <c r="RDT18" s="72"/>
      <c r="RDU18" s="72"/>
      <c r="RDV18" s="72"/>
      <c r="RDW18" s="72"/>
      <c r="RDX18" s="72"/>
      <c r="RDY18" s="72"/>
      <c r="RDZ18" s="72"/>
      <c r="REA18" s="72"/>
      <c r="REB18" s="72"/>
      <c r="REC18" s="72"/>
      <c r="RED18" s="72"/>
      <c r="REE18" s="72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72"/>
      <c r="REX18" s="72"/>
      <c r="REY18" s="72"/>
      <c r="REZ18" s="72"/>
      <c r="RFA18" s="72"/>
      <c r="RFB18" s="72"/>
      <c r="RFC18" s="72"/>
      <c r="RFD18" s="72"/>
      <c r="RFE18" s="72"/>
      <c r="RFF18" s="72"/>
      <c r="RFG18" s="72"/>
      <c r="RFH18" s="72"/>
      <c r="RFI18" s="72"/>
      <c r="RFJ18" s="72"/>
      <c r="RFK18" s="72"/>
      <c r="RFL18" s="72"/>
      <c r="RFM18" s="72"/>
      <c r="RFN18" s="72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72"/>
      <c r="RGG18" s="72"/>
      <c r="RGH18" s="72"/>
      <c r="RGI18" s="72"/>
      <c r="RGJ18" s="72"/>
      <c r="RGK18" s="72"/>
      <c r="RGL18" s="72"/>
      <c r="RGM18" s="72"/>
      <c r="RGN18" s="72"/>
      <c r="RGO18" s="72"/>
      <c r="RGP18" s="72"/>
      <c r="RGQ18" s="72"/>
      <c r="RGR18" s="72"/>
      <c r="RGS18" s="72"/>
      <c r="RGT18" s="72"/>
      <c r="RGU18" s="72"/>
      <c r="RGV18" s="72"/>
      <c r="RGW18" s="72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72"/>
      <c r="RHP18" s="72"/>
      <c r="RHQ18" s="72"/>
      <c r="RHR18" s="72"/>
      <c r="RHS18" s="72"/>
      <c r="RHT18" s="72"/>
      <c r="RHU18" s="72"/>
      <c r="RHV18" s="72"/>
      <c r="RHW18" s="72"/>
      <c r="RHX18" s="72"/>
      <c r="RHY18" s="72"/>
      <c r="RHZ18" s="72"/>
      <c r="RIA18" s="72"/>
      <c r="RIB18" s="72"/>
      <c r="RIC18" s="72"/>
      <c r="RID18" s="72"/>
      <c r="RIE18" s="72"/>
      <c r="RIF18" s="72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72"/>
      <c r="RIY18" s="72"/>
      <c r="RIZ18" s="72"/>
      <c r="RJA18" s="72"/>
      <c r="RJB18" s="72"/>
      <c r="RJC18" s="72"/>
      <c r="RJD18" s="72"/>
      <c r="RJE18" s="72"/>
      <c r="RJF18" s="72"/>
      <c r="RJG18" s="72"/>
      <c r="RJH18" s="72"/>
      <c r="RJI18" s="72"/>
      <c r="RJJ18" s="72"/>
      <c r="RJK18" s="72"/>
      <c r="RJL18" s="72"/>
      <c r="RJM18" s="72"/>
      <c r="RJN18" s="72"/>
      <c r="RJO18" s="72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72"/>
      <c r="RKH18" s="72"/>
      <c r="RKI18" s="72"/>
      <c r="RKJ18" s="72"/>
      <c r="RKK18" s="72"/>
      <c r="RKL18" s="72"/>
      <c r="RKM18" s="72"/>
      <c r="RKN18" s="72"/>
      <c r="RKO18" s="72"/>
      <c r="RKP18" s="72"/>
      <c r="RKQ18" s="72"/>
      <c r="RKR18" s="72"/>
      <c r="RKS18" s="72"/>
      <c r="RKT18" s="72"/>
      <c r="RKU18" s="72"/>
      <c r="RKV18" s="72"/>
      <c r="RKW18" s="72"/>
      <c r="RKX18" s="72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O18" s="72"/>
      <c r="RLP18" s="72"/>
      <c r="RLQ18" s="72"/>
      <c r="RLR18" s="72"/>
      <c r="RLS18" s="72"/>
      <c r="RLT18" s="72"/>
      <c r="RLU18" s="72"/>
      <c r="RLV18" s="72"/>
      <c r="RLW18" s="72"/>
      <c r="RLX18" s="72"/>
      <c r="RLY18" s="72"/>
      <c r="RLZ18" s="72"/>
      <c r="RMA18" s="72"/>
      <c r="RMB18" s="72"/>
      <c r="RMC18" s="72"/>
      <c r="RMD18" s="72"/>
      <c r="RME18" s="72"/>
      <c r="RMF18" s="72"/>
      <c r="RMG18" s="72"/>
      <c r="RMH18" s="72"/>
      <c r="RMI18" s="72"/>
      <c r="RMJ18" s="72"/>
      <c r="RMK18" s="72"/>
      <c r="RML18" s="72"/>
      <c r="RMM18" s="72"/>
      <c r="RMN18" s="72"/>
      <c r="RMO18" s="72"/>
      <c r="RMP18" s="72"/>
      <c r="RMQ18" s="72"/>
      <c r="RMR18" s="72"/>
      <c r="RMS18" s="72"/>
      <c r="RMT18" s="72"/>
      <c r="RMU18" s="72"/>
      <c r="RMV18" s="72"/>
      <c r="RMW18" s="72"/>
      <c r="RMX18" s="72"/>
      <c r="RMY18" s="72"/>
      <c r="RMZ18" s="72"/>
      <c r="RNA18" s="72"/>
      <c r="RNB18" s="72"/>
      <c r="RNC18" s="72"/>
      <c r="RND18" s="72"/>
      <c r="RNE18" s="72"/>
      <c r="RNF18" s="72"/>
      <c r="RNG18" s="72"/>
      <c r="RNH18" s="72"/>
      <c r="RNI18" s="72"/>
      <c r="RNJ18" s="72"/>
      <c r="RNK18" s="72"/>
      <c r="RNL18" s="72"/>
      <c r="RNM18" s="72"/>
      <c r="RNN18" s="72"/>
      <c r="RNO18" s="72"/>
      <c r="RNP18" s="72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72"/>
      <c r="ROI18" s="72"/>
      <c r="ROJ18" s="72"/>
      <c r="ROK18" s="72"/>
      <c r="ROL18" s="72"/>
      <c r="ROM18" s="72"/>
      <c r="RON18" s="72"/>
      <c r="ROO18" s="72"/>
      <c r="ROP18" s="72"/>
      <c r="ROQ18" s="72"/>
      <c r="ROR18" s="72"/>
      <c r="ROS18" s="72"/>
      <c r="ROT18" s="72"/>
      <c r="ROU18" s="72"/>
      <c r="ROV18" s="72"/>
      <c r="ROW18" s="72"/>
      <c r="ROX18" s="72"/>
      <c r="ROY18" s="72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72"/>
      <c r="RPR18" s="72"/>
      <c r="RPS18" s="72"/>
      <c r="RPT18" s="72"/>
      <c r="RPU18" s="72"/>
      <c r="RPV18" s="72"/>
      <c r="RPW18" s="72"/>
      <c r="RPX18" s="72"/>
      <c r="RPY18" s="72"/>
      <c r="RPZ18" s="72"/>
      <c r="RQA18" s="72"/>
      <c r="RQB18" s="72"/>
      <c r="RQC18" s="72"/>
      <c r="RQD18" s="72"/>
      <c r="RQE18" s="72"/>
      <c r="RQF18" s="72"/>
      <c r="RQG18" s="72"/>
      <c r="RQH18" s="72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72"/>
      <c r="RRA18" s="72"/>
      <c r="RRB18" s="72"/>
      <c r="RRC18" s="72"/>
      <c r="RRD18" s="72"/>
      <c r="RRE18" s="72"/>
      <c r="RRF18" s="72"/>
      <c r="RRG18" s="72"/>
      <c r="RRH18" s="72"/>
      <c r="RRI18" s="72"/>
      <c r="RRJ18" s="72"/>
      <c r="RRK18" s="72"/>
      <c r="RRL18" s="72"/>
      <c r="RRM18" s="72"/>
      <c r="RRN18" s="72"/>
      <c r="RRO18" s="72"/>
      <c r="RRP18" s="72"/>
      <c r="RRQ18" s="72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72"/>
      <c r="RSJ18" s="72"/>
      <c r="RSK18" s="72"/>
      <c r="RSL18" s="72"/>
      <c r="RSM18" s="72"/>
      <c r="RSN18" s="72"/>
      <c r="RSO18" s="72"/>
      <c r="RSP18" s="72"/>
      <c r="RSQ18" s="72"/>
      <c r="RSR18" s="72"/>
      <c r="RSS18" s="72"/>
      <c r="RST18" s="72"/>
      <c r="RSU18" s="72"/>
      <c r="RSV18" s="72"/>
      <c r="RSW18" s="72"/>
      <c r="RSX18" s="72"/>
      <c r="RSY18" s="72"/>
      <c r="RSZ18" s="72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72"/>
      <c r="RTS18" s="72"/>
      <c r="RTT18" s="72"/>
      <c r="RTU18" s="72"/>
      <c r="RTV18" s="72"/>
      <c r="RTW18" s="72"/>
      <c r="RTX18" s="72"/>
      <c r="RTY18" s="72"/>
      <c r="RTZ18" s="72"/>
      <c r="RUA18" s="72"/>
      <c r="RUB18" s="72"/>
      <c r="RUC18" s="72"/>
      <c r="RUD18" s="72"/>
      <c r="RUE18" s="72"/>
      <c r="RUF18" s="72"/>
      <c r="RUG18" s="72"/>
      <c r="RUH18" s="72"/>
      <c r="RUI18" s="72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72"/>
      <c r="RVB18" s="72"/>
      <c r="RVC18" s="72"/>
      <c r="RVD18" s="72"/>
      <c r="RVE18" s="72"/>
      <c r="RVF18" s="72"/>
      <c r="RVG18" s="72"/>
      <c r="RVH18" s="72"/>
      <c r="RVI18" s="72"/>
      <c r="RVJ18" s="72"/>
      <c r="RVK18" s="72"/>
      <c r="RVL18" s="72"/>
      <c r="RVM18" s="72"/>
      <c r="RVN18" s="72"/>
      <c r="RVO18" s="72"/>
      <c r="RVP18" s="72"/>
      <c r="RVQ18" s="72"/>
      <c r="RVR18" s="72"/>
      <c r="RVS18" s="72"/>
      <c r="RVT18" s="72"/>
      <c r="RVU18" s="72"/>
      <c r="RVV18" s="72"/>
      <c r="RVW18" s="72"/>
      <c r="RVX18" s="72"/>
      <c r="RVY18" s="72"/>
      <c r="RVZ18" s="72"/>
      <c r="RWA18" s="72"/>
      <c r="RWB18" s="72"/>
      <c r="RWC18" s="72"/>
      <c r="RWD18" s="72"/>
      <c r="RWE18" s="72"/>
      <c r="RWF18" s="72"/>
      <c r="RWG18" s="72"/>
      <c r="RWH18" s="72"/>
      <c r="RWI18" s="72"/>
      <c r="RWJ18" s="72"/>
      <c r="RWK18" s="72"/>
      <c r="RWL18" s="72"/>
      <c r="RWM18" s="72"/>
      <c r="RWN18" s="72"/>
      <c r="RWO18" s="72"/>
      <c r="RWP18" s="72"/>
      <c r="RWQ18" s="72"/>
      <c r="RWR18" s="72"/>
      <c r="RWS18" s="72"/>
      <c r="RWT18" s="72"/>
      <c r="RWU18" s="72"/>
      <c r="RWV18" s="72"/>
      <c r="RWW18" s="72"/>
      <c r="RWX18" s="72"/>
      <c r="RWY18" s="72"/>
      <c r="RWZ18" s="72"/>
      <c r="RXA18" s="72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72"/>
      <c r="RXT18" s="72"/>
      <c r="RXU18" s="72"/>
      <c r="RXV18" s="72"/>
      <c r="RXW18" s="72"/>
      <c r="RXX18" s="72"/>
      <c r="RXY18" s="72"/>
      <c r="RXZ18" s="72"/>
      <c r="RYA18" s="72"/>
      <c r="RYB18" s="72"/>
      <c r="RYC18" s="72"/>
      <c r="RYD18" s="72"/>
      <c r="RYE18" s="72"/>
      <c r="RYF18" s="72"/>
      <c r="RYG18" s="72"/>
      <c r="RYH18" s="72"/>
      <c r="RYI18" s="72"/>
      <c r="RYJ18" s="72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72"/>
      <c r="RZC18" s="72"/>
      <c r="RZD18" s="72"/>
      <c r="RZE18" s="72"/>
      <c r="RZF18" s="72"/>
      <c r="RZG18" s="72"/>
      <c r="RZH18" s="72"/>
      <c r="RZI18" s="72"/>
      <c r="RZJ18" s="72"/>
      <c r="RZK18" s="72"/>
      <c r="RZL18" s="72"/>
      <c r="RZM18" s="72"/>
      <c r="RZN18" s="72"/>
      <c r="RZO18" s="72"/>
      <c r="RZP18" s="72"/>
      <c r="RZQ18" s="72"/>
      <c r="RZR18" s="72"/>
      <c r="RZS18" s="72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72"/>
      <c r="SAL18" s="72"/>
      <c r="SAM18" s="72"/>
      <c r="SAN18" s="72"/>
      <c r="SAO18" s="72"/>
      <c r="SAP18" s="72"/>
      <c r="SAQ18" s="72"/>
      <c r="SAR18" s="72"/>
      <c r="SAS18" s="72"/>
      <c r="SAT18" s="72"/>
      <c r="SAU18" s="72"/>
      <c r="SAV18" s="72"/>
      <c r="SAW18" s="72"/>
      <c r="SAX18" s="72"/>
      <c r="SAY18" s="72"/>
      <c r="SAZ18" s="72"/>
      <c r="SBA18" s="72"/>
      <c r="SBB18" s="72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72"/>
      <c r="SBU18" s="72"/>
      <c r="SBV18" s="72"/>
      <c r="SBW18" s="72"/>
      <c r="SBX18" s="72"/>
      <c r="SBY18" s="72"/>
      <c r="SBZ18" s="72"/>
      <c r="SCA18" s="72"/>
      <c r="SCB18" s="72"/>
      <c r="SCC18" s="72"/>
      <c r="SCD18" s="72"/>
      <c r="SCE18" s="72"/>
      <c r="SCF18" s="72"/>
      <c r="SCG18" s="72"/>
      <c r="SCH18" s="72"/>
      <c r="SCI18" s="72"/>
      <c r="SCJ18" s="72"/>
      <c r="SCK18" s="72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72"/>
      <c r="SDD18" s="72"/>
      <c r="SDE18" s="72"/>
      <c r="SDF18" s="72"/>
      <c r="SDG18" s="72"/>
      <c r="SDH18" s="72"/>
      <c r="SDI18" s="72"/>
      <c r="SDJ18" s="72"/>
      <c r="SDK18" s="72"/>
      <c r="SDL18" s="72"/>
      <c r="SDM18" s="72"/>
      <c r="SDN18" s="72"/>
      <c r="SDO18" s="72"/>
      <c r="SDP18" s="72"/>
      <c r="SDQ18" s="72"/>
      <c r="SDR18" s="72"/>
      <c r="SDS18" s="72"/>
      <c r="SDT18" s="72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72"/>
      <c r="SEM18" s="72"/>
      <c r="SEN18" s="72"/>
      <c r="SEO18" s="72"/>
      <c r="SEP18" s="72"/>
      <c r="SEQ18" s="72"/>
      <c r="SER18" s="72"/>
      <c r="SES18" s="72"/>
      <c r="SET18" s="72"/>
      <c r="SEU18" s="72"/>
      <c r="SEV18" s="72"/>
      <c r="SEW18" s="72"/>
      <c r="SEX18" s="72"/>
      <c r="SEY18" s="72"/>
      <c r="SEZ18" s="72"/>
      <c r="SFA18" s="72"/>
      <c r="SFB18" s="72"/>
      <c r="SFC18" s="72"/>
      <c r="SFD18" s="72"/>
      <c r="SFE18" s="72"/>
      <c r="SFF18" s="72"/>
      <c r="SFG18" s="72"/>
      <c r="SFH18" s="72"/>
      <c r="SFI18" s="72"/>
      <c r="SFJ18" s="72"/>
      <c r="SFK18" s="72"/>
      <c r="SFL18" s="72"/>
      <c r="SFM18" s="72"/>
      <c r="SFN18" s="72"/>
      <c r="SFO18" s="72"/>
      <c r="SFP18" s="72"/>
      <c r="SFQ18" s="72"/>
      <c r="SFR18" s="72"/>
      <c r="SFS18" s="72"/>
      <c r="SFT18" s="72"/>
      <c r="SFU18" s="72"/>
      <c r="SFV18" s="72"/>
      <c r="SFW18" s="72"/>
      <c r="SFX18" s="72"/>
      <c r="SFY18" s="72"/>
      <c r="SFZ18" s="72"/>
      <c r="SGA18" s="72"/>
      <c r="SGB18" s="72"/>
      <c r="SGC18" s="72"/>
      <c r="SGD18" s="72"/>
      <c r="SGE18" s="72"/>
      <c r="SGF18" s="72"/>
      <c r="SGG18" s="72"/>
      <c r="SGH18" s="72"/>
      <c r="SGI18" s="72"/>
      <c r="SGJ18" s="72"/>
      <c r="SGK18" s="72"/>
      <c r="SGL18" s="72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72"/>
      <c r="SHE18" s="72"/>
      <c r="SHF18" s="72"/>
      <c r="SHG18" s="72"/>
      <c r="SHH18" s="72"/>
      <c r="SHI18" s="72"/>
      <c r="SHJ18" s="72"/>
      <c r="SHK18" s="72"/>
      <c r="SHL18" s="72"/>
      <c r="SHM18" s="72"/>
      <c r="SHN18" s="72"/>
      <c r="SHO18" s="72"/>
      <c r="SHP18" s="72"/>
      <c r="SHQ18" s="72"/>
      <c r="SHR18" s="72"/>
      <c r="SHS18" s="72"/>
      <c r="SHT18" s="72"/>
      <c r="SHU18" s="72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72"/>
      <c r="SIN18" s="72"/>
      <c r="SIO18" s="72"/>
      <c r="SIP18" s="72"/>
      <c r="SIQ18" s="72"/>
      <c r="SIR18" s="72"/>
      <c r="SIS18" s="72"/>
      <c r="SIT18" s="72"/>
      <c r="SIU18" s="72"/>
      <c r="SIV18" s="72"/>
      <c r="SIW18" s="72"/>
      <c r="SIX18" s="72"/>
      <c r="SIY18" s="72"/>
      <c r="SIZ18" s="72"/>
      <c r="SJA18" s="72"/>
      <c r="SJB18" s="72"/>
      <c r="SJC18" s="72"/>
      <c r="SJD18" s="72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72"/>
      <c r="SJW18" s="72"/>
      <c r="SJX18" s="72"/>
      <c r="SJY18" s="72"/>
      <c r="SJZ18" s="72"/>
      <c r="SKA18" s="72"/>
      <c r="SKB18" s="72"/>
      <c r="SKC18" s="72"/>
      <c r="SKD18" s="72"/>
      <c r="SKE18" s="72"/>
      <c r="SKF18" s="72"/>
      <c r="SKG18" s="72"/>
      <c r="SKH18" s="72"/>
      <c r="SKI18" s="72"/>
      <c r="SKJ18" s="72"/>
      <c r="SKK18" s="72"/>
      <c r="SKL18" s="72"/>
      <c r="SKM18" s="72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72"/>
      <c r="SLF18" s="72"/>
      <c r="SLG18" s="72"/>
      <c r="SLH18" s="72"/>
      <c r="SLI18" s="72"/>
      <c r="SLJ18" s="72"/>
      <c r="SLK18" s="72"/>
      <c r="SLL18" s="72"/>
      <c r="SLM18" s="72"/>
      <c r="SLN18" s="72"/>
      <c r="SLO18" s="72"/>
      <c r="SLP18" s="72"/>
      <c r="SLQ18" s="72"/>
      <c r="SLR18" s="72"/>
      <c r="SLS18" s="72"/>
      <c r="SLT18" s="72"/>
      <c r="SLU18" s="72"/>
      <c r="SLV18" s="72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72"/>
      <c r="SMO18" s="72"/>
      <c r="SMP18" s="72"/>
      <c r="SMQ18" s="72"/>
      <c r="SMR18" s="72"/>
      <c r="SMS18" s="72"/>
      <c r="SMT18" s="72"/>
      <c r="SMU18" s="72"/>
      <c r="SMV18" s="72"/>
      <c r="SMW18" s="72"/>
      <c r="SMX18" s="72"/>
      <c r="SMY18" s="72"/>
      <c r="SMZ18" s="72"/>
      <c r="SNA18" s="72"/>
      <c r="SNB18" s="72"/>
      <c r="SNC18" s="72"/>
      <c r="SND18" s="72"/>
      <c r="SNE18" s="72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72"/>
      <c r="SNX18" s="72"/>
      <c r="SNY18" s="72"/>
      <c r="SNZ18" s="72"/>
      <c r="SOA18" s="72"/>
      <c r="SOB18" s="72"/>
      <c r="SOC18" s="72"/>
      <c r="SOD18" s="72"/>
      <c r="SOE18" s="72"/>
      <c r="SOF18" s="72"/>
      <c r="SOG18" s="72"/>
      <c r="SOH18" s="72"/>
      <c r="SOI18" s="72"/>
      <c r="SOJ18" s="72"/>
      <c r="SOK18" s="72"/>
      <c r="SOL18" s="72"/>
      <c r="SOM18" s="72"/>
      <c r="SON18" s="72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C18" s="72"/>
      <c r="SPD18" s="72"/>
      <c r="SPE18" s="72"/>
      <c r="SPF18" s="72"/>
      <c r="SPG18" s="72"/>
      <c r="SPH18" s="72"/>
      <c r="SPI18" s="72"/>
      <c r="SPJ18" s="72"/>
      <c r="SPK18" s="72"/>
      <c r="SPL18" s="72"/>
      <c r="SPM18" s="72"/>
      <c r="SPN18" s="72"/>
      <c r="SPO18" s="72"/>
      <c r="SPP18" s="72"/>
      <c r="SPQ18" s="72"/>
      <c r="SPR18" s="72"/>
      <c r="SPS18" s="72"/>
      <c r="SPT18" s="72"/>
      <c r="SPU18" s="72"/>
      <c r="SPV18" s="72"/>
      <c r="SPW18" s="72"/>
      <c r="SPX18" s="72"/>
      <c r="SPY18" s="72"/>
      <c r="SPZ18" s="72"/>
      <c r="SQA18" s="72"/>
      <c r="SQB18" s="72"/>
      <c r="SQC18" s="72"/>
      <c r="SQD18" s="72"/>
      <c r="SQE18" s="72"/>
      <c r="SQF18" s="72"/>
      <c r="SQG18" s="72"/>
      <c r="SQH18" s="72"/>
      <c r="SQI18" s="72"/>
      <c r="SQJ18" s="72"/>
      <c r="SQK18" s="72"/>
      <c r="SQL18" s="72"/>
      <c r="SQM18" s="72"/>
      <c r="SQN18" s="72"/>
      <c r="SQO18" s="72"/>
      <c r="SQP18" s="72"/>
      <c r="SQQ18" s="72"/>
      <c r="SQR18" s="72"/>
      <c r="SQS18" s="72"/>
      <c r="SQT18" s="72"/>
      <c r="SQU18" s="72"/>
      <c r="SQV18" s="72"/>
      <c r="SQW18" s="72"/>
      <c r="SQX18" s="72"/>
      <c r="SQY18" s="72"/>
      <c r="SQZ18" s="72"/>
      <c r="SRA18" s="72"/>
      <c r="SRB18" s="72"/>
      <c r="SRC18" s="72"/>
      <c r="SRD18" s="72"/>
      <c r="SRE18" s="72"/>
      <c r="SRF18" s="72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72"/>
      <c r="SRY18" s="72"/>
      <c r="SRZ18" s="72"/>
      <c r="SSA18" s="72"/>
      <c r="SSB18" s="72"/>
      <c r="SSC18" s="72"/>
      <c r="SSD18" s="72"/>
      <c r="SSE18" s="72"/>
      <c r="SSF18" s="72"/>
      <c r="SSG18" s="72"/>
      <c r="SSH18" s="72"/>
      <c r="SSI18" s="72"/>
      <c r="SSJ18" s="72"/>
      <c r="SSK18" s="72"/>
      <c r="SSL18" s="72"/>
      <c r="SSM18" s="72"/>
      <c r="SSN18" s="72"/>
      <c r="SSO18" s="72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72"/>
      <c r="STH18" s="72"/>
      <c r="STI18" s="72"/>
      <c r="STJ18" s="72"/>
      <c r="STK18" s="72"/>
      <c r="STL18" s="72"/>
      <c r="STM18" s="72"/>
      <c r="STN18" s="72"/>
      <c r="STO18" s="72"/>
      <c r="STP18" s="72"/>
      <c r="STQ18" s="72"/>
      <c r="STR18" s="72"/>
      <c r="STS18" s="72"/>
      <c r="STT18" s="72"/>
      <c r="STU18" s="72"/>
      <c r="STV18" s="72"/>
      <c r="STW18" s="72"/>
      <c r="STX18" s="72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72"/>
      <c r="SUQ18" s="72"/>
      <c r="SUR18" s="72"/>
      <c r="SUS18" s="72"/>
      <c r="SUT18" s="72"/>
      <c r="SUU18" s="72"/>
      <c r="SUV18" s="72"/>
      <c r="SUW18" s="72"/>
      <c r="SUX18" s="72"/>
      <c r="SUY18" s="72"/>
      <c r="SUZ18" s="72"/>
      <c r="SVA18" s="72"/>
      <c r="SVB18" s="72"/>
      <c r="SVC18" s="72"/>
      <c r="SVD18" s="72"/>
      <c r="SVE18" s="72"/>
      <c r="SVF18" s="72"/>
      <c r="SVG18" s="72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72"/>
      <c r="SVZ18" s="72"/>
      <c r="SWA18" s="72"/>
      <c r="SWB18" s="72"/>
      <c r="SWC18" s="72"/>
      <c r="SWD18" s="72"/>
      <c r="SWE18" s="72"/>
      <c r="SWF18" s="72"/>
      <c r="SWG18" s="72"/>
      <c r="SWH18" s="72"/>
      <c r="SWI18" s="72"/>
      <c r="SWJ18" s="72"/>
      <c r="SWK18" s="72"/>
      <c r="SWL18" s="72"/>
      <c r="SWM18" s="72"/>
      <c r="SWN18" s="72"/>
      <c r="SWO18" s="72"/>
      <c r="SWP18" s="72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72"/>
      <c r="SXI18" s="72"/>
      <c r="SXJ18" s="72"/>
      <c r="SXK18" s="72"/>
      <c r="SXL18" s="72"/>
      <c r="SXM18" s="72"/>
      <c r="SXN18" s="72"/>
      <c r="SXO18" s="72"/>
      <c r="SXP18" s="72"/>
      <c r="SXQ18" s="72"/>
      <c r="SXR18" s="72"/>
      <c r="SXS18" s="72"/>
      <c r="SXT18" s="72"/>
      <c r="SXU18" s="72"/>
      <c r="SXV18" s="72"/>
      <c r="SXW18" s="72"/>
      <c r="SXX18" s="72"/>
      <c r="SXY18" s="72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72"/>
      <c r="SYR18" s="72"/>
      <c r="SYS18" s="72"/>
      <c r="SYT18" s="72"/>
      <c r="SYU18" s="72"/>
      <c r="SYV18" s="72"/>
      <c r="SYW18" s="72"/>
      <c r="SYX18" s="72"/>
      <c r="SYY18" s="72"/>
      <c r="SYZ18" s="72"/>
      <c r="SZA18" s="72"/>
      <c r="SZB18" s="72"/>
      <c r="SZC18" s="72"/>
      <c r="SZD18" s="72"/>
      <c r="SZE18" s="72"/>
      <c r="SZF18" s="72"/>
      <c r="SZG18" s="72"/>
      <c r="SZH18" s="72"/>
      <c r="SZI18" s="72"/>
      <c r="SZJ18" s="72"/>
      <c r="SZK18" s="72"/>
      <c r="SZL18" s="72"/>
      <c r="SZM18" s="72"/>
      <c r="SZN18" s="72"/>
      <c r="SZO18" s="72"/>
      <c r="SZP18" s="72"/>
      <c r="SZQ18" s="72"/>
      <c r="SZR18" s="72"/>
      <c r="SZS18" s="72"/>
      <c r="SZT18" s="72"/>
      <c r="SZU18" s="72"/>
      <c r="SZV18" s="72"/>
      <c r="SZW18" s="72"/>
      <c r="SZX18" s="72"/>
      <c r="SZY18" s="72"/>
      <c r="SZZ18" s="72"/>
      <c r="TAA18" s="72"/>
      <c r="TAB18" s="72"/>
      <c r="TAC18" s="72"/>
      <c r="TAD18" s="72"/>
      <c r="TAE18" s="72"/>
      <c r="TAF18" s="72"/>
      <c r="TAG18" s="72"/>
      <c r="TAH18" s="72"/>
      <c r="TAI18" s="72"/>
      <c r="TAJ18" s="72"/>
      <c r="TAK18" s="72"/>
      <c r="TAL18" s="72"/>
      <c r="TAM18" s="72"/>
      <c r="TAN18" s="72"/>
      <c r="TAO18" s="72"/>
      <c r="TAP18" s="72"/>
      <c r="TAQ18" s="72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72"/>
      <c r="TBJ18" s="72"/>
      <c r="TBK18" s="72"/>
      <c r="TBL18" s="72"/>
      <c r="TBM18" s="72"/>
      <c r="TBN18" s="72"/>
      <c r="TBO18" s="72"/>
      <c r="TBP18" s="72"/>
      <c r="TBQ18" s="72"/>
      <c r="TBR18" s="72"/>
      <c r="TBS18" s="72"/>
      <c r="TBT18" s="72"/>
      <c r="TBU18" s="72"/>
      <c r="TBV18" s="72"/>
      <c r="TBW18" s="72"/>
      <c r="TBX18" s="72"/>
      <c r="TBY18" s="72"/>
      <c r="TBZ18" s="72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72"/>
      <c r="TCS18" s="72"/>
      <c r="TCT18" s="72"/>
      <c r="TCU18" s="72"/>
      <c r="TCV18" s="72"/>
      <c r="TCW18" s="72"/>
      <c r="TCX18" s="72"/>
      <c r="TCY18" s="72"/>
      <c r="TCZ18" s="72"/>
      <c r="TDA18" s="72"/>
      <c r="TDB18" s="72"/>
      <c r="TDC18" s="72"/>
      <c r="TDD18" s="72"/>
      <c r="TDE18" s="72"/>
      <c r="TDF18" s="72"/>
      <c r="TDG18" s="72"/>
      <c r="TDH18" s="72"/>
      <c r="TDI18" s="72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72"/>
      <c r="TEB18" s="72"/>
      <c r="TEC18" s="72"/>
      <c r="TED18" s="72"/>
      <c r="TEE18" s="72"/>
      <c r="TEF18" s="72"/>
      <c r="TEG18" s="72"/>
      <c r="TEH18" s="72"/>
      <c r="TEI18" s="72"/>
      <c r="TEJ18" s="72"/>
      <c r="TEK18" s="72"/>
      <c r="TEL18" s="72"/>
      <c r="TEM18" s="72"/>
      <c r="TEN18" s="72"/>
      <c r="TEO18" s="72"/>
      <c r="TEP18" s="72"/>
      <c r="TEQ18" s="72"/>
      <c r="TER18" s="72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72"/>
      <c r="TFK18" s="72"/>
      <c r="TFL18" s="72"/>
      <c r="TFM18" s="72"/>
      <c r="TFN18" s="72"/>
      <c r="TFO18" s="72"/>
      <c r="TFP18" s="72"/>
      <c r="TFQ18" s="72"/>
      <c r="TFR18" s="72"/>
      <c r="TFS18" s="72"/>
      <c r="TFT18" s="72"/>
      <c r="TFU18" s="72"/>
      <c r="TFV18" s="72"/>
      <c r="TFW18" s="72"/>
      <c r="TFX18" s="72"/>
      <c r="TFY18" s="72"/>
      <c r="TFZ18" s="72"/>
      <c r="TGA18" s="72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72"/>
      <c r="TGT18" s="72"/>
      <c r="TGU18" s="72"/>
      <c r="TGV18" s="72"/>
      <c r="TGW18" s="72"/>
      <c r="TGX18" s="72"/>
      <c r="TGY18" s="72"/>
      <c r="TGZ18" s="72"/>
      <c r="THA18" s="72"/>
      <c r="THB18" s="72"/>
      <c r="THC18" s="72"/>
      <c r="THD18" s="72"/>
      <c r="THE18" s="72"/>
      <c r="THF18" s="72"/>
      <c r="THG18" s="72"/>
      <c r="THH18" s="72"/>
      <c r="THI18" s="72"/>
      <c r="THJ18" s="72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72"/>
      <c r="TIC18" s="72"/>
      <c r="TID18" s="72"/>
      <c r="TIE18" s="72"/>
      <c r="TIF18" s="72"/>
      <c r="TIG18" s="72"/>
      <c r="TIH18" s="72"/>
      <c r="TII18" s="72"/>
      <c r="TIJ18" s="72"/>
      <c r="TIK18" s="72"/>
      <c r="TIL18" s="72"/>
      <c r="TIM18" s="72"/>
      <c r="TIN18" s="72"/>
      <c r="TIO18" s="72"/>
      <c r="TIP18" s="72"/>
      <c r="TIQ18" s="72"/>
      <c r="TIR18" s="72"/>
      <c r="TIS18" s="72"/>
      <c r="TIT18" s="72"/>
      <c r="TIU18" s="72"/>
      <c r="TIV18" s="72"/>
      <c r="TIW18" s="72"/>
      <c r="TIX18" s="72"/>
      <c r="TIY18" s="72"/>
      <c r="TIZ18" s="72"/>
      <c r="TJA18" s="72"/>
      <c r="TJB18" s="72"/>
      <c r="TJC18" s="72"/>
      <c r="TJD18" s="72"/>
      <c r="TJE18" s="72"/>
      <c r="TJF18" s="72"/>
      <c r="TJG18" s="72"/>
      <c r="TJH18" s="72"/>
      <c r="TJI18" s="72"/>
      <c r="TJJ18" s="72"/>
      <c r="TJK18" s="72"/>
      <c r="TJL18" s="72"/>
      <c r="TJM18" s="72"/>
      <c r="TJN18" s="72"/>
      <c r="TJO18" s="72"/>
      <c r="TJP18" s="72"/>
      <c r="TJQ18" s="72"/>
      <c r="TJR18" s="72"/>
      <c r="TJS18" s="72"/>
      <c r="TJT18" s="72"/>
      <c r="TJU18" s="72"/>
      <c r="TJV18" s="72"/>
      <c r="TJW18" s="72"/>
      <c r="TJX18" s="72"/>
      <c r="TJY18" s="72"/>
      <c r="TJZ18" s="72"/>
      <c r="TKA18" s="72"/>
      <c r="TKB18" s="72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72"/>
      <c r="TKU18" s="72"/>
      <c r="TKV18" s="72"/>
      <c r="TKW18" s="72"/>
      <c r="TKX18" s="72"/>
      <c r="TKY18" s="72"/>
      <c r="TKZ18" s="72"/>
      <c r="TLA18" s="72"/>
      <c r="TLB18" s="72"/>
      <c r="TLC18" s="72"/>
      <c r="TLD18" s="72"/>
      <c r="TLE18" s="72"/>
      <c r="TLF18" s="72"/>
      <c r="TLG18" s="72"/>
      <c r="TLH18" s="72"/>
      <c r="TLI18" s="72"/>
      <c r="TLJ18" s="72"/>
      <c r="TLK18" s="72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72"/>
      <c r="TMD18" s="72"/>
      <c r="TME18" s="72"/>
      <c r="TMF18" s="72"/>
      <c r="TMG18" s="72"/>
      <c r="TMH18" s="72"/>
      <c r="TMI18" s="72"/>
      <c r="TMJ18" s="72"/>
      <c r="TMK18" s="72"/>
      <c r="TML18" s="72"/>
      <c r="TMM18" s="72"/>
      <c r="TMN18" s="72"/>
      <c r="TMO18" s="72"/>
      <c r="TMP18" s="72"/>
      <c r="TMQ18" s="72"/>
      <c r="TMR18" s="72"/>
      <c r="TMS18" s="72"/>
      <c r="TMT18" s="72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72"/>
      <c r="TNM18" s="72"/>
      <c r="TNN18" s="72"/>
      <c r="TNO18" s="72"/>
      <c r="TNP18" s="72"/>
      <c r="TNQ18" s="72"/>
      <c r="TNR18" s="72"/>
      <c r="TNS18" s="72"/>
      <c r="TNT18" s="72"/>
      <c r="TNU18" s="72"/>
      <c r="TNV18" s="72"/>
      <c r="TNW18" s="72"/>
      <c r="TNX18" s="72"/>
      <c r="TNY18" s="72"/>
      <c r="TNZ18" s="72"/>
      <c r="TOA18" s="72"/>
      <c r="TOB18" s="72"/>
      <c r="TOC18" s="72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72"/>
      <c r="TOV18" s="72"/>
      <c r="TOW18" s="72"/>
      <c r="TOX18" s="72"/>
      <c r="TOY18" s="72"/>
      <c r="TOZ18" s="72"/>
      <c r="TPA18" s="72"/>
      <c r="TPB18" s="72"/>
      <c r="TPC18" s="72"/>
      <c r="TPD18" s="72"/>
      <c r="TPE18" s="72"/>
      <c r="TPF18" s="72"/>
      <c r="TPG18" s="72"/>
      <c r="TPH18" s="72"/>
      <c r="TPI18" s="72"/>
      <c r="TPJ18" s="72"/>
      <c r="TPK18" s="72"/>
      <c r="TPL18" s="72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72"/>
      <c r="TQE18" s="72"/>
      <c r="TQF18" s="72"/>
      <c r="TQG18" s="72"/>
      <c r="TQH18" s="72"/>
      <c r="TQI18" s="72"/>
      <c r="TQJ18" s="72"/>
      <c r="TQK18" s="72"/>
      <c r="TQL18" s="72"/>
      <c r="TQM18" s="72"/>
      <c r="TQN18" s="72"/>
      <c r="TQO18" s="72"/>
      <c r="TQP18" s="72"/>
      <c r="TQQ18" s="72"/>
      <c r="TQR18" s="72"/>
      <c r="TQS18" s="72"/>
      <c r="TQT18" s="72"/>
      <c r="TQU18" s="72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72"/>
      <c r="TRN18" s="72"/>
      <c r="TRO18" s="72"/>
      <c r="TRP18" s="72"/>
      <c r="TRQ18" s="72"/>
      <c r="TRR18" s="72"/>
      <c r="TRS18" s="72"/>
      <c r="TRT18" s="72"/>
      <c r="TRU18" s="72"/>
      <c r="TRV18" s="72"/>
      <c r="TRW18" s="72"/>
      <c r="TRX18" s="72"/>
      <c r="TRY18" s="72"/>
      <c r="TRZ18" s="72"/>
      <c r="TSA18" s="72"/>
      <c r="TSB18" s="72"/>
      <c r="TSC18" s="72"/>
      <c r="TSD18" s="72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Q18" s="72"/>
      <c r="TSR18" s="72"/>
      <c r="TSS18" s="72"/>
      <c r="TST18" s="72"/>
      <c r="TSU18" s="72"/>
      <c r="TSV18" s="72"/>
      <c r="TSW18" s="72"/>
      <c r="TSX18" s="72"/>
      <c r="TSY18" s="72"/>
      <c r="TSZ18" s="72"/>
      <c r="TTA18" s="72"/>
      <c r="TTB18" s="72"/>
      <c r="TTC18" s="72"/>
      <c r="TTD18" s="72"/>
      <c r="TTE18" s="72"/>
      <c r="TTF18" s="72"/>
      <c r="TTG18" s="72"/>
      <c r="TTH18" s="72"/>
      <c r="TTI18" s="72"/>
      <c r="TTJ18" s="72"/>
      <c r="TTK18" s="72"/>
      <c r="TTL18" s="72"/>
      <c r="TTM18" s="72"/>
      <c r="TTN18" s="72"/>
      <c r="TTO18" s="72"/>
      <c r="TTP18" s="72"/>
      <c r="TTQ18" s="72"/>
      <c r="TTR18" s="72"/>
      <c r="TTS18" s="72"/>
      <c r="TTT18" s="72"/>
      <c r="TTU18" s="72"/>
      <c r="TTV18" s="72"/>
      <c r="TTW18" s="72"/>
      <c r="TTX18" s="72"/>
      <c r="TTY18" s="72"/>
      <c r="TTZ18" s="72"/>
      <c r="TUA18" s="72"/>
      <c r="TUB18" s="72"/>
      <c r="TUC18" s="72"/>
      <c r="TUD18" s="72"/>
      <c r="TUE18" s="72"/>
      <c r="TUF18" s="72"/>
      <c r="TUG18" s="72"/>
      <c r="TUH18" s="72"/>
      <c r="TUI18" s="72"/>
      <c r="TUJ18" s="72"/>
      <c r="TUK18" s="72"/>
      <c r="TUL18" s="72"/>
      <c r="TUM18" s="72"/>
      <c r="TUN18" s="72"/>
      <c r="TUO18" s="72"/>
      <c r="TUP18" s="72"/>
      <c r="TUQ18" s="72"/>
      <c r="TUR18" s="72"/>
      <c r="TUS18" s="72"/>
      <c r="TUT18" s="72"/>
      <c r="TUU18" s="72"/>
      <c r="TUV18" s="72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72"/>
      <c r="TVO18" s="72"/>
      <c r="TVP18" s="72"/>
      <c r="TVQ18" s="72"/>
      <c r="TVR18" s="72"/>
      <c r="TVS18" s="72"/>
      <c r="TVT18" s="72"/>
      <c r="TVU18" s="72"/>
      <c r="TVV18" s="72"/>
      <c r="TVW18" s="72"/>
      <c r="TVX18" s="72"/>
      <c r="TVY18" s="72"/>
      <c r="TVZ18" s="72"/>
      <c r="TWA18" s="72"/>
      <c r="TWB18" s="72"/>
      <c r="TWC18" s="72"/>
      <c r="TWD18" s="72"/>
      <c r="TWE18" s="72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72"/>
      <c r="TWX18" s="72"/>
      <c r="TWY18" s="72"/>
      <c r="TWZ18" s="72"/>
      <c r="TXA18" s="72"/>
      <c r="TXB18" s="72"/>
      <c r="TXC18" s="72"/>
      <c r="TXD18" s="72"/>
      <c r="TXE18" s="72"/>
      <c r="TXF18" s="72"/>
      <c r="TXG18" s="72"/>
      <c r="TXH18" s="72"/>
      <c r="TXI18" s="72"/>
      <c r="TXJ18" s="72"/>
      <c r="TXK18" s="72"/>
      <c r="TXL18" s="72"/>
      <c r="TXM18" s="72"/>
      <c r="TXN18" s="72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72"/>
      <c r="TYG18" s="72"/>
      <c r="TYH18" s="72"/>
      <c r="TYI18" s="72"/>
      <c r="TYJ18" s="72"/>
      <c r="TYK18" s="72"/>
      <c r="TYL18" s="72"/>
      <c r="TYM18" s="72"/>
      <c r="TYN18" s="72"/>
      <c r="TYO18" s="72"/>
      <c r="TYP18" s="72"/>
      <c r="TYQ18" s="72"/>
      <c r="TYR18" s="72"/>
      <c r="TYS18" s="72"/>
      <c r="TYT18" s="72"/>
      <c r="TYU18" s="72"/>
      <c r="TYV18" s="72"/>
      <c r="TYW18" s="72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72"/>
      <c r="TZP18" s="72"/>
      <c r="TZQ18" s="72"/>
      <c r="TZR18" s="72"/>
      <c r="TZS18" s="72"/>
      <c r="TZT18" s="72"/>
      <c r="TZU18" s="72"/>
      <c r="TZV18" s="72"/>
      <c r="TZW18" s="72"/>
      <c r="TZX18" s="72"/>
      <c r="TZY18" s="72"/>
      <c r="TZZ18" s="72"/>
      <c r="UAA18" s="72"/>
      <c r="UAB18" s="72"/>
      <c r="UAC18" s="72"/>
      <c r="UAD18" s="72"/>
      <c r="UAE18" s="72"/>
      <c r="UAF18" s="72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72"/>
      <c r="UAY18" s="72"/>
      <c r="UAZ18" s="72"/>
      <c r="UBA18" s="72"/>
      <c r="UBB18" s="72"/>
      <c r="UBC18" s="72"/>
      <c r="UBD18" s="72"/>
      <c r="UBE18" s="72"/>
      <c r="UBF18" s="72"/>
      <c r="UBG18" s="72"/>
      <c r="UBH18" s="72"/>
      <c r="UBI18" s="72"/>
      <c r="UBJ18" s="72"/>
      <c r="UBK18" s="72"/>
      <c r="UBL18" s="72"/>
      <c r="UBM18" s="72"/>
      <c r="UBN18" s="72"/>
      <c r="UBO18" s="72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72"/>
      <c r="UCH18" s="72"/>
      <c r="UCI18" s="72"/>
      <c r="UCJ18" s="72"/>
      <c r="UCK18" s="72"/>
      <c r="UCL18" s="72"/>
      <c r="UCM18" s="72"/>
      <c r="UCN18" s="72"/>
      <c r="UCO18" s="72"/>
      <c r="UCP18" s="72"/>
      <c r="UCQ18" s="72"/>
      <c r="UCR18" s="72"/>
      <c r="UCS18" s="72"/>
      <c r="UCT18" s="72"/>
      <c r="UCU18" s="72"/>
      <c r="UCV18" s="72"/>
      <c r="UCW18" s="72"/>
      <c r="UCX18" s="72"/>
      <c r="UCY18" s="72"/>
      <c r="UCZ18" s="72"/>
      <c r="UDA18" s="72"/>
      <c r="UDB18" s="72"/>
      <c r="UDC18" s="72"/>
      <c r="UDD18" s="72"/>
      <c r="UDE18" s="72"/>
      <c r="UDF18" s="72"/>
      <c r="UDG18" s="72"/>
      <c r="UDH18" s="72"/>
      <c r="UDI18" s="72"/>
      <c r="UDJ18" s="72"/>
      <c r="UDK18" s="72"/>
      <c r="UDL18" s="72"/>
      <c r="UDM18" s="72"/>
      <c r="UDN18" s="72"/>
      <c r="UDO18" s="72"/>
      <c r="UDP18" s="72"/>
      <c r="UDQ18" s="72"/>
      <c r="UDR18" s="72"/>
      <c r="UDS18" s="72"/>
      <c r="UDT18" s="72"/>
      <c r="UDU18" s="72"/>
      <c r="UDV18" s="72"/>
      <c r="UDW18" s="72"/>
      <c r="UDX18" s="72"/>
      <c r="UDY18" s="72"/>
      <c r="UDZ18" s="72"/>
      <c r="UEA18" s="72"/>
      <c r="UEB18" s="72"/>
      <c r="UEC18" s="72"/>
      <c r="UED18" s="72"/>
      <c r="UEE18" s="72"/>
      <c r="UEF18" s="72"/>
      <c r="UEG18" s="72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72"/>
      <c r="UEZ18" s="72"/>
      <c r="UFA18" s="72"/>
      <c r="UFB18" s="72"/>
      <c r="UFC18" s="72"/>
      <c r="UFD18" s="72"/>
      <c r="UFE18" s="72"/>
      <c r="UFF18" s="72"/>
      <c r="UFG18" s="72"/>
      <c r="UFH18" s="72"/>
      <c r="UFI18" s="72"/>
      <c r="UFJ18" s="72"/>
      <c r="UFK18" s="72"/>
      <c r="UFL18" s="72"/>
      <c r="UFM18" s="72"/>
      <c r="UFN18" s="72"/>
      <c r="UFO18" s="72"/>
      <c r="UFP18" s="72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72"/>
      <c r="UGI18" s="72"/>
      <c r="UGJ18" s="72"/>
      <c r="UGK18" s="72"/>
      <c r="UGL18" s="72"/>
      <c r="UGM18" s="72"/>
      <c r="UGN18" s="72"/>
      <c r="UGO18" s="72"/>
      <c r="UGP18" s="72"/>
      <c r="UGQ18" s="72"/>
      <c r="UGR18" s="72"/>
      <c r="UGS18" s="72"/>
      <c r="UGT18" s="72"/>
      <c r="UGU18" s="72"/>
      <c r="UGV18" s="72"/>
      <c r="UGW18" s="72"/>
      <c r="UGX18" s="72"/>
      <c r="UGY18" s="72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72"/>
      <c r="UHR18" s="72"/>
      <c r="UHS18" s="72"/>
      <c r="UHT18" s="72"/>
      <c r="UHU18" s="72"/>
      <c r="UHV18" s="72"/>
      <c r="UHW18" s="72"/>
      <c r="UHX18" s="72"/>
      <c r="UHY18" s="72"/>
      <c r="UHZ18" s="72"/>
      <c r="UIA18" s="72"/>
      <c r="UIB18" s="72"/>
      <c r="UIC18" s="72"/>
      <c r="UID18" s="72"/>
      <c r="UIE18" s="72"/>
      <c r="UIF18" s="72"/>
      <c r="UIG18" s="72"/>
      <c r="UIH18" s="72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72"/>
      <c r="UJA18" s="72"/>
      <c r="UJB18" s="72"/>
      <c r="UJC18" s="72"/>
      <c r="UJD18" s="72"/>
      <c r="UJE18" s="72"/>
      <c r="UJF18" s="72"/>
      <c r="UJG18" s="72"/>
      <c r="UJH18" s="72"/>
      <c r="UJI18" s="72"/>
      <c r="UJJ18" s="72"/>
      <c r="UJK18" s="72"/>
      <c r="UJL18" s="72"/>
      <c r="UJM18" s="72"/>
      <c r="UJN18" s="72"/>
      <c r="UJO18" s="72"/>
      <c r="UJP18" s="72"/>
      <c r="UJQ18" s="72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72"/>
      <c r="UKJ18" s="72"/>
      <c r="UKK18" s="72"/>
      <c r="UKL18" s="72"/>
      <c r="UKM18" s="72"/>
      <c r="UKN18" s="72"/>
      <c r="UKO18" s="72"/>
      <c r="UKP18" s="72"/>
      <c r="UKQ18" s="72"/>
      <c r="UKR18" s="72"/>
      <c r="UKS18" s="72"/>
      <c r="UKT18" s="72"/>
      <c r="UKU18" s="72"/>
      <c r="UKV18" s="72"/>
      <c r="UKW18" s="72"/>
      <c r="UKX18" s="72"/>
      <c r="UKY18" s="72"/>
      <c r="UKZ18" s="72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72"/>
      <c r="ULS18" s="72"/>
      <c r="ULT18" s="72"/>
      <c r="ULU18" s="72"/>
      <c r="ULV18" s="72"/>
      <c r="ULW18" s="72"/>
      <c r="ULX18" s="72"/>
      <c r="ULY18" s="72"/>
      <c r="ULZ18" s="72"/>
      <c r="UMA18" s="72"/>
      <c r="UMB18" s="72"/>
      <c r="UMC18" s="72"/>
      <c r="UMD18" s="72"/>
      <c r="UME18" s="72"/>
      <c r="UMF18" s="72"/>
      <c r="UMG18" s="72"/>
      <c r="UMH18" s="72"/>
      <c r="UMI18" s="72"/>
      <c r="UMJ18" s="72"/>
      <c r="UMK18" s="72"/>
      <c r="UML18" s="72"/>
      <c r="UMM18" s="72"/>
      <c r="UMN18" s="72"/>
      <c r="UMO18" s="72"/>
      <c r="UMP18" s="72"/>
      <c r="UMQ18" s="72"/>
      <c r="UMR18" s="72"/>
      <c r="UMS18" s="72"/>
      <c r="UMT18" s="72"/>
      <c r="UMU18" s="72"/>
      <c r="UMV18" s="72"/>
      <c r="UMW18" s="72"/>
      <c r="UMX18" s="72"/>
      <c r="UMY18" s="72"/>
      <c r="UMZ18" s="72"/>
      <c r="UNA18" s="72"/>
      <c r="UNB18" s="72"/>
      <c r="UNC18" s="72"/>
      <c r="UND18" s="72"/>
      <c r="UNE18" s="72"/>
      <c r="UNF18" s="72"/>
      <c r="UNG18" s="72"/>
      <c r="UNH18" s="72"/>
      <c r="UNI18" s="72"/>
      <c r="UNJ18" s="72"/>
      <c r="UNK18" s="72"/>
      <c r="UNL18" s="72"/>
      <c r="UNM18" s="72"/>
      <c r="UNN18" s="72"/>
      <c r="UNO18" s="72"/>
      <c r="UNP18" s="72"/>
      <c r="UNQ18" s="72"/>
      <c r="UNR18" s="72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72"/>
      <c r="UOK18" s="72"/>
      <c r="UOL18" s="72"/>
      <c r="UOM18" s="72"/>
      <c r="UON18" s="72"/>
      <c r="UOO18" s="72"/>
      <c r="UOP18" s="72"/>
      <c r="UOQ18" s="72"/>
      <c r="UOR18" s="72"/>
      <c r="UOS18" s="72"/>
      <c r="UOT18" s="72"/>
      <c r="UOU18" s="72"/>
      <c r="UOV18" s="72"/>
      <c r="UOW18" s="72"/>
      <c r="UOX18" s="72"/>
      <c r="UOY18" s="72"/>
      <c r="UOZ18" s="72"/>
      <c r="UPA18" s="72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72"/>
      <c r="UPT18" s="72"/>
      <c r="UPU18" s="72"/>
      <c r="UPV18" s="72"/>
      <c r="UPW18" s="72"/>
      <c r="UPX18" s="72"/>
      <c r="UPY18" s="72"/>
      <c r="UPZ18" s="72"/>
      <c r="UQA18" s="72"/>
      <c r="UQB18" s="72"/>
      <c r="UQC18" s="72"/>
      <c r="UQD18" s="72"/>
      <c r="UQE18" s="72"/>
      <c r="UQF18" s="72"/>
      <c r="UQG18" s="72"/>
      <c r="UQH18" s="72"/>
      <c r="UQI18" s="72"/>
      <c r="UQJ18" s="72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72"/>
      <c r="URC18" s="72"/>
      <c r="URD18" s="72"/>
      <c r="URE18" s="72"/>
      <c r="URF18" s="72"/>
      <c r="URG18" s="72"/>
      <c r="URH18" s="72"/>
      <c r="URI18" s="72"/>
      <c r="URJ18" s="72"/>
      <c r="URK18" s="72"/>
      <c r="URL18" s="72"/>
      <c r="URM18" s="72"/>
      <c r="URN18" s="72"/>
      <c r="URO18" s="72"/>
      <c r="URP18" s="72"/>
      <c r="URQ18" s="72"/>
      <c r="URR18" s="72"/>
      <c r="URS18" s="72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72"/>
      <c r="USL18" s="72"/>
      <c r="USM18" s="72"/>
      <c r="USN18" s="72"/>
      <c r="USO18" s="72"/>
      <c r="USP18" s="72"/>
      <c r="USQ18" s="72"/>
      <c r="USR18" s="72"/>
      <c r="USS18" s="72"/>
      <c r="UST18" s="72"/>
      <c r="USU18" s="72"/>
      <c r="USV18" s="72"/>
      <c r="USW18" s="72"/>
      <c r="USX18" s="72"/>
      <c r="USY18" s="72"/>
      <c r="USZ18" s="72"/>
      <c r="UTA18" s="72"/>
      <c r="UTB18" s="72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72"/>
      <c r="UTU18" s="72"/>
      <c r="UTV18" s="72"/>
      <c r="UTW18" s="72"/>
      <c r="UTX18" s="72"/>
      <c r="UTY18" s="72"/>
      <c r="UTZ18" s="72"/>
      <c r="UUA18" s="72"/>
      <c r="UUB18" s="72"/>
      <c r="UUC18" s="72"/>
      <c r="UUD18" s="72"/>
      <c r="UUE18" s="72"/>
      <c r="UUF18" s="72"/>
      <c r="UUG18" s="72"/>
      <c r="UUH18" s="72"/>
      <c r="UUI18" s="72"/>
      <c r="UUJ18" s="72"/>
      <c r="UUK18" s="72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72"/>
      <c r="UVD18" s="72"/>
      <c r="UVE18" s="72"/>
      <c r="UVF18" s="72"/>
      <c r="UVG18" s="72"/>
      <c r="UVH18" s="72"/>
      <c r="UVI18" s="72"/>
      <c r="UVJ18" s="72"/>
      <c r="UVK18" s="72"/>
      <c r="UVL18" s="72"/>
      <c r="UVM18" s="72"/>
      <c r="UVN18" s="72"/>
      <c r="UVO18" s="72"/>
      <c r="UVP18" s="72"/>
      <c r="UVQ18" s="72"/>
      <c r="UVR18" s="72"/>
      <c r="UVS18" s="72"/>
      <c r="UVT18" s="72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E18" s="72"/>
      <c r="UWF18" s="72"/>
      <c r="UWG18" s="72"/>
      <c r="UWH18" s="72"/>
      <c r="UWI18" s="72"/>
      <c r="UWJ18" s="72"/>
      <c r="UWK18" s="72"/>
      <c r="UWL18" s="72"/>
      <c r="UWM18" s="72"/>
      <c r="UWN18" s="72"/>
      <c r="UWO18" s="72"/>
      <c r="UWP18" s="72"/>
      <c r="UWQ18" s="72"/>
      <c r="UWR18" s="72"/>
      <c r="UWS18" s="72"/>
      <c r="UWT18" s="72"/>
      <c r="UWU18" s="72"/>
      <c r="UWV18" s="72"/>
      <c r="UWW18" s="72"/>
      <c r="UWX18" s="72"/>
      <c r="UWY18" s="72"/>
      <c r="UWZ18" s="72"/>
      <c r="UXA18" s="72"/>
      <c r="UXB18" s="72"/>
      <c r="UXC18" s="72"/>
      <c r="UXD18" s="72"/>
      <c r="UXE18" s="72"/>
      <c r="UXF18" s="72"/>
      <c r="UXG18" s="72"/>
      <c r="UXH18" s="72"/>
      <c r="UXI18" s="72"/>
      <c r="UXJ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72"/>
      <c r="UXV18" s="72"/>
      <c r="UXW18" s="72"/>
      <c r="UXX18" s="72"/>
      <c r="UXY18" s="72"/>
      <c r="UXZ18" s="72"/>
      <c r="UYA18" s="72"/>
      <c r="UYB18" s="72"/>
      <c r="UYC18" s="72"/>
      <c r="UYD18" s="72"/>
      <c r="UYE18" s="72"/>
      <c r="UYF18" s="72"/>
      <c r="UYG18" s="72"/>
      <c r="UYH18" s="72"/>
      <c r="UYI18" s="72"/>
      <c r="UYJ18" s="72"/>
      <c r="UYK18" s="72"/>
      <c r="UYL18" s="72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72"/>
      <c r="UZE18" s="72"/>
      <c r="UZF18" s="72"/>
      <c r="UZG18" s="72"/>
      <c r="UZH18" s="72"/>
      <c r="UZI18" s="72"/>
      <c r="UZJ18" s="72"/>
      <c r="UZK18" s="72"/>
      <c r="UZL18" s="72"/>
      <c r="UZM18" s="72"/>
      <c r="UZN18" s="72"/>
      <c r="UZO18" s="72"/>
      <c r="UZP18" s="72"/>
      <c r="UZQ18" s="72"/>
      <c r="UZR18" s="72"/>
      <c r="UZS18" s="72"/>
      <c r="UZT18" s="72"/>
      <c r="UZU18" s="72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72"/>
      <c r="VAN18" s="72"/>
      <c r="VAO18" s="72"/>
      <c r="VAP18" s="72"/>
      <c r="VAQ18" s="72"/>
      <c r="VAR18" s="72"/>
      <c r="VAS18" s="72"/>
      <c r="VAT18" s="72"/>
      <c r="VAU18" s="72"/>
      <c r="VAV18" s="72"/>
      <c r="VAW18" s="72"/>
      <c r="VAX18" s="72"/>
      <c r="VAY18" s="72"/>
      <c r="VAZ18" s="72"/>
      <c r="VBA18" s="72"/>
      <c r="VBB18" s="72"/>
      <c r="VBC18" s="72"/>
      <c r="VBD18" s="72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72"/>
      <c r="VBW18" s="72"/>
      <c r="VBX18" s="72"/>
      <c r="VBY18" s="72"/>
      <c r="VBZ18" s="72"/>
      <c r="VCA18" s="72"/>
      <c r="VCB18" s="72"/>
      <c r="VCC18" s="72"/>
      <c r="VCD18" s="72"/>
      <c r="VCE18" s="72"/>
      <c r="VCF18" s="72"/>
      <c r="VCG18" s="72"/>
      <c r="VCH18" s="72"/>
      <c r="VCI18" s="72"/>
      <c r="VCJ18" s="72"/>
      <c r="VCK18" s="72"/>
      <c r="VCL18" s="72"/>
      <c r="VCM18" s="72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72"/>
      <c r="VDF18" s="72"/>
      <c r="VDG18" s="72"/>
      <c r="VDH18" s="72"/>
      <c r="VDI18" s="72"/>
      <c r="VDJ18" s="72"/>
      <c r="VDK18" s="72"/>
      <c r="VDL18" s="72"/>
      <c r="VDM18" s="72"/>
      <c r="VDN18" s="72"/>
      <c r="VDO18" s="72"/>
      <c r="VDP18" s="72"/>
      <c r="VDQ18" s="72"/>
      <c r="VDR18" s="72"/>
      <c r="VDS18" s="72"/>
      <c r="VDT18" s="72"/>
      <c r="VDU18" s="72"/>
      <c r="VDV18" s="72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72"/>
      <c r="VEO18" s="72"/>
      <c r="VEP18" s="72"/>
      <c r="VEQ18" s="72"/>
      <c r="VER18" s="72"/>
      <c r="VES18" s="72"/>
      <c r="VET18" s="72"/>
      <c r="VEU18" s="72"/>
      <c r="VEV18" s="72"/>
      <c r="VEW18" s="72"/>
      <c r="VEX18" s="72"/>
      <c r="VEY18" s="72"/>
      <c r="VEZ18" s="72"/>
      <c r="VFA18" s="72"/>
      <c r="VFB18" s="72"/>
      <c r="VFC18" s="72"/>
      <c r="VFD18" s="72"/>
      <c r="VFE18" s="72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72"/>
      <c r="VFX18" s="72"/>
      <c r="VFY18" s="72"/>
      <c r="VFZ18" s="72"/>
      <c r="VGA18" s="72"/>
      <c r="VGB18" s="72"/>
      <c r="VGC18" s="72"/>
      <c r="VGD18" s="72"/>
      <c r="VGE18" s="72"/>
      <c r="VGF18" s="72"/>
      <c r="VGG18" s="72"/>
      <c r="VGH18" s="72"/>
      <c r="VGI18" s="72"/>
      <c r="VGJ18" s="72"/>
      <c r="VGK18" s="72"/>
      <c r="VGL18" s="72"/>
      <c r="VGM18" s="72"/>
      <c r="VGN18" s="72"/>
      <c r="VGO18" s="72"/>
      <c r="VGP18" s="72"/>
      <c r="VGQ18" s="72"/>
      <c r="VGR18" s="72"/>
      <c r="VGS18" s="72"/>
      <c r="VGT18" s="72"/>
      <c r="VGU18" s="72"/>
      <c r="VGV18" s="72"/>
      <c r="VGW18" s="72"/>
      <c r="VGX18" s="72"/>
      <c r="VGY18" s="72"/>
      <c r="VGZ18" s="72"/>
      <c r="VHA18" s="72"/>
      <c r="VHB18" s="72"/>
      <c r="VHC18" s="72"/>
      <c r="VHD18" s="72"/>
      <c r="VHE18" s="72"/>
      <c r="VHF18" s="72"/>
      <c r="VHG18" s="72"/>
      <c r="VHH18" s="72"/>
      <c r="VHI18" s="72"/>
      <c r="VHJ18" s="72"/>
      <c r="VHK18" s="72"/>
      <c r="VHL18" s="72"/>
      <c r="VHM18" s="72"/>
      <c r="VHN18" s="72"/>
      <c r="VHO18" s="72"/>
      <c r="VHP18" s="72"/>
      <c r="VHQ18" s="72"/>
      <c r="VHR18" s="72"/>
      <c r="VHS18" s="72"/>
      <c r="VHT18" s="72"/>
      <c r="VHU18" s="72"/>
      <c r="VHV18" s="72"/>
      <c r="VHW18" s="72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72"/>
      <c r="VIP18" s="72"/>
      <c r="VIQ18" s="72"/>
      <c r="VIR18" s="72"/>
      <c r="VIS18" s="72"/>
      <c r="VIT18" s="72"/>
      <c r="VIU18" s="72"/>
      <c r="VIV18" s="72"/>
      <c r="VIW18" s="72"/>
      <c r="VIX18" s="72"/>
      <c r="VIY18" s="72"/>
      <c r="VIZ18" s="72"/>
      <c r="VJA18" s="72"/>
      <c r="VJB18" s="72"/>
      <c r="VJC18" s="72"/>
      <c r="VJD18" s="72"/>
      <c r="VJE18" s="72"/>
      <c r="VJF18" s="72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72"/>
      <c r="VJY18" s="72"/>
      <c r="VJZ18" s="72"/>
      <c r="VKA18" s="72"/>
      <c r="VKB18" s="72"/>
      <c r="VKC18" s="72"/>
      <c r="VKD18" s="72"/>
      <c r="VKE18" s="72"/>
      <c r="VKF18" s="72"/>
      <c r="VKG18" s="72"/>
      <c r="VKH18" s="72"/>
      <c r="VKI18" s="72"/>
      <c r="VKJ18" s="72"/>
      <c r="VKK18" s="72"/>
      <c r="VKL18" s="72"/>
      <c r="VKM18" s="72"/>
      <c r="VKN18" s="72"/>
      <c r="VKO18" s="72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72"/>
      <c r="VLH18" s="72"/>
      <c r="VLI18" s="72"/>
      <c r="VLJ18" s="72"/>
      <c r="VLK18" s="72"/>
      <c r="VLL18" s="72"/>
      <c r="VLM18" s="72"/>
      <c r="VLN18" s="72"/>
      <c r="VLO18" s="72"/>
      <c r="VLP18" s="72"/>
      <c r="VLQ18" s="72"/>
      <c r="VLR18" s="72"/>
      <c r="VLS18" s="72"/>
      <c r="VLT18" s="72"/>
      <c r="VLU18" s="72"/>
      <c r="VLV18" s="72"/>
      <c r="VLW18" s="72"/>
      <c r="VLX18" s="72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72"/>
      <c r="VMQ18" s="72"/>
      <c r="VMR18" s="72"/>
      <c r="VMS18" s="72"/>
      <c r="VMT18" s="72"/>
      <c r="VMU18" s="72"/>
      <c r="VMV18" s="72"/>
      <c r="VMW18" s="72"/>
      <c r="VMX18" s="72"/>
      <c r="VMY18" s="72"/>
      <c r="VMZ18" s="72"/>
      <c r="VNA18" s="72"/>
      <c r="VNB18" s="72"/>
      <c r="VNC18" s="72"/>
      <c r="VND18" s="72"/>
      <c r="VNE18" s="72"/>
      <c r="VNF18" s="72"/>
      <c r="VNG18" s="72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72"/>
      <c r="VNZ18" s="72"/>
      <c r="VOA18" s="72"/>
      <c r="VOB18" s="72"/>
      <c r="VOC18" s="72"/>
      <c r="VOD18" s="72"/>
      <c r="VOE18" s="72"/>
      <c r="VOF18" s="72"/>
      <c r="VOG18" s="72"/>
      <c r="VOH18" s="72"/>
      <c r="VOI18" s="72"/>
      <c r="VOJ18" s="72"/>
      <c r="VOK18" s="72"/>
      <c r="VOL18" s="72"/>
      <c r="VOM18" s="72"/>
      <c r="VON18" s="72"/>
      <c r="VOO18" s="72"/>
      <c r="VOP18" s="72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72"/>
      <c r="VPI18" s="72"/>
      <c r="VPJ18" s="72"/>
      <c r="VPK18" s="72"/>
      <c r="VPL18" s="72"/>
      <c r="VPM18" s="72"/>
      <c r="VPN18" s="72"/>
      <c r="VPO18" s="72"/>
      <c r="VPP18" s="72"/>
      <c r="VPQ18" s="72"/>
      <c r="VPR18" s="72"/>
      <c r="VPS18" s="72"/>
      <c r="VPT18" s="72"/>
      <c r="VPU18" s="72"/>
      <c r="VPV18" s="72"/>
      <c r="VPW18" s="72"/>
      <c r="VPX18" s="72"/>
      <c r="VPY18" s="72"/>
      <c r="VPZ18" s="72"/>
      <c r="VQA18" s="72"/>
      <c r="VQB18" s="72"/>
      <c r="VQC18" s="72"/>
      <c r="VQD18" s="72"/>
      <c r="VQE18" s="72"/>
      <c r="VQF18" s="72"/>
      <c r="VQG18" s="72"/>
      <c r="VQH18" s="72"/>
      <c r="VQI18" s="72"/>
      <c r="VQJ18" s="72"/>
      <c r="VQK18" s="72"/>
      <c r="VQL18" s="72"/>
      <c r="VQM18" s="72"/>
      <c r="VQN18" s="72"/>
      <c r="VQO18" s="72"/>
      <c r="VQP18" s="72"/>
      <c r="VQQ18" s="72"/>
      <c r="VQR18" s="72"/>
      <c r="VQS18" s="72"/>
      <c r="VQT18" s="72"/>
      <c r="VQU18" s="72"/>
      <c r="VQV18" s="72"/>
      <c r="VQW18" s="72"/>
      <c r="VQX18" s="72"/>
      <c r="VQY18" s="72"/>
      <c r="VQZ18" s="72"/>
      <c r="VRA18" s="72"/>
      <c r="VRB18" s="72"/>
      <c r="VRC18" s="72"/>
      <c r="VRD18" s="72"/>
      <c r="VRE18" s="72"/>
      <c r="VRF18" s="72"/>
      <c r="VRG18" s="72"/>
      <c r="VRH18" s="72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72"/>
      <c r="VSA18" s="72"/>
      <c r="VSB18" s="72"/>
      <c r="VSC18" s="72"/>
      <c r="VSD18" s="72"/>
      <c r="VSE18" s="72"/>
      <c r="VSF18" s="72"/>
      <c r="VSG18" s="72"/>
      <c r="VSH18" s="72"/>
      <c r="VSI18" s="72"/>
      <c r="VSJ18" s="72"/>
      <c r="VSK18" s="72"/>
      <c r="VSL18" s="72"/>
      <c r="VSM18" s="72"/>
      <c r="VSN18" s="72"/>
      <c r="VSO18" s="72"/>
      <c r="VSP18" s="72"/>
      <c r="VSQ18" s="72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72"/>
      <c r="VTJ18" s="72"/>
      <c r="VTK18" s="72"/>
      <c r="VTL18" s="72"/>
      <c r="VTM18" s="72"/>
      <c r="VTN18" s="72"/>
      <c r="VTO18" s="72"/>
      <c r="VTP18" s="72"/>
      <c r="VTQ18" s="72"/>
      <c r="VTR18" s="72"/>
      <c r="VTS18" s="72"/>
      <c r="VTT18" s="72"/>
      <c r="VTU18" s="72"/>
      <c r="VTV18" s="72"/>
      <c r="VTW18" s="72"/>
      <c r="VTX18" s="72"/>
      <c r="VTY18" s="72"/>
      <c r="VTZ18" s="72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72"/>
      <c r="VUS18" s="72"/>
      <c r="VUT18" s="72"/>
      <c r="VUU18" s="72"/>
      <c r="VUV18" s="72"/>
      <c r="VUW18" s="72"/>
      <c r="VUX18" s="72"/>
      <c r="VUY18" s="72"/>
      <c r="VUZ18" s="72"/>
      <c r="VVA18" s="72"/>
      <c r="VVB18" s="72"/>
      <c r="VVC18" s="72"/>
      <c r="VVD18" s="72"/>
      <c r="VVE18" s="72"/>
      <c r="VVF18" s="72"/>
      <c r="VVG18" s="72"/>
      <c r="VVH18" s="72"/>
      <c r="VVI18" s="72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72"/>
      <c r="VWB18" s="72"/>
      <c r="VWC18" s="72"/>
      <c r="VWD18" s="72"/>
      <c r="VWE18" s="72"/>
      <c r="VWF18" s="72"/>
      <c r="VWG18" s="72"/>
      <c r="VWH18" s="72"/>
      <c r="VWI18" s="72"/>
      <c r="VWJ18" s="72"/>
      <c r="VWK18" s="72"/>
      <c r="VWL18" s="72"/>
      <c r="VWM18" s="72"/>
      <c r="VWN18" s="72"/>
      <c r="VWO18" s="72"/>
      <c r="VWP18" s="72"/>
      <c r="VWQ18" s="72"/>
      <c r="VWR18" s="72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72"/>
      <c r="VXK18" s="72"/>
      <c r="VXL18" s="72"/>
      <c r="VXM18" s="72"/>
      <c r="VXN18" s="72"/>
      <c r="VXO18" s="72"/>
      <c r="VXP18" s="72"/>
      <c r="VXQ18" s="72"/>
      <c r="VXR18" s="72"/>
      <c r="VXS18" s="72"/>
      <c r="VXT18" s="72"/>
      <c r="VXU18" s="72"/>
      <c r="VXV18" s="72"/>
      <c r="VXW18" s="72"/>
      <c r="VXX18" s="72"/>
      <c r="VXY18" s="72"/>
      <c r="VXZ18" s="72"/>
      <c r="VYA18" s="72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72"/>
      <c r="VYT18" s="72"/>
      <c r="VYU18" s="72"/>
      <c r="VYV18" s="72"/>
      <c r="VYW18" s="72"/>
      <c r="VYX18" s="72"/>
      <c r="VYY18" s="72"/>
      <c r="VYZ18" s="72"/>
      <c r="VZA18" s="72"/>
      <c r="VZB18" s="72"/>
      <c r="VZC18" s="72"/>
      <c r="VZD18" s="72"/>
      <c r="VZE18" s="72"/>
      <c r="VZF18" s="72"/>
      <c r="VZG18" s="72"/>
      <c r="VZH18" s="72"/>
      <c r="VZI18" s="72"/>
      <c r="VZJ18" s="72"/>
      <c r="VZK18" s="72"/>
      <c r="VZL18" s="72"/>
      <c r="VZM18" s="72"/>
      <c r="VZN18" s="72"/>
      <c r="VZO18" s="72"/>
      <c r="VZP18" s="72"/>
      <c r="VZQ18" s="72"/>
      <c r="VZR18" s="72"/>
      <c r="VZS18" s="72"/>
      <c r="VZT18" s="72"/>
      <c r="VZU18" s="72"/>
      <c r="VZV18" s="72"/>
      <c r="VZW18" s="72"/>
      <c r="VZX18" s="72"/>
      <c r="VZY18" s="72"/>
      <c r="VZZ18" s="72"/>
      <c r="WAA18" s="72"/>
      <c r="WAB18" s="72"/>
      <c r="WAC18" s="72"/>
      <c r="WAD18" s="72"/>
      <c r="WAE18" s="72"/>
      <c r="WAF18" s="72"/>
      <c r="WAG18" s="72"/>
      <c r="WAH18" s="72"/>
      <c r="WAI18" s="72"/>
      <c r="WAJ18" s="72"/>
      <c r="WAK18" s="72"/>
      <c r="WAL18" s="72"/>
      <c r="WAM18" s="72"/>
      <c r="WAN18" s="72"/>
      <c r="WAO18" s="72"/>
      <c r="WAP18" s="72"/>
      <c r="WAQ18" s="72"/>
      <c r="WAR18" s="72"/>
      <c r="WAS18" s="72"/>
      <c r="WAT18" s="72"/>
      <c r="WAU18" s="72"/>
      <c r="WAV18" s="72"/>
      <c r="WAW18" s="72"/>
      <c r="WAX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72"/>
      <c r="WBL18" s="72"/>
      <c r="WBM18" s="72"/>
      <c r="WBN18" s="72"/>
      <c r="WBO18" s="72"/>
      <c r="WBP18" s="72"/>
      <c r="WBQ18" s="72"/>
      <c r="WBR18" s="72"/>
      <c r="WBS18" s="72"/>
      <c r="WBT18" s="72"/>
      <c r="WBU18" s="72"/>
      <c r="WBV18" s="72"/>
      <c r="WBW18" s="72"/>
      <c r="WBX18" s="72"/>
      <c r="WBY18" s="72"/>
      <c r="WBZ18" s="72"/>
      <c r="WCA18" s="72"/>
      <c r="WCB18" s="72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72"/>
      <c r="WCU18" s="72"/>
      <c r="WCV18" s="72"/>
      <c r="WCW18" s="72"/>
      <c r="WCX18" s="72"/>
      <c r="WCY18" s="72"/>
      <c r="WCZ18" s="72"/>
      <c r="WDA18" s="72"/>
      <c r="WDB18" s="72"/>
      <c r="WDC18" s="72"/>
      <c r="WDD18" s="72"/>
      <c r="WDE18" s="72"/>
      <c r="WDF18" s="72"/>
      <c r="WDG18" s="72"/>
      <c r="WDH18" s="72"/>
      <c r="WDI18" s="72"/>
      <c r="WDJ18" s="72"/>
      <c r="WDK18" s="72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72"/>
      <c r="WED18" s="72"/>
      <c r="WEE18" s="72"/>
      <c r="WEF18" s="72"/>
      <c r="WEG18" s="72"/>
      <c r="WEH18" s="72"/>
      <c r="WEI18" s="72"/>
      <c r="WEJ18" s="72"/>
      <c r="WEK18" s="72"/>
      <c r="WEL18" s="72"/>
      <c r="WEM18" s="72"/>
      <c r="WEN18" s="72"/>
      <c r="WEO18" s="72"/>
      <c r="WEP18" s="72"/>
      <c r="WEQ18" s="72"/>
      <c r="WER18" s="72"/>
      <c r="WES18" s="72"/>
      <c r="WET18" s="72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72"/>
      <c r="WFM18" s="72"/>
      <c r="WFN18" s="72"/>
      <c r="WFO18" s="72"/>
      <c r="WFP18" s="72"/>
      <c r="WFQ18" s="72"/>
      <c r="WFR18" s="72"/>
      <c r="WFS18" s="72"/>
      <c r="WFT18" s="72"/>
      <c r="WFU18" s="72"/>
      <c r="WFV18" s="72"/>
      <c r="WFW18" s="72"/>
      <c r="WFX18" s="72"/>
      <c r="WFY18" s="72"/>
      <c r="WFZ18" s="72"/>
      <c r="WGA18" s="72"/>
      <c r="WGB18" s="72"/>
      <c r="WGC18" s="72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72"/>
      <c r="WGV18" s="72"/>
      <c r="WGW18" s="72"/>
      <c r="WGX18" s="72"/>
      <c r="WGY18" s="72"/>
      <c r="WGZ18" s="72"/>
      <c r="WHA18" s="72"/>
      <c r="WHB18" s="72"/>
      <c r="WHC18" s="72"/>
      <c r="WHD18" s="72"/>
      <c r="WHE18" s="72"/>
      <c r="WHF18" s="72"/>
      <c r="WHG18" s="72"/>
      <c r="WHH18" s="72"/>
      <c r="WHI18" s="72"/>
      <c r="WHJ18" s="72"/>
      <c r="WHK18" s="72"/>
      <c r="WHL18" s="72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72"/>
      <c r="WIE18" s="72"/>
      <c r="WIF18" s="72"/>
      <c r="WIG18" s="72"/>
      <c r="WIH18" s="72"/>
      <c r="WII18" s="72"/>
      <c r="WIJ18" s="72"/>
      <c r="WIK18" s="72"/>
      <c r="WIL18" s="72"/>
      <c r="WIM18" s="72"/>
      <c r="WIN18" s="72"/>
      <c r="WIO18" s="72"/>
      <c r="WIP18" s="72"/>
      <c r="WIQ18" s="72"/>
      <c r="WIR18" s="72"/>
      <c r="WIS18" s="72"/>
      <c r="WIT18" s="72"/>
      <c r="WIU18" s="72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72"/>
      <c r="WJN18" s="72"/>
      <c r="WJO18" s="72"/>
      <c r="WJP18" s="72"/>
      <c r="WJQ18" s="72"/>
      <c r="WJR18" s="72"/>
      <c r="WJS18" s="72"/>
      <c r="WJT18" s="72"/>
      <c r="WJU18" s="72"/>
      <c r="WJV18" s="72"/>
      <c r="WJW18" s="72"/>
      <c r="WJX18" s="72"/>
      <c r="WJY18" s="72"/>
      <c r="WJZ18" s="72"/>
      <c r="WKA18" s="72"/>
      <c r="WKB18" s="72"/>
      <c r="WKC18" s="72"/>
      <c r="WKD18" s="72"/>
      <c r="WKE18" s="72"/>
      <c r="WKF18" s="72"/>
      <c r="WKG18" s="72"/>
      <c r="WKH18" s="72"/>
      <c r="WKI18" s="72"/>
      <c r="WKJ18" s="72"/>
      <c r="WKK18" s="72"/>
      <c r="WKL18" s="72"/>
      <c r="WKM18" s="72"/>
      <c r="WKN18" s="72"/>
      <c r="WKO18" s="72"/>
      <c r="WKP18" s="72"/>
      <c r="WKQ18" s="72"/>
      <c r="WKR18" s="72"/>
      <c r="WKS18" s="72"/>
      <c r="WKT18" s="72"/>
      <c r="WKU18" s="72"/>
      <c r="WKV18" s="72"/>
      <c r="WKW18" s="72"/>
      <c r="WKX18" s="72"/>
      <c r="WKY18" s="72"/>
      <c r="WKZ18" s="72"/>
      <c r="WLA18" s="72"/>
      <c r="WLB18" s="72"/>
      <c r="WLC18" s="72"/>
      <c r="WLD18" s="72"/>
      <c r="WLE18" s="72"/>
      <c r="WLF18" s="72"/>
      <c r="WLG18" s="72"/>
      <c r="WLH18" s="72"/>
      <c r="WLI18" s="72"/>
      <c r="WLJ18" s="72"/>
      <c r="WLK18" s="72"/>
      <c r="WLL18" s="72"/>
      <c r="WLM18" s="72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72"/>
      <c r="WMF18" s="72"/>
      <c r="WMG18" s="72"/>
      <c r="WMH18" s="72"/>
      <c r="WMI18" s="72"/>
      <c r="WMJ18" s="72"/>
      <c r="WMK18" s="72"/>
      <c r="WML18" s="72"/>
      <c r="WMM18" s="72"/>
      <c r="WMN18" s="72"/>
      <c r="WMO18" s="72"/>
      <c r="WMP18" s="72"/>
      <c r="WMQ18" s="72"/>
      <c r="WMR18" s="72"/>
      <c r="WMS18" s="72"/>
      <c r="WMT18" s="72"/>
      <c r="WMU18" s="72"/>
      <c r="WMV18" s="72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72"/>
      <c r="WNO18" s="72"/>
      <c r="WNP18" s="72"/>
      <c r="WNQ18" s="72"/>
      <c r="WNR18" s="72"/>
      <c r="WNS18" s="72"/>
      <c r="WNT18" s="72"/>
      <c r="WNU18" s="72"/>
      <c r="WNV18" s="72"/>
      <c r="WNW18" s="72"/>
      <c r="WNX18" s="72"/>
      <c r="WNY18" s="72"/>
      <c r="WNZ18" s="72"/>
      <c r="WOA18" s="72"/>
      <c r="WOB18" s="72"/>
      <c r="WOC18" s="72"/>
      <c r="WOD18" s="72"/>
      <c r="WOE18" s="72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72"/>
      <c r="WOX18" s="72"/>
      <c r="WOY18" s="72"/>
      <c r="WOZ18" s="72"/>
      <c r="WPA18" s="72"/>
      <c r="WPB18" s="72"/>
      <c r="WPC18" s="72"/>
      <c r="WPD18" s="72"/>
      <c r="WPE18" s="72"/>
      <c r="WPF18" s="72"/>
      <c r="WPG18" s="72"/>
      <c r="WPH18" s="72"/>
      <c r="WPI18" s="72"/>
      <c r="WPJ18" s="72"/>
      <c r="WPK18" s="72"/>
      <c r="WPL18" s="72"/>
      <c r="WPM18" s="72"/>
      <c r="WPN18" s="72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72"/>
      <c r="WQG18" s="72"/>
      <c r="WQH18" s="72"/>
      <c r="WQI18" s="72"/>
      <c r="WQJ18" s="72"/>
      <c r="WQK18" s="72"/>
      <c r="WQL18" s="72"/>
      <c r="WQM18" s="72"/>
      <c r="WQN18" s="72"/>
      <c r="WQO18" s="72"/>
      <c r="WQP18" s="72"/>
      <c r="WQQ18" s="72"/>
      <c r="WQR18" s="72"/>
      <c r="WQS18" s="72"/>
      <c r="WQT18" s="72"/>
      <c r="WQU18" s="72"/>
      <c r="WQV18" s="72"/>
      <c r="WQW18" s="72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72"/>
      <c r="WRP18" s="72"/>
      <c r="WRQ18" s="72"/>
      <c r="WRR18" s="72"/>
      <c r="WRS18" s="72"/>
      <c r="WRT18" s="72"/>
      <c r="WRU18" s="72"/>
      <c r="WRV18" s="72"/>
      <c r="WRW18" s="72"/>
      <c r="WRX18" s="72"/>
      <c r="WRY18" s="72"/>
      <c r="WRZ18" s="72"/>
      <c r="WSA18" s="72"/>
      <c r="WSB18" s="72"/>
      <c r="WSC18" s="72"/>
      <c r="WSD18" s="72"/>
      <c r="WSE18" s="72"/>
      <c r="WSF18" s="72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72"/>
      <c r="WSY18" s="72"/>
      <c r="WSZ18" s="72"/>
      <c r="WTA18" s="72"/>
      <c r="WTB18" s="72"/>
      <c r="WTC18" s="72"/>
      <c r="WTD18" s="72"/>
      <c r="WTE18" s="72"/>
      <c r="WTF18" s="72"/>
      <c r="WTG18" s="72"/>
      <c r="WTH18" s="72"/>
      <c r="WTI18" s="72"/>
      <c r="WTJ18" s="72"/>
      <c r="WTK18" s="72"/>
      <c r="WTL18" s="72"/>
      <c r="WTM18" s="72"/>
      <c r="WTN18" s="72"/>
      <c r="WTO18" s="72"/>
      <c r="WTP18" s="72"/>
      <c r="WTQ18" s="72"/>
      <c r="WTR18" s="72"/>
      <c r="WTS18" s="72"/>
      <c r="WTT18" s="72"/>
      <c r="WTU18" s="72"/>
      <c r="WTV18" s="72"/>
      <c r="WTW18" s="72"/>
      <c r="WTX18" s="72"/>
      <c r="WTY18" s="72"/>
      <c r="WTZ18" s="72"/>
      <c r="WUA18" s="72"/>
      <c r="WUB18" s="72"/>
      <c r="WUC18" s="72"/>
      <c r="WUD18" s="72"/>
      <c r="WUE18" s="72"/>
      <c r="WUF18" s="72"/>
      <c r="WUG18" s="72"/>
      <c r="WUH18" s="72"/>
      <c r="WUI18" s="72"/>
      <c r="WUJ18" s="72"/>
      <c r="WUK18" s="72"/>
      <c r="WUL18" s="72"/>
      <c r="WUM18" s="72"/>
      <c r="WUN18" s="72"/>
      <c r="WUO18" s="72"/>
      <c r="WUP18" s="72"/>
      <c r="WUQ18" s="72"/>
      <c r="WUR18" s="72"/>
      <c r="WUS18" s="72"/>
      <c r="WUT18" s="72"/>
      <c r="WUU18" s="72"/>
      <c r="WUV18" s="72"/>
      <c r="WUW18" s="72"/>
      <c r="WUX18" s="72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72"/>
      <c r="WVQ18" s="72"/>
      <c r="WVR18" s="72"/>
      <c r="WVS18" s="72"/>
      <c r="WVT18" s="72"/>
      <c r="WVU18" s="72"/>
      <c r="WVV18" s="72"/>
      <c r="WVW18" s="72"/>
      <c r="WVX18" s="72"/>
      <c r="WVY18" s="72"/>
      <c r="WVZ18" s="72"/>
      <c r="WWA18" s="72"/>
      <c r="WWB18" s="72"/>
      <c r="WWC18" s="72"/>
      <c r="WWD18" s="72"/>
      <c r="WWE18" s="72"/>
      <c r="WWF18" s="72"/>
      <c r="WWG18" s="72"/>
      <c r="WWH18" s="72"/>
      <c r="WWI18" s="72"/>
      <c r="WWJ18" s="72"/>
      <c r="WWK18" s="72"/>
      <c r="WWL18" s="72"/>
      <c r="WWM18" s="72"/>
      <c r="WWN18" s="72"/>
      <c r="WWO18" s="72"/>
      <c r="WWP18" s="72"/>
      <c r="WWQ18" s="72"/>
      <c r="WWR18" s="72"/>
      <c r="WWS18" s="72"/>
      <c r="WWT18" s="72"/>
      <c r="WWU18" s="72"/>
      <c r="WWV18" s="72"/>
      <c r="WWW18" s="72"/>
      <c r="WWX18" s="72"/>
      <c r="WWY18" s="72"/>
      <c r="WWZ18" s="72"/>
      <c r="WXA18" s="72"/>
      <c r="WXB18" s="72"/>
      <c r="WXC18" s="72"/>
      <c r="WXD18" s="72"/>
      <c r="WXE18" s="72"/>
      <c r="WXF18" s="72"/>
      <c r="WXG18" s="72"/>
      <c r="WXH18" s="72"/>
      <c r="WXI18" s="72"/>
      <c r="WXJ18" s="72"/>
      <c r="WXK18" s="72"/>
      <c r="WXL18" s="72"/>
      <c r="WXM18" s="72"/>
      <c r="WXN18" s="72"/>
      <c r="WXO18" s="72"/>
      <c r="WXP18" s="72"/>
      <c r="WXQ18" s="72"/>
      <c r="WXR18" s="72"/>
      <c r="WXS18" s="72"/>
      <c r="WXT18" s="72"/>
      <c r="WXU18" s="72"/>
      <c r="WXV18" s="72"/>
      <c r="WXW18" s="72"/>
      <c r="WXX18" s="72"/>
      <c r="WXY18" s="72"/>
      <c r="WXZ18" s="72"/>
      <c r="WYA18" s="72"/>
      <c r="WYB18" s="72"/>
      <c r="WYC18" s="72"/>
      <c r="WYD18" s="72"/>
      <c r="WYE18" s="72"/>
      <c r="WYF18" s="72"/>
      <c r="WYG18" s="72"/>
      <c r="WYH18" s="72"/>
      <c r="WYI18" s="72"/>
      <c r="WYJ18" s="72"/>
      <c r="WYK18" s="72"/>
      <c r="WYL18" s="72"/>
      <c r="WYM18" s="72"/>
      <c r="WYN18" s="72"/>
      <c r="WYO18" s="72"/>
      <c r="WYP18" s="72"/>
      <c r="WYQ18" s="72"/>
      <c r="WYR18" s="72"/>
      <c r="WYS18" s="72"/>
      <c r="WYT18" s="72"/>
      <c r="WYU18" s="72"/>
      <c r="WYV18" s="72"/>
      <c r="WYW18" s="72"/>
      <c r="WYX18" s="72"/>
      <c r="WYY18" s="72"/>
      <c r="WYZ18" s="72"/>
      <c r="WZA18" s="72"/>
      <c r="WZB18" s="72"/>
      <c r="WZC18" s="72"/>
      <c r="WZD18" s="72"/>
      <c r="WZE18" s="72"/>
      <c r="WZF18" s="72"/>
      <c r="WZG18" s="72"/>
      <c r="WZH18" s="72"/>
      <c r="WZI18" s="72"/>
      <c r="WZJ18" s="72"/>
      <c r="WZK18" s="72"/>
      <c r="WZL18" s="72"/>
      <c r="WZM18" s="72"/>
      <c r="WZN18" s="72"/>
      <c r="WZO18" s="72"/>
      <c r="WZP18" s="72"/>
      <c r="WZQ18" s="72"/>
      <c r="WZR18" s="72"/>
      <c r="WZS18" s="72"/>
      <c r="WZT18" s="72"/>
      <c r="WZU18" s="72"/>
      <c r="WZV18" s="72"/>
      <c r="WZW18" s="72"/>
      <c r="WZX18" s="72"/>
      <c r="WZY18" s="72"/>
      <c r="WZZ18" s="72"/>
      <c r="XAA18" s="72"/>
      <c r="XAB18" s="72"/>
      <c r="XAC18" s="72"/>
      <c r="XAD18" s="72"/>
      <c r="XAE18" s="72"/>
      <c r="XAF18" s="72"/>
      <c r="XAG18" s="72"/>
      <c r="XAH18" s="72"/>
      <c r="XAI18" s="72"/>
      <c r="XAJ18" s="72"/>
      <c r="XAK18" s="72"/>
      <c r="XAL18" s="72"/>
      <c r="XAM18" s="72"/>
      <c r="XAN18" s="72"/>
      <c r="XAO18" s="72"/>
      <c r="XAP18" s="72"/>
      <c r="XAQ18" s="72"/>
      <c r="XAR18" s="72"/>
      <c r="XAS18" s="72"/>
      <c r="XAT18" s="72"/>
      <c r="XAU18" s="72"/>
      <c r="XAV18" s="72"/>
      <c r="XAW18" s="72"/>
      <c r="XAX18" s="72"/>
      <c r="XAY18" s="72"/>
      <c r="XAZ18" s="72"/>
      <c r="XBA18" s="72"/>
      <c r="XBB18" s="72"/>
      <c r="XBC18" s="72"/>
      <c r="XBD18" s="72"/>
      <c r="XBE18" s="72"/>
      <c r="XBF18" s="72"/>
      <c r="XBG18" s="72"/>
      <c r="XBH18" s="72"/>
      <c r="XBI18" s="72"/>
      <c r="XBJ18" s="72"/>
      <c r="XBK18" s="72"/>
      <c r="XBL18" s="72"/>
      <c r="XBM18" s="72"/>
      <c r="XBN18" s="72"/>
      <c r="XBO18" s="72"/>
      <c r="XBP18" s="72"/>
      <c r="XBQ18" s="72"/>
      <c r="XBR18" s="72"/>
      <c r="XBS18" s="72"/>
      <c r="XBT18" s="72"/>
      <c r="XBU18" s="72"/>
      <c r="XBV18" s="72"/>
      <c r="XBW18" s="72"/>
      <c r="XBX18" s="72"/>
      <c r="XBY18" s="72"/>
      <c r="XBZ18" s="72"/>
      <c r="XCA18" s="72"/>
      <c r="XCB18" s="72"/>
      <c r="XCC18" s="72"/>
      <c r="XCD18" s="72"/>
      <c r="XCE18" s="72"/>
      <c r="XCF18" s="72"/>
      <c r="XCG18" s="72"/>
      <c r="XCH18" s="72"/>
      <c r="XCI18" s="72"/>
      <c r="XCJ18" s="72"/>
      <c r="XCK18" s="72"/>
      <c r="XCL18" s="72"/>
      <c r="XCM18" s="72"/>
      <c r="XCN18" s="72"/>
      <c r="XCO18" s="72"/>
      <c r="XCP18" s="72"/>
      <c r="XCQ18" s="72"/>
      <c r="XCR18" s="72"/>
      <c r="XCS18" s="72"/>
      <c r="XCT18" s="72"/>
      <c r="XCU18" s="72"/>
      <c r="XCV18" s="72"/>
      <c r="XCW18" s="72"/>
      <c r="XCX18" s="72"/>
      <c r="XCY18" s="72"/>
      <c r="XCZ18" s="72"/>
      <c r="XDA18" s="72"/>
      <c r="XDB18" s="72"/>
      <c r="XDC18" s="72"/>
      <c r="XDD18" s="72"/>
      <c r="XDE18" s="72"/>
      <c r="XDF18" s="72"/>
      <c r="XDG18" s="72"/>
      <c r="XDH18" s="72"/>
      <c r="XDI18" s="72"/>
      <c r="XDJ18" s="72"/>
      <c r="XDK18" s="72"/>
      <c r="XDL18" s="72"/>
      <c r="XDM18" s="72"/>
      <c r="XDN18" s="72"/>
      <c r="XDO18" s="72"/>
      <c r="XDP18" s="72"/>
      <c r="XDQ18" s="72"/>
      <c r="XDR18" s="72"/>
      <c r="XDS18" s="72"/>
      <c r="XDT18" s="72"/>
      <c r="XDU18" s="72"/>
      <c r="XDV18" s="72"/>
      <c r="XDW18" s="72"/>
      <c r="XDX18" s="72"/>
      <c r="XDY18" s="72"/>
      <c r="XDZ18" s="72"/>
      <c r="XEA18" s="72"/>
      <c r="XEB18" s="72"/>
      <c r="XEC18" s="72"/>
      <c r="XED18" s="72"/>
      <c r="XEE18" s="72"/>
      <c r="XEF18" s="72"/>
      <c r="XEG18" s="72"/>
      <c r="XEH18" s="72"/>
      <c r="XEI18" s="72"/>
      <c r="XEJ18" s="72"/>
      <c r="XEK18" s="72"/>
      <c r="XEL18" s="72"/>
      <c r="XEM18" s="72"/>
      <c r="XEN18" s="72"/>
      <c r="XEO18" s="72"/>
      <c r="XEP18" s="72"/>
      <c r="XEQ18" s="72"/>
      <c r="XER18" s="72"/>
      <c r="XES18" s="72"/>
      <c r="XET18" s="72"/>
      <c r="XEU18" s="72"/>
      <c r="XEV18" s="72"/>
      <c r="XEW18" s="72"/>
      <c r="XEX18" s="72"/>
      <c r="XEY18" s="72"/>
      <c r="XEZ18" s="72"/>
      <c r="XFA18" s="72"/>
      <c r="XFB18" s="72"/>
      <c r="XFC18" s="72"/>
      <c r="XFD18" s="72"/>
    </row>
    <row r="19" spans="2:16384" ht="14.45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  <c r="HO19" s="72"/>
      <c r="HP19" s="72"/>
      <c r="HQ19" s="72"/>
      <c r="HR19" s="72"/>
      <c r="HS19" s="72"/>
      <c r="HT19" s="72"/>
      <c r="HU19" s="72"/>
      <c r="HV19" s="72"/>
      <c r="HW19" s="72"/>
      <c r="HX19" s="72"/>
      <c r="HY19" s="72"/>
      <c r="HZ19" s="72"/>
      <c r="IA19" s="72"/>
      <c r="IB19" s="72"/>
      <c r="IC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  <c r="IV19" s="72"/>
      <c r="IW19" s="72"/>
      <c r="IX19" s="72"/>
      <c r="IY19" s="72"/>
      <c r="IZ19" s="72"/>
      <c r="JA19" s="72"/>
      <c r="JB19" s="72"/>
      <c r="JC19" s="72"/>
      <c r="JD19" s="72"/>
      <c r="JE19" s="72"/>
      <c r="JF19" s="72"/>
      <c r="JG19" s="72"/>
      <c r="JH19" s="72"/>
      <c r="JI19" s="72"/>
      <c r="JJ19" s="72"/>
      <c r="JK19" s="72"/>
      <c r="JL19" s="72"/>
      <c r="JM19" s="72"/>
      <c r="JN19" s="72"/>
      <c r="JO19" s="72"/>
      <c r="JP19" s="72"/>
      <c r="JQ19" s="72"/>
      <c r="JR19" s="72"/>
      <c r="JS19" s="72"/>
      <c r="JT19" s="72"/>
      <c r="JU19" s="72"/>
      <c r="JV19" s="72"/>
      <c r="JW19" s="72"/>
      <c r="JX19" s="72"/>
      <c r="JY19" s="72"/>
      <c r="JZ19" s="72"/>
      <c r="KA19" s="72"/>
      <c r="KB19" s="72"/>
      <c r="KC19" s="72"/>
      <c r="KD19" s="72"/>
      <c r="KE19" s="72"/>
      <c r="KF19" s="72"/>
      <c r="KG19" s="72"/>
      <c r="KH19" s="72"/>
      <c r="KI19" s="72"/>
      <c r="KJ19" s="72"/>
      <c r="KK19" s="72"/>
      <c r="KL19" s="72"/>
      <c r="KM19" s="72"/>
      <c r="KN19" s="72"/>
      <c r="KO19" s="72"/>
      <c r="KP19" s="72"/>
      <c r="KQ19" s="72"/>
      <c r="KR19" s="72"/>
      <c r="KS19" s="72"/>
      <c r="KT19" s="72"/>
      <c r="KU19" s="72"/>
      <c r="KV19" s="72"/>
      <c r="KW19" s="72"/>
      <c r="KX19" s="72"/>
      <c r="KY19" s="72"/>
      <c r="KZ19" s="72"/>
      <c r="LA19" s="72"/>
      <c r="LB19" s="72"/>
      <c r="LC19" s="72"/>
      <c r="LD19" s="72"/>
      <c r="LE19" s="72"/>
      <c r="LF19" s="72"/>
      <c r="LG19" s="72"/>
      <c r="LH19" s="72"/>
      <c r="LI19" s="72"/>
      <c r="LJ19" s="72"/>
      <c r="LK19" s="72"/>
      <c r="LL19" s="72"/>
      <c r="LM19" s="72"/>
      <c r="LN19" s="72"/>
      <c r="LO19" s="72"/>
      <c r="LP19" s="72"/>
      <c r="LQ19" s="72"/>
      <c r="LR19" s="72"/>
      <c r="LS19" s="72"/>
      <c r="LT19" s="72"/>
      <c r="LU19" s="72"/>
      <c r="LV19" s="72"/>
      <c r="LW19" s="72"/>
      <c r="LX19" s="72"/>
      <c r="LY19" s="72"/>
      <c r="LZ19" s="72"/>
      <c r="MA19" s="72"/>
      <c r="MB19" s="72"/>
      <c r="MC19" s="72"/>
      <c r="MD19" s="72"/>
      <c r="ME19" s="72"/>
      <c r="MF19" s="72"/>
      <c r="MG19" s="72"/>
      <c r="MH19" s="72"/>
      <c r="MI19" s="72"/>
      <c r="MJ19" s="72"/>
      <c r="MK19" s="72"/>
      <c r="ML19" s="72"/>
      <c r="MM19" s="72"/>
      <c r="MN19" s="72"/>
      <c r="MO19" s="72"/>
      <c r="MP19" s="72"/>
      <c r="MQ19" s="72"/>
      <c r="MR19" s="72"/>
      <c r="MS19" s="72"/>
      <c r="MT19" s="72"/>
      <c r="MU19" s="72"/>
      <c r="MV19" s="72"/>
      <c r="MW19" s="72"/>
      <c r="MX19" s="72"/>
      <c r="MY19" s="72"/>
      <c r="MZ19" s="72"/>
      <c r="NA19" s="72"/>
      <c r="NB19" s="72"/>
      <c r="NC19" s="72"/>
      <c r="ND19" s="72"/>
      <c r="NE19" s="72"/>
      <c r="NF19" s="72"/>
      <c r="NG19" s="72"/>
      <c r="NH19" s="72"/>
      <c r="NI19" s="72"/>
      <c r="NJ19" s="72"/>
      <c r="NK19" s="72"/>
      <c r="NL19" s="72"/>
      <c r="NM19" s="72"/>
      <c r="NN19" s="72"/>
      <c r="NO19" s="72"/>
      <c r="NP19" s="72"/>
      <c r="NQ19" s="72"/>
      <c r="NR19" s="72"/>
      <c r="NS19" s="72"/>
      <c r="NT19" s="72"/>
      <c r="NU19" s="72"/>
      <c r="NV19" s="72"/>
      <c r="NW19" s="72"/>
      <c r="NX19" s="72"/>
      <c r="NY19" s="72"/>
      <c r="NZ19" s="72"/>
      <c r="OA19" s="72"/>
      <c r="OB19" s="72"/>
      <c r="OC19" s="72"/>
      <c r="OD19" s="72"/>
      <c r="OE19" s="72"/>
      <c r="OF19" s="72"/>
      <c r="OG19" s="72"/>
      <c r="OH19" s="72"/>
      <c r="OI19" s="72"/>
      <c r="OJ19" s="72"/>
      <c r="OK19" s="72"/>
      <c r="OL19" s="72"/>
      <c r="OM19" s="72"/>
      <c r="ON19" s="72"/>
      <c r="OO19" s="72"/>
      <c r="OP19" s="72"/>
      <c r="OQ19" s="72"/>
      <c r="OR19" s="72"/>
      <c r="OS19" s="72"/>
      <c r="OT19" s="72"/>
      <c r="OU19" s="72"/>
      <c r="OV19" s="72"/>
      <c r="OW19" s="72"/>
      <c r="OX19" s="72"/>
      <c r="OY19" s="72"/>
      <c r="OZ19" s="72"/>
      <c r="PA19" s="72"/>
      <c r="PB19" s="72"/>
      <c r="PC19" s="72"/>
      <c r="PD19" s="72"/>
      <c r="PE19" s="72"/>
      <c r="PF19" s="72"/>
      <c r="PG19" s="72"/>
      <c r="PH19" s="72"/>
      <c r="PI19" s="72"/>
      <c r="PJ19" s="72"/>
      <c r="PK19" s="72"/>
      <c r="PL19" s="72"/>
      <c r="PM19" s="72"/>
      <c r="PN19" s="72"/>
      <c r="PO19" s="72"/>
      <c r="PP19" s="72"/>
      <c r="PQ19" s="72"/>
      <c r="PR19" s="72"/>
      <c r="PS19" s="72"/>
      <c r="PT19" s="72"/>
      <c r="PU19" s="72"/>
      <c r="PV19" s="72"/>
      <c r="PW19" s="72"/>
      <c r="PX19" s="72"/>
      <c r="PY19" s="72"/>
      <c r="PZ19" s="72"/>
      <c r="QA19" s="72"/>
      <c r="QB19" s="72"/>
      <c r="QC19" s="72"/>
      <c r="QD19" s="72"/>
      <c r="QE19" s="72"/>
      <c r="QF19" s="72"/>
      <c r="QG19" s="72"/>
      <c r="QH19" s="72"/>
      <c r="QI19" s="72"/>
      <c r="QJ19" s="72"/>
      <c r="QK19" s="72"/>
      <c r="QL19" s="72"/>
      <c r="QM19" s="72"/>
      <c r="QN19" s="72"/>
      <c r="QO19" s="72"/>
      <c r="QP19" s="72"/>
      <c r="QQ19" s="72"/>
      <c r="QR19" s="72"/>
      <c r="QS19" s="72"/>
      <c r="QT19" s="72"/>
      <c r="QU19" s="72"/>
      <c r="QV19" s="72"/>
      <c r="QW19" s="72"/>
      <c r="QX19" s="72"/>
      <c r="QY19" s="72"/>
      <c r="QZ19" s="72"/>
      <c r="RA19" s="72"/>
      <c r="RB19" s="72"/>
      <c r="RC19" s="72"/>
      <c r="RD19" s="72"/>
      <c r="RE19" s="72"/>
      <c r="RF19" s="72"/>
      <c r="RG19" s="72"/>
      <c r="RH19" s="72"/>
      <c r="RI19" s="72"/>
      <c r="RJ19" s="72"/>
      <c r="RK19" s="72"/>
      <c r="RL19" s="72"/>
      <c r="RM19" s="72"/>
      <c r="RN19" s="72"/>
      <c r="RO19" s="72"/>
      <c r="RP19" s="72"/>
      <c r="RQ19" s="72"/>
      <c r="RR19" s="72"/>
      <c r="RS19" s="72"/>
      <c r="RT19" s="72"/>
      <c r="RU19" s="72"/>
      <c r="RV19" s="72"/>
      <c r="RW19" s="72"/>
      <c r="RX19" s="72"/>
      <c r="RY19" s="72"/>
      <c r="RZ19" s="72"/>
      <c r="SA19" s="72"/>
      <c r="SB19" s="72"/>
      <c r="SC19" s="72"/>
      <c r="SD19" s="72"/>
      <c r="SE19" s="72"/>
      <c r="SF19" s="72"/>
      <c r="SG19" s="72"/>
      <c r="SH19" s="72"/>
      <c r="SI19" s="72"/>
      <c r="SJ19" s="72"/>
      <c r="SK19" s="72"/>
      <c r="SL19" s="72"/>
      <c r="SM19" s="72"/>
      <c r="SN19" s="72"/>
      <c r="SO19" s="72"/>
      <c r="SP19" s="72"/>
      <c r="SQ19" s="72"/>
      <c r="SR19" s="72"/>
      <c r="SS19" s="72"/>
      <c r="ST19" s="72"/>
      <c r="SU19" s="72"/>
      <c r="SV19" s="72"/>
      <c r="SW19" s="72"/>
      <c r="SX19" s="72"/>
      <c r="SY19" s="72"/>
      <c r="SZ19" s="72"/>
      <c r="TA19" s="72"/>
      <c r="TB19" s="72"/>
      <c r="TC19" s="72"/>
      <c r="TD19" s="72"/>
      <c r="TE19" s="72"/>
      <c r="TF19" s="72"/>
      <c r="TG19" s="72"/>
      <c r="TH19" s="72"/>
      <c r="TI19" s="72"/>
      <c r="TJ19" s="72"/>
      <c r="TK19" s="72"/>
      <c r="TL19" s="72"/>
      <c r="TM19" s="72"/>
      <c r="TN19" s="72"/>
      <c r="TO19" s="72"/>
      <c r="TP19" s="72"/>
      <c r="TQ19" s="72"/>
      <c r="TR19" s="72"/>
      <c r="TS19" s="72"/>
      <c r="TT19" s="72"/>
      <c r="TU19" s="72"/>
      <c r="TV19" s="72"/>
      <c r="TW19" s="72"/>
      <c r="TX19" s="72"/>
      <c r="TY19" s="72"/>
      <c r="TZ19" s="72"/>
      <c r="UA19" s="72"/>
      <c r="UB19" s="72"/>
      <c r="UC19" s="72"/>
      <c r="UD19" s="72"/>
      <c r="UE19" s="72"/>
      <c r="UF19" s="72"/>
      <c r="UG19" s="72"/>
      <c r="UH19" s="72"/>
      <c r="UI19" s="72"/>
      <c r="UJ19" s="72"/>
      <c r="UK19" s="72"/>
      <c r="UL19" s="72"/>
      <c r="UM19" s="72"/>
      <c r="UN19" s="72"/>
      <c r="UO19" s="72"/>
      <c r="UP19" s="72"/>
      <c r="UQ19" s="72"/>
      <c r="UR19" s="72"/>
      <c r="US19" s="72"/>
      <c r="UT19" s="72"/>
      <c r="UU19" s="72"/>
      <c r="UV19" s="72"/>
      <c r="UW19" s="72"/>
      <c r="UX19" s="72"/>
      <c r="UY19" s="72"/>
      <c r="UZ19" s="72"/>
      <c r="VA19" s="72"/>
      <c r="VB19" s="72"/>
      <c r="VC19" s="72"/>
      <c r="VD19" s="72"/>
      <c r="VE19" s="72"/>
      <c r="VF19" s="72"/>
      <c r="VG19" s="72"/>
      <c r="VH19" s="72"/>
      <c r="VI19" s="72"/>
      <c r="VJ19" s="72"/>
      <c r="VK19" s="72"/>
      <c r="VL19" s="72"/>
      <c r="VM19" s="72"/>
      <c r="VN19" s="72"/>
      <c r="VO19" s="72"/>
      <c r="VP19" s="72"/>
      <c r="VQ19" s="72"/>
      <c r="VR19" s="72"/>
      <c r="VS19" s="72"/>
      <c r="VT19" s="72"/>
      <c r="VU19" s="72"/>
      <c r="VV19" s="72"/>
      <c r="VW19" s="72"/>
      <c r="VX19" s="72"/>
      <c r="VY19" s="72"/>
      <c r="VZ19" s="72"/>
      <c r="WA19" s="72"/>
      <c r="WB19" s="72"/>
      <c r="WC19" s="72"/>
      <c r="WD19" s="72"/>
      <c r="WE19" s="72"/>
      <c r="WF19" s="72"/>
      <c r="WG19" s="72"/>
      <c r="WH19" s="72"/>
      <c r="WI19" s="72"/>
      <c r="WJ19" s="72"/>
      <c r="WK19" s="72"/>
      <c r="WL19" s="72"/>
      <c r="WM19" s="72"/>
      <c r="WN19" s="72"/>
      <c r="WO19" s="72"/>
      <c r="WP19" s="72"/>
      <c r="WQ19" s="72"/>
      <c r="WR19" s="72"/>
      <c r="WS19" s="72"/>
      <c r="WT19" s="72"/>
      <c r="WU19" s="72"/>
      <c r="WV19" s="72"/>
      <c r="WW19" s="72"/>
      <c r="WX19" s="72"/>
      <c r="WY19" s="72"/>
      <c r="WZ19" s="72"/>
      <c r="XA19" s="72"/>
      <c r="XB19" s="72"/>
      <c r="XC19" s="72"/>
      <c r="XD19" s="72"/>
      <c r="XE19" s="72"/>
      <c r="XF19" s="72"/>
      <c r="XG19" s="72"/>
      <c r="XH19" s="72"/>
      <c r="XI19" s="72"/>
      <c r="XJ19" s="72"/>
      <c r="XK19" s="72"/>
      <c r="XL19" s="72"/>
      <c r="XM19" s="72"/>
      <c r="XN19" s="72"/>
      <c r="XO19" s="72"/>
      <c r="XP19" s="72"/>
      <c r="XQ19" s="72"/>
      <c r="XR19" s="72"/>
      <c r="XS19" s="72"/>
      <c r="XT19" s="72"/>
      <c r="XU19" s="72"/>
      <c r="XV19" s="72"/>
      <c r="XW19" s="72"/>
      <c r="XX19" s="72"/>
      <c r="XY19" s="72"/>
      <c r="XZ19" s="72"/>
      <c r="YA19" s="72"/>
      <c r="YB19" s="72"/>
      <c r="YC19" s="72"/>
      <c r="YD19" s="72"/>
      <c r="YE19" s="72"/>
      <c r="YF19" s="72"/>
      <c r="YG19" s="72"/>
      <c r="YH19" s="72"/>
      <c r="YI19" s="72"/>
      <c r="YJ19" s="72"/>
      <c r="YK19" s="72"/>
      <c r="YL19" s="72"/>
      <c r="YM19" s="72"/>
      <c r="YN19" s="72"/>
      <c r="YO19" s="72"/>
      <c r="YP19" s="72"/>
      <c r="YQ19" s="72"/>
      <c r="YR19" s="72"/>
      <c r="YS19" s="72"/>
      <c r="YT19" s="72"/>
      <c r="YU19" s="72"/>
      <c r="YV19" s="72"/>
      <c r="YW19" s="72"/>
      <c r="YX19" s="72"/>
      <c r="YY19" s="72"/>
      <c r="YZ19" s="72"/>
      <c r="ZA19" s="72"/>
      <c r="ZB19" s="72"/>
      <c r="ZC19" s="72"/>
      <c r="ZD19" s="72"/>
      <c r="ZE19" s="72"/>
      <c r="ZF19" s="72"/>
      <c r="ZG19" s="72"/>
      <c r="ZH19" s="72"/>
      <c r="ZI19" s="72"/>
      <c r="ZJ19" s="72"/>
      <c r="ZK19" s="72"/>
      <c r="ZL19" s="72"/>
      <c r="ZM19" s="72"/>
      <c r="ZN19" s="72"/>
      <c r="ZO19" s="72"/>
      <c r="ZP19" s="72"/>
      <c r="ZQ19" s="72"/>
      <c r="ZR19" s="72"/>
      <c r="ZS19" s="72"/>
      <c r="ZT19" s="72"/>
      <c r="ZU19" s="72"/>
      <c r="ZV19" s="72"/>
      <c r="ZW19" s="72"/>
      <c r="ZX19" s="72"/>
      <c r="ZY19" s="72"/>
      <c r="ZZ19" s="72"/>
      <c r="AAA19" s="72"/>
      <c r="AAB19" s="72"/>
      <c r="AAC19" s="72"/>
      <c r="AAD19" s="72"/>
      <c r="AAE19" s="72"/>
      <c r="AAF19" s="72"/>
      <c r="AAG19" s="72"/>
      <c r="AAH19" s="72"/>
      <c r="AAI19" s="72"/>
      <c r="AAJ19" s="72"/>
      <c r="AAK19" s="72"/>
      <c r="AAL19" s="72"/>
      <c r="AAM19" s="72"/>
      <c r="AAN19" s="72"/>
      <c r="AAO19" s="72"/>
      <c r="AAP19" s="72"/>
      <c r="AAQ19" s="72"/>
      <c r="AAR19" s="72"/>
      <c r="AAS19" s="72"/>
      <c r="AAT19" s="72"/>
      <c r="AAU19" s="72"/>
      <c r="AAV19" s="72"/>
      <c r="AAW19" s="72"/>
      <c r="AAX19" s="72"/>
      <c r="AAY19" s="72"/>
      <c r="AAZ19" s="72"/>
      <c r="ABA19" s="72"/>
      <c r="ABB19" s="72"/>
      <c r="ABC19" s="72"/>
      <c r="ABD19" s="72"/>
      <c r="ABE19" s="72"/>
      <c r="ABF19" s="72"/>
      <c r="ABG19" s="72"/>
      <c r="ABH19" s="72"/>
      <c r="ABI19" s="72"/>
      <c r="ABJ19" s="72"/>
      <c r="ABK19" s="72"/>
      <c r="ABL19" s="72"/>
      <c r="ABM19" s="72"/>
      <c r="ABN19" s="72"/>
      <c r="ABO19" s="72"/>
      <c r="ABP19" s="72"/>
      <c r="ABQ19" s="72"/>
      <c r="ABR19" s="72"/>
      <c r="ABS19" s="72"/>
      <c r="ABT19" s="72"/>
      <c r="ABU19" s="72"/>
      <c r="ABV19" s="72"/>
      <c r="ABW19" s="72"/>
      <c r="ABX19" s="72"/>
      <c r="ABY19" s="72"/>
      <c r="ABZ19" s="72"/>
      <c r="ACA19" s="72"/>
      <c r="ACB19" s="72"/>
      <c r="ACC19" s="72"/>
      <c r="ACD19" s="72"/>
      <c r="ACE19" s="72"/>
      <c r="ACF19" s="72"/>
      <c r="ACG19" s="72"/>
      <c r="ACH19" s="72"/>
      <c r="ACI19" s="72"/>
      <c r="ACJ19" s="72"/>
      <c r="ACK19" s="72"/>
      <c r="ACL19" s="72"/>
      <c r="ACM19" s="72"/>
      <c r="ACN19" s="72"/>
      <c r="ACO19" s="72"/>
      <c r="ACP19" s="72"/>
      <c r="ACQ19" s="72"/>
      <c r="ACR19" s="72"/>
      <c r="ACS19" s="72"/>
      <c r="ACT19" s="72"/>
      <c r="ACU19" s="72"/>
      <c r="ACV19" s="72"/>
      <c r="ACW19" s="72"/>
      <c r="ACX19" s="72"/>
      <c r="ACY19" s="72"/>
      <c r="ACZ19" s="72"/>
      <c r="ADA19" s="72"/>
      <c r="ADB19" s="72"/>
      <c r="ADC19" s="72"/>
      <c r="ADD19" s="72"/>
      <c r="ADE19" s="72"/>
      <c r="ADF19" s="72"/>
      <c r="ADG19" s="72"/>
      <c r="ADH19" s="72"/>
      <c r="ADI19" s="72"/>
      <c r="ADJ19" s="72"/>
      <c r="ADK19" s="72"/>
      <c r="ADL19" s="72"/>
      <c r="ADM19" s="72"/>
      <c r="ADN19" s="72"/>
      <c r="ADO19" s="72"/>
      <c r="ADP19" s="72"/>
      <c r="ADQ19" s="72"/>
      <c r="ADR19" s="72"/>
      <c r="ADS19" s="72"/>
      <c r="ADT19" s="72"/>
      <c r="ADU19" s="72"/>
      <c r="ADV19" s="72"/>
      <c r="ADW19" s="72"/>
      <c r="ADX19" s="72"/>
      <c r="ADY19" s="72"/>
      <c r="ADZ19" s="72"/>
      <c r="AEA19" s="72"/>
      <c r="AEB19" s="72"/>
      <c r="AEC19" s="72"/>
      <c r="AED19" s="72"/>
      <c r="AEE19" s="72"/>
      <c r="AEF19" s="72"/>
      <c r="AEG19" s="72"/>
      <c r="AEH19" s="72"/>
      <c r="AEI19" s="72"/>
      <c r="AEJ19" s="72"/>
      <c r="AEK19" s="72"/>
      <c r="AEL19" s="72"/>
      <c r="AEM19" s="72"/>
      <c r="AEN19" s="72"/>
      <c r="AEO19" s="72"/>
      <c r="AEP19" s="72"/>
      <c r="AEQ19" s="72"/>
      <c r="AER19" s="72"/>
      <c r="AES19" s="72"/>
      <c r="AET19" s="72"/>
      <c r="AEU19" s="72"/>
      <c r="AEV19" s="72"/>
      <c r="AEW19" s="72"/>
      <c r="AEX19" s="72"/>
      <c r="AEY19" s="72"/>
      <c r="AEZ19" s="72"/>
      <c r="AFA19" s="72"/>
      <c r="AFB19" s="72"/>
      <c r="AFC19" s="72"/>
      <c r="AFD19" s="72"/>
      <c r="AFE19" s="72"/>
      <c r="AFF19" s="72"/>
      <c r="AFG19" s="72"/>
      <c r="AFH19" s="72"/>
      <c r="AFI19" s="72"/>
      <c r="AFJ19" s="72"/>
      <c r="AFK19" s="72"/>
      <c r="AFL19" s="72"/>
      <c r="AFM19" s="72"/>
      <c r="AFN19" s="72"/>
      <c r="AFO19" s="72"/>
      <c r="AFP19" s="72"/>
      <c r="AFQ19" s="72"/>
      <c r="AFR19" s="72"/>
      <c r="AFS19" s="72"/>
      <c r="AFT19" s="72"/>
      <c r="AFU19" s="72"/>
      <c r="AFV19" s="72"/>
      <c r="AFW19" s="72"/>
      <c r="AFX19" s="72"/>
      <c r="AFY19" s="72"/>
      <c r="AFZ19" s="72"/>
      <c r="AGA19" s="72"/>
      <c r="AGB19" s="72"/>
      <c r="AGC19" s="72"/>
      <c r="AGD19" s="72"/>
      <c r="AGE19" s="72"/>
      <c r="AGF19" s="72"/>
      <c r="AGG19" s="72"/>
      <c r="AGH19" s="72"/>
      <c r="AGI19" s="72"/>
      <c r="AGJ19" s="72"/>
      <c r="AGK19" s="72"/>
      <c r="AGL19" s="72"/>
      <c r="AGM19" s="72"/>
      <c r="AGN19" s="72"/>
      <c r="AGO19" s="72"/>
      <c r="AGP19" s="72"/>
      <c r="AGQ19" s="72"/>
      <c r="AGR19" s="72"/>
      <c r="AGS19" s="72"/>
      <c r="AGT19" s="72"/>
      <c r="AGU19" s="72"/>
      <c r="AGV19" s="72"/>
      <c r="AGW19" s="72"/>
      <c r="AGX19" s="72"/>
      <c r="AGY19" s="72"/>
      <c r="AGZ19" s="72"/>
      <c r="AHA19" s="72"/>
      <c r="AHB19" s="72"/>
      <c r="AHC19" s="72"/>
      <c r="AHD19" s="72"/>
      <c r="AHE19" s="72"/>
      <c r="AHF19" s="72"/>
      <c r="AHG19" s="72"/>
      <c r="AHH19" s="72"/>
      <c r="AHI19" s="72"/>
      <c r="AHJ19" s="72"/>
      <c r="AHK19" s="72"/>
      <c r="AHL19" s="72"/>
      <c r="AHM19" s="72"/>
      <c r="AHN19" s="72"/>
      <c r="AHO19" s="72"/>
      <c r="AHP19" s="72"/>
      <c r="AHQ19" s="72"/>
      <c r="AHR19" s="72"/>
      <c r="AHS19" s="72"/>
      <c r="AHT19" s="72"/>
      <c r="AHU19" s="72"/>
      <c r="AHV19" s="72"/>
      <c r="AHW19" s="72"/>
      <c r="AHX19" s="72"/>
      <c r="AHY19" s="72"/>
      <c r="AHZ19" s="72"/>
      <c r="AIA19" s="72"/>
      <c r="AIB19" s="72"/>
      <c r="AIC19" s="72"/>
      <c r="AID19" s="72"/>
      <c r="AIE19" s="72"/>
      <c r="AIF19" s="72"/>
      <c r="AIG19" s="72"/>
      <c r="AIH19" s="72"/>
      <c r="AII19" s="72"/>
      <c r="AIJ19" s="72"/>
      <c r="AIK19" s="72"/>
      <c r="AIL19" s="72"/>
      <c r="AIM19" s="72"/>
      <c r="AIN19" s="72"/>
      <c r="AIO19" s="72"/>
      <c r="AIP19" s="72"/>
      <c r="AIQ19" s="72"/>
      <c r="AIR19" s="72"/>
      <c r="AIS19" s="72"/>
      <c r="AIT19" s="72"/>
      <c r="AIU19" s="72"/>
      <c r="AIV19" s="72"/>
      <c r="AIW19" s="72"/>
      <c r="AIX19" s="72"/>
      <c r="AIY19" s="72"/>
      <c r="AIZ19" s="72"/>
      <c r="AJA19" s="72"/>
      <c r="AJB19" s="72"/>
      <c r="AJC19" s="72"/>
      <c r="AJD19" s="72"/>
      <c r="AJE19" s="72"/>
      <c r="AJF19" s="72"/>
      <c r="AJG19" s="72"/>
      <c r="AJH19" s="72"/>
      <c r="AJI19" s="72"/>
      <c r="AJJ19" s="72"/>
      <c r="AJK19" s="72"/>
      <c r="AJL19" s="72"/>
      <c r="AJM19" s="72"/>
      <c r="AJN19" s="72"/>
      <c r="AJO19" s="72"/>
      <c r="AJP19" s="72"/>
      <c r="AJQ19" s="72"/>
      <c r="AJR19" s="72"/>
      <c r="AJS19" s="72"/>
      <c r="AJT19" s="72"/>
      <c r="AJU19" s="72"/>
      <c r="AJV19" s="72"/>
      <c r="AJW19" s="72"/>
      <c r="AJX19" s="72"/>
      <c r="AJY19" s="72"/>
      <c r="AJZ19" s="72"/>
      <c r="AKA19" s="72"/>
      <c r="AKB19" s="72"/>
      <c r="AKC19" s="72"/>
      <c r="AKD19" s="72"/>
      <c r="AKE19" s="72"/>
      <c r="AKF19" s="72"/>
      <c r="AKG19" s="72"/>
      <c r="AKH19" s="72"/>
      <c r="AKI19" s="72"/>
      <c r="AKJ19" s="72"/>
      <c r="AKK19" s="72"/>
      <c r="AKL19" s="72"/>
      <c r="AKM19" s="72"/>
      <c r="AKN19" s="72"/>
      <c r="AKO19" s="72"/>
      <c r="AKP19" s="72"/>
      <c r="AKQ19" s="72"/>
      <c r="AKR19" s="72"/>
      <c r="AKS19" s="72"/>
      <c r="AKT19" s="72"/>
      <c r="AKU19" s="72"/>
      <c r="AKV19" s="72"/>
      <c r="AKW19" s="72"/>
      <c r="AKX19" s="72"/>
      <c r="AKY19" s="72"/>
      <c r="AKZ19" s="72"/>
      <c r="ALA19" s="72"/>
      <c r="ALB19" s="72"/>
      <c r="ALC19" s="72"/>
      <c r="ALD19" s="72"/>
      <c r="ALE19" s="72"/>
      <c r="ALF19" s="72"/>
      <c r="ALG19" s="72"/>
      <c r="ALH19" s="72"/>
      <c r="ALI19" s="72"/>
      <c r="ALJ19" s="72"/>
      <c r="ALK19" s="72"/>
      <c r="ALL19" s="72"/>
      <c r="ALM19" s="72"/>
      <c r="ALN19" s="72"/>
      <c r="ALO19" s="72"/>
      <c r="ALP19" s="72"/>
      <c r="ALQ19" s="72"/>
      <c r="ALR19" s="72"/>
      <c r="ALS19" s="72"/>
      <c r="ALT19" s="72"/>
      <c r="ALU19" s="72"/>
      <c r="ALV19" s="72"/>
      <c r="ALW19" s="72"/>
      <c r="ALX19" s="72"/>
      <c r="ALY19" s="72"/>
      <c r="ALZ19" s="72"/>
      <c r="AMA19" s="72"/>
      <c r="AMB19" s="72"/>
      <c r="AMC19" s="72"/>
      <c r="AMD19" s="72"/>
      <c r="AME19" s="72"/>
      <c r="AMF19" s="72"/>
      <c r="AMG19" s="72"/>
      <c r="AMH19" s="72"/>
      <c r="AMI19" s="72"/>
      <c r="AMJ19" s="72"/>
      <c r="AMK19" s="72"/>
      <c r="AML19" s="72"/>
      <c r="AMM19" s="72"/>
      <c r="AMN19" s="72"/>
      <c r="AMO19" s="72"/>
      <c r="AMP19" s="72"/>
      <c r="AMQ19" s="72"/>
      <c r="AMR19" s="72"/>
      <c r="AMS19" s="72"/>
      <c r="AMT19" s="72"/>
      <c r="AMU19" s="72"/>
      <c r="AMV19" s="72"/>
      <c r="AMW19" s="72"/>
      <c r="AMX19" s="72"/>
      <c r="AMY19" s="72"/>
      <c r="AMZ19" s="72"/>
      <c r="ANA19" s="72"/>
      <c r="ANB19" s="72"/>
      <c r="ANC19" s="72"/>
      <c r="AND19" s="72"/>
      <c r="ANE19" s="72"/>
      <c r="ANF19" s="72"/>
      <c r="ANG19" s="72"/>
      <c r="ANH19" s="72"/>
      <c r="ANI19" s="72"/>
      <c r="ANJ19" s="72"/>
      <c r="ANK19" s="72"/>
      <c r="ANL19" s="72"/>
      <c r="ANM19" s="72"/>
      <c r="ANN19" s="72"/>
      <c r="ANO19" s="72"/>
      <c r="ANP19" s="72"/>
      <c r="ANQ19" s="72"/>
      <c r="ANR19" s="72"/>
      <c r="ANS19" s="72"/>
      <c r="ANT19" s="72"/>
      <c r="ANU19" s="72"/>
      <c r="ANV19" s="72"/>
      <c r="ANW19" s="72"/>
      <c r="ANX19" s="72"/>
      <c r="ANY19" s="72"/>
      <c r="ANZ19" s="72"/>
      <c r="AOA19" s="72"/>
      <c r="AOB19" s="72"/>
      <c r="AOC19" s="72"/>
      <c r="AOD19" s="72"/>
      <c r="AOE19" s="72"/>
      <c r="AOF19" s="72"/>
      <c r="AOG19" s="72"/>
      <c r="AOH19" s="72"/>
      <c r="AOI19" s="72"/>
      <c r="AOJ19" s="72"/>
      <c r="AOK19" s="72"/>
      <c r="AOL19" s="72"/>
      <c r="AOM19" s="72"/>
      <c r="AON19" s="72"/>
      <c r="AOO19" s="72"/>
      <c r="AOP19" s="72"/>
      <c r="AOQ19" s="72"/>
      <c r="AOR19" s="72"/>
      <c r="AOS19" s="72"/>
      <c r="AOT19" s="72"/>
      <c r="AOU19" s="72"/>
      <c r="AOV19" s="72"/>
      <c r="AOW19" s="72"/>
      <c r="AOX19" s="72"/>
      <c r="AOY19" s="72"/>
      <c r="AOZ19" s="72"/>
      <c r="APA19" s="72"/>
      <c r="APB19" s="72"/>
      <c r="APC19" s="72"/>
      <c r="APD19" s="72"/>
      <c r="APE19" s="72"/>
      <c r="APF19" s="72"/>
      <c r="APG19" s="72"/>
      <c r="APH19" s="72"/>
      <c r="API19" s="72"/>
      <c r="APJ19" s="72"/>
      <c r="APK19" s="72"/>
      <c r="APL19" s="72"/>
      <c r="APM19" s="72"/>
      <c r="APN19" s="72"/>
      <c r="APO19" s="72"/>
      <c r="APP19" s="72"/>
      <c r="APQ19" s="72"/>
      <c r="APR19" s="72"/>
      <c r="APS19" s="72"/>
      <c r="APT19" s="72"/>
      <c r="APU19" s="72"/>
      <c r="APV19" s="72"/>
      <c r="APW19" s="72"/>
      <c r="APX19" s="72"/>
      <c r="APY19" s="72"/>
      <c r="APZ19" s="72"/>
      <c r="AQA19" s="72"/>
      <c r="AQB19" s="72"/>
      <c r="AQC19" s="72"/>
      <c r="AQD19" s="72"/>
      <c r="AQE19" s="72"/>
      <c r="AQF19" s="72"/>
      <c r="AQG19" s="72"/>
      <c r="AQH19" s="72"/>
      <c r="AQI19" s="72"/>
      <c r="AQJ19" s="72"/>
      <c r="AQK19" s="72"/>
      <c r="AQL19" s="72"/>
      <c r="AQM19" s="72"/>
      <c r="AQN19" s="72"/>
      <c r="AQO19" s="72"/>
      <c r="AQP19" s="72"/>
      <c r="AQQ19" s="72"/>
      <c r="AQR19" s="72"/>
      <c r="AQS19" s="72"/>
      <c r="AQT19" s="72"/>
      <c r="AQU19" s="72"/>
      <c r="AQV19" s="72"/>
      <c r="AQW19" s="72"/>
      <c r="AQX19" s="72"/>
      <c r="AQY19" s="72"/>
      <c r="AQZ19" s="72"/>
      <c r="ARA19" s="72"/>
      <c r="ARB19" s="72"/>
      <c r="ARC19" s="72"/>
      <c r="ARD19" s="72"/>
      <c r="ARE19" s="72"/>
      <c r="ARF19" s="72"/>
      <c r="ARG19" s="72"/>
      <c r="ARH19" s="72"/>
      <c r="ARI19" s="72"/>
      <c r="ARJ19" s="72"/>
      <c r="ARK19" s="72"/>
      <c r="ARL19" s="72"/>
      <c r="ARM19" s="72"/>
      <c r="ARN19" s="72"/>
      <c r="ARO19" s="72"/>
      <c r="ARP19" s="72"/>
      <c r="ARQ19" s="72"/>
      <c r="ARR19" s="72"/>
      <c r="ARS19" s="72"/>
      <c r="ART19" s="72"/>
      <c r="ARU19" s="72"/>
      <c r="ARV19" s="72"/>
      <c r="ARW19" s="72"/>
      <c r="ARX19" s="72"/>
      <c r="ARY19" s="72"/>
      <c r="ARZ19" s="72"/>
      <c r="ASA19" s="72"/>
      <c r="ASB19" s="72"/>
      <c r="ASC19" s="72"/>
      <c r="ASD19" s="72"/>
      <c r="ASE19" s="72"/>
      <c r="ASF19" s="72"/>
      <c r="ASG19" s="72"/>
      <c r="ASH19" s="72"/>
      <c r="ASI19" s="72"/>
      <c r="ASJ19" s="72"/>
      <c r="ASK19" s="72"/>
      <c r="ASL19" s="72"/>
      <c r="ASM19" s="72"/>
      <c r="ASN19" s="72"/>
      <c r="ASO19" s="72"/>
      <c r="ASP19" s="72"/>
      <c r="ASQ19" s="72"/>
      <c r="ASR19" s="72"/>
      <c r="ASS19" s="72"/>
      <c r="AST19" s="72"/>
      <c r="ASU19" s="72"/>
      <c r="ASV19" s="72"/>
      <c r="ASW19" s="72"/>
      <c r="ASX19" s="72"/>
      <c r="ASY19" s="72"/>
      <c r="ASZ19" s="72"/>
      <c r="ATA19" s="72"/>
      <c r="ATB19" s="72"/>
      <c r="ATC19" s="72"/>
      <c r="ATD19" s="72"/>
      <c r="ATE19" s="72"/>
      <c r="ATF19" s="72"/>
      <c r="ATG19" s="72"/>
      <c r="ATH19" s="72"/>
      <c r="ATI19" s="72"/>
      <c r="ATJ19" s="72"/>
      <c r="ATK19" s="72"/>
      <c r="ATL19" s="72"/>
      <c r="ATM19" s="72"/>
      <c r="ATN19" s="72"/>
      <c r="ATO19" s="72"/>
      <c r="ATP19" s="72"/>
      <c r="ATQ19" s="72"/>
      <c r="ATR19" s="72"/>
      <c r="ATS19" s="72"/>
      <c r="ATT19" s="72"/>
      <c r="ATU19" s="72"/>
      <c r="ATV19" s="72"/>
      <c r="ATW19" s="72"/>
      <c r="ATX19" s="72"/>
      <c r="ATY19" s="72"/>
      <c r="ATZ19" s="72"/>
      <c r="AUA19" s="72"/>
      <c r="AUB19" s="72"/>
      <c r="AUC19" s="72"/>
      <c r="AUD19" s="72"/>
      <c r="AUE19" s="72"/>
      <c r="AUF19" s="72"/>
      <c r="AUG19" s="72"/>
      <c r="AUH19" s="72"/>
      <c r="AUI19" s="72"/>
      <c r="AUJ19" s="72"/>
      <c r="AUK19" s="72"/>
      <c r="AUL19" s="72"/>
      <c r="AUM19" s="72"/>
      <c r="AUN19" s="72"/>
      <c r="AUO19" s="72"/>
      <c r="AUP19" s="72"/>
      <c r="AUQ19" s="72"/>
      <c r="AUR19" s="72"/>
      <c r="AUS19" s="72"/>
      <c r="AUT19" s="72"/>
      <c r="AUU19" s="72"/>
      <c r="AUV19" s="72"/>
      <c r="AUW19" s="72"/>
      <c r="AUX19" s="72"/>
      <c r="AUY19" s="72"/>
      <c r="AUZ19" s="72"/>
      <c r="AVA19" s="72"/>
      <c r="AVB19" s="72"/>
      <c r="AVC19" s="72"/>
      <c r="AVD19" s="72"/>
      <c r="AVE19" s="72"/>
      <c r="AVF19" s="72"/>
      <c r="AVG19" s="72"/>
      <c r="AVH19" s="72"/>
      <c r="AVI19" s="72"/>
      <c r="AVJ19" s="72"/>
      <c r="AVK19" s="72"/>
      <c r="AVL19" s="72"/>
      <c r="AVM19" s="72"/>
      <c r="AVN19" s="72"/>
      <c r="AVO19" s="72"/>
      <c r="AVP19" s="72"/>
      <c r="AVQ19" s="72"/>
      <c r="AVR19" s="72"/>
      <c r="AVS19" s="72"/>
      <c r="AVT19" s="72"/>
      <c r="AVU19" s="72"/>
      <c r="AVV19" s="72"/>
      <c r="AVW19" s="72"/>
      <c r="AVX19" s="72"/>
      <c r="AVY19" s="72"/>
      <c r="AVZ19" s="72"/>
      <c r="AWA19" s="72"/>
      <c r="AWB19" s="72"/>
      <c r="AWC19" s="72"/>
      <c r="AWD19" s="72"/>
      <c r="AWE19" s="72"/>
      <c r="AWF19" s="72"/>
      <c r="AWG19" s="72"/>
      <c r="AWH19" s="72"/>
      <c r="AWI19" s="72"/>
      <c r="AWJ19" s="72"/>
      <c r="AWK19" s="72"/>
      <c r="AWL19" s="72"/>
      <c r="AWM19" s="72"/>
      <c r="AWN19" s="72"/>
      <c r="AWO19" s="72"/>
      <c r="AWP19" s="72"/>
      <c r="AWQ19" s="72"/>
      <c r="AWR19" s="72"/>
      <c r="AWS19" s="72"/>
      <c r="AWT19" s="72"/>
      <c r="AWU19" s="72"/>
      <c r="AWV19" s="72"/>
      <c r="AWW19" s="72"/>
      <c r="AWX19" s="72"/>
      <c r="AWY19" s="72"/>
      <c r="AWZ19" s="72"/>
      <c r="AXA19" s="72"/>
      <c r="AXB19" s="72"/>
      <c r="AXC19" s="72"/>
      <c r="AXD19" s="72"/>
      <c r="AXE19" s="72"/>
      <c r="AXF19" s="72"/>
      <c r="AXG19" s="72"/>
      <c r="AXH19" s="72"/>
      <c r="AXI19" s="72"/>
      <c r="AXJ19" s="72"/>
      <c r="AXK19" s="72"/>
      <c r="AXL19" s="72"/>
      <c r="AXM19" s="72"/>
      <c r="AXN19" s="72"/>
      <c r="AXO19" s="72"/>
      <c r="AXP19" s="72"/>
      <c r="AXQ19" s="72"/>
      <c r="AXR19" s="72"/>
      <c r="AXS19" s="72"/>
      <c r="AXT19" s="72"/>
      <c r="AXU19" s="72"/>
      <c r="AXV19" s="72"/>
      <c r="AXW19" s="72"/>
      <c r="AXX19" s="72"/>
      <c r="AXY19" s="72"/>
      <c r="AXZ19" s="72"/>
      <c r="AYA19" s="72"/>
      <c r="AYB19" s="72"/>
      <c r="AYC19" s="72"/>
      <c r="AYD19" s="72"/>
      <c r="AYE19" s="72"/>
      <c r="AYF19" s="72"/>
      <c r="AYG19" s="72"/>
      <c r="AYH19" s="72"/>
      <c r="AYI19" s="72"/>
      <c r="AYJ19" s="72"/>
      <c r="AYK19" s="72"/>
      <c r="AYL19" s="72"/>
      <c r="AYM19" s="72"/>
      <c r="AYN19" s="72"/>
      <c r="AYO19" s="72"/>
      <c r="AYP19" s="72"/>
      <c r="AYQ19" s="72"/>
      <c r="AYR19" s="72"/>
      <c r="AYS19" s="72"/>
      <c r="AYT19" s="72"/>
      <c r="AYU19" s="72"/>
      <c r="AYV19" s="72"/>
      <c r="AYW19" s="72"/>
      <c r="AYX19" s="72"/>
      <c r="AYY19" s="72"/>
      <c r="AYZ19" s="72"/>
      <c r="AZA19" s="72"/>
      <c r="AZB19" s="72"/>
      <c r="AZC19" s="72"/>
      <c r="AZD19" s="72"/>
      <c r="AZE19" s="72"/>
      <c r="AZF19" s="72"/>
      <c r="AZG19" s="72"/>
      <c r="AZH19" s="72"/>
      <c r="AZI19" s="72"/>
      <c r="AZJ19" s="72"/>
      <c r="AZK19" s="72"/>
      <c r="AZL19" s="72"/>
      <c r="AZM19" s="72"/>
      <c r="AZN19" s="72"/>
      <c r="AZO19" s="72"/>
      <c r="AZP19" s="72"/>
      <c r="AZQ19" s="72"/>
      <c r="AZR19" s="72"/>
      <c r="AZS19" s="72"/>
      <c r="AZT19" s="72"/>
      <c r="AZU19" s="72"/>
      <c r="AZV19" s="72"/>
      <c r="AZW19" s="72"/>
      <c r="AZX19" s="72"/>
      <c r="AZY19" s="72"/>
      <c r="AZZ19" s="72"/>
      <c r="BAA19" s="72"/>
      <c r="BAB19" s="72"/>
      <c r="BAC19" s="72"/>
      <c r="BAD19" s="72"/>
      <c r="BAE19" s="72"/>
      <c r="BAF19" s="72"/>
      <c r="BAG19" s="72"/>
      <c r="BAH19" s="72"/>
      <c r="BAI19" s="72"/>
      <c r="BAJ19" s="72"/>
      <c r="BAK19" s="72"/>
      <c r="BAL19" s="72"/>
      <c r="BAM19" s="72"/>
      <c r="BAN19" s="72"/>
      <c r="BAO19" s="72"/>
      <c r="BAP19" s="72"/>
      <c r="BAQ19" s="72"/>
      <c r="BAR19" s="72"/>
      <c r="BAS19" s="72"/>
      <c r="BAT19" s="72"/>
      <c r="BAU19" s="72"/>
      <c r="BAV19" s="72"/>
      <c r="BAW19" s="72"/>
      <c r="BAX19" s="72"/>
      <c r="BAY19" s="72"/>
      <c r="BAZ19" s="72"/>
      <c r="BBA19" s="72"/>
      <c r="BBB19" s="72"/>
      <c r="BBC19" s="72"/>
      <c r="BBD19" s="72"/>
      <c r="BBE19" s="72"/>
      <c r="BBF19" s="72"/>
      <c r="BBG19" s="72"/>
      <c r="BBH19" s="72"/>
      <c r="BBI19" s="72"/>
      <c r="BBJ19" s="72"/>
      <c r="BBK19" s="72"/>
      <c r="BBL19" s="72"/>
      <c r="BBM19" s="72"/>
      <c r="BBN19" s="72"/>
      <c r="BBO19" s="72"/>
      <c r="BBP19" s="72"/>
      <c r="BBQ19" s="72"/>
      <c r="BBR19" s="72"/>
      <c r="BBS19" s="72"/>
      <c r="BBT19" s="72"/>
      <c r="BBU19" s="72"/>
      <c r="BBV19" s="72"/>
      <c r="BBW19" s="72"/>
      <c r="BBX19" s="72"/>
      <c r="BBY19" s="72"/>
      <c r="BBZ19" s="72"/>
      <c r="BCA19" s="72"/>
      <c r="BCB19" s="72"/>
      <c r="BCC19" s="72"/>
      <c r="BCD19" s="72"/>
      <c r="BCE19" s="72"/>
      <c r="BCF19" s="72"/>
      <c r="BCG19" s="72"/>
      <c r="BCH19" s="72"/>
      <c r="BCI19" s="72"/>
      <c r="BCJ19" s="72"/>
      <c r="BCK19" s="72"/>
      <c r="BCL19" s="72"/>
      <c r="BCM19" s="72"/>
      <c r="BCN19" s="72"/>
      <c r="BCO19" s="72"/>
      <c r="BCP19" s="72"/>
      <c r="BCQ19" s="72"/>
      <c r="BCR19" s="72"/>
      <c r="BCS19" s="72"/>
      <c r="BCT19" s="72"/>
      <c r="BCU19" s="72"/>
      <c r="BCV19" s="72"/>
      <c r="BCW19" s="72"/>
      <c r="BCX19" s="72"/>
      <c r="BCY19" s="72"/>
      <c r="BCZ19" s="72"/>
      <c r="BDA19" s="72"/>
      <c r="BDB19" s="72"/>
      <c r="BDC19" s="72"/>
      <c r="BDD19" s="72"/>
      <c r="BDE19" s="72"/>
      <c r="BDF19" s="72"/>
      <c r="BDG19" s="72"/>
      <c r="BDH19" s="72"/>
      <c r="BDI19" s="72"/>
      <c r="BDJ19" s="72"/>
      <c r="BDK19" s="72"/>
      <c r="BDL19" s="72"/>
      <c r="BDM19" s="72"/>
      <c r="BDN19" s="72"/>
      <c r="BDO19" s="72"/>
      <c r="BDP19" s="72"/>
      <c r="BDQ19" s="72"/>
      <c r="BDR19" s="72"/>
      <c r="BDS19" s="72"/>
      <c r="BDT19" s="72"/>
      <c r="BDU19" s="72"/>
      <c r="BDV19" s="72"/>
      <c r="BDW19" s="72"/>
      <c r="BDX19" s="72"/>
      <c r="BDY19" s="72"/>
      <c r="BDZ19" s="72"/>
      <c r="BEA19" s="72"/>
      <c r="BEB19" s="72"/>
      <c r="BEC19" s="72"/>
      <c r="BED19" s="72"/>
      <c r="BEE19" s="72"/>
      <c r="BEF19" s="72"/>
      <c r="BEG19" s="72"/>
      <c r="BEH19" s="72"/>
      <c r="BEI19" s="72"/>
      <c r="BEJ19" s="72"/>
      <c r="BEK19" s="72"/>
      <c r="BEL19" s="72"/>
      <c r="BEM19" s="72"/>
      <c r="BEN19" s="72"/>
      <c r="BEO19" s="72"/>
      <c r="BEP19" s="72"/>
      <c r="BEQ19" s="72"/>
      <c r="BER19" s="72"/>
      <c r="BES19" s="72"/>
      <c r="BET19" s="72"/>
      <c r="BEU19" s="72"/>
      <c r="BEV19" s="72"/>
      <c r="BEW19" s="72"/>
      <c r="BEX19" s="72"/>
      <c r="BEY19" s="72"/>
      <c r="BEZ19" s="72"/>
      <c r="BFA19" s="72"/>
      <c r="BFB19" s="72"/>
      <c r="BFC19" s="72"/>
      <c r="BFD19" s="72"/>
      <c r="BFE19" s="72"/>
      <c r="BFF19" s="72"/>
      <c r="BFG19" s="72"/>
      <c r="BFH19" s="72"/>
      <c r="BFI19" s="72"/>
      <c r="BFJ19" s="72"/>
      <c r="BFK19" s="72"/>
      <c r="BFL19" s="72"/>
      <c r="BFM19" s="72"/>
      <c r="BFN19" s="72"/>
      <c r="BFO19" s="72"/>
      <c r="BFP19" s="72"/>
      <c r="BFQ19" s="72"/>
      <c r="BFR19" s="72"/>
      <c r="BFS19" s="72"/>
      <c r="BFT19" s="72"/>
      <c r="BFU19" s="72"/>
      <c r="BFV19" s="72"/>
      <c r="BFW19" s="72"/>
      <c r="BFX19" s="72"/>
      <c r="BFY19" s="72"/>
      <c r="BFZ19" s="72"/>
      <c r="BGA19" s="72"/>
      <c r="BGB19" s="72"/>
      <c r="BGC19" s="72"/>
      <c r="BGD19" s="72"/>
      <c r="BGE19" s="72"/>
      <c r="BGF19" s="72"/>
      <c r="BGG19" s="72"/>
      <c r="BGH19" s="72"/>
      <c r="BGI19" s="72"/>
      <c r="BGJ19" s="72"/>
      <c r="BGK19" s="72"/>
      <c r="BGL19" s="72"/>
      <c r="BGM19" s="72"/>
      <c r="BGN19" s="72"/>
      <c r="BGO19" s="72"/>
      <c r="BGP19" s="72"/>
      <c r="BGQ19" s="72"/>
      <c r="BGR19" s="72"/>
      <c r="BGS19" s="72"/>
      <c r="BGT19" s="72"/>
      <c r="BGU19" s="72"/>
      <c r="BGV19" s="72"/>
      <c r="BGW19" s="72"/>
      <c r="BGX19" s="72"/>
      <c r="BGY19" s="72"/>
      <c r="BGZ19" s="72"/>
      <c r="BHA19" s="72"/>
      <c r="BHB19" s="72"/>
      <c r="BHC19" s="72"/>
      <c r="BHD19" s="72"/>
      <c r="BHE19" s="72"/>
      <c r="BHF19" s="72"/>
      <c r="BHG19" s="72"/>
      <c r="BHH19" s="72"/>
      <c r="BHI19" s="72"/>
      <c r="BHJ19" s="72"/>
      <c r="BHK19" s="72"/>
      <c r="BHL19" s="72"/>
      <c r="BHM19" s="72"/>
      <c r="BHN19" s="72"/>
      <c r="BHO19" s="72"/>
      <c r="BHP19" s="72"/>
      <c r="BHQ19" s="72"/>
      <c r="BHR19" s="72"/>
      <c r="BHS19" s="72"/>
      <c r="BHT19" s="72"/>
      <c r="BHU19" s="72"/>
      <c r="BHV19" s="72"/>
      <c r="BHW19" s="72"/>
      <c r="BHX19" s="72"/>
      <c r="BHY19" s="72"/>
      <c r="BHZ19" s="72"/>
      <c r="BIA19" s="72"/>
      <c r="BIB19" s="72"/>
      <c r="BIC19" s="72"/>
      <c r="BID19" s="72"/>
      <c r="BIE19" s="72"/>
      <c r="BIF19" s="72"/>
      <c r="BIG19" s="72"/>
      <c r="BIH19" s="72"/>
      <c r="BII19" s="72"/>
      <c r="BIJ19" s="72"/>
      <c r="BIK19" s="72"/>
      <c r="BIL19" s="72"/>
      <c r="BIM19" s="72"/>
      <c r="BIN19" s="72"/>
      <c r="BIO19" s="72"/>
      <c r="BIP19" s="72"/>
      <c r="BIQ19" s="72"/>
      <c r="BIR19" s="72"/>
      <c r="BIS19" s="72"/>
      <c r="BIT19" s="72"/>
      <c r="BIU19" s="72"/>
      <c r="BIV19" s="72"/>
      <c r="BIW19" s="72"/>
      <c r="BIX19" s="72"/>
      <c r="BIY19" s="72"/>
      <c r="BIZ19" s="72"/>
      <c r="BJA19" s="72"/>
      <c r="BJB19" s="72"/>
      <c r="BJC19" s="72"/>
      <c r="BJD19" s="72"/>
      <c r="BJE19" s="72"/>
      <c r="BJF19" s="72"/>
      <c r="BJG19" s="72"/>
      <c r="BJH19" s="72"/>
      <c r="BJI19" s="72"/>
      <c r="BJJ19" s="72"/>
      <c r="BJK19" s="72"/>
      <c r="BJL19" s="72"/>
      <c r="BJM19" s="72"/>
      <c r="BJN19" s="72"/>
      <c r="BJO19" s="72"/>
      <c r="BJP19" s="72"/>
      <c r="BJQ19" s="72"/>
      <c r="BJR19" s="72"/>
      <c r="BJS19" s="72"/>
      <c r="BJT19" s="72"/>
      <c r="BJU19" s="72"/>
      <c r="BJV19" s="72"/>
      <c r="BJW19" s="72"/>
      <c r="BJX19" s="72"/>
      <c r="BJY19" s="72"/>
      <c r="BJZ19" s="72"/>
      <c r="BKA19" s="72"/>
      <c r="BKB19" s="72"/>
      <c r="BKC19" s="72"/>
      <c r="BKD19" s="72"/>
      <c r="BKE19" s="72"/>
      <c r="BKF19" s="72"/>
      <c r="BKG19" s="72"/>
      <c r="BKH19" s="72"/>
      <c r="BKI19" s="72"/>
      <c r="BKJ19" s="72"/>
      <c r="BKK19" s="72"/>
      <c r="BKL19" s="72"/>
      <c r="BKM19" s="72"/>
      <c r="BKN19" s="72"/>
      <c r="BKO19" s="72"/>
      <c r="BKP19" s="72"/>
      <c r="BKQ19" s="72"/>
      <c r="BKR19" s="72"/>
      <c r="BKS19" s="72"/>
      <c r="BKT19" s="72"/>
      <c r="BKU19" s="72"/>
      <c r="BKV19" s="72"/>
      <c r="BKW19" s="72"/>
      <c r="BKX19" s="72"/>
      <c r="BKY19" s="72"/>
      <c r="BKZ19" s="72"/>
      <c r="BLA19" s="72"/>
      <c r="BLB19" s="72"/>
      <c r="BLC19" s="72"/>
      <c r="BLD19" s="72"/>
      <c r="BLE19" s="72"/>
      <c r="BLF19" s="72"/>
      <c r="BLG19" s="72"/>
      <c r="BLH19" s="72"/>
      <c r="BLI19" s="72"/>
      <c r="BLJ19" s="72"/>
      <c r="BLK19" s="72"/>
      <c r="BLL19" s="72"/>
      <c r="BLM19" s="72"/>
      <c r="BLN19" s="72"/>
      <c r="BLO19" s="72"/>
      <c r="BLP19" s="72"/>
      <c r="BLQ19" s="72"/>
      <c r="BLR19" s="72"/>
      <c r="BLS19" s="72"/>
      <c r="BLT19" s="72"/>
      <c r="BLU19" s="72"/>
      <c r="BLV19" s="72"/>
      <c r="BLW19" s="72"/>
      <c r="BLX19" s="72"/>
      <c r="BLY19" s="72"/>
      <c r="BLZ19" s="72"/>
      <c r="BMA19" s="72"/>
      <c r="BMB19" s="72"/>
      <c r="BMC19" s="72"/>
      <c r="BMD19" s="72"/>
      <c r="BME19" s="72"/>
      <c r="BMF19" s="72"/>
      <c r="BMG19" s="72"/>
      <c r="BMH19" s="72"/>
      <c r="BMI19" s="72"/>
      <c r="BMJ19" s="72"/>
      <c r="BMK19" s="72"/>
      <c r="BML19" s="72"/>
      <c r="BMM19" s="72"/>
      <c r="BMN19" s="72"/>
      <c r="BMO19" s="72"/>
      <c r="BMP19" s="72"/>
      <c r="BMQ19" s="72"/>
      <c r="BMR19" s="72"/>
      <c r="BMS19" s="72"/>
      <c r="BMT19" s="72"/>
      <c r="BMU19" s="72"/>
      <c r="BMV19" s="72"/>
      <c r="BMW19" s="72"/>
      <c r="BMX19" s="72"/>
      <c r="BMY19" s="72"/>
      <c r="BMZ19" s="72"/>
      <c r="BNA19" s="72"/>
      <c r="BNB19" s="72"/>
      <c r="BNC19" s="72"/>
      <c r="BND19" s="72"/>
      <c r="BNE19" s="72"/>
      <c r="BNF19" s="72"/>
      <c r="BNG19" s="72"/>
      <c r="BNH19" s="72"/>
      <c r="BNI19" s="72"/>
      <c r="BNJ19" s="72"/>
      <c r="BNK19" s="72"/>
      <c r="BNL19" s="72"/>
      <c r="BNM19" s="72"/>
      <c r="BNN19" s="72"/>
      <c r="BNO19" s="72"/>
      <c r="BNP19" s="72"/>
      <c r="BNQ19" s="72"/>
      <c r="BNR19" s="72"/>
      <c r="BNS19" s="72"/>
      <c r="BNT19" s="72"/>
      <c r="BNU19" s="72"/>
      <c r="BNV19" s="72"/>
      <c r="BNW19" s="72"/>
      <c r="BNX19" s="72"/>
      <c r="BNY19" s="72"/>
      <c r="BNZ19" s="72"/>
      <c r="BOA19" s="72"/>
      <c r="BOB19" s="72"/>
      <c r="BOC19" s="72"/>
      <c r="BOD19" s="72"/>
      <c r="BOE19" s="72"/>
      <c r="BOF19" s="72"/>
      <c r="BOG19" s="72"/>
      <c r="BOH19" s="72"/>
      <c r="BOI19" s="72"/>
      <c r="BOJ19" s="72"/>
      <c r="BOK19" s="72"/>
      <c r="BOL19" s="72"/>
      <c r="BOM19" s="72"/>
      <c r="BON19" s="72"/>
      <c r="BOO19" s="72"/>
      <c r="BOP19" s="72"/>
      <c r="BOQ19" s="72"/>
      <c r="BOR19" s="72"/>
      <c r="BOS19" s="72"/>
      <c r="BOT19" s="72"/>
      <c r="BOU19" s="72"/>
      <c r="BOV19" s="72"/>
      <c r="BOW19" s="72"/>
      <c r="BOX19" s="72"/>
      <c r="BOY19" s="72"/>
      <c r="BOZ19" s="72"/>
      <c r="BPA19" s="72"/>
      <c r="BPB19" s="72"/>
      <c r="BPC19" s="72"/>
      <c r="BPD19" s="72"/>
      <c r="BPE19" s="72"/>
      <c r="BPF19" s="72"/>
      <c r="BPG19" s="72"/>
      <c r="BPH19" s="72"/>
      <c r="BPI19" s="72"/>
      <c r="BPJ19" s="72"/>
      <c r="BPK19" s="72"/>
      <c r="BPL19" s="72"/>
      <c r="BPM19" s="72"/>
      <c r="BPN19" s="72"/>
      <c r="BPO19" s="72"/>
      <c r="BPP19" s="72"/>
      <c r="BPQ19" s="72"/>
      <c r="BPR19" s="72"/>
      <c r="BPS19" s="72"/>
      <c r="BPT19" s="72"/>
      <c r="BPU19" s="72"/>
      <c r="BPV19" s="72"/>
      <c r="BPW19" s="72"/>
      <c r="BPX19" s="72"/>
      <c r="BPY19" s="72"/>
      <c r="BPZ19" s="72"/>
      <c r="BQA19" s="72"/>
      <c r="BQB19" s="72"/>
      <c r="BQC19" s="72"/>
      <c r="BQD19" s="72"/>
      <c r="BQE19" s="72"/>
      <c r="BQF19" s="72"/>
      <c r="BQG19" s="72"/>
      <c r="BQH19" s="72"/>
      <c r="BQI19" s="72"/>
      <c r="BQJ19" s="72"/>
      <c r="BQK19" s="72"/>
      <c r="BQL19" s="72"/>
      <c r="BQM19" s="72"/>
      <c r="BQN19" s="72"/>
      <c r="BQO19" s="72"/>
      <c r="BQP19" s="72"/>
      <c r="BQQ19" s="72"/>
      <c r="BQR19" s="72"/>
      <c r="BQS19" s="72"/>
      <c r="BQT19" s="72"/>
      <c r="BQU19" s="72"/>
      <c r="BQV19" s="72"/>
      <c r="BQW19" s="72"/>
      <c r="BQX19" s="72"/>
      <c r="BQY19" s="72"/>
      <c r="BQZ19" s="72"/>
      <c r="BRA19" s="72"/>
      <c r="BRB19" s="72"/>
      <c r="BRC19" s="72"/>
      <c r="BRD19" s="72"/>
      <c r="BRE19" s="72"/>
      <c r="BRF19" s="72"/>
      <c r="BRG19" s="72"/>
      <c r="BRH19" s="72"/>
      <c r="BRI19" s="72"/>
      <c r="BRJ19" s="72"/>
      <c r="BRK19" s="72"/>
      <c r="BRL19" s="72"/>
      <c r="BRM19" s="72"/>
      <c r="BRN19" s="72"/>
      <c r="BRO19" s="72"/>
      <c r="BRP19" s="72"/>
      <c r="BRQ19" s="72"/>
      <c r="BRR19" s="72"/>
      <c r="BRS19" s="72"/>
      <c r="BRT19" s="72"/>
      <c r="BRU19" s="72"/>
      <c r="BRV19" s="72"/>
      <c r="BRW19" s="72"/>
      <c r="BRX19" s="72"/>
      <c r="BRY19" s="72"/>
      <c r="BRZ19" s="72"/>
      <c r="BSA19" s="72"/>
      <c r="BSB19" s="72"/>
      <c r="BSC19" s="72"/>
      <c r="BSD19" s="72"/>
      <c r="BSE19" s="72"/>
      <c r="BSF19" s="72"/>
      <c r="BSG19" s="72"/>
      <c r="BSH19" s="72"/>
      <c r="BSI19" s="72"/>
      <c r="BSJ19" s="72"/>
      <c r="BSK19" s="72"/>
      <c r="BSL19" s="72"/>
      <c r="BSM19" s="72"/>
      <c r="BSN19" s="72"/>
      <c r="BSO19" s="72"/>
      <c r="BSP19" s="72"/>
      <c r="BSQ19" s="72"/>
      <c r="BSR19" s="72"/>
      <c r="BSS19" s="72"/>
      <c r="BST19" s="72"/>
      <c r="BSU19" s="72"/>
      <c r="BSV19" s="72"/>
      <c r="BSW19" s="72"/>
      <c r="BSX19" s="72"/>
      <c r="BSY19" s="72"/>
      <c r="BSZ19" s="72"/>
      <c r="BTA19" s="72"/>
      <c r="BTB19" s="72"/>
      <c r="BTC19" s="72"/>
      <c r="BTD19" s="72"/>
      <c r="BTE19" s="72"/>
      <c r="BTF19" s="72"/>
      <c r="BTG19" s="72"/>
      <c r="BTH19" s="72"/>
      <c r="BTI19" s="72"/>
      <c r="BTJ19" s="72"/>
      <c r="BTK19" s="72"/>
      <c r="BTL19" s="72"/>
      <c r="BTM19" s="72"/>
      <c r="BTN19" s="72"/>
      <c r="BTO19" s="72"/>
      <c r="BTP19" s="72"/>
      <c r="BTQ19" s="72"/>
      <c r="BTR19" s="72"/>
      <c r="BTS19" s="72"/>
      <c r="BTT19" s="72"/>
      <c r="BTU19" s="72"/>
      <c r="BTV19" s="72"/>
      <c r="BTW19" s="72"/>
      <c r="BTX19" s="72"/>
      <c r="BTY19" s="72"/>
      <c r="BTZ19" s="72"/>
      <c r="BUA19" s="72"/>
      <c r="BUB19" s="72"/>
      <c r="BUC19" s="72"/>
      <c r="BUD19" s="72"/>
      <c r="BUE19" s="72"/>
      <c r="BUF19" s="72"/>
      <c r="BUG19" s="72"/>
      <c r="BUH19" s="72"/>
      <c r="BUI19" s="72"/>
      <c r="BUJ19" s="72"/>
      <c r="BUK19" s="72"/>
      <c r="BUL19" s="72"/>
      <c r="BUM19" s="72"/>
      <c r="BUN19" s="72"/>
      <c r="BUO19" s="72"/>
      <c r="BUP19" s="72"/>
      <c r="BUQ19" s="72"/>
      <c r="BUR19" s="72"/>
      <c r="BUS19" s="72"/>
      <c r="BUT19" s="72"/>
      <c r="BUU19" s="72"/>
      <c r="BUV19" s="72"/>
      <c r="BUW19" s="72"/>
      <c r="BUX19" s="72"/>
      <c r="BUY19" s="72"/>
      <c r="BUZ19" s="72"/>
      <c r="BVA19" s="72"/>
      <c r="BVB19" s="72"/>
      <c r="BVC19" s="72"/>
      <c r="BVD19" s="72"/>
      <c r="BVE19" s="72"/>
      <c r="BVF19" s="72"/>
      <c r="BVG19" s="72"/>
      <c r="BVH19" s="72"/>
      <c r="BVI19" s="72"/>
      <c r="BVJ19" s="72"/>
      <c r="BVK19" s="72"/>
      <c r="BVL19" s="72"/>
      <c r="BVM19" s="72"/>
      <c r="BVN19" s="72"/>
      <c r="BVO19" s="72"/>
      <c r="BVP19" s="72"/>
      <c r="BVQ19" s="72"/>
      <c r="BVR19" s="72"/>
      <c r="BVS19" s="72"/>
      <c r="BVT19" s="72"/>
      <c r="BVU19" s="72"/>
      <c r="BVV19" s="72"/>
      <c r="BVW19" s="72"/>
      <c r="BVX19" s="72"/>
      <c r="BVY19" s="72"/>
      <c r="BVZ19" s="72"/>
      <c r="BWA19" s="72"/>
      <c r="BWB19" s="72"/>
      <c r="BWC19" s="72"/>
      <c r="BWD19" s="72"/>
      <c r="BWE19" s="72"/>
      <c r="BWF19" s="72"/>
      <c r="BWG19" s="72"/>
      <c r="BWH19" s="72"/>
      <c r="BWI19" s="72"/>
      <c r="BWJ19" s="72"/>
      <c r="BWK19" s="72"/>
      <c r="BWL19" s="72"/>
      <c r="BWM19" s="72"/>
      <c r="BWN19" s="72"/>
      <c r="BWO19" s="72"/>
      <c r="BWP19" s="72"/>
      <c r="BWQ19" s="72"/>
      <c r="BWR19" s="72"/>
      <c r="BWS19" s="72"/>
      <c r="BWT19" s="72"/>
      <c r="BWU19" s="72"/>
      <c r="BWV19" s="72"/>
      <c r="BWW19" s="72"/>
      <c r="BWX19" s="72"/>
      <c r="BWY19" s="72"/>
      <c r="BWZ19" s="72"/>
      <c r="BXA19" s="72"/>
      <c r="BXB19" s="72"/>
      <c r="BXC19" s="72"/>
      <c r="BXD19" s="72"/>
      <c r="BXE19" s="72"/>
      <c r="BXF19" s="72"/>
      <c r="BXG19" s="72"/>
      <c r="BXH19" s="72"/>
      <c r="BXI19" s="72"/>
      <c r="BXJ19" s="72"/>
      <c r="BXK19" s="72"/>
      <c r="BXL19" s="72"/>
      <c r="BXM19" s="72"/>
      <c r="BXN19" s="72"/>
      <c r="BXO19" s="72"/>
      <c r="BXP19" s="72"/>
      <c r="BXQ19" s="72"/>
      <c r="BXR19" s="72"/>
      <c r="BXS19" s="72"/>
      <c r="BXT19" s="72"/>
      <c r="BXU19" s="72"/>
      <c r="BXV19" s="72"/>
      <c r="BXW19" s="72"/>
      <c r="BXX19" s="72"/>
      <c r="BXY19" s="72"/>
      <c r="BXZ19" s="72"/>
      <c r="BYA19" s="72"/>
      <c r="BYB19" s="72"/>
      <c r="BYC19" s="72"/>
      <c r="BYD19" s="72"/>
      <c r="BYE19" s="72"/>
      <c r="BYF19" s="72"/>
      <c r="BYG19" s="72"/>
      <c r="BYH19" s="72"/>
      <c r="BYI19" s="72"/>
      <c r="BYJ19" s="72"/>
      <c r="BYK19" s="72"/>
      <c r="BYL19" s="72"/>
      <c r="BYM19" s="72"/>
      <c r="BYN19" s="72"/>
      <c r="BYO19" s="72"/>
      <c r="BYP19" s="72"/>
      <c r="BYQ19" s="72"/>
      <c r="BYR19" s="72"/>
      <c r="BYS19" s="72"/>
      <c r="BYT19" s="72"/>
      <c r="BYU19" s="72"/>
      <c r="BYV19" s="72"/>
      <c r="BYW19" s="72"/>
      <c r="BYX19" s="72"/>
      <c r="BYY19" s="72"/>
      <c r="BYZ19" s="72"/>
      <c r="BZA19" s="72"/>
      <c r="BZB19" s="72"/>
      <c r="BZC19" s="72"/>
      <c r="BZD19" s="72"/>
      <c r="BZE19" s="72"/>
      <c r="BZF19" s="72"/>
      <c r="BZG19" s="72"/>
      <c r="BZH19" s="72"/>
      <c r="BZI19" s="72"/>
      <c r="BZJ19" s="72"/>
      <c r="BZK19" s="72"/>
      <c r="BZL19" s="72"/>
      <c r="BZM19" s="72"/>
      <c r="BZN19" s="72"/>
      <c r="BZO19" s="72"/>
      <c r="BZP19" s="72"/>
      <c r="BZQ19" s="72"/>
      <c r="BZR19" s="72"/>
      <c r="BZS19" s="72"/>
      <c r="BZT19" s="72"/>
      <c r="BZU19" s="72"/>
      <c r="BZV19" s="72"/>
      <c r="BZW19" s="72"/>
      <c r="BZX19" s="72"/>
      <c r="BZY19" s="72"/>
      <c r="BZZ19" s="72"/>
      <c r="CAA19" s="72"/>
      <c r="CAB19" s="72"/>
      <c r="CAC19" s="72"/>
      <c r="CAD19" s="72"/>
      <c r="CAE19" s="72"/>
      <c r="CAF19" s="72"/>
      <c r="CAG19" s="72"/>
      <c r="CAH19" s="72"/>
      <c r="CAI19" s="72"/>
      <c r="CAJ19" s="72"/>
      <c r="CAK19" s="72"/>
      <c r="CAL19" s="72"/>
      <c r="CAM19" s="72"/>
      <c r="CAN19" s="72"/>
      <c r="CAO19" s="72"/>
      <c r="CAP19" s="72"/>
      <c r="CAQ19" s="72"/>
      <c r="CAR19" s="72"/>
      <c r="CAS19" s="72"/>
      <c r="CAT19" s="72"/>
      <c r="CAU19" s="72"/>
      <c r="CAV19" s="72"/>
      <c r="CAW19" s="72"/>
      <c r="CAX19" s="72"/>
      <c r="CAY19" s="72"/>
      <c r="CAZ19" s="72"/>
      <c r="CBA19" s="72"/>
      <c r="CBB19" s="72"/>
      <c r="CBC19" s="72"/>
      <c r="CBD19" s="72"/>
      <c r="CBE19" s="72"/>
      <c r="CBF19" s="72"/>
      <c r="CBG19" s="72"/>
      <c r="CBH19" s="72"/>
      <c r="CBI19" s="72"/>
      <c r="CBJ19" s="72"/>
      <c r="CBK19" s="72"/>
      <c r="CBL19" s="72"/>
      <c r="CBM19" s="72"/>
      <c r="CBN19" s="72"/>
      <c r="CBO19" s="72"/>
      <c r="CBP19" s="72"/>
      <c r="CBQ19" s="72"/>
      <c r="CBR19" s="72"/>
      <c r="CBS19" s="72"/>
      <c r="CBT19" s="72"/>
      <c r="CBU19" s="72"/>
      <c r="CBV19" s="72"/>
      <c r="CBW19" s="72"/>
      <c r="CBX19" s="72"/>
      <c r="CBY19" s="72"/>
      <c r="CBZ19" s="72"/>
      <c r="CCA19" s="72"/>
      <c r="CCB19" s="72"/>
      <c r="CCC19" s="72"/>
      <c r="CCD19" s="72"/>
      <c r="CCE19" s="72"/>
      <c r="CCF19" s="72"/>
      <c r="CCG19" s="72"/>
      <c r="CCH19" s="72"/>
      <c r="CCI19" s="72"/>
      <c r="CCJ19" s="72"/>
      <c r="CCK19" s="72"/>
      <c r="CCL19" s="72"/>
      <c r="CCM19" s="72"/>
      <c r="CCN19" s="72"/>
      <c r="CCO19" s="72"/>
      <c r="CCP19" s="72"/>
      <c r="CCQ19" s="72"/>
      <c r="CCR19" s="72"/>
      <c r="CCS19" s="72"/>
      <c r="CCT19" s="72"/>
      <c r="CCU19" s="72"/>
      <c r="CCV19" s="72"/>
      <c r="CCW19" s="72"/>
      <c r="CCX19" s="72"/>
      <c r="CCY19" s="72"/>
      <c r="CCZ19" s="72"/>
      <c r="CDA19" s="72"/>
      <c r="CDB19" s="72"/>
      <c r="CDC19" s="72"/>
      <c r="CDD19" s="72"/>
      <c r="CDE19" s="72"/>
      <c r="CDF19" s="72"/>
      <c r="CDG19" s="72"/>
      <c r="CDH19" s="72"/>
      <c r="CDI19" s="72"/>
      <c r="CDJ19" s="72"/>
      <c r="CDK19" s="72"/>
      <c r="CDL19" s="72"/>
      <c r="CDM19" s="72"/>
      <c r="CDN19" s="72"/>
      <c r="CDO19" s="72"/>
      <c r="CDP19" s="72"/>
      <c r="CDQ19" s="72"/>
      <c r="CDR19" s="72"/>
      <c r="CDS19" s="72"/>
      <c r="CDT19" s="72"/>
      <c r="CDU19" s="72"/>
      <c r="CDV19" s="72"/>
      <c r="CDW19" s="72"/>
      <c r="CDX19" s="72"/>
      <c r="CDY19" s="72"/>
      <c r="CDZ19" s="72"/>
      <c r="CEA19" s="72"/>
      <c r="CEB19" s="72"/>
      <c r="CEC19" s="72"/>
      <c r="CED19" s="72"/>
      <c r="CEE19" s="72"/>
      <c r="CEF19" s="72"/>
      <c r="CEG19" s="72"/>
      <c r="CEH19" s="72"/>
      <c r="CEI19" s="72"/>
      <c r="CEJ19" s="72"/>
      <c r="CEK19" s="72"/>
      <c r="CEL19" s="72"/>
      <c r="CEM19" s="72"/>
      <c r="CEN19" s="72"/>
      <c r="CEO19" s="72"/>
      <c r="CEP19" s="72"/>
      <c r="CEQ19" s="72"/>
      <c r="CER19" s="72"/>
      <c r="CES19" s="72"/>
      <c r="CET19" s="72"/>
      <c r="CEU19" s="72"/>
      <c r="CEV19" s="72"/>
      <c r="CEW19" s="72"/>
      <c r="CEX19" s="72"/>
      <c r="CEY19" s="72"/>
      <c r="CEZ19" s="72"/>
      <c r="CFA19" s="72"/>
      <c r="CFB19" s="72"/>
      <c r="CFC19" s="72"/>
      <c r="CFD19" s="72"/>
      <c r="CFE19" s="72"/>
      <c r="CFF19" s="72"/>
      <c r="CFG19" s="72"/>
      <c r="CFH19" s="72"/>
      <c r="CFI19" s="72"/>
      <c r="CFJ19" s="72"/>
      <c r="CFK19" s="72"/>
      <c r="CFL19" s="72"/>
      <c r="CFM19" s="72"/>
      <c r="CFN19" s="72"/>
      <c r="CFO19" s="72"/>
      <c r="CFP19" s="72"/>
      <c r="CFQ19" s="72"/>
      <c r="CFR19" s="72"/>
      <c r="CFS19" s="72"/>
      <c r="CFT19" s="72"/>
      <c r="CFU19" s="72"/>
      <c r="CFV19" s="72"/>
      <c r="CFW19" s="72"/>
      <c r="CFX19" s="72"/>
      <c r="CFY19" s="72"/>
      <c r="CFZ19" s="72"/>
      <c r="CGA19" s="72"/>
      <c r="CGB19" s="72"/>
      <c r="CGC19" s="72"/>
      <c r="CGD19" s="72"/>
      <c r="CGE19" s="72"/>
      <c r="CGF19" s="72"/>
      <c r="CGG19" s="72"/>
      <c r="CGH19" s="72"/>
      <c r="CGI19" s="72"/>
      <c r="CGJ19" s="72"/>
      <c r="CGK19" s="72"/>
      <c r="CGL19" s="72"/>
      <c r="CGM19" s="72"/>
      <c r="CGN19" s="72"/>
      <c r="CGO19" s="72"/>
      <c r="CGP19" s="72"/>
      <c r="CGQ19" s="72"/>
      <c r="CGR19" s="72"/>
      <c r="CGS19" s="72"/>
      <c r="CGT19" s="72"/>
      <c r="CGU19" s="72"/>
      <c r="CGV19" s="72"/>
      <c r="CGW19" s="72"/>
      <c r="CGX19" s="72"/>
      <c r="CGY19" s="72"/>
      <c r="CGZ19" s="72"/>
      <c r="CHA19" s="72"/>
      <c r="CHB19" s="72"/>
      <c r="CHC19" s="72"/>
      <c r="CHD19" s="72"/>
      <c r="CHE19" s="72"/>
      <c r="CHF19" s="72"/>
      <c r="CHG19" s="72"/>
      <c r="CHH19" s="72"/>
      <c r="CHI19" s="72"/>
      <c r="CHJ19" s="72"/>
      <c r="CHK19" s="72"/>
      <c r="CHL19" s="72"/>
      <c r="CHM19" s="72"/>
      <c r="CHN19" s="72"/>
      <c r="CHO19" s="72"/>
      <c r="CHP19" s="72"/>
      <c r="CHQ19" s="72"/>
      <c r="CHR19" s="72"/>
      <c r="CHS19" s="72"/>
      <c r="CHT19" s="72"/>
      <c r="CHU19" s="72"/>
      <c r="CHV19" s="72"/>
      <c r="CHW19" s="72"/>
      <c r="CHX19" s="72"/>
      <c r="CHY19" s="72"/>
      <c r="CHZ19" s="72"/>
      <c r="CIA19" s="72"/>
      <c r="CIB19" s="72"/>
      <c r="CIC19" s="72"/>
      <c r="CID19" s="72"/>
      <c r="CIE19" s="72"/>
      <c r="CIF19" s="72"/>
      <c r="CIG19" s="72"/>
      <c r="CIH19" s="72"/>
      <c r="CII19" s="72"/>
      <c r="CIJ19" s="72"/>
      <c r="CIK19" s="72"/>
      <c r="CIL19" s="72"/>
      <c r="CIM19" s="72"/>
      <c r="CIN19" s="72"/>
      <c r="CIO19" s="72"/>
      <c r="CIP19" s="72"/>
      <c r="CIQ19" s="72"/>
      <c r="CIR19" s="72"/>
      <c r="CIS19" s="72"/>
      <c r="CIT19" s="72"/>
      <c r="CIU19" s="72"/>
      <c r="CIV19" s="72"/>
      <c r="CIW19" s="72"/>
      <c r="CIX19" s="72"/>
      <c r="CIY19" s="72"/>
      <c r="CIZ19" s="72"/>
      <c r="CJA19" s="72"/>
      <c r="CJB19" s="72"/>
      <c r="CJC19" s="72"/>
      <c r="CJD19" s="72"/>
      <c r="CJE19" s="72"/>
      <c r="CJF19" s="72"/>
      <c r="CJG19" s="72"/>
      <c r="CJH19" s="72"/>
      <c r="CJI19" s="72"/>
      <c r="CJJ19" s="72"/>
      <c r="CJK19" s="72"/>
      <c r="CJL19" s="72"/>
      <c r="CJM19" s="72"/>
      <c r="CJN19" s="72"/>
      <c r="CJO19" s="72"/>
      <c r="CJP19" s="72"/>
      <c r="CJQ19" s="72"/>
      <c r="CJR19" s="72"/>
      <c r="CJS19" s="72"/>
      <c r="CJT19" s="72"/>
      <c r="CJU19" s="72"/>
      <c r="CJV19" s="72"/>
      <c r="CJW19" s="72"/>
      <c r="CJX19" s="72"/>
      <c r="CJY19" s="72"/>
      <c r="CJZ19" s="72"/>
      <c r="CKA19" s="72"/>
      <c r="CKB19" s="72"/>
      <c r="CKC19" s="72"/>
      <c r="CKD19" s="72"/>
      <c r="CKE19" s="72"/>
      <c r="CKF19" s="72"/>
      <c r="CKG19" s="72"/>
      <c r="CKH19" s="72"/>
      <c r="CKI19" s="72"/>
      <c r="CKJ19" s="72"/>
      <c r="CKK19" s="72"/>
      <c r="CKL19" s="72"/>
      <c r="CKM19" s="72"/>
      <c r="CKN19" s="72"/>
      <c r="CKO19" s="72"/>
      <c r="CKP19" s="72"/>
      <c r="CKQ19" s="72"/>
      <c r="CKR19" s="72"/>
      <c r="CKS19" s="72"/>
      <c r="CKT19" s="72"/>
      <c r="CKU19" s="72"/>
      <c r="CKV19" s="72"/>
      <c r="CKW19" s="72"/>
      <c r="CKX19" s="72"/>
      <c r="CKY19" s="72"/>
      <c r="CKZ19" s="72"/>
      <c r="CLA19" s="72"/>
      <c r="CLB19" s="72"/>
      <c r="CLC19" s="72"/>
      <c r="CLD19" s="72"/>
      <c r="CLE19" s="72"/>
      <c r="CLF19" s="72"/>
      <c r="CLG19" s="72"/>
      <c r="CLH19" s="72"/>
      <c r="CLI19" s="72"/>
      <c r="CLJ19" s="72"/>
      <c r="CLK19" s="72"/>
      <c r="CLL19" s="72"/>
      <c r="CLM19" s="72"/>
      <c r="CLN19" s="72"/>
      <c r="CLO19" s="72"/>
      <c r="CLP19" s="72"/>
      <c r="CLQ19" s="72"/>
      <c r="CLR19" s="72"/>
      <c r="CLS19" s="72"/>
      <c r="CLT19" s="72"/>
      <c r="CLU19" s="72"/>
      <c r="CLV19" s="72"/>
      <c r="CLW19" s="72"/>
      <c r="CLX19" s="72"/>
      <c r="CLY19" s="72"/>
      <c r="CLZ19" s="72"/>
      <c r="CMA19" s="72"/>
      <c r="CMB19" s="72"/>
      <c r="CMC19" s="72"/>
      <c r="CMD19" s="72"/>
      <c r="CME19" s="72"/>
      <c r="CMF19" s="72"/>
      <c r="CMG19" s="72"/>
      <c r="CMH19" s="72"/>
      <c r="CMI19" s="72"/>
      <c r="CMJ19" s="72"/>
      <c r="CMK19" s="72"/>
      <c r="CML19" s="72"/>
      <c r="CMM19" s="72"/>
      <c r="CMN19" s="72"/>
      <c r="CMO19" s="72"/>
      <c r="CMP19" s="72"/>
      <c r="CMQ19" s="72"/>
      <c r="CMR19" s="72"/>
      <c r="CMS19" s="72"/>
      <c r="CMT19" s="72"/>
      <c r="CMU19" s="72"/>
      <c r="CMV19" s="72"/>
      <c r="CMW19" s="72"/>
      <c r="CMX19" s="72"/>
      <c r="CMY19" s="72"/>
      <c r="CMZ19" s="72"/>
      <c r="CNA19" s="72"/>
      <c r="CNB19" s="72"/>
      <c r="CNC19" s="72"/>
      <c r="CND19" s="72"/>
      <c r="CNE19" s="72"/>
      <c r="CNF19" s="72"/>
      <c r="CNG19" s="72"/>
      <c r="CNH19" s="72"/>
      <c r="CNI19" s="72"/>
      <c r="CNJ19" s="72"/>
      <c r="CNK19" s="72"/>
      <c r="CNL19" s="72"/>
      <c r="CNM19" s="72"/>
      <c r="CNN19" s="72"/>
      <c r="CNO19" s="72"/>
      <c r="CNP19" s="72"/>
      <c r="CNQ19" s="72"/>
      <c r="CNR19" s="72"/>
      <c r="CNS19" s="72"/>
      <c r="CNT19" s="72"/>
      <c r="CNU19" s="72"/>
      <c r="CNV19" s="72"/>
      <c r="CNW19" s="72"/>
      <c r="CNX19" s="72"/>
      <c r="CNY19" s="72"/>
      <c r="CNZ19" s="72"/>
      <c r="COA19" s="72"/>
      <c r="COB19" s="72"/>
      <c r="COC19" s="72"/>
      <c r="COD19" s="72"/>
      <c r="COE19" s="72"/>
      <c r="COF19" s="72"/>
      <c r="COG19" s="72"/>
      <c r="COH19" s="72"/>
      <c r="COI19" s="72"/>
      <c r="COJ19" s="72"/>
      <c r="COK19" s="72"/>
      <c r="COL19" s="72"/>
      <c r="COM19" s="72"/>
      <c r="CON19" s="72"/>
      <c r="COO19" s="72"/>
      <c r="COP19" s="72"/>
      <c r="COQ19" s="72"/>
      <c r="COR19" s="72"/>
      <c r="COS19" s="72"/>
      <c r="COT19" s="72"/>
      <c r="COU19" s="72"/>
      <c r="COV19" s="72"/>
      <c r="COW19" s="72"/>
      <c r="COX19" s="72"/>
      <c r="COY19" s="72"/>
      <c r="COZ19" s="72"/>
      <c r="CPA19" s="72"/>
      <c r="CPB19" s="72"/>
      <c r="CPC19" s="72"/>
      <c r="CPD19" s="72"/>
      <c r="CPE19" s="72"/>
      <c r="CPF19" s="72"/>
      <c r="CPG19" s="72"/>
      <c r="CPH19" s="72"/>
      <c r="CPI19" s="72"/>
      <c r="CPJ19" s="72"/>
      <c r="CPK19" s="72"/>
      <c r="CPL19" s="72"/>
      <c r="CPM19" s="72"/>
      <c r="CPN19" s="72"/>
      <c r="CPO19" s="72"/>
      <c r="CPP19" s="72"/>
      <c r="CPQ19" s="72"/>
      <c r="CPR19" s="72"/>
      <c r="CPS19" s="72"/>
      <c r="CPT19" s="72"/>
      <c r="CPU19" s="72"/>
      <c r="CPV19" s="72"/>
      <c r="CPW19" s="72"/>
      <c r="CPX19" s="72"/>
      <c r="CPY19" s="72"/>
      <c r="CPZ19" s="72"/>
      <c r="CQA19" s="72"/>
      <c r="CQB19" s="72"/>
      <c r="CQC19" s="72"/>
      <c r="CQD19" s="72"/>
      <c r="CQE19" s="72"/>
      <c r="CQF19" s="72"/>
      <c r="CQG19" s="72"/>
      <c r="CQH19" s="72"/>
      <c r="CQI19" s="72"/>
      <c r="CQJ19" s="72"/>
      <c r="CQK19" s="72"/>
      <c r="CQL19" s="72"/>
      <c r="CQM19" s="72"/>
      <c r="CQN19" s="72"/>
      <c r="CQO19" s="72"/>
      <c r="CQP19" s="72"/>
      <c r="CQQ19" s="72"/>
      <c r="CQR19" s="72"/>
      <c r="CQS19" s="72"/>
      <c r="CQT19" s="72"/>
      <c r="CQU19" s="72"/>
      <c r="CQV19" s="72"/>
      <c r="CQW19" s="72"/>
      <c r="CQX19" s="72"/>
      <c r="CQY19" s="72"/>
      <c r="CQZ19" s="72"/>
      <c r="CRA19" s="72"/>
      <c r="CRB19" s="72"/>
      <c r="CRC19" s="72"/>
      <c r="CRD19" s="72"/>
      <c r="CRE19" s="72"/>
      <c r="CRF19" s="72"/>
      <c r="CRG19" s="72"/>
      <c r="CRH19" s="72"/>
      <c r="CRI19" s="72"/>
      <c r="CRJ19" s="72"/>
      <c r="CRK19" s="72"/>
      <c r="CRL19" s="72"/>
      <c r="CRM19" s="72"/>
      <c r="CRN19" s="72"/>
      <c r="CRO19" s="72"/>
      <c r="CRP19" s="72"/>
      <c r="CRQ19" s="72"/>
      <c r="CRR19" s="72"/>
      <c r="CRS19" s="72"/>
      <c r="CRT19" s="72"/>
      <c r="CRU19" s="72"/>
      <c r="CRV19" s="72"/>
      <c r="CRW19" s="72"/>
      <c r="CRX19" s="72"/>
      <c r="CRY19" s="72"/>
      <c r="CRZ19" s="72"/>
      <c r="CSA19" s="72"/>
      <c r="CSB19" s="72"/>
      <c r="CSC19" s="72"/>
      <c r="CSD19" s="72"/>
      <c r="CSE19" s="72"/>
      <c r="CSF19" s="72"/>
      <c r="CSG19" s="72"/>
      <c r="CSH19" s="72"/>
      <c r="CSI19" s="72"/>
      <c r="CSJ19" s="72"/>
      <c r="CSK19" s="72"/>
      <c r="CSL19" s="72"/>
      <c r="CSM19" s="72"/>
      <c r="CSN19" s="72"/>
      <c r="CSO19" s="72"/>
      <c r="CSP19" s="72"/>
      <c r="CSQ19" s="72"/>
      <c r="CSR19" s="72"/>
      <c r="CSS19" s="72"/>
      <c r="CST19" s="72"/>
      <c r="CSU19" s="72"/>
      <c r="CSV19" s="72"/>
      <c r="CSW19" s="72"/>
      <c r="CSX19" s="72"/>
      <c r="CSY19" s="72"/>
      <c r="CSZ19" s="72"/>
      <c r="CTA19" s="72"/>
      <c r="CTB19" s="72"/>
      <c r="CTC19" s="72"/>
      <c r="CTD19" s="72"/>
      <c r="CTE19" s="72"/>
      <c r="CTF19" s="72"/>
      <c r="CTG19" s="72"/>
      <c r="CTH19" s="72"/>
      <c r="CTI19" s="72"/>
      <c r="CTJ19" s="72"/>
      <c r="CTK19" s="72"/>
      <c r="CTL19" s="72"/>
      <c r="CTM19" s="72"/>
      <c r="CTN19" s="72"/>
      <c r="CTO19" s="72"/>
      <c r="CTP19" s="72"/>
      <c r="CTQ19" s="72"/>
      <c r="CTR19" s="72"/>
      <c r="CTS19" s="72"/>
      <c r="CTT19" s="72"/>
      <c r="CTU19" s="72"/>
      <c r="CTV19" s="72"/>
      <c r="CTW19" s="72"/>
      <c r="CTX19" s="72"/>
      <c r="CTY19" s="72"/>
      <c r="CTZ19" s="72"/>
      <c r="CUA19" s="72"/>
      <c r="CUB19" s="72"/>
      <c r="CUC19" s="72"/>
      <c r="CUD19" s="72"/>
      <c r="CUE19" s="72"/>
      <c r="CUF19" s="72"/>
      <c r="CUG19" s="72"/>
      <c r="CUH19" s="72"/>
      <c r="CUI19" s="72"/>
      <c r="CUJ19" s="72"/>
      <c r="CUK19" s="72"/>
      <c r="CUL19" s="72"/>
      <c r="CUM19" s="72"/>
      <c r="CUN19" s="72"/>
      <c r="CUO19" s="72"/>
      <c r="CUP19" s="72"/>
      <c r="CUQ19" s="72"/>
      <c r="CUR19" s="72"/>
      <c r="CUS19" s="72"/>
      <c r="CUT19" s="72"/>
      <c r="CUU19" s="72"/>
      <c r="CUV19" s="72"/>
      <c r="CUW19" s="72"/>
      <c r="CUX19" s="72"/>
      <c r="CUY19" s="72"/>
      <c r="CUZ19" s="72"/>
      <c r="CVA19" s="72"/>
      <c r="CVB19" s="72"/>
      <c r="CVC19" s="72"/>
      <c r="CVD19" s="72"/>
      <c r="CVE19" s="72"/>
      <c r="CVF19" s="72"/>
      <c r="CVG19" s="72"/>
      <c r="CVH19" s="72"/>
      <c r="CVI19" s="72"/>
      <c r="CVJ19" s="72"/>
      <c r="CVK19" s="72"/>
      <c r="CVL19" s="72"/>
      <c r="CVM19" s="72"/>
      <c r="CVN19" s="72"/>
      <c r="CVO19" s="72"/>
      <c r="CVP19" s="72"/>
      <c r="CVQ19" s="72"/>
      <c r="CVR19" s="72"/>
      <c r="CVS19" s="72"/>
      <c r="CVT19" s="72"/>
      <c r="CVU19" s="72"/>
      <c r="CVV19" s="72"/>
      <c r="CVW19" s="72"/>
      <c r="CVX19" s="72"/>
      <c r="CVY19" s="72"/>
      <c r="CVZ19" s="72"/>
      <c r="CWA19" s="72"/>
      <c r="CWB19" s="72"/>
      <c r="CWC19" s="72"/>
      <c r="CWD19" s="72"/>
      <c r="CWE19" s="72"/>
      <c r="CWF19" s="72"/>
      <c r="CWG19" s="72"/>
      <c r="CWH19" s="72"/>
      <c r="CWI19" s="72"/>
      <c r="CWJ19" s="72"/>
      <c r="CWK19" s="72"/>
      <c r="CWL19" s="72"/>
      <c r="CWM19" s="72"/>
      <c r="CWN19" s="72"/>
      <c r="CWO19" s="72"/>
      <c r="CWP19" s="72"/>
      <c r="CWQ19" s="72"/>
      <c r="CWR19" s="72"/>
      <c r="CWS19" s="72"/>
      <c r="CWT19" s="72"/>
      <c r="CWU19" s="72"/>
      <c r="CWV19" s="72"/>
      <c r="CWW19" s="72"/>
      <c r="CWX19" s="72"/>
      <c r="CWY19" s="72"/>
      <c r="CWZ19" s="72"/>
      <c r="CXA19" s="72"/>
      <c r="CXB19" s="72"/>
      <c r="CXC19" s="72"/>
      <c r="CXD19" s="72"/>
      <c r="CXE19" s="72"/>
      <c r="CXF19" s="72"/>
      <c r="CXG19" s="72"/>
      <c r="CXH19" s="72"/>
      <c r="CXI19" s="72"/>
      <c r="CXJ19" s="72"/>
      <c r="CXK19" s="72"/>
      <c r="CXL19" s="72"/>
      <c r="CXM19" s="72"/>
      <c r="CXN19" s="72"/>
      <c r="CXO19" s="72"/>
      <c r="CXP19" s="72"/>
      <c r="CXQ19" s="72"/>
      <c r="CXR19" s="72"/>
      <c r="CXS19" s="72"/>
      <c r="CXT19" s="72"/>
      <c r="CXU19" s="72"/>
      <c r="CXV19" s="72"/>
      <c r="CXW19" s="72"/>
      <c r="CXX19" s="72"/>
      <c r="CXY19" s="72"/>
      <c r="CXZ19" s="72"/>
      <c r="CYA19" s="72"/>
      <c r="CYB19" s="72"/>
      <c r="CYC19" s="72"/>
      <c r="CYD19" s="72"/>
      <c r="CYE19" s="72"/>
      <c r="CYF19" s="72"/>
      <c r="CYG19" s="72"/>
      <c r="CYH19" s="72"/>
      <c r="CYI19" s="72"/>
      <c r="CYJ19" s="72"/>
      <c r="CYK19" s="72"/>
      <c r="CYL19" s="72"/>
      <c r="CYM19" s="72"/>
      <c r="CYN19" s="72"/>
      <c r="CYO19" s="72"/>
      <c r="CYP19" s="72"/>
      <c r="CYQ19" s="72"/>
      <c r="CYR19" s="72"/>
      <c r="CYS19" s="72"/>
      <c r="CYT19" s="72"/>
      <c r="CYU19" s="72"/>
      <c r="CYV19" s="72"/>
      <c r="CYW19" s="72"/>
      <c r="CYX19" s="72"/>
      <c r="CYY19" s="72"/>
      <c r="CYZ19" s="72"/>
      <c r="CZA19" s="72"/>
      <c r="CZB19" s="72"/>
      <c r="CZC19" s="72"/>
      <c r="CZD19" s="72"/>
      <c r="CZE19" s="72"/>
      <c r="CZF19" s="72"/>
      <c r="CZG19" s="72"/>
      <c r="CZH19" s="72"/>
      <c r="CZI19" s="72"/>
      <c r="CZJ19" s="72"/>
      <c r="CZK19" s="72"/>
      <c r="CZL19" s="72"/>
      <c r="CZM19" s="72"/>
      <c r="CZN19" s="72"/>
      <c r="CZO19" s="72"/>
      <c r="CZP19" s="72"/>
      <c r="CZQ19" s="72"/>
      <c r="CZR19" s="72"/>
      <c r="CZS19" s="72"/>
      <c r="CZT19" s="72"/>
      <c r="CZU19" s="72"/>
      <c r="CZV19" s="72"/>
      <c r="CZW19" s="72"/>
      <c r="CZX19" s="72"/>
      <c r="CZY19" s="72"/>
      <c r="CZZ19" s="72"/>
      <c r="DAA19" s="72"/>
      <c r="DAB19" s="72"/>
      <c r="DAC19" s="72"/>
      <c r="DAD19" s="72"/>
      <c r="DAE19" s="72"/>
      <c r="DAF19" s="72"/>
      <c r="DAG19" s="72"/>
      <c r="DAH19" s="72"/>
      <c r="DAI19" s="72"/>
      <c r="DAJ19" s="72"/>
      <c r="DAK19" s="72"/>
      <c r="DAL19" s="72"/>
      <c r="DAM19" s="72"/>
      <c r="DAN19" s="72"/>
      <c r="DAO19" s="72"/>
      <c r="DAP19" s="72"/>
      <c r="DAQ19" s="72"/>
      <c r="DAR19" s="72"/>
      <c r="DAS19" s="72"/>
      <c r="DAT19" s="72"/>
      <c r="DAU19" s="72"/>
      <c r="DAV19" s="72"/>
      <c r="DAW19" s="72"/>
      <c r="DAX19" s="72"/>
      <c r="DAY19" s="72"/>
      <c r="DAZ19" s="72"/>
      <c r="DBA19" s="72"/>
      <c r="DBB19" s="72"/>
      <c r="DBC19" s="72"/>
      <c r="DBD19" s="72"/>
      <c r="DBE19" s="72"/>
      <c r="DBF19" s="72"/>
      <c r="DBG19" s="72"/>
      <c r="DBH19" s="72"/>
      <c r="DBI19" s="72"/>
      <c r="DBJ19" s="72"/>
      <c r="DBK19" s="72"/>
      <c r="DBL19" s="72"/>
      <c r="DBM19" s="72"/>
      <c r="DBN19" s="72"/>
      <c r="DBO19" s="72"/>
      <c r="DBP19" s="72"/>
      <c r="DBQ19" s="72"/>
      <c r="DBR19" s="72"/>
      <c r="DBS19" s="72"/>
      <c r="DBT19" s="72"/>
      <c r="DBU19" s="72"/>
      <c r="DBV19" s="72"/>
      <c r="DBW19" s="72"/>
      <c r="DBX19" s="72"/>
      <c r="DBY19" s="72"/>
      <c r="DBZ19" s="72"/>
      <c r="DCA19" s="72"/>
      <c r="DCB19" s="72"/>
      <c r="DCC19" s="72"/>
      <c r="DCD19" s="72"/>
      <c r="DCE19" s="72"/>
      <c r="DCF19" s="72"/>
      <c r="DCG19" s="72"/>
      <c r="DCH19" s="72"/>
      <c r="DCI19" s="72"/>
      <c r="DCJ19" s="72"/>
      <c r="DCK19" s="72"/>
      <c r="DCL19" s="72"/>
      <c r="DCM19" s="72"/>
      <c r="DCN19" s="72"/>
      <c r="DCO19" s="72"/>
      <c r="DCP19" s="72"/>
      <c r="DCQ19" s="72"/>
      <c r="DCR19" s="72"/>
      <c r="DCS19" s="72"/>
      <c r="DCT19" s="72"/>
      <c r="DCU19" s="72"/>
      <c r="DCV19" s="72"/>
      <c r="DCW19" s="72"/>
      <c r="DCX19" s="72"/>
      <c r="DCY19" s="72"/>
      <c r="DCZ19" s="72"/>
      <c r="DDA19" s="72"/>
      <c r="DDB19" s="72"/>
      <c r="DDC19" s="72"/>
      <c r="DDD19" s="72"/>
      <c r="DDE19" s="72"/>
      <c r="DDF19" s="72"/>
      <c r="DDG19" s="72"/>
      <c r="DDH19" s="72"/>
      <c r="DDI19" s="72"/>
      <c r="DDJ19" s="72"/>
      <c r="DDK19" s="72"/>
      <c r="DDL19" s="72"/>
      <c r="DDM19" s="72"/>
      <c r="DDN19" s="72"/>
      <c r="DDO19" s="72"/>
      <c r="DDP19" s="72"/>
      <c r="DDQ19" s="72"/>
      <c r="DDR19" s="72"/>
      <c r="DDS19" s="72"/>
      <c r="DDT19" s="72"/>
      <c r="DDU19" s="72"/>
      <c r="DDV19" s="72"/>
      <c r="DDW19" s="72"/>
      <c r="DDX19" s="72"/>
      <c r="DDY19" s="72"/>
      <c r="DDZ19" s="72"/>
      <c r="DEA19" s="72"/>
      <c r="DEB19" s="72"/>
      <c r="DEC19" s="72"/>
      <c r="DED19" s="72"/>
      <c r="DEE19" s="72"/>
      <c r="DEF19" s="72"/>
      <c r="DEG19" s="72"/>
      <c r="DEH19" s="72"/>
      <c r="DEI19" s="72"/>
      <c r="DEJ19" s="72"/>
      <c r="DEK19" s="72"/>
      <c r="DEL19" s="72"/>
      <c r="DEM19" s="72"/>
      <c r="DEN19" s="72"/>
      <c r="DEO19" s="72"/>
      <c r="DEP19" s="72"/>
      <c r="DEQ19" s="72"/>
      <c r="DER19" s="72"/>
      <c r="DES19" s="72"/>
      <c r="DET19" s="72"/>
      <c r="DEU19" s="72"/>
      <c r="DEV19" s="72"/>
      <c r="DEW19" s="72"/>
      <c r="DEX19" s="72"/>
      <c r="DEY19" s="72"/>
      <c r="DEZ19" s="72"/>
      <c r="DFA19" s="72"/>
      <c r="DFB19" s="72"/>
      <c r="DFC19" s="72"/>
      <c r="DFD19" s="72"/>
      <c r="DFE19" s="72"/>
      <c r="DFF19" s="72"/>
      <c r="DFG19" s="72"/>
      <c r="DFH19" s="72"/>
      <c r="DFI19" s="72"/>
      <c r="DFJ19" s="72"/>
      <c r="DFK19" s="72"/>
      <c r="DFL19" s="72"/>
      <c r="DFM19" s="72"/>
      <c r="DFN19" s="72"/>
      <c r="DFO19" s="72"/>
      <c r="DFP19" s="72"/>
      <c r="DFQ19" s="72"/>
      <c r="DFR19" s="72"/>
      <c r="DFS19" s="72"/>
      <c r="DFT19" s="72"/>
      <c r="DFU19" s="72"/>
      <c r="DFV19" s="72"/>
      <c r="DFW19" s="72"/>
      <c r="DFX19" s="72"/>
      <c r="DFY19" s="72"/>
      <c r="DFZ19" s="72"/>
      <c r="DGA19" s="72"/>
      <c r="DGB19" s="72"/>
      <c r="DGC19" s="72"/>
      <c r="DGD19" s="72"/>
      <c r="DGE19" s="72"/>
      <c r="DGF19" s="72"/>
      <c r="DGG19" s="72"/>
      <c r="DGH19" s="72"/>
      <c r="DGI19" s="72"/>
      <c r="DGJ19" s="72"/>
      <c r="DGK19" s="72"/>
      <c r="DGL19" s="72"/>
      <c r="DGM19" s="72"/>
      <c r="DGN19" s="72"/>
      <c r="DGO19" s="72"/>
      <c r="DGP19" s="72"/>
      <c r="DGQ19" s="72"/>
      <c r="DGR19" s="72"/>
      <c r="DGS19" s="72"/>
      <c r="DGT19" s="72"/>
      <c r="DGU19" s="72"/>
      <c r="DGV19" s="72"/>
      <c r="DGW19" s="72"/>
      <c r="DGX19" s="72"/>
      <c r="DGY19" s="72"/>
      <c r="DGZ19" s="72"/>
      <c r="DHA19" s="72"/>
      <c r="DHB19" s="72"/>
      <c r="DHC19" s="72"/>
      <c r="DHD19" s="72"/>
      <c r="DHE19" s="72"/>
      <c r="DHF19" s="72"/>
      <c r="DHG19" s="72"/>
      <c r="DHH19" s="72"/>
      <c r="DHI19" s="72"/>
      <c r="DHJ19" s="72"/>
      <c r="DHK19" s="72"/>
      <c r="DHL19" s="72"/>
      <c r="DHM19" s="72"/>
      <c r="DHN19" s="72"/>
      <c r="DHO19" s="72"/>
      <c r="DHP19" s="72"/>
      <c r="DHQ19" s="72"/>
      <c r="DHR19" s="72"/>
      <c r="DHS19" s="72"/>
      <c r="DHT19" s="72"/>
      <c r="DHU19" s="72"/>
      <c r="DHV19" s="72"/>
      <c r="DHW19" s="72"/>
      <c r="DHX19" s="72"/>
      <c r="DHY19" s="72"/>
      <c r="DHZ19" s="72"/>
      <c r="DIA19" s="72"/>
      <c r="DIB19" s="72"/>
      <c r="DIC19" s="72"/>
      <c r="DID19" s="72"/>
      <c r="DIE19" s="72"/>
      <c r="DIF19" s="72"/>
      <c r="DIG19" s="72"/>
      <c r="DIH19" s="72"/>
      <c r="DII19" s="72"/>
      <c r="DIJ19" s="72"/>
      <c r="DIK19" s="72"/>
      <c r="DIL19" s="72"/>
      <c r="DIM19" s="72"/>
      <c r="DIN19" s="72"/>
      <c r="DIO19" s="72"/>
      <c r="DIP19" s="72"/>
      <c r="DIQ19" s="72"/>
      <c r="DIR19" s="72"/>
      <c r="DIS19" s="72"/>
      <c r="DIT19" s="72"/>
      <c r="DIU19" s="72"/>
      <c r="DIV19" s="72"/>
      <c r="DIW19" s="72"/>
      <c r="DIX19" s="72"/>
      <c r="DIY19" s="72"/>
      <c r="DIZ19" s="72"/>
      <c r="DJA19" s="72"/>
      <c r="DJB19" s="72"/>
      <c r="DJC19" s="72"/>
      <c r="DJD19" s="72"/>
      <c r="DJE19" s="72"/>
      <c r="DJF19" s="72"/>
      <c r="DJG19" s="72"/>
      <c r="DJH19" s="72"/>
      <c r="DJI19" s="72"/>
      <c r="DJJ19" s="72"/>
      <c r="DJK19" s="72"/>
      <c r="DJL19" s="72"/>
      <c r="DJM19" s="72"/>
      <c r="DJN19" s="72"/>
      <c r="DJO19" s="72"/>
      <c r="DJP19" s="72"/>
      <c r="DJQ19" s="72"/>
      <c r="DJR19" s="72"/>
      <c r="DJS19" s="72"/>
      <c r="DJT19" s="72"/>
      <c r="DJU19" s="72"/>
      <c r="DJV19" s="72"/>
      <c r="DJW19" s="72"/>
      <c r="DJX19" s="72"/>
      <c r="DJY19" s="72"/>
      <c r="DJZ19" s="72"/>
      <c r="DKA19" s="72"/>
      <c r="DKB19" s="72"/>
      <c r="DKC19" s="72"/>
      <c r="DKD19" s="72"/>
      <c r="DKE19" s="72"/>
      <c r="DKF19" s="72"/>
      <c r="DKG19" s="72"/>
      <c r="DKH19" s="72"/>
      <c r="DKI19" s="72"/>
      <c r="DKJ19" s="72"/>
      <c r="DKK19" s="72"/>
      <c r="DKL19" s="72"/>
      <c r="DKM19" s="72"/>
      <c r="DKN19" s="72"/>
      <c r="DKO19" s="72"/>
      <c r="DKP19" s="72"/>
      <c r="DKQ19" s="72"/>
      <c r="DKR19" s="72"/>
      <c r="DKS19" s="72"/>
      <c r="DKT19" s="72"/>
      <c r="DKU19" s="72"/>
      <c r="DKV19" s="72"/>
      <c r="DKW19" s="72"/>
      <c r="DKX19" s="72"/>
      <c r="DKY19" s="72"/>
      <c r="DKZ19" s="72"/>
      <c r="DLA19" s="72"/>
      <c r="DLB19" s="72"/>
      <c r="DLC19" s="72"/>
      <c r="DLD19" s="72"/>
      <c r="DLE19" s="72"/>
      <c r="DLF19" s="72"/>
      <c r="DLG19" s="72"/>
      <c r="DLH19" s="72"/>
      <c r="DLI19" s="72"/>
      <c r="DLJ19" s="72"/>
      <c r="DLK19" s="72"/>
      <c r="DLL19" s="72"/>
      <c r="DLM19" s="72"/>
      <c r="DLN19" s="72"/>
      <c r="DLO19" s="72"/>
      <c r="DLP19" s="72"/>
      <c r="DLQ19" s="72"/>
      <c r="DLR19" s="72"/>
      <c r="DLS19" s="72"/>
      <c r="DLT19" s="72"/>
      <c r="DLU19" s="72"/>
      <c r="DLV19" s="72"/>
      <c r="DLW19" s="72"/>
      <c r="DLX19" s="72"/>
      <c r="DLY19" s="72"/>
      <c r="DLZ19" s="72"/>
      <c r="DMA19" s="72"/>
      <c r="DMB19" s="72"/>
      <c r="DMC19" s="72"/>
      <c r="DMD19" s="72"/>
      <c r="DME19" s="72"/>
      <c r="DMF19" s="72"/>
      <c r="DMG19" s="72"/>
      <c r="DMH19" s="72"/>
      <c r="DMI19" s="72"/>
      <c r="DMJ19" s="72"/>
      <c r="DMK19" s="72"/>
      <c r="DML19" s="72"/>
      <c r="DMM19" s="72"/>
      <c r="DMN19" s="72"/>
      <c r="DMO19" s="72"/>
      <c r="DMP19" s="72"/>
      <c r="DMQ19" s="72"/>
      <c r="DMR19" s="72"/>
      <c r="DMS19" s="72"/>
      <c r="DMT19" s="72"/>
      <c r="DMU19" s="72"/>
      <c r="DMV19" s="72"/>
      <c r="DMW19" s="72"/>
      <c r="DMX19" s="72"/>
      <c r="DMY19" s="72"/>
      <c r="DMZ19" s="72"/>
      <c r="DNA19" s="72"/>
      <c r="DNB19" s="72"/>
      <c r="DNC19" s="72"/>
      <c r="DND19" s="72"/>
      <c r="DNE19" s="72"/>
      <c r="DNF19" s="72"/>
      <c r="DNG19" s="72"/>
      <c r="DNH19" s="72"/>
      <c r="DNI19" s="72"/>
      <c r="DNJ19" s="72"/>
      <c r="DNK19" s="72"/>
      <c r="DNL19" s="72"/>
      <c r="DNM19" s="72"/>
      <c r="DNN19" s="72"/>
      <c r="DNO19" s="72"/>
      <c r="DNP19" s="72"/>
      <c r="DNQ19" s="72"/>
      <c r="DNR19" s="72"/>
      <c r="DNS19" s="72"/>
      <c r="DNT19" s="72"/>
      <c r="DNU19" s="72"/>
      <c r="DNV19" s="72"/>
      <c r="DNW19" s="72"/>
      <c r="DNX19" s="72"/>
      <c r="DNY19" s="72"/>
      <c r="DNZ19" s="72"/>
      <c r="DOA19" s="72"/>
      <c r="DOB19" s="72"/>
      <c r="DOC19" s="72"/>
      <c r="DOD19" s="72"/>
      <c r="DOE19" s="72"/>
      <c r="DOF19" s="72"/>
      <c r="DOG19" s="72"/>
      <c r="DOH19" s="72"/>
      <c r="DOI19" s="72"/>
      <c r="DOJ19" s="72"/>
      <c r="DOK19" s="72"/>
      <c r="DOL19" s="72"/>
      <c r="DOM19" s="72"/>
      <c r="DON19" s="72"/>
      <c r="DOO19" s="72"/>
      <c r="DOP19" s="72"/>
      <c r="DOQ19" s="72"/>
      <c r="DOR19" s="72"/>
      <c r="DOS19" s="72"/>
      <c r="DOT19" s="72"/>
      <c r="DOU19" s="72"/>
      <c r="DOV19" s="72"/>
      <c r="DOW19" s="72"/>
      <c r="DOX19" s="72"/>
      <c r="DOY19" s="72"/>
      <c r="DOZ19" s="72"/>
      <c r="DPA19" s="72"/>
      <c r="DPB19" s="72"/>
      <c r="DPC19" s="72"/>
      <c r="DPD19" s="72"/>
      <c r="DPE19" s="72"/>
      <c r="DPF19" s="72"/>
      <c r="DPG19" s="72"/>
      <c r="DPH19" s="72"/>
      <c r="DPI19" s="72"/>
      <c r="DPJ19" s="72"/>
      <c r="DPK19" s="72"/>
      <c r="DPL19" s="72"/>
      <c r="DPM19" s="72"/>
      <c r="DPN19" s="72"/>
      <c r="DPO19" s="72"/>
      <c r="DPP19" s="72"/>
      <c r="DPQ19" s="72"/>
      <c r="DPR19" s="72"/>
      <c r="DPS19" s="72"/>
      <c r="DPT19" s="72"/>
      <c r="DPU19" s="72"/>
      <c r="DPV19" s="72"/>
      <c r="DPW19" s="72"/>
      <c r="DPX19" s="72"/>
      <c r="DPY19" s="72"/>
      <c r="DPZ19" s="72"/>
      <c r="DQA19" s="72"/>
      <c r="DQB19" s="72"/>
      <c r="DQC19" s="72"/>
      <c r="DQD19" s="72"/>
      <c r="DQE19" s="72"/>
      <c r="DQF19" s="72"/>
      <c r="DQG19" s="72"/>
      <c r="DQH19" s="72"/>
      <c r="DQI19" s="72"/>
      <c r="DQJ19" s="72"/>
      <c r="DQK19" s="72"/>
      <c r="DQL19" s="72"/>
      <c r="DQM19" s="72"/>
      <c r="DQN19" s="72"/>
      <c r="DQO19" s="72"/>
      <c r="DQP19" s="72"/>
      <c r="DQQ19" s="72"/>
      <c r="DQR19" s="72"/>
      <c r="DQS19" s="72"/>
      <c r="DQT19" s="72"/>
      <c r="DQU19" s="72"/>
      <c r="DQV19" s="72"/>
      <c r="DQW19" s="72"/>
      <c r="DQX19" s="72"/>
      <c r="DQY19" s="72"/>
      <c r="DQZ19" s="72"/>
      <c r="DRA19" s="72"/>
      <c r="DRB19" s="72"/>
      <c r="DRC19" s="72"/>
      <c r="DRD19" s="72"/>
      <c r="DRE19" s="72"/>
      <c r="DRF19" s="72"/>
      <c r="DRG19" s="72"/>
      <c r="DRH19" s="72"/>
      <c r="DRI19" s="72"/>
      <c r="DRJ19" s="72"/>
      <c r="DRK19" s="72"/>
      <c r="DRL19" s="72"/>
      <c r="DRM19" s="72"/>
      <c r="DRN19" s="72"/>
      <c r="DRO19" s="72"/>
      <c r="DRP19" s="72"/>
      <c r="DRQ19" s="72"/>
      <c r="DRR19" s="72"/>
      <c r="DRS19" s="72"/>
      <c r="DRT19" s="72"/>
      <c r="DRU19" s="72"/>
      <c r="DRV19" s="72"/>
      <c r="DRW19" s="72"/>
      <c r="DRX19" s="72"/>
      <c r="DRY19" s="72"/>
      <c r="DRZ19" s="72"/>
      <c r="DSA19" s="72"/>
      <c r="DSB19" s="72"/>
      <c r="DSC19" s="72"/>
      <c r="DSD19" s="72"/>
      <c r="DSE19" s="72"/>
      <c r="DSF19" s="72"/>
      <c r="DSG19" s="72"/>
      <c r="DSH19" s="72"/>
      <c r="DSI19" s="72"/>
      <c r="DSJ19" s="72"/>
      <c r="DSK19" s="72"/>
      <c r="DSL19" s="72"/>
      <c r="DSM19" s="72"/>
      <c r="DSN19" s="72"/>
      <c r="DSO19" s="72"/>
      <c r="DSP19" s="72"/>
      <c r="DSQ19" s="72"/>
      <c r="DSR19" s="72"/>
      <c r="DSS19" s="72"/>
      <c r="DST19" s="72"/>
      <c r="DSU19" s="72"/>
      <c r="DSV19" s="72"/>
      <c r="DSW19" s="72"/>
      <c r="DSX19" s="72"/>
      <c r="DSY19" s="72"/>
      <c r="DSZ19" s="72"/>
      <c r="DTA19" s="72"/>
      <c r="DTB19" s="72"/>
      <c r="DTC19" s="72"/>
      <c r="DTD19" s="72"/>
      <c r="DTE19" s="72"/>
      <c r="DTF19" s="72"/>
      <c r="DTG19" s="72"/>
      <c r="DTH19" s="72"/>
      <c r="DTI19" s="72"/>
      <c r="DTJ19" s="72"/>
      <c r="DTK19" s="72"/>
      <c r="DTL19" s="72"/>
      <c r="DTM19" s="72"/>
      <c r="DTN19" s="72"/>
      <c r="DTO19" s="72"/>
      <c r="DTP19" s="72"/>
      <c r="DTQ19" s="72"/>
      <c r="DTR19" s="72"/>
      <c r="DTS19" s="72"/>
      <c r="DTT19" s="72"/>
      <c r="DTU19" s="72"/>
      <c r="DTV19" s="72"/>
      <c r="DTW19" s="72"/>
      <c r="DTX19" s="72"/>
      <c r="DTY19" s="72"/>
      <c r="DTZ19" s="72"/>
      <c r="DUA19" s="72"/>
      <c r="DUB19" s="72"/>
      <c r="DUC19" s="72"/>
      <c r="DUD19" s="72"/>
      <c r="DUE19" s="72"/>
      <c r="DUF19" s="72"/>
      <c r="DUG19" s="72"/>
      <c r="DUH19" s="72"/>
      <c r="DUI19" s="72"/>
      <c r="DUJ19" s="72"/>
      <c r="DUK19" s="72"/>
      <c r="DUL19" s="72"/>
      <c r="DUM19" s="72"/>
      <c r="DUN19" s="72"/>
      <c r="DUO19" s="72"/>
      <c r="DUP19" s="72"/>
      <c r="DUQ19" s="72"/>
      <c r="DUR19" s="72"/>
      <c r="DUS19" s="72"/>
      <c r="DUT19" s="72"/>
      <c r="DUU19" s="72"/>
      <c r="DUV19" s="72"/>
      <c r="DUW19" s="72"/>
      <c r="DUX19" s="72"/>
      <c r="DUY19" s="72"/>
      <c r="DUZ19" s="72"/>
      <c r="DVA19" s="72"/>
      <c r="DVB19" s="72"/>
      <c r="DVC19" s="72"/>
      <c r="DVD19" s="72"/>
      <c r="DVE19" s="72"/>
      <c r="DVF19" s="72"/>
      <c r="DVG19" s="72"/>
      <c r="DVH19" s="72"/>
      <c r="DVI19" s="72"/>
      <c r="DVJ19" s="72"/>
      <c r="DVK19" s="72"/>
      <c r="DVL19" s="72"/>
      <c r="DVM19" s="72"/>
      <c r="DVN19" s="72"/>
      <c r="DVO19" s="72"/>
      <c r="DVP19" s="72"/>
      <c r="DVQ19" s="72"/>
      <c r="DVR19" s="72"/>
      <c r="DVS19" s="72"/>
      <c r="DVT19" s="72"/>
      <c r="DVU19" s="72"/>
      <c r="DVV19" s="72"/>
      <c r="DVW19" s="72"/>
      <c r="DVX19" s="72"/>
      <c r="DVY19" s="72"/>
      <c r="DVZ19" s="72"/>
      <c r="DWA19" s="72"/>
      <c r="DWB19" s="72"/>
      <c r="DWC19" s="72"/>
      <c r="DWD19" s="72"/>
      <c r="DWE19" s="72"/>
      <c r="DWF19" s="72"/>
      <c r="DWG19" s="72"/>
      <c r="DWH19" s="72"/>
      <c r="DWI19" s="72"/>
      <c r="DWJ19" s="72"/>
      <c r="DWK19" s="72"/>
      <c r="DWL19" s="72"/>
      <c r="DWM19" s="72"/>
      <c r="DWN19" s="72"/>
      <c r="DWO19" s="72"/>
      <c r="DWP19" s="72"/>
      <c r="DWQ19" s="72"/>
      <c r="DWR19" s="72"/>
      <c r="DWS19" s="72"/>
      <c r="DWT19" s="72"/>
      <c r="DWU19" s="72"/>
      <c r="DWV19" s="72"/>
      <c r="DWW19" s="72"/>
      <c r="DWX19" s="72"/>
      <c r="DWY19" s="72"/>
      <c r="DWZ19" s="72"/>
      <c r="DXA19" s="72"/>
      <c r="DXB19" s="72"/>
      <c r="DXC19" s="72"/>
      <c r="DXD19" s="72"/>
      <c r="DXE19" s="72"/>
      <c r="DXF19" s="72"/>
      <c r="DXG19" s="72"/>
      <c r="DXH19" s="72"/>
      <c r="DXI19" s="72"/>
      <c r="DXJ19" s="72"/>
      <c r="DXK19" s="72"/>
      <c r="DXL19" s="72"/>
      <c r="DXM19" s="72"/>
      <c r="DXN19" s="72"/>
      <c r="DXO19" s="72"/>
      <c r="DXP19" s="72"/>
      <c r="DXQ19" s="72"/>
      <c r="DXR19" s="72"/>
      <c r="DXS19" s="72"/>
      <c r="DXT19" s="72"/>
      <c r="DXU19" s="72"/>
      <c r="DXV19" s="72"/>
      <c r="DXW19" s="72"/>
      <c r="DXX19" s="72"/>
      <c r="DXY19" s="72"/>
      <c r="DXZ19" s="72"/>
      <c r="DYA19" s="72"/>
      <c r="DYB19" s="72"/>
      <c r="DYC19" s="72"/>
      <c r="DYD19" s="72"/>
      <c r="DYE19" s="72"/>
      <c r="DYF19" s="72"/>
      <c r="DYG19" s="72"/>
      <c r="DYH19" s="72"/>
      <c r="DYI19" s="72"/>
      <c r="DYJ19" s="72"/>
      <c r="DYK19" s="72"/>
      <c r="DYL19" s="72"/>
      <c r="DYM19" s="72"/>
      <c r="DYN19" s="72"/>
      <c r="DYO19" s="72"/>
      <c r="DYP19" s="72"/>
      <c r="DYQ19" s="72"/>
      <c r="DYR19" s="72"/>
      <c r="DYS19" s="72"/>
      <c r="DYT19" s="72"/>
      <c r="DYU19" s="72"/>
      <c r="DYV19" s="72"/>
      <c r="DYW19" s="72"/>
      <c r="DYX19" s="72"/>
      <c r="DYY19" s="72"/>
      <c r="DYZ19" s="72"/>
      <c r="DZA19" s="72"/>
      <c r="DZB19" s="72"/>
      <c r="DZC19" s="72"/>
      <c r="DZD19" s="72"/>
      <c r="DZE19" s="72"/>
      <c r="DZF19" s="72"/>
      <c r="DZG19" s="72"/>
      <c r="DZH19" s="72"/>
      <c r="DZI19" s="72"/>
      <c r="DZJ19" s="72"/>
      <c r="DZK19" s="72"/>
      <c r="DZL19" s="72"/>
      <c r="DZM19" s="72"/>
      <c r="DZN19" s="72"/>
      <c r="DZO19" s="72"/>
      <c r="DZP19" s="72"/>
      <c r="DZQ19" s="72"/>
      <c r="DZR19" s="72"/>
      <c r="DZS19" s="72"/>
      <c r="DZT19" s="72"/>
      <c r="DZU19" s="72"/>
      <c r="DZV19" s="72"/>
      <c r="DZW19" s="72"/>
      <c r="DZX19" s="72"/>
      <c r="DZY19" s="72"/>
      <c r="DZZ19" s="72"/>
      <c r="EAA19" s="72"/>
      <c r="EAB19" s="72"/>
      <c r="EAC19" s="72"/>
      <c r="EAD19" s="72"/>
      <c r="EAE19" s="72"/>
      <c r="EAF19" s="72"/>
      <c r="EAG19" s="72"/>
      <c r="EAH19" s="72"/>
      <c r="EAI19" s="72"/>
      <c r="EAJ19" s="72"/>
      <c r="EAK19" s="72"/>
      <c r="EAL19" s="72"/>
      <c r="EAM19" s="72"/>
      <c r="EAN19" s="72"/>
      <c r="EAO19" s="72"/>
      <c r="EAP19" s="72"/>
      <c r="EAQ19" s="72"/>
      <c r="EAR19" s="72"/>
      <c r="EAS19" s="72"/>
      <c r="EAT19" s="72"/>
      <c r="EAU19" s="72"/>
      <c r="EAV19" s="72"/>
      <c r="EAW19" s="72"/>
      <c r="EAX19" s="72"/>
      <c r="EAY19" s="72"/>
      <c r="EAZ19" s="72"/>
      <c r="EBA19" s="72"/>
      <c r="EBB19" s="72"/>
      <c r="EBC19" s="72"/>
      <c r="EBD19" s="72"/>
      <c r="EBE19" s="72"/>
      <c r="EBF19" s="72"/>
      <c r="EBG19" s="72"/>
      <c r="EBH19" s="72"/>
      <c r="EBI19" s="72"/>
      <c r="EBJ19" s="72"/>
      <c r="EBK19" s="72"/>
      <c r="EBL19" s="72"/>
      <c r="EBM19" s="72"/>
      <c r="EBN19" s="72"/>
      <c r="EBO19" s="72"/>
      <c r="EBP19" s="72"/>
      <c r="EBQ19" s="72"/>
      <c r="EBR19" s="72"/>
      <c r="EBS19" s="72"/>
      <c r="EBT19" s="72"/>
      <c r="EBU19" s="72"/>
      <c r="EBV19" s="72"/>
      <c r="EBW19" s="72"/>
      <c r="EBX19" s="72"/>
      <c r="EBY19" s="72"/>
      <c r="EBZ19" s="72"/>
      <c r="ECA19" s="72"/>
      <c r="ECB19" s="72"/>
      <c r="ECC19" s="72"/>
      <c r="ECD19" s="72"/>
      <c r="ECE19" s="72"/>
      <c r="ECF19" s="72"/>
      <c r="ECG19" s="72"/>
      <c r="ECH19" s="72"/>
      <c r="ECI19" s="72"/>
      <c r="ECJ19" s="72"/>
      <c r="ECK19" s="72"/>
      <c r="ECL19" s="72"/>
      <c r="ECM19" s="72"/>
      <c r="ECN19" s="72"/>
      <c r="ECO19" s="72"/>
      <c r="ECP19" s="72"/>
      <c r="ECQ19" s="72"/>
      <c r="ECR19" s="72"/>
      <c r="ECS19" s="72"/>
      <c r="ECT19" s="72"/>
      <c r="ECU19" s="72"/>
      <c r="ECV19" s="72"/>
      <c r="ECW19" s="72"/>
      <c r="ECX19" s="72"/>
      <c r="ECY19" s="72"/>
      <c r="ECZ19" s="72"/>
      <c r="EDA19" s="72"/>
      <c r="EDB19" s="72"/>
      <c r="EDC19" s="72"/>
      <c r="EDD19" s="72"/>
      <c r="EDE19" s="72"/>
      <c r="EDF19" s="72"/>
      <c r="EDG19" s="72"/>
      <c r="EDH19" s="72"/>
      <c r="EDI19" s="72"/>
      <c r="EDJ19" s="72"/>
      <c r="EDK19" s="72"/>
      <c r="EDL19" s="72"/>
      <c r="EDM19" s="72"/>
      <c r="EDN19" s="72"/>
      <c r="EDO19" s="72"/>
      <c r="EDP19" s="72"/>
      <c r="EDQ19" s="72"/>
      <c r="EDR19" s="72"/>
      <c r="EDS19" s="72"/>
      <c r="EDT19" s="72"/>
      <c r="EDU19" s="72"/>
      <c r="EDV19" s="72"/>
      <c r="EDW19" s="72"/>
      <c r="EDX19" s="72"/>
      <c r="EDY19" s="72"/>
      <c r="EDZ19" s="72"/>
      <c r="EEA19" s="72"/>
      <c r="EEB19" s="72"/>
      <c r="EEC19" s="72"/>
      <c r="EED19" s="72"/>
      <c r="EEE19" s="72"/>
      <c r="EEF19" s="72"/>
      <c r="EEG19" s="72"/>
      <c r="EEH19" s="72"/>
      <c r="EEI19" s="72"/>
      <c r="EEJ19" s="72"/>
      <c r="EEK19" s="72"/>
      <c r="EEL19" s="72"/>
      <c r="EEM19" s="72"/>
      <c r="EEN19" s="72"/>
      <c r="EEO19" s="72"/>
      <c r="EEP19" s="72"/>
      <c r="EEQ19" s="72"/>
      <c r="EER19" s="72"/>
      <c r="EES19" s="72"/>
      <c r="EET19" s="72"/>
      <c r="EEU19" s="72"/>
      <c r="EEV19" s="72"/>
      <c r="EEW19" s="72"/>
      <c r="EEX19" s="72"/>
      <c r="EEY19" s="72"/>
      <c r="EEZ19" s="72"/>
      <c r="EFA19" s="72"/>
      <c r="EFB19" s="72"/>
      <c r="EFC19" s="72"/>
      <c r="EFD19" s="72"/>
      <c r="EFE19" s="72"/>
      <c r="EFF19" s="72"/>
      <c r="EFG19" s="72"/>
      <c r="EFH19" s="72"/>
      <c r="EFI19" s="72"/>
      <c r="EFJ19" s="72"/>
      <c r="EFK19" s="72"/>
      <c r="EFL19" s="72"/>
      <c r="EFM19" s="72"/>
      <c r="EFN19" s="72"/>
      <c r="EFO19" s="72"/>
      <c r="EFP19" s="72"/>
      <c r="EFQ19" s="72"/>
      <c r="EFR19" s="72"/>
      <c r="EFS19" s="72"/>
      <c r="EFT19" s="72"/>
      <c r="EFU19" s="72"/>
      <c r="EFV19" s="72"/>
      <c r="EFW19" s="72"/>
      <c r="EFX19" s="72"/>
      <c r="EFY19" s="72"/>
      <c r="EFZ19" s="72"/>
      <c r="EGA19" s="72"/>
      <c r="EGB19" s="72"/>
      <c r="EGC19" s="72"/>
      <c r="EGD19" s="72"/>
      <c r="EGE19" s="72"/>
      <c r="EGF19" s="72"/>
      <c r="EGG19" s="72"/>
      <c r="EGH19" s="72"/>
      <c r="EGI19" s="72"/>
      <c r="EGJ19" s="72"/>
      <c r="EGK19" s="72"/>
      <c r="EGL19" s="72"/>
      <c r="EGM19" s="72"/>
      <c r="EGN19" s="72"/>
      <c r="EGO19" s="72"/>
      <c r="EGP19" s="72"/>
      <c r="EGQ19" s="72"/>
      <c r="EGR19" s="72"/>
      <c r="EGS19" s="72"/>
      <c r="EGT19" s="72"/>
      <c r="EGU19" s="72"/>
      <c r="EGV19" s="72"/>
      <c r="EGW19" s="72"/>
      <c r="EGX19" s="72"/>
      <c r="EGY19" s="72"/>
      <c r="EGZ19" s="72"/>
      <c r="EHA19" s="72"/>
      <c r="EHB19" s="72"/>
      <c r="EHC19" s="72"/>
      <c r="EHD19" s="72"/>
      <c r="EHE19" s="72"/>
      <c r="EHF19" s="72"/>
      <c r="EHG19" s="72"/>
      <c r="EHH19" s="72"/>
      <c r="EHI19" s="72"/>
      <c r="EHJ19" s="72"/>
      <c r="EHK19" s="72"/>
      <c r="EHL19" s="72"/>
      <c r="EHM19" s="72"/>
      <c r="EHN19" s="72"/>
      <c r="EHO19" s="72"/>
      <c r="EHP19" s="72"/>
      <c r="EHQ19" s="72"/>
      <c r="EHR19" s="72"/>
      <c r="EHS19" s="72"/>
      <c r="EHT19" s="72"/>
      <c r="EHU19" s="72"/>
      <c r="EHV19" s="72"/>
      <c r="EHW19" s="72"/>
      <c r="EHX19" s="72"/>
      <c r="EHY19" s="72"/>
      <c r="EHZ19" s="72"/>
      <c r="EIA19" s="72"/>
      <c r="EIB19" s="72"/>
      <c r="EIC19" s="72"/>
      <c r="EID19" s="72"/>
      <c r="EIE19" s="72"/>
      <c r="EIF19" s="72"/>
      <c r="EIG19" s="72"/>
      <c r="EIH19" s="72"/>
      <c r="EII19" s="72"/>
      <c r="EIJ19" s="72"/>
      <c r="EIK19" s="72"/>
      <c r="EIL19" s="72"/>
      <c r="EIM19" s="72"/>
      <c r="EIN19" s="72"/>
      <c r="EIO19" s="72"/>
      <c r="EIP19" s="72"/>
      <c r="EIQ19" s="72"/>
      <c r="EIR19" s="72"/>
      <c r="EIS19" s="72"/>
      <c r="EIT19" s="72"/>
      <c r="EIU19" s="72"/>
      <c r="EIV19" s="72"/>
      <c r="EIW19" s="72"/>
      <c r="EIX19" s="72"/>
      <c r="EIY19" s="72"/>
      <c r="EIZ19" s="72"/>
      <c r="EJA19" s="72"/>
      <c r="EJB19" s="72"/>
      <c r="EJC19" s="72"/>
      <c r="EJD19" s="72"/>
      <c r="EJE19" s="72"/>
      <c r="EJF19" s="72"/>
      <c r="EJG19" s="72"/>
      <c r="EJH19" s="72"/>
      <c r="EJI19" s="72"/>
      <c r="EJJ19" s="72"/>
      <c r="EJK19" s="72"/>
      <c r="EJL19" s="72"/>
      <c r="EJM19" s="72"/>
      <c r="EJN19" s="72"/>
      <c r="EJO19" s="72"/>
      <c r="EJP19" s="72"/>
      <c r="EJQ19" s="72"/>
      <c r="EJR19" s="72"/>
      <c r="EJS19" s="72"/>
      <c r="EJT19" s="72"/>
      <c r="EJU19" s="72"/>
      <c r="EJV19" s="72"/>
      <c r="EJW19" s="72"/>
      <c r="EJX19" s="72"/>
      <c r="EJY19" s="72"/>
      <c r="EJZ19" s="72"/>
      <c r="EKA19" s="72"/>
      <c r="EKB19" s="72"/>
      <c r="EKC19" s="72"/>
      <c r="EKD19" s="72"/>
      <c r="EKE19" s="72"/>
      <c r="EKF19" s="72"/>
      <c r="EKG19" s="72"/>
      <c r="EKH19" s="72"/>
      <c r="EKI19" s="72"/>
      <c r="EKJ19" s="72"/>
      <c r="EKK19" s="72"/>
      <c r="EKL19" s="72"/>
      <c r="EKM19" s="72"/>
      <c r="EKN19" s="72"/>
      <c r="EKO19" s="72"/>
      <c r="EKP19" s="72"/>
      <c r="EKQ19" s="72"/>
      <c r="EKR19" s="72"/>
      <c r="EKS19" s="72"/>
      <c r="EKT19" s="72"/>
      <c r="EKU19" s="72"/>
      <c r="EKV19" s="72"/>
      <c r="EKW19" s="72"/>
      <c r="EKX19" s="72"/>
      <c r="EKY19" s="72"/>
      <c r="EKZ19" s="72"/>
      <c r="ELA19" s="72"/>
      <c r="ELB19" s="72"/>
      <c r="ELC19" s="72"/>
      <c r="ELD19" s="72"/>
      <c r="ELE19" s="72"/>
      <c r="ELF19" s="72"/>
      <c r="ELG19" s="72"/>
      <c r="ELH19" s="72"/>
      <c r="ELI19" s="72"/>
      <c r="ELJ19" s="72"/>
      <c r="ELK19" s="72"/>
      <c r="ELL19" s="72"/>
      <c r="ELM19" s="72"/>
      <c r="ELN19" s="72"/>
      <c r="ELO19" s="72"/>
      <c r="ELP19" s="72"/>
      <c r="ELQ19" s="72"/>
      <c r="ELR19" s="72"/>
      <c r="ELS19" s="72"/>
      <c r="ELT19" s="72"/>
      <c r="ELU19" s="72"/>
      <c r="ELV19" s="72"/>
      <c r="ELW19" s="72"/>
      <c r="ELX19" s="72"/>
      <c r="ELY19" s="72"/>
      <c r="ELZ19" s="72"/>
      <c r="EMA19" s="72"/>
      <c r="EMB19" s="72"/>
      <c r="EMC19" s="72"/>
      <c r="EMD19" s="72"/>
      <c r="EME19" s="72"/>
      <c r="EMF19" s="72"/>
      <c r="EMG19" s="72"/>
      <c r="EMH19" s="72"/>
      <c r="EMI19" s="72"/>
      <c r="EMJ19" s="72"/>
      <c r="EMK19" s="72"/>
      <c r="EML19" s="72"/>
      <c r="EMM19" s="72"/>
      <c r="EMN19" s="72"/>
      <c r="EMO19" s="72"/>
      <c r="EMP19" s="72"/>
      <c r="EMQ19" s="72"/>
      <c r="EMR19" s="72"/>
      <c r="EMS19" s="72"/>
      <c r="EMT19" s="72"/>
      <c r="EMU19" s="72"/>
      <c r="EMV19" s="72"/>
      <c r="EMW19" s="72"/>
      <c r="EMX19" s="72"/>
      <c r="EMY19" s="72"/>
      <c r="EMZ19" s="72"/>
      <c r="ENA19" s="72"/>
      <c r="ENB19" s="72"/>
      <c r="ENC19" s="72"/>
      <c r="END19" s="72"/>
      <c r="ENE19" s="72"/>
      <c r="ENF19" s="72"/>
      <c r="ENG19" s="72"/>
      <c r="ENH19" s="72"/>
      <c r="ENI19" s="72"/>
      <c r="ENJ19" s="72"/>
      <c r="ENK19" s="72"/>
      <c r="ENL19" s="72"/>
      <c r="ENM19" s="72"/>
      <c r="ENN19" s="72"/>
      <c r="ENO19" s="72"/>
      <c r="ENP19" s="72"/>
      <c r="ENQ19" s="72"/>
      <c r="ENR19" s="72"/>
      <c r="ENS19" s="72"/>
      <c r="ENT19" s="72"/>
      <c r="ENU19" s="72"/>
      <c r="ENV19" s="72"/>
      <c r="ENW19" s="72"/>
      <c r="ENX19" s="72"/>
      <c r="ENY19" s="72"/>
      <c r="ENZ19" s="72"/>
      <c r="EOA19" s="72"/>
      <c r="EOB19" s="72"/>
      <c r="EOC19" s="72"/>
      <c r="EOD19" s="72"/>
      <c r="EOE19" s="72"/>
      <c r="EOF19" s="72"/>
      <c r="EOG19" s="72"/>
      <c r="EOH19" s="72"/>
      <c r="EOI19" s="72"/>
      <c r="EOJ19" s="72"/>
      <c r="EOK19" s="72"/>
      <c r="EOL19" s="72"/>
      <c r="EOM19" s="72"/>
      <c r="EON19" s="72"/>
      <c r="EOO19" s="72"/>
      <c r="EOP19" s="72"/>
      <c r="EOQ19" s="72"/>
      <c r="EOR19" s="72"/>
      <c r="EOS19" s="72"/>
      <c r="EOT19" s="72"/>
      <c r="EOU19" s="72"/>
      <c r="EOV19" s="72"/>
      <c r="EOW19" s="72"/>
      <c r="EOX19" s="72"/>
      <c r="EOY19" s="72"/>
      <c r="EOZ19" s="72"/>
      <c r="EPA19" s="72"/>
      <c r="EPB19" s="72"/>
      <c r="EPC19" s="72"/>
      <c r="EPD19" s="72"/>
      <c r="EPE19" s="72"/>
      <c r="EPF19" s="72"/>
      <c r="EPG19" s="72"/>
      <c r="EPH19" s="72"/>
      <c r="EPI19" s="72"/>
      <c r="EPJ19" s="72"/>
      <c r="EPK19" s="72"/>
      <c r="EPL19" s="72"/>
      <c r="EPM19" s="72"/>
      <c r="EPN19" s="72"/>
      <c r="EPO19" s="72"/>
      <c r="EPP19" s="72"/>
      <c r="EPQ19" s="72"/>
      <c r="EPR19" s="72"/>
      <c r="EPS19" s="72"/>
      <c r="EPT19" s="72"/>
      <c r="EPU19" s="72"/>
      <c r="EPV19" s="72"/>
      <c r="EPW19" s="72"/>
      <c r="EPX19" s="72"/>
      <c r="EPY19" s="72"/>
      <c r="EPZ19" s="72"/>
      <c r="EQA19" s="72"/>
      <c r="EQB19" s="72"/>
      <c r="EQC19" s="72"/>
      <c r="EQD19" s="72"/>
      <c r="EQE19" s="72"/>
      <c r="EQF19" s="72"/>
      <c r="EQG19" s="72"/>
      <c r="EQH19" s="72"/>
      <c r="EQI19" s="72"/>
      <c r="EQJ19" s="72"/>
      <c r="EQK19" s="72"/>
      <c r="EQL19" s="72"/>
      <c r="EQM19" s="72"/>
      <c r="EQN19" s="72"/>
      <c r="EQO19" s="72"/>
      <c r="EQP19" s="72"/>
      <c r="EQQ19" s="72"/>
      <c r="EQR19" s="72"/>
      <c r="EQS19" s="72"/>
      <c r="EQT19" s="72"/>
      <c r="EQU19" s="72"/>
      <c r="EQV19" s="72"/>
      <c r="EQW19" s="72"/>
      <c r="EQX19" s="72"/>
      <c r="EQY19" s="72"/>
      <c r="EQZ19" s="72"/>
      <c r="ERA19" s="72"/>
      <c r="ERB19" s="72"/>
      <c r="ERC19" s="72"/>
      <c r="ERD19" s="72"/>
      <c r="ERE19" s="72"/>
      <c r="ERF19" s="72"/>
      <c r="ERG19" s="72"/>
      <c r="ERH19" s="72"/>
      <c r="ERI19" s="72"/>
      <c r="ERJ19" s="72"/>
      <c r="ERK19" s="72"/>
      <c r="ERL19" s="72"/>
      <c r="ERM19" s="72"/>
      <c r="ERN19" s="72"/>
      <c r="ERO19" s="72"/>
      <c r="ERP19" s="72"/>
      <c r="ERQ19" s="72"/>
      <c r="ERR19" s="72"/>
      <c r="ERS19" s="72"/>
      <c r="ERT19" s="72"/>
      <c r="ERU19" s="72"/>
      <c r="ERV19" s="72"/>
      <c r="ERW19" s="72"/>
      <c r="ERX19" s="72"/>
      <c r="ERY19" s="72"/>
      <c r="ERZ19" s="72"/>
      <c r="ESA19" s="72"/>
      <c r="ESB19" s="72"/>
      <c r="ESC19" s="72"/>
      <c r="ESD19" s="72"/>
      <c r="ESE19" s="72"/>
      <c r="ESF19" s="72"/>
      <c r="ESG19" s="72"/>
      <c r="ESH19" s="72"/>
      <c r="ESI19" s="72"/>
      <c r="ESJ19" s="72"/>
      <c r="ESK19" s="72"/>
      <c r="ESL19" s="72"/>
      <c r="ESM19" s="72"/>
      <c r="ESN19" s="72"/>
      <c r="ESO19" s="72"/>
      <c r="ESP19" s="72"/>
      <c r="ESQ19" s="72"/>
      <c r="ESR19" s="72"/>
      <c r="ESS19" s="72"/>
      <c r="EST19" s="72"/>
      <c r="ESU19" s="72"/>
      <c r="ESV19" s="72"/>
      <c r="ESW19" s="72"/>
      <c r="ESX19" s="72"/>
      <c r="ESY19" s="72"/>
      <c r="ESZ19" s="72"/>
      <c r="ETA19" s="72"/>
      <c r="ETB19" s="72"/>
      <c r="ETC19" s="72"/>
      <c r="ETD19" s="72"/>
      <c r="ETE19" s="72"/>
      <c r="ETF19" s="72"/>
      <c r="ETG19" s="72"/>
      <c r="ETH19" s="72"/>
      <c r="ETI19" s="72"/>
      <c r="ETJ19" s="72"/>
      <c r="ETK19" s="72"/>
      <c r="ETL19" s="72"/>
      <c r="ETM19" s="72"/>
      <c r="ETN19" s="72"/>
      <c r="ETO19" s="72"/>
      <c r="ETP19" s="72"/>
      <c r="ETQ19" s="72"/>
      <c r="ETR19" s="72"/>
      <c r="ETS19" s="72"/>
      <c r="ETT19" s="72"/>
      <c r="ETU19" s="72"/>
      <c r="ETV19" s="72"/>
      <c r="ETW19" s="72"/>
      <c r="ETX19" s="72"/>
      <c r="ETY19" s="72"/>
      <c r="ETZ19" s="72"/>
      <c r="EUA19" s="72"/>
      <c r="EUB19" s="72"/>
      <c r="EUC19" s="72"/>
      <c r="EUD19" s="72"/>
      <c r="EUE19" s="72"/>
      <c r="EUF19" s="72"/>
      <c r="EUG19" s="72"/>
      <c r="EUH19" s="72"/>
      <c r="EUI19" s="72"/>
      <c r="EUJ19" s="72"/>
      <c r="EUK19" s="72"/>
      <c r="EUL19" s="72"/>
      <c r="EUM19" s="72"/>
      <c r="EUN19" s="72"/>
      <c r="EUO19" s="72"/>
      <c r="EUP19" s="72"/>
      <c r="EUQ19" s="72"/>
      <c r="EUR19" s="72"/>
      <c r="EUS19" s="72"/>
      <c r="EUT19" s="72"/>
      <c r="EUU19" s="72"/>
      <c r="EUV19" s="72"/>
      <c r="EUW19" s="72"/>
      <c r="EUX19" s="72"/>
      <c r="EUY19" s="72"/>
      <c r="EUZ19" s="72"/>
      <c r="EVA19" s="72"/>
      <c r="EVB19" s="72"/>
      <c r="EVC19" s="72"/>
      <c r="EVD19" s="72"/>
      <c r="EVE19" s="72"/>
      <c r="EVF19" s="72"/>
      <c r="EVG19" s="72"/>
      <c r="EVH19" s="72"/>
      <c r="EVI19" s="72"/>
      <c r="EVJ19" s="72"/>
      <c r="EVK19" s="72"/>
      <c r="EVL19" s="72"/>
      <c r="EVM19" s="72"/>
      <c r="EVN19" s="72"/>
      <c r="EVO19" s="72"/>
      <c r="EVP19" s="72"/>
      <c r="EVQ19" s="72"/>
      <c r="EVR19" s="72"/>
      <c r="EVS19" s="72"/>
      <c r="EVT19" s="72"/>
      <c r="EVU19" s="72"/>
      <c r="EVV19" s="72"/>
      <c r="EVW19" s="72"/>
      <c r="EVX19" s="72"/>
      <c r="EVY19" s="72"/>
      <c r="EVZ19" s="72"/>
      <c r="EWA19" s="72"/>
      <c r="EWB19" s="72"/>
      <c r="EWC19" s="72"/>
      <c r="EWD19" s="72"/>
      <c r="EWE19" s="72"/>
      <c r="EWF19" s="72"/>
      <c r="EWG19" s="72"/>
      <c r="EWH19" s="72"/>
      <c r="EWI19" s="72"/>
      <c r="EWJ19" s="72"/>
      <c r="EWK19" s="72"/>
      <c r="EWL19" s="72"/>
      <c r="EWM19" s="72"/>
      <c r="EWN19" s="72"/>
      <c r="EWO19" s="72"/>
      <c r="EWP19" s="72"/>
      <c r="EWQ19" s="72"/>
      <c r="EWR19" s="72"/>
      <c r="EWS19" s="72"/>
      <c r="EWT19" s="72"/>
      <c r="EWU19" s="72"/>
      <c r="EWV19" s="72"/>
      <c r="EWW19" s="72"/>
      <c r="EWX19" s="72"/>
      <c r="EWY19" s="72"/>
      <c r="EWZ19" s="72"/>
      <c r="EXA19" s="72"/>
      <c r="EXB19" s="72"/>
      <c r="EXC19" s="72"/>
      <c r="EXD19" s="72"/>
      <c r="EXE19" s="72"/>
      <c r="EXF19" s="72"/>
      <c r="EXG19" s="72"/>
      <c r="EXH19" s="72"/>
      <c r="EXI19" s="72"/>
      <c r="EXJ19" s="72"/>
      <c r="EXK19" s="72"/>
      <c r="EXL19" s="72"/>
      <c r="EXM19" s="72"/>
      <c r="EXN19" s="72"/>
      <c r="EXO19" s="72"/>
      <c r="EXP19" s="72"/>
      <c r="EXQ19" s="72"/>
      <c r="EXR19" s="72"/>
      <c r="EXS19" s="72"/>
      <c r="EXT19" s="72"/>
      <c r="EXU19" s="72"/>
      <c r="EXV19" s="72"/>
      <c r="EXW19" s="72"/>
      <c r="EXX19" s="72"/>
      <c r="EXY19" s="72"/>
      <c r="EXZ19" s="72"/>
      <c r="EYA19" s="72"/>
      <c r="EYB19" s="72"/>
      <c r="EYC19" s="72"/>
      <c r="EYD19" s="72"/>
      <c r="EYE19" s="72"/>
      <c r="EYF19" s="72"/>
      <c r="EYG19" s="72"/>
      <c r="EYH19" s="72"/>
      <c r="EYI19" s="72"/>
      <c r="EYJ19" s="72"/>
      <c r="EYK19" s="72"/>
      <c r="EYL19" s="72"/>
      <c r="EYM19" s="72"/>
      <c r="EYN19" s="72"/>
      <c r="EYO19" s="72"/>
      <c r="EYP19" s="72"/>
      <c r="EYQ19" s="72"/>
      <c r="EYR19" s="72"/>
      <c r="EYS19" s="72"/>
      <c r="EYT19" s="72"/>
      <c r="EYU19" s="72"/>
      <c r="EYV19" s="72"/>
      <c r="EYW19" s="72"/>
      <c r="EYX19" s="72"/>
      <c r="EYY19" s="72"/>
      <c r="EYZ19" s="72"/>
      <c r="EZA19" s="72"/>
      <c r="EZB19" s="72"/>
      <c r="EZC19" s="72"/>
      <c r="EZD19" s="72"/>
      <c r="EZE19" s="72"/>
      <c r="EZF19" s="72"/>
      <c r="EZG19" s="72"/>
      <c r="EZH19" s="72"/>
      <c r="EZI19" s="72"/>
      <c r="EZJ19" s="72"/>
      <c r="EZK19" s="72"/>
      <c r="EZL19" s="72"/>
      <c r="EZM19" s="72"/>
      <c r="EZN19" s="72"/>
      <c r="EZO19" s="72"/>
      <c r="EZP19" s="72"/>
      <c r="EZQ19" s="72"/>
      <c r="EZR19" s="72"/>
      <c r="EZS19" s="72"/>
      <c r="EZT19" s="72"/>
      <c r="EZU19" s="72"/>
      <c r="EZV19" s="72"/>
      <c r="EZW19" s="72"/>
      <c r="EZX19" s="72"/>
      <c r="EZY19" s="72"/>
      <c r="EZZ19" s="72"/>
      <c r="FAA19" s="72"/>
      <c r="FAB19" s="72"/>
      <c r="FAC19" s="72"/>
      <c r="FAD19" s="72"/>
      <c r="FAE19" s="72"/>
      <c r="FAF19" s="72"/>
      <c r="FAG19" s="72"/>
      <c r="FAH19" s="72"/>
      <c r="FAI19" s="72"/>
      <c r="FAJ19" s="72"/>
      <c r="FAK19" s="72"/>
      <c r="FAL19" s="72"/>
      <c r="FAM19" s="72"/>
      <c r="FAN19" s="72"/>
      <c r="FAO19" s="72"/>
      <c r="FAP19" s="72"/>
      <c r="FAQ19" s="72"/>
      <c r="FAR19" s="72"/>
      <c r="FAS19" s="72"/>
      <c r="FAT19" s="72"/>
      <c r="FAU19" s="72"/>
      <c r="FAV19" s="72"/>
      <c r="FAW19" s="72"/>
      <c r="FAX19" s="72"/>
      <c r="FAY19" s="72"/>
      <c r="FAZ19" s="72"/>
      <c r="FBA19" s="72"/>
      <c r="FBB19" s="72"/>
      <c r="FBC19" s="72"/>
      <c r="FBD19" s="72"/>
      <c r="FBE19" s="72"/>
      <c r="FBF19" s="72"/>
      <c r="FBG19" s="72"/>
      <c r="FBH19" s="72"/>
      <c r="FBI19" s="72"/>
      <c r="FBJ19" s="72"/>
      <c r="FBK19" s="72"/>
      <c r="FBL19" s="72"/>
      <c r="FBM19" s="72"/>
      <c r="FBN19" s="72"/>
      <c r="FBO19" s="72"/>
      <c r="FBP19" s="72"/>
      <c r="FBQ19" s="72"/>
      <c r="FBR19" s="72"/>
      <c r="FBS19" s="72"/>
      <c r="FBT19" s="72"/>
      <c r="FBU19" s="72"/>
      <c r="FBV19" s="72"/>
      <c r="FBW19" s="72"/>
      <c r="FBX19" s="72"/>
      <c r="FBY19" s="72"/>
      <c r="FBZ19" s="72"/>
      <c r="FCA19" s="72"/>
      <c r="FCB19" s="72"/>
      <c r="FCC19" s="72"/>
      <c r="FCD19" s="72"/>
      <c r="FCE19" s="72"/>
      <c r="FCF19" s="72"/>
      <c r="FCG19" s="72"/>
      <c r="FCH19" s="72"/>
      <c r="FCI19" s="72"/>
      <c r="FCJ19" s="72"/>
      <c r="FCK19" s="72"/>
      <c r="FCL19" s="72"/>
      <c r="FCM19" s="72"/>
      <c r="FCN19" s="72"/>
      <c r="FCO19" s="72"/>
      <c r="FCP19" s="72"/>
      <c r="FCQ19" s="72"/>
      <c r="FCR19" s="72"/>
      <c r="FCS19" s="72"/>
      <c r="FCT19" s="72"/>
      <c r="FCU19" s="72"/>
      <c r="FCV19" s="72"/>
      <c r="FCW19" s="72"/>
      <c r="FCX19" s="72"/>
      <c r="FCY19" s="72"/>
      <c r="FCZ19" s="72"/>
      <c r="FDA19" s="72"/>
      <c r="FDB19" s="72"/>
      <c r="FDC19" s="72"/>
      <c r="FDD19" s="72"/>
      <c r="FDE19" s="72"/>
      <c r="FDF19" s="72"/>
      <c r="FDG19" s="72"/>
      <c r="FDH19" s="72"/>
      <c r="FDI19" s="72"/>
      <c r="FDJ19" s="72"/>
      <c r="FDK19" s="72"/>
      <c r="FDL19" s="72"/>
      <c r="FDM19" s="72"/>
      <c r="FDN19" s="72"/>
      <c r="FDO19" s="72"/>
      <c r="FDP19" s="72"/>
      <c r="FDQ19" s="72"/>
      <c r="FDR19" s="72"/>
      <c r="FDS19" s="72"/>
      <c r="FDT19" s="72"/>
      <c r="FDU19" s="72"/>
      <c r="FDV19" s="72"/>
      <c r="FDW19" s="72"/>
      <c r="FDX19" s="72"/>
      <c r="FDY19" s="72"/>
      <c r="FDZ19" s="72"/>
      <c r="FEA19" s="72"/>
      <c r="FEB19" s="72"/>
      <c r="FEC19" s="72"/>
      <c r="FED19" s="72"/>
      <c r="FEE19" s="72"/>
      <c r="FEF19" s="72"/>
      <c r="FEG19" s="72"/>
      <c r="FEH19" s="72"/>
      <c r="FEI19" s="72"/>
      <c r="FEJ19" s="72"/>
      <c r="FEK19" s="72"/>
      <c r="FEL19" s="72"/>
      <c r="FEM19" s="72"/>
      <c r="FEN19" s="72"/>
      <c r="FEO19" s="72"/>
      <c r="FEP19" s="72"/>
      <c r="FEQ19" s="72"/>
      <c r="FER19" s="72"/>
      <c r="FES19" s="72"/>
      <c r="FET19" s="72"/>
      <c r="FEU19" s="72"/>
      <c r="FEV19" s="72"/>
      <c r="FEW19" s="72"/>
      <c r="FEX19" s="72"/>
      <c r="FEY19" s="72"/>
      <c r="FEZ19" s="72"/>
      <c r="FFA19" s="72"/>
      <c r="FFB19" s="72"/>
      <c r="FFC19" s="72"/>
      <c r="FFD19" s="72"/>
      <c r="FFE19" s="72"/>
      <c r="FFF19" s="72"/>
      <c r="FFG19" s="72"/>
      <c r="FFH19" s="72"/>
      <c r="FFI19" s="72"/>
      <c r="FFJ19" s="72"/>
      <c r="FFK19" s="72"/>
      <c r="FFL19" s="72"/>
      <c r="FFM19" s="72"/>
      <c r="FFN19" s="72"/>
      <c r="FFO19" s="72"/>
      <c r="FFP19" s="72"/>
      <c r="FFQ19" s="72"/>
      <c r="FFR19" s="72"/>
      <c r="FFS19" s="72"/>
      <c r="FFT19" s="72"/>
      <c r="FFU19" s="72"/>
      <c r="FFV19" s="72"/>
      <c r="FFW19" s="72"/>
      <c r="FFX19" s="72"/>
      <c r="FFY19" s="72"/>
      <c r="FFZ19" s="72"/>
      <c r="FGA19" s="72"/>
      <c r="FGB19" s="72"/>
      <c r="FGC19" s="72"/>
      <c r="FGD19" s="72"/>
      <c r="FGE19" s="72"/>
      <c r="FGF19" s="72"/>
      <c r="FGG19" s="72"/>
      <c r="FGH19" s="72"/>
      <c r="FGI19" s="72"/>
      <c r="FGJ19" s="72"/>
      <c r="FGK19" s="72"/>
      <c r="FGL19" s="72"/>
      <c r="FGM19" s="72"/>
      <c r="FGN19" s="72"/>
      <c r="FGO19" s="72"/>
      <c r="FGP19" s="72"/>
      <c r="FGQ19" s="72"/>
      <c r="FGR19" s="72"/>
      <c r="FGS19" s="72"/>
      <c r="FGT19" s="72"/>
      <c r="FGU19" s="72"/>
      <c r="FGV19" s="72"/>
      <c r="FGW19" s="72"/>
      <c r="FGX19" s="72"/>
      <c r="FGY19" s="72"/>
      <c r="FGZ19" s="72"/>
      <c r="FHA19" s="72"/>
      <c r="FHB19" s="72"/>
      <c r="FHC19" s="72"/>
      <c r="FHD19" s="72"/>
      <c r="FHE19" s="72"/>
      <c r="FHF19" s="72"/>
      <c r="FHG19" s="72"/>
      <c r="FHH19" s="72"/>
      <c r="FHI19" s="72"/>
      <c r="FHJ19" s="72"/>
      <c r="FHK19" s="72"/>
      <c r="FHL19" s="72"/>
      <c r="FHM19" s="72"/>
      <c r="FHN19" s="72"/>
      <c r="FHO19" s="72"/>
      <c r="FHP19" s="72"/>
      <c r="FHQ19" s="72"/>
      <c r="FHR19" s="72"/>
      <c r="FHS19" s="72"/>
      <c r="FHT19" s="72"/>
      <c r="FHU19" s="72"/>
      <c r="FHV19" s="72"/>
      <c r="FHW19" s="72"/>
      <c r="FHX19" s="72"/>
      <c r="FHY19" s="72"/>
      <c r="FHZ19" s="72"/>
      <c r="FIA19" s="72"/>
      <c r="FIB19" s="72"/>
      <c r="FIC19" s="72"/>
      <c r="FID19" s="72"/>
      <c r="FIE19" s="72"/>
      <c r="FIF19" s="72"/>
      <c r="FIG19" s="72"/>
      <c r="FIH19" s="72"/>
      <c r="FII19" s="72"/>
      <c r="FIJ19" s="72"/>
      <c r="FIK19" s="72"/>
      <c r="FIL19" s="72"/>
      <c r="FIM19" s="72"/>
      <c r="FIN19" s="72"/>
      <c r="FIO19" s="72"/>
      <c r="FIP19" s="72"/>
      <c r="FIQ19" s="72"/>
      <c r="FIR19" s="72"/>
      <c r="FIS19" s="72"/>
      <c r="FIT19" s="72"/>
      <c r="FIU19" s="72"/>
      <c r="FIV19" s="72"/>
      <c r="FIW19" s="72"/>
      <c r="FIX19" s="72"/>
      <c r="FIY19" s="72"/>
      <c r="FIZ19" s="72"/>
      <c r="FJA19" s="72"/>
      <c r="FJB19" s="72"/>
      <c r="FJC19" s="72"/>
      <c r="FJD19" s="72"/>
      <c r="FJE19" s="72"/>
      <c r="FJF19" s="72"/>
      <c r="FJG19" s="72"/>
      <c r="FJH19" s="72"/>
      <c r="FJI19" s="72"/>
      <c r="FJJ19" s="72"/>
      <c r="FJK19" s="72"/>
      <c r="FJL19" s="72"/>
      <c r="FJM19" s="72"/>
      <c r="FJN19" s="72"/>
      <c r="FJO19" s="72"/>
      <c r="FJP19" s="72"/>
      <c r="FJQ19" s="72"/>
      <c r="FJR19" s="72"/>
      <c r="FJS19" s="72"/>
      <c r="FJT19" s="72"/>
      <c r="FJU19" s="72"/>
      <c r="FJV19" s="72"/>
      <c r="FJW19" s="72"/>
      <c r="FJX19" s="72"/>
      <c r="FJY19" s="72"/>
      <c r="FJZ19" s="72"/>
      <c r="FKA19" s="72"/>
      <c r="FKB19" s="72"/>
      <c r="FKC19" s="72"/>
      <c r="FKD19" s="72"/>
      <c r="FKE19" s="72"/>
      <c r="FKF19" s="72"/>
      <c r="FKG19" s="72"/>
      <c r="FKH19" s="72"/>
      <c r="FKI19" s="72"/>
      <c r="FKJ19" s="72"/>
      <c r="FKK19" s="72"/>
      <c r="FKL19" s="72"/>
      <c r="FKM19" s="72"/>
      <c r="FKN19" s="72"/>
      <c r="FKO19" s="72"/>
      <c r="FKP19" s="72"/>
      <c r="FKQ19" s="72"/>
      <c r="FKR19" s="72"/>
      <c r="FKS19" s="72"/>
      <c r="FKT19" s="72"/>
      <c r="FKU19" s="72"/>
      <c r="FKV19" s="72"/>
      <c r="FKW19" s="72"/>
      <c r="FKX19" s="72"/>
      <c r="FKY19" s="72"/>
      <c r="FKZ19" s="72"/>
      <c r="FLA19" s="72"/>
      <c r="FLB19" s="72"/>
      <c r="FLC19" s="72"/>
      <c r="FLD19" s="72"/>
      <c r="FLE19" s="72"/>
      <c r="FLF19" s="72"/>
      <c r="FLG19" s="72"/>
      <c r="FLH19" s="72"/>
      <c r="FLI19" s="72"/>
      <c r="FLJ19" s="72"/>
      <c r="FLK19" s="72"/>
      <c r="FLL19" s="72"/>
      <c r="FLM19" s="72"/>
      <c r="FLN19" s="72"/>
      <c r="FLO19" s="72"/>
      <c r="FLP19" s="72"/>
      <c r="FLQ19" s="72"/>
      <c r="FLR19" s="72"/>
      <c r="FLS19" s="72"/>
      <c r="FLT19" s="72"/>
      <c r="FLU19" s="72"/>
      <c r="FLV19" s="72"/>
      <c r="FLW19" s="72"/>
      <c r="FLX19" s="72"/>
      <c r="FLY19" s="72"/>
      <c r="FLZ19" s="72"/>
      <c r="FMA19" s="72"/>
      <c r="FMB19" s="72"/>
      <c r="FMC19" s="72"/>
      <c r="FMD19" s="72"/>
      <c r="FME19" s="72"/>
      <c r="FMF19" s="72"/>
      <c r="FMG19" s="72"/>
      <c r="FMH19" s="72"/>
      <c r="FMI19" s="72"/>
      <c r="FMJ19" s="72"/>
      <c r="FMK19" s="72"/>
      <c r="FML19" s="72"/>
      <c r="FMM19" s="72"/>
      <c r="FMN19" s="72"/>
      <c r="FMO19" s="72"/>
      <c r="FMP19" s="72"/>
      <c r="FMQ19" s="72"/>
      <c r="FMR19" s="72"/>
      <c r="FMS19" s="72"/>
      <c r="FMT19" s="72"/>
      <c r="FMU19" s="72"/>
      <c r="FMV19" s="72"/>
      <c r="FMW19" s="72"/>
      <c r="FMX19" s="72"/>
      <c r="FMY19" s="72"/>
      <c r="FMZ19" s="72"/>
      <c r="FNA19" s="72"/>
      <c r="FNB19" s="72"/>
      <c r="FNC19" s="72"/>
      <c r="FND19" s="72"/>
      <c r="FNE19" s="72"/>
      <c r="FNF19" s="72"/>
      <c r="FNG19" s="72"/>
      <c r="FNH19" s="72"/>
      <c r="FNI19" s="72"/>
      <c r="FNJ19" s="72"/>
      <c r="FNK19" s="72"/>
      <c r="FNL19" s="72"/>
      <c r="FNM19" s="72"/>
      <c r="FNN19" s="72"/>
      <c r="FNO19" s="72"/>
      <c r="FNP19" s="72"/>
      <c r="FNQ19" s="72"/>
      <c r="FNR19" s="72"/>
      <c r="FNS19" s="72"/>
      <c r="FNT19" s="72"/>
      <c r="FNU19" s="72"/>
      <c r="FNV19" s="72"/>
      <c r="FNW19" s="72"/>
      <c r="FNX19" s="72"/>
      <c r="FNY19" s="72"/>
      <c r="FNZ19" s="72"/>
      <c r="FOA19" s="72"/>
      <c r="FOB19" s="72"/>
      <c r="FOC19" s="72"/>
      <c r="FOD19" s="72"/>
      <c r="FOE19" s="72"/>
      <c r="FOF19" s="72"/>
      <c r="FOG19" s="72"/>
      <c r="FOH19" s="72"/>
      <c r="FOI19" s="72"/>
      <c r="FOJ19" s="72"/>
      <c r="FOK19" s="72"/>
      <c r="FOL19" s="72"/>
      <c r="FOM19" s="72"/>
      <c r="FON19" s="72"/>
      <c r="FOO19" s="72"/>
      <c r="FOP19" s="72"/>
      <c r="FOQ19" s="72"/>
      <c r="FOR19" s="72"/>
      <c r="FOS19" s="72"/>
      <c r="FOT19" s="72"/>
      <c r="FOU19" s="72"/>
      <c r="FOV19" s="72"/>
      <c r="FOW19" s="72"/>
      <c r="FOX19" s="72"/>
      <c r="FOY19" s="72"/>
      <c r="FOZ19" s="72"/>
      <c r="FPA19" s="72"/>
      <c r="FPB19" s="72"/>
      <c r="FPC19" s="72"/>
      <c r="FPD19" s="72"/>
      <c r="FPE19" s="72"/>
      <c r="FPF19" s="72"/>
      <c r="FPG19" s="72"/>
      <c r="FPH19" s="72"/>
      <c r="FPI19" s="72"/>
      <c r="FPJ19" s="72"/>
      <c r="FPK19" s="72"/>
      <c r="FPL19" s="72"/>
      <c r="FPM19" s="72"/>
      <c r="FPN19" s="72"/>
      <c r="FPO19" s="72"/>
      <c r="FPP19" s="72"/>
      <c r="FPQ19" s="72"/>
      <c r="FPR19" s="72"/>
      <c r="FPS19" s="72"/>
      <c r="FPT19" s="72"/>
      <c r="FPU19" s="72"/>
      <c r="FPV19" s="72"/>
      <c r="FPW19" s="72"/>
      <c r="FPX19" s="72"/>
      <c r="FPY19" s="72"/>
      <c r="FPZ19" s="72"/>
      <c r="FQA19" s="72"/>
      <c r="FQB19" s="72"/>
      <c r="FQC19" s="72"/>
      <c r="FQD19" s="72"/>
      <c r="FQE19" s="72"/>
      <c r="FQF19" s="72"/>
      <c r="FQG19" s="72"/>
      <c r="FQH19" s="72"/>
      <c r="FQI19" s="72"/>
      <c r="FQJ19" s="72"/>
      <c r="FQK19" s="72"/>
      <c r="FQL19" s="72"/>
      <c r="FQM19" s="72"/>
      <c r="FQN19" s="72"/>
      <c r="FQO19" s="72"/>
      <c r="FQP19" s="72"/>
      <c r="FQQ19" s="72"/>
      <c r="FQR19" s="72"/>
      <c r="FQS19" s="72"/>
      <c r="FQT19" s="72"/>
      <c r="FQU19" s="72"/>
      <c r="FQV19" s="72"/>
      <c r="FQW19" s="72"/>
      <c r="FQX19" s="72"/>
      <c r="FQY19" s="72"/>
      <c r="FQZ19" s="72"/>
      <c r="FRA19" s="72"/>
      <c r="FRB19" s="72"/>
      <c r="FRC19" s="72"/>
      <c r="FRD19" s="72"/>
      <c r="FRE19" s="72"/>
      <c r="FRF19" s="72"/>
      <c r="FRG19" s="72"/>
      <c r="FRH19" s="72"/>
      <c r="FRI19" s="72"/>
      <c r="FRJ19" s="72"/>
      <c r="FRK19" s="72"/>
      <c r="FRL19" s="72"/>
      <c r="FRM19" s="72"/>
      <c r="FRN19" s="72"/>
      <c r="FRO19" s="72"/>
      <c r="FRP19" s="72"/>
      <c r="FRQ19" s="72"/>
      <c r="FRR19" s="72"/>
      <c r="FRS19" s="72"/>
      <c r="FRT19" s="72"/>
      <c r="FRU19" s="72"/>
      <c r="FRV19" s="72"/>
      <c r="FRW19" s="72"/>
      <c r="FRX19" s="72"/>
      <c r="FRY19" s="72"/>
      <c r="FRZ19" s="72"/>
      <c r="FSA19" s="72"/>
      <c r="FSB19" s="72"/>
      <c r="FSC19" s="72"/>
      <c r="FSD19" s="72"/>
      <c r="FSE19" s="72"/>
      <c r="FSF19" s="72"/>
      <c r="FSG19" s="72"/>
      <c r="FSH19" s="72"/>
      <c r="FSI19" s="72"/>
      <c r="FSJ19" s="72"/>
      <c r="FSK19" s="72"/>
      <c r="FSL19" s="72"/>
      <c r="FSM19" s="72"/>
      <c r="FSN19" s="72"/>
      <c r="FSO19" s="72"/>
      <c r="FSP19" s="72"/>
      <c r="FSQ19" s="72"/>
      <c r="FSR19" s="72"/>
      <c r="FSS19" s="72"/>
      <c r="FST19" s="72"/>
      <c r="FSU19" s="72"/>
      <c r="FSV19" s="72"/>
      <c r="FSW19" s="72"/>
      <c r="FSX19" s="72"/>
      <c r="FSY19" s="72"/>
      <c r="FSZ19" s="72"/>
      <c r="FTA19" s="72"/>
      <c r="FTB19" s="72"/>
      <c r="FTC19" s="72"/>
      <c r="FTD19" s="72"/>
      <c r="FTE19" s="72"/>
      <c r="FTF19" s="72"/>
      <c r="FTG19" s="72"/>
      <c r="FTH19" s="72"/>
      <c r="FTI19" s="72"/>
      <c r="FTJ19" s="72"/>
      <c r="FTK19" s="72"/>
      <c r="FTL19" s="72"/>
      <c r="FTM19" s="72"/>
      <c r="FTN19" s="72"/>
      <c r="FTO19" s="72"/>
      <c r="FTP19" s="72"/>
      <c r="FTQ19" s="72"/>
      <c r="FTR19" s="72"/>
      <c r="FTS19" s="72"/>
      <c r="FTT19" s="72"/>
      <c r="FTU19" s="72"/>
      <c r="FTV19" s="72"/>
      <c r="FTW19" s="72"/>
      <c r="FTX19" s="72"/>
      <c r="FTY19" s="72"/>
      <c r="FTZ19" s="72"/>
      <c r="FUA19" s="72"/>
      <c r="FUB19" s="72"/>
      <c r="FUC19" s="72"/>
      <c r="FUD19" s="72"/>
      <c r="FUE19" s="72"/>
      <c r="FUF19" s="72"/>
      <c r="FUG19" s="72"/>
      <c r="FUH19" s="72"/>
      <c r="FUI19" s="72"/>
      <c r="FUJ19" s="72"/>
      <c r="FUK19" s="72"/>
      <c r="FUL19" s="72"/>
      <c r="FUM19" s="72"/>
      <c r="FUN19" s="72"/>
      <c r="FUO19" s="72"/>
      <c r="FUP19" s="72"/>
      <c r="FUQ19" s="72"/>
      <c r="FUR19" s="72"/>
      <c r="FUS19" s="72"/>
      <c r="FUT19" s="72"/>
      <c r="FUU19" s="72"/>
      <c r="FUV19" s="72"/>
      <c r="FUW19" s="72"/>
      <c r="FUX19" s="72"/>
      <c r="FUY19" s="72"/>
      <c r="FUZ19" s="72"/>
      <c r="FVA19" s="72"/>
      <c r="FVB19" s="72"/>
      <c r="FVC19" s="72"/>
      <c r="FVD19" s="72"/>
      <c r="FVE19" s="72"/>
      <c r="FVF19" s="72"/>
      <c r="FVG19" s="72"/>
      <c r="FVH19" s="72"/>
      <c r="FVI19" s="72"/>
      <c r="FVJ19" s="72"/>
      <c r="FVK19" s="72"/>
      <c r="FVL19" s="72"/>
      <c r="FVM19" s="72"/>
      <c r="FVN19" s="72"/>
      <c r="FVO19" s="72"/>
      <c r="FVP19" s="72"/>
      <c r="FVQ19" s="72"/>
      <c r="FVR19" s="72"/>
      <c r="FVS19" s="72"/>
      <c r="FVT19" s="72"/>
      <c r="FVU19" s="72"/>
      <c r="FVV19" s="72"/>
      <c r="FVW19" s="72"/>
      <c r="FVX19" s="72"/>
      <c r="FVY19" s="72"/>
      <c r="FVZ19" s="72"/>
      <c r="FWA19" s="72"/>
      <c r="FWB19" s="72"/>
      <c r="FWC19" s="72"/>
      <c r="FWD19" s="72"/>
      <c r="FWE19" s="72"/>
      <c r="FWF19" s="72"/>
      <c r="FWG19" s="72"/>
      <c r="FWH19" s="72"/>
      <c r="FWI19" s="72"/>
      <c r="FWJ19" s="72"/>
      <c r="FWK19" s="72"/>
      <c r="FWL19" s="72"/>
      <c r="FWM19" s="72"/>
      <c r="FWN19" s="72"/>
      <c r="FWO19" s="72"/>
      <c r="FWP19" s="72"/>
      <c r="FWQ19" s="72"/>
      <c r="FWR19" s="72"/>
      <c r="FWS19" s="72"/>
      <c r="FWT19" s="72"/>
      <c r="FWU19" s="72"/>
      <c r="FWV19" s="72"/>
      <c r="FWW19" s="72"/>
      <c r="FWX19" s="72"/>
      <c r="FWY19" s="72"/>
      <c r="FWZ19" s="72"/>
      <c r="FXA19" s="72"/>
      <c r="FXB19" s="72"/>
      <c r="FXC19" s="72"/>
      <c r="FXD19" s="72"/>
      <c r="FXE19" s="72"/>
      <c r="FXF19" s="72"/>
      <c r="FXG19" s="72"/>
      <c r="FXH19" s="72"/>
      <c r="FXI19" s="72"/>
      <c r="FXJ19" s="72"/>
      <c r="FXK19" s="72"/>
      <c r="FXL19" s="72"/>
      <c r="FXM19" s="72"/>
      <c r="FXN19" s="72"/>
      <c r="FXO19" s="72"/>
      <c r="FXP19" s="72"/>
      <c r="FXQ19" s="72"/>
      <c r="FXR19" s="72"/>
      <c r="FXS19" s="72"/>
      <c r="FXT19" s="72"/>
      <c r="FXU19" s="72"/>
      <c r="FXV19" s="72"/>
      <c r="FXW19" s="72"/>
      <c r="FXX19" s="72"/>
      <c r="FXY19" s="72"/>
      <c r="FXZ19" s="72"/>
      <c r="FYA19" s="72"/>
      <c r="FYB19" s="72"/>
      <c r="FYC19" s="72"/>
      <c r="FYD19" s="72"/>
      <c r="FYE19" s="72"/>
      <c r="FYF19" s="72"/>
      <c r="FYG19" s="72"/>
      <c r="FYH19" s="72"/>
      <c r="FYI19" s="72"/>
      <c r="FYJ19" s="72"/>
      <c r="FYK19" s="72"/>
      <c r="FYL19" s="72"/>
      <c r="FYM19" s="72"/>
      <c r="FYN19" s="72"/>
      <c r="FYO19" s="72"/>
      <c r="FYP19" s="72"/>
      <c r="FYQ19" s="72"/>
      <c r="FYR19" s="72"/>
      <c r="FYS19" s="72"/>
      <c r="FYT19" s="72"/>
      <c r="FYU19" s="72"/>
      <c r="FYV19" s="72"/>
      <c r="FYW19" s="72"/>
      <c r="FYX19" s="72"/>
      <c r="FYY19" s="72"/>
      <c r="FYZ19" s="72"/>
      <c r="FZA19" s="72"/>
      <c r="FZB19" s="72"/>
      <c r="FZC19" s="72"/>
      <c r="FZD19" s="72"/>
      <c r="FZE19" s="72"/>
      <c r="FZF19" s="72"/>
      <c r="FZG19" s="72"/>
      <c r="FZH19" s="72"/>
      <c r="FZI19" s="72"/>
      <c r="FZJ19" s="72"/>
      <c r="FZK19" s="72"/>
      <c r="FZL19" s="72"/>
      <c r="FZM19" s="72"/>
      <c r="FZN19" s="72"/>
      <c r="FZO19" s="72"/>
      <c r="FZP19" s="72"/>
      <c r="FZQ19" s="72"/>
      <c r="FZR19" s="72"/>
      <c r="FZS19" s="72"/>
      <c r="FZT19" s="72"/>
      <c r="FZU19" s="72"/>
      <c r="FZV19" s="72"/>
      <c r="FZW19" s="72"/>
      <c r="FZX19" s="72"/>
      <c r="FZY19" s="72"/>
      <c r="FZZ19" s="72"/>
      <c r="GAA19" s="72"/>
      <c r="GAB19" s="72"/>
      <c r="GAC19" s="72"/>
      <c r="GAD19" s="72"/>
      <c r="GAE19" s="72"/>
      <c r="GAF19" s="72"/>
      <c r="GAG19" s="72"/>
      <c r="GAH19" s="72"/>
      <c r="GAI19" s="72"/>
      <c r="GAJ19" s="72"/>
      <c r="GAK19" s="72"/>
      <c r="GAL19" s="72"/>
      <c r="GAM19" s="72"/>
      <c r="GAN19" s="72"/>
      <c r="GAO19" s="72"/>
      <c r="GAP19" s="72"/>
      <c r="GAQ19" s="72"/>
      <c r="GAR19" s="72"/>
      <c r="GAS19" s="72"/>
      <c r="GAT19" s="72"/>
      <c r="GAU19" s="72"/>
      <c r="GAV19" s="72"/>
      <c r="GAW19" s="72"/>
      <c r="GAX19" s="72"/>
      <c r="GAY19" s="72"/>
      <c r="GAZ19" s="72"/>
      <c r="GBA19" s="72"/>
      <c r="GBB19" s="72"/>
      <c r="GBC19" s="72"/>
      <c r="GBD19" s="72"/>
      <c r="GBE19" s="72"/>
      <c r="GBF19" s="72"/>
      <c r="GBG19" s="72"/>
      <c r="GBH19" s="72"/>
      <c r="GBI19" s="72"/>
      <c r="GBJ19" s="72"/>
      <c r="GBK19" s="72"/>
      <c r="GBL19" s="72"/>
      <c r="GBM19" s="72"/>
      <c r="GBN19" s="72"/>
      <c r="GBO19" s="72"/>
      <c r="GBP19" s="72"/>
      <c r="GBQ19" s="72"/>
      <c r="GBR19" s="72"/>
      <c r="GBS19" s="72"/>
      <c r="GBT19" s="72"/>
      <c r="GBU19" s="72"/>
      <c r="GBV19" s="72"/>
      <c r="GBW19" s="72"/>
      <c r="GBX19" s="72"/>
      <c r="GBY19" s="72"/>
      <c r="GBZ19" s="72"/>
      <c r="GCA19" s="72"/>
      <c r="GCB19" s="72"/>
      <c r="GCC19" s="72"/>
      <c r="GCD19" s="72"/>
      <c r="GCE19" s="72"/>
      <c r="GCF19" s="72"/>
      <c r="GCG19" s="72"/>
      <c r="GCH19" s="72"/>
      <c r="GCI19" s="72"/>
      <c r="GCJ19" s="72"/>
      <c r="GCK19" s="72"/>
      <c r="GCL19" s="72"/>
      <c r="GCM19" s="72"/>
      <c r="GCN19" s="72"/>
      <c r="GCO19" s="72"/>
      <c r="GCP19" s="72"/>
      <c r="GCQ19" s="72"/>
      <c r="GCR19" s="72"/>
      <c r="GCS19" s="72"/>
      <c r="GCT19" s="72"/>
      <c r="GCU19" s="72"/>
      <c r="GCV19" s="72"/>
      <c r="GCW19" s="72"/>
      <c r="GCX19" s="72"/>
      <c r="GCY19" s="72"/>
      <c r="GCZ19" s="72"/>
      <c r="GDA19" s="72"/>
      <c r="GDB19" s="72"/>
      <c r="GDC19" s="72"/>
      <c r="GDD19" s="72"/>
      <c r="GDE19" s="72"/>
      <c r="GDF19" s="72"/>
      <c r="GDG19" s="72"/>
      <c r="GDH19" s="72"/>
      <c r="GDI19" s="72"/>
      <c r="GDJ19" s="72"/>
      <c r="GDK19" s="72"/>
      <c r="GDL19" s="72"/>
      <c r="GDM19" s="72"/>
      <c r="GDN19" s="72"/>
      <c r="GDO19" s="72"/>
      <c r="GDP19" s="72"/>
      <c r="GDQ19" s="72"/>
      <c r="GDR19" s="72"/>
      <c r="GDS19" s="72"/>
      <c r="GDT19" s="72"/>
      <c r="GDU19" s="72"/>
      <c r="GDV19" s="72"/>
      <c r="GDW19" s="72"/>
      <c r="GDX19" s="72"/>
      <c r="GDY19" s="72"/>
      <c r="GDZ19" s="72"/>
      <c r="GEA19" s="72"/>
      <c r="GEB19" s="72"/>
      <c r="GEC19" s="72"/>
      <c r="GED19" s="72"/>
      <c r="GEE19" s="72"/>
      <c r="GEF19" s="72"/>
      <c r="GEG19" s="72"/>
      <c r="GEH19" s="72"/>
      <c r="GEI19" s="72"/>
      <c r="GEJ19" s="72"/>
      <c r="GEK19" s="72"/>
      <c r="GEL19" s="72"/>
      <c r="GEM19" s="72"/>
      <c r="GEN19" s="72"/>
      <c r="GEO19" s="72"/>
      <c r="GEP19" s="72"/>
      <c r="GEQ19" s="72"/>
      <c r="GER19" s="72"/>
      <c r="GES19" s="72"/>
      <c r="GET19" s="72"/>
      <c r="GEU19" s="72"/>
      <c r="GEV19" s="72"/>
      <c r="GEW19" s="72"/>
      <c r="GEX19" s="72"/>
      <c r="GEY19" s="72"/>
      <c r="GEZ19" s="72"/>
      <c r="GFA19" s="72"/>
      <c r="GFB19" s="72"/>
      <c r="GFC19" s="72"/>
      <c r="GFD19" s="72"/>
      <c r="GFE19" s="72"/>
      <c r="GFF19" s="72"/>
      <c r="GFG19" s="72"/>
      <c r="GFH19" s="72"/>
      <c r="GFI19" s="72"/>
      <c r="GFJ19" s="72"/>
      <c r="GFK19" s="72"/>
      <c r="GFL19" s="72"/>
      <c r="GFM19" s="72"/>
      <c r="GFN19" s="72"/>
      <c r="GFO19" s="72"/>
      <c r="GFP19" s="72"/>
      <c r="GFQ19" s="72"/>
      <c r="GFR19" s="72"/>
      <c r="GFS19" s="72"/>
      <c r="GFT19" s="72"/>
      <c r="GFU19" s="72"/>
      <c r="GFV19" s="72"/>
      <c r="GFW19" s="72"/>
      <c r="GFX19" s="72"/>
      <c r="GFY19" s="72"/>
      <c r="GFZ19" s="72"/>
      <c r="GGA19" s="72"/>
      <c r="GGB19" s="72"/>
      <c r="GGC19" s="72"/>
      <c r="GGD19" s="72"/>
      <c r="GGE19" s="72"/>
      <c r="GGF19" s="72"/>
      <c r="GGG19" s="72"/>
      <c r="GGH19" s="72"/>
      <c r="GGI19" s="72"/>
      <c r="GGJ19" s="72"/>
      <c r="GGK19" s="72"/>
      <c r="GGL19" s="72"/>
      <c r="GGM19" s="72"/>
      <c r="GGN19" s="72"/>
      <c r="GGO19" s="72"/>
      <c r="GGP19" s="72"/>
      <c r="GGQ19" s="72"/>
      <c r="GGR19" s="72"/>
      <c r="GGS19" s="72"/>
      <c r="GGT19" s="72"/>
      <c r="GGU19" s="72"/>
      <c r="GGV19" s="72"/>
      <c r="GGW19" s="72"/>
      <c r="GGX19" s="72"/>
      <c r="GGY19" s="72"/>
      <c r="GGZ19" s="72"/>
      <c r="GHA19" s="72"/>
      <c r="GHB19" s="72"/>
      <c r="GHC19" s="72"/>
      <c r="GHD19" s="72"/>
      <c r="GHE19" s="72"/>
      <c r="GHF19" s="72"/>
      <c r="GHG19" s="72"/>
      <c r="GHH19" s="72"/>
      <c r="GHI19" s="72"/>
      <c r="GHJ19" s="72"/>
      <c r="GHK19" s="72"/>
      <c r="GHL19" s="72"/>
      <c r="GHM19" s="72"/>
      <c r="GHN19" s="72"/>
      <c r="GHO19" s="72"/>
      <c r="GHP19" s="72"/>
      <c r="GHQ19" s="72"/>
      <c r="GHR19" s="72"/>
      <c r="GHS19" s="72"/>
      <c r="GHT19" s="72"/>
      <c r="GHU19" s="72"/>
      <c r="GHV19" s="72"/>
      <c r="GHW19" s="72"/>
      <c r="GHX19" s="72"/>
      <c r="GHY19" s="72"/>
      <c r="GHZ19" s="72"/>
      <c r="GIA19" s="72"/>
      <c r="GIB19" s="72"/>
      <c r="GIC19" s="72"/>
      <c r="GID19" s="72"/>
      <c r="GIE19" s="72"/>
      <c r="GIF19" s="72"/>
      <c r="GIG19" s="72"/>
      <c r="GIH19" s="72"/>
      <c r="GII19" s="72"/>
      <c r="GIJ19" s="72"/>
      <c r="GIK19" s="72"/>
      <c r="GIL19" s="72"/>
      <c r="GIM19" s="72"/>
      <c r="GIN19" s="72"/>
      <c r="GIO19" s="72"/>
      <c r="GIP19" s="72"/>
      <c r="GIQ19" s="72"/>
      <c r="GIR19" s="72"/>
      <c r="GIS19" s="72"/>
      <c r="GIT19" s="72"/>
      <c r="GIU19" s="72"/>
      <c r="GIV19" s="72"/>
      <c r="GIW19" s="72"/>
      <c r="GIX19" s="72"/>
      <c r="GIY19" s="72"/>
      <c r="GIZ19" s="72"/>
      <c r="GJA19" s="72"/>
      <c r="GJB19" s="72"/>
      <c r="GJC19" s="72"/>
      <c r="GJD19" s="72"/>
      <c r="GJE19" s="72"/>
      <c r="GJF19" s="72"/>
      <c r="GJG19" s="72"/>
      <c r="GJH19" s="72"/>
      <c r="GJI19" s="72"/>
      <c r="GJJ19" s="72"/>
      <c r="GJK19" s="72"/>
      <c r="GJL19" s="72"/>
      <c r="GJM19" s="72"/>
      <c r="GJN19" s="72"/>
      <c r="GJO19" s="72"/>
      <c r="GJP19" s="72"/>
      <c r="GJQ19" s="72"/>
      <c r="GJR19" s="72"/>
      <c r="GJS19" s="72"/>
      <c r="GJT19" s="72"/>
      <c r="GJU19" s="72"/>
      <c r="GJV19" s="72"/>
      <c r="GJW19" s="72"/>
      <c r="GJX19" s="72"/>
      <c r="GJY19" s="72"/>
      <c r="GJZ19" s="72"/>
      <c r="GKA19" s="72"/>
      <c r="GKB19" s="72"/>
      <c r="GKC19" s="72"/>
      <c r="GKD19" s="72"/>
      <c r="GKE19" s="72"/>
      <c r="GKF19" s="72"/>
      <c r="GKG19" s="72"/>
      <c r="GKH19" s="72"/>
      <c r="GKI19" s="72"/>
      <c r="GKJ19" s="72"/>
      <c r="GKK19" s="72"/>
      <c r="GKL19" s="72"/>
      <c r="GKM19" s="72"/>
      <c r="GKN19" s="72"/>
      <c r="GKO19" s="72"/>
      <c r="GKP19" s="72"/>
      <c r="GKQ19" s="72"/>
      <c r="GKR19" s="72"/>
      <c r="GKS19" s="72"/>
      <c r="GKT19" s="72"/>
      <c r="GKU19" s="72"/>
      <c r="GKV19" s="72"/>
      <c r="GKW19" s="72"/>
      <c r="GKX19" s="72"/>
      <c r="GKY19" s="72"/>
      <c r="GKZ19" s="72"/>
      <c r="GLA19" s="72"/>
      <c r="GLB19" s="72"/>
      <c r="GLC19" s="72"/>
      <c r="GLD19" s="72"/>
      <c r="GLE19" s="72"/>
      <c r="GLF19" s="72"/>
      <c r="GLG19" s="72"/>
      <c r="GLH19" s="72"/>
      <c r="GLI19" s="72"/>
      <c r="GLJ19" s="72"/>
      <c r="GLK19" s="72"/>
      <c r="GLL19" s="72"/>
      <c r="GLM19" s="72"/>
      <c r="GLN19" s="72"/>
      <c r="GLO19" s="72"/>
      <c r="GLP19" s="72"/>
      <c r="GLQ19" s="72"/>
      <c r="GLR19" s="72"/>
      <c r="GLS19" s="72"/>
      <c r="GLT19" s="72"/>
      <c r="GLU19" s="72"/>
      <c r="GLV19" s="72"/>
      <c r="GLW19" s="72"/>
      <c r="GLX19" s="72"/>
      <c r="GLY19" s="72"/>
      <c r="GLZ19" s="72"/>
      <c r="GMA19" s="72"/>
      <c r="GMB19" s="72"/>
      <c r="GMC19" s="72"/>
      <c r="GMD19" s="72"/>
      <c r="GME19" s="72"/>
      <c r="GMF19" s="72"/>
      <c r="GMG19" s="72"/>
      <c r="GMH19" s="72"/>
      <c r="GMI19" s="72"/>
      <c r="GMJ19" s="72"/>
      <c r="GMK19" s="72"/>
      <c r="GML19" s="72"/>
      <c r="GMM19" s="72"/>
      <c r="GMN19" s="72"/>
      <c r="GMO19" s="72"/>
      <c r="GMP19" s="72"/>
      <c r="GMQ19" s="72"/>
      <c r="GMR19" s="72"/>
      <c r="GMS19" s="72"/>
      <c r="GMT19" s="72"/>
      <c r="GMU19" s="72"/>
      <c r="GMV19" s="72"/>
      <c r="GMW19" s="72"/>
      <c r="GMX19" s="72"/>
      <c r="GMY19" s="72"/>
      <c r="GMZ19" s="72"/>
      <c r="GNA19" s="72"/>
      <c r="GNB19" s="72"/>
      <c r="GNC19" s="72"/>
      <c r="GND19" s="72"/>
      <c r="GNE19" s="72"/>
      <c r="GNF19" s="72"/>
      <c r="GNG19" s="72"/>
      <c r="GNH19" s="72"/>
      <c r="GNI19" s="72"/>
      <c r="GNJ19" s="72"/>
      <c r="GNK19" s="72"/>
      <c r="GNL19" s="72"/>
      <c r="GNM19" s="72"/>
      <c r="GNN19" s="72"/>
      <c r="GNO19" s="72"/>
      <c r="GNP19" s="72"/>
      <c r="GNQ19" s="72"/>
      <c r="GNR19" s="72"/>
      <c r="GNS19" s="72"/>
      <c r="GNT19" s="72"/>
      <c r="GNU19" s="72"/>
      <c r="GNV19" s="72"/>
      <c r="GNW19" s="72"/>
      <c r="GNX19" s="72"/>
      <c r="GNY19" s="72"/>
      <c r="GNZ19" s="72"/>
      <c r="GOA19" s="72"/>
      <c r="GOB19" s="72"/>
      <c r="GOC19" s="72"/>
      <c r="GOD19" s="72"/>
      <c r="GOE19" s="72"/>
      <c r="GOF19" s="72"/>
      <c r="GOG19" s="72"/>
      <c r="GOH19" s="72"/>
      <c r="GOI19" s="72"/>
      <c r="GOJ19" s="72"/>
      <c r="GOK19" s="72"/>
      <c r="GOL19" s="72"/>
      <c r="GOM19" s="72"/>
      <c r="GON19" s="72"/>
      <c r="GOO19" s="72"/>
      <c r="GOP19" s="72"/>
      <c r="GOQ19" s="72"/>
      <c r="GOR19" s="72"/>
      <c r="GOS19" s="72"/>
      <c r="GOT19" s="72"/>
      <c r="GOU19" s="72"/>
      <c r="GOV19" s="72"/>
      <c r="GOW19" s="72"/>
      <c r="GOX19" s="72"/>
      <c r="GOY19" s="72"/>
      <c r="GOZ19" s="72"/>
      <c r="GPA19" s="72"/>
      <c r="GPB19" s="72"/>
      <c r="GPC19" s="72"/>
      <c r="GPD19" s="72"/>
      <c r="GPE19" s="72"/>
      <c r="GPF19" s="72"/>
      <c r="GPG19" s="72"/>
      <c r="GPH19" s="72"/>
      <c r="GPI19" s="72"/>
      <c r="GPJ19" s="72"/>
      <c r="GPK19" s="72"/>
      <c r="GPL19" s="72"/>
      <c r="GPM19" s="72"/>
      <c r="GPN19" s="72"/>
      <c r="GPO19" s="72"/>
      <c r="GPP19" s="72"/>
      <c r="GPQ19" s="72"/>
      <c r="GPR19" s="72"/>
      <c r="GPS19" s="72"/>
      <c r="GPT19" s="72"/>
      <c r="GPU19" s="72"/>
      <c r="GPV19" s="72"/>
      <c r="GPW19" s="72"/>
      <c r="GPX19" s="72"/>
      <c r="GPY19" s="72"/>
      <c r="GPZ19" s="72"/>
      <c r="GQA19" s="72"/>
      <c r="GQB19" s="72"/>
      <c r="GQC19" s="72"/>
      <c r="GQD19" s="72"/>
      <c r="GQE19" s="72"/>
      <c r="GQF19" s="72"/>
      <c r="GQG19" s="72"/>
      <c r="GQH19" s="72"/>
      <c r="GQI19" s="72"/>
      <c r="GQJ19" s="72"/>
      <c r="GQK19" s="72"/>
      <c r="GQL19" s="72"/>
      <c r="GQM19" s="72"/>
      <c r="GQN19" s="72"/>
      <c r="GQO19" s="72"/>
      <c r="GQP19" s="72"/>
      <c r="GQQ19" s="72"/>
      <c r="GQR19" s="72"/>
      <c r="GQS19" s="72"/>
      <c r="GQT19" s="72"/>
      <c r="GQU19" s="72"/>
      <c r="GQV19" s="72"/>
      <c r="GQW19" s="72"/>
      <c r="GQX19" s="72"/>
      <c r="GQY19" s="72"/>
      <c r="GQZ19" s="72"/>
      <c r="GRA19" s="72"/>
      <c r="GRB19" s="72"/>
      <c r="GRC19" s="72"/>
      <c r="GRD19" s="72"/>
      <c r="GRE19" s="72"/>
      <c r="GRF19" s="72"/>
      <c r="GRG19" s="72"/>
      <c r="GRH19" s="72"/>
      <c r="GRI19" s="72"/>
      <c r="GRJ19" s="72"/>
      <c r="GRK19" s="72"/>
      <c r="GRL19" s="72"/>
      <c r="GRM19" s="72"/>
      <c r="GRN19" s="72"/>
      <c r="GRO19" s="72"/>
      <c r="GRP19" s="72"/>
      <c r="GRQ19" s="72"/>
      <c r="GRR19" s="72"/>
      <c r="GRS19" s="72"/>
      <c r="GRT19" s="72"/>
      <c r="GRU19" s="72"/>
      <c r="GRV19" s="72"/>
      <c r="GRW19" s="72"/>
      <c r="GRX19" s="72"/>
      <c r="GRY19" s="72"/>
      <c r="GRZ19" s="72"/>
      <c r="GSA19" s="72"/>
      <c r="GSB19" s="72"/>
      <c r="GSC19" s="72"/>
      <c r="GSD19" s="72"/>
      <c r="GSE19" s="72"/>
      <c r="GSF19" s="72"/>
      <c r="GSG19" s="72"/>
      <c r="GSH19" s="72"/>
      <c r="GSI19" s="72"/>
      <c r="GSJ19" s="72"/>
      <c r="GSK19" s="72"/>
      <c r="GSL19" s="72"/>
      <c r="GSM19" s="72"/>
      <c r="GSN19" s="72"/>
      <c r="GSO19" s="72"/>
      <c r="GSP19" s="72"/>
      <c r="GSQ19" s="72"/>
      <c r="GSR19" s="72"/>
      <c r="GSS19" s="72"/>
      <c r="GST19" s="72"/>
      <c r="GSU19" s="72"/>
      <c r="GSV19" s="72"/>
      <c r="GSW19" s="72"/>
      <c r="GSX19" s="72"/>
      <c r="GSY19" s="72"/>
      <c r="GSZ19" s="72"/>
      <c r="GTA19" s="72"/>
      <c r="GTB19" s="72"/>
      <c r="GTC19" s="72"/>
      <c r="GTD19" s="72"/>
      <c r="GTE19" s="72"/>
      <c r="GTF19" s="72"/>
      <c r="GTG19" s="72"/>
      <c r="GTH19" s="72"/>
      <c r="GTI19" s="72"/>
      <c r="GTJ19" s="72"/>
      <c r="GTK19" s="72"/>
      <c r="GTL19" s="72"/>
      <c r="GTM19" s="72"/>
      <c r="GTN19" s="72"/>
      <c r="GTO19" s="72"/>
      <c r="GTP19" s="72"/>
      <c r="GTQ19" s="72"/>
      <c r="GTR19" s="72"/>
      <c r="GTS19" s="72"/>
      <c r="GTT19" s="72"/>
      <c r="GTU19" s="72"/>
      <c r="GTV19" s="72"/>
      <c r="GTW19" s="72"/>
      <c r="GTX19" s="72"/>
      <c r="GTY19" s="72"/>
      <c r="GTZ19" s="72"/>
      <c r="GUA19" s="72"/>
      <c r="GUB19" s="72"/>
      <c r="GUC19" s="72"/>
      <c r="GUD19" s="72"/>
      <c r="GUE19" s="72"/>
      <c r="GUF19" s="72"/>
      <c r="GUG19" s="72"/>
      <c r="GUH19" s="72"/>
      <c r="GUI19" s="72"/>
      <c r="GUJ19" s="72"/>
      <c r="GUK19" s="72"/>
      <c r="GUL19" s="72"/>
      <c r="GUM19" s="72"/>
      <c r="GUN19" s="72"/>
      <c r="GUO19" s="72"/>
      <c r="GUP19" s="72"/>
      <c r="GUQ19" s="72"/>
      <c r="GUR19" s="72"/>
      <c r="GUS19" s="72"/>
      <c r="GUT19" s="72"/>
      <c r="GUU19" s="72"/>
      <c r="GUV19" s="72"/>
      <c r="GUW19" s="72"/>
      <c r="GUX19" s="72"/>
      <c r="GUY19" s="72"/>
      <c r="GUZ19" s="72"/>
      <c r="GVA19" s="72"/>
      <c r="GVB19" s="72"/>
      <c r="GVC19" s="72"/>
      <c r="GVD19" s="72"/>
      <c r="GVE19" s="72"/>
      <c r="GVF19" s="72"/>
      <c r="GVG19" s="72"/>
      <c r="GVH19" s="72"/>
      <c r="GVI19" s="72"/>
      <c r="GVJ19" s="72"/>
      <c r="GVK19" s="72"/>
      <c r="GVL19" s="72"/>
      <c r="GVM19" s="72"/>
      <c r="GVN19" s="72"/>
      <c r="GVO19" s="72"/>
      <c r="GVP19" s="72"/>
      <c r="GVQ19" s="72"/>
      <c r="GVR19" s="72"/>
      <c r="GVS19" s="72"/>
      <c r="GVT19" s="72"/>
      <c r="GVU19" s="72"/>
      <c r="GVV19" s="72"/>
      <c r="GVW19" s="72"/>
      <c r="GVX19" s="72"/>
      <c r="GVY19" s="72"/>
      <c r="GVZ19" s="72"/>
      <c r="GWA19" s="72"/>
      <c r="GWB19" s="72"/>
      <c r="GWC19" s="72"/>
      <c r="GWD19" s="72"/>
      <c r="GWE19" s="72"/>
      <c r="GWF19" s="72"/>
      <c r="GWG19" s="72"/>
      <c r="GWH19" s="72"/>
      <c r="GWI19" s="72"/>
      <c r="GWJ19" s="72"/>
      <c r="GWK19" s="72"/>
      <c r="GWL19" s="72"/>
      <c r="GWM19" s="72"/>
      <c r="GWN19" s="72"/>
      <c r="GWO19" s="72"/>
      <c r="GWP19" s="72"/>
      <c r="GWQ19" s="72"/>
      <c r="GWR19" s="72"/>
      <c r="GWS19" s="72"/>
      <c r="GWT19" s="72"/>
      <c r="GWU19" s="72"/>
      <c r="GWV19" s="72"/>
      <c r="GWW19" s="72"/>
      <c r="GWX19" s="72"/>
      <c r="GWY19" s="72"/>
      <c r="GWZ19" s="72"/>
      <c r="GXA19" s="72"/>
      <c r="GXB19" s="72"/>
      <c r="GXC19" s="72"/>
      <c r="GXD19" s="72"/>
      <c r="GXE19" s="72"/>
      <c r="GXF19" s="72"/>
      <c r="GXG19" s="72"/>
      <c r="GXH19" s="72"/>
      <c r="GXI19" s="72"/>
      <c r="GXJ19" s="72"/>
      <c r="GXK19" s="72"/>
      <c r="GXL19" s="72"/>
      <c r="GXM19" s="72"/>
      <c r="GXN19" s="72"/>
      <c r="GXO19" s="72"/>
      <c r="GXP19" s="72"/>
      <c r="GXQ19" s="72"/>
      <c r="GXR19" s="72"/>
      <c r="GXS19" s="72"/>
      <c r="GXT19" s="72"/>
      <c r="GXU19" s="72"/>
      <c r="GXV19" s="72"/>
      <c r="GXW19" s="72"/>
      <c r="GXX19" s="72"/>
      <c r="GXY19" s="72"/>
      <c r="GXZ19" s="72"/>
      <c r="GYA19" s="72"/>
      <c r="GYB19" s="72"/>
      <c r="GYC19" s="72"/>
      <c r="GYD19" s="72"/>
      <c r="GYE19" s="72"/>
      <c r="GYF19" s="72"/>
      <c r="GYG19" s="72"/>
      <c r="GYH19" s="72"/>
      <c r="GYI19" s="72"/>
      <c r="GYJ19" s="72"/>
      <c r="GYK19" s="72"/>
      <c r="GYL19" s="72"/>
      <c r="GYM19" s="72"/>
      <c r="GYN19" s="72"/>
      <c r="GYO19" s="72"/>
      <c r="GYP19" s="72"/>
      <c r="GYQ19" s="72"/>
      <c r="GYR19" s="72"/>
      <c r="GYS19" s="72"/>
      <c r="GYT19" s="72"/>
      <c r="GYU19" s="72"/>
      <c r="GYV19" s="72"/>
      <c r="GYW19" s="72"/>
      <c r="GYX19" s="72"/>
      <c r="GYY19" s="72"/>
      <c r="GYZ19" s="72"/>
      <c r="GZA19" s="72"/>
      <c r="GZB19" s="72"/>
      <c r="GZC19" s="72"/>
      <c r="GZD19" s="72"/>
      <c r="GZE19" s="72"/>
      <c r="GZF19" s="72"/>
      <c r="GZG19" s="72"/>
      <c r="GZH19" s="72"/>
      <c r="GZI19" s="72"/>
      <c r="GZJ19" s="72"/>
      <c r="GZK19" s="72"/>
      <c r="GZL19" s="72"/>
      <c r="GZM19" s="72"/>
      <c r="GZN19" s="72"/>
      <c r="GZO19" s="72"/>
      <c r="GZP19" s="72"/>
      <c r="GZQ19" s="72"/>
      <c r="GZR19" s="72"/>
      <c r="GZS19" s="72"/>
      <c r="GZT19" s="72"/>
      <c r="GZU19" s="72"/>
      <c r="GZV19" s="72"/>
      <c r="GZW19" s="72"/>
      <c r="GZX19" s="72"/>
      <c r="GZY19" s="72"/>
      <c r="GZZ19" s="72"/>
      <c r="HAA19" s="72"/>
      <c r="HAB19" s="72"/>
      <c r="HAC19" s="72"/>
      <c r="HAD19" s="72"/>
      <c r="HAE19" s="72"/>
      <c r="HAF19" s="72"/>
      <c r="HAG19" s="72"/>
      <c r="HAH19" s="72"/>
      <c r="HAI19" s="72"/>
      <c r="HAJ19" s="72"/>
      <c r="HAK19" s="72"/>
      <c r="HAL19" s="72"/>
      <c r="HAM19" s="72"/>
      <c r="HAN19" s="72"/>
      <c r="HAO19" s="72"/>
      <c r="HAP19" s="72"/>
      <c r="HAQ19" s="72"/>
      <c r="HAR19" s="72"/>
      <c r="HAS19" s="72"/>
      <c r="HAT19" s="72"/>
      <c r="HAU19" s="72"/>
      <c r="HAV19" s="72"/>
      <c r="HAW19" s="72"/>
      <c r="HAX19" s="72"/>
      <c r="HAY19" s="72"/>
      <c r="HAZ19" s="72"/>
      <c r="HBA19" s="72"/>
      <c r="HBB19" s="72"/>
      <c r="HBC19" s="72"/>
      <c r="HBD19" s="72"/>
      <c r="HBE19" s="72"/>
      <c r="HBF19" s="72"/>
      <c r="HBG19" s="72"/>
      <c r="HBH19" s="72"/>
      <c r="HBI19" s="72"/>
      <c r="HBJ19" s="72"/>
      <c r="HBK19" s="72"/>
      <c r="HBL19" s="72"/>
      <c r="HBM19" s="72"/>
      <c r="HBN19" s="72"/>
      <c r="HBO19" s="72"/>
      <c r="HBP19" s="72"/>
      <c r="HBQ19" s="72"/>
      <c r="HBR19" s="72"/>
      <c r="HBS19" s="72"/>
      <c r="HBT19" s="72"/>
      <c r="HBU19" s="72"/>
      <c r="HBV19" s="72"/>
      <c r="HBW19" s="72"/>
      <c r="HBX19" s="72"/>
      <c r="HBY19" s="72"/>
      <c r="HBZ19" s="72"/>
      <c r="HCA19" s="72"/>
      <c r="HCB19" s="72"/>
      <c r="HCC19" s="72"/>
      <c r="HCD19" s="72"/>
      <c r="HCE19" s="72"/>
      <c r="HCF19" s="72"/>
      <c r="HCG19" s="72"/>
      <c r="HCH19" s="72"/>
      <c r="HCI19" s="72"/>
      <c r="HCJ19" s="72"/>
      <c r="HCK19" s="72"/>
      <c r="HCL19" s="72"/>
      <c r="HCM19" s="72"/>
      <c r="HCN19" s="72"/>
      <c r="HCO19" s="72"/>
      <c r="HCP19" s="72"/>
      <c r="HCQ19" s="72"/>
      <c r="HCR19" s="72"/>
      <c r="HCS19" s="72"/>
      <c r="HCT19" s="72"/>
      <c r="HCU19" s="72"/>
      <c r="HCV19" s="72"/>
      <c r="HCW19" s="72"/>
      <c r="HCX19" s="72"/>
      <c r="HCY19" s="72"/>
      <c r="HCZ19" s="72"/>
      <c r="HDA19" s="72"/>
      <c r="HDB19" s="72"/>
      <c r="HDC19" s="72"/>
      <c r="HDD19" s="72"/>
      <c r="HDE19" s="72"/>
      <c r="HDF19" s="72"/>
      <c r="HDG19" s="72"/>
      <c r="HDH19" s="72"/>
      <c r="HDI19" s="72"/>
      <c r="HDJ19" s="72"/>
      <c r="HDK19" s="72"/>
      <c r="HDL19" s="72"/>
      <c r="HDM19" s="72"/>
      <c r="HDN19" s="72"/>
      <c r="HDO19" s="72"/>
      <c r="HDP19" s="72"/>
      <c r="HDQ19" s="72"/>
      <c r="HDR19" s="72"/>
      <c r="HDS19" s="72"/>
      <c r="HDT19" s="72"/>
      <c r="HDU19" s="72"/>
      <c r="HDV19" s="72"/>
      <c r="HDW19" s="72"/>
      <c r="HDX19" s="72"/>
      <c r="HDY19" s="72"/>
      <c r="HDZ19" s="72"/>
      <c r="HEA19" s="72"/>
      <c r="HEB19" s="72"/>
      <c r="HEC19" s="72"/>
      <c r="HED19" s="72"/>
      <c r="HEE19" s="72"/>
      <c r="HEF19" s="72"/>
      <c r="HEG19" s="72"/>
      <c r="HEH19" s="72"/>
      <c r="HEI19" s="72"/>
      <c r="HEJ19" s="72"/>
      <c r="HEK19" s="72"/>
      <c r="HEL19" s="72"/>
      <c r="HEM19" s="72"/>
      <c r="HEN19" s="72"/>
      <c r="HEO19" s="72"/>
      <c r="HEP19" s="72"/>
      <c r="HEQ19" s="72"/>
      <c r="HER19" s="72"/>
      <c r="HES19" s="72"/>
      <c r="HET19" s="72"/>
      <c r="HEU19" s="72"/>
      <c r="HEV19" s="72"/>
      <c r="HEW19" s="72"/>
      <c r="HEX19" s="72"/>
      <c r="HEY19" s="72"/>
      <c r="HEZ19" s="72"/>
      <c r="HFA19" s="72"/>
      <c r="HFB19" s="72"/>
      <c r="HFC19" s="72"/>
      <c r="HFD19" s="72"/>
      <c r="HFE19" s="72"/>
      <c r="HFF19" s="72"/>
      <c r="HFG19" s="72"/>
      <c r="HFH19" s="72"/>
      <c r="HFI19" s="72"/>
      <c r="HFJ19" s="72"/>
      <c r="HFK19" s="72"/>
      <c r="HFL19" s="72"/>
      <c r="HFM19" s="72"/>
      <c r="HFN19" s="72"/>
      <c r="HFO19" s="72"/>
      <c r="HFP19" s="72"/>
      <c r="HFQ19" s="72"/>
      <c r="HFR19" s="72"/>
      <c r="HFS19" s="72"/>
      <c r="HFT19" s="72"/>
      <c r="HFU19" s="72"/>
      <c r="HFV19" s="72"/>
      <c r="HFW19" s="72"/>
      <c r="HFX19" s="72"/>
      <c r="HFY19" s="72"/>
      <c r="HFZ19" s="72"/>
      <c r="HGA19" s="72"/>
      <c r="HGB19" s="72"/>
      <c r="HGC19" s="72"/>
      <c r="HGD19" s="72"/>
      <c r="HGE19" s="72"/>
      <c r="HGF19" s="72"/>
      <c r="HGG19" s="72"/>
      <c r="HGH19" s="72"/>
      <c r="HGI19" s="72"/>
      <c r="HGJ19" s="72"/>
      <c r="HGK19" s="72"/>
      <c r="HGL19" s="72"/>
      <c r="HGM19" s="72"/>
      <c r="HGN19" s="72"/>
      <c r="HGO19" s="72"/>
      <c r="HGP19" s="72"/>
      <c r="HGQ19" s="72"/>
      <c r="HGR19" s="72"/>
      <c r="HGS19" s="72"/>
      <c r="HGT19" s="72"/>
      <c r="HGU19" s="72"/>
      <c r="HGV19" s="72"/>
      <c r="HGW19" s="72"/>
      <c r="HGX19" s="72"/>
      <c r="HGY19" s="72"/>
      <c r="HGZ19" s="72"/>
      <c r="HHA19" s="72"/>
      <c r="HHB19" s="72"/>
      <c r="HHC19" s="72"/>
      <c r="HHD19" s="72"/>
      <c r="HHE19" s="72"/>
      <c r="HHF19" s="72"/>
      <c r="HHG19" s="72"/>
      <c r="HHH19" s="72"/>
      <c r="HHI19" s="72"/>
      <c r="HHJ19" s="72"/>
      <c r="HHK19" s="72"/>
      <c r="HHL19" s="72"/>
      <c r="HHM19" s="72"/>
      <c r="HHN19" s="72"/>
      <c r="HHO19" s="72"/>
      <c r="HHP19" s="72"/>
      <c r="HHQ19" s="72"/>
      <c r="HHR19" s="72"/>
      <c r="HHS19" s="72"/>
      <c r="HHT19" s="72"/>
      <c r="HHU19" s="72"/>
      <c r="HHV19" s="72"/>
      <c r="HHW19" s="72"/>
      <c r="HHX19" s="72"/>
      <c r="HHY19" s="72"/>
      <c r="HHZ19" s="72"/>
      <c r="HIA19" s="72"/>
      <c r="HIB19" s="72"/>
      <c r="HIC19" s="72"/>
      <c r="HID19" s="72"/>
      <c r="HIE19" s="72"/>
      <c r="HIF19" s="72"/>
      <c r="HIG19" s="72"/>
      <c r="HIH19" s="72"/>
      <c r="HII19" s="72"/>
      <c r="HIJ19" s="72"/>
      <c r="HIK19" s="72"/>
      <c r="HIL19" s="72"/>
      <c r="HIM19" s="72"/>
      <c r="HIN19" s="72"/>
      <c r="HIO19" s="72"/>
      <c r="HIP19" s="72"/>
      <c r="HIQ19" s="72"/>
      <c r="HIR19" s="72"/>
      <c r="HIS19" s="72"/>
      <c r="HIT19" s="72"/>
      <c r="HIU19" s="72"/>
      <c r="HIV19" s="72"/>
      <c r="HIW19" s="72"/>
      <c r="HIX19" s="72"/>
      <c r="HIY19" s="72"/>
      <c r="HIZ19" s="72"/>
      <c r="HJA19" s="72"/>
      <c r="HJB19" s="72"/>
      <c r="HJC19" s="72"/>
      <c r="HJD19" s="72"/>
      <c r="HJE19" s="72"/>
      <c r="HJF19" s="72"/>
      <c r="HJG19" s="72"/>
      <c r="HJH19" s="72"/>
      <c r="HJI19" s="72"/>
      <c r="HJJ19" s="72"/>
      <c r="HJK19" s="72"/>
      <c r="HJL19" s="72"/>
      <c r="HJM19" s="72"/>
      <c r="HJN19" s="72"/>
      <c r="HJO19" s="72"/>
      <c r="HJP19" s="72"/>
      <c r="HJQ19" s="72"/>
      <c r="HJR19" s="72"/>
      <c r="HJS19" s="72"/>
      <c r="HJT19" s="72"/>
      <c r="HJU19" s="72"/>
      <c r="HJV19" s="72"/>
      <c r="HJW19" s="72"/>
      <c r="HJX19" s="72"/>
      <c r="HJY19" s="72"/>
      <c r="HJZ19" s="72"/>
      <c r="HKA19" s="72"/>
      <c r="HKB19" s="72"/>
      <c r="HKC19" s="72"/>
      <c r="HKD19" s="72"/>
      <c r="HKE19" s="72"/>
      <c r="HKF19" s="72"/>
      <c r="HKG19" s="72"/>
      <c r="HKH19" s="72"/>
      <c r="HKI19" s="72"/>
      <c r="HKJ19" s="72"/>
      <c r="HKK19" s="72"/>
      <c r="HKL19" s="72"/>
      <c r="HKM19" s="72"/>
      <c r="HKN19" s="72"/>
      <c r="HKO19" s="72"/>
      <c r="HKP19" s="72"/>
      <c r="HKQ19" s="72"/>
      <c r="HKR19" s="72"/>
      <c r="HKS19" s="72"/>
      <c r="HKT19" s="72"/>
      <c r="HKU19" s="72"/>
      <c r="HKV19" s="72"/>
      <c r="HKW19" s="72"/>
      <c r="HKX19" s="72"/>
      <c r="HKY19" s="72"/>
      <c r="HKZ19" s="72"/>
      <c r="HLA19" s="72"/>
      <c r="HLB19" s="72"/>
      <c r="HLC19" s="72"/>
      <c r="HLD19" s="72"/>
      <c r="HLE19" s="72"/>
      <c r="HLF19" s="72"/>
      <c r="HLG19" s="72"/>
      <c r="HLH19" s="72"/>
      <c r="HLI19" s="72"/>
      <c r="HLJ19" s="72"/>
      <c r="HLK19" s="72"/>
      <c r="HLL19" s="72"/>
      <c r="HLM19" s="72"/>
      <c r="HLN19" s="72"/>
      <c r="HLO19" s="72"/>
      <c r="HLP19" s="72"/>
      <c r="HLQ19" s="72"/>
      <c r="HLR19" s="72"/>
      <c r="HLS19" s="72"/>
      <c r="HLT19" s="72"/>
      <c r="HLU19" s="72"/>
      <c r="HLV19" s="72"/>
      <c r="HLW19" s="72"/>
      <c r="HLX19" s="72"/>
      <c r="HLY19" s="72"/>
      <c r="HLZ19" s="72"/>
      <c r="HMA19" s="72"/>
      <c r="HMB19" s="72"/>
      <c r="HMC19" s="72"/>
      <c r="HMD19" s="72"/>
      <c r="HME19" s="72"/>
      <c r="HMF19" s="72"/>
      <c r="HMG19" s="72"/>
      <c r="HMH19" s="72"/>
      <c r="HMI19" s="72"/>
      <c r="HMJ19" s="72"/>
      <c r="HMK19" s="72"/>
      <c r="HML19" s="72"/>
      <c r="HMM19" s="72"/>
      <c r="HMN19" s="72"/>
      <c r="HMO19" s="72"/>
      <c r="HMP19" s="72"/>
      <c r="HMQ19" s="72"/>
      <c r="HMR19" s="72"/>
      <c r="HMS19" s="72"/>
      <c r="HMT19" s="72"/>
      <c r="HMU19" s="72"/>
      <c r="HMV19" s="72"/>
      <c r="HMW19" s="72"/>
      <c r="HMX19" s="72"/>
      <c r="HMY19" s="72"/>
      <c r="HMZ19" s="72"/>
      <c r="HNA19" s="72"/>
      <c r="HNB19" s="72"/>
      <c r="HNC19" s="72"/>
      <c r="HND19" s="72"/>
      <c r="HNE19" s="72"/>
      <c r="HNF19" s="72"/>
      <c r="HNG19" s="72"/>
      <c r="HNH19" s="72"/>
      <c r="HNI19" s="72"/>
      <c r="HNJ19" s="72"/>
      <c r="HNK19" s="72"/>
      <c r="HNL19" s="72"/>
      <c r="HNM19" s="72"/>
      <c r="HNN19" s="72"/>
      <c r="HNO19" s="72"/>
      <c r="HNP19" s="72"/>
      <c r="HNQ19" s="72"/>
      <c r="HNR19" s="72"/>
      <c r="HNS19" s="72"/>
      <c r="HNT19" s="72"/>
      <c r="HNU19" s="72"/>
      <c r="HNV19" s="72"/>
      <c r="HNW19" s="72"/>
      <c r="HNX19" s="72"/>
      <c r="HNY19" s="72"/>
      <c r="HNZ19" s="72"/>
      <c r="HOA19" s="72"/>
      <c r="HOB19" s="72"/>
      <c r="HOC19" s="72"/>
      <c r="HOD19" s="72"/>
      <c r="HOE19" s="72"/>
      <c r="HOF19" s="72"/>
      <c r="HOG19" s="72"/>
      <c r="HOH19" s="72"/>
      <c r="HOI19" s="72"/>
      <c r="HOJ19" s="72"/>
      <c r="HOK19" s="72"/>
      <c r="HOL19" s="72"/>
      <c r="HOM19" s="72"/>
      <c r="HON19" s="72"/>
      <c r="HOO19" s="72"/>
      <c r="HOP19" s="72"/>
      <c r="HOQ19" s="72"/>
      <c r="HOR19" s="72"/>
      <c r="HOS19" s="72"/>
      <c r="HOT19" s="72"/>
      <c r="HOU19" s="72"/>
      <c r="HOV19" s="72"/>
      <c r="HOW19" s="72"/>
      <c r="HOX19" s="72"/>
      <c r="HOY19" s="72"/>
      <c r="HOZ19" s="72"/>
      <c r="HPA19" s="72"/>
      <c r="HPB19" s="72"/>
      <c r="HPC19" s="72"/>
      <c r="HPD19" s="72"/>
      <c r="HPE19" s="72"/>
      <c r="HPF19" s="72"/>
      <c r="HPG19" s="72"/>
      <c r="HPH19" s="72"/>
      <c r="HPI19" s="72"/>
      <c r="HPJ19" s="72"/>
      <c r="HPK19" s="72"/>
      <c r="HPL19" s="72"/>
      <c r="HPM19" s="72"/>
      <c r="HPN19" s="72"/>
      <c r="HPO19" s="72"/>
      <c r="HPP19" s="72"/>
      <c r="HPQ19" s="72"/>
      <c r="HPR19" s="72"/>
      <c r="HPS19" s="72"/>
      <c r="HPT19" s="72"/>
      <c r="HPU19" s="72"/>
      <c r="HPV19" s="72"/>
      <c r="HPW19" s="72"/>
      <c r="HPX19" s="72"/>
      <c r="HPY19" s="72"/>
      <c r="HPZ19" s="72"/>
      <c r="HQA19" s="72"/>
      <c r="HQB19" s="72"/>
      <c r="HQC19" s="72"/>
      <c r="HQD19" s="72"/>
      <c r="HQE19" s="72"/>
      <c r="HQF19" s="72"/>
      <c r="HQG19" s="72"/>
      <c r="HQH19" s="72"/>
      <c r="HQI19" s="72"/>
      <c r="HQJ19" s="72"/>
      <c r="HQK19" s="72"/>
      <c r="HQL19" s="72"/>
      <c r="HQM19" s="72"/>
      <c r="HQN19" s="72"/>
      <c r="HQO19" s="72"/>
      <c r="HQP19" s="72"/>
      <c r="HQQ19" s="72"/>
      <c r="HQR19" s="72"/>
      <c r="HQS19" s="72"/>
      <c r="HQT19" s="72"/>
      <c r="HQU19" s="72"/>
      <c r="HQV19" s="72"/>
      <c r="HQW19" s="72"/>
      <c r="HQX19" s="72"/>
      <c r="HQY19" s="72"/>
      <c r="HQZ19" s="72"/>
      <c r="HRA19" s="72"/>
      <c r="HRB19" s="72"/>
      <c r="HRC19" s="72"/>
      <c r="HRD19" s="72"/>
      <c r="HRE19" s="72"/>
      <c r="HRF19" s="72"/>
      <c r="HRG19" s="72"/>
      <c r="HRH19" s="72"/>
      <c r="HRI19" s="72"/>
      <c r="HRJ19" s="72"/>
      <c r="HRK19" s="72"/>
      <c r="HRL19" s="72"/>
      <c r="HRM19" s="72"/>
      <c r="HRN19" s="72"/>
      <c r="HRO19" s="72"/>
      <c r="HRP19" s="72"/>
      <c r="HRQ19" s="72"/>
      <c r="HRR19" s="72"/>
      <c r="HRS19" s="72"/>
      <c r="HRT19" s="72"/>
      <c r="HRU19" s="72"/>
      <c r="HRV19" s="72"/>
      <c r="HRW19" s="72"/>
      <c r="HRX19" s="72"/>
      <c r="HRY19" s="72"/>
      <c r="HRZ19" s="72"/>
      <c r="HSA19" s="72"/>
      <c r="HSB19" s="72"/>
      <c r="HSC19" s="72"/>
      <c r="HSD19" s="72"/>
      <c r="HSE19" s="72"/>
      <c r="HSF19" s="72"/>
      <c r="HSG19" s="72"/>
      <c r="HSH19" s="72"/>
      <c r="HSI19" s="72"/>
      <c r="HSJ19" s="72"/>
      <c r="HSK19" s="72"/>
      <c r="HSL19" s="72"/>
      <c r="HSM19" s="72"/>
      <c r="HSN19" s="72"/>
      <c r="HSO19" s="72"/>
      <c r="HSP19" s="72"/>
      <c r="HSQ19" s="72"/>
      <c r="HSR19" s="72"/>
      <c r="HSS19" s="72"/>
      <c r="HST19" s="72"/>
      <c r="HSU19" s="72"/>
      <c r="HSV19" s="72"/>
      <c r="HSW19" s="72"/>
      <c r="HSX19" s="72"/>
      <c r="HSY19" s="72"/>
      <c r="HSZ19" s="72"/>
      <c r="HTA19" s="72"/>
      <c r="HTB19" s="72"/>
      <c r="HTC19" s="72"/>
      <c r="HTD19" s="72"/>
      <c r="HTE19" s="72"/>
      <c r="HTF19" s="72"/>
      <c r="HTG19" s="72"/>
      <c r="HTH19" s="72"/>
      <c r="HTI19" s="72"/>
      <c r="HTJ19" s="72"/>
      <c r="HTK19" s="72"/>
      <c r="HTL19" s="72"/>
      <c r="HTM19" s="72"/>
      <c r="HTN19" s="72"/>
      <c r="HTO19" s="72"/>
      <c r="HTP19" s="72"/>
      <c r="HTQ19" s="72"/>
      <c r="HTR19" s="72"/>
      <c r="HTS19" s="72"/>
      <c r="HTT19" s="72"/>
      <c r="HTU19" s="72"/>
      <c r="HTV19" s="72"/>
      <c r="HTW19" s="72"/>
      <c r="HTX19" s="72"/>
      <c r="HTY19" s="72"/>
      <c r="HTZ19" s="72"/>
      <c r="HUA19" s="72"/>
      <c r="HUB19" s="72"/>
      <c r="HUC19" s="72"/>
      <c r="HUD19" s="72"/>
      <c r="HUE19" s="72"/>
      <c r="HUF19" s="72"/>
      <c r="HUG19" s="72"/>
      <c r="HUH19" s="72"/>
      <c r="HUI19" s="72"/>
      <c r="HUJ19" s="72"/>
      <c r="HUK19" s="72"/>
      <c r="HUL19" s="72"/>
      <c r="HUM19" s="72"/>
      <c r="HUN19" s="72"/>
      <c r="HUO19" s="72"/>
      <c r="HUP19" s="72"/>
      <c r="HUQ19" s="72"/>
      <c r="HUR19" s="72"/>
      <c r="HUS19" s="72"/>
      <c r="HUT19" s="72"/>
      <c r="HUU19" s="72"/>
      <c r="HUV19" s="72"/>
      <c r="HUW19" s="72"/>
      <c r="HUX19" s="72"/>
      <c r="HUY19" s="72"/>
      <c r="HUZ19" s="72"/>
      <c r="HVA19" s="72"/>
      <c r="HVB19" s="72"/>
      <c r="HVC19" s="72"/>
      <c r="HVD19" s="72"/>
      <c r="HVE19" s="72"/>
      <c r="HVF19" s="72"/>
      <c r="HVG19" s="72"/>
      <c r="HVH19" s="72"/>
      <c r="HVI19" s="72"/>
      <c r="HVJ19" s="72"/>
      <c r="HVK19" s="72"/>
      <c r="HVL19" s="72"/>
      <c r="HVM19" s="72"/>
      <c r="HVN19" s="72"/>
      <c r="HVO19" s="72"/>
      <c r="HVP19" s="72"/>
      <c r="HVQ19" s="72"/>
      <c r="HVR19" s="72"/>
      <c r="HVS19" s="72"/>
      <c r="HVT19" s="72"/>
      <c r="HVU19" s="72"/>
      <c r="HVV19" s="72"/>
      <c r="HVW19" s="72"/>
      <c r="HVX19" s="72"/>
      <c r="HVY19" s="72"/>
      <c r="HVZ19" s="72"/>
      <c r="HWA19" s="72"/>
      <c r="HWB19" s="72"/>
      <c r="HWC19" s="72"/>
      <c r="HWD19" s="72"/>
      <c r="HWE19" s="72"/>
      <c r="HWF19" s="72"/>
      <c r="HWG19" s="72"/>
      <c r="HWH19" s="72"/>
      <c r="HWI19" s="72"/>
      <c r="HWJ19" s="72"/>
      <c r="HWK19" s="72"/>
      <c r="HWL19" s="72"/>
      <c r="HWM19" s="72"/>
      <c r="HWN19" s="72"/>
      <c r="HWO19" s="72"/>
      <c r="HWP19" s="72"/>
      <c r="HWQ19" s="72"/>
      <c r="HWR19" s="72"/>
      <c r="HWS19" s="72"/>
      <c r="HWT19" s="72"/>
      <c r="HWU19" s="72"/>
      <c r="HWV19" s="72"/>
      <c r="HWW19" s="72"/>
      <c r="HWX19" s="72"/>
      <c r="HWY19" s="72"/>
      <c r="HWZ19" s="72"/>
      <c r="HXA19" s="72"/>
      <c r="HXB19" s="72"/>
      <c r="HXC19" s="72"/>
      <c r="HXD19" s="72"/>
      <c r="HXE19" s="72"/>
      <c r="HXF19" s="72"/>
      <c r="HXG19" s="72"/>
      <c r="HXH19" s="72"/>
      <c r="HXI19" s="72"/>
      <c r="HXJ19" s="72"/>
      <c r="HXK19" s="72"/>
      <c r="HXL19" s="72"/>
      <c r="HXM19" s="72"/>
      <c r="HXN19" s="72"/>
      <c r="HXO19" s="72"/>
      <c r="HXP19" s="72"/>
      <c r="HXQ19" s="72"/>
      <c r="HXR19" s="72"/>
      <c r="HXS19" s="72"/>
      <c r="HXT19" s="72"/>
      <c r="HXU19" s="72"/>
      <c r="HXV19" s="72"/>
      <c r="HXW19" s="72"/>
      <c r="HXX19" s="72"/>
      <c r="HXY19" s="72"/>
      <c r="HXZ19" s="72"/>
      <c r="HYA19" s="72"/>
      <c r="HYB19" s="72"/>
      <c r="HYC19" s="72"/>
      <c r="HYD19" s="72"/>
      <c r="HYE19" s="72"/>
      <c r="HYF19" s="72"/>
      <c r="HYG19" s="72"/>
      <c r="HYH19" s="72"/>
      <c r="HYI19" s="72"/>
      <c r="HYJ19" s="72"/>
      <c r="HYK19" s="72"/>
      <c r="HYL19" s="72"/>
      <c r="HYM19" s="72"/>
      <c r="HYN19" s="72"/>
      <c r="HYO19" s="72"/>
      <c r="HYP19" s="72"/>
      <c r="HYQ19" s="72"/>
      <c r="HYR19" s="72"/>
      <c r="HYS19" s="72"/>
      <c r="HYT19" s="72"/>
      <c r="HYU19" s="72"/>
      <c r="HYV19" s="72"/>
      <c r="HYW19" s="72"/>
      <c r="HYX19" s="72"/>
      <c r="HYY19" s="72"/>
      <c r="HYZ19" s="72"/>
      <c r="HZA19" s="72"/>
      <c r="HZB19" s="72"/>
      <c r="HZC19" s="72"/>
      <c r="HZD19" s="72"/>
      <c r="HZE19" s="72"/>
      <c r="HZF19" s="72"/>
      <c r="HZG19" s="72"/>
      <c r="HZH19" s="72"/>
      <c r="HZI19" s="72"/>
      <c r="HZJ19" s="72"/>
      <c r="HZK19" s="72"/>
      <c r="HZL19" s="72"/>
      <c r="HZM19" s="72"/>
      <c r="HZN19" s="72"/>
      <c r="HZO19" s="72"/>
      <c r="HZP19" s="72"/>
      <c r="HZQ19" s="72"/>
      <c r="HZR19" s="72"/>
      <c r="HZS19" s="72"/>
      <c r="HZT19" s="72"/>
      <c r="HZU19" s="72"/>
      <c r="HZV19" s="72"/>
      <c r="HZW19" s="72"/>
      <c r="HZX19" s="72"/>
      <c r="HZY19" s="72"/>
      <c r="HZZ19" s="72"/>
      <c r="IAA19" s="72"/>
      <c r="IAB19" s="72"/>
      <c r="IAC19" s="72"/>
      <c r="IAD19" s="72"/>
      <c r="IAE19" s="72"/>
      <c r="IAF19" s="72"/>
      <c r="IAG19" s="72"/>
      <c r="IAH19" s="72"/>
      <c r="IAI19" s="72"/>
      <c r="IAJ19" s="72"/>
      <c r="IAK19" s="72"/>
      <c r="IAL19" s="72"/>
      <c r="IAM19" s="72"/>
      <c r="IAN19" s="72"/>
      <c r="IAO19" s="72"/>
      <c r="IAP19" s="72"/>
      <c r="IAQ19" s="72"/>
      <c r="IAR19" s="72"/>
      <c r="IAS19" s="72"/>
      <c r="IAT19" s="72"/>
      <c r="IAU19" s="72"/>
      <c r="IAV19" s="72"/>
      <c r="IAW19" s="72"/>
      <c r="IAX19" s="72"/>
      <c r="IAY19" s="72"/>
      <c r="IAZ19" s="72"/>
      <c r="IBA19" s="72"/>
      <c r="IBB19" s="72"/>
      <c r="IBC19" s="72"/>
      <c r="IBD19" s="72"/>
      <c r="IBE19" s="72"/>
      <c r="IBF19" s="72"/>
      <c r="IBG19" s="72"/>
      <c r="IBH19" s="72"/>
      <c r="IBI19" s="72"/>
      <c r="IBJ19" s="72"/>
      <c r="IBK19" s="72"/>
      <c r="IBL19" s="72"/>
      <c r="IBM19" s="72"/>
      <c r="IBN19" s="72"/>
      <c r="IBO19" s="72"/>
      <c r="IBP19" s="72"/>
      <c r="IBQ19" s="72"/>
      <c r="IBR19" s="72"/>
      <c r="IBS19" s="72"/>
      <c r="IBT19" s="72"/>
      <c r="IBU19" s="72"/>
      <c r="IBV19" s="72"/>
      <c r="IBW19" s="72"/>
      <c r="IBX19" s="72"/>
      <c r="IBY19" s="72"/>
      <c r="IBZ19" s="72"/>
      <c r="ICA19" s="72"/>
      <c r="ICB19" s="72"/>
      <c r="ICC19" s="72"/>
      <c r="ICD19" s="72"/>
      <c r="ICE19" s="72"/>
      <c r="ICF19" s="72"/>
      <c r="ICG19" s="72"/>
      <c r="ICH19" s="72"/>
      <c r="ICI19" s="72"/>
      <c r="ICJ19" s="72"/>
      <c r="ICK19" s="72"/>
      <c r="ICL19" s="72"/>
      <c r="ICM19" s="72"/>
      <c r="ICN19" s="72"/>
      <c r="ICO19" s="72"/>
      <c r="ICP19" s="72"/>
      <c r="ICQ19" s="72"/>
      <c r="ICR19" s="72"/>
      <c r="ICS19" s="72"/>
      <c r="ICT19" s="72"/>
      <c r="ICU19" s="72"/>
      <c r="ICV19" s="72"/>
      <c r="ICW19" s="72"/>
      <c r="ICX19" s="72"/>
      <c r="ICY19" s="72"/>
      <c r="ICZ19" s="72"/>
      <c r="IDA19" s="72"/>
      <c r="IDB19" s="72"/>
      <c r="IDC19" s="72"/>
      <c r="IDD19" s="72"/>
      <c r="IDE19" s="72"/>
      <c r="IDF19" s="72"/>
      <c r="IDG19" s="72"/>
      <c r="IDH19" s="72"/>
      <c r="IDI19" s="72"/>
      <c r="IDJ19" s="72"/>
      <c r="IDK19" s="72"/>
      <c r="IDL19" s="72"/>
      <c r="IDM19" s="72"/>
      <c r="IDN19" s="72"/>
      <c r="IDO19" s="72"/>
      <c r="IDP19" s="72"/>
      <c r="IDQ19" s="72"/>
      <c r="IDR19" s="72"/>
      <c r="IDS19" s="72"/>
      <c r="IDT19" s="72"/>
      <c r="IDU19" s="72"/>
      <c r="IDV19" s="72"/>
      <c r="IDW19" s="72"/>
      <c r="IDX19" s="72"/>
      <c r="IDY19" s="72"/>
      <c r="IDZ19" s="72"/>
      <c r="IEA19" s="72"/>
      <c r="IEB19" s="72"/>
      <c r="IEC19" s="72"/>
      <c r="IED19" s="72"/>
      <c r="IEE19" s="72"/>
      <c r="IEF19" s="72"/>
      <c r="IEG19" s="72"/>
      <c r="IEH19" s="72"/>
      <c r="IEI19" s="72"/>
      <c r="IEJ19" s="72"/>
      <c r="IEK19" s="72"/>
      <c r="IEL19" s="72"/>
      <c r="IEM19" s="72"/>
      <c r="IEN19" s="72"/>
      <c r="IEO19" s="72"/>
      <c r="IEP19" s="72"/>
      <c r="IEQ19" s="72"/>
      <c r="IER19" s="72"/>
      <c r="IES19" s="72"/>
      <c r="IET19" s="72"/>
      <c r="IEU19" s="72"/>
      <c r="IEV19" s="72"/>
      <c r="IEW19" s="72"/>
      <c r="IEX19" s="72"/>
      <c r="IEY19" s="72"/>
      <c r="IEZ19" s="72"/>
      <c r="IFA19" s="72"/>
      <c r="IFB19" s="72"/>
      <c r="IFC19" s="72"/>
      <c r="IFD19" s="72"/>
      <c r="IFE19" s="72"/>
      <c r="IFF19" s="72"/>
      <c r="IFG19" s="72"/>
      <c r="IFH19" s="72"/>
      <c r="IFI19" s="72"/>
      <c r="IFJ19" s="72"/>
      <c r="IFK19" s="72"/>
      <c r="IFL19" s="72"/>
      <c r="IFM19" s="72"/>
      <c r="IFN19" s="72"/>
      <c r="IFO19" s="72"/>
      <c r="IFP19" s="72"/>
      <c r="IFQ19" s="72"/>
      <c r="IFR19" s="72"/>
      <c r="IFS19" s="72"/>
      <c r="IFT19" s="72"/>
      <c r="IFU19" s="72"/>
      <c r="IFV19" s="72"/>
      <c r="IFW19" s="72"/>
      <c r="IFX19" s="72"/>
      <c r="IFY19" s="72"/>
      <c r="IFZ19" s="72"/>
      <c r="IGA19" s="72"/>
      <c r="IGB19" s="72"/>
      <c r="IGC19" s="72"/>
      <c r="IGD19" s="72"/>
      <c r="IGE19" s="72"/>
      <c r="IGF19" s="72"/>
      <c r="IGG19" s="72"/>
      <c r="IGH19" s="72"/>
      <c r="IGI19" s="72"/>
      <c r="IGJ19" s="72"/>
      <c r="IGK19" s="72"/>
      <c r="IGL19" s="72"/>
      <c r="IGM19" s="72"/>
      <c r="IGN19" s="72"/>
      <c r="IGO19" s="72"/>
      <c r="IGP19" s="72"/>
      <c r="IGQ19" s="72"/>
      <c r="IGR19" s="72"/>
      <c r="IGS19" s="72"/>
      <c r="IGT19" s="72"/>
      <c r="IGU19" s="72"/>
      <c r="IGV19" s="72"/>
      <c r="IGW19" s="72"/>
      <c r="IGX19" s="72"/>
      <c r="IGY19" s="72"/>
      <c r="IGZ19" s="72"/>
      <c r="IHA19" s="72"/>
      <c r="IHB19" s="72"/>
      <c r="IHC19" s="72"/>
      <c r="IHD19" s="72"/>
      <c r="IHE19" s="72"/>
      <c r="IHF19" s="72"/>
      <c r="IHG19" s="72"/>
      <c r="IHH19" s="72"/>
      <c r="IHI19" s="72"/>
      <c r="IHJ19" s="72"/>
      <c r="IHK19" s="72"/>
      <c r="IHL19" s="72"/>
      <c r="IHM19" s="72"/>
      <c r="IHN19" s="72"/>
      <c r="IHO19" s="72"/>
      <c r="IHP19" s="72"/>
      <c r="IHQ19" s="72"/>
      <c r="IHR19" s="72"/>
      <c r="IHS19" s="72"/>
      <c r="IHT19" s="72"/>
      <c r="IHU19" s="72"/>
      <c r="IHV19" s="72"/>
      <c r="IHW19" s="72"/>
      <c r="IHX19" s="72"/>
      <c r="IHY19" s="72"/>
      <c r="IHZ19" s="72"/>
      <c r="IIA19" s="72"/>
      <c r="IIB19" s="72"/>
      <c r="IIC19" s="72"/>
      <c r="IID19" s="72"/>
      <c r="IIE19" s="72"/>
      <c r="IIF19" s="72"/>
      <c r="IIG19" s="72"/>
      <c r="IIH19" s="72"/>
      <c r="III19" s="72"/>
      <c r="IIJ19" s="72"/>
      <c r="IIK19" s="72"/>
      <c r="IIL19" s="72"/>
      <c r="IIM19" s="72"/>
      <c r="IIN19" s="72"/>
      <c r="IIO19" s="72"/>
      <c r="IIP19" s="72"/>
      <c r="IIQ19" s="72"/>
      <c r="IIR19" s="72"/>
      <c r="IIS19" s="72"/>
      <c r="IIT19" s="72"/>
      <c r="IIU19" s="72"/>
      <c r="IIV19" s="72"/>
      <c r="IIW19" s="72"/>
      <c r="IIX19" s="72"/>
      <c r="IIY19" s="72"/>
      <c r="IIZ19" s="72"/>
      <c r="IJA19" s="72"/>
      <c r="IJB19" s="72"/>
      <c r="IJC19" s="72"/>
      <c r="IJD19" s="72"/>
      <c r="IJE19" s="72"/>
      <c r="IJF19" s="72"/>
      <c r="IJG19" s="72"/>
      <c r="IJH19" s="72"/>
      <c r="IJI19" s="72"/>
      <c r="IJJ19" s="72"/>
      <c r="IJK19" s="72"/>
      <c r="IJL19" s="72"/>
      <c r="IJM19" s="72"/>
      <c r="IJN19" s="72"/>
      <c r="IJO19" s="72"/>
      <c r="IJP19" s="72"/>
      <c r="IJQ19" s="72"/>
      <c r="IJR19" s="72"/>
      <c r="IJS19" s="72"/>
      <c r="IJT19" s="72"/>
      <c r="IJU19" s="72"/>
      <c r="IJV19" s="72"/>
      <c r="IJW19" s="72"/>
      <c r="IJX19" s="72"/>
      <c r="IJY19" s="72"/>
      <c r="IJZ19" s="72"/>
      <c r="IKA19" s="72"/>
      <c r="IKB19" s="72"/>
      <c r="IKC19" s="72"/>
      <c r="IKD19" s="72"/>
      <c r="IKE19" s="72"/>
      <c r="IKF19" s="72"/>
      <c r="IKG19" s="72"/>
      <c r="IKH19" s="72"/>
      <c r="IKI19" s="72"/>
      <c r="IKJ19" s="72"/>
      <c r="IKK19" s="72"/>
      <c r="IKL19" s="72"/>
      <c r="IKM19" s="72"/>
      <c r="IKN19" s="72"/>
      <c r="IKO19" s="72"/>
      <c r="IKP19" s="72"/>
      <c r="IKQ19" s="72"/>
      <c r="IKR19" s="72"/>
      <c r="IKS19" s="72"/>
      <c r="IKT19" s="72"/>
      <c r="IKU19" s="72"/>
      <c r="IKV19" s="72"/>
      <c r="IKW19" s="72"/>
      <c r="IKX19" s="72"/>
      <c r="IKY19" s="72"/>
      <c r="IKZ19" s="72"/>
      <c r="ILA19" s="72"/>
      <c r="ILB19" s="72"/>
      <c r="ILC19" s="72"/>
      <c r="ILD19" s="72"/>
      <c r="ILE19" s="72"/>
      <c r="ILF19" s="72"/>
      <c r="ILG19" s="72"/>
      <c r="ILH19" s="72"/>
      <c r="ILI19" s="72"/>
      <c r="ILJ19" s="72"/>
      <c r="ILK19" s="72"/>
      <c r="ILL19" s="72"/>
      <c r="ILM19" s="72"/>
      <c r="ILN19" s="72"/>
      <c r="ILO19" s="72"/>
      <c r="ILP19" s="72"/>
      <c r="ILQ19" s="72"/>
      <c r="ILR19" s="72"/>
      <c r="ILS19" s="72"/>
      <c r="ILT19" s="72"/>
      <c r="ILU19" s="72"/>
      <c r="ILV19" s="72"/>
      <c r="ILW19" s="72"/>
      <c r="ILX19" s="72"/>
      <c r="ILY19" s="72"/>
      <c r="ILZ19" s="72"/>
      <c r="IMA19" s="72"/>
      <c r="IMB19" s="72"/>
      <c r="IMC19" s="72"/>
      <c r="IMD19" s="72"/>
      <c r="IME19" s="72"/>
      <c r="IMF19" s="72"/>
      <c r="IMG19" s="72"/>
      <c r="IMH19" s="72"/>
      <c r="IMI19" s="72"/>
      <c r="IMJ19" s="72"/>
      <c r="IMK19" s="72"/>
      <c r="IML19" s="72"/>
      <c r="IMM19" s="72"/>
      <c r="IMN19" s="72"/>
      <c r="IMO19" s="72"/>
      <c r="IMP19" s="72"/>
      <c r="IMQ19" s="72"/>
      <c r="IMR19" s="72"/>
      <c r="IMS19" s="72"/>
      <c r="IMT19" s="72"/>
      <c r="IMU19" s="72"/>
      <c r="IMV19" s="72"/>
      <c r="IMW19" s="72"/>
      <c r="IMX19" s="72"/>
      <c r="IMY19" s="72"/>
      <c r="IMZ19" s="72"/>
      <c r="INA19" s="72"/>
      <c r="INB19" s="72"/>
      <c r="INC19" s="72"/>
      <c r="IND19" s="72"/>
      <c r="INE19" s="72"/>
      <c r="INF19" s="72"/>
      <c r="ING19" s="72"/>
      <c r="INH19" s="72"/>
      <c r="INI19" s="72"/>
      <c r="INJ19" s="72"/>
      <c r="INK19" s="72"/>
      <c r="INL19" s="72"/>
      <c r="INM19" s="72"/>
      <c r="INN19" s="72"/>
      <c r="INO19" s="72"/>
      <c r="INP19" s="72"/>
      <c r="INQ19" s="72"/>
      <c r="INR19" s="72"/>
      <c r="INS19" s="72"/>
      <c r="INT19" s="72"/>
      <c r="INU19" s="72"/>
      <c r="INV19" s="72"/>
      <c r="INW19" s="72"/>
      <c r="INX19" s="72"/>
      <c r="INY19" s="72"/>
      <c r="INZ19" s="72"/>
      <c r="IOA19" s="72"/>
      <c r="IOB19" s="72"/>
      <c r="IOC19" s="72"/>
      <c r="IOD19" s="72"/>
      <c r="IOE19" s="72"/>
      <c r="IOF19" s="72"/>
      <c r="IOG19" s="72"/>
      <c r="IOH19" s="72"/>
      <c r="IOI19" s="72"/>
      <c r="IOJ19" s="72"/>
      <c r="IOK19" s="72"/>
      <c r="IOL19" s="72"/>
      <c r="IOM19" s="72"/>
      <c r="ION19" s="72"/>
      <c r="IOO19" s="72"/>
      <c r="IOP19" s="72"/>
      <c r="IOQ19" s="72"/>
      <c r="IOR19" s="72"/>
      <c r="IOS19" s="72"/>
      <c r="IOT19" s="72"/>
      <c r="IOU19" s="72"/>
      <c r="IOV19" s="72"/>
      <c r="IOW19" s="72"/>
      <c r="IOX19" s="72"/>
      <c r="IOY19" s="72"/>
      <c r="IOZ19" s="72"/>
      <c r="IPA19" s="72"/>
      <c r="IPB19" s="72"/>
      <c r="IPC19" s="72"/>
      <c r="IPD19" s="72"/>
      <c r="IPE19" s="72"/>
      <c r="IPF19" s="72"/>
      <c r="IPG19" s="72"/>
      <c r="IPH19" s="72"/>
      <c r="IPI19" s="72"/>
      <c r="IPJ19" s="72"/>
      <c r="IPK19" s="72"/>
      <c r="IPL19" s="72"/>
      <c r="IPM19" s="72"/>
      <c r="IPN19" s="72"/>
      <c r="IPO19" s="72"/>
      <c r="IPP19" s="72"/>
      <c r="IPQ19" s="72"/>
      <c r="IPR19" s="72"/>
      <c r="IPS19" s="72"/>
      <c r="IPT19" s="72"/>
      <c r="IPU19" s="72"/>
      <c r="IPV19" s="72"/>
      <c r="IPW19" s="72"/>
      <c r="IPX19" s="72"/>
      <c r="IPY19" s="72"/>
      <c r="IPZ19" s="72"/>
      <c r="IQA19" s="72"/>
      <c r="IQB19" s="72"/>
      <c r="IQC19" s="72"/>
      <c r="IQD19" s="72"/>
      <c r="IQE19" s="72"/>
      <c r="IQF19" s="72"/>
      <c r="IQG19" s="72"/>
      <c r="IQH19" s="72"/>
      <c r="IQI19" s="72"/>
      <c r="IQJ19" s="72"/>
      <c r="IQK19" s="72"/>
      <c r="IQL19" s="72"/>
      <c r="IQM19" s="72"/>
      <c r="IQN19" s="72"/>
      <c r="IQO19" s="72"/>
      <c r="IQP19" s="72"/>
      <c r="IQQ19" s="72"/>
      <c r="IQR19" s="72"/>
      <c r="IQS19" s="72"/>
      <c r="IQT19" s="72"/>
      <c r="IQU19" s="72"/>
      <c r="IQV19" s="72"/>
      <c r="IQW19" s="72"/>
      <c r="IQX19" s="72"/>
      <c r="IQY19" s="72"/>
      <c r="IQZ19" s="72"/>
      <c r="IRA19" s="72"/>
      <c r="IRB19" s="72"/>
      <c r="IRC19" s="72"/>
      <c r="IRD19" s="72"/>
      <c r="IRE19" s="72"/>
      <c r="IRF19" s="72"/>
      <c r="IRG19" s="72"/>
      <c r="IRH19" s="72"/>
      <c r="IRI19" s="72"/>
      <c r="IRJ19" s="72"/>
      <c r="IRK19" s="72"/>
      <c r="IRL19" s="72"/>
      <c r="IRM19" s="72"/>
      <c r="IRN19" s="72"/>
      <c r="IRO19" s="72"/>
      <c r="IRP19" s="72"/>
      <c r="IRQ19" s="72"/>
      <c r="IRR19" s="72"/>
      <c r="IRS19" s="72"/>
      <c r="IRT19" s="72"/>
      <c r="IRU19" s="72"/>
      <c r="IRV19" s="72"/>
      <c r="IRW19" s="72"/>
      <c r="IRX19" s="72"/>
      <c r="IRY19" s="72"/>
      <c r="IRZ19" s="72"/>
      <c r="ISA19" s="72"/>
      <c r="ISB19" s="72"/>
      <c r="ISC19" s="72"/>
      <c r="ISD19" s="72"/>
      <c r="ISE19" s="72"/>
      <c r="ISF19" s="72"/>
      <c r="ISG19" s="72"/>
      <c r="ISH19" s="72"/>
      <c r="ISI19" s="72"/>
      <c r="ISJ19" s="72"/>
      <c r="ISK19" s="72"/>
      <c r="ISL19" s="72"/>
      <c r="ISM19" s="72"/>
      <c r="ISN19" s="72"/>
      <c r="ISO19" s="72"/>
      <c r="ISP19" s="72"/>
      <c r="ISQ19" s="72"/>
      <c r="ISR19" s="72"/>
      <c r="ISS19" s="72"/>
      <c r="IST19" s="72"/>
      <c r="ISU19" s="72"/>
      <c r="ISV19" s="72"/>
      <c r="ISW19" s="72"/>
      <c r="ISX19" s="72"/>
      <c r="ISY19" s="72"/>
      <c r="ISZ19" s="72"/>
      <c r="ITA19" s="72"/>
      <c r="ITB19" s="72"/>
      <c r="ITC19" s="72"/>
      <c r="ITD19" s="72"/>
      <c r="ITE19" s="72"/>
      <c r="ITF19" s="72"/>
      <c r="ITG19" s="72"/>
      <c r="ITH19" s="72"/>
      <c r="ITI19" s="72"/>
      <c r="ITJ19" s="72"/>
      <c r="ITK19" s="72"/>
      <c r="ITL19" s="72"/>
      <c r="ITM19" s="72"/>
      <c r="ITN19" s="72"/>
      <c r="ITO19" s="72"/>
      <c r="ITP19" s="72"/>
      <c r="ITQ19" s="72"/>
      <c r="ITR19" s="72"/>
      <c r="ITS19" s="72"/>
      <c r="ITT19" s="72"/>
      <c r="ITU19" s="72"/>
      <c r="ITV19" s="72"/>
      <c r="ITW19" s="72"/>
      <c r="ITX19" s="72"/>
      <c r="ITY19" s="72"/>
      <c r="ITZ19" s="72"/>
      <c r="IUA19" s="72"/>
      <c r="IUB19" s="72"/>
      <c r="IUC19" s="72"/>
      <c r="IUD19" s="72"/>
      <c r="IUE19" s="72"/>
      <c r="IUF19" s="72"/>
      <c r="IUG19" s="72"/>
      <c r="IUH19" s="72"/>
      <c r="IUI19" s="72"/>
      <c r="IUJ19" s="72"/>
      <c r="IUK19" s="72"/>
      <c r="IUL19" s="72"/>
      <c r="IUM19" s="72"/>
      <c r="IUN19" s="72"/>
      <c r="IUO19" s="72"/>
      <c r="IUP19" s="72"/>
      <c r="IUQ19" s="72"/>
      <c r="IUR19" s="72"/>
      <c r="IUS19" s="72"/>
      <c r="IUT19" s="72"/>
      <c r="IUU19" s="72"/>
      <c r="IUV19" s="72"/>
      <c r="IUW19" s="72"/>
      <c r="IUX19" s="72"/>
      <c r="IUY19" s="72"/>
      <c r="IUZ19" s="72"/>
      <c r="IVA19" s="72"/>
      <c r="IVB19" s="72"/>
      <c r="IVC19" s="72"/>
      <c r="IVD19" s="72"/>
      <c r="IVE19" s="72"/>
      <c r="IVF19" s="72"/>
      <c r="IVG19" s="72"/>
      <c r="IVH19" s="72"/>
      <c r="IVI19" s="72"/>
      <c r="IVJ19" s="72"/>
      <c r="IVK19" s="72"/>
      <c r="IVL19" s="72"/>
      <c r="IVM19" s="72"/>
      <c r="IVN19" s="72"/>
      <c r="IVO19" s="72"/>
      <c r="IVP19" s="72"/>
      <c r="IVQ19" s="72"/>
      <c r="IVR19" s="72"/>
      <c r="IVS19" s="72"/>
      <c r="IVT19" s="72"/>
      <c r="IVU19" s="72"/>
      <c r="IVV19" s="72"/>
      <c r="IVW19" s="72"/>
      <c r="IVX19" s="72"/>
      <c r="IVY19" s="72"/>
      <c r="IVZ19" s="72"/>
      <c r="IWA19" s="72"/>
      <c r="IWB19" s="72"/>
      <c r="IWC19" s="72"/>
      <c r="IWD19" s="72"/>
      <c r="IWE19" s="72"/>
      <c r="IWF19" s="72"/>
      <c r="IWG19" s="72"/>
      <c r="IWH19" s="72"/>
      <c r="IWI19" s="72"/>
      <c r="IWJ19" s="72"/>
      <c r="IWK19" s="72"/>
      <c r="IWL19" s="72"/>
      <c r="IWM19" s="72"/>
      <c r="IWN19" s="72"/>
      <c r="IWO19" s="72"/>
      <c r="IWP19" s="72"/>
      <c r="IWQ19" s="72"/>
      <c r="IWR19" s="72"/>
      <c r="IWS19" s="72"/>
      <c r="IWT19" s="72"/>
      <c r="IWU19" s="72"/>
      <c r="IWV19" s="72"/>
      <c r="IWW19" s="72"/>
      <c r="IWX19" s="72"/>
      <c r="IWY19" s="72"/>
      <c r="IWZ19" s="72"/>
      <c r="IXA19" s="72"/>
      <c r="IXB19" s="72"/>
      <c r="IXC19" s="72"/>
      <c r="IXD19" s="72"/>
      <c r="IXE19" s="72"/>
      <c r="IXF19" s="72"/>
      <c r="IXG19" s="72"/>
      <c r="IXH19" s="72"/>
      <c r="IXI19" s="72"/>
      <c r="IXJ19" s="72"/>
      <c r="IXK19" s="72"/>
      <c r="IXL19" s="72"/>
      <c r="IXM19" s="72"/>
      <c r="IXN19" s="72"/>
      <c r="IXO19" s="72"/>
      <c r="IXP19" s="72"/>
      <c r="IXQ19" s="72"/>
      <c r="IXR19" s="72"/>
      <c r="IXS19" s="72"/>
      <c r="IXT19" s="72"/>
      <c r="IXU19" s="72"/>
      <c r="IXV19" s="72"/>
      <c r="IXW19" s="72"/>
      <c r="IXX19" s="72"/>
      <c r="IXY19" s="72"/>
      <c r="IXZ19" s="72"/>
      <c r="IYA19" s="72"/>
      <c r="IYB19" s="72"/>
      <c r="IYC19" s="72"/>
      <c r="IYD19" s="72"/>
      <c r="IYE19" s="72"/>
      <c r="IYF19" s="72"/>
      <c r="IYG19" s="72"/>
      <c r="IYH19" s="72"/>
      <c r="IYI19" s="72"/>
      <c r="IYJ19" s="72"/>
      <c r="IYK19" s="72"/>
      <c r="IYL19" s="72"/>
      <c r="IYM19" s="72"/>
      <c r="IYN19" s="72"/>
      <c r="IYO19" s="72"/>
      <c r="IYP19" s="72"/>
      <c r="IYQ19" s="72"/>
      <c r="IYR19" s="72"/>
      <c r="IYS19" s="72"/>
      <c r="IYT19" s="72"/>
      <c r="IYU19" s="72"/>
      <c r="IYV19" s="72"/>
      <c r="IYW19" s="72"/>
      <c r="IYX19" s="72"/>
      <c r="IYY19" s="72"/>
      <c r="IYZ19" s="72"/>
      <c r="IZA19" s="72"/>
      <c r="IZB19" s="72"/>
      <c r="IZC19" s="72"/>
      <c r="IZD19" s="72"/>
      <c r="IZE19" s="72"/>
      <c r="IZF19" s="72"/>
      <c r="IZG19" s="72"/>
      <c r="IZH19" s="72"/>
      <c r="IZI19" s="72"/>
      <c r="IZJ19" s="72"/>
      <c r="IZK19" s="72"/>
      <c r="IZL19" s="72"/>
      <c r="IZM19" s="72"/>
      <c r="IZN19" s="72"/>
      <c r="IZO19" s="72"/>
      <c r="IZP19" s="72"/>
      <c r="IZQ19" s="72"/>
      <c r="IZR19" s="72"/>
      <c r="IZS19" s="72"/>
      <c r="IZT19" s="72"/>
      <c r="IZU19" s="72"/>
      <c r="IZV19" s="72"/>
      <c r="IZW19" s="72"/>
      <c r="IZX19" s="72"/>
      <c r="IZY19" s="72"/>
      <c r="IZZ19" s="72"/>
      <c r="JAA19" s="72"/>
      <c r="JAB19" s="72"/>
      <c r="JAC19" s="72"/>
      <c r="JAD19" s="72"/>
      <c r="JAE19" s="72"/>
      <c r="JAF19" s="72"/>
      <c r="JAG19" s="72"/>
      <c r="JAH19" s="72"/>
      <c r="JAI19" s="72"/>
      <c r="JAJ19" s="72"/>
      <c r="JAK19" s="72"/>
      <c r="JAL19" s="72"/>
      <c r="JAM19" s="72"/>
      <c r="JAN19" s="72"/>
      <c r="JAO19" s="72"/>
      <c r="JAP19" s="72"/>
      <c r="JAQ19" s="72"/>
      <c r="JAR19" s="72"/>
      <c r="JAS19" s="72"/>
      <c r="JAT19" s="72"/>
      <c r="JAU19" s="72"/>
      <c r="JAV19" s="72"/>
      <c r="JAW19" s="72"/>
      <c r="JAX19" s="72"/>
      <c r="JAY19" s="72"/>
      <c r="JAZ19" s="72"/>
      <c r="JBA19" s="72"/>
      <c r="JBB19" s="72"/>
      <c r="JBC19" s="72"/>
      <c r="JBD19" s="72"/>
      <c r="JBE19" s="72"/>
      <c r="JBF19" s="72"/>
      <c r="JBG19" s="72"/>
      <c r="JBH19" s="72"/>
      <c r="JBI19" s="72"/>
      <c r="JBJ19" s="72"/>
      <c r="JBK19" s="72"/>
      <c r="JBL19" s="72"/>
      <c r="JBM19" s="72"/>
      <c r="JBN19" s="72"/>
      <c r="JBO19" s="72"/>
      <c r="JBP19" s="72"/>
      <c r="JBQ19" s="72"/>
      <c r="JBR19" s="72"/>
      <c r="JBS19" s="72"/>
      <c r="JBT19" s="72"/>
      <c r="JBU19" s="72"/>
      <c r="JBV19" s="72"/>
      <c r="JBW19" s="72"/>
      <c r="JBX19" s="72"/>
      <c r="JBY19" s="72"/>
      <c r="JBZ19" s="72"/>
      <c r="JCA19" s="72"/>
      <c r="JCB19" s="72"/>
      <c r="JCC19" s="72"/>
      <c r="JCD19" s="72"/>
      <c r="JCE19" s="72"/>
      <c r="JCF19" s="72"/>
      <c r="JCG19" s="72"/>
      <c r="JCH19" s="72"/>
      <c r="JCI19" s="72"/>
      <c r="JCJ19" s="72"/>
      <c r="JCK19" s="72"/>
      <c r="JCL19" s="72"/>
      <c r="JCM19" s="72"/>
      <c r="JCN19" s="72"/>
      <c r="JCO19" s="72"/>
      <c r="JCP19" s="72"/>
      <c r="JCQ19" s="72"/>
      <c r="JCR19" s="72"/>
      <c r="JCS19" s="72"/>
      <c r="JCT19" s="72"/>
      <c r="JCU19" s="72"/>
      <c r="JCV19" s="72"/>
      <c r="JCW19" s="72"/>
      <c r="JCX19" s="72"/>
      <c r="JCY19" s="72"/>
      <c r="JCZ19" s="72"/>
      <c r="JDA19" s="72"/>
      <c r="JDB19" s="72"/>
      <c r="JDC19" s="72"/>
      <c r="JDD19" s="72"/>
      <c r="JDE19" s="72"/>
      <c r="JDF19" s="72"/>
      <c r="JDG19" s="72"/>
      <c r="JDH19" s="72"/>
      <c r="JDI19" s="72"/>
      <c r="JDJ19" s="72"/>
      <c r="JDK19" s="72"/>
      <c r="JDL19" s="72"/>
      <c r="JDM19" s="72"/>
      <c r="JDN19" s="72"/>
      <c r="JDO19" s="72"/>
      <c r="JDP19" s="72"/>
      <c r="JDQ19" s="72"/>
      <c r="JDR19" s="72"/>
      <c r="JDS19" s="72"/>
      <c r="JDT19" s="72"/>
      <c r="JDU19" s="72"/>
      <c r="JDV19" s="72"/>
      <c r="JDW19" s="72"/>
      <c r="JDX19" s="72"/>
      <c r="JDY19" s="72"/>
      <c r="JDZ19" s="72"/>
      <c r="JEA19" s="72"/>
      <c r="JEB19" s="72"/>
      <c r="JEC19" s="72"/>
      <c r="JED19" s="72"/>
      <c r="JEE19" s="72"/>
      <c r="JEF19" s="72"/>
      <c r="JEG19" s="72"/>
      <c r="JEH19" s="72"/>
      <c r="JEI19" s="72"/>
      <c r="JEJ19" s="72"/>
      <c r="JEK19" s="72"/>
      <c r="JEL19" s="72"/>
      <c r="JEM19" s="72"/>
      <c r="JEN19" s="72"/>
      <c r="JEO19" s="72"/>
      <c r="JEP19" s="72"/>
      <c r="JEQ19" s="72"/>
      <c r="JER19" s="72"/>
      <c r="JES19" s="72"/>
      <c r="JET19" s="72"/>
      <c r="JEU19" s="72"/>
      <c r="JEV19" s="72"/>
      <c r="JEW19" s="72"/>
      <c r="JEX19" s="72"/>
      <c r="JEY19" s="72"/>
      <c r="JEZ19" s="72"/>
      <c r="JFA19" s="72"/>
      <c r="JFB19" s="72"/>
      <c r="JFC19" s="72"/>
      <c r="JFD19" s="72"/>
      <c r="JFE19" s="72"/>
      <c r="JFF19" s="72"/>
      <c r="JFG19" s="72"/>
      <c r="JFH19" s="72"/>
      <c r="JFI19" s="72"/>
      <c r="JFJ19" s="72"/>
      <c r="JFK19" s="72"/>
      <c r="JFL19" s="72"/>
      <c r="JFM19" s="72"/>
      <c r="JFN19" s="72"/>
      <c r="JFO19" s="72"/>
      <c r="JFP19" s="72"/>
      <c r="JFQ19" s="72"/>
      <c r="JFR19" s="72"/>
      <c r="JFS19" s="72"/>
      <c r="JFT19" s="72"/>
      <c r="JFU19" s="72"/>
      <c r="JFV19" s="72"/>
      <c r="JFW19" s="72"/>
      <c r="JFX19" s="72"/>
      <c r="JFY19" s="72"/>
      <c r="JFZ19" s="72"/>
      <c r="JGA19" s="72"/>
      <c r="JGB19" s="72"/>
      <c r="JGC19" s="72"/>
      <c r="JGD19" s="72"/>
      <c r="JGE19" s="72"/>
      <c r="JGF19" s="72"/>
      <c r="JGG19" s="72"/>
      <c r="JGH19" s="72"/>
      <c r="JGI19" s="72"/>
      <c r="JGJ19" s="72"/>
      <c r="JGK19" s="72"/>
      <c r="JGL19" s="72"/>
      <c r="JGM19" s="72"/>
      <c r="JGN19" s="72"/>
      <c r="JGO19" s="72"/>
      <c r="JGP19" s="72"/>
      <c r="JGQ19" s="72"/>
      <c r="JGR19" s="72"/>
      <c r="JGS19" s="72"/>
      <c r="JGT19" s="72"/>
      <c r="JGU19" s="72"/>
      <c r="JGV19" s="72"/>
      <c r="JGW19" s="72"/>
      <c r="JGX19" s="72"/>
      <c r="JGY19" s="72"/>
      <c r="JGZ19" s="72"/>
      <c r="JHA19" s="72"/>
      <c r="JHB19" s="72"/>
      <c r="JHC19" s="72"/>
      <c r="JHD19" s="72"/>
      <c r="JHE19" s="72"/>
      <c r="JHF19" s="72"/>
      <c r="JHG19" s="72"/>
      <c r="JHH19" s="72"/>
      <c r="JHI19" s="72"/>
      <c r="JHJ19" s="72"/>
      <c r="JHK19" s="72"/>
      <c r="JHL19" s="72"/>
      <c r="JHM19" s="72"/>
      <c r="JHN19" s="72"/>
      <c r="JHO19" s="72"/>
      <c r="JHP19" s="72"/>
      <c r="JHQ19" s="72"/>
      <c r="JHR19" s="72"/>
      <c r="JHS19" s="72"/>
      <c r="JHT19" s="72"/>
      <c r="JHU19" s="72"/>
      <c r="JHV19" s="72"/>
      <c r="JHW19" s="72"/>
      <c r="JHX19" s="72"/>
      <c r="JHY19" s="72"/>
      <c r="JHZ19" s="72"/>
      <c r="JIA19" s="72"/>
      <c r="JIB19" s="72"/>
      <c r="JIC19" s="72"/>
      <c r="JID19" s="72"/>
      <c r="JIE19" s="72"/>
      <c r="JIF19" s="72"/>
      <c r="JIG19" s="72"/>
      <c r="JIH19" s="72"/>
      <c r="JII19" s="72"/>
      <c r="JIJ19" s="72"/>
      <c r="JIK19" s="72"/>
      <c r="JIL19" s="72"/>
      <c r="JIM19" s="72"/>
      <c r="JIN19" s="72"/>
      <c r="JIO19" s="72"/>
      <c r="JIP19" s="72"/>
      <c r="JIQ19" s="72"/>
      <c r="JIR19" s="72"/>
      <c r="JIS19" s="72"/>
      <c r="JIT19" s="72"/>
      <c r="JIU19" s="72"/>
      <c r="JIV19" s="72"/>
      <c r="JIW19" s="72"/>
      <c r="JIX19" s="72"/>
      <c r="JIY19" s="72"/>
      <c r="JIZ19" s="72"/>
      <c r="JJA19" s="72"/>
      <c r="JJB19" s="72"/>
      <c r="JJC19" s="72"/>
      <c r="JJD19" s="72"/>
      <c r="JJE19" s="72"/>
      <c r="JJF19" s="72"/>
      <c r="JJG19" s="72"/>
      <c r="JJH19" s="72"/>
      <c r="JJI19" s="72"/>
      <c r="JJJ19" s="72"/>
      <c r="JJK19" s="72"/>
      <c r="JJL19" s="72"/>
      <c r="JJM19" s="72"/>
      <c r="JJN19" s="72"/>
      <c r="JJO19" s="72"/>
      <c r="JJP19" s="72"/>
      <c r="JJQ19" s="72"/>
      <c r="JJR19" s="72"/>
      <c r="JJS19" s="72"/>
      <c r="JJT19" s="72"/>
      <c r="JJU19" s="72"/>
      <c r="JJV19" s="72"/>
      <c r="JJW19" s="72"/>
      <c r="JJX19" s="72"/>
      <c r="JJY19" s="72"/>
      <c r="JJZ19" s="72"/>
      <c r="JKA19" s="72"/>
      <c r="JKB19" s="72"/>
      <c r="JKC19" s="72"/>
      <c r="JKD19" s="72"/>
      <c r="JKE19" s="72"/>
      <c r="JKF19" s="72"/>
      <c r="JKG19" s="72"/>
      <c r="JKH19" s="72"/>
      <c r="JKI19" s="72"/>
      <c r="JKJ19" s="72"/>
      <c r="JKK19" s="72"/>
      <c r="JKL19" s="72"/>
      <c r="JKM19" s="72"/>
      <c r="JKN19" s="72"/>
      <c r="JKO19" s="72"/>
      <c r="JKP19" s="72"/>
      <c r="JKQ19" s="72"/>
      <c r="JKR19" s="72"/>
      <c r="JKS19" s="72"/>
      <c r="JKT19" s="72"/>
      <c r="JKU19" s="72"/>
      <c r="JKV19" s="72"/>
      <c r="JKW19" s="72"/>
      <c r="JKX19" s="72"/>
      <c r="JKY19" s="72"/>
      <c r="JKZ19" s="72"/>
      <c r="JLA19" s="72"/>
      <c r="JLB19" s="72"/>
      <c r="JLC19" s="72"/>
      <c r="JLD19" s="72"/>
      <c r="JLE19" s="72"/>
      <c r="JLF19" s="72"/>
      <c r="JLG19" s="72"/>
      <c r="JLH19" s="72"/>
      <c r="JLI19" s="72"/>
      <c r="JLJ19" s="72"/>
      <c r="JLK19" s="72"/>
      <c r="JLL19" s="72"/>
      <c r="JLM19" s="72"/>
      <c r="JLN19" s="72"/>
      <c r="JLO19" s="72"/>
      <c r="JLP19" s="72"/>
      <c r="JLQ19" s="72"/>
      <c r="JLR19" s="72"/>
      <c r="JLS19" s="72"/>
      <c r="JLT19" s="72"/>
      <c r="JLU19" s="72"/>
      <c r="JLV19" s="72"/>
      <c r="JLW19" s="72"/>
      <c r="JLX19" s="72"/>
      <c r="JLY19" s="72"/>
      <c r="JLZ19" s="72"/>
      <c r="JMA19" s="72"/>
      <c r="JMB19" s="72"/>
      <c r="JMC19" s="72"/>
      <c r="JMD19" s="72"/>
      <c r="JME19" s="72"/>
      <c r="JMF19" s="72"/>
      <c r="JMG19" s="72"/>
      <c r="JMH19" s="72"/>
      <c r="JMI19" s="72"/>
      <c r="JMJ19" s="72"/>
      <c r="JMK19" s="72"/>
      <c r="JML19" s="72"/>
      <c r="JMM19" s="72"/>
      <c r="JMN19" s="72"/>
      <c r="JMO19" s="72"/>
      <c r="JMP19" s="72"/>
      <c r="JMQ19" s="72"/>
      <c r="JMR19" s="72"/>
      <c r="JMS19" s="72"/>
      <c r="JMT19" s="72"/>
      <c r="JMU19" s="72"/>
      <c r="JMV19" s="72"/>
      <c r="JMW19" s="72"/>
      <c r="JMX19" s="72"/>
      <c r="JMY19" s="72"/>
      <c r="JMZ19" s="72"/>
      <c r="JNA19" s="72"/>
      <c r="JNB19" s="72"/>
      <c r="JNC19" s="72"/>
      <c r="JND19" s="72"/>
      <c r="JNE19" s="72"/>
      <c r="JNF19" s="72"/>
      <c r="JNG19" s="72"/>
      <c r="JNH19" s="72"/>
      <c r="JNI19" s="72"/>
      <c r="JNJ19" s="72"/>
      <c r="JNK19" s="72"/>
      <c r="JNL19" s="72"/>
      <c r="JNM19" s="72"/>
      <c r="JNN19" s="72"/>
      <c r="JNO19" s="72"/>
      <c r="JNP19" s="72"/>
      <c r="JNQ19" s="72"/>
      <c r="JNR19" s="72"/>
      <c r="JNS19" s="72"/>
      <c r="JNT19" s="72"/>
      <c r="JNU19" s="72"/>
      <c r="JNV19" s="72"/>
      <c r="JNW19" s="72"/>
      <c r="JNX19" s="72"/>
      <c r="JNY19" s="72"/>
      <c r="JNZ19" s="72"/>
      <c r="JOA19" s="72"/>
      <c r="JOB19" s="72"/>
      <c r="JOC19" s="72"/>
      <c r="JOD19" s="72"/>
      <c r="JOE19" s="72"/>
      <c r="JOF19" s="72"/>
      <c r="JOG19" s="72"/>
      <c r="JOH19" s="72"/>
      <c r="JOI19" s="72"/>
      <c r="JOJ19" s="72"/>
      <c r="JOK19" s="72"/>
      <c r="JOL19" s="72"/>
      <c r="JOM19" s="72"/>
      <c r="JON19" s="72"/>
      <c r="JOO19" s="72"/>
      <c r="JOP19" s="72"/>
      <c r="JOQ19" s="72"/>
      <c r="JOR19" s="72"/>
      <c r="JOS19" s="72"/>
      <c r="JOT19" s="72"/>
      <c r="JOU19" s="72"/>
      <c r="JOV19" s="72"/>
      <c r="JOW19" s="72"/>
      <c r="JOX19" s="72"/>
      <c r="JOY19" s="72"/>
      <c r="JOZ19" s="72"/>
      <c r="JPA19" s="72"/>
      <c r="JPB19" s="72"/>
      <c r="JPC19" s="72"/>
      <c r="JPD19" s="72"/>
      <c r="JPE19" s="72"/>
      <c r="JPF19" s="72"/>
      <c r="JPG19" s="72"/>
      <c r="JPH19" s="72"/>
      <c r="JPI19" s="72"/>
      <c r="JPJ19" s="72"/>
      <c r="JPK19" s="72"/>
      <c r="JPL19" s="72"/>
      <c r="JPM19" s="72"/>
      <c r="JPN19" s="72"/>
      <c r="JPO19" s="72"/>
      <c r="JPP19" s="72"/>
      <c r="JPQ19" s="72"/>
      <c r="JPR19" s="72"/>
      <c r="JPS19" s="72"/>
      <c r="JPT19" s="72"/>
      <c r="JPU19" s="72"/>
      <c r="JPV19" s="72"/>
      <c r="JPW19" s="72"/>
      <c r="JPX19" s="72"/>
      <c r="JPY19" s="72"/>
      <c r="JPZ19" s="72"/>
      <c r="JQA19" s="72"/>
      <c r="JQB19" s="72"/>
      <c r="JQC19" s="72"/>
      <c r="JQD19" s="72"/>
      <c r="JQE19" s="72"/>
      <c r="JQF19" s="72"/>
      <c r="JQG19" s="72"/>
      <c r="JQH19" s="72"/>
      <c r="JQI19" s="72"/>
      <c r="JQJ19" s="72"/>
      <c r="JQK19" s="72"/>
      <c r="JQL19" s="72"/>
      <c r="JQM19" s="72"/>
      <c r="JQN19" s="72"/>
      <c r="JQO19" s="72"/>
      <c r="JQP19" s="72"/>
      <c r="JQQ19" s="72"/>
      <c r="JQR19" s="72"/>
      <c r="JQS19" s="72"/>
      <c r="JQT19" s="72"/>
      <c r="JQU19" s="72"/>
      <c r="JQV19" s="72"/>
      <c r="JQW19" s="72"/>
      <c r="JQX19" s="72"/>
      <c r="JQY19" s="72"/>
      <c r="JQZ19" s="72"/>
      <c r="JRA19" s="72"/>
      <c r="JRB19" s="72"/>
      <c r="JRC19" s="72"/>
      <c r="JRD19" s="72"/>
      <c r="JRE19" s="72"/>
      <c r="JRF19" s="72"/>
      <c r="JRG19" s="72"/>
      <c r="JRH19" s="72"/>
      <c r="JRI19" s="72"/>
      <c r="JRJ19" s="72"/>
      <c r="JRK19" s="72"/>
      <c r="JRL19" s="72"/>
      <c r="JRM19" s="72"/>
      <c r="JRN19" s="72"/>
      <c r="JRO19" s="72"/>
      <c r="JRP19" s="72"/>
      <c r="JRQ19" s="72"/>
      <c r="JRR19" s="72"/>
      <c r="JRS19" s="72"/>
      <c r="JRT19" s="72"/>
      <c r="JRU19" s="72"/>
      <c r="JRV19" s="72"/>
      <c r="JRW19" s="72"/>
      <c r="JRX19" s="72"/>
      <c r="JRY19" s="72"/>
      <c r="JRZ19" s="72"/>
      <c r="JSA19" s="72"/>
      <c r="JSB19" s="72"/>
      <c r="JSC19" s="72"/>
      <c r="JSD19" s="72"/>
      <c r="JSE19" s="72"/>
      <c r="JSF19" s="72"/>
      <c r="JSG19" s="72"/>
      <c r="JSH19" s="72"/>
      <c r="JSI19" s="72"/>
      <c r="JSJ19" s="72"/>
      <c r="JSK19" s="72"/>
      <c r="JSL19" s="72"/>
      <c r="JSM19" s="72"/>
      <c r="JSN19" s="72"/>
      <c r="JSO19" s="72"/>
      <c r="JSP19" s="72"/>
      <c r="JSQ19" s="72"/>
      <c r="JSR19" s="72"/>
      <c r="JSS19" s="72"/>
      <c r="JST19" s="72"/>
      <c r="JSU19" s="72"/>
      <c r="JSV19" s="72"/>
      <c r="JSW19" s="72"/>
      <c r="JSX19" s="72"/>
      <c r="JSY19" s="72"/>
      <c r="JSZ19" s="72"/>
      <c r="JTA19" s="72"/>
      <c r="JTB19" s="72"/>
      <c r="JTC19" s="72"/>
      <c r="JTD19" s="72"/>
      <c r="JTE19" s="72"/>
      <c r="JTF19" s="72"/>
      <c r="JTG19" s="72"/>
      <c r="JTH19" s="72"/>
      <c r="JTI19" s="72"/>
      <c r="JTJ19" s="72"/>
      <c r="JTK19" s="72"/>
      <c r="JTL19" s="72"/>
      <c r="JTM19" s="72"/>
      <c r="JTN19" s="72"/>
      <c r="JTO19" s="72"/>
      <c r="JTP19" s="72"/>
      <c r="JTQ19" s="72"/>
      <c r="JTR19" s="72"/>
      <c r="JTS19" s="72"/>
      <c r="JTT19" s="72"/>
      <c r="JTU19" s="72"/>
      <c r="JTV19" s="72"/>
      <c r="JTW19" s="72"/>
      <c r="JTX19" s="72"/>
      <c r="JTY19" s="72"/>
      <c r="JTZ19" s="72"/>
      <c r="JUA19" s="72"/>
      <c r="JUB19" s="72"/>
      <c r="JUC19" s="72"/>
      <c r="JUD19" s="72"/>
      <c r="JUE19" s="72"/>
      <c r="JUF19" s="72"/>
      <c r="JUG19" s="72"/>
      <c r="JUH19" s="72"/>
      <c r="JUI19" s="72"/>
      <c r="JUJ19" s="72"/>
      <c r="JUK19" s="72"/>
      <c r="JUL19" s="72"/>
      <c r="JUM19" s="72"/>
      <c r="JUN19" s="72"/>
      <c r="JUO19" s="72"/>
      <c r="JUP19" s="72"/>
      <c r="JUQ19" s="72"/>
      <c r="JUR19" s="72"/>
      <c r="JUS19" s="72"/>
      <c r="JUT19" s="72"/>
      <c r="JUU19" s="72"/>
      <c r="JUV19" s="72"/>
      <c r="JUW19" s="72"/>
      <c r="JUX19" s="72"/>
      <c r="JUY19" s="72"/>
      <c r="JUZ19" s="72"/>
      <c r="JVA19" s="72"/>
      <c r="JVB19" s="72"/>
      <c r="JVC19" s="72"/>
      <c r="JVD19" s="72"/>
      <c r="JVE19" s="72"/>
      <c r="JVF19" s="72"/>
      <c r="JVG19" s="72"/>
      <c r="JVH19" s="72"/>
      <c r="JVI19" s="72"/>
      <c r="JVJ19" s="72"/>
      <c r="JVK19" s="72"/>
      <c r="JVL19" s="72"/>
      <c r="JVM19" s="72"/>
      <c r="JVN19" s="72"/>
      <c r="JVO19" s="72"/>
      <c r="JVP19" s="72"/>
      <c r="JVQ19" s="72"/>
      <c r="JVR19" s="72"/>
      <c r="JVS19" s="72"/>
      <c r="JVT19" s="72"/>
      <c r="JVU19" s="72"/>
      <c r="JVV19" s="72"/>
      <c r="JVW19" s="72"/>
      <c r="JVX19" s="72"/>
      <c r="JVY19" s="72"/>
      <c r="JVZ19" s="72"/>
      <c r="JWA19" s="72"/>
      <c r="JWB19" s="72"/>
      <c r="JWC19" s="72"/>
      <c r="JWD19" s="72"/>
      <c r="JWE19" s="72"/>
      <c r="JWF19" s="72"/>
      <c r="JWG19" s="72"/>
      <c r="JWH19" s="72"/>
      <c r="JWI19" s="72"/>
      <c r="JWJ19" s="72"/>
      <c r="JWK19" s="72"/>
      <c r="JWL19" s="72"/>
      <c r="JWM19" s="72"/>
      <c r="JWN19" s="72"/>
      <c r="JWO19" s="72"/>
      <c r="JWP19" s="72"/>
      <c r="JWQ19" s="72"/>
      <c r="JWR19" s="72"/>
      <c r="JWS19" s="72"/>
      <c r="JWT19" s="72"/>
      <c r="JWU19" s="72"/>
      <c r="JWV19" s="72"/>
      <c r="JWW19" s="72"/>
      <c r="JWX19" s="72"/>
      <c r="JWY19" s="72"/>
      <c r="JWZ19" s="72"/>
      <c r="JXA19" s="72"/>
      <c r="JXB19" s="72"/>
      <c r="JXC19" s="72"/>
      <c r="JXD19" s="72"/>
      <c r="JXE19" s="72"/>
      <c r="JXF19" s="72"/>
      <c r="JXG19" s="72"/>
      <c r="JXH19" s="72"/>
      <c r="JXI19" s="72"/>
      <c r="JXJ19" s="72"/>
      <c r="JXK19" s="72"/>
      <c r="JXL19" s="72"/>
      <c r="JXM19" s="72"/>
      <c r="JXN19" s="72"/>
      <c r="JXO19" s="72"/>
      <c r="JXP19" s="72"/>
      <c r="JXQ19" s="72"/>
      <c r="JXR19" s="72"/>
      <c r="JXS19" s="72"/>
      <c r="JXT19" s="72"/>
      <c r="JXU19" s="72"/>
      <c r="JXV19" s="72"/>
      <c r="JXW19" s="72"/>
      <c r="JXX19" s="72"/>
      <c r="JXY19" s="72"/>
      <c r="JXZ19" s="72"/>
      <c r="JYA19" s="72"/>
      <c r="JYB19" s="72"/>
      <c r="JYC19" s="72"/>
      <c r="JYD19" s="72"/>
      <c r="JYE19" s="72"/>
      <c r="JYF19" s="72"/>
      <c r="JYG19" s="72"/>
      <c r="JYH19" s="72"/>
      <c r="JYI19" s="72"/>
      <c r="JYJ19" s="72"/>
      <c r="JYK19" s="72"/>
      <c r="JYL19" s="72"/>
      <c r="JYM19" s="72"/>
      <c r="JYN19" s="72"/>
      <c r="JYO19" s="72"/>
      <c r="JYP19" s="72"/>
      <c r="JYQ19" s="72"/>
      <c r="JYR19" s="72"/>
      <c r="JYS19" s="72"/>
      <c r="JYT19" s="72"/>
      <c r="JYU19" s="72"/>
      <c r="JYV19" s="72"/>
      <c r="JYW19" s="72"/>
      <c r="JYX19" s="72"/>
      <c r="JYY19" s="72"/>
      <c r="JYZ19" s="72"/>
      <c r="JZA19" s="72"/>
      <c r="JZB19" s="72"/>
      <c r="JZC19" s="72"/>
      <c r="JZD19" s="72"/>
      <c r="JZE19" s="72"/>
      <c r="JZF19" s="72"/>
      <c r="JZG19" s="72"/>
      <c r="JZH19" s="72"/>
      <c r="JZI19" s="72"/>
      <c r="JZJ19" s="72"/>
      <c r="JZK19" s="72"/>
      <c r="JZL19" s="72"/>
      <c r="JZM19" s="72"/>
      <c r="JZN19" s="72"/>
      <c r="JZO19" s="72"/>
      <c r="JZP19" s="72"/>
      <c r="JZQ19" s="72"/>
      <c r="JZR19" s="72"/>
      <c r="JZS19" s="72"/>
      <c r="JZT19" s="72"/>
      <c r="JZU19" s="72"/>
      <c r="JZV19" s="72"/>
      <c r="JZW19" s="72"/>
      <c r="JZX19" s="72"/>
      <c r="JZY19" s="72"/>
      <c r="JZZ19" s="72"/>
      <c r="KAA19" s="72"/>
      <c r="KAB19" s="72"/>
      <c r="KAC19" s="72"/>
      <c r="KAD19" s="72"/>
      <c r="KAE19" s="72"/>
      <c r="KAF19" s="72"/>
      <c r="KAG19" s="72"/>
      <c r="KAH19" s="72"/>
      <c r="KAI19" s="72"/>
      <c r="KAJ19" s="72"/>
      <c r="KAK19" s="72"/>
      <c r="KAL19" s="72"/>
      <c r="KAM19" s="72"/>
      <c r="KAN19" s="72"/>
      <c r="KAO19" s="72"/>
      <c r="KAP19" s="72"/>
      <c r="KAQ19" s="72"/>
      <c r="KAR19" s="72"/>
      <c r="KAS19" s="72"/>
      <c r="KAT19" s="72"/>
      <c r="KAU19" s="72"/>
      <c r="KAV19" s="72"/>
      <c r="KAW19" s="72"/>
      <c r="KAX19" s="72"/>
      <c r="KAY19" s="72"/>
      <c r="KAZ19" s="72"/>
      <c r="KBA19" s="72"/>
      <c r="KBB19" s="72"/>
      <c r="KBC19" s="72"/>
      <c r="KBD19" s="72"/>
      <c r="KBE19" s="72"/>
      <c r="KBF19" s="72"/>
      <c r="KBG19" s="72"/>
      <c r="KBH19" s="72"/>
      <c r="KBI19" s="72"/>
      <c r="KBJ19" s="72"/>
      <c r="KBK19" s="72"/>
      <c r="KBL19" s="72"/>
      <c r="KBM19" s="72"/>
      <c r="KBN19" s="72"/>
      <c r="KBO19" s="72"/>
      <c r="KBP19" s="72"/>
      <c r="KBQ19" s="72"/>
      <c r="KBR19" s="72"/>
      <c r="KBS19" s="72"/>
      <c r="KBT19" s="72"/>
      <c r="KBU19" s="72"/>
      <c r="KBV19" s="72"/>
      <c r="KBW19" s="72"/>
      <c r="KBX19" s="72"/>
      <c r="KBY19" s="72"/>
      <c r="KBZ19" s="72"/>
      <c r="KCA19" s="72"/>
      <c r="KCB19" s="72"/>
      <c r="KCC19" s="72"/>
      <c r="KCD19" s="72"/>
      <c r="KCE19" s="72"/>
      <c r="KCF19" s="72"/>
      <c r="KCG19" s="72"/>
      <c r="KCH19" s="72"/>
      <c r="KCI19" s="72"/>
      <c r="KCJ19" s="72"/>
      <c r="KCK19" s="72"/>
      <c r="KCL19" s="72"/>
      <c r="KCM19" s="72"/>
      <c r="KCN19" s="72"/>
      <c r="KCO19" s="72"/>
      <c r="KCP19" s="72"/>
      <c r="KCQ19" s="72"/>
      <c r="KCR19" s="72"/>
      <c r="KCS19" s="72"/>
      <c r="KCT19" s="72"/>
      <c r="KCU19" s="72"/>
      <c r="KCV19" s="72"/>
      <c r="KCW19" s="72"/>
      <c r="KCX19" s="72"/>
      <c r="KCY19" s="72"/>
      <c r="KCZ19" s="72"/>
      <c r="KDA19" s="72"/>
      <c r="KDB19" s="72"/>
      <c r="KDC19" s="72"/>
      <c r="KDD19" s="72"/>
      <c r="KDE19" s="72"/>
      <c r="KDF19" s="72"/>
      <c r="KDG19" s="72"/>
      <c r="KDH19" s="72"/>
      <c r="KDI19" s="72"/>
      <c r="KDJ19" s="72"/>
      <c r="KDK19" s="72"/>
      <c r="KDL19" s="72"/>
      <c r="KDM19" s="72"/>
      <c r="KDN19" s="72"/>
      <c r="KDO19" s="72"/>
      <c r="KDP19" s="72"/>
      <c r="KDQ19" s="72"/>
      <c r="KDR19" s="72"/>
      <c r="KDS19" s="72"/>
      <c r="KDT19" s="72"/>
      <c r="KDU19" s="72"/>
      <c r="KDV19" s="72"/>
      <c r="KDW19" s="72"/>
      <c r="KDX19" s="72"/>
      <c r="KDY19" s="72"/>
      <c r="KDZ19" s="72"/>
      <c r="KEA19" s="72"/>
      <c r="KEB19" s="72"/>
      <c r="KEC19" s="72"/>
      <c r="KED19" s="72"/>
      <c r="KEE19" s="72"/>
      <c r="KEF19" s="72"/>
      <c r="KEG19" s="72"/>
      <c r="KEH19" s="72"/>
      <c r="KEI19" s="72"/>
      <c r="KEJ19" s="72"/>
      <c r="KEK19" s="72"/>
      <c r="KEL19" s="72"/>
      <c r="KEM19" s="72"/>
      <c r="KEN19" s="72"/>
      <c r="KEO19" s="72"/>
      <c r="KEP19" s="72"/>
      <c r="KEQ19" s="72"/>
      <c r="KER19" s="72"/>
      <c r="KES19" s="72"/>
      <c r="KET19" s="72"/>
      <c r="KEU19" s="72"/>
      <c r="KEV19" s="72"/>
      <c r="KEW19" s="72"/>
      <c r="KEX19" s="72"/>
      <c r="KEY19" s="72"/>
      <c r="KEZ19" s="72"/>
      <c r="KFA19" s="72"/>
      <c r="KFB19" s="72"/>
      <c r="KFC19" s="72"/>
      <c r="KFD19" s="72"/>
      <c r="KFE19" s="72"/>
      <c r="KFF19" s="72"/>
      <c r="KFG19" s="72"/>
      <c r="KFH19" s="72"/>
      <c r="KFI19" s="72"/>
      <c r="KFJ19" s="72"/>
      <c r="KFK19" s="72"/>
      <c r="KFL19" s="72"/>
      <c r="KFM19" s="72"/>
      <c r="KFN19" s="72"/>
      <c r="KFO19" s="72"/>
      <c r="KFP19" s="72"/>
      <c r="KFQ19" s="72"/>
      <c r="KFR19" s="72"/>
      <c r="KFS19" s="72"/>
      <c r="KFT19" s="72"/>
      <c r="KFU19" s="72"/>
      <c r="KFV19" s="72"/>
      <c r="KFW19" s="72"/>
      <c r="KFX19" s="72"/>
      <c r="KFY19" s="72"/>
      <c r="KFZ19" s="72"/>
      <c r="KGA19" s="72"/>
      <c r="KGB19" s="72"/>
      <c r="KGC19" s="72"/>
      <c r="KGD19" s="72"/>
      <c r="KGE19" s="72"/>
      <c r="KGF19" s="72"/>
      <c r="KGG19" s="72"/>
      <c r="KGH19" s="72"/>
      <c r="KGI19" s="72"/>
      <c r="KGJ19" s="72"/>
      <c r="KGK19" s="72"/>
      <c r="KGL19" s="72"/>
      <c r="KGM19" s="72"/>
      <c r="KGN19" s="72"/>
      <c r="KGO19" s="72"/>
      <c r="KGP19" s="72"/>
      <c r="KGQ19" s="72"/>
      <c r="KGR19" s="72"/>
      <c r="KGS19" s="72"/>
      <c r="KGT19" s="72"/>
      <c r="KGU19" s="72"/>
      <c r="KGV19" s="72"/>
      <c r="KGW19" s="72"/>
      <c r="KGX19" s="72"/>
      <c r="KGY19" s="72"/>
      <c r="KGZ19" s="72"/>
      <c r="KHA19" s="72"/>
      <c r="KHB19" s="72"/>
      <c r="KHC19" s="72"/>
      <c r="KHD19" s="72"/>
      <c r="KHE19" s="72"/>
      <c r="KHF19" s="72"/>
      <c r="KHG19" s="72"/>
      <c r="KHH19" s="72"/>
      <c r="KHI19" s="72"/>
      <c r="KHJ19" s="72"/>
      <c r="KHK19" s="72"/>
      <c r="KHL19" s="72"/>
      <c r="KHM19" s="72"/>
      <c r="KHN19" s="72"/>
      <c r="KHO19" s="72"/>
      <c r="KHP19" s="72"/>
      <c r="KHQ19" s="72"/>
      <c r="KHR19" s="72"/>
      <c r="KHS19" s="72"/>
      <c r="KHT19" s="72"/>
      <c r="KHU19" s="72"/>
      <c r="KHV19" s="72"/>
      <c r="KHW19" s="72"/>
      <c r="KHX19" s="72"/>
      <c r="KHY19" s="72"/>
      <c r="KHZ19" s="72"/>
      <c r="KIA19" s="72"/>
      <c r="KIB19" s="72"/>
      <c r="KIC19" s="72"/>
      <c r="KID19" s="72"/>
      <c r="KIE19" s="72"/>
      <c r="KIF19" s="72"/>
      <c r="KIG19" s="72"/>
      <c r="KIH19" s="72"/>
      <c r="KII19" s="72"/>
      <c r="KIJ19" s="72"/>
      <c r="KIK19" s="72"/>
      <c r="KIL19" s="72"/>
      <c r="KIM19" s="72"/>
      <c r="KIN19" s="72"/>
      <c r="KIO19" s="72"/>
      <c r="KIP19" s="72"/>
      <c r="KIQ19" s="72"/>
      <c r="KIR19" s="72"/>
      <c r="KIS19" s="72"/>
      <c r="KIT19" s="72"/>
      <c r="KIU19" s="72"/>
      <c r="KIV19" s="72"/>
      <c r="KIW19" s="72"/>
      <c r="KIX19" s="72"/>
      <c r="KIY19" s="72"/>
      <c r="KIZ19" s="72"/>
      <c r="KJA19" s="72"/>
      <c r="KJB19" s="72"/>
      <c r="KJC19" s="72"/>
      <c r="KJD19" s="72"/>
      <c r="KJE19" s="72"/>
      <c r="KJF19" s="72"/>
      <c r="KJG19" s="72"/>
      <c r="KJH19" s="72"/>
      <c r="KJI19" s="72"/>
      <c r="KJJ19" s="72"/>
      <c r="KJK19" s="72"/>
      <c r="KJL19" s="72"/>
      <c r="KJM19" s="72"/>
      <c r="KJN19" s="72"/>
      <c r="KJO19" s="72"/>
      <c r="KJP19" s="72"/>
      <c r="KJQ19" s="72"/>
      <c r="KJR19" s="72"/>
      <c r="KJS19" s="72"/>
      <c r="KJT19" s="72"/>
      <c r="KJU19" s="72"/>
      <c r="KJV19" s="72"/>
      <c r="KJW19" s="72"/>
      <c r="KJX19" s="72"/>
      <c r="KJY19" s="72"/>
      <c r="KJZ19" s="72"/>
      <c r="KKA19" s="72"/>
      <c r="KKB19" s="72"/>
      <c r="KKC19" s="72"/>
      <c r="KKD19" s="72"/>
      <c r="KKE19" s="72"/>
      <c r="KKF19" s="72"/>
      <c r="KKG19" s="72"/>
      <c r="KKH19" s="72"/>
      <c r="KKI19" s="72"/>
      <c r="KKJ19" s="72"/>
      <c r="KKK19" s="72"/>
      <c r="KKL19" s="72"/>
      <c r="KKM19" s="72"/>
      <c r="KKN19" s="72"/>
      <c r="KKO19" s="72"/>
      <c r="KKP19" s="72"/>
      <c r="KKQ19" s="72"/>
      <c r="KKR19" s="72"/>
      <c r="KKS19" s="72"/>
      <c r="KKT19" s="72"/>
      <c r="KKU19" s="72"/>
      <c r="KKV19" s="72"/>
      <c r="KKW19" s="72"/>
      <c r="KKX19" s="72"/>
      <c r="KKY19" s="72"/>
      <c r="KKZ19" s="72"/>
      <c r="KLA19" s="72"/>
      <c r="KLB19" s="72"/>
      <c r="KLC19" s="72"/>
      <c r="KLD19" s="72"/>
      <c r="KLE19" s="72"/>
      <c r="KLF19" s="72"/>
      <c r="KLG19" s="72"/>
      <c r="KLH19" s="72"/>
      <c r="KLI19" s="72"/>
      <c r="KLJ19" s="72"/>
      <c r="KLK19" s="72"/>
      <c r="KLL19" s="72"/>
      <c r="KLM19" s="72"/>
      <c r="KLN19" s="72"/>
      <c r="KLO19" s="72"/>
      <c r="KLP19" s="72"/>
      <c r="KLQ19" s="72"/>
      <c r="KLR19" s="72"/>
      <c r="KLS19" s="72"/>
      <c r="KLT19" s="72"/>
      <c r="KLU19" s="72"/>
      <c r="KLV19" s="72"/>
      <c r="KLW19" s="72"/>
      <c r="KLX19" s="72"/>
      <c r="KLY19" s="72"/>
      <c r="KLZ19" s="72"/>
      <c r="KMA19" s="72"/>
      <c r="KMB19" s="72"/>
      <c r="KMC19" s="72"/>
      <c r="KMD19" s="72"/>
      <c r="KME19" s="72"/>
      <c r="KMF19" s="72"/>
      <c r="KMG19" s="72"/>
      <c r="KMH19" s="72"/>
      <c r="KMI19" s="72"/>
      <c r="KMJ19" s="72"/>
      <c r="KMK19" s="72"/>
      <c r="KML19" s="72"/>
      <c r="KMM19" s="72"/>
      <c r="KMN19" s="72"/>
      <c r="KMO19" s="72"/>
      <c r="KMP19" s="72"/>
      <c r="KMQ19" s="72"/>
      <c r="KMR19" s="72"/>
      <c r="KMS19" s="72"/>
      <c r="KMT19" s="72"/>
      <c r="KMU19" s="72"/>
      <c r="KMV19" s="72"/>
      <c r="KMW19" s="72"/>
      <c r="KMX19" s="72"/>
      <c r="KMY19" s="72"/>
      <c r="KMZ19" s="72"/>
      <c r="KNA19" s="72"/>
      <c r="KNB19" s="72"/>
      <c r="KNC19" s="72"/>
      <c r="KND19" s="72"/>
      <c r="KNE19" s="72"/>
      <c r="KNF19" s="72"/>
      <c r="KNG19" s="72"/>
      <c r="KNH19" s="72"/>
      <c r="KNI19" s="72"/>
      <c r="KNJ19" s="72"/>
      <c r="KNK19" s="72"/>
      <c r="KNL19" s="72"/>
      <c r="KNM19" s="72"/>
      <c r="KNN19" s="72"/>
      <c r="KNO19" s="72"/>
      <c r="KNP19" s="72"/>
      <c r="KNQ19" s="72"/>
      <c r="KNR19" s="72"/>
      <c r="KNS19" s="72"/>
      <c r="KNT19" s="72"/>
      <c r="KNU19" s="72"/>
      <c r="KNV19" s="72"/>
      <c r="KNW19" s="72"/>
      <c r="KNX19" s="72"/>
      <c r="KNY19" s="72"/>
      <c r="KNZ19" s="72"/>
      <c r="KOA19" s="72"/>
      <c r="KOB19" s="72"/>
      <c r="KOC19" s="72"/>
      <c r="KOD19" s="72"/>
      <c r="KOE19" s="72"/>
      <c r="KOF19" s="72"/>
      <c r="KOG19" s="72"/>
      <c r="KOH19" s="72"/>
      <c r="KOI19" s="72"/>
      <c r="KOJ19" s="72"/>
      <c r="KOK19" s="72"/>
      <c r="KOL19" s="72"/>
      <c r="KOM19" s="72"/>
      <c r="KON19" s="72"/>
      <c r="KOO19" s="72"/>
      <c r="KOP19" s="72"/>
      <c r="KOQ19" s="72"/>
      <c r="KOR19" s="72"/>
      <c r="KOS19" s="72"/>
      <c r="KOT19" s="72"/>
      <c r="KOU19" s="72"/>
      <c r="KOV19" s="72"/>
      <c r="KOW19" s="72"/>
      <c r="KOX19" s="72"/>
      <c r="KOY19" s="72"/>
      <c r="KOZ19" s="72"/>
      <c r="KPA19" s="72"/>
      <c r="KPB19" s="72"/>
      <c r="KPC19" s="72"/>
      <c r="KPD19" s="72"/>
      <c r="KPE19" s="72"/>
      <c r="KPF19" s="72"/>
      <c r="KPG19" s="72"/>
      <c r="KPH19" s="72"/>
      <c r="KPI19" s="72"/>
      <c r="KPJ19" s="72"/>
      <c r="KPK19" s="72"/>
      <c r="KPL19" s="72"/>
      <c r="KPM19" s="72"/>
      <c r="KPN19" s="72"/>
      <c r="KPO19" s="72"/>
      <c r="KPP19" s="72"/>
      <c r="KPQ19" s="72"/>
      <c r="KPR19" s="72"/>
      <c r="KPS19" s="72"/>
      <c r="KPT19" s="72"/>
      <c r="KPU19" s="72"/>
      <c r="KPV19" s="72"/>
      <c r="KPW19" s="72"/>
      <c r="KPX19" s="72"/>
      <c r="KPY19" s="72"/>
      <c r="KPZ19" s="72"/>
      <c r="KQA19" s="72"/>
      <c r="KQB19" s="72"/>
      <c r="KQC19" s="72"/>
      <c r="KQD19" s="72"/>
      <c r="KQE19" s="72"/>
      <c r="KQF19" s="72"/>
      <c r="KQG19" s="72"/>
      <c r="KQH19" s="72"/>
      <c r="KQI19" s="72"/>
      <c r="KQJ19" s="72"/>
      <c r="KQK19" s="72"/>
      <c r="KQL19" s="72"/>
      <c r="KQM19" s="72"/>
      <c r="KQN19" s="72"/>
      <c r="KQO19" s="72"/>
      <c r="KQP19" s="72"/>
      <c r="KQQ19" s="72"/>
      <c r="KQR19" s="72"/>
      <c r="KQS19" s="72"/>
      <c r="KQT19" s="72"/>
      <c r="KQU19" s="72"/>
      <c r="KQV19" s="72"/>
      <c r="KQW19" s="72"/>
      <c r="KQX19" s="72"/>
      <c r="KQY19" s="72"/>
      <c r="KQZ19" s="72"/>
      <c r="KRA19" s="72"/>
      <c r="KRB19" s="72"/>
      <c r="KRC19" s="72"/>
      <c r="KRD19" s="72"/>
      <c r="KRE19" s="72"/>
      <c r="KRF19" s="72"/>
      <c r="KRG19" s="72"/>
      <c r="KRH19" s="72"/>
      <c r="KRI19" s="72"/>
      <c r="KRJ19" s="72"/>
      <c r="KRK19" s="72"/>
      <c r="KRL19" s="72"/>
      <c r="KRM19" s="72"/>
      <c r="KRN19" s="72"/>
      <c r="KRO19" s="72"/>
      <c r="KRP19" s="72"/>
      <c r="KRQ19" s="72"/>
      <c r="KRR19" s="72"/>
      <c r="KRS19" s="72"/>
      <c r="KRT19" s="72"/>
      <c r="KRU19" s="72"/>
      <c r="KRV19" s="72"/>
      <c r="KRW19" s="72"/>
      <c r="KRX19" s="72"/>
      <c r="KRY19" s="72"/>
      <c r="KRZ19" s="72"/>
      <c r="KSA19" s="72"/>
      <c r="KSB19" s="72"/>
      <c r="KSC19" s="72"/>
      <c r="KSD19" s="72"/>
      <c r="KSE19" s="72"/>
      <c r="KSF19" s="72"/>
      <c r="KSG19" s="72"/>
      <c r="KSH19" s="72"/>
      <c r="KSI19" s="72"/>
      <c r="KSJ19" s="72"/>
      <c r="KSK19" s="72"/>
      <c r="KSL19" s="72"/>
      <c r="KSM19" s="72"/>
      <c r="KSN19" s="72"/>
      <c r="KSO19" s="72"/>
      <c r="KSP19" s="72"/>
      <c r="KSQ19" s="72"/>
      <c r="KSR19" s="72"/>
      <c r="KSS19" s="72"/>
      <c r="KST19" s="72"/>
      <c r="KSU19" s="72"/>
      <c r="KSV19" s="72"/>
      <c r="KSW19" s="72"/>
      <c r="KSX19" s="72"/>
      <c r="KSY19" s="72"/>
      <c r="KSZ19" s="72"/>
      <c r="KTA19" s="72"/>
      <c r="KTB19" s="72"/>
      <c r="KTC19" s="72"/>
      <c r="KTD19" s="72"/>
      <c r="KTE19" s="72"/>
      <c r="KTF19" s="72"/>
      <c r="KTG19" s="72"/>
      <c r="KTH19" s="72"/>
      <c r="KTI19" s="72"/>
      <c r="KTJ19" s="72"/>
      <c r="KTK19" s="72"/>
      <c r="KTL19" s="72"/>
      <c r="KTM19" s="72"/>
      <c r="KTN19" s="72"/>
      <c r="KTO19" s="72"/>
      <c r="KTP19" s="72"/>
      <c r="KTQ19" s="72"/>
      <c r="KTR19" s="72"/>
      <c r="KTS19" s="72"/>
      <c r="KTT19" s="72"/>
      <c r="KTU19" s="72"/>
      <c r="KTV19" s="72"/>
      <c r="KTW19" s="72"/>
      <c r="KTX19" s="72"/>
      <c r="KTY19" s="72"/>
      <c r="KTZ19" s="72"/>
      <c r="KUA19" s="72"/>
      <c r="KUB19" s="72"/>
      <c r="KUC19" s="72"/>
      <c r="KUD19" s="72"/>
      <c r="KUE19" s="72"/>
      <c r="KUF19" s="72"/>
      <c r="KUG19" s="72"/>
      <c r="KUH19" s="72"/>
      <c r="KUI19" s="72"/>
      <c r="KUJ19" s="72"/>
      <c r="KUK19" s="72"/>
      <c r="KUL19" s="72"/>
      <c r="KUM19" s="72"/>
      <c r="KUN19" s="72"/>
      <c r="KUO19" s="72"/>
      <c r="KUP19" s="72"/>
      <c r="KUQ19" s="72"/>
      <c r="KUR19" s="72"/>
      <c r="KUS19" s="72"/>
      <c r="KUT19" s="72"/>
      <c r="KUU19" s="72"/>
      <c r="KUV19" s="72"/>
      <c r="KUW19" s="72"/>
      <c r="KUX19" s="72"/>
      <c r="KUY19" s="72"/>
      <c r="KUZ19" s="72"/>
      <c r="KVA19" s="72"/>
      <c r="KVB19" s="72"/>
      <c r="KVC19" s="72"/>
      <c r="KVD19" s="72"/>
      <c r="KVE19" s="72"/>
      <c r="KVF19" s="72"/>
      <c r="KVG19" s="72"/>
      <c r="KVH19" s="72"/>
      <c r="KVI19" s="72"/>
      <c r="KVJ19" s="72"/>
      <c r="KVK19" s="72"/>
      <c r="KVL19" s="72"/>
      <c r="KVM19" s="72"/>
      <c r="KVN19" s="72"/>
      <c r="KVO19" s="72"/>
      <c r="KVP19" s="72"/>
      <c r="KVQ19" s="72"/>
      <c r="KVR19" s="72"/>
      <c r="KVS19" s="72"/>
      <c r="KVT19" s="72"/>
      <c r="KVU19" s="72"/>
      <c r="KVV19" s="72"/>
      <c r="KVW19" s="72"/>
      <c r="KVX19" s="72"/>
      <c r="KVY19" s="72"/>
      <c r="KVZ19" s="72"/>
      <c r="KWA19" s="72"/>
      <c r="KWB19" s="72"/>
      <c r="KWC19" s="72"/>
      <c r="KWD19" s="72"/>
      <c r="KWE19" s="72"/>
      <c r="KWF19" s="72"/>
      <c r="KWG19" s="72"/>
      <c r="KWH19" s="72"/>
      <c r="KWI19" s="72"/>
      <c r="KWJ19" s="72"/>
      <c r="KWK19" s="72"/>
      <c r="KWL19" s="72"/>
      <c r="KWM19" s="72"/>
      <c r="KWN19" s="72"/>
      <c r="KWO19" s="72"/>
      <c r="KWP19" s="72"/>
      <c r="KWQ19" s="72"/>
      <c r="KWR19" s="72"/>
      <c r="KWS19" s="72"/>
      <c r="KWT19" s="72"/>
      <c r="KWU19" s="72"/>
      <c r="KWV19" s="72"/>
      <c r="KWW19" s="72"/>
      <c r="KWX19" s="72"/>
      <c r="KWY19" s="72"/>
      <c r="KWZ19" s="72"/>
      <c r="KXA19" s="72"/>
      <c r="KXB19" s="72"/>
      <c r="KXC19" s="72"/>
      <c r="KXD19" s="72"/>
      <c r="KXE19" s="72"/>
      <c r="KXF19" s="72"/>
      <c r="KXG19" s="72"/>
      <c r="KXH19" s="72"/>
      <c r="KXI19" s="72"/>
      <c r="KXJ19" s="72"/>
      <c r="KXK19" s="72"/>
      <c r="KXL19" s="72"/>
      <c r="KXM19" s="72"/>
      <c r="KXN19" s="72"/>
      <c r="KXO19" s="72"/>
      <c r="KXP19" s="72"/>
      <c r="KXQ19" s="72"/>
      <c r="KXR19" s="72"/>
      <c r="KXS19" s="72"/>
      <c r="KXT19" s="72"/>
      <c r="KXU19" s="72"/>
      <c r="KXV19" s="72"/>
      <c r="KXW19" s="72"/>
      <c r="KXX19" s="72"/>
      <c r="KXY19" s="72"/>
      <c r="KXZ19" s="72"/>
      <c r="KYA19" s="72"/>
      <c r="KYB19" s="72"/>
      <c r="KYC19" s="72"/>
      <c r="KYD19" s="72"/>
      <c r="KYE19" s="72"/>
      <c r="KYF19" s="72"/>
      <c r="KYG19" s="72"/>
      <c r="KYH19" s="72"/>
      <c r="KYI19" s="72"/>
      <c r="KYJ19" s="72"/>
      <c r="KYK19" s="72"/>
      <c r="KYL19" s="72"/>
      <c r="KYM19" s="72"/>
      <c r="KYN19" s="72"/>
      <c r="KYO19" s="72"/>
      <c r="KYP19" s="72"/>
      <c r="KYQ19" s="72"/>
      <c r="KYR19" s="72"/>
      <c r="KYS19" s="72"/>
      <c r="KYT19" s="72"/>
      <c r="KYU19" s="72"/>
      <c r="KYV19" s="72"/>
      <c r="KYW19" s="72"/>
      <c r="KYX19" s="72"/>
      <c r="KYY19" s="72"/>
      <c r="KYZ19" s="72"/>
      <c r="KZA19" s="72"/>
      <c r="KZB19" s="72"/>
      <c r="KZC19" s="72"/>
      <c r="KZD19" s="72"/>
      <c r="KZE19" s="72"/>
      <c r="KZF19" s="72"/>
      <c r="KZG19" s="72"/>
      <c r="KZH19" s="72"/>
      <c r="KZI19" s="72"/>
      <c r="KZJ19" s="72"/>
      <c r="KZK19" s="72"/>
      <c r="KZL19" s="72"/>
      <c r="KZM19" s="72"/>
      <c r="KZN19" s="72"/>
      <c r="KZO19" s="72"/>
      <c r="KZP19" s="72"/>
      <c r="KZQ19" s="72"/>
      <c r="KZR19" s="72"/>
      <c r="KZS19" s="72"/>
      <c r="KZT19" s="72"/>
      <c r="KZU19" s="72"/>
      <c r="KZV19" s="72"/>
      <c r="KZW19" s="72"/>
      <c r="KZX19" s="72"/>
      <c r="KZY19" s="72"/>
      <c r="KZZ19" s="72"/>
      <c r="LAA19" s="72"/>
      <c r="LAB19" s="72"/>
      <c r="LAC19" s="72"/>
      <c r="LAD19" s="72"/>
      <c r="LAE19" s="72"/>
      <c r="LAF19" s="72"/>
      <c r="LAG19" s="72"/>
      <c r="LAH19" s="72"/>
      <c r="LAI19" s="72"/>
      <c r="LAJ19" s="72"/>
      <c r="LAK19" s="72"/>
      <c r="LAL19" s="72"/>
      <c r="LAM19" s="72"/>
      <c r="LAN19" s="72"/>
      <c r="LAO19" s="72"/>
      <c r="LAP19" s="72"/>
      <c r="LAQ19" s="72"/>
      <c r="LAR19" s="72"/>
      <c r="LAS19" s="72"/>
      <c r="LAT19" s="72"/>
      <c r="LAU19" s="72"/>
      <c r="LAV19" s="72"/>
      <c r="LAW19" s="72"/>
      <c r="LAX19" s="72"/>
      <c r="LAY19" s="72"/>
      <c r="LAZ19" s="72"/>
      <c r="LBA19" s="72"/>
      <c r="LBB19" s="72"/>
      <c r="LBC19" s="72"/>
      <c r="LBD19" s="72"/>
      <c r="LBE19" s="72"/>
      <c r="LBF19" s="72"/>
      <c r="LBG19" s="72"/>
      <c r="LBH19" s="72"/>
      <c r="LBI19" s="72"/>
      <c r="LBJ19" s="72"/>
      <c r="LBK19" s="72"/>
      <c r="LBL19" s="72"/>
      <c r="LBM19" s="72"/>
      <c r="LBN19" s="72"/>
      <c r="LBO19" s="72"/>
      <c r="LBP19" s="72"/>
      <c r="LBQ19" s="72"/>
      <c r="LBR19" s="72"/>
      <c r="LBS19" s="72"/>
      <c r="LBT19" s="72"/>
      <c r="LBU19" s="72"/>
      <c r="LBV19" s="72"/>
      <c r="LBW19" s="72"/>
      <c r="LBX19" s="72"/>
      <c r="LBY19" s="72"/>
      <c r="LBZ19" s="72"/>
      <c r="LCA19" s="72"/>
      <c r="LCB19" s="72"/>
      <c r="LCC19" s="72"/>
      <c r="LCD19" s="72"/>
      <c r="LCE19" s="72"/>
      <c r="LCF19" s="72"/>
      <c r="LCG19" s="72"/>
      <c r="LCH19" s="72"/>
      <c r="LCI19" s="72"/>
      <c r="LCJ19" s="72"/>
      <c r="LCK19" s="72"/>
      <c r="LCL19" s="72"/>
      <c r="LCM19" s="72"/>
      <c r="LCN19" s="72"/>
      <c r="LCO19" s="72"/>
      <c r="LCP19" s="72"/>
      <c r="LCQ19" s="72"/>
      <c r="LCR19" s="72"/>
      <c r="LCS19" s="72"/>
      <c r="LCT19" s="72"/>
      <c r="LCU19" s="72"/>
      <c r="LCV19" s="72"/>
      <c r="LCW19" s="72"/>
      <c r="LCX19" s="72"/>
      <c r="LCY19" s="72"/>
      <c r="LCZ19" s="72"/>
      <c r="LDA19" s="72"/>
      <c r="LDB19" s="72"/>
      <c r="LDC19" s="72"/>
      <c r="LDD19" s="72"/>
      <c r="LDE19" s="72"/>
      <c r="LDF19" s="72"/>
      <c r="LDG19" s="72"/>
      <c r="LDH19" s="72"/>
      <c r="LDI19" s="72"/>
      <c r="LDJ19" s="72"/>
      <c r="LDK19" s="72"/>
      <c r="LDL19" s="72"/>
      <c r="LDM19" s="72"/>
      <c r="LDN19" s="72"/>
      <c r="LDO19" s="72"/>
      <c r="LDP19" s="72"/>
      <c r="LDQ19" s="72"/>
      <c r="LDR19" s="72"/>
      <c r="LDS19" s="72"/>
      <c r="LDT19" s="72"/>
      <c r="LDU19" s="72"/>
      <c r="LDV19" s="72"/>
      <c r="LDW19" s="72"/>
      <c r="LDX19" s="72"/>
      <c r="LDY19" s="72"/>
      <c r="LDZ19" s="72"/>
      <c r="LEA19" s="72"/>
      <c r="LEB19" s="72"/>
      <c r="LEC19" s="72"/>
      <c r="LED19" s="72"/>
      <c r="LEE19" s="72"/>
      <c r="LEF19" s="72"/>
      <c r="LEG19" s="72"/>
      <c r="LEH19" s="72"/>
      <c r="LEI19" s="72"/>
      <c r="LEJ19" s="72"/>
      <c r="LEK19" s="72"/>
      <c r="LEL19" s="72"/>
      <c r="LEM19" s="72"/>
      <c r="LEN19" s="72"/>
      <c r="LEO19" s="72"/>
      <c r="LEP19" s="72"/>
      <c r="LEQ19" s="72"/>
      <c r="LER19" s="72"/>
      <c r="LES19" s="72"/>
      <c r="LET19" s="72"/>
      <c r="LEU19" s="72"/>
      <c r="LEV19" s="72"/>
      <c r="LEW19" s="72"/>
      <c r="LEX19" s="72"/>
      <c r="LEY19" s="72"/>
      <c r="LEZ19" s="72"/>
      <c r="LFA19" s="72"/>
      <c r="LFB19" s="72"/>
      <c r="LFC19" s="72"/>
      <c r="LFD19" s="72"/>
      <c r="LFE19" s="72"/>
      <c r="LFF19" s="72"/>
      <c r="LFG19" s="72"/>
      <c r="LFH19" s="72"/>
      <c r="LFI19" s="72"/>
      <c r="LFJ19" s="72"/>
      <c r="LFK19" s="72"/>
      <c r="LFL19" s="72"/>
      <c r="LFM19" s="72"/>
      <c r="LFN19" s="72"/>
      <c r="LFO19" s="72"/>
      <c r="LFP19" s="72"/>
      <c r="LFQ19" s="72"/>
      <c r="LFR19" s="72"/>
      <c r="LFS19" s="72"/>
      <c r="LFT19" s="72"/>
      <c r="LFU19" s="72"/>
      <c r="LFV19" s="72"/>
      <c r="LFW19" s="72"/>
      <c r="LFX19" s="72"/>
      <c r="LFY19" s="72"/>
      <c r="LFZ19" s="72"/>
      <c r="LGA19" s="72"/>
      <c r="LGB19" s="72"/>
      <c r="LGC19" s="72"/>
      <c r="LGD19" s="72"/>
      <c r="LGE19" s="72"/>
      <c r="LGF19" s="72"/>
      <c r="LGG19" s="72"/>
      <c r="LGH19" s="72"/>
      <c r="LGI19" s="72"/>
      <c r="LGJ19" s="72"/>
      <c r="LGK19" s="72"/>
      <c r="LGL19" s="72"/>
      <c r="LGM19" s="72"/>
      <c r="LGN19" s="72"/>
      <c r="LGO19" s="72"/>
      <c r="LGP19" s="72"/>
      <c r="LGQ19" s="72"/>
      <c r="LGR19" s="72"/>
      <c r="LGS19" s="72"/>
      <c r="LGT19" s="72"/>
      <c r="LGU19" s="72"/>
      <c r="LGV19" s="72"/>
      <c r="LGW19" s="72"/>
      <c r="LGX19" s="72"/>
      <c r="LGY19" s="72"/>
      <c r="LGZ19" s="72"/>
      <c r="LHA19" s="72"/>
      <c r="LHB19" s="72"/>
      <c r="LHC19" s="72"/>
      <c r="LHD19" s="72"/>
      <c r="LHE19" s="72"/>
      <c r="LHF19" s="72"/>
      <c r="LHG19" s="72"/>
      <c r="LHH19" s="72"/>
      <c r="LHI19" s="72"/>
      <c r="LHJ19" s="72"/>
      <c r="LHK19" s="72"/>
      <c r="LHL19" s="72"/>
      <c r="LHM19" s="72"/>
      <c r="LHN19" s="72"/>
      <c r="LHO19" s="72"/>
      <c r="LHP19" s="72"/>
      <c r="LHQ19" s="72"/>
      <c r="LHR19" s="72"/>
      <c r="LHS19" s="72"/>
      <c r="LHT19" s="72"/>
      <c r="LHU19" s="72"/>
      <c r="LHV19" s="72"/>
      <c r="LHW19" s="72"/>
      <c r="LHX19" s="72"/>
      <c r="LHY19" s="72"/>
      <c r="LHZ19" s="72"/>
      <c r="LIA19" s="72"/>
      <c r="LIB19" s="72"/>
      <c r="LIC19" s="72"/>
      <c r="LID19" s="72"/>
      <c r="LIE19" s="72"/>
      <c r="LIF19" s="72"/>
      <c r="LIG19" s="72"/>
      <c r="LIH19" s="72"/>
      <c r="LII19" s="72"/>
      <c r="LIJ19" s="72"/>
      <c r="LIK19" s="72"/>
      <c r="LIL19" s="72"/>
      <c r="LIM19" s="72"/>
      <c r="LIN19" s="72"/>
      <c r="LIO19" s="72"/>
      <c r="LIP19" s="72"/>
      <c r="LIQ19" s="72"/>
      <c r="LIR19" s="72"/>
      <c r="LIS19" s="72"/>
      <c r="LIT19" s="72"/>
      <c r="LIU19" s="72"/>
      <c r="LIV19" s="72"/>
      <c r="LIW19" s="72"/>
      <c r="LIX19" s="72"/>
      <c r="LIY19" s="72"/>
      <c r="LIZ19" s="72"/>
      <c r="LJA19" s="72"/>
      <c r="LJB19" s="72"/>
      <c r="LJC19" s="72"/>
      <c r="LJD19" s="72"/>
      <c r="LJE19" s="72"/>
      <c r="LJF19" s="72"/>
      <c r="LJG19" s="72"/>
      <c r="LJH19" s="72"/>
      <c r="LJI19" s="72"/>
      <c r="LJJ19" s="72"/>
      <c r="LJK19" s="72"/>
      <c r="LJL19" s="72"/>
      <c r="LJM19" s="72"/>
      <c r="LJN19" s="72"/>
      <c r="LJO19" s="72"/>
      <c r="LJP19" s="72"/>
      <c r="LJQ19" s="72"/>
      <c r="LJR19" s="72"/>
      <c r="LJS19" s="72"/>
      <c r="LJT19" s="72"/>
      <c r="LJU19" s="72"/>
      <c r="LJV19" s="72"/>
      <c r="LJW19" s="72"/>
      <c r="LJX19" s="72"/>
      <c r="LJY19" s="72"/>
      <c r="LJZ19" s="72"/>
      <c r="LKA19" s="72"/>
      <c r="LKB19" s="72"/>
      <c r="LKC19" s="72"/>
      <c r="LKD19" s="72"/>
      <c r="LKE19" s="72"/>
      <c r="LKF19" s="72"/>
      <c r="LKG19" s="72"/>
      <c r="LKH19" s="72"/>
      <c r="LKI19" s="72"/>
      <c r="LKJ19" s="72"/>
      <c r="LKK19" s="72"/>
      <c r="LKL19" s="72"/>
      <c r="LKM19" s="72"/>
      <c r="LKN19" s="72"/>
      <c r="LKO19" s="72"/>
      <c r="LKP19" s="72"/>
      <c r="LKQ19" s="72"/>
      <c r="LKR19" s="72"/>
      <c r="LKS19" s="72"/>
      <c r="LKT19" s="72"/>
      <c r="LKU19" s="72"/>
      <c r="LKV19" s="72"/>
      <c r="LKW19" s="72"/>
      <c r="LKX19" s="72"/>
      <c r="LKY19" s="72"/>
      <c r="LKZ19" s="72"/>
      <c r="LLA19" s="72"/>
      <c r="LLB19" s="72"/>
      <c r="LLC19" s="72"/>
      <c r="LLD19" s="72"/>
      <c r="LLE19" s="72"/>
      <c r="LLF19" s="72"/>
      <c r="LLG19" s="72"/>
      <c r="LLH19" s="72"/>
      <c r="LLI19" s="72"/>
      <c r="LLJ19" s="72"/>
      <c r="LLK19" s="72"/>
      <c r="LLL19" s="72"/>
      <c r="LLM19" s="72"/>
      <c r="LLN19" s="72"/>
      <c r="LLO19" s="72"/>
      <c r="LLP19" s="72"/>
      <c r="LLQ19" s="72"/>
      <c r="LLR19" s="72"/>
      <c r="LLS19" s="72"/>
      <c r="LLT19" s="72"/>
      <c r="LLU19" s="72"/>
      <c r="LLV19" s="72"/>
      <c r="LLW19" s="72"/>
      <c r="LLX19" s="72"/>
      <c r="LLY19" s="72"/>
      <c r="LLZ19" s="72"/>
      <c r="LMA19" s="72"/>
      <c r="LMB19" s="72"/>
      <c r="LMC19" s="72"/>
      <c r="LMD19" s="72"/>
      <c r="LME19" s="72"/>
      <c r="LMF19" s="72"/>
      <c r="LMG19" s="72"/>
      <c r="LMH19" s="72"/>
      <c r="LMI19" s="72"/>
      <c r="LMJ19" s="72"/>
      <c r="LMK19" s="72"/>
      <c r="LML19" s="72"/>
      <c r="LMM19" s="72"/>
      <c r="LMN19" s="72"/>
      <c r="LMO19" s="72"/>
      <c r="LMP19" s="72"/>
      <c r="LMQ19" s="72"/>
      <c r="LMR19" s="72"/>
      <c r="LMS19" s="72"/>
      <c r="LMT19" s="72"/>
      <c r="LMU19" s="72"/>
      <c r="LMV19" s="72"/>
      <c r="LMW19" s="72"/>
      <c r="LMX19" s="72"/>
      <c r="LMY19" s="72"/>
      <c r="LMZ19" s="72"/>
      <c r="LNA19" s="72"/>
      <c r="LNB19" s="72"/>
      <c r="LNC19" s="72"/>
      <c r="LND19" s="72"/>
      <c r="LNE19" s="72"/>
      <c r="LNF19" s="72"/>
      <c r="LNG19" s="72"/>
      <c r="LNH19" s="72"/>
      <c r="LNI19" s="72"/>
      <c r="LNJ19" s="72"/>
      <c r="LNK19" s="72"/>
      <c r="LNL19" s="72"/>
      <c r="LNM19" s="72"/>
      <c r="LNN19" s="72"/>
      <c r="LNO19" s="72"/>
      <c r="LNP19" s="72"/>
      <c r="LNQ19" s="72"/>
      <c r="LNR19" s="72"/>
      <c r="LNS19" s="72"/>
      <c r="LNT19" s="72"/>
      <c r="LNU19" s="72"/>
      <c r="LNV19" s="72"/>
      <c r="LNW19" s="72"/>
      <c r="LNX19" s="72"/>
      <c r="LNY19" s="72"/>
      <c r="LNZ19" s="72"/>
      <c r="LOA19" s="72"/>
      <c r="LOB19" s="72"/>
      <c r="LOC19" s="72"/>
      <c r="LOD19" s="72"/>
      <c r="LOE19" s="72"/>
      <c r="LOF19" s="72"/>
      <c r="LOG19" s="72"/>
      <c r="LOH19" s="72"/>
      <c r="LOI19" s="72"/>
      <c r="LOJ19" s="72"/>
      <c r="LOK19" s="72"/>
      <c r="LOL19" s="72"/>
      <c r="LOM19" s="72"/>
      <c r="LON19" s="72"/>
      <c r="LOO19" s="72"/>
      <c r="LOP19" s="72"/>
      <c r="LOQ19" s="72"/>
      <c r="LOR19" s="72"/>
      <c r="LOS19" s="72"/>
      <c r="LOT19" s="72"/>
      <c r="LOU19" s="72"/>
      <c r="LOV19" s="72"/>
      <c r="LOW19" s="72"/>
      <c r="LOX19" s="72"/>
      <c r="LOY19" s="72"/>
      <c r="LOZ19" s="72"/>
      <c r="LPA19" s="72"/>
      <c r="LPB19" s="72"/>
      <c r="LPC19" s="72"/>
      <c r="LPD19" s="72"/>
      <c r="LPE19" s="72"/>
      <c r="LPF19" s="72"/>
      <c r="LPG19" s="72"/>
      <c r="LPH19" s="72"/>
      <c r="LPI19" s="72"/>
      <c r="LPJ19" s="72"/>
      <c r="LPK19" s="72"/>
      <c r="LPL19" s="72"/>
      <c r="LPM19" s="72"/>
      <c r="LPN19" s="72"/>
      <c r="LPO19" s="72"/>
      <c r="LPP19" s="72"/>
      <c r="LPQ19" s="72"/>
      <c r="LPR19" s="72"/>
      <c r="LPS19" s="72"/>
      <c r="LPT19" s="72"/>
      <c r="LPU19" s="72"/>
      <c r="LPV19" s="72"/>
      <c r="LPW19" s="72"/>
      <c r="LPX19" s="72"/>
      <c r="LPY19" s="72"/>
      <c r="LPZ19" s="72"/>
      <c r="LQA19" s="72"/>
      <c r="LQB19" s="72"/>
      <c r="LQC19" s="72"/>
      <c r="LQD19" s="72"/>
      <c r="LQE19" s="72"/>
      <c r="LQF19" s="72"/>
      <c r="LQG19" s="72"/>
      <c r="LQH19" s="72"/>
      <c r="LQI19" s="72"/>
      <c r="LQJ19" s="72"/>
      <c r="LQK19" s="72"/>
      <c r="LQL19" s="72"/>
      <c r="LQM19" s="72"/>
      <c r="LQN19" s="72"/>
      <c r="LQO19" s="72"/>
      <c r="LQP19" s="72"/>
      <c r="LQQ19" s="72"/>
      <c r="LQR19" s="72"/>
      <c r="LQS19" s="72"/>
      <c r="LQT19" s="72"/>
      <c r="LQU19" s="72"/>
      <c r="LQV19" s="72"/>
      <c r="LQW19" s="72"/>
      <c r="LQX19" s="72"/>
      <c r="LQY19" s="72"/>
      <c r="LQZ19" s="72"/>
      <c r="LRA19" s="72"/>
      <c r="LRB19" s="72"/>
      <c r="LRC19" s="72"/>
      <c r="LRD19" s="72"/>
      <c r="LRE19" s="72"/>
      <c r="LRF19" s="72"/>
      <c r="LRG19" s="72"/>
      <c r="LRH19" s="72"/>
      <c r="LRI19" s="72"/>
      <c r="LRJ19" s="72"/>
      <c r="LRK19" s="72"/>
      <c r="LRL19" s="72"/>
      <c r="LRM19" s="72"/>
      <c r="LRN19" s="72"/>
      <c r="LRO19" s="72"/>
      <c r="LRP19" s="72"/>
      <c r="LRQ19" s="72"/>
      <c r="LRR19" s="72"/>
      <c r="LRS19" s="72"/>
      <c r="LRT19" s="72"/>
      <c r="LRU19" s="72"/>
      <c r="LRV19" s="72"/>
      <c r="LRW19" s="72"/>
      <c r="LRX19" s="72"/>
      <c r="LRY19" s="72"/>
      <c r="LRZ19" s="72"/>
      <c r="LSA19" s="72"/>
      <c r="LSB19" s="72"/>
      <c r="LSC19" s="72"/>
      <c r="LSD19" s="72"/>
      <c r="LSE19" s="72"/>
      <c r="LSF19" s="72"/>
      <c r="LSG19" s="72"/>
      <c r="LSH19" s="72"/>
      <c r="LSI19" s="72"/>
      <c r="LSJ19" s="72"/>
      <c r="LSK19" s="72"/>
      <c r="LSL19" s="72"/>
      <c r="LSM19" s="72"/>
      <c r="LSN19" s="72"/>
      <c r="LSO19" s="72"/>
      <c r="LSP19" s="72"/>
      <c r="LSQ19" s="72"/>
      <c r="LSR19" s="72"/>
      <c r="LSS19" s="72"/>
      <c r="LST19" s="72"/>
      <c r="LSU19" s="72"/>
      <c r="LSV19" s="72"/>
      <c r="LSW19" s="72"/>
      <c r="LSX19" s="72"/>
      <c r="LSY19" s="72"/>
      <c r="LSZ19" s="72"/>
      <c r="LTA19" s="72"/>
      <c r="LTB19" s="72"/>
      <c r="LTC19" s="72"/>
      <c r="LTD19" s="72"/>
      <c r="LTE19" s="72"/>
      <c r="LTF19" s="72"/>
      <c r="LTG19" s="72"/>
      <c r="LTH19" s="72"/>
      <c r="LTI19" s="72"/>
      <c r="LTJ19" s="72"/>
      <c r="LTK19" s="72"/>
      <c r="LTL19" s="72"/>
      <c r="LTM19" s="72"/>
      <c r="LTN19" s="72"/>
      <c r="LTO19" s="72"/>
      <c r="LTP19" s="72"/>
      <c r="LTQ19" s="72"/>
      <c r="LTR19" s="72"/>
      <c r="LTS19" s="72"/>
      <c r="LTT19" s="72"/>
      <c r="LTU19" s="72"/>
      <c r="LTV19" s="72"/>
      <c r="LTW19" s="72"/>
      <c r="LTX19" s="72"/>
      <c r="LTY19" s="72"/>
      <c r="LTZ19" s="72"/>
      <c r="LUA19" s="72"/>
      <c r="LUB19" s="72"/>
      <c r="LUC19" s="72"/>
      <c r="LUD19" s="72"/>
      <c r="LUE19" s="72"/>
      <c r="LUF19" s="72"/>
      <c r="LUG19" s="72"/>
      <c r="LUH19" s="72"/>
      <c r="LUI19" s="72"/>
      <c r="LUJ19" s="72"/>
      <c r="LUK19" s="72"/>
      <c r="LUL19" s="72"/>
      <c r="LUM19" s="72"/>
      <c r="LUN19" s="72"/>
      <c r="LUO19" s="72"/>
      <c r="LUP19" s="72"/>
      <c r="LUQ19" s="72"/>
      <c r="LUR19" s="72"/>
      <c r="LUS19" s="72"/>
      <c r="LUT19" s="72"/>
      <c r="LUU19" s="72"/>
      <c r="LUV19" s="72"/>
      <c r="LUW19" s="72"/>
      <c r="LUX19" s="72"/>
      <c r="LUY19" s="72"/>
      <c r="LUZ19" s="72"/>
      <c r="LVA19" s="72"/>
      <c r="LVB19" s="72"/>
      <c r="LVC19" s="72"/>
      <c r="LVD19" s="72"/>
      <c r="LVE19" s="72"/>
      <c r="LVF19" s="72"/>
      <c r="LVG19" s="72"/>
      <c r="LVH19" s="72"/>
      <c r="LVI19" s="72"/>
      <c r="LVJ19" s="72"/>
      <c r="LVK19" s="72"/>
      <c r="LVL19" s="72"/>
      <c r="LVM19" s="72"/>
      <c r="LVN19" s="72"/>
      <c r="LVO19" s="72"/>
      <c r="LVP19" s="72"/>
      <c r="LVQ19" s="72"/>
      <c r="LVR19" s="72"/>
      <c r="LVS19" s="72"/>
      <c r="LVT19" s="72"/>
      <c r="LVU19" s="72"/>
      <c r="LVV19" s="72"/>
      <c r="LVW19" s="72"/>
      <c r="LVX19" s="72"/>
      <c r="LVY19" s="72"/>
      <c r="LVZ19" s="72"/>
      <c r="LWA19" s="72"/>
      <c r="LWB19" s="72"/>
      <c r="LWC19" s="72"/>
      <c r="LWD19" s="72"/>
      <c r="LWE19" s="72"/>
      <c r="LWF19" s="72"/>
      <c r="LWG19" s="72"/>
      <c r="LWH19" s="72"/>
      <c r="LWI19" s="72"/>
      <c r="LWJ19" s="72"/>
      <c r="LWK19" s="72"/>
      <c r="LWL19" s="72"/>
      <c r="LWM19" s="72"/>
      <c r="LWN19" s="72"/>
      <c r="LWO19" s="72"/>
      <c r="LWP19" s="72"/>
      <c r="LWQ19" s="72"/>
      <c r="LWR19" s="72"/>
      <c r="LWS19" s="72"/>
      <c r="LWT19" s="72"/>
      <c r="LWU19" s="72"/>
      <c r="LWV19" s="72"/>
      <c r="LWW19" s="72"/>
      <c r="LWX19" s="72"/>
      <c r="LWY19" s="72"/>
      <c r="LWZ19" s="72"/>
      <c r="LXA19" s="72"/>
      <c r="LXB19" s="72"/>
      <c r="LXC19" s="72"/>
      <c r="LXD19" s="72"/>
      <c r="LXE19" s="72"/>
      <c r="LXF19" s="72"/>
      <c r="LXG19" s="72"/>
      <c r="LXH19" s="72"/>
      <c r="LXI19" s="72"/>
      <c r="LXJ19" s="72"/>
      <c r="LXK19" s="72"/>
      <c r="LXL19" s="72"/>
      <c r="LXM19" s="72"/>
      <c r="LXN19" s="72"/>
      <c r="LXO19" s="72"/>
      <c r="LXP19" s="72"/>
      <c r="LXQ19" s="72"/>
      <c r="LXR19" s="72"/>
      <c r="LXS19" s="72"/>
      <c r="LXT19" s="72"/>
      <c r="LXU19" s="72"/>
      <c r="LXV19" s="72"/>
      <c r="LXW19" s="72"/>
      <c r="LXX19" s="72"/>
      <c r="LXY19" s="72"/>
      <c r="LXZ19" s="72"/>
      <c r="LYA19" s="72"/>
      <c r="LYB19" s="72"/>
      <c r="LYC19" s="72"/>
      <c r="LYD19" s="72"/>
      <c r="LYE19" s="72"/>
      <c r="LYF19" s="72"/>
      <c r="LYG19" s="72"/>
      <c r="LYH19" s="72"/>
      <c r="LYI19" s="72"/>
      <c r="LYJ19" s="72"/>
      <c r="LYK19" s="72"/>
      <c r="LYL19" s="72"/>
      <c r="LYM19" s="72"/>
      <c r="LYN19" s="72"/>
      <c r="LYO19" s="72"/>
      <c r="LYP19" s="72"/>
      <c r="LYQ19" s="72"/>
      <c r="LYR19" s="72"/>
      <c r="LYS19" s="72"/>
      <c r="LYT19" s="72"/>
      <c r="LYU19" s="72"/>
      <c r="LYV19" s="72"/>
      <c r="LYW19" s="72"/>
      <c r="LYX19" s="72"/>
      <c r="LYY19" s="72"/>
      <c r="LYZ19" s="72"/>
      <c r="LZA19" s="72"/>
      <c r="LZB19" s="72"/>
      <c r="LZC19" s="72"/>
      <c r="LZD19" s="72"/>
      <c r="LZE19" s="72"/>
      <c r="LZF19" s="72"/>
      <c r="LZG19" s="72"/>
      <c r="LZH19" s="72"/>
      <c r="LZI19" s="72"/>
      <c r="LZJ19" s="72"/>
      <c r="LZK19" s="72"/>
      <c r="LZL19" s="72"/>
      <c r="LZM19" s="72"/>
      <c r="LZN19" s="72"/>
      <c r="LZO19" s="72"/>
      <c r="LZP19" s="72"/>
      <c r="LZQ19" s="72"/>
      <c r="LZR19" s="72"/>
      <c r="LZS19" s="72"/>
      <c r="LZT19" s="72"/>
      <c r="LZU19" s="72"/>
      <c r="LZV19" s="72"/>
      <c r="LZW19" s="72"/>
      <c r="LZX19" s="72"/>
      <c r="LZY19" s="72"/>
      <c r="LZZ19" s="72"/>
      <c r="MAA19" s="72"/>
      <c r="MAB19" s="72"/>
      <c r="MAC19" s="72"/>
      <c r="MAD19" s="72"/>
      <c r="MAE19" s="72"/>
      <c r="MAF19" s="72"/>
      <c r="MAG19" s="72"/>
      <c r="MAH19" s="72"/>
      <c r="MAI19" s="72"/>
      <c r="MAJ19" s="72"/>
      <c r="MAK19" s="72"/>
      <c r="MAL19" s="72"/>
      <c r="MAM19" s="72"/>
      <c r="MAN19" s="72"/>
      <c r="MAO19" s="72"/>
      <c r="MAP19" s="72"/>
      <c r="MAQ19" s="72"/>
      <c r="MAR19" s="72"/>
      <c r="MAS19" s="72"/>
      <c r="MAT19" s="72"/>
      <c r="MAU19" s="72"/>
      <c r="MAV19" s="72"/>
      <c r="MAW19" s="72"/>
      <c r="MAX19" s="72"/>
      <c r="MAY19" s="72"/>
      <c r="MAZ19" s="72"/>
      <c r="MBA19" s="72"/>
      <c r="MBB19" s="72"/>
      <c r="MBC19" s="72"/>
      <c r="MBD19" s="72"/>
      <c r="MBE19" s="72"/>
      <c r="MBF19" s="72"/>
      <c r="MBG19" s="72"/>
      <c r="MBH19" s="72"/>
      <c r="MBI19" s="72"/>
      <c r="MBJ19" s="72"/>
      <c r="MBK19" s="72"/>
      <c r="MBL19" s="72"/>
      <c r="MBM19" s="72"/>
      <c r="MBN19" s="72"/>
      <c r="MBO19" s="72"/>
      <c r="MBP19" s="72"/>
      <c r="MBQ19" s="72"/>
      <c r="MBR19" s="72"/>
      <c r="MBS19" s="72"/>
      <c r="MBT19" s="72"/>
      <c r="MBU19" s="72"/>
      <c r="MBV19" s="72"/>
      <c r="MBW19" s="72"/>
      <c r="MBX19" s="72"/>
      <c r="MBY19" s="72"/>
      <c r="MBZ19" s="72"/>
      <c r="MCA19" s="72"/>
      <c r="MCB19" s="72"/>
      <c r="MCC19" s="72"/>
      <c r="MCD19" s="72"/>
      <c r="MCE19" s="72"/>
      <c r="MCF19" s="72"/>
      <c r="MCG19" s="72"/>
      <c r="MCH19" s="72"/>
      <c r="MCI19" s="72"/>
      <c r="MCJ19" s="72"/>
      <c r="MCK19" s="72"/>
      <c r="MCL19" s="72"/>
      <c r="MCM19" s="72"/>
      <c r="MCN19" s="72"/>
      <c r="MCO19" s="72"/>
      <c r="MCP19" s="72"/>
      <c r="MCQ19" s="72"/>
      <c r="MCR19" s="72"/>
      <c r="MCS19" s="72"/>
      <c r="MCT19" s="72"/>
      <c r="MCU19" s="72"/>
      <c r="MCV19" s="72"/>
      <c r="MCW19" s="72"/>
      <c r="MCX19" s="72"/>
      <c r="MCY19" s="72"/>
      <c r="MCZ19" s="72"/>
      <c r="MDA19" s="72"/>
      <c r="MDB19" s="72"/>
      <c r="MDC19" s="72"/>
      <c r="MDD19" s="72"/>
      <c r="MDE19" s="72"/>
      <c r="MDF19" s="72"/>
      <c r="MDG19" s="72"/>
      <c r="MDH19" s="72"/>
      <c r="MDI19" s="72"/>
      <c r="MDJ19" s="72"/>
      <c r="MDK19" s="72"/>
      <c r="MDL19" s="72"/>
      <c r="MDM19" s="72"/>
      <c r="MDN19" s="72"/>
      <c r="MDO19" s="72"/>
      <c r="MDP19" s="72"/>
      <c r="MDQ19" s="72"/>
      <c r="MDR19" s="72"/>
      <c r="MDS19" s="72"/>
      <c r="MDT19" s="72"/>
      <c r="MDU19" s="72"/>
      <c r="MDV19" s="72"/>
      <c r="MDW19" s="72"/>
      <c r="MDX19" s="72"/>
      <c r="MDY19" s="72"/>
      <c r="MDZ19" s="72"/>
      <c r="MEA19" s="72"/>
      <c r="MEB19" s="72"/>
      <c r="MEC19" s="72"/>
      <c r="MED19" s="72"/>
      <c r="MEE19" s="72"/>
      <c r="MEF19" s="72"/>
      <c r="MEG19" s="72"/>
      <c r="MEH19" s="72"/>
      <c r="MEI19" s="72"/>
      <c r="MEJ19" s="72"/>
      <c r="MEK19" s="72"/>
      <c r="MEL19" s="72"/>
      <c r="MEM19" s="72"/>
      <c r="MEN19" s="72"/>
      <c r="MEO19" s="72"/>
      <c r="MEP19" s="72"/>
      <c r="MEQ19" s="72"/>
      <c r="MER19" s="72"/>
      <c r="MES19" s="72"/>
      <c r="MET19" s="72"/>
      <c r="MEU19" s="72"/>
      <c r="MEV19" s="72"/>
      <c r="MEW19" s="72"/>
      <c r="MEX19" s="72"/>
      <c r="MEY19" s="72"/>
      <c r="MEZ19" s="72"/>
      <c r="MFA19" s="72"/>
      <c r="MFB19" s="72"/>
      <c r="MFC19" s="72"/>
      <c r="MFD19" s="72"/>
      <c r="MFE19" s="72"/>
      <c r="MFF19" s="72"/>
      <c r="MFG19" s="72"/>
      <c r="MFH19" s="72"/>
      <c r="MFI19" s="72"/>
      <c r="MFJ19" s="72"/>
      <c r="MFK19" s="72"/>
      <c r="MFL19" s="72"/>
      <c r="MFM19" s="72"/>
      <c r="MFN19" s="72"/>
      <c r="MFO19" s="72"/>
      <c r="MFP19" s="72"/>
      <c r="MFQ19" s="72"/>
      <c r="MFR19" s="72"/>
      <c r="MFS19" s="72"/>
      <c r="MFT19" s="72"/>
      <c r="MFU19" s="72"/>
      <c r="MFV19" s="72"/>
      <c r="MFW19" s="72"/>
      <c r="MFX19" s="72"/>
      <c r="MFY19" s="72"/>
      <c r="MFZ19" s="72"/>
      <c r="MGA19" s="72"/>
      <c r="MGB19" s="72"/>
      <c r="MGC19" s="72"/>
      <c r="MGD19" s="72"/>
      <c r="MGE19" s="72"/>
      <c r="MGF19" s="72"/>
      <c r="MGG19" s="72"/>
      <c r="MGH19" s="72"/>
      <c r="MGI19" s="72"/>
      <c r="MGJ19" s="72"/>
      <c r="MGK19" s="72"/>
      <c r="MGL19" s="72"/>
      <c r="MGM19" s="72"/>
      <c r="MGN19" s="72"/>
      <c r="MGO19" s="72"/>
      <c r="MGP19" s="72"/>
      <c r="MGQ19" s="72"/>
      <c r="MGR19" s="72"/>
      <c r="MGS19" s="72"/>
      <c r="MGT19" s="72"/>
      <c r="MGU19" s="72"/>
      <c r="MGV19" s="72"/>
      <c r="MGW19" s="72"/>
      <c r="MGX19" s="72"/>
      <c r="MGY19" s="72"/>
      <c r="MGZ19" s="72"/>
      <c r="MHA19" s="72"/>
      <c r="MHB19" s="72"/>
      <c r="MHC19" s="72"/>
      <c r="MHD19" s="72"/>
      <c r="MHE19" s="72"/>
      <c r="MHF19" s="72"/>
      <c r="MHG19" s="72"/>
      <c r="MHH19" s="72"/>
      <c r="MHI19" s="72"/>
      <c r="MHJ19" s="72"/>
      <c r="MHK19" s="72"/>
      <c r="MHL19" s="72"/>
      <c r="MHM19" s="72"/>
      <c r="MHN19" s="72"/>
      <c r="MHO19" s="72"/>
      <c r="MHP19" s="72"/>
      <c r="MHQ19" s="72"/>
      <c r="MHR19" s="72"/>
      <c r="MHS19" s="72"/>
      <c r="MHT19" s="72"/>
      <c r="MHU19" s="72"/>
      <c r="MHV19" s="72"/>
      <c r="MHW19" s="72"/>
      <c r="MHX19" s="72"/>
      <c r="MHY19" s="72"/>
      <c r="MHZ19" s="72"/>
      <c r="MIA19" s="72"/>
      <c r="MIB19" s="72"/>
      <c r="MIC19" s="72"/>
      <c r="MID19" s="72"/>
      <c r="MIE19" s="72"/>
      <c r="MIF19" s="72"/>
      <c r="MIG19" s="72"/>
      <c r="MIH19" s="72"/>
      <c r="MII19" s="72"/>
      <c r="MIJ19" s="72"/>
      <c r="MIK19" s="72"/>
      <c r="MIL19" s="72"/>
      <c r="MIM19" s="72"/>
      <c r="MIN19" s="72"/>
      <c r="MIO19" s="72"/>
      <c r="MIP19" s="72"/>
      <c r="MIQ19" s="72"/>
      <c r="MIR19" s="72"/>
      <c r="MIS19" s="72"/>
      <c r="MIT19" s="72"/>
      <c r="MIU19" s="72"/>
      <c r="MIV19" s="72"/>
      <c r="MIW19" s="72"/>
      <c r="MIX19" s="72"/>
      <c r="MIY19" s="72"/>
      <c r="MIZ19" s="72"/>
      <c r="MJA19" s="72"/>
      <c r="MJB19" s="72"/>
      <c r="MJC19" s="72"/>
      <c r="MJD19" s="72"/>
      <c r="MJE19" s="72"/>
      <c r="MJF19" s="72"/>
      <c r="MJG19" s="72"/>
      <c r="MJH19" s="72"/>
      <c r="MJI19" s="72"/>
      <c r="MJJ19" s="72"/>
      <c r="MJK19" s="72"/>
      <c r="MJL19" s="72"/>
      <c r="MJM19" s="72"/>
      <c r="MJN19" s="72"/>
      <c r="MJO19" s="72"/>
      <c r="MJP19" s="72"/>
      <c r="MJQ19" s="72"/>
      <c r="MJR19" s="72"/>
      <c r="MJS19" s="72"/>
      <c r="MJT19" s="72"/>
      <c r="MJU19" s="72"/>
      <c r="MJV19" s="72"/>
      <c r="MJW19" s="72"/>
      <c r="MJX19" s="72"/>
      <c r="MJY19" s="72"/>
      <c r="MJZ19" s="72"/>
      <c r="MKA19" s="72"/>
      <c r="MKB19" s="72"/>
      <c r="MKC19" s="72"/>
      <c r="MKD19" s="72"/>
      <c r="MKE19" s="72"/>
      <c r="MKF19" s="72"/>
      <c r="MKG19" s="72"/>
      <c r="MKH19" s="72"/>
      <c r="MKI19" s="72"/>
      <c r="MKJ19" s="72"/>
      <c r="MKK19" s="72"/>
      <c r="MKL19" s="72"/>
      <c r="MKM19" s="72"/>
      <c r="MKN19" s="72"/>
      <c r="MKO19" s="72"/>
      <c r="MKP19" s="72"/>
      <c r="MKQ19" s="72"/>
      <c r="MKR19" s="72"/>
      <c r="MKS19" s="72"/>
      <c r="MKT19" s="72"/>
      <c r="MKU19" s="72"/>
      <c r="MKV19" s="72"/>
      <c r="MKW19" s="72"/>
      <c r="MKX19" s="72"/>
      <c r="MKY19" s="72"/>
      <c r="MKZ19" s="72"/>
      <c r="MLA19" s="72"/>
      <c r="MLB19" s="72"/>
      <c r="MLC19" s="72"/>
      <c r="MLD19" s="72"/>
      <c r="MLE19" s="72"/>
      <c r="MLF19" s="72"/>
      <c r="MLG19" s="72"/>
      <c r="MLH19" s="72"/>
      <c r="MLI19" s="72"/>
      <c r="MLJ19" s="72"/>
      <c r="MLK19" s="72"/>
      <c r="MLL19" s="72"/>
      <c r="MLM19" s="72"/>
      <c r="MLN19" s="72"/>
      <c r="MLO19" s="72"/>
      <c r="MLP19" s="72"/>
      <c r="MLQ19" s="72"/>
      <c r="MLR19" s="72"/>
      <c r="MLS19" s="72"/>
      <c r="MLT19" s="72"/>
      <c r="MLU19" s="72"/>
      <c r="MLV19" s="72"/>
      <c r="MLW19" s="72"/>
      <c r="MLX19" s="72"/>
      <c r="MLY19" s="72"/>
      <c r="MLZ19" s="72"/>
      <c r="MMA19" s="72"/>
      <c r="MMB19" s="72"/>
      <c r="MMC19" s="72"/>
      <c r="MMD19" s="72"/>
      <c r="MME19" s="72"/>
      <c r="MMF19" s="72"/>
      <c r="MMG19" s="72"/>
      <c r="MMH19" s="72"/>
      <c r="MMI19" s="72"/>
      <c r="MMJ19" s="72"/>
      <c r="MMK19" s="72"/>
      <c r="MML19" s="72"/>
      <c r="MMM19" s="72"/>
      <c r="MMN19" s="72"/>
      <c r="MMO19" s="72"/>
      <c r="MMP19" s="72"/>
      <c r="MMQ19" s="72"/>
      <c r="MMR19" s="72"/>
      <c r="MMS19" s="72"/>
      <c r="MMT19" s="72"/>
      <c r="MMU19" s="72"/>
      <c r="MMV19" s="72"/>
      <c r="MMW19" s="72"/>
      <c r="MMX19" s="72"/>
      <c r="MMY19" s="72"/>
      <c r="MMZ19" s="72"/>
      <c r="MNA19" s="72"/>
      <c r="MNB19" s="72"/>
      <c r="MNC19" s="72"/>
      <c r="MND19" s="72"/>
      <c r="MNE19" s="72"/>
      <c r="MNF19" s="72"/>
      <c r="MNG19" s="72"/>
      <c r="MNH19" s="72"/>
      <c r="MNI19" s="72"/>
      <c r="MNJ19" s="72"/>
      <c r="MNK19" s="72"/>
      <c r="MNL19" s="72"/>
      <c r="MNM19" s="72"/>
      <c r="MNN19" s="72"/>
      <c r="MNO19" s="72"/>
      <c r="MNP19" s="72"/>
      <c r="MNQ19" s="72"/>
      <c r="MNR19" s="72"/>
      <c r="MNS19" s="72"/>
      <c r="MNT19" s="72"/>
      <c r="MNU19" s="72"/>
      <c r="MNV19" s="72"/>
      <c r="MNW19" s="72"/>
      <c r="MNX19" s="72"/>
      <c r="MNY19" s="72"/>
      <c r="MNZ19" s="72"/>
      <c r="MOA19" s="72"/>
      <c r="MOB19" s="72"/>
      <c r="MOC19" s="72"/>
      <c r="MOD19" s="72"/>
      <c r="MOE19" s="72"/>
      <c r="MOF19" s="72"/>
      <c r="MOG19" s="72"/>
      <c r="MOH19" s="72"/>
      <c r="MOI19" s="72"/>
      <c r="MOJ19" s="72"/>
      <c r="MOK19" s="72"/>
      <c r="MOL19" s="72"/>
      <c r="MOM19" s="72"/>
      <c r="MON19" s="72"/>
      <c r="MOO19" s="72"/>
      <c r="MOP19" s="72"/>
      <c r="MOQ19" s="72"/>
      <c r="MOR19" s="72"/>
      <c r="MOS19" s="72"/>
      <c r="MOT19" s="72"/>
      <c r="MOU19" s="72"/>
      <c r="MOV19" s="72"/>
      <c r="MOW19" s="72"/>
      <c r="MOX19" s="72"/>
      <c r="MOY19" s="72"/>
      <c r="MOZ19" s="72"/>
      <c r="MPA19" s="72"/>
      <c r="MPB19" s="72"/>
      <c r="MPC19" s="72"/>
      <c r="MPD19" s="72"/>
      <c r="MPE19" s="72"/>
      <c r="MPF19" s="72"/>
      <c r="MPG19" s="72"/>
      <c r="MPH19" s="72"/>
      <c r="MPI19" s="72"/>
      <c r="MPJ19" s="72"/>
      <c r="MPK19" s="72"/>
      <c r="MPL19" s="72"/>
      <c r="MPM19" s="72"/>
      <c r="MPN19" s="72"/>
      <c r="MPO19" s="72"/>
      <c r="MPP19" s="72"/>
      <c r="MPQ19" s="72"/>
      <c r="MPR19" s="72"/>
      <c r="MPS19" s="72"/>
      <c r="MPT19" s="72"/>
      <c r="MPU19" s="72"/>
      <c r="MPV19" s="72"/>
      <c r="MPW19" s="72"/>
      <c r="MPX19" s="72"/>
      <c r="MPY19" s="72"/>
      <c r="MPZ19" s="72"/>
      <c r="MQA19" s="72"/>
      <c r="MQB19" s="72"/>
      <c r="MQC19" s="72"/>
      <c r="MQD19" s="72"/>
      <c r="MQE19" s="72"/>
      <c r="MQF19" s="72"/>
      <c r="MQG19" s="72"/>
      <c r="MQH19" s="72"/>
      <c r="MQI19" s="72"/>
      <c r="MQJ19" s="72"/>
      <c r="MQK19" s="72"/>
      <c r="MQL19" s="72"/>
      <c r="MQM19" s="72"/>
      <c r="MQN19" s="72"/>
      <c r="MQO19" s="72"/>
      <c r="MQP19" s="72"/>
      <c r="MQQ19" s="72"/>
      <c r="MQR19" s="72"/>
      <c r="MQS19" s="72"/>
      <c r="MQT19" s="72"/>
      <c r="MQU19" s="72"/>
      <c r="MQV19" s="72"/>
      <c r="MQW19" s="72"/>
      <c r="MQX19" s="72"/>
      <c r="MQY19" s="72"/>
      <c r="MQZ19" s="72"/>
      <c r="MRA19" s="72"/>
      <c r="MRB19" s="72"/>
      <c r="MRC19" s="72"/>
      <c r="MRD19" s="72"/>
      <c r="MRE19" s="72"/>
      <c r="MRF19" s="72"/>
      <c r="MRG19" s="72"/>
      <c r="MRH19" s="72"/>
      <c r="MRI19" s="72"/>
      <c r="MRJ19" s="72"/>
      <c r="MRK19" s="72"/>
      <c r="MRL19" s="72"/>
      <c r="MRM19" s="72"/>
      <c r="MRN19" s="72"/>
      <c r="MRO19" s="72"/>
      <c r="MRP19" s="72"/>
      <c r="MRQ19" s="72"/>
      <c r="MRR19" s="72"/>
      <c r="MRS19" s="72"/>
      <c r="MRT19" s="72"/>
      <c r="MRU19" s="72"/>
      <c r="MRV19" s="72"/>
      <c r="MRW19" s="72"/>
      <c r="MRX19" s="72"/>
      <c r="MRY19" s="72"/>
      <c r="MRZ19" s="72"/>
      <c r="MSA19" s="72"/>
      <c r="MSB19" s="72"/>
      <c r="MSC19" s="72"/>
      <c r="MSD19" s="72"/>
      <c r="MSE19" s="72"/>
      <c r="MSF19" s="72"/>
      <c r="MSG19" s="72"/>
      <c r="MSH19" s="72"/>
      <c r="MSI19" s="72"/>
      <c r="MSJ19" s="72"/>
      <c r="MSK19" s="72"/>
      <c r="MSL19" s="72"/>
      <c r="MSM19" s="72"/>
      <c r="MSN19" s="72"/>
      <c r="MSO19" s="72"/>
      <c r="MSP19" s="72"/>
      <c r="MSQ19" s="72"/>
      <c r="MSR19" s="72"/>
      <c r="MSS19" s="72"/>
      <c r="MST19" s="72"/>
      <c r="MSU19" s="72"/>
      <c r="MSV19" s="72"/>
      <c r="MSW19" s="72"/>
      <c r="MSX19" s="72"/>
      <c r="MSY19" s="72"/>
      <c r="MSZ19" s="72"/>
      <c r="MTA19" s="72"/>
      <c r="MTB19" s="72"/>
      <c r="MTC19" s="72"/>
      <c r="MTD19" s="72"/>
      <c r="MTE19" s="72"/>
      <c r="MTF19" s="72"/>
      <c r="MTG19" s="72"/>
      <c r="MTH19" s="72"/>
      <c r="MTI19" s="72"/>
      <c r="MTJ19" s="72"/>
      <c r="MTK19" s="72"/>
      <c r="MTL19" s="72"/>
      <c r="MTM19" s="72"/>
      <c r="MTN19" s="72"/>
      <c r="MTO19" s="72"/>
      <c r="MTP19" s="72"/>
      <c r="MTQ19" s="72"/>
      <c r="MTR19" s="72"/>
      <c r="MTS19" s="72"/>
      <c r="MTT19" s="72"/>
      <c r="MTU19" s="72"/>
      <c r="MTV19" s="72"/>
      <c r="MTW19" s="72"/>
      <c r="MTX19" s="72"/>
      <c r="MTY19" s="72"/>
      <c r="MTZ19" s="72"/>
      <c r="MUA19" s="72"/>
      <c r="MUB19" s="72"/>
      <c r="MUC19" s="72"/>
      <c r="MUD19" s="72"/>
      <c r="MUE19" s="72"/>
      <c r="MUF19" s="72"/>
      <c r="MUG19" s="72"/>
      <c r="MUH19" s="72"/>
      <c r="MUI19" s="72"/>
      <c r="MUJ19" s="72"/>
      <c r="MUK19" s="72"/>
      <c r="MUL19" s="72"/>
      <c r="MUM19" s="72"/>
      <c r="MUN19" s="72"/>
      <c r="MUO19" s="72"/>
      <c r="MUP19" s="72"/>
      <c r="MUQ19" s="72"/>
      <c r="MUR19" s="72"/>
      <c r="MUS19" s="72"/>
      <c r="MUT19" s="72"/>
      <c r="MUU19" s="72"/>
      <c r="MUV19" s="72"/>
      <c r="MUW19" s="72"/>
      <c r="MUX19" s="72"/>
      <c r="MUY19" s="72"/>
      <c r="MUZ19" s="72"/>
      <c r="MVA19" s="72"/>
      <c r="MVB19" s="72"/>
      <c r="MVC19" s="72"/>
      <c r="MVD19" s="72"/>
      <c r="MVE19" s="72"/>
      <c r="MVF19" s="72"/>
      <c r="MVG19" s="72"/>
      <c r="MVH19" s="72"/>
      <c r="MVI19" s="72"/>
      <c r="MVJ19" s="72"/>
      <c r="MVK19" s="72"/>
      <c r="MVL19" s="72"/>
      <c r="MVM19" s="72"/>
      <c r="MVN19" s="72"/>
      <c r="MVO19" s="72"/>
      <c r="MVP19" s="72"/>
      <c r="MVQ19" s="72"/>
      <c r="MVR19" s="72"/>
      <c r="MVS19" s="72"/>
      <c r="MVT19" s="72"/>
      <c r="MVU19" s="72"/>
      <c r="MVV19" s="72"/>
      <c r="MVW19" s="72"/>
      <c r="MVX19" s="72"/>
      <c r="MVY19" s="72"/>
      <c r="MVZ19" s="72"/>
      <c r="MWA19" s="72"/>
      <c r="MWB19" s="72"/>
      <c r="MWC19" s="72"/>
      <c r="MWD19" s="72"/>
      <c r="MWE19" s="72"/>
      <c r="MWF19" s="72"/>
      <c r="MWG19" s="72"/>
      <c r="MWH19" s="72"/>
      <c r="MWI19" s="72"/>
      <c r="MWJ19" s="72"/>
      <c r="MWK19" s="72"/>
      <c r="MWL19" s="72"/>
      <c r="MWM19" s="72"/>
      <c r="MWN19" s="72"/>
      <c r="MWO19" s="72"/>
      <c r="MWP19" s="72"/>
      <c r="MWQ19" s="72"/>
      <c r="MWR19" s="72"/>
      <c r="MWS19" s="72"/>
      <c r="MWT19" s="72"/>
      <c r="MWU19" s="72"/>
      <c r="MWV19" s="72"/>
      <c r="MWW19" s="72"/>
      <c r="MWX19" s="72"/>
      <c r="MWY19" s="72"/>
      <c r="MWZ19" s="72"/>
      <c r="MXA19" s="72"/>
      <c r="MXB19" s="72"/>
      <c r="MXC19" s="72"/>
      <c r="MXD19" s="72"/>
      <c r="MXE19" s="72"/>
      <c r="MXF19" s="72"/>
      <c r="MXG19" s="72"/>
      <c r="MXH19" s="72"/>
      <c r="MXI19" s="72"/>
      <c r="MXJ19" s="72"/>
      <c r="MXK19" s="72"/>
      <c r="MXL19" s="72"/>
      <c r="MXM19" s="72"/>
      <c r="MXN19" s="72"/>
      <c r="MXO19" s="72"/>
      <c r="MXP19" s="72"/>
      <c r="MXQ19" s="72"/>
      <c r="MXR19" s="72"/>
      <c r="MXS19" s="72"/>
      <c r="MXT19" s="72"/>
      <c r="MXU19" s="72"/>
      <c r="MXV19" s="72"/>
      <c r="MXW19" s="72"/>
      <c r="MXX19" s="72"/>
      <c r="MXY19" s="72"/>
      <c r="MXZ19" s="72"/>
      <c r="MYA19" s="72"/>
      <c r="MYB19" s="72"/>
      <c r="MYC19" s="72"/>
      <c r="MYD19" s="72"/>
      <c r="MYE19" s="72"/>
      <c r="MYF19" s="72"/>
      <c r="MYG19" s="72"/>
      <c r="MYH19" s="72"/>
      <c r="MYI19" s="72"/>
      <c r="MYJ19" s="72"/>
      <c r="MYK19" s="72"/>
      <c r="MYL19" s="72"/>
      <c r="MYM19" s="72"/>
      <c r="MYN19" s="72"/>
      <c r="MYO19" s="72"/>
      <c r="MYP19" s="72"/>
      <c r="MYQ19" s="72"/>
      <c r="MYR19" s="72"/>
      <c r="MYS19" s="72"/>
      <c r="MYT19" s="72"/>
      <c r="MYU19" s="72"/>
      <c r="MYV19" s="72"/>
      <c r="MYW19" s="72"/>
      <c r="MYX19" s="72"/>
      <c r="MYY19" s="72"/>
      <c r="MYZ19" s="72"/>
      <c r="MZA19" s="72"/>
      <c r="MZB19" s="72"/>
      <c r="MZC19" s="72"/>
      <c r="MZD19" s="72"/>
      <c r="MZE19" s="72"/>
      <c r="MZF19" s="72"/>
      <c r="MZG19" s="72"/>
      <c r="MZH19" s="72"/>
      <c r="MZI19" s="72"/>
      <c r="MZJ19" s="72"/>
      <c r="MZK19" s="72"/>
      <c r="MZL19" s="72"/>
      <c r="MZM19" s="72"/>
      <c r="MZN19" s="72"/>
      <c r="MZO19" s="72"/>
      <c r="MZP19" s="72"/>
      <c r="MZQ19" s="72"/>
      <c r="MZR19" s="72"/>
      <c r="MZS19" s="72"/>
      <c r="MZT19" s="72"/>
      <c r="MZU19" s="72"/>
      <c r="MZV19" s="72"/>
      <c r="MZW19" s="72"/>
      <c r="MZX19" s="72"/>
      <c r="MZY19" s="72"/>
      <c r="MZZ19" s="72"/>
      <c r="NAA19" s="72"/>
      <c r="NAB19" s="72"/>
      <c r="NAC19" s="72"/>
      <c r="NAD19" s="72"/>
      <c r="NAE19" s="72"/>
      <c r="NAF19" s="72"/>
      <c r="NAG19" s="72"/>
      <c r="NAH19" s="72"/>
      <c r="NAI19" s="72"/>
      <c r="NAJ19" s="72"/>
      <c r="NAK19" s="72"/>
      <c r="NAL19" s="72"/>
      <c r="NAM19" s="72"/>
      <c r="NAN19" s="72"/>
      <c r="NAO19" s="72"/>
      <c r="NAP19" s="72"/>
      <c r="NAQ19" s="72"/>
      <c r="NAR19" s="72"/>
      <c r="NAS19" s="72"/>
      <c r="NAT19" s="72"/>
      <c r="NAU19" s="72"/>
      <c r="NAV19" s="72"/>
      <c r="NAW19" s="72"/>
      <c r="NAX19" s="72"/>
      <c r="NAY19" s="72"/>
      <c r="NAZ19" s="72"/>
      <c r="NBA19" s="72"/>
      <c r="NBB19" s="72"/>
      <c r="NBC19" s="72"/>
      <c r="NBD19" s="72"/>
      <c r="NBE19" s="72"/>
      <c r="NBF19" s="72"/>
      <c r="NBG19" s="72"/>
      <c r="NBH19" s="72"/>
      <c r="NBI19" s="72"/>
      <c r="NBJ19" s="72"/>
      <c r="NBK19" s="72"/>
      <c r="NBL19" s="72"/>
      <c r="NBM19" s="72"/>
      <c r="NBN19" s="72"/>
      <c r="NBO19" s="72"/>
      <c r="NBP19" s="72"/>
      <c r="NBQ19" s="72"/>
      <c r="NBR19" s="72"/>
      <c r="NBS19" s="72"/>
      <c r="NBT19" s="72"/>
      <c r="NBU19" s="72"/>
      <c r="NBV19" s="72"/>
      <c r="NBW19" s="72"/>
      <c r="NBX19" s="72"/>
      <c r="NBY19" s="72"/>
      <c r="NBZ19" s="72"/>
      <c r="NCA19" s="72"/>
      <c r="NCB19" s="72"/>
      <c r="NCC19" s="72"/>
      <c r="NCD19" s="72"/>
      <c r="NCE19" s="72"/>
      <c r="NCF19" s="72"/>
      <c r="NCG19" s="72"/>
      <c r="NCH19" s="72"/>
      <c r="NCI19" s="72"/>
      <c r="NCJ19" s="72"/>
      <c r="NCK19" s="72"/>
      <c r="NCL19" s="72"/>
      <c r="NCM19" s="72"/>
      <c r="NCN19" s="72"/>
      <c r="NCO19" s="72"/>
      <c r="NCP19" s="72"/>
      <c r="NCQ19" s="72"/>
      <c r="NCR19" s="72"/>
      <c r="NCS19" s="72"/>
      <c r="NCT19" s="72"/>
      <c r="NCU19" s="72"/>
      <c r="NCV19" s="72"/>
      <c r="NCW19" s="72"/>
      <c r="NCX19" s="72"/>
      <c r="NCY19" s="72"/>
      <c r="NCZ19" s="72"/>
      <c r="NDA19" s="72"/>
      <c r="NDB19" s="72"/>
      <c r="NDC19" s="72"/>
      <c r="NDD19" s="72"/>
      <c r="NDE19" s="72"/>
      <c r="NDF19" s="72"/>
      <c r="NDG19" s="72"/>
      <c r="NDH19" s="72"/>
      <c r="NDI19" s="72"/>
      <c r="NDJ19" s="72"/>
      <c r="NDK19" s="72"/>
      <c r="NDL19" s="72"/>
      <c r="NDM19" s="72"/>
      <c r="NDN19" s="72"/>
      <c r="NDO19" s="72"/>
      <c r="NDP19" s="72"/>
      <c r="NDQ19" s="72"/>
      <c r="NDR19" s="72"/>
      <c r="NDS19" s="72"/>
      <c r="NDT19" s="72"/>
      <c r="NDU19" s="72"/>
      <c r="NDV19" s="72"/>
      <c r="NDW19" s="72"/>
      <c r="NDX19" s="72"/>
      <c r="NDY19" s="72"/>
      <c r="NDZ19" s="72"/>
      <c r="NEA19" s="72"/>
      <c r="NEB19" s="72"/>
      <c r="NEC19" s="72"/>
      <c r="NED19" s="72"/>
      <c r="NEE19" s="72"/>
      <c r="NEF19" s="72"/>
      <c r="NEG19" s="72"/>
      <c r="NEH19" s="72"/>
      <c r="NEI19" s="72"/>
      <c r="NEJ19" s="72"/>
      <c r="NEK19" s="72"/>
      <c r="NEL19" s="72"/>
      <c r="NEM19" s="72"/>
      <c r="NEN19" s="72"/>
      <c r="NEO19" s="72"/>
      <c r="NEP19" s="72"/>
      <c r="NEQ19" s="72"/>
      <c r="NER19" s="72"/>
      <c r="NES19" s="72"/>
      <c r="NET19" s="72"/>
      <c r="NEU19" s="72"/>
      <c r="NEV19" s="72"/>
      <c r="NEW19" s="72"/>
      <c r="NEX19" s="72"/>
      <c r="NEY19" s="72"/>
      <c r="NEZ19" s="72"/>
      <c r="NFA19" s="72"/>
      <c r="NFB19" s="72"/>
      <c r="NFC19" s="72"/>
      <c r="NFD19" s="72"/>
      <c r="NFE19" s="72"/>
      <c r="NFF19" s="72"/>
      <c r="NFG19" s="72"/>
      <c r="NFH19" s="72"/>
      <c r="NFI19" s="72"/>
      <c r="NFJ19" s="72"/>
      <c r="NFK19" s="72"/>
      <c r="NFL19" s="72"/>
      <c r="NFM19" s="72"/>
      <c r="NFN19" s="72"/>
      <c r="NFO19" s="72"/>
      <c r="NFP19" s="72"/>
      <c r="NFQ19" s="72"/>
      <c r="NFR19" s="72"/>
      <c r="NFS19" s="72"/>
      <c r="NFT19" s="72"/>
      <c r="NFU19" s="72"/>
      <c r="NFV19" s="72"/>
      <c r="NFW19" s="72"/>
      <c r="NFX19" s="72"/>
      <c r="NFY19" s="72"/>
      <c r="NFZ19" s="72"/>
      <c r="NGA19" s="72"/>
      <c r="NGB19" s="72"/>
      <c r="NGC19" s="72"/>
      <c r="NGD19" s="72"/>
      <c r="NGE19" s="72"/>
      <c r="NGF19" s="72"/>
      <c r="NGG19" s="72"/>
      <c r="NGH19" s="72"/>
      <c r="NGI19" s="72"/>
      <c r="NGJ19" s="72"/>
      <c r="NGK19" s="72"/>
      <c r="NGL19" s="72"/>
      <c r="NGM19" s="72"/>
      <c r="NGN19" s="72"/>
      <c r="NGO19" s="72"/>
      <c r="NGP19" s="72"/>
      <c r="NGQ19" s="72"/>
      <c r="NGR19" s="72"/>
      <c r="NGS19" s="72"/>
      <c r="NGT19" s="72"/>
      <c r="NGU19" s="72"/>
      <c r="NGV19" s="72"/>
      <c r="NGW19" s="72"/>
      <c r="NGX19" s="72"/>
      <c r="NGY19" s="72"/>
      <c r="NGZ19" s="72"/>
      <c r="NHA19" s="72"/>
      <c r="NHB19" s="72"/>
      <c r="NHC19" s="72"/>
      <c r="NHD19" s="72"/>
      <c r="NHE19" s="72"/>
      <c r="NHF19" s="72"/>
      <c r="NHG19" s="72"/>
      <c r="NHH19" s="72"/>
      <c r="NHI19" s="72"/>
      <c r="NHJ19" s="72"/>
      <c r="NHK19" s="72"/>
      <c r="NHL19" s="72"/>
      <c r="NHM19" s="72"/>
      <c r="NHN19" s="72"/>
      <c r="NHO19" s="72"/>
      <c r="NHP19" s="72"/>
      <c r="NHQ19" s="72"/>
      <c r="NHR19" s="72"/>
      <c r="NHS19" s="72"/>
      <c r="NHT19" s="72"/>
      <c r="NHU19" s="72"/>
      <c r="NHV19" s="72"/>
      <c r="NHW19" s="72"/>
      <c r="NHX19" s="72"/>
      <c r="NHY19" s="72"/>
      <c r="NHZ19" s="72"/>
      <c r="NIA19" s="72"/>
      <c r="NIB19" s="72"/>
      <c r="NIC19" s="72"/>
      <c r="NID19" s="72"/>
      <c r="NIE19" s="72"/>
      <c r="NIF19" s="72"/>
      <c r="NIG19" s="72"/>
      <c r="NIH19" s="72"/>
      <c r="NII19" s="72"/>
      <c r="NIJ19" s="72"/>
      <c r="NIK19" s="72"/>
      <c r="NIL19" s="72"/>
      <c r="NIM19" s="72"/>
      <c r="NIN19" s="72"/>
      <c r="NIO19" s="72"/>
      <c r="NIP19" s="72"/>
      <c r="NIQ19" s="72"/>
      <c r="NIR19" s="72"/>
      <c r="NIS19" s="72"/>
      <c r="NIT19" s="72"/>
      <c r="NIU19" s="72"/>
      <c r="NIV19" s="72"/>
      <c r="NIW19" s="72"/>
      <c r="NIX19" s="72"/>
      <c r="NIY19" s="72"/>
      <c r="NIZ19" s="72"/>
      <c r="NJA19" s="72"/>
      <c r="NJB19" s="72"/>
      <c r="NJC19" s="72"/>
      <c r="NJD19" s="72"/>
      <c r="NJE19" s="72"/>
      <c r="NJF19" s="72"/>
      <c r="NJG19" s="72"/>
      <c r="NJH19" s="72"/>
      <c r="NJI19" s="72"/>
      <c r="NJJ19" s="72"/>
      <c r="NJK19" s="72"/>
      <c r="NJL19" s="72"/>
      <c r="NJM19" s="72"/>
      <c r="NJN19" s="72"/>
      <c r="NJO19" s="72"/>
      <c r="NJP19" s="72"/>
      <c r="NJQ19" s="72"/>
      <c r="NJR19" s="72"/>
      <c r="NJS19" s="72"/>
      <c r="NJT19" s="72"/>
      <c r="NJU19" s="72"/>
      <c r="NJV19" s="72"/>
      <c r="NJW19" s="72"/>
      <c r="NJX19" s="72"/>
      <c r="NJY19" s="72"/>
      <c r="NJZ19" s="72"/>
      <c r="NKA19" s="72"/>
      <c r="NKB19" s="72"/>
      <c r="NKC19" s="72"/>
      <c r="NKD19" s="72"/>
      <c r="NKE19" s="72"/>
      <c r="NKF19" s="72"/>
      <c r="NKG19" s="72"/>
      <c r="NKH19" s="72"/>
      <c r="NKI19" s="72"/>
      <c r="NKJ19" s="72"/>
      <c r="NKK19" s="72"/>
      <c r="NKL19" s="72"/>
      <c r="NKM19" s="72"/>
      <c r="NKN19" s="72"/>
      <c r="NKO19" s="72"/>
      <c r="NKP19" s="72"/>
      <c r="NKQ19" s="72"/>
      <c r="NKR19" s="72"/>
      <c r="NKS19" s="72"/>
      <c r="NKT19" s="72"/>
      <c r="NKU19" s="72"/>
      <c r="NKV19" s="72"/>
      <c r="NKW19" s="72"/>
      <c r="NKX19" s="72"/>
      <c r="NKY19" s="72"/>
      <c r="NKZ19" s="72"/>
      <c r="NLA19" s="72"/>
      <c r="NLB19" s="72"/>
      <c r="NLC19" s="72"/>
      <c r="NLD19" s="72"/>
      <c r="NLE19" s="72"/>
      <c r="NLF19" s="72"/>
      <c r="NLG19" s="72"/>
      <c r="NLH19" s="72"/>
      <c r="NLI19" s="72"/>
      <c r="NLJ19" s="72"/>
      <c r="NLK19" s="72"/>
      <c r="NLL19" s="72"/>
      <c r="NLM19" s="72"/>
      <c r="NLN19" s="72"/>
      <c r="NLO19" s="72"/>
      <c r="NLP19" s="72"/>
      <c r="NLQ19" s="72"/>
      <c r="NLR19" s="72"/>
      <c r="NLS19" s="72"/>
      <c r="NLT19" s="72"/>
      <c r="NLU19" s="72"/>
      <c r="NLV19" s="72"/>
      <c r="NLW19" s="72"/>
      <c r="NLX19" s="72"/>
      <c r="NLY19" s="72"/>
      <c r="NLZ19" s="72"/>
      <c r="NMA19" s="72"/>
      <c r="NMB19" s="72"/>
      <c r="NMC19" s="72"/>
      <c r="NMD19" s="72"/>
      <c r="NME19" s="72"/>
      <c r="NMF19" s="72"/>
      <c r="NMG19" s="72"/>
      <c r="NMH19" s="72"/>
      <c r="NMI19" s="72"/>
      <c r="NMJ19" s="72"/>
      <c r="NMK19" s="72"/>
      <c r="NML19" s="72"/>
      <c r="NMM19" s="72"/>
      <c r="NMN19" s="72"/>
      <c r="NMO19" s="72"/>
      <c r="NMP19" s="72"/>
      <c r="NMQ19" s="72"/>
      <c r="NMR19" s="72"/>
      <c r="NMS19" s="72"/>
      <c r="NMT19" s="72"/>
      <c r="NMU19" s="72"/>
      <c r="NMV19" s="72"/>
      <c r="NMW19" s="72"/>
      <c r="NMX19" s="72"/>
      <c r="NMY19" s="72"/>
      <c r="NMZ19" s="72"/>
      <c r="NNA19" s="72"/>
      <c r="NNB19" s="72"/>
      <c r="NNC19" s="72"/>
      <c r="NND19" s="72"/>
      <c r="NNE19" s="72"/>
      <c r="NNF19" s="72"/>
      <c r="NNG19" s="72"/>
      <c r="NNH19" s="72"/>
      <c r="NNI19" s="72"/>
      <c r="NNJ19" s="72"/>
      <c r="NNK19" s="72"/>
      <c r="NNL19" s="72"/>
      <c r="NNM19" s="72"/>
      <c r="NNN19" s="72"/>
      <c r="NNO19" s="72"/>
      <c r="NNP19" s="72"/>
      <c r="NNQ19" s="72"/>
      <c r="NNR19" s="72"/>
      <c r="NNS19" s="72"/>
      <c r="NNT19" s="72"/>
      <c r="NNU19" s="72"/>
      <c r="NNV19" s="72"/>
      <c r="NNW19" s="72"/>
      <c r="NNX19" s="72"/>
      <c r="NNY19" s="72"/>
      <c r="NNZ19" s="72"/>
      <c r="NOA19" s="72"/>
      <c r="NOB19" s="72"/>
      <c r="NOC19" s="72"/>
      <c r="NOD19" s="72"/>
      <c r="NOE19" s="72"/>
      <c r="NOF19" s="72"/>
      <c r="NOG19" s="72"/>
      <c r="NOH19" s="72"/>
      <c r="NOI19" s="72"/>
      <c r="NOJ19" s="72"/>
      <c r="NOK19" s="72"/>
      <c r="NOL19" s="72"/>
      <c r="NOM19" s="72"/>
      <c r="NON19" s="72"/>
      <c r="NOO19" s="72"/>
      <c r="NOP19" s="72"/>
      <c r="NOQ19" s="72"/>
      <c r="NOR19" s="72"/>
      <c r="NOS19" s="72"/>
      <c r="NOT19" s="72"/>
      <c r="NOU19" s="72"/>
      <c r="NOV19" s="72"/>
      <c r="NOW19" s="72"/>
      <c r="NOX19" s="72"/>
      <c r="NOY19" s="72"/>
      <c r="NOZ19" s="72"/>
      <c r="NPA19" s="72"/>
      <c r="NPB19" s="72"/>
      <c r="NPC19" s="72"/>
      <c r="NPD19" s="72"/>
      <c r="NPE19" s="72"/>
      <c r="NPF19" s="72"/>
      <c r="NPG19" s="72"/>
      <c r="NPH19" s="72"/>
      <c r="NPI19" s="72"/>
      <c r="NPJ19" s="72"/>
      <c r="NPK19" s="72"/>
      <c r="NPL19" s="72"/>
      <c r="NPM19" s="72"/>
      <c r="NPN19" s="72"/>
      <c r="NPO19" s="72"/>
      <c r="NPP19" s="72"/>
      <c r="NPQ19" s="72"/>
      <c r="NPR19" s="72"/>
      <c r="NPS19" s="72"/>
      <c r="NPT19" s="72"/>
      <c r="NPU19" s="72"/>
      <c r="NPV19" s="72"/>
      <c r="NPW19" s="72"/>
      <c r="NPX19" s="72"/>
      <c r="NPY19" s="72"/>
      <c r="NPZ19" s="72"/>
      <c r="NQA19" s="72"/>
      <c r="NQB19" s="72"/>
      <c r="NQC19" s="72"/>
      <c r="NQD19" s="72"/>
      <c r="NQE19" s="72"/>
      <c r="NQF19" s="72"/>
      <c r="NQG19" s="72"/>
      <c r="NQH19" s="72"/>
      <c r="NQI19" s="72"/>
      <c r="NQJ19" s="72"/>
      <c r="NQK19" s="72"/>
      <c r="NQL19" s="72"/>
      <c r="NQM19" s="72"/>
      <c r="NQN19" s="72"/>
      <c r="NQO19" s="72"/>
      <c r="NQP19" s="72"/>
      <c r="NQQ19" s="72"/>
      <c r="NQR19" s="72"/>
      <c r="NQS19" s="72"/>
      <c r="NQT19" s="72"/>
      <c r="NQU19" s="72"/>
      <c r="NQV19" s="72"/>
      <c r="NQW19" s="72"/>
      <c r="NQX19" s="72"/>
      <c r="NQY19" s="72"/>
      <c r="NQZ19" s="72"/>
      <c r="NRA19" s="72"/>
      <c r="NRB19" s="72"/>
      <c r="NRC19" s="72"/>
      <c r="NRD19" s="72"/>
      <c r="NRE19" s="72"/>
      <c r="NRF19" s="72"/>
      <c r="NRG19" s="72"/>
      <c r="NRH19" s="72"/>
      <c r="NRI19" s="72"/>
      <c r="NRJ19" s="72"/>
      <c r="NRK19" s="72"/>
      <c r="NRL19" s="72"/>
      <c r="NRM19" s="72"/>
      <c r="NRN19" s="72"/>
      <c r="NRO19" s="72"/>
      <c r="NRP19" s="72"/>
      <c r="NRQ19" s="72"/>
      <c r="NRR19" s="72"/>
      <c r="NRS19" s="72"/>
      <c r="NRT19" s="72"/>
      <c r="NRU19" s="72"/>
      <c r="NRV19" s="72"/>
      <c r="NRW19" s="72"/>
      <c r="NRX19" s="72"/>
      <c r="NRY19" s="72"/>
      <c r="NRZ19" s="72"/>
      <c r="NSA19" s="72"/>
      <c r="NSB19" s="72"/>
      <c r="NSC19" s="72"/>
      <c r="NSD19" s="72"/>
      <c r="NSE19" s="72"/>
      <c r="NSF19" s="72"/>
      <c r="NSG19" s="72"/>
      <c r="NSH19" s="72"/>
      <c r="NSI19" s="72"/>
      <c r="NSJ19" s="72"/>
      <c r="NSK19" s="72"/>
      <c r="NSL19" s="72"/>
      <c r="NSM19" s="72"/>
      <c r="NSN19" s="72"/>
      <c r="NSO19" s="72"/>
      <c r="NSP19" s="72"/>
      <c r="NSQ19" s="72"/>
      <c r="NSR19" s="72"/>
      <c r="NSS19" s="72"/>
      <c r="NST19" s="72"/>
      <c r="NSU19" s="72"/>
      <c r="NSV19" s="72"/>
      <c r="NSW19" s="72"/>
      <c r="NSX19" s="72"/>
      <c r="NSY19" s="72"/>
      <c r="NSZ19" s="72"/>
      <c r="NTA19" s="72"/>
      <c r="NTB19" s="72"/>
      <c r="NTC19" s="72"/>
      <c r="NTD19" s="72"/>
      <c r="NTE19" s="72"/>
      <c r="NTF19" s="72"/>
      <c r="NTG19" s="72"/>
      <c r="NTH19" s="72"/>
      <c r="NTI19" s="72"/>
      <c r="NTJ19" s="72"/>
      <c r="NTK19" s="72"/>
      <c r="NTL19" s="72"/>
      <c r="NTM19" s="72"/>
      <c r="NTN19" s="72"/>
      <c r="NTO19" s="72"/>
      <c r="NTP19" s="72"/>
      <c r="NTQ19" s="72"/>
      <c r="NTR19" s="72"/>
      <c r="NTS19" s="72"/>
      <c r="NTT19" s="72"/>
      <c r="NTU19" s="72"/>
      <c r="NTV19" s="72"/>
      <c r="NTW19" s="72"/>
      <c r="NTX19" s="72"/>
      <c r="NTY19" s="72"/>
      <c r="NTZ19" s="72"/>
      <c r="NUA19" s="72"/>
      <c r="NUB19" s="72"/>
      <c r="NUC19" s="72"/>
      <c r="NUD19" s="72"/>
      <c r="NUE19" s="72"/>
      <c r="NUF19" s="72"/>
      <c r="NUG19" s="72"/>
      <c r="NUH19" s="72"/>
      <c r="NUI19" s="72"/>
      <c r="NUJ19" s="72"/>
      <c r="NUK19" s="72"/>
      <c r="NUL19" s="72"/>
      <c r="NUM19" s="72"/>
      <c r="NUN19" s="72"/>
      <c r="NUO19" s="72"/>
      <c r="NUP19" s="72"/>
      <c r="NUQ19" s="72"/>
      <c r="NUR19" s="72"/>
      <c r="NUS19" s="72"/>
      <c r="NUT19" s="72"/>
      <c r="NUU19" s="72"/>
      <c r="NUV19" s="72"/>
      <c r="NUW19" s="72"/>
      <c r="NUX19" s="72"/>
      <c r="NUY19" s="72"/>
      <c r="NUZ19" s="72"/>
      <c r="NVA19" s="72"/>
      <c r="NVB19" s="72"/>
      <c r="NVC19" s="72"/>
      <c r="NVD19" s="72"/>
      <c r="NVE19" s="72"/>
      <c r="NVF19" s="72"/>
      <c r="NVG19" s="72"/>
      <c r="NVH19" s="72"/>
      <c r="NVI19" s="72"/>
      <c r="NVJ19" s="72"/>
      <c r="NVK19" s="72"/>
      <c r="NVL19" s="72"/>
      <c r="NVM19" s="72"/>
      <c r="NVN19" s="72"/>
      <c r="NVO19" s="72"/>
      <c r="NVP19" s="72"/>
      <c r="NVQ19" s="72"/>
      <c r="NVR19" s="72"/>
      <c r="NVS19" s="72"/>
      <c r="NVT19" s="72"/>
      <c r="NVU19" s="72"/>
      <c r="NVV19" s="72"/>
      <c r="NVW19" s="72"/>
      <c r="NVX19" s="72"/>
      <c r="NVY19" s="72"/>
      <c r="NVZ19" s="72"/>
      <c r="NWA19" s="72"/>
      <c r="NWB19" s="72"/>
      <c r="NWC19" s="72"/>
      <c r="NWD19" s="72"/>
      <c r="NWE19" s="72"/>
      <c r="NWF19" s="72"/>
      <c r="NWG19" s="72"/>
      <c r="NWH19" s="72"/>
      <c r="NWI19" s="72"/>
      <c r="NWJ19" s="72"/>
      <c r="NWK19" s="72"/>
      <c r="NWL19" s="72"/>
      <c r="NWM19" s="72"/>
      <c r="NWN19" s="72"/>
      <c r="NWO19" s="72"/>
      <c r="NWP19" s="72"/>
      <c r="NWQ19" s="72"/>
      <c r="NWR19" s="72"/>
      <c r="NWS19" s="72"/>
      <c r="NWT19" s="72"/>
      <c r="NWU19" s="72"/>
      <c r="NWV19" s="72"/>
      <c r="NWW19" s="72"/>
      <c r="NWX19" s="72"/>
      <c r="NWY19" s="72"/>
      <c r="NWZ19" s="72"/>
      <c r="NXA19" s="72"/>
      <c r="NXB19" s="72"/>
      <c r="NXC19" s="72"/>
      <c r="NXD19" s="72"/>
      <c r="NXE19" s="72"/>
      <c r="NXF19" s="72"/>
      <c r="NXG19" s="72"/>
      <c r="NXH19" s="72"/>
      <c r="NXI19" s="72"/>
      <c r="NXJ19" s="72"/>
      <c r="NXK19" s="72"/>
      <c r="NXL19" s="72"/>
      <c r="NXM19" s="72"/>
      <c r="NXN19" s="72"/>
      <c r="NXO19" s="72"/>
      <c r="NXP19" s="72"/>
      <c r="NXQ19" s="72"/>
      <c r="NXR19" s="72"/>
      <c r="NXS19" s="72"/>
      <c r="NXT19" s="72"/>
      <c r="NXU19" s="72"/>
      <c r="NXV19" s="72"/>
      <c r="NXW19" s="72"/>
      <c r="NXX19" s="72"/>
      <c r="NXY19" s="72"/>
      <c r="NXZ19" s="72"/>
      <c r="NYA19" s="72"/>
      <c r="NYB19" s="72"/>
      <c r="NYC19" s="72"/>
      <c r="NYD19" s="72"/>
      <c r="NYE19" s="72"/>
      <c r="NYF19" s="72"/>
      <c r="NYG19" s="72"/>
      <c r="NYH19" s="72"/>
      <c r="NYI19" s="72"/>
      <c r="NYJ19" s="72"/>
      <c r="NYK19" s="72"/>
      <c r="NYL19" s="72"/>
      <c r="NYM19" s="72"/>
      <c r="NYN19" s="72"/>
      <c r="NYO19" s="72"/>
      <c r="NYP19" s="72"/>
      <c r="NYQ19" s="72"/>
      <c r="NYR19" s="72"/>
      <c r="NYS19" s="72"/>
      <c r="NYT19" s="72"/>
      <c r="NYU19" s="72"/>
      <c r="NYV19" s="72"/>
      <c r="NYW19" s="72"/>
      <c r="NYX19" s="72"/>
      <c r="NYY19" s="72"/>
      <c r="NYZ19" s="72"/>
      <c r="NZA19" s="72"/>
      <c r="NZB19" s="72"/>
      <c r="NZC19" s="72"/>
      <c r="NZD19" s="72"/>
      <c r="NZE19" s="72"/>
      <c r="NZF19" s="72"/>
      <c r="NZG19" s="72"/>
      <c r="NZH19" s="72"/>
      <c r="NZI19" s="72"/>
      <c r="NZJ19" s="72"/>
      <c r="NZK19" s="72"/>
      <c r="NZL19" s="72"/>
      <c r="NZM19" s="72"/>
      <c r="NZN19" s="72"/>
      <c r="NZO19" s="72"/>
      <c r="NZP19" s="72"/>
      <c r="NZQ19" s="72"/>
      <c r="NZR19" s="72"/>
      <c r="NZS19" s="72"/>
      <c r="NZT19" s="72"/>
      <c r="NZU19" s="72"/>
      <c r="NZV19" s="72"/>
      <c r="NZW19" s="72"/>
      <c r="NZX19" s="72"/>
      <c r="NZY19" s="72"/>
      <c r="NZZ19" s="72"/>
      <c r="OAA19" s="72"/>
      <c r="OAB19" s="72"/>
      <c r="OAC19" s="72"/>
      <c r="OAD19" s="72"/>
      <c r="OAE19" s="72"/>
      <c r="OAF19" s="72"/>
      <c r="OAG19" s="72"/>
      <c r="OAH19" s="72"/>
      <c r="OAI19" s="72"/>
      <c r="OAJ19" s="72"/>
      <c r="OAK19" s="72"/>
      <c r="OAL19" s="72"/>
      <c r="OAM19" s="72"/>
      <c r="OAN19" s="72"/>
      <c r="OAO19" s="72"/>
      <c r="OAP19" s="72"/>
      <c r="OAQ19" s="72"/>
      <c r="OAR19" s="72"/>
      <c r="OAS19" s="72"/>
      <c r="OAT19" s="72"/>
      <c r="OAU19" s="72"/>
      <c r="OAV19" s="72"/>
      <c r="OAW19" s="72"/>
      <c r="OAX19" s="72"/>
      <c r="OAY19" s="72"/>
      <c r="OAZ19" s="72"/>
      <c r="OBA19" s="72"/>
      <c r="OBB19" s="72"/>
      <c r="OBC19" s="72"/>
      <c r="OBD19" s="72"/>
      <c r="OBE19" s="72"/>
      <c r="OBF19" s="72"/>
      <c r="OBG19" s="72"/>
      <c r="OBH19" s="72"/>
      <c r="OBI19" s="72"/>
      <c r="OBJ19" s="72"/>
      <c r="OBK19" s="72"/>
      <c r="OBL19" s="72"/>
      <c r="OBM19" s="72"/>
      <c r="OBN19" s="72"/>
      <c r="OBO19" s="72"/>
      <c r="OBP19" s="72"/>
      <c r="OBQ19" s="72"/>
      <c r="OBR19" s="72"/>
      <c r="OBS19" s="72"/>
      <c r="OBT19" s="72"/>
      <c r="OBU19" s="72"/>
      <c r="OBV19" s="72"/>
      <c r="OBW19" s="72"/>
      <c r="OBX19" s="72"/>
      <c r="OBY19" s="72"/>
      <c r="OBZ19" s="72"/>
      <c r="OCA19" s="72"/>
      <c r="OCB19" s="72"/>
      <c r="OCC19" s="72"/>
      <c r="OCD19" s="72"/>
      <c r="OCE19" s="72"/>
      <c r="OCF19" s="72"/>
      <c r="OCG19" s="72"/>
      <c r="OCH19" s="72"/>
      <c r="OCI19" s="72"/>
      <c r="OCJ19" s="72"/>
      <c r="OCK19" s="72"/>
      <c r="OCL19" s="72"/>
      <c r="OCM19" s="72"/>
      <c r="OCN19" s="72"/>
      <c r="OCO19" s="72"/>
      <c r="OCP19" s="72"/>
      <c r="OCQ19" s="72"/>
      <c r="OCR19" s="72"/>
      <c r="OCS19" s="72"/>
      <c r="OCT19" s="72"/>
      <c r="OCU19" s="72"/>
      <c r="OCV19" s="72"/>
      <c r="OCW19" s="72"/>
      <c r="OCX19" s="72"/>
      <c r="OCY19" s="72"/>
      <c r="OCZ19" s="72"/>
      <c r="ODA19" s="72"/>
      <c r="ODB19" s="72"/>
      <c r="ODC19" s="72"/>
      <c r="ODD19" s="72"/>
      <c r="ODE19" s="72"/>
      <c r="ODF19" s="72"/>
      <c r="ODG19" s="72"/>
      <c r="ODH19" s="72"/>
      <c r="ODI19" s="72"/>
      <c r="ODJ19" s="72"/>
      <c r="ODK19" s="72"/>
      <c r="ODL19" s="72"/>
      <c r="ODM19" s="72"/>
      <c r="ODN19" s="72"/>
      <c r="ODO19" s="72"/>
      <c r="ODP19" s="72"/>
      <c r="ODQ19" s="72"/>
      <c r="ODR19" s="72"/>
      <c r="ODS19" s="72"/>
      <c r="ODT19" s="72"/>
      <c r="ODU19" s="72"/>
      <c r="ODV19" s="72"/>
      <c r="ODW19" s="72"/>
      <c r="ODX19" s="72"/>
      <c r="ODY19" s="72"/>
      <c r="ODZ19" s="72"/>
      <c r="OEA19" s="72"/>
      <c r="OEB19" s="72"/>
      <c r="OEC19" s="72"/>
      <c r="OED19" s="72"/>
      <c r="OEE19" s="72"/>
      <c r="OEF19" s="72"/>
      <c r="OEG19" s="72"/>
      <c r="OEH19" s="72"/>
      <c r="OEI19" s="72"/>
      <c r="OEJ19" s="72"/>
      <c r="OEK19" s="72"/>
      <c r="OEL19" s="72"/>
      <c r="OEM19" s="72"/>
      <c r="OEN19" s="72"/>
      <c r="OEO19" s="72"/>
      <c r="OEP19" s="72"/>
      <c r="OEQ19" s="72"/>
      <c r="OER19" s="72"/>
      <c r="OES19" s="72"/>
      <c r="OET19" s="72"/>
      <c r="OEU19" s="72"/>
      <c r="OEV19" s="72"/>
      <c r="OEW19" s="72"/>
      <c r="OEX19" s="72"/>
      <c r="OEY19" s="72"/>
      <c r="OEZ19" s="72"/>
      <c r="OFA19" s="72"/>
      <c r="OFB19" s="72"/>
      <c r="OFC19" s="72"/>
      <c r="OFD19" s="72"/>
      <c r="OFE19" s="72"/>
      <c r="OFF19" s="72"/>
      <c r="OFG19" s="72"/>
      <c r="OFH19" s="72"/>
      <c r="OFI19" s="72"/>
      <c r="OFJ19" s="72"/>
      <c r="OFK19" s="72"/>
      <c r="OFL19" s="72"/>
      <c r="OFM19" s="72"/>
      <c r="OFN19" s="72"/>
      <c r="OFO19" s="72"/>
      <c r="OFP19" s="72"/>
      <c r="OFQ19" s="72"/>
      <c r="OFR19" s="72"/>
      <c r="OFS19" s="72"/>
      <c r="OFT19" s="72"/>
      <c r="OFU19" s="72"/>
      <c r="OFV19" s="72"/>
      <c r="OFW19" s="72"/>
      <c r="OFX19" s="72"/>
      <c r="OFY19" s="72"/>
      <c r="OFZ19" s="72"/>
      <c r="OGA19" s="72"/>
      <c r="OGB19" s="72"/>
      <c r="OGC19" s="72"/>
      <c r="OGD19" s="72"/>
      <c r="OGE19" s="72"/>
      <c r="OGF19" s="72"/>
      <c r="OGG19" s="72"/>
      <c r="OGH19" s="72"/>
      <c r="OGI19" s="72"/>
      <c r="OGJ19" s="72"/>
      <c r="OGK19" s="72"/>
      <c r="OGL19" s="72"/>
      <c r="OGM19" s="72"/>
      <c r="OGN19" s="72"/>
      <c r="OGO19" s="72"/>
      <c r="OGP19" s="72"/>
      <c r="OGQ19" s="72"/>
      <c r="OGR19" s="72"/>
      <c r="OGS19" s="72"/>
      <c r="OGT19" s="72"/>
      <c r="OGU19" s="72"/>
      <c r="OGV19" s="72"/>
      <c r="OGW19" s="72"/>
      <c r="OGX19" s="72"/>
      <c r="OGY19" s="72"/>
      <c r="OGZ19" s="72"/>
      <c r="OHA19" s="72"/>
      <c r="OHB19" s="72"/>
      <c r="OHC19" s="72"/>
      <c r="OHD19" s="72"/>
      <c r="OHE19" s="72"/>
      <c r="OHF19" s="72"/>
      <c r="OHG19" s="72"/>
      <c r="OHH19" s="72"/>
      <c r="OHI19" s="72"/>
      <c r="OHJ19" s="72"/>
      <c r="OHK19" s="72"/>
      <c r="OHL19" s="72"/>
      <c r="OHM19" s="72"/>
      <c r="OHN19" s="72"/>
      <c r="OHO19" s="72"/>
      <c r="OHP19" s="72"/>
      <c r="OHQ19" s="72"/>
      <c r="OHR19" s="72"/>
      <c r="OHS19" s="72"/>
      <c r="OHT19" s="72"/>
      <c r="OHU19" s="72"/>
      <c r="OHV19" s="72"/>
      <c r="OHW19" s="72"/>
      <c r="OHX19" s="72"/>
      <c r="OHY19" s="72"/>
      <c r="OHZ19" s="72"/>
      <c r="OIA19" s="72"/>
      <c r="OIB19" s="72"/>
      <c r="OIC19" s="72"/>
      <c r="OID19" s="72"/>
      <c r="OIE19" s="72"/>
      <c r="OIF19" s="72"/>
      <c r="OIG19" s="72"/>
      <c r="OIH19" s="72"/>
      <c r="OII19" s="72"/>
      <c r="OIJ19" s="72"/>
      <c r="OIK19" s="72"/>
      <c r="OIL19" s="72"/>
      <c r="OIM19" s="72"/>
      <c r="OIN19" s="72"/>
      <c r="OIO19" s="72"/>
      <c r="OIP19" s="72"/>
      <c r="OIQ19" s="72"/>
      <c r="OIR19" s="72"/>
      <c r="OIS19" s="72"/>
      <c r="OIT19" s="72"/>
      <c r="OIU19" s="72"/>
      <c r="OIV19" s="72"/>
      <c r="OIW19" s="72"/>
      <c r="OIX19" s="72"/>
      <c r="OIY19" s="72"/>
      <c r="OIZ19" s="72"/>
      <c r="OJA19" s="72"/>
      <c r="OJB19" s="72"/>
      <c r="OJC19" s="72"/>
      <c r="OJD19" s="72"/>
      <c r="OJE19" s="72"/>
      <c r="OJF19" s="72"/>
      <c r="OJG19" s="72"/>
      <c r="OJH19" s="72"/>
      <c r="OJI19" s="72"/>
      <c r="OJJ19" s="72"/>
      <c r="OJK19" s="72"/>
      <c r="OJL19" s="72"/>
      <c r="OJM19" s="72"/>
      <c r="OJN19" s="72"/>
      <c r="OJO19" s="72"/>
      <c r="OJP19" s="72"/>
      <c r="OJQ19" s="72"/>
      <c r="OJR19" s="72"/>
      <c r="OJS19" s="72"/>
      <c r="OJT19" s="72"/>
      <c r="OJU19" s="72"/>
      <c r="OJV19" s="72"/>
      <c r="OJW19" s="72"/>
      <c r="OJX19" s="72"/>
      <c r="OJY19" s="72"/>
      <c r="OJZ19" s="72"/>
      <c r="OKA19" s="72"/>
      <c r="OKB19" s="72"/>
      <c r="OKC19" s="72"/>
      <c r="OKD19" s="72"/>
      <c r="OKE19" s="72"/>
      <c r="OKF19" s="72"/>
      <c r="OKG19" s="72"/>
      <c r="OKH19" s="72"/>
      <c r="OKI19" s="72"/>
      <c r="OKJ19" s="72"/>
      <c r="OKK19" s="72"/>
      <c r="OKL19" s="72"/>
      <c r="OKM19" s="72"/>
      <c r="OKN19" s="72"/>
      <c r="OKO19" s="72"/>
      <c r="OKP19" s="72"/>
      <c r="OKQ19" s="72"/>
      <c r="OKR19" s="72"/>
      <c r="OKS19" s="72"/>
      <c r="OKT19" s="72"/>
      <c r="OKU19" s="72"/>
      <c r="OKV19" s="72"/>
      <c r="OKW19" s="72"/>
      <c r="OKX19" s="72"/>
      <c r="OKY19" s="72"/>
      <c r="OKZ19" s="72"/>
      <c r="OLA19" s="72"/>
      <c r="OLB19" s="72"/>
      <c r="OLC19" s="72"/>
      <c r="OLD19" s="72"/>
      <c r="OLE19" s="72"/>
      <c r="OLF19" s="72"/>
      <c r="OLG19" s="72"/>
      <c r="OLH19" s="72"/>
      <c r="OLI19" s="72"/>
      <c r="OLJ19" s="72"/>
      <c r="OLK19" s="72"/>
      <c r="OLL19" s="72"/>
      <c r="OLM19" s="72"/>
      <c r="OLN19" s="72"/>
      <c r="OLO19" s="72"/>
      <c r="OLP19" s="72"/>
      <c r="OLQ19" s="72"/>
      <c r="OLR19" s="72"/>
      <c r="OLS19" s="72"/>
      <c r="OLT19" s="72"/>
      <c r="OLU19" s="72"/>
      <c r="OLV19" s="72"/>
      <c r="OLW19" s="72"/>
      <c r="OLX19" s="72"/>
      <c r="OLY19" s="72"/>
      <c r="OLZ19" s="72"/>
      <c r="OMA19" s="72"/>
      <c r="OMB19" s="72"/>
      <c r="OMC19" s="72"/>
      <c r="OMD19" s="72"/>
      <c r="OME19" s="72"/>
      <c r="OMF19" s="72"/>
      <c r="OMG19" s="72"/>
      <c r="OMH19" s="72"/>
      <c r="OMI19" s="72"/>
      <c r="OMJ19" s="72"/>
      <c r="OMK19" s="72"/>
      <c r="OML19" s="72"/>
      <c r="OMM19" s="72"/>
      <c r="OMN19" s="72"/>
      <c r="OMO19" s="72"/>
      <c r="OMP19" s="72"/>
      <c r="OMQ19" s="72"/>
      <c r="OMR19" s="72"/>
      <c r="OMS19" s="72"/>
      <c r="OMT19" s="72"/>
      <c r="OMU19" s="72"/>
      <c r="OMV19" s="72"/>
      <c r="OMW19" s="72"/>
      <c r="OMX19" s="72"/>
      <c r="OMY19" s="72"/>
      <c r="OMZ19" s="72"/>
      <c r="ONA19" s="72"/>
      <c r="ONB19" s="72"/>
      <c r="ONC19" s="72"/>
      <c r="OND19" s="72"/>
      <c r="ONE19" s="72"/>
      <c r="ONF19" s="72"/>
      <c r="ONG19" s="72"/>
      <c r="ONH19" s="72"/>
      <c r="ONI19" s="72"/>
      <c r="ONJ19" s="72"/>
      <c r="ONK19" s="72"/>
      <c r="ONL19" s="72"/>
      <c r="ONM19" s="72"/>
      <c r="ONN19" s="72"/>
      <c r="ONO19" s="72"/>
      <c r="ONP19" s="72"/>
      <c r="ONQ19" s="72"/>
      <c r="ONR19" s="72"/>
      <c r="ONS19" s="72"/>
      <c r="ONT19" s="72"/>
      <c r="ONU19" s="72"/>
      <c r="ONV19" s="72"/>
      <c r="ONW19" s="72"/>
      <c r="ONX19" s="72"/>
      <c r="ONY19" s="72"/>
      <c r="ONZ19" s="72"/>
      <c r="OOA19" s="72"/>
      <c r="OOB19" s="72"/>
      <c r="OOC19" s="72"/>
      <c r="OOD19" s="72"/>
      <c r="OOE19" s="72"/>
      <c r="OOF19" s="72"/>
      <c r="OOG19" s="72"/>
      <c r="OOH19" s="72"/>
      <c r="OOI19" s="72"/>
      <c r="OOJ19" s="72"/>
      <c r="OOK19" s="72"/>
      <c r="OOL19" s="72"/>
      <c r="OOM19" s="72"/>
      <c r="OON19" s="72"/>
      <c r="OOO19" s="72"/>
      <c r="OOP19" s="72"/>
      <c r="OOQ19" s="72"/>
      <c r="OOR19" s="72"/>
      <c r="OOS19" s="72"/>
      <c r="OOT19" s="72"/>
      <c r="OOU19" s="72"/>
      <c r="OOV19" s="72"/>
      <c r="OOW19" s="72"/>
      <c r="OOX19" s="72"/>
      <c r="OOY19" s="72"/>
      <c r="OOZ19" s="72"/>
      <c r="OPA19" s="72"/>
      <c r="OPB19" s="72"/>
      <c r="OPC19" s="72"/>
      <c r="OPD19" s="72"/>
      <c r="OPE19" s="72"/>
      <c r="OPF19" s="72"/>
      <c r="OPG19" s="72"/>
      <c r="OPH19" s="72"/>
      <c r="OPI19" s="72"/>
      <c r="OPJ19" s="72"/>
      <c r="OPK19" s="72"/>
      <c r="OPL19" s="72"/>
      <c r="OPM19" s="72"/>
      <c r="OPN19" s="72"/>
      <c r="OPO19" s="72"/>
      <c r="OPP19" s="72"/>
      <c r="OPQ19" s="72"/>
      <c r="OPR19" s="72"/>
      <c r="OPS19" s="72"/>
      <c r="OPT19" s="72"/>
      <c r="OPU19" s="72"/>
      <c r="OPV19" s="72"/>
      <c r="OPW19" s="72"/>
      <c r="OPX19" s="72"/>
      <c r="OPY19" s="72"/>
      <c r="OPZ19" s="72"/>
      <c r="OQA19" s="72"/>
      <c r="OQB19" s="72"/>
      <c r="OQC19" s="72"/>
      <c r="OQD19" s="72"/>
      <c r="OQE19" s="72"/>
      <c r="OQF19" s="72"/>
      <c r="OQG19" s="72"/>
      <c r="OQH19" s="72"/>
      <c r="OQI19" s="72"/>
      <c r="OQJ19" s="72"/>
      <c r="OQK19" s="72"/>
      <c r="OQL19" s="72"/>
      <c r="OQM19" s="72"/>
      <c r="OQN19" s="72"/>
      <c r="OQO19" s="72"/>
      <c r="OQP19" s="72"/>
      <c r="OQQ19" s="72"/>
      <c r="OQR19" s="72"/>
      <c r="OQS19" s="72"/>
      <c r="OQT19" s="72"/>
      <c r="OQU19" s="72"/>
      <c r="OQV19" s="72"/>
      <c r="OQW19" s="72"/>
      <c r="OQX19" s="72"/>
      <c r="OQY19" s="72"/>
      <c r="OQZ19" s="72"/>
      <c r="ORA19" s="72"/>
      <c r="ORB19" s="72"/>
      <c r="ORC19" s="72"/>
      <c r="ORD19" s="72"/>
      <c r="ORE19" s="72"/>
      <c r="ORF19" s="72"/>
      <c r="ORG19" s="72"/>
      <c r="ORH19" s="72"/>
      <c r="ORI19" s="72"/>
      <c r="ORJ19" s="72"/>
      <c r="ORK19" s="72"/>
      <c r="ORL19" s="72"/>
      <c r="ORM19" s="72"/>
      <c r="ORN19" s="72"/>
      <c r="ORO19" s="72"/>
      <c r="ORP19" s="72"/>
      <c r="ORQ19" s="72"/>
      <c r="ORR19" s="72"/>
      <c r="ORS19" s="72"/>
      <c r="ORT19" s="72"/>
      <c r="ORU19" s="72"/>
      <c r="ORV19" s="72"/>
      <c r="ORW19" s="72"/>
      <c r="ORX19" s="72"/>
      <c r="ORY19" s="72"/>
      <c r="ORZ19" s="72"/>
      <c r="OSA19" s="72"/>
      <c r="OSB19" s="72"/>
      <c r="OSC19" s="72"/>
      <c r="OSD19" s="72"/>
      <c r="OSE19" s="72"/>
      <c r="OSF19" s="72"/>
      <c r="OSG19" s="72"/>
      <c r="OSH19" s="72"/>
      <c r="OSI19" s="72"/>
      <c r="OSJ19" s="72"/>
      <c r="OSK19" s="72"/>
      <c r="OSL19" s="72"/>
      <c r="OSM19" s="72"/>
      <c r="OSN19" s="72"/>
      <c r="OSO19" s="72"/>
      <c r="OSP19" s="72"/>
      <c r="OSQ19" s="72"/>
      <c r="OSR19" s="72"/>
      <c r="OSS19" s="72"/>
      <c r="OST19" s="72"/>
      <c r="OSU19" s="72"/>
      <c r="OSV19" s="72"/>
      <c r="OSW19" s="72"/>
      <c r="OSX19" s="72"/>
      <c r="OSY19" s="72"/>
      <c r="OSZ19" s="72"/>
      <c r="OTA19" s="72"/>
      <c r="OTB19" s="72"/>
      <c r="OTC19" s="72"/>
      <c r="OTD19" s="72"/>
      <c r="OTE19" s="72"/>
      <c r="OTF19" s="72"/>
      <c r="OTG19" s="72"/>
      <c r="OTH19" s="72"/>
      <c r="OTI19" s="72"/>
      <c r="OTJ19" s="72"/>
      <c r="OTK19" s="72"/>
      <c r="OTL19" s="72"/>
      <c r="OTM19" s="72"/>
      <c r="OTN19" s="72"/>
      <c r="OTO19" s="72"/>
      <c r="OTP19" s="72"/>
      <c r="OTQ19" s="72"/>
      <c r="OTR19" s="72"/>
      <c r="OTS19" s="72"/>
      <c r="OTT19" s="72"/>
      <c r="OTU19" s="72"/>
      <c r="OTV19" s="72"/>
      <c r="OTW19" s="72"/>
      <c r="OTX19" s="72"/>
      <c r="OTY19" s="72"/>
      <c r="OTZ19" s="72"/>
      <c r="OUA19" s="72"/>
      <c r="OUB19" s="72"/>
      <c r="OUC19" s="72"/>
      <c r="OUD19" s="72"/>
      <c r="OUE19" s="72"/>
      <c r="OUF19" s="72"/>
      <c r="OUG19" s="72"/>
      <c r="OUH19" s="72"/>
      <c r="OUI19" s="72"/>
      <c r="OUJ19" s="72"/>
      <c r="OUK19" s="72"/>
      <c r="OUL19" s="72"/>
      <c r="OUM19" s="72"/>
      <c r="OUN19" s="72"/>
      <c r="OUO19" s="72"/>
      <c r="OUP19" s="72"/>
      <c r="OUQ19" s="72"/>
      <c r="OUR19" s="72"/>
      <c r="OUS19" s="72"/>
      <c r="OUT19" s="72"/>
      <c r="OUU19" s="72"/>
      <c r="OUV19" s="72"/>
      <c r="OUW19" s="72"/>
      <c r="OUX19" s="72"/>
      <c r="OUY19" s="72"/>
      <c r="OUZ19" s="72"/>
      <c r="OVA19" s="72"/>
      <c r="OVB19" s="72"/>
      <c r="OVC19" s="72"/>
      <c r="OVD19" s="72"/>
      <c r="OVE19" s="72"/>
      <c r="OVF19" s="72"/>
      <c r="OVG19" s="72"/>
      <c r="OVH19" s="72"/>
      <c r="OVI19" s="72"/>
      <c r="OVJ19" s="72"/>
      <c r="OVK19" s="72"/>
      <c r="OVL19" s="72"/>
      <c r="OVM19" s="72"/>
      <c r="OVN19" s="72"/>
      <c r="OVO19" s="72"/>
      <c r="OVP19" s="72"/>
      <c r="OVQ19" s="72"/>
      <c r="OVR19" s="72"/>
      <c r="OVS19" s="72"/>
      <c r="OVT19" s="72"/>
      <c r="OVU19" s="72"/>
      <c r="OVV19" s="72"/>
      <c r="OVW19" s="72"/>
      <c r="OVX19" s="72"/>
      <c r="OVY19" s="72"/>
      <c r="OVZ19" s="72"/>
      <c r="OWA19" s="72"/>
      <c r="OWB19" s="72"/>
      <c r="OWC19" s="72"/>
      <c r="OWD19" s="72"/>
      <c r="OWE19" s="72"/>
      <c r="OWF19" s="72"/>
      <c r="OWG19" s="72"/>
      <c r="OWH19" s="72"/>
      <c r="OWI19" s="72"/>
      <c r="OWJ19" s="72"/>
      <c r="OWK19" s="72"/>
      <c r="OWL19" s="72"/>
      <c r="OWM19" s="72"/>
      <c r="OWN19" s="72"/>
      <c r="OWO19" s="72"/>
      <c r="OWP19" s="72"/>
      <c r="OWQ19" s="72"/>
      <c r="OWR19" s="72"/>
      <c r="OWS19" s="72"/>
      <c r="OWT19" s="72"/>
      <c r="OWU19" s="72"/>
      <c r="OWV19" s="72"/>
      <c r="OWW19" s="72"/>
      <c r="OWX19" s="72"/>
      <c r="OWY19" s="72"/>
      <c r="OWZ19" s="72"/>
      <c r="OXA19" s="72"/>
      <c r="OXB19" s="72"/>
      <c r="OXC19" s="72"/>
      <c r="OXD19" s="72"/>
      <c r="OXE19" s="72"/>
      <c r="OXF19" s="72"/>
      <c r="OXG19" s="72"/>
      <c r="OXH19" s="72"/>
      <c r="OXI19" s="72"/>
      <c r="OXJ19" s="72"/>
      <c r="OXK19" s="72"/>
      <c r="OXL19" s="72"/>
      <c r="OXM19" s="72"/>
      <c r="OXN19" s="72"/>
      <c r="OXO19" s="72"/>
      <c r="OXP19" s="72"/>
      <c r="OXQ19" s="72"/>
      <c r="OXR19" s="72"/>
      <c r="OXS19" s="72"/>
      <c r="OXT19" s="72"/>
      <c r="OXU19" s="72"/>
      <c r="OXV19" s="72"/>
      <c r="OXW19" s="72"/>
      <c r="OXX19" s="72"/>
      <c r="OXY19" s="72"/>
      <c r="OXZ19" s="72"/>
      <c r="OYA19" s="72"/>
      <c r="OYB19" s="72"/>
      <c r="OYC19" s="72"/>
      <c r="OYD19" s="72"/>
      <c r="OYE19" s="72"/>
      <c r="OYF19" s="72"/>
      <c r="OYG19" s="72"/>
      <c r="OYH19" s="72"/>
      <c r="OYI19" s="72"/>
      <c r="OYJ19" s="72"/>
      <c r="OYK19" s="72"/>
      <c r="OYL19" s="72"/>
      <c r="OYM19" s="72"/>
      <c r="OYN19" s="72"/>
      <c r="OYO19" s="72"/>
      <c r="OYP19" s="72"/>
      <c r="OYQ19" s="72"/>
      <c r="OYR19" s="72"/>
      <c r="OYS19" s="72"/>
      <c r="OYT19" s="72"/>
      <c r="OYU19" s="72"/>
      <c r="OYV19" s="72"/>
      <c r="OYW19" s="72"/>
      <c r="OYX19" s="72"/>
      <c r="OYY19" s="72"/>
      <c r="OYZ19" s="72"/>
      <c r="OZA19" s="72"/>
      <c r="OZB19" s="72"/>
      <c r="OZC19" s="72"/>
      <c r="OZD19" s="72"/>
      <c r="OZE19" s="72"/>
      <c r="OZF19" s="72"/>
      <c r="OZG19" s="72"/>
      <c r="OZH19" s="72"/>
      <c r="OZI19" s="72"/>
      <c r="OZJ19" s="72"/>
      <c r="OZK19" s="72"/>
      <c r="OZL19" s="72"/>
      <c r="OZM19" s="72"/>
      <c r="OZN19" s="72"/>
      <c r="OZO19" s="72"/>
      <c r="OZP19" s="72"/>
      <c r="OZQ19" s="72"/>
      <c r="OZR19" s="72"/>
      <c r="OZS19" s="72"/>
      <c r="OZT19" s="72"/>
      <c r="OZU19" s="72"/>
      <c r="OZV19" s="72"/>
      <c r="OZW19" s="72"/>
      <c r="OZX19" s="72"/>
      <c r="OZY19" s="72"/>
      <c r="OZZ19" s="72"/>
      <c r="PAA19" s="72"/>
      <c r="PAB19" s="72"/>
      <c r="PAC19" s="72"/>
      <c r="PAD19" s="72"/>
      <c r="PAE19" s="72"/>
      <c r="PAF19" s="72"/>
      <c r="PAG19" s="72"/>
      <c r="PAH19" s="72"/>
      <c r="PAI19" s="72"/>
      <c r="PAJ19" s="72"/>
      <c r="PAK19" s="72"/>
      <c r="PAL19" s="72"/>
      <c r="PAM19" s="72"/>
      <c r="PAN19" s="72"/>
      <c r="PAO19" s="72"/>
      <c r="PAP19" s="72"/>
      <c r="PAQ19" s="72"/>
      <c r="PAR19" s="72"/>
      <c r="PAS19" s="72"/>
      <c r="PAT19" s="72"/>
      <c r="PAU19" s="72"/>
      <c r="PAV19" s="72"/>
      <c r="PAW19" s="72"/>
      <c r="PAX19" s="72"/>
      <c r="PAY19" s="72"/>
      <c r="PAZ19" s="72"/>
      <c r="PBA19" s="72"/>
      <c r="PBB19" s="72"/>
      <c r="PBC19" s="72"/>
      <c r="PBD19" s="72"/>
      <c r="PBE19" s="72"/>
      <c r="PBF19" s="72"/>
      <c r="PBG19" s="72"/>
      <c r="PBH19" s="72"/>
      <c r="PBI19" s="72"/>
      <c r="PBJ19" s="72"/>
      <c r="PBK19" s="72"/>
      <c r="PBL19" s="72"/>
      <c r="PBM19" s="72"/>
      <c r="PBN19" s="72"/>
      <c r="PBO19" s="72"/>
      <c r="PBP19" s="72"/>
      <c r="PBQ19" s="72"/>
      <c r="PBR19" s="72"/>
      <c r="PBS19" s="72"/>
      <c r="PBT19" s="72"/>
      <c r="PBU19" s="72"/>
      <c r="PBV19" s="72"/>
      <c r="PBW19" s="72"/>
      <c r="PBX19" s="72"/>
      <c r="PBY19" s="72"/>
      <c r="PBZ19" s="72"/>
      <c r="PCA19" s="72"/>
      <c r="PCB19" s="72"/>
      <c r="PCC19" s="72"/>
      <c r="PCD19" s="72"/>
      <c r="PCE19" s="72"/>
      <c r="PCF19" s="72"/>
      <c r="PCG19" s="72"/>
      <c r="PCH19" s="72"/>
      <c r="PCI19" s="72"/>
      <c r="PCJ19" s="72"/>
      <c r="PCK19" s="72"/>
      <c r="PCL19" s="72"/>
      <c r="PCM19" s="72"/>
      <c r="PCN19" s="72"/>
      <c r="PCO19" s="72"/>
      <c r="PCP19" s="72"/>
      <c r="PCQ19" s="72"/>
      <c r="PCR19" s="72"/>
      <c r="PCS19" s="72"/>
      <c r="PCT19" s="72"/>
      <c r="PCU19" s="72"/>
      <c r="PCV19" s="72"/>
      <c r="PCW19" s="72"/>
      <c r="PCX19" s="72"/>
      <c r="PCY19" s="72"/>
      <c r="PCZ19" s="72"/>
      <c r="PDA19" s="72"/>
      <c r="PDB19" s="72"/>
      <c r="PDC19" s="72"/>
      <c r="PDD19" s="72"/>
      <c r="PDE19" s="72"/>
      <c r="PDF19" s="72"/>
      <c r="PDG19" s="72"/>
      <c r="PDH19" s="72"/>
      <c r="PDI19" s="72"/>
      <c r="PDJ19" s="72"/>
      <c r="PDK19" s="72"/>
      <c r="PDL19" s="72"/>
      <c r="PDM19" s="72"/>
      <c r="PDN19" s="72"/>
      <c r="PDO19" s="72"/>
      <c r="PDP19" s="72"/>
      <c r="PDQ19" s="72"/>
      <c r="PDR19" s="72"/>
      <c r="PDS19" s="72"/>
      <c r="PDT19" s="72"/>
      <c r="PDU19" s="72"/>
      <c r="PDV19" s="72"/>
      <c r="PDW19" s="72"/>
      <c r="PDX19" s="72"/>
      <c r="PDY19" s="72"/>
      <c r="PDZ19" s="72"/>
      <c r="PEA19" s="72"/>
      <c r="PEB19" s="72"/>
      <c r="PEC19" s="72"/>
      <c r="PED19" s="72"/>
      <c r="PEE19" s="72"/>
      <c r="PEF19" s="72"/>
      <c r="PEG19" s="72"/>
      <c r="PEH19" s="72"/>
      <c r="PEI19" s="72"/>
      <c r="PEJ19" s="72"/>
      <c r="PEK19" s="72"/>
      <c r="PEL19" s="72"/>
      <c r="PEM19" s="72"/>
      <c r="PEN19" s="72"/>
      <c r="PEO19" s="72"/>
      <c r="PEP19" s="72"/>
      <c r="PEQ19" s="72"/>
      <c r="PER19" s="72"/>
      <c r="PES19" s="72"/>
      <c r="PET19" s="72"/>
      <c r="PEU19" s="72"/>
      <c r="PEV19" s="72"/>
      <c r="PEW19" s="72"/>
      <c r="PEX19" s="72"/>
      <c r="PEY19" s="72"/>
      <c r="PEZ19" s="72"/>
      <c r="PFA19" s="72"/>
      <c r="PFB19" s="72"/>
      <c r="PFC19" s="72"/>
      <c r="PFD19" s="72"/>
      <c r="PFE19" s="72"/>
      <c r="PFF19" s="72"/>
      <c r="PFG19" s="72"/>
      <c r="PFH19" s="72"/>
      <c r="PFI19" s="72"/>
      <c r="PFJ19" s="72"/>
      <c r="PFK19" s="72"/>
      <c r="PFL19" s="72"/>
      <c r="PFM19" s="72"/>
      <c r="PFN19" s="72"/>
      <c r="PFO19" s="72"/>
      <c r="PFP19" s="72"/>
      <c r="PFQ19" s="72"/>
      <c r="PFR19" s="72"/>
      <c r="PFS19" s="72"/>
      <c r="PFT19" s="72"/>
      <c r="PFU19" s="72"/>
      <c r="PFV19" s="72"/>
      <c r="PFW19" s="72"/>
      <c r="PFX19" s="72"/>
      <c r="PFY19" s="72"/>
      <c r="PFZ19" s="72"/>
      <c r="PGA19" s="72"/>
      <c r="PGB19" s="72"/>
      <c r="PGC19" s="72"/>
      <c r="PGD19" s="72"/>
      <c r="PGE19" s="72"/>
      <c r="PGF19" s="72"/>
      <c r="PGG19" s="72"/>
      <c r="PGH19" s="72"/>
      <c r="PGI19" s="72"/>
      <c r="PGJ19" s="72"/>
      <c r="PGK19" s="72"/>
      <c r="PGL19" s="72"/>
      <c r="PGM19" s="72"/>
      <c r="PGN19" s="72"/>
      <c r="PGO19" s="72"/>
      <c r="PGP19" s="72"/>
      <c r="PGQ19" s="72"/>
      <c r="PGR19" s="72"/>
      <c r="PGS19" s="72"/>
      <c r="PGT19" s="72"/>
      <c r="PGU19" s="72"/>
      <c r="PGV19" s="72"/>
      <c r="PGW19" s="72"/>
      <c r="PGX19" s="72"/>
      <c r="PGY19" s="72"/>
      <c r="PGZ19" s="72"/>
      <c r="PHA19" s="72"/>
      <c r="PHB19" s="72"/>
      <c r="PHC19" s="72"/>
      <c r="PHD19" s="72"/>
      <c r="PHE19" s="72"/>
      <c r="PHF19" s="72"/>
      <c r="PHG19" s="72"/>
      <c r="PHH19" s="72"/>
      <c r="PHI19" s="72"/>
      <c r="PHJ19" s="72"/>
      <c r="PHK19" s="72"/>
      <c r="PHL19" s="72"/>
      <c r="PHM19" s="72"/>
      <c r="PHN19" s="72"/>
      <c r="PHO19" s="72"/>
      <c r="PHP19" s="72"/>
      <c r="PHQ19" s="72"/>
      <c r="PHR19" s="72"/>
      <c r="PHS19" s="72"/>
      <c r="PHT19" s="72"/>
      <c r="PHU19" s="72"/>
      <c r="PHV19" s="72"/>
      <c r="PHW19" s="72"/>
      <c r="PHX19" s="72"/>
      <c r="PHY19" s="72"/>
      <c r="PHZ19" s="72"/>
      <c r="PIA19" s="72"/>
      <c r="PIB19" s="72"/>
      <c r="PIC19" s="72"/>
      <c r="PID19" s="72"/>
      <c r="PIE19" s="72"/>
      <c r="PIF19" s="72"/>
      <c r="PIG19" s="72"/>
      <c r="PIH19" s="72"/>
      <c r="PII19" s="72"/>
      <c r="PIJ19" s="72"/>
      <c r="PIK19" s="72"/>
      <c r="PIL19" s="72"/>
      <c r="PIM19" s="72"/>
      <c r="PIN19" s="72"/>
      <c r="PIO19" s="72"/>
      <c r="PIP19" s="72"/>
      <c r="PIQ19" s="72"/>
      <c r="PIR19" s="72"/>
      <c r="PIS19" s="72"/>
      <c r="PIT19" s="72"/>
      <c r="PIU19" s="72"/>
      <c r="PIV19" s="72"/>
      <c r="PIW19" s="72"/>
      <c r="PIX19" s="72"/>
      <c r="PIY19" s="72"/>
      <c r="PIZ19" s="72"/>
      <c r="PJA19" s="72"/>
      <c r="PJB19" s="72"/>
      <c r="PJC19" s="72"/>
      <c r="PJD19" s="72"/>
      <c r="PJE19" s="72"/>
      <c r="PJF19" s="72"/>
      <c r="PJG19" s="72"/>
      <c r="PJH19" s="72"/>
      <c r="PJI19" s="72"/>
      <c r="PJJ19" s="72"/>
      <c r="PJK19" s="72"/>
      <c r="PJL19" s="72"/>
      <c r="PJM19" s="72"/>
      <c r="PJN19" s="72"/>
      <c r="PJO19" s="72"/>
      <c r="PJP19" s="72"/>
      <c r="PJQ19" s="72"/>
      <c r="PJR19" s="72"/>
      <c r="PJS19" s="72"/>
      <c r="PJT19" s="72"/>
      <c r="PJU19" s="72"/>
      <c r="PJV19" s="72"/>
      <c r="PJW19" s="72"/>
      <c r="PJX19" s="72"/>
      <c r="PJY19" s="72"/>
      <c r="PJZ19" s="72"/>
      <c r="PKA19" s="72"/>
      <c r="PKB19" s="72"/>
      <c r="PKC19" s="72"/>
      <c r="PKD19" s="72"/>
      <c r="PKE19" s="72"/>
      <c r="PKF19" s="72"/>
      <c r="PKG19" s="72"/>
      <c r="PKH19" s="72"/>
      <c r="PKI19" s="72"/>
      <c r="PKJ19" s="72"/>
      <c r="PKK19" s="72"/>
      <c r="PKL19" s="72"/>
      <c r="PKM19" s="72"/>
      <c r="PKN19" s="72"/>
      <c r="PKO19" s="72"/>
      <c r="PKP19" s="72"/>
      <c r="PKQ19" s="72"/>
      <c r="PKR19" s="72"/>
      <c r="PKS19" s="72"/>
      <c r="PKT19" s="72"/>
      <c r="PKU19" s="72"/>
      <c r="PKV19" s="72"/>
      <c r="PKW19" s="72"/>
      <c r="PKX19" s="72"/>
      <c r="PKY19" s="72"/>
      <c r="PKZ19" s="72"/>
      <c r="PLA19" s="72"/>
      <c r="PLB19" s="72"/>
      <c r="PLC19" s="72"/>
      <c r="PLD19" s="72"/>
      <c r="PLE19" s="72"/>
      <c r="PLF19" s="72"/>
      <c r="PLG19" s="72"/>
      <c r="PLH19" s="72"/>
      <c r="PLI19" s="72"/>
      <c r="PLJ19" s="72"/>
      <c r="PLK19" s="72"/>
      <c r="PLL19" s="72"/>
      <c r="PLM19" s="72"/>
      <c r="PLN19" s="72"/>
      <c r="PLO19" s="72"/>
      <c r="PLP19" s="72"/>
      <c r="PLQ19" s="72"/>
      <c r="PLR19" s="72"/>
      <c r="PLS19" s="72"/>
      <c r="PLT19" s="72"/>
      <c r="PLU19" s="72"/>
      <c r="PLV19" s="72"/>
      <c r="PLW19" s="72"/>
      <c r="PLX19" s="72"/>
      <c r="PLY19" s="72"/>
      <c r="PLZ19" s="72"/>
      <c r="PMA19" s="72"/>
      <c r="PMB19" s="72"/>
      <c r="PMC19" s="72"/>
      <c r="PMD19" s="72"/>
      <c r="PME19" s="72"/>
      <c r="PMF19" s="72"/>
      <c r="PMG19" s="72"/>
      <c r="PMH19" s="72"/>
      <c r="PMI19" s="72"/>
      <c r="PMJ19" s="72"/>
      <c r="PMK19" s="72"/>
      <c r="PML19" s="72"/>
      <c r="PMM19" s="72"/>
      <c r="PMN19" s="72"/>
      <c r="PMO19" s="72"/>
      <c r="PMP19" s="72"/>
      <c r="PMQ19" s="72"/>
      <c r="PMR19" s="72"/>
      <c r="PMS19" s="72"/>
      <c r="PMT19" s="72"/>
      <c r="PMU19" s="72"/>
      <c r="PMV19" s="72"/>
      <c r="PMW19" s="72"/>
      <c r="PMX19" s="72"/>
      <c r="PMY19" s="72"/>
      <c r="PMZ19" s="72"/>
      <c r="PNA19" s="72"/>
      <c r="PNB19" s="72"/>
      <c r="PNC19" s="72"/>
      <c r="PND19" s="72"/>
      <c r="PNE19" s="72"/>
      <c r="PNF19" s="72"/>
      <c r="PNG19" s="72"/>
      <c r="PNH19" s="72"/>
      <c r="PNI19" s="72"/>
      <c r="PNJ19" s="72"/>
      <c r="PNK19" s="72"/>
      <c r="PNL19" s="72"/>
      <c r="PNM19" s="72"/>
      <c r="PNN19" s="72"/>
      <c r="PNO19" s="72"/>
      <c r="PNP19" s="72"/>
      <c r="PNQ19" s="72"/>
      <c r="PNR19" s="72"/>
      <c r="PNS19" s="72"/>
      <c r="PNT19" s="72"/>
      <c r="PNU19" s="72"/>
      <c r="PNV19" s="72"/>
      <c r="PNW19" s="72"/>
      <c r="PNX19" s="72"/>
      <c r="PNY19" s="72"/>
      <c r="PNZ19" s="72"/>
      <c r="POA19" s="72"/>
      <c r="POB19" s="72"/>
      <c r="POC19" s="72"/>
      <c r="POD19" s="72"/>
      <c r="POE19" s="72"/>
      <c r="POF19" s="72"/>
      <c r="POG19" s="72"/>
      <c r="POH19" s="72"/>
      <c r="POI19" s="72"/>
      <c r="POJ19" s="72"/>
      <c r="POK19" s="72"/>
      <c r="POL19" s="72"/>
      <c r="POM19" s="72"/>
      <c r="PON19" s="72"/>
      <c r="POO19" s="72"/>
      <c r="POP19" s="72"/>
      <c r="POQ19" s="72"/>
      <c r="POR19" s="72"/>
      <c r="POS19" s="72"/>
      <c r="POT19" s="72"/>
      <c r="POU19" s="72"/>
      <c r="POV19" s="72"/>
      <c r="POW19" s="72"/>
      <c r="POX19" s="72"/>
      <c r="POY19" s="72"/>
      <c r="POZ19" s="72"/>
      <c r="PPA19" s="72"/>
      <c r="PPB19" s="72"/>
      <c r="PPC19" s="72"/>
      <c r="PPD19" s="72"/>
      <c r="PPE19" s="72"/>
      <c r="PPF19" s="72"/>
      <c r="PPG19" s="72"/>
      <c r="PPH19" s="72"/>
      <c r="PPI19" s="72"/>
      <c r="PPJ19" s="72"/>
      <c r="PPK19" s="72"/>
      <c r="PPL19" s="72"/>
      <c r="PPM19" s="72"/>
      <c r="PPN19" s="72"/>
      <c r="PPO19" s="72"/>
      <c r="PPP19" s="72"/>
      <c r="PPQ19" s="72"/>
      <c r="PPR19" s="72"/>
      <c r="PPS19" s="72"/>
      <c r="PPT19" s="72"/>
      <c r="PPU19" s="72"/>
      <c r="PPV19" s="72"/>
      <c r="PPW19" s="72"/>
      <c r="PPX19" s="72"/>
      <c r="PPY19" s="72"/>
      <c r="PPZ19" s="72"/>
      <c r="PQA19" s="72"/>
      <c r="PQB19" s="72"/>
      <c r="PQC19" s="72"/>
      <c r="PQD19" s="72"/>
      <c r="PQE19" s="72"/>
      <c r="PQF19" s="72"/>
      <c r="PQG19" s="72"/>
      <c r="PQH19" s="72"/>
      <c r="PQI19" s="72"/>
      <c r="PQJ19" s="72"/>
      <c r="PQK19" s="72"/>
      <c r="PQL19" s="72"/>
      <c r="PQM19" s="72"/>
      <c r="PQN19" s="72"/>
      <c r="PQO19" s="72"/>
      <c r="PQP19" s="72"/>
      <c r="PQQ19" s="72"/>
      <c r="PQR19" s="72"/>
      <c r="PQS19" s="72"/>
      <c r="PQT19" s="72"/>
      <c r="PQU19" s="72"/>
      <c r="PQV19" s="72"/>
      <c r="PQW19" s="72"/>
      <c r="PQX19" s="72"/>
      <c r="PQY19" s="72"/>
      <c r="PQZ19" s="72"/>
      <c r="PRA19" s="72"/>
      <c r="PRB19" s="72"/>
      <c r="PRC19" s="72"/>
      <c r="PRD19" s="72"/>
      <c r="PRE19" s="72"/>
      <c r="PRF19" s="72"/>
      <c r="PRG19" s="72"/>
      <c r="PRH19" s="72"/>
      <c r="PRI19" s="72"/>
      <c r="PRJ19" s="72"/>
      <c r="PRK19" s="72"/>
      <c r="PRL19" s="72"/>
      <c r="PRM19" s="72"/>
      <c r="PRN19" s="72"/>
      <c r="PRO19" s="72"/>
      <c r="PRP19" s="72"/>
      <c r="PRQ19" s="72"/>
      <c r="PRR19" s="72"/>
      <c r="PRS19" s="72"/>
      <c r="PRT19" s="72"/>
      <c r="PRU19" s="72"/>
      <c r="PRV19" s="72"/>
      <c r="PRW19" s="72"/>
      <c r="PRX19" s="72"/>
      <c r="PRY19" s="72"/>
      <c r="PRZ19" s="72"/>
      <c r="PSA19" s="72"/>
      <c r="PSB19" s="72"/>
      <c r="PSC19" s="72"/>
      <c r="PSD19" s="72"/>
      <c r="PSE19" s="72"/>
      <c r="PSF19" s="72"/>
      <c r="PSG19" s="72"/>
      <c r="PSH19" s="72"/>
      <c r="PSI19" s="72"/>
      <c r="PSJ19" s="72"/>
      <c r="PSK19" s="72"/>
      <c r="PSL19" s="72"/>
      <c r="PSM19" s="72"/>
      <c r="PSN19" s="72"/>
      <c r="PSO19" s="72"/>
      <c r="PSP19" s="72"/>
      <c r="PSQ19" s="72"/>
      <c r="PSR19" s="72"/>
      <c r="PSS19" s="72"/>
      <c r="PST19" s="72"/>
      <c r="PSU19" s="72"/>
      <c r="PSV19" s="72"/>
      <c r="PSW19" s="72"/>
      <c r="PSX19" s="72"/>
      <c r="PSY19" s="72"/>
      <c r="PSZ19" s="72"/>
      <c r="PTA19" s="72"/>
      <c r="PTB19" s="72"/>
      <c r="PTC19" s="72"/>
      <c r="PTD19" s="72"/>
      <c r="PTE19" s="72"/>
      <c r="PTF19" s="72"/>
      <c r="PTG19" s="72"/>
      <c r="PTH19" s="72"/>
      <c r="PTI19" s="72"/>
      <c r="PTJ19" s="72"/>
      <c r="PTK19" s="72"/>
      <c r="PTL19" s="72"/>
      <c r="PTM19" s="72"/>
      <c r="PTN19" s="72"/>
      <c r="PTO19" s="72"/>
      <c r="PTP19" s="72"/>
      <c r="PTQ19" s="72"/>
      <c r="PTR19" s="72"/>
      <c r="PTS19" s="72"/>
      <c r="PTT19" s="72"/>
      <c r="PTU19" s="72"/>
      <c r="PTV19" s="72"/>
      <c r="PTW19" s="72"/>
      <c r="PTX19" s="72"/>
      <c r="PTY19" s="72"/>
      <c r="PTZ19" s="72"/>
      <c r="PUA19" s="72"/>
      <c r="PUB19" s="72"/>
      <c r="PUC19" s="72"/>
      <c r="PUD19" s="72"/>
      <c r="PUE19" s="72"/>
      <c r="PUF19" s="72"/>
      <c r="PUG19" s="72"/>
      <c r="PUH19" s="72"/>
      <c r="PUI19" s="72"/>
      <c r="PUJ19" s="72"/>
      <c r="PUK19" s="72"/>
      <c r="PUL19" s="72"/>
      <c r="PUM19" s="72"/>
      <c r="PUN19" s="72"/>
      <c r="PUO19" s="72"/>
      <c r="PUP19" s="72"/>
      <c r="PUQ19" s="72"/>
      <c r="PUR19" s="72"/>
      <c r="PUS19" s="72"/>
      <c r="PUT19" s="72"/>
      <c r="PUU19" s="72"/>
      <c r="PUV19" s="72"/>
      <c r="PUW19" s="72"/>
      <c r="PUX19" s="72"/>
      <c r="PUY19" s="72"/>
      <c r="PUZ19" s="72"/>
      <c r="PVA19" s="72"/>
      <c r="PVB19" s="72"/>
      <c r="PVC19" s="72"/>
      <c r="PVD19" s="72"/>
      <c r="PVE19" s="72"/>
      <c r="PVF19" s="72"/>
      <c r="PVG19" s="72"/>
      <c r="PVH19" s="72"/>
      <c r="PVI19" s="72"/>
      <c r="PVJ19" s="72"/>
      <c r="PVK19" s="72"/>
      <c r="PVL19" s="72"/>
      <c r="PVM19" s="72"/>
      <c r="PVN19" s="72"/>
      <c r="PVO19" s="72"/>
      <c r="PVP19" s="72"/>
      <c r="PVQ19" s="72"/>
      <c r="PVR19" s="72"/>
      <c r="PVS19" s="72"/>
      <c r="PVT19" s="72"/>
      <c r="PVU19" s="72"/>
      <c r="PVV19" s="72"/>
      <c r="PVW19" s="72"/>
      <c r="PVX19" s="72"/>
      <c r="PVY19" s="72"/>
      <c r="PVZ19" s="72"/>
      <c r="PWA19" s="72"/>
      <c r="PWB19" s="72"/>
      <c r="PWC19" s="72"/>
      <c r="PWD19" s="72"/>
      <c r="PWE19" s="72"/>
      <c r="PWF19" s="72"/>
      <c r="PWG19" s="72"/>
      <c r="PWH19" s="72"/>
      <c r="PWI19" s="72"/>
      <c r="PWJ19" s="72"/>
      <c r="PWK19" s="72"/>
      <c r="PWL19" s="72"/>
      <c r="PWM19" s="72"/>
      <c r="PWN19" s="72"/>
      <c r="PWO19" s="72"/>
      <c r="PWP19" s="72"/>
      <c r="PWQ19" s="72"/>
      <c r="PWR19" s="72"/>
      <c r="PWS19" s="72"/>
      <c r="PWT19" s="72"/>
      <c r="PWU19" s="72"/>
      <c r="PWV19" s="72"/>
      <c r="PWW19" s="72"/>
      <c r="PWX19" s="72"/>
      <c r="PWY19" s="72"/>
      <c r="PWZ19" s="72"/>
      <c r="PXA19" s="72"/>
      <c r="PXB19" s="72"/>
      <c r="PXC19" s="72"/>
      <c r="PXD19" s="72"/>
      <c r="PXE19" s="72"/>
      <c r="PXF19" s="72"/>
      <c r="PXG19" s="72"/>
      <c r="PXH19" s="72"/>
      <c r="PXI19" s="72"/>
      <c r="PXJ19" s="72"/>
      <c r="PXK19" s="72"/>
      <c r="PXL19" s="72"/>
      <c r="PXM19" s="72"/>
      <c r="PXN19" s="72"/>
      <c r="PXO19" s="72"/>
      <c r="PXP19" s="72"/>
      <c r="PXQ19" s="72"/>
      <c r="PXR19" s="72"/>
      <c r="PXS19" s="72"/>
      <c r="PXT19" s="72"/>
      <c r="PXU19" s="72"/>
      <c r="PXV19" s="72"/>
      <c r="PXW19" s="72"/>
      <c r="PXX19" s="72"/>
      <c r="PXY19" s="72"/>
      <c r="PXZ19" s="72"/>
      <c r="PYA19" s="72"/>
      <c r="PYB19" s="72"/>
      <c r="PYC19" s="72"/>
      <c r="PYD19" s="72"/>
      <c r="PYE19" s="72"/>
      <c r="PYF19" s="72"/>
      <c r="PYG19" s="72"/>
      <c r="PYH19" s="72"/>
      <c r="PYI19" s="72"/>
      <c r="PYJ19" s="72"/>
      <c r="PYK19" s="72"/>
      <c r="PYL19" s="72"/>
      <c r="PYM19" s="72"/>
      <c r="PYN19" s="72"/>
      <c r="PYO19" s="72"/>
      <c r="PYP19" s="72"/>
      <c r="PYQ19" s="72"/>
      <c r="PYR19" s="72"/>
      <c r="PYS19" s="72"/>
      <c r="PYT19" s="72"/>
      <c r="PYU19" s="72"/>
      <c r="PYV19" s="72"/>
      <c r="PYW19" s="72"/>
      <c r="PYX19" s="72"/>
      <c r="PYY19" s="72"/>
      <c r="PYZ19" s="72"/>
      <c r="PZA19" s="72"/>
      <c r="PZB19" s="72"/>
      <c r="PZC19" s="72"/>
      <c r="PZD19" s="72"/>
      <c r="PZE19" s="72"/>
      <c r="PZF19" s="72"/>
      <c r="PZG19" s="72"/>
      <c r="PZH19" s="72"/>
      <c r="PZI19" s="72"/>
      <c r="PZJ19" s="72"/>
      <c r="PZK19" s="72"/>
      <c r="PZL19" s="72"/>
      <c r="PZM19" s="72"/>
      <c r="PZN19" s="72"/>
      <c r="PZO19" s="72"/>
      <c r="PZP19" s="72"/>
      <c r="PZQ19" s="72"/>
      <c r="PZR19" s="72"/>
      <c r="PZS19" s="72"/>
      <c r="PZT19" s="72"/>
      <c r="PZU19" s="72"/>
      <c r="PZV19" s="72"/>
      <c r="PZW19" s="72"/>
      <c r="PZX19" s="72"/>
      <c r="PZY19" s="72"/>
      <c r="PZZ19" s="72"/>
      <c r="QAA19" s="72"/>
      <c r="QAB19" s="72"/>
      <c r="QAC19" s="72"/>
      <c r="QAD19" s="72"/>
      <c r="QAE19" s="72"/>
      <c r="QAF19" s="72"/>
      <c r="QAG19" s="72"/>
      <c r="QAH19" s="72"/>
      <c r="QAI19" s="72"/>
      <c r="QAJ19" s="72"/>
      <c r="QAK19" s="72"/>
      <c r="QAL19" s="72"/>
      <c r="QAM19" s="72"/>
      <c r="QAN19" s="72"/>
      <c r="QAO19" s="72"/>
      <c r="QAP19" s="72"/>
      <c r="QAQ19" s="72"/>
      <c r="QAR19" s="72"/>
      <c r="QAS19" s="72"/>
      <c r="QAT19" s="72"/>
      <c r="QAU19" s="72"/>
      <c r="QAV19" s="72"/>
      <c r="QAW19" s="72"/>
      <c r="QAX19" s="72"/>
      <c r="QAY19" s="72"/>
      <c r="QAZ19" s="72"/>
      <c r="QBA19" s="72"/>
      <c r="QBB19" s="72"/>
      <c r="QBC19" s="72"/>
      <c r="QBD19" s="72"/>
      <c r="QBE19" s="72"/>
      <c r="QBF19" s="72"/>
      <c r="QBG19" s="72"/>
      <c r="QBH19" s="72"/>
      <c r="QBI19" s="72"/>
      <c r="QBJ19" s="72"/>
      <c r="QBK19" s="72"/>
      <c r="QBL19" s="72"/>
      <c r="QBM19" s="72"/>
      <c r="QBN19" s="72"/>
      <c r="QBO19" s="72"/>
      <c r="QBP19" s="72"/>
      <c r="QBQ19" s="72"/>
      <c r="QBR19" s="72"/>
      <c r="QBS19" s="72"/>
      <c r="QBT19" s="72"/>
      <c r="QBU19" s="72"/>
      <c r="QBV19" s="72"/>
      <c r="QBW19" s="72"/>
      <c r="QBX19" s="72"/>
      <c r="QBY19" s="72"/>
      <c r="QBZ19" s="72"/>
      <c r="QCA19" s="72"/>
      <c r="QCB19" s="72"/>
      <c r="QCC19" s="72"/>
      <c r="QCD19" s="72"/>
      <c r="QCE19" s="72"/>
      <c r="QCF19" s="72"/>
      <c r="QCG19" s="72"/>
      <c r="QCH19" s="72"/>
      <c r="QCI19" s="72"/>
      <c r="QCJ19" s="72"/>
      <c r="QCK19" s="72"/>
      <c r="QCL19" s="72"/>
      <c r="QCM19" s="72"/>
      <c r="QCN19" s="72"/>
      <c r="QCO19" s="72"/>
      <c r="QCP19" s="72"/>
      <c r="QCQ19" s="72"/>
      <c r="QCR19" s="72"/>
      <c r="QCS19" s="72"/>
      <c r="QCT19" s="72"/>
      <c r="QCU19" s="72"/>
      <c r="QCV19" s="72"/>
      <c r="QCW19" s="72"/>
      <c r="QCX19" s="72"/>
      <c r="QCY19" s="72"/>
      <c r="QCZ19" s="72"/>
      <c r="QDA19" s="72"/>
      <c r="QDB19" s="72"/>
      <c r="QDC19" s="72"/>
      <c r="QDD19" s="72"/>
      <c r="QDE19" s="72"/>
      <c r="QDF19" s="72"/>
      <c r="QDG19" s="72"/>
      <c r="QDH19" s="72"/>
      <c r="QDI19" s="72"/>
      <c r="QDJ19" s="72"/>
      <c r="QDK19" s="72"/>
      <c r="QDL19" s="72"/>
      <c r="QDM19" s="72"/>
      <c r="QDN19" s="72"/>
      <c r="QDO19" s="72"/>
      <c r="QDP19" s="72"/>
      <c r="QDQ19" s="72"/>
      <c r="QDR19" s="72"/>
      <c r="QDS19" s="72"/>
      <c r="QDT19" s="72"/>
      <c r="QDU19" s="72"/>
      <c r="QDV19" s="72"/>
      <c r="QDW19" s="72"/>
      <c r="QDX19" s="72"/>
      <c r="QDY19" s="72"/>
      <c r="QDZ19" s="72"/>
      <c r="QEA19" s="72"/>
      <c r="QEB19" s="72"/>
      <c r="QEC19" s="72"/>
      <c r="QED19" s="72"/>
      <c r="QEE19" s="72"/>
      <c r="QEF19" s="72"/>
      <c r="QEG19" s="72"/>
      <c r="QEH19" s="72"/>
      <c r="QEI19" s="72"/>
      <c r="QEJ19" s="72"/>
      <c r="QEK19" s="72"/>
      <c r="QEL19" s="72"/>
      <c r="QEM19" s="72"/>
      <c r="QEN19" s="72"/>
      <c r="QEO19" s="72"/>
      <c r="QEP19" s="72"/>
      <c r="QEQ19" s="72"/>
      <c r="QER19" s="72"/>
      <c r="QES19" s="72"/>
      <c r="QET19" s="72"/>
      <c r="QEU19" s="72"/>
      <c r="QEV19" s="72"/>
      <c r="QEW19" s="72"/>
      <c r="QEX19" s="72"/>
      <c r="QEY19" s="72"/>
      <c r="QEZ19" s="72"/>
      <c r="QFA19" s="72"/>
      <c r="QFB19" s="72"/>
      <c r="QFC19" s="72"/>
      <c r="QFD19" s="72"/>
      <c r="QFE19" s="72"/>
      <c r="QFF19" s="72"/>
      <c r="QFG19" s="72"/>
      <c r="QFH19" s="72"/>
      <c r="QFI19" s="72"/>
      <c r="QFJ19" s="72"/>
      <c r="QFK19" s="72"/>
      <c r="QFL19" s="72"/>
      <c r="QFM19" s="72"/>
      <c r="QFN19" s="72"/>
      <c r="QFO19" s="72"/>
      <c r="QFP19" s="72"/>
      <c r="QFQ19" s="72"/>
      <c r="QFR19" s="72"/>
      <c r="QFS19" s="72"/>
      <c r="QFT19" s="72"/>
      <c r="QFU19" s="72"/>
      <c r="QFV19" s="72"/>
      <c r="QFW19" s="72"/>
      <c r="QFX19" s="72"/>
      <c r="QFY19" s="72"/>
      <c r="QFZ19" s="72"/>
      <c r="QGA19" s="72"/>
      <c r="QGB19" s="72"/>
      <c r="QGC19" s="72"/>
      <c r="QGD19" s="72"/>
      <c r="QGE19" s="72"/>
      <c r="QGF19" s="72"/>
      <c r="QGG19" s="72"/>
      <c r="QGH19" s="72"/>
      <c r="QGI19" s="72"/>
      <c r="QGJ19" s="72"/>
      <c r="QGK19" s="72"/>
      <c r="QGL19" s="72"/>
      <c r="QGM19" s="72"/>
      <c r="QGN19" s="72"/>
      <c r="QGO19" s="72"/>
      <c r="QGP19" s="72"/>
      <c r="QGQ19" s="72"/>
      <c r="QGR19" s="72"/>
      <c r="QGS19" s="72"/>
      <c r="QGT19" s="72"/>
      <c r="QGU19" s="72"/>
      <c r="QGV19" s="72"/>
      <c r="QGW19" s="72"/>
      <c r="QGX19" s="72"/>
      <c r="QGY19" s="72"/>
      <c r="QGZ19" s="72"/>
      <c r="QHA19" s="72"/>
      <c r="QHB19" s="72"/>
      <c r="QHC19" s="72"/>
      <c r="QHD19" s="72"/>
      <c r="QHE19" s="72"/>
      <c r="QHF19" s="72"/>
      <c r="QHG19" s="72"/>
      <c r="QHH19" s="72"/>
      <c r="QHI19" s="72"/>
      <c r="QHJ19" s="72"/>
      <c r="QHK19" s="72"/>
      <c r="QHL19" s="72"/>
      <c r="QHM19" s="72"/>
      <c r="QHN19" s="72"/>
      <c r="QHO19" s="72"/>
      <c r="QHP19" s="72"/>
      <c r="QHQ19" s="72"/>
      <c r="QHR19" s="72"/>
      <c r="QHS19" s="72"/>
      <c r="QHT19" s="72"/>
      <c r="QHU19" s="72"/>
      <c r="QHV19" s="72"/>
      <c r="QHW19" s="72"/>
      <c r="QHX19" s="72"/>
      <c r="QHY19" s="72"/>
      <c r="QHZ19" s="72"/>
      <c r="QIA19" s="72"/>
      <c r="QIB19" s="72"/>
      <c r="QIC19" s="72"/>
      <c r="QID19" s="72"/>
      <c r="QIE19" s="72"/>
      <c r="QIF19" s="72"/>
      <c r="QIG19" s="72"/>
      <c r="QIH19" s="72"/>
      <c r="QII19" s="72"/>
      <c r="QIJ19" s="72"/>
      <c r="QIK19" s="72"/>
      <c r="QIL19" s="72"/>
      <c r="QIM19" s="72"/>
      <c r="QIN19" s="72"/>
      <c r="QIO19" s="72"/>
      <c r="QIP19" s="72"/>
      <c r="QIQ19" s="72"/>
      <c r="QIR19" s="72"/>
      <c r="QIS19" s="72"/>
      <c r="QIT19" s="72"/>
      <c r="QIU19" s="72"/>
      <c r="QIV19" s="72"/>
      <c r="QIW19" s="72"/>
      <c r="QIX19" s="72"/>
      <c r="QIY19" s="72"/>
      <c r="QIZ19" s="72"/>
      <c r="QJA19" s="72"/>
      <c r="QJB19" s="72"/>
      <c r="QJC19" s="72"/>
      <c r="QJD19" s="72"/>
      <c r="QJE19" s="72"/>
      <c r="QJF19" s="72"/>
      <c r="QJG19" s="72"/>
      <c r="QJH19" s="72"/>
      <c r="QJI19" s="72"/>
      <c r="QJJ19" s="72"/>
      <c r="QJK19" s="72"/>
      <c r="QJL19" s="72"/>
      <c r="QJM19" s="72"/>
      <c r="QJN19" s="72"/>
      <c r="QJO19" s="72"/>
      <c r="QJP19" s="72"/>
      <c r="QJQ19" s="72"/>
      <c r="QJR19" s="72"/>
      <c r="QJS19" s="72"/>
      <c r="QJT19" s="72"/>
      <c r="QJU19" s="72"/>
      <c r="QJV19" s="72"/>
      <c r="QJW19" s="72"/>
      <c r="QJX19" s="72"/>
      <c r="QJY19" s="72"/>
      <c r="QJZ19" s="72"/>
      <c r="QKA19" s="72"/>
      <c r="QKB19" s="72"/>
      <c r="QKC19" s="72"/>
      <c r="QKD19" s="72"/>
      <c r="QKE19" s="72"/>
      <c r="QKF19" s="72"/>
      <c r="QKG19" s="72"/>
      <c r="QKH19" s="72"/>
      <c r="QKI19" s="72"/>
      <c r="QKJ19" s="72"/>
      <c r="QKK19" s="72"/>
      <c r="QKL19" s="72"/>
      <c r="QKM19" s="72"/>
      <c r="QKN19" s="72"/>
      <c r="QKO19" s="72"/>
      <c r="QKP19" s="72"/>
      <c r="QKQ19" s="72"/>
      <c r="QKR19" s="72"/>
      <c r="QKS19" s="72"/>
      <c r="QKT19" s="72"/>
      <c r="QKU19" s="72"/>
      <c r="QKV19" s="72"/>
      <c r="QKW19" s="72"/>
      <c r="QKX19" s="72"/>
      <c r="QKY19" s="72"/>
      <c r="QKZ19" s="72"/>
      <c r="QLA19" s="72"/>
      <c r="QLB19" s="72"/>
      <c r="QLC19" s="72"/>
      <c r="QLD19" s="72"/>
      <c r="QLE19" s="72"/>
      <c r="QLF19" s="72"/>
      <c r="QLG19" s="72"/>
      <c r="QLH19" s="72"/>
      <c r="QLI19" s="72"/>
      <c r="QLJ19" s="72"/>
      <c r="QLK19" s="72"/>
      <c r="QLL19" s="72"/>
      <c r="QLM19" s="72"/>
      <c r="QLN19" s="72"/>
      <c r="QLO19" s="72"/>
      <c r="QLP19" s="72"/>
      <c r="QLQ19" s="72"/>
      <c r="QLR19" s="72"/>
      <c r="QLS19" s="72"/>
      <c r="QLT19" s="72"/>
      <c r="QLU19" s="72"/>
      <c r="QLV19" s="72"/>
      <c r="QLW19" s="72"/>
      <c r="QLX19" s="72"/>
      <c r="QLY19" s="72"/>
      <c r="QLZ19" s="72"/>
      <c r="QMA19" s="72"/>
      <c r="QMB19" s="72"/>
      <c r="QMC19" s="72"/>
      <c r="QMD19" s="72"/>
      <c r="QME19" s="72"/>
      <c r="QMF19" s="72"/>
      <c r="QMG19" s="72"/>
      <c r="QMH19" s="72"/>
      <c r="QMI19" s="72"/>
      <c r="QMJ19" s="72"/>
      <c r="QMK19" s="72"/>
      <c r="QML19" s="72"/>
      <c r="QMM19" s="72"/>
      <c r="QMN19" s="72"/>
      <c r="QMO19" s="72"/>
      <c r="QMP19" s="72"/>
      <c r="QMQ19" s="72"/>
      <c r="QMR19" s="72"/>
      <c r="QMS19" s="72"/>
      <c r="QMT19" s="72"/>
      <c r="QMU19" s="72"/>
      <c r="QMV19" s="72"/>
      <c r="QMW19" s="72"/>
      <c r="QMX19" s="72"/>
      <c r="QMY19" s="72"/>
      <c r="QMZ19" s="72"/>
      <c r="QNA19" s="72"/>
      <c r="QNB19" s="72"/>
      <c r="QNC19" s="72"/>
      <c r="QND19" s="72"/>
      <c r="QNE19" s="72"/>
      <c r="QNF19" s="72"/>
      <c r="QNG19" s="72"/>
      <c r="QNH19" s="72"/>
      <c r="QNI19" s="72"/>
      <c r="QNJ19" s="72"/>
      <c r="QNK19" s="72"/>
      <c r="QNL19" s="72"/>
      <c r="QNM19" s="72"/>
      <c r="QNN19" s="72"/>
      <c r="QNO19" s="72"/>
      <c r="QNP19" s="72"/>
      <c r="QNQ19" s="72"/>
      <c r="QNR19" s="72"/>
      <c r="QNS19" s="72"/>
      <c r="QNT19" s="72"/>
      <c r="QNU19" s="72"/>
      <c r="QNV19" s="72"/>
      <c r="QNW19" s="72"/>
      <c r="QNX19" s="72"/>
      <c r="QNY19" s="72"/>
      <c r="QNZ19" s="72"/>
      <c r="QOA19" s="72"/>
      <c r="QOB19" s="72"/>
      <c r="QOC19" s="72"/>
      <c r="QOD19" s="72"/>
      <c r="QOE19" s="72"/>
      <c r="QOF19" s="72"/>
      <c r="QOG19" s="72"/>
      <c r="QOH19" s="72"/>
      <c r="QOI19" s="72"/>
      <c r="QOJ19" s="72"/>
      <c r="QOK19" s="72"/>
      <c r="QOL19" s="72"/>
      <c r="QOM19" s="72"/>
      <c r="QON19" s="72"/>
      <c r="QOO19" s="72"/>
      <c r="QOP19" s="72"/>
      <c r="QOQ19" s="72"/>
      <c r="QOR19" s="72"/>
      <c r="QOS19" s="72"/>
      <c r="QOT19" s="72"/>
      <c r="QOU19" s="72"/>
      <c r="QOV19" s="72"/>
      <c r="QOW19" s="72"/>
      <c r="QOX19" s="72"/>
      <c r="QOY19" s="72"/>
      <c r="QOZ19" s="72"/>
      <c r="QPA19" s="72"/>
      <c r="QPB19" s="72"/>
      <c r="QPC19" s="72"/>
      <c r="QPD19" s="72"/>
      <c r="QPE19" s="72"/>
      <c r="QPF19" s="72"/>
      <c r="QPG19" s="72"/>
      <c r="QPH19" s="72"/>
      <c r="QPI19" s="72"/>
      <c r="QPJ19" s="72"/>
      <c r="QPK19" s="72"/>
      <c r="QPL19" s="72"/>
      <c r="QPM19" s="72"/>
      <c r="QPN19" s="72"/>
      <c r="QPO19" s="72"/>
      <c r="QPP19" s="72"/>
      <c r="QPQ19" s="72"/>
      <c r="QPR19" s="72"/>
      <c r="QPS19" s="72"/>
      <c r="QPT19" s="72"/>
      <c r="QPU19" s="72"/>
      <c r="QPV19" s="72"/>
      <c r="QPW19" s="72"/>
      <c r="QPX19" s="72"/>
      <c r="QPY19" s="72"/>
      <c r="QPZ19" s="72"/>
      <c r="QQA19" s="72"/>
      <c r="QQB19" s="72"/>
      <c r="QQC19" s="72"/>
      <c r="QQD19" s="72"/>
      <c r="QQE19" s="72"/>
      <c r="QQF19" s="72"/>
      <c r="QQG19" s="72"/>
      <c r="QQH19" s="72"/>
      <c r="QQI19" s="72"/>
      <c r="QQJ19" s="72"/>
      <c r="QQK19" s="72"/>
      <c r="QQL19" s="72"/>
      <c r="QQM19" s="72"/>
      <c r="QQN19" s="72"/>
      <c r="QQO19" s="72"/>
      <c r="QQP19" s="72"/>
      <c r="QQQ19" s="72"/>
      <c r="QQR19" s="72"/>
      <c r="QQS19" s="72"/>
      <c r="QQT19" s="72"/>
      <c r="QQU19" s="72"/>
      <c r="QQV19" s="72"/>
      <c r="QQW19" s="72"/>
      <c r="QQX19" s="72"/>
      <c r="QQY19" s="72"/>
      <c r="QQZ19" s="72"/>
      <c r="QRA19" s="72"/>
      <c r="QRB19" s="72"/>
      <c r="QRC19" s="72"/>
      <c r="QRD19" s="72"/>
      <c r="QRE19" s="72"/>
      <c r="QRF19" s="72"/>
      <c r="QRG19" s="72"/>
      <c r="QRH19" s="72"/>
      <c r="QRI19" s="72"/>
      <c r="QRJ19" s="72"/>
      <c r="QRK19" s="72"/>
      <c r="QRL19" s="72"/>
      <c r="QRM19" s="72"/>
      <c r="QRN19" s="72"/>
      <c r="QRO19" s="72"/>
      <c r="QRP19" s="72"/>
      <c r="QRQ19" s="72"/>
      <c r="QRR19" s="72"/>
      <c r="QRS19" s="72"/>
      <c r="QRT19" s="72"/>
      <c r="QRU19" s="72"/>
      <c r="QRV19" s="72"/>
      <c r="QRW19" s="72"/>
      <c r="QRX19" s="72"/>
      <c r="QRY19" s="72"/>
      <c r="QRZ19" s="72"/>
      <c r="QSA19" s="72"/>
      <c r="QSB19" s="72"/>
      <c r="QSC19" s="72"/>
      <c r="QSD19" s="72"/>
      <c r="QSE19" s="72"/>
      <c r="QSF19" s="72"/>
      <c r="QSG19" s="72"/>
      <c r="QSH19" s="72"/>
      <c r="QSI19" s="72"/>
      <c r="QSJ19" s="72"/>
      <c r="QSK19" s="72"/>
      <c r="QSL19" s="72"/>
      <c r="QSM19" s="72"/>
      <c r="QSN19" s="72"/>
      <c r="QSO19" s="72"/>
      <c r="QSP19" s="72"/>
      <c r="QSQ19" s="72"/>
      <c r="QSR19" s="72"/>
      <c r="QSS19" s="72"/>
      <c r="QST19" s="72"/>
      <c r="QSU19" s="72"/>
      <c r="QSV19" s="72"/>
      <c r="QSW19" s="72"/>
      <c r="QSX19" s="72"/>
      <c r="QSY19" s="72"/>
      <c r="QSZ19" s="72"/>
      <c r="QTA19" s="72"/>
      <c r="QTB19" s="72"/>
      <c r="QTC19" s="72"/>
      <c r="QTD19" s="72"/>
      <c r="QTE19" s="72"/>
      <c r="QTF19" s="72"/>
      <c r="QTG19" s="72"/>
      <c r="QTH19" s="72"/>
      <c r="QTI19" s="72"/>
      <c r="QTJ19" s="72"/>
      <c r="QTK19" s="72"/>
      <c r="QTL19" s="72"/>
      <c r="QTM19" s="72"/>
      <c r="QTN19" s="72"/>
      <c r="QTO19" s="72"/>
      <c r="QTP19" s="72"/>
      <c r="QTQ19" s="72"/>
      <c r="QTR19" s="72"/>
      <c r="QTS19" s="72"/>
      <c r="QTT19" s="72"/>
      <c r="QTU19" s="72"/>
      <c r="QTV19" s="72"/>
      <c r="QTW19" s="72"/>
      <c r="QTX19" s="72"/>
      <c r="QTY19" s="72"/>
      <c r="QTZ19" s="72"/>
      <c r="QUA19" s="72"/>
      <c r="QUB19" s="72"/>
      <c r="QUC19" s="72"/>
      <c r="QUD19" s="72"/>
      <c r="QUE19" s="72"/>
      <c r="QUF19" s="72"/>
      <c r="QUG19" s="72"/>
      <c r="QUH19" s="72"/>
      <c r="QUI19" s="72"/>
      <c r="QUJ19" s="72"/>
      <c r="QUK19" s="72"/>
      <c r="QUL19" s="72"/>
      <c r="QUM19" s="72"/>
      <c r="QUN19" s="72"/>
      <c r="QUO19" s="72"/>
      <c r="QUP19" s="72"/>
      <c r="QUQ19" s="72"/>
      <c r="QUR19" s="72"/>
      <c r="QUS19" s="72"/>
      <c r="QUT19" s="72"/>
      <c r="QUU19" s="72"/>
      <c r="QUV19" s="72"/>
      <c r="QUW19" s="72"/>
      <c r="QUX19" s="72"/>
      <c r="QUY19" s="72"/>
      <c r="QUZ19" s="72"/>
      <c r="QVA19" s="72"/>
      <c r="QVB19" s="72"/>
      <c r="QVC19" s="72"/>
      <c r="QVD19" s="72"/>
      <c r="QVE19" s="72"/>
      <c r="QVF19" s="72"/>
      <c r="QVG19" s="72"/>
      <c r="QVH19" s="72"/>
      <c r="QVI19" s="72"/>
      <c r="QVJ19" s="72"/>
      <c r="QVK19" s="72"/>
      <c r="QVL19" s="72"/>
      <c r="QVM19" s="72"/>
      <c r="QVN19" s="72"/>
      <c r="QVO19" s="72"/>
      <c r="QVP19" s="72"/>
      <c r="QVQ19" s="72"/>
      <c r="QVR19" s="72"/>
      <c r="QVS19" s="72"/>
      <c r="QVT19" s="72"/>
      <c r="QVU19" s="72"/>
      <c r="QVV19" s="72"/>
      <c r="QVW19" s="72"/>
      <c r="QVX19" s="72"/>
      <c r="QVY19" s="72"/>
      <c r="QVZ19" s="72"/>
      <c r="QWA19" s="72"/>
      <c r="QWB19" s="72"/>
      <c r="QWC19" s="72"/>
      <c r="QWD19" s="72"/>
      <c r="QWE19" s="72"/>
      <c r="QWF19" s="72"/>
      <c r="QWG19" s="72"/>
      <c r="QWH19" s="72"/>
      <c r="QWI19" s="72"/>
      <c r="QWJ19" s="72"/>
      <c r="QWK19" s="72"/>
      <c r="QWL19" s="72"/>
      <c r="QWM19" s="72"/>
      <c r="QWN19" s="72"/>
      <c r="QWO19" s="72"/>
      <c r="QWP19" s="72"/>
      <c r="QWQ19" s="72"/>
      <c r="QWR19" s="72"/>
      <c r="QWS19" s="72"/>
      <c r="QWT19" s="72"/>
      <c r="QWU19" s="72"/>
      <c r="QWV19" s="72"/>
      <c r="QWW19" s="72"/>
      <c r="QWX19" s="72"/>
      <c r="QWY19" s="72"/>
      <c r="QWZ19" s="72"/>
      <c r="QXA19" s="72"/>
      <c r="QXB19" s="72"/>
      <c r="QXC19" s="72"/>
      <c r="QXD19" s="72"/>
      <c r="QXE19" s="72"/>
      <c r="QXF19" s="72"/>
      <c r="QXG19" s="72"/>
      <c r="QXH19" s="72"/>
      <c r="QXI19" s="72"/>
      <c r="QXJ19" s="72"/>
      <c r="QXK19" s="72"/>
      <c r="QXL19" s="72"/>
      <c r="QXM19" s="72"/>
      <c r="QXN19" s="72"/>
      <c r="QXO19" s="72"/>
      <c r="QXP19" s="72"/>
      <c r="QXQ19" s="72"/>
      <c r="QXR19" s="72"/>
      <c r="QXS19" s="72"/>
      <c r="QXT19" s="72"/>
      <c r="QXU19" s="72"/>
      <c r="QXV19" s="72"/>
      <c r="QXW19" s="72"/>
      <c r="QXX19" s="72"/>
      <c r="QXY19" s="72"/>
      <c r="QXZ19" s="72"/>
      <c r="QYA19" s="72"/>
      <c r="QYB19" s="72"/>
      <c r="QYC19" s="72"/>
      <c r="QYD19" s="72"/>
      <c r="QYE19" s="72"/>
      <c r="QYF19" s="72"/>
      <c r="QYG19" s="72"/>
      <c r="QYH19" s="72"/>
      <c r="QYI19" s="72"/>
      <c r="QYJ19" s="72"/>
      <c r="QYK19" s="72"/>
      <c r="QYL19" s="72"/>
      <c r="QYM19" s="72"/>
      <c r="QYN19" s="72"/>
      <c r="QYO19" s="72"/>
      <c r="QYP19" s="72"/>
      <c r="QYQ19" s="72"/>
      <c r="QYR19" s="72"/>
      <c r="QYS19" s="72"/>
      <c r="QYT19" s="72"/>
      <c r="QYU19" s="72"/>
      <c r="QYV19" s="72"/>
      <c r="QYW19" s="72"/>
      <c r="QYX19" s="72"/>
      <c r="QYY19" s="72"/>
      <c r="QYZ19" s="72"/>
      <c r="QZA19" s="72"/>
      <c r="QZB19" s="72"/>
      <c r="QZC19" s="72"/>
      <c r="QZD19" s="72"/>
      <c r="QZE19" s="72"/>
      <c r="QZF19" s="72"/>
      <c r="QZG19" s="72"/>
      <c r="QZH19" s="72"/>
      <c r="QZI19" s="72"/>
      <c r="QZJ19" s="72"/>
      <c r="QZK19" s="72"/>
      <c r="QZL19" s="72"/>
      <c r="QZM19" s="72"/>
      <c r="QZN19" s="72"/>
      <c r="QZO19" s="72"/>
      <c r="QZP19" s="72"/>
      <c r="QZQ19" s="72"/>
      <c r="QZR19" s="72"/>
      <c r="QZS19" s="72"/>
      <c r="QZT19" s="72"/>
      <c r="QZU19" s="72"/>
      <c r="QZV19" s="72"/>
      <c r="QZW19" s="72"/>
      <c r="QZX19" s="72"/>
      <c r="QZY19" s="72"/>
      <c r="QZZ19" s="72"/>
      <c r="RAA19" s="72"/>
      <c r="RAB19" s="72"/>
      <c r="RAC19" s="72"/>
      <c r="RAD19" s="72"/>
      <c r="RAE19" s="72"/>
      <c r="RAF19" s="72"/>
      <c r="RAG19" s="72"/>
      <c r="RAH19" s="72"/>
      <c r="RAI19" s="72"/>
      <c r="RAJ19" s="72"/>
      <c r="RAK19" s="72"/>
      <c r="RAL19" s="72"/>
      <c r="RAM19" s="72"/>
      <c r="RAN19" s="72"/>
      <c r="RAO19" s="72"/>
      <c r="RAP19" s="72"/>
      <c r="RAQ19" s="72"/>
      <c r="RAR19" s="72"/>
      <c r="RAS19" s="72"/>
      <c r="RAT19" s="72"/>
      <c r="RAU19" s="72"/>
      <c r="RAV19" s="72"/>
      <c r="RAW19" s="72"/>
      <c r="RAX19" s="72"/>
      <c r="RAY19" s="72"/>
      <c r="RAZ19" s="72"/>
      <c r="RBA19" s="72"/>
      <c r="RBB19" s="72"/>
      <c r="RBC19" s="72"/>
      <c r="RBD19" s="72"/>
      <c r="RBE19" s="72"/>
      <c r="RBF19" s="72"/>
      <c r="RBG19" s="72"/>
      <c r="RBH19" s="72"/>
      <c r="RBI19" s="72"/>
      <c r="RBJ19" s="72"/>
      <c r="RBK19" s="72"/>
      <c r="RBL19" s="72"/>
      <c r="RBM19" s="72"/>
      <c r="RBN19" s="72"/>
      <c r="RBO19" s="72"/>
      <c r="RBP19" s="72"/>
      <c r="RBQ19" s="72"/>
      <c r="RBR19" s="72"/>
      <c r="RBS19" s="72"/>
      <c r="RBT19" s="72"/>
      <c r="RBU19" s="72"/>
      <c r="RBV19" s="72"/>
      <c r="RBW19" s="72"/>
      <c r="RBX19" s="72"/>
      <c r="RBY19" s="72"/>
      <c r="RBZ19" s="72"/>
      <c r="RCA19" s="72"/>
      <c r="RCB19" s="72"/>
      <c r="RCC19" s="72"/>
      <c r="RCD19" s="72"/>
      <c r="RCE19" s="72"/>
      <c r="RCF19" s="72"/>
      <c r="RCG19" s="72"/>
      <c r="RCH19" s="72"/>
      <c r="RCI19" s="72"/>
      <c r="RCJ19" s="72"/>
      <c r="RCK19" s="72"/>
      <c r="RCL19" s="72"/>
      <c r="RCM19" s="72"/>
      <c r="RCN19" s="72"/>
      <c r="RCO19" s="72"/>
      <c r="RCP19" s="72"/>
      <c r="RCQ19" s="72"/>
      <c r="RCR19" s="72"/>
      <c r="RCS19" s="72"/>
      <c r="RCT19" s="72"/>
      <c r="RCU19" s="72"/>
      <c r="RCV19" s="72"/>
      <c r="RCW19" s="72"/>
      <c r="RCX19" s="72"/>
      <c r="RCY19" s="72"/>
      <c r="RCZ19" s="72"/>
      <c r="RDA19" s="72"/>
      <c r="RDB19" s="72"/>
      <c r="RDC19" s="72"/>
      <c r="RDD19" s="72"/>
      <c r="RDE19" s="72"/>
      <c r="RDF19" s="72"/>
      <c r="RDG19" s="72"/>
      <c r="RDH19" s="72"/>
      <c r="RDI19" s="72"/>
      <c r="RDJ19" s="72"/>
      <c r="RDK19" s="72"/>
      <c r="RDL19" s="72"/>
      <c r="RDM19" s="72"/>
      <c r="RDN19" s="72"/>
      <c r="RDO19" s="72"/>
      <c r="RDP19" s="72"/>
      <c r="RDQ19" s="72"/>
      <c r="RDR19" s="72"/>
      <c r="RDS19" s="72"/>
      <c r="RDT19" s="72"/>
      <c r="RDU19" s="72"/>
      <c r="RDV19" s="72"/>
      <c r="RDW19" s="72"/>
      <c r="RDX19" s="72"/>
      <c r="RDY19" s="72"/>
      <c r="RDZ19" s="72"/>
      <c r="REA19" s="72"/>
      <c r="REB19" s="72"/>
      <c r="REC19" s="72"/>
      <c r="RED19" s="72"/>
      <c r="REE19" s="72"/>
      <c r="REF19" s="72"/>
      <c r="REG19" s="72"/>
      <c r="REH19" s="72"/>
      <c r="REI19" s="72"/>
      <c r="REJ19" s="72"/>
      <c r="REK19" s="72"/>
      <c r="REL19" s="72"/>
      <c r="REM19" s="72"/>
      <c r="REN19" s="72"/>
      <c r="REO19" s="72"/>
      <c r="REP19" s="72"/>
      <c r="REQ19" s="72"/>
      <c r="RER19" s="72"/>
      <c r="RES19" s="72"/>
      <c r="RET19" s="72"/>
      <c r="REU19" s="72"/>
      <c r="REV19" s="72"/>
      <c r="REW19" s="72"/>
      <c r="REX19" s="72"/>
      <c r="REY19" s="72"/>
      <c r="REZ19" s="72"/>
      <c r="RFA19" s="72"/>
      <c r="RFB19" s="72"/>
      <c r="RFC19" s="72"/>
      <c r="RFD19" s="72"/>
      <c r="RFE19" s="72"/>
      <c r="RFF19" s="72"/>
      <c r="RFG19" s="72"/>
      <c r="RFH19" s="72"/>
      <c r="RFI19" s="72"/>
      <c r="RFJ19" s="72"/>
      <c r="RFK19" s="72"/>
      <c r="RFL19" s="72"/>
      <c r="RFM19" s="72"/>
      <c r="RFN19" s="72"/>
      <c r="RFO19" s="72"/>
      <c r="RFP19" s="72"/>
      <c r="RFQ19" s="72"/>
      <c r="RFR19" s="72"/>
      <c r="RFS19" s="72"/>
      <c r="RFT19" s="72"/>
      <c r="RFU19" s="72"/>
      <c r="RFV19" s="72"/>
      <c r="RFW19" s="72"/>
      <c r="RFX19" s="72"/>
      <c r="RFY19" s="72"/>
      <c r="RFZ19" s="72"/>
      <c r="RGA19" s="72"/>
      <c r="RGB19" s="72"/>
      <c r="RGC19" s="72"/>
      <c r="RGD19" s="72"/>
      <c r="RGE19" s="72"/>
      <c r="RGF19" s="72"/>
      <c r="RGG19" s="72"/>
      <c r="RGH19" s="72"/>
      <c r="RGI19" s="72"/>
      <c r="RGJ19" s="72"/>
      <c r="RGK19" s="72"/>
      <c r="RGL19" s="72"/>
      <c r="RGM19" s="72"/>
      <c r="RGN19" s="72"/>
      <c r="RGO19" s="72"/>
      <c r="RGP19" s="72"/>
      <c r="RGQ19" s="72"/>
      <c r="RGR19" s="72"/>
      <c r="RGS19" s="72"/>
      <c r="RGT19" s="72"/>
      <c r="RGU19" s="72"/>
      <c r="RGV19" s="72"/>
      <c r="RGW19" s="72"/>
      <c r="RGX19" s="72"/>
      <c r="RGY19" s="72"/>
      <c r="RGZ19" s="72"/>
      <c r="RHA19" s="72"/>
      <c r="RHB19" s="72"/>
      <c r="RHC19" s="72"/>
      <c r="RHD19" s="72"/>
      <c r="RHE19" s="72"/>
      <c r="RHF19" s="72"/>
      <c r="RHG19" s="72"/>
      <c r="RHH19" s="72"/>
      <c r="RHI19" s="72"/>
      <c r="RHJ19" s="72"/>
      <c r="RHK19" s="72"/>
      <c r="RHL19" s="72"/>
      <c r="RHM19" s="72"/>
      <c r="RHN19" s="72"/>
      <c r="RHO19" s="72"/>
      <c r="RHP19" s="72"/>
      <c r="RHQ19" s="72"/>
      <c r="RHR19" s="72"/>
      <c r="RHS19" s="72"/>
      <c r="RHT19" s="72"/>
      <c r="RHU19" s="72"/>
      <c r="RHV19" s="72"/>
      <c r="RHW19" s="72"/>
      <c r="RHX19" s="72"/>
      <c r="RHY19" s="72"/>
      <c r="RHZ19" s="72"/>
      <c r="RIA19" s="72"/>
      <c r="RIB19" s="72"/>
      <c r="RIC19" s="72"/>
      <c r="RID19" s="72"/>
      <c r="RIE19" s="72"/>
      <c r="RIF19" s="72"/>
      <c r="RIG19" s="72"/>
      <c r="RIH19" s="72"/>
      <c r="RII19" s="72"/>
      <c r="RIJ19" s="72"/>
      <c r="RIK19" s="72"/>
      <c r="RIL19" s="72"/>
      <c r="RIM19" s="72"/>
      <c r="RIN19" s="72"/>
      <c r="RIO19" s="72"/>
      <c r="RIP19" s="72"/>
      <c r="RIQ19" s="72"/>
      <c r="RIR19" s="72"/>
      <c r="RIS19" s="72"/>
      <c r="RIT19" s="72"/>
      <c r="RIU19" s="72"/>
      <c r="RIV19" s="72"/>
      <c r="RIW19" s="72"/>
      <c r="RIX19" s="72"/>
      <c r="RIY19" s="72"/>
      <c r="RIZ19" s="72"/>
      <c r="RJA19" s="72"/>
      <c r="RJB19" s="72"/>
      <c r="RJC19" s="72"/>
      <c r="RJD19" s="72"/>
      <c r="RJE19" s="72"/>
      <c r="RJF19" s="72"/>
      <c r="RJG19" s="72"/>
      <c r="RJH19" s="72"/>
      <c r="RJI19" s="72"/>
      <c r="RJJ19" s="72"/>
      <c r="RJK19" s="72"/>
      <c r="RJL19" s="72"/>
      <c r="RJM19" s="72"/>
      <c r="RJN19" s="72"/>
      <c r="RJO19" s="72"/>
      <c r="RJP19" s="72"/>
      <c r="RJQ19" s="72"/>
      <c r="RJR19" s="72"/>
      <c r="RJS19" s="72"/>
      <c r="RJT19" s="72"/>
      <c r="RJU19" s="72"/>
      <c r="RJV19" s="72"/>
      <c r="RJW19" s="72"/>
      <c r="RJX19" s="72"/>
      <c r="RJY19" s="72"/>
      <c r="RJZ19" s="72"/>
      <c r="RKA19" s="72"/>
      <c r="RKB19" s="72"/>
      <c r="RKC19" s="72"/>
      <c r="RKD19" s="72"/>
      <c r="RKE19" s="72"/>
      <c r="RKF19" s="72"/>
      <c r="RKG19" s="72"/>
      <c r="RKH19" s="72"/>
      <c r="RKI19" s="72"/>
      <c r="RKJ19" s="72"/>
      <c r="RKK19" s="72"/>
      <c r="RKL19" s="72"/>
      <c r="RKM19" s="72"/>
      <c r="RKN19" s="72"/>
      <c r="RKO19" s="72"/>
      <c r="RKP19" s="72"/>
      <c r="RKQ19" s="72"/>
      <c r="RKR19" s="72"/>
      <c r="RKS19" s="72"/>
      <c r="RKT19" s="72"/>
      <c r="RKU19" s="72"/>
      <c r="RKV19" s="72"/>
      <c r="RKW19" s="72"/>
      <c r="RKX19" s="72"/>
      <c r="RKY19" s="72"/>
      <c r="RKZ19" s="72"/>
      <c r="RLA19" s="72"/>
      <c r="RLB19" s="72"/>
      <c r="RLC19" s="72"/>
      <c r="RLD19" s="72"/>
      <c r="RLE19" s="72"/>
      <c r="RLF19" s="72"/>
      <c r="RLG19" s="72"/>
      <c r="RLH19" s="72"/>
      <c r="RLI19" s="72"/>
      <c r="RLJ19" s="72"/>
      <c r="RLK19" s="72"/>
      <c r="RLL19" s="72"/>
      <c r="RLM19" s="72"/>
      <c r="RLN19" s="72"/>
      <c r="RLO19" s="72"/>
      <c r="RLP19" s="72"/>
      <c r="RLQ19" s="72"/>
      <c r="RLR19" s="72"/>
      <c r="RLS19" s="72"/>
      <c r="RLT19" s="72"/>
      <c r="RLU19" s="72"/>
      <c r="RLV19" s="72"/>
      <c r="RLW19" s="72"/>
      <c r="RLX19" s="72"/>
      <c r="RLY19" s="72"/>
      <c r="RLZ19" s="72"/>
      <c r="RMA19" s="72"/>
      <c r="RMB19" s="72"/>
      <c r="RMC19" s="72"/>
      <c r="RMD19" s="72"/>
      <c r="RME19" s="72"/>
      <c r="RMF19" s="72"/>
      <c r="RMG19" s="72"/>
      <c r="RMH19" s="72"/>
      <c r="RMI19" s="72"/>
      <c r="RMJ19" s="72"/>
      <c r="RMK19" s="72"/>
      <c r="RML19" s="72"/>
      <c r="RMM19" s="72"/>
      <c r="RMN19" s="72"/>
      <c r="RMO19" s="72"/>
      <c r="RMP19" s="72"/>
      <c r="RMQ19" s="72"/>
      <c r="RMR19" s="72"/>
      <c r="RMS19" s="72"/>
      <c r="RMT19" s="72"/>
      <c r="RMU19" s="72"/>
      <c r="RMV19" s="72"/>
      <c r="RMW19" s="72"/>
      <c r="RMX19" s="72"/>
      <c r="RMY19" s="72"/>
      <c r="RMZ19" s="72"/>
      <c r="RNA19" s="72"/>
      <c r="RNB19" s="72"/>
      <c r="RNC19" s="72"/>
      <c r="RND19" s="72"/>
      <c r="RNE19" s="72"/>
      <c r="RNF19" s="72"/>
      <c r="RNG19" s="72"/>
      <c r="RNH19" s="72"/>
      <c r="RNI19" s="72"/>
      <c r="RNJ19" s="72"/>
      <c r="RNK19" s="72"/>
      <c r="RNL19" s="72"/>
      <c r="RNM19" s="72"/>
      <c r="RNN19" s="72"/>
      <c r="RNO19" s="72"/>
      <c r="RNP19" s="72"/>
      <c r="RNQ19" s="72"/>
      <c r="RNR19" s="72"/>
      <c r="RNS19" s="72"/>
      <c r="RNT19" s="72"/>
      <c r="RNU19" s="72"/>
      <c r="RNV19" s="72"/>
      <c r="RNW19" s="72"/>
      <c r="RNX19" s="72"/>
      <c r="RNY19" s="72"/>
      <c r="RNZ19" s="72"/>
      <c r="ROA19" s="72"/>
      <c r="ROB19" s="72"/>
      <c r="ROC19" s="72"/>
      <c r="ROD19" s="72"/>
      <c r="ROE19" s="72"/>
      <c r="ROF19" s="72"/>
      <c r="ROG19" s="72"/>
      <c r="ROH19" s="72"/>
      <c r="ROI19" s="72"/>
      <c r="ROJ19" s="72"/>
      <c r="ROK19" s="72"/>
      <c r="ROL19" s="72"/>
      <c r="ROM19" s="72"/>
      <c r="RON19" s="72"/>
      <c r="ROO19" s="72"/>
      <c r="ROP19" s="72"/>
      <c r="ROQ19" s="72"/>
      <c r="ROR19" s="72"/>
      <c r="ROS19" s="72"/>
      <c r="ROT19" s="72"/>
      <c r="ROU19" s="72"/>
      <c r="ROV19" s="72"/>
      <c r="ROW19" s="72"/>
      <c r="ROX19" s="72"/>
      <c r="ROY19" s="72"/>
      <c r="ROZ19" s="72"/>
      <c r="RPA19" s="72"/>
      <c r="RPB19" s="72"/>
      <c r="RPC19" s="72"/>
      <c r="RPD19" s="72"/>
      <c r="RPE19" s="72"/>
      <c r="RPF19" s="72"/>
      <c r="RPG19" s="72"/>
      <c r="RPH19" s="72"/>
      <c r="RPI19" s="72"/>
      <c r="RPJ19" s="72"/>
      <c r="RPK19" s="72"/>
      <c r="RPL19" s="72"/>
      <c r="RPM19" s="72"/>
      <c r="RPN19" s="72"/>
      <c r="RPO19" s="72"/>
      <c r="RPP19" s="72"/>
      <c r="RPQ19" s="72"/>
      <c r="RPR19" s="72"/>
      <c r="RPS19" s="72"/>
      <c r="RPT19" s="72"/>
      <c r="RPU19" s="72"/>
      <c r="RPV19" s="72"/>
      <c r="RPW19" s="72"/>
      <c r="RPX19" s="72"/>
      <c r="RPY19" s="72"/>
      <c r="RPZ19" s="72"/>
      <c r="RQA19" s="72"/>
      <c r="RQB19" s="72"/>
      <c r="RQC19" s="72"/>
      <c r="RQD19" s="72"/>
      <c r="RQE19" s="72"/>
      <c r="RQF19" s="72"/>
      <c r="RQG19" s="72"/>
      <c r="RQH19" s="72"/>
      <c r="RQI19" s="72"/>
      <c r="RQJ19" s="72"/>
      <c r="RQK19" s="72"/>
      <c r="RQL19" s="72"/>
      <c r="RQM19" s="72"/>
      <c r="RQN19" s="72"/>
      <c r="RQO19" s="72"/>
      <c r="RQP19" s="72"/>
      <c r="RQQ19" s="72"/>
      <c r="RQR19" s="72"/>
      <c r="RQS19" s="72"/>
      <c r="RQT19" s="72"/>
      <c r="RQU19" s="72"/>
      <c r="RQV19" s="72"/>
      <c r="RQW19" s="72"/>
      <c r="RQX19" s="72"/>
      <c r="RQY19" s="72"/>
      <c r="RQZ19" s="72"/>
      <c r="RRA19" s="72"/>
      <c r="RRB19" s="72"/>
      <c r="RRC19" s="72"/>
      <c r="RRD19" s="72"/>
      <c r="RRE19" s="72"/>
      <c r="RRF19" s="72"/>
      <c r="RRG19" s="72"/>
      <c r="RRH19" s="72"/>
      <c r="RRI19" s="72"/>
      <c r="RRJ19" s="72"/>
      <c r="RRK19" s="72"/>
      <c r="RRL19" s="72"/>
      <c r="RRM19" s="72"/>
      <c r="RRN19" s="72"/>
      <c r="RRO19" s="72"/>
      <c r="RRP19" s="72"/>
      <c r="RRQ19" s="72"/>
      <c r="RRR19" s="72"/>
      <c r="RRS19" s="72"/>
      <c r="RRT19" s="72"/>
      <c r="RRU19" s="72"/>
      <c r="RRV19" s="72"/>
      <c r="RRW19" s="72"/>
      <c r="RRX19" s="72"/>
      <c r="RRY19" s="72"/>
      <c r="RRZ19" s="72"/>
      <c r="RSA19" s="72"/>
      <c r="RSB19" s="72"/>
      <c r="RSC19" s="72"/>
      <c r="RSD19" s="72"/>
      <c r="RSE19" s="72"/>
      <c r="RSF19" s="72"/>
      <c r="RSG19" s="72"/>
      <c r="RSH19" s="72"/>
      <c r="RSI19" s="72"/>
      <c r="RSJ19" s="72"/>
      <c r="RSK19" s="72"/>
      <c r="RSL19" s="72"/>
      <c r="RSM19" s="72"/>
      <c r="RSN19" s="72"/>
      <c r="RSO19" s="72"/>
      <c r="RSP19" s="72"/>
      <c r="RSQ19" s="72"/>
      <c r="RSR19" s="72"/>
      <c r="RSS19" s="72"/>
      <c r="RST19" s="72"/>
      <c r="RSU19" s="72"/>
      <c r="RSV19" s="72"/>
      <c r="RSW19" s="72"/>
      <c r="RSX19" s="72"/>
      <c r="RSY19" s="72"/>
      <c r="RSZ19" s="72"/>
      <c r="RTA19" s="72"/>
      <c r="RTB19" s="72"/>
      <c r="RTC19" s="72"/>
      <c r="RTD19" s="72"/>
      <c r="RTE19" s="72"/>
      <c r="RTF19" s="72"/>
      <c r="RTG19" s="72"/>
      <c r="RTH19" s="72"/>
      <c r="RTI19" s="72"/>
      <c r="RTJ19" s="72"/>
      <c r="RTK19" s="72"/>
      <c r="RTL19" s="72"/>
      <c r="RTM19" s="72"/>
      <c r="RTN19" s="72"/>
      <c r="RTO19" s="72"/>
      <c r="RTP19" s="72"/>
      <c r="RTQ19" s="72"/>
      <c r="RTR19" s="72"/>
      <c r="RTS19" s="72"/>
      <c r="RTT19" s="72"/>
      <c r="RTU19" s="72"/>
      <c r="RTV19" s="72"/>
      <c r="RTW19" s="72"/>
      <c r="RTX19" s="72"/>
      <c r="RTY19" s="72"/>
      <c r="RTZ19" s="72"/>
      <c r="RUA19" s="72"/>
      <c r="RUB19" s="72"/>
      <c r="RUC19" s="72"/>
      <c r="RUD19" s="72"/>
      <c r="RUE19" s="72"/>
      <c r="RUF19" s="72"/>
      <c r="RUG19" s="72"/>
      <c r="RUH19" s="72"/>
      <c r="RUI19" s="72"/>
      <c r="RUJ19" s="72"/>
      <c r="RUK19" s="72"/>
      <c r="RUL19" s="72"/>
      <c r="RUM19" s="72"/>
      <c r="RUN19" s="72"/>
      <c r="RUO19" s="72"/>
      <c r="RUP19" s="72"/>
      <c r="RUQ19" s="72"/>
      <c r="RUR19" s="72"/>
      <c r="RUS19" s="72"/>
      <c r="RUT19" s="72"/>
      <c r="RUU19" s="72"/>
      <c r="RUV19" s="72"/>
      <c r="RUW19" s="72"/>
      <c r="RUX19" s="72"/>
      <c r="RUY19" s="72"/>
      <c r="RUZ19" s="72"/>
      <c r="RVA19" s="72"/>
      <c r="RVB19" s="72"/>
      <c r="RVC19" s="72"/>
      <c r="RVD19" s="72"/>
      <c r="RVE19" s="72"/>
      <c r="RVF19" s="72"/>
      <c r="RVG19" s="72"/>
      <c r="RVH19" s="72"/>
      <c r="RVI19" s="72"/>
      <c r="RVJ19" s="72"/>
      <c r="RVK19" s="72"/>
      <c r="RVL19" s="72"/>
      <c r="RVM19" s="72"/>
      <c r="RVN19" s="72"/>
      <c r="RVO19" s="72"/>
      <c r="RVP19" s="72"/>
      <c r="RVQ19" s="72"/>
      <c r="RVR19" s="72"/>
      <c r="RVS19" s="72"/>
      <c r="RVT19" s="72"/>
      <c r="RVU19" s="72"/>
      <c r="RVV19" s="72"/>
      <c r="RVW19" s="72"/>
      <c r="RVX19" s="72"/>
      <c r="RVY19" s="72"/>
      <c r="RVZ19" s="72"/>
      <c r="RWA19" s="72"/>
      <c r="RWB19" s="72"/>
      <c r="RWC19" s="72"/>
      <c r="RWD19" s="72"/>
      <c r="RWE19" s="72"/>
      <c r="RWF19" s="72"/>
      <c r="RWG19" s="72"/>
      <c r="RWH19" s="72"/>
      <c r="RWI19" s="72"/>
      <c r="RWJ19" s="72"/>
      <c r="RWK19" s="72"/>
      <c r="RWL19" s="72"/>
      <c r="RWM19" s="72"/>
      <c r="RWN19" s="72"/>
      <c r="RWO19" s="72"/>
      <c r="RWP19" s="72"/>
      <c r="RWQ19" s="72"/>
      <c r="RWR19" s="72"/>
      <c r="RWS19" s="72"/>
      <c r="RWT19" s="72"/>
      <c r="RWU19" s="72"/>
      <c r="RWV19" s="72"/>
      <c r="RWW19" s="72"/>
      <c r="RWX19" s="72"/>
      <c r="RWY19" s="72"/>
      <c r="RWZ19" s="72"/>
      <c r="RXA19" s="72"/>
      <c r="RXB19" s="72"/>
      <c r="RXC19" s="72"/>
      <c r="RXD19" s="72"/>
      <c r="RXE19" s="72"/>
      <c r="RXF19" s="72"/>
      <c r="RXG19" s="72"/>
      <c r="RXH19" s="72"/>
      <c r="RXI19" s="72"/>
      <c r="RXJ19" s="72"/>
      <c r="RXK19" s="72"/>
      <c r="RXL19" s="72"/>
      <c r="RXM19" s="72"/>
      <c r="RXN19" s="72"/>
      <c r="RXO19" s="72"/>
      <c r="RXP19" s="72"/>
      <c r="RXQ19" s="72"/>
      <c r="RXR19" s="72"/>
      <c r="RXS19" s="72"/>
      <c r="RXT19" s="72"/>
      <c r="RXU19" s="72"/>
      <c r="RXV19" s="72"/>
      <c r="RXW19" s="72"/>
      <c r="RXX19" s="72"/>
      <c r="RXY19" s="72"/>
      <c r="RXZ19" s="72"/>
      <c r="RYA19" s="72"/>
      <c r="RYB19" s="72"/>
      <c r="RYC19" s="72"/>
      <c r="RYD19" s="72"/>
      <c r="RYE19" s="72"/>
      <c r="RYF19" s="72"/>
      <c r="RYG19" s="72"/>
      <c r="RYH19" s="72"/>
      <c r="RYI19" s="72"/>
      <c r="RYJ19" s="72"/>
      <c r="RYK19" s="72"/>
      <c r="RYL19" s="72"/>
      <c r="RYM19" s="72"/>
      <c r="RYN19" s="72"/>
      <c r="RYO19" s="72"/>
      <c r="RYP19" s="72"/>
      <c r="RYQ19" s="72"/>
      <c r="RYR19" s="72"/>
      <c r="RYS19" s="72"/>
      <c r="RYT19" s="72"/>
      <c r="RYU19" s="72"/>
      <c r="RYV19" s="72"/>
      <c r="RYW19" s="72"/>
      <c r="RYX19" s="72"/>
      <c r="RYY19" s="72"/>
      <c r="RYZ19" s="72"/>
      <c r="RZA19" s="72"/>
      <c r="RZB19" s="72"/>
      <c r="RZC19" s="72"/>
      <c r="RZD19" s="72"/>
      <c r="RZE19" s="72"/>
      <c r="RZF19" s="72"/>
      <c r="RZG19" s="72"/>
      <c r="RZH19" s="72"/>
      <c r="RZI19" s="72"/>
      <c r="RZJ19" s="72"/>
      <c r="RZK19" s="72"/>
      <c r="RZL19" s="72"/>
      <c r="RZM19" s="72"/>
      <c r="RZN19" s="72"/>
      <c r="RZO19" s="72"/>
      <c r="RZP19" s="72"/>
      <c r="RZQ19" s="72"/>
      <c r="RZR19" s="72"/>
      <c r="RZS19" s="72"/>
      <c r="RZT19" s="72"/>
      <c r="RZU19" s="72"/>
      <c r="RZV19" s="72"/>
      <c r="RZW19" s="72"/>
      <c r="RZX19" s="72"/>
      <c r="RZY19" s="72"/>
      <c r="RZZ19" s="72"/>
      <c r="SAA19" s="72"/>
      <c r="SAB19" s="72"/>
      <c r="SAC19" s="72"/>
      <c r="SAD19" s="72"/>
      <c r="SAE19" s="72"/>
      <c r="SAF19" s="72"/>
      <c r="SAG19" s="72"/>
      <c r="SAH19" s="72"/>
      <c r="SAI19" s="72"/>
      <c r="SAJ19" s="72"/>
      <c r="SAK19" s="72"/>
      <c r="SAL19" s="72"/>
      <c r="SAM19" s="72"/>
      <c r="SAN19" s="72"/>
      <c r="SAO19" s="72"/>
      <c r="SAP19" s="72"/>
      <c r="SAQ19" s="72"/>
      <c r="SAR19" s="72"/>
      <c r="SAS19" s="72"/>
      <c r="SAT19" s="72"/>
      <c r="SAU19" s="72"/>
      <c r="SAV19" s="72"/>
      <c r="SAW19" s="72"/>
      <c r="SAX19" s="72"/>
      <c r="SAY19" s="72"/>
      <c r="SAZ19" s="72"/>
      <c r="SBA19" s="72"/>
      <c r="SBB19" s="72"/>
      <c r="SBC19" s="72"/>
      <c r="SBD19" s="72"/>
      <c r="SBE19" s="72"/>
      <c r="SBF19" s="72"/>
      <c r="SBG19" s="72"/>
      <c r="SBH19" s="72"/>
      <c r="SBI19" s="72"/>
      <c r="SBJ19" s="72"/>
      <c r="SBK19" s="72"/>
      <c r="SBL19" s="72"/>
      <c r="SBM19" s="72"/>
      <c r="SBN19" s="72"/>
      <c r="SBO19" s="72"/>
      <c r="SBP19" s="72"/>
      <c r="SBQ19" s="72"/>
      <c r="SBR19" s="72"/>
      <c r="SBS19" s="72"/>
      <c r="SBT19" s="72"/>
      <c r="SBU19" s="72"/>
      <c r="SBV19" s="72"/>
      <c r="SBW19" s="72"/>
      <c r="SBX19" s="72"/>
      <c r="SBY19" s="72"/>
      <c r="SBZ19" s="72"/>
      <c r="SCA19" s="72"/>
      <c r="SCB19" s="72"/>
      <c r="SCC19" s="72"/>
      <c r="SCD19" s="72"/>
      <c r="SCE19" s="72"/>
      <c r="SCF19" s="72"/>
      <c r="SCG19" s="72"/>
      <c r="SCH19" s="72"/>
      <c r="SCI19" s="72"/>
      <c r="SCJ19" s="72"/>
      <c r="SCK19" s="72"/>
      <c r="SCL19" s="72"/>
      <c r="SCM19" s="72"/>
      <c r="SCN19" s="72"/>
      <c r="SCO19" s="72"/>
      <c r="SCP19" s="72"/>
      <c r="SCQ19" s="72"/>
      <c r="SCR19" s="72"/>
      <c r="SCS19" s="72"/>
      <c r="SCT19" s="72"/>
      <c r="SCU19" s="72"/>
      <c r="SCV19" s="72"/>
      <c r="SCW19" s="72"/>
      <c r="SCX19" s="72"/>
      <c r="SCY19" s="72"/>
      <c r="SCZ19" s="72"/>
      <c r="SDA19" s="72"/>
      <c r="SDB19" s="72"/>
      <c r="SDC19" s="72"/>
      <c r="SDD19" s="72"/>
      <c r="SDE19" s="72"/>
      <c r="SDF19" s="72"/>
      <c r="SDG19" s="72"/>
      <c r="SDH19" s="72"/>
      <c r="SDI19" s="72"/>
      <c r="SDJ19" s="72"/>
      <c r="SDK19" s="72"/>
      <c r="SDL19" s="72"/>
      <c r="SDM19" s="72"/>
      <c r="SDN19" s="72"/>
      <c r="SDO19" s="72"/>
      <c r="SDP19" s="72"/>
      <c r="SDQ19" s="72"/>
      <c r="SDR19" s="72"/>
      <c r="SDS19" s="72"/>
      <c r="SDT19" s="72"/>
      <c r="SDU19" s="72"/>
      <c r="SDV19" s="72"/>
      <c r="SDW19" s="72"/>
      <c r="SDX19" s="72"/>
      <c r="SDY19" s="72"/>
      <c r="SDZ19" s="72"/>
      <c r="SEA19" s="72"/>
      <c r="SEB19" s="72"/>
      <c r="SEC19" s="72"/>
      <c r="SED19" s="72"/>
      <c r="SEE19" s="72"/>
      <c r="SEF19" s="72"/>
      <c r="SEG19" s="72"/>
      <c r="SEH19" s="72"/>
      <c r="SEI19" s="72"/>
      <c r="SEJ19" s="72"/>
      <c r="SEK19" s="72"/>
      <c r="SEL19" s="72"/>
      <c r="SEM19" s="72"/>
      <c r="SEN19" s="72"/>
      <c r="SEO19" s="72"/>
      <c r="SEP19" s="72"/>
      <c r="SEQ19" s="72"/>
      <c r="SER19" s="72"/>
      <c r="SES19" s="72"/>
      <c r="SET19" s="72"/>
      <c r="SEU19" s="72"/>
      <c r="SEV19" s="72"/>
      <c r="SEW19" s="72"/>
      <c r="SEX19" s="72"/>
      <c r="SEY19" s="72"/>
      <c r="SEZ19" s="72"/>
      <c r="SFA19" s="72"/>
      <c r="SFB19" s="72"/>
      <c r="SFC19" s="72"/>
      <c r="SFD19" s="72"/>
      <c r="SFE19" s="72"/>
      <c r="SFF19" s="72"/>
      <c r="SFG19" s="72"/>
      <c r="SFH19" s="72"/>
      <c r="SFI19" s="72"/>
      <c r="SFJ19" s="72"/>
      <c r="SFK19" s="72"/>
      <c r="SFL19" s="72"/>
      <c r="SFM19" s="72"/>
      <c r="SFN19" s="72"/>
      <c r="SFO19" s="72"/>
      <c r="SFP19" s="72"/>
      <c r="SFQ19" s="72"/>
      <c r="SFR19" s="72"/>
      <c r="SFS19" s="72"/>
      <c r="SFT19" s="72"/>
      <c r="SFU19" s="72"/>
      <c r="SFV19" s="72"/>
      <c r="SFW19" s="72"/>
      <c r="SFX19" s="72"/>
      <c r="SFY19" s="72"/>
      <c r="SFZ19" s="72"/>
      <c r="SGA19" s="72"/>
      <c r="SGB19" s="72"/>
      <c r="SGC19" s="72"/>
      <c r="SGD19" s="72"/>
      <c r="SGE19" s="72"/>
      <c r="SGF19" s="72"/>
      <c r="SGG19" s="72"/>
      <c r="SGH19" s="72"/>
      <c r="SGI19" s="72"/>
      <c r="SGJ19" s="72"/>
      <c r="SGK19" s="72"/>
      <c r="SGL19" s="72"/>
      <c r="SGM19" s="72"/>
      <c r="SGN19" s="72"/>
      <c r="SGO19" s="72"/>
      <c r="SGP19" s="72"/>
      <c r="SGQ19" s="72"/>
      <c r="SGR19" s="72"/>
      <c r="SGS19" s="72"/>
      <c r="SGT19" s="72"/>
      <c r="SGU19" s="72"/>
      <c r="SGV19" s="72"/>
      <c r="SGW19" s="72"/>
      <c r="SGX19" s="72"/>
      <c r="SGY19" s="72"/>
      <c r="SGZ19" s="72"/>
      <c r="SHA19" s="72"/>
      <c r="SHB19" s="72"/>
      <c r="SHC19" s="72"/>
      <c r="SHD19" s="72"/>
      <c r="SHE19" s="72"/>
      <c r="SHF19" s="72"/>
      <c r="SHG19" s="72"/>
      <c r="SHH19" s="72"/>
      <c r="SHI19" s="72"/>
      <c r="SHJ19" s="72"/>
      <c r="SHK19" s="72"/>
      <c r="SHL19" s="72"/>
      <c r="SHM19" s="72"/>
      <c r="SHN19" s="72"/>
      <c r="SHO19" s="72"/>
      <c r="SHP19" s="72"/>
      <c r="SHQ19" s="72"/>
      <c r="SHR19" s="72"/>
      <c r="SHS19" s="72"/>
      <c r="SHT19" s="72"/>
      <c r="SHU19" s="72"/>
      <c r="SHV19" s="72"/>
      <c r="SHW19" s="72"/>
      <c r="SHX19" s="72"/>
      <c r="SHY19" s="72"/>
      <c r="SHZ19" s="72"/>
      <c r="SIA19" s="72"/>
      <c r="SIB19" s="72"/>
      <c r="SIC19" s="72"/>
      <c r="SID19" s="72"/>
      <c r="SIE19" s="72"/>
      <c r="SIF19" s="72"/>
      <c r="SIG19" s="72"/>
      <c r="SIH19" s="72"/>
      <c r="SII19" s="72"/>
      <c r="SIJ19" s="72"/>
      <c r="SIK19" s="72"/>
      <c r="SIL19" s="72"/>
      <c r="SIM19" s="72"/>
      <c r="SIN19" s="72"/>
      <c r="SIO19" s="72"/>
      <c r="SIP19" s="72"/>
      <c r="SIQ19" s="72"/>
      <c r="SIR19" s="72"/>
      <c r="SIS19" s="72"/>
      <c r="SIT19" s="72"/>
      <c r="SIU19" s="72"/>
      <c r="SIV19" s="72"/>
      <c r="SIW19" s="72"/>
      <c r="SIX19" s="72"/>
      <c r="SIY19" s="72"/>
      <c r="SIZ19" s="72"/>
      <c r="SJA19" s="72"/>
      <c r="SJB19" s="72"/>
      <c r="SJC19" s="72"/>
      <c r="SJD19" s="72"/>
      <c r="SJE19" s="72"/>
      <c r="SJF19" s="72"/>
      <c r="SJG19" s="72"/>
      <c r="SJH19" s="72"/>
      <c r="SJI19" s="72"/>
      <c r="SJJ19" s="72"/>
      <c r="SJK19" s="72"/>
      <c r="SJL19" s="72"/>
      <c r="SJM19" s="72"/>
      <c r="SJN19" s="72"/>
      <c r="SJO19" s="72"/>
      <c r="SJP19" s="72"/>
      <c r="SJQ19" s="72"/>
      <c r="SJR19" s="72"/>
      <c r="SJS19" s="72"/>
      <c r="SJT19" s="72"/>
      <c r="SJU19" s="72"/>
      <c r="SJV19" s="72"/>
      <c r="SJW19" s="72"/>
      <c r="SJX19" s="72"/>
      <c r="SJY19" s="72"/>
      <c r="SJZ19" s="72"/>
      <c r="SKA19" s="72"/>
      <c r="SKB19" s="72"/>
      <c r="SKC19" s="72"/>
      <c r="SKD19" s="72"/>
      <c r="SKE19" s="72"/>
      <c r="SKF19" s="72"/>
      <c r="SKG19" s="72"/>
      <c r="SKH19" s="72"/>
      <c r="SKI19" s="72"/>
      <c r="SKJ19" s="72"/>
      <c r="SKK19" s="72"/>
      <c r="SKL19" s="72"/>
      <c r="SKM19" s="72"/>
      <c r="SKN19" s="72"/>
      <c r="SKO19" s="72"/>
      <c r="SKP19" s="72"/>
      <c r="SKQ19" s="72"/>
      <c r="SKR19" s="72"/>
      <c r="SKS19" s="72"/>
      <c r="SKT19" s="72"/>
      <c r="SKU19" s="72"/>
      <c r="SKV19" s="72"/>
      <c r="SKW19" s="72"/>
      <c r="SKX19" s="72"/>
      <c r="SKY19" s="72"/>
      <c r="SKZ19" s="72"/>
      <c r="SLA19" s="72"/>
      <c r="SLB19" s="72"/>
      <c r="SLC19" s="72"/>
      <c r="SLD19" s="72"/>
      <c r="SLE19" s="72"/>
      <c r="SLF19" s="72"/>
      <c r="SLG19" s="72"/>
      <c r="SLH19" s="72"/>
      <c r="SLI19" s="72"/>
      <c r="SLJ19" s="72"/>
      <c r="SLK19" s="72"/>
      <c r="SLL19" s="72"/>
      <c r="SLM19" s="72"/>
      <c r="SLN19" s="72"/>
      <c r="SLO19" s="72"/>
      <c r="SLP19" s="72"/>
      <c r="SLQ19" s="72"/>
      <c r="SLR19" s="72"/>
      <c r="SLS19" s="72"/>
      <c r="SLT19" s="72"/>
      <c r="SLU19" s="72"/>
      <c r="SLV19" s="72"/>
      <c r="SLW19" s="72"/>
      <c r="SLX19" s="72"/>
      <c r="SLY19" s="72"/>
      <c r="SLZ19" s="72"/>
      <c r="SMA19" s="72"/>
      <c r="SMB19" s="72"/>
      <c r="SMC19" s="72"/>
      <c r="SMD19" s="72"/>
      <c r="SME19" s="72"/>
      <c r="SMF19" s="72"/>
      <c r="SMG19" s="72"/>
      <c r="SMH19" s="72"/>
      <c r="SMI19" s="72"/>
      <c r="SMJ19" s="72"/>
      <c r="SMK19" s="72"/>
      <c r="SML19" s="72"/>
      <c r="SMM19" s="72"/>
      <c r="SMN19" s="72"/>
      <c r="SMO19" s="72"/>
      <c r="SMP19" s="72"/>
      <c r="SMQ19" s="72"/>
      <c r="SMR19" s="72"/>
      <c r="SMS19" s="72"/>
      <c r="SMT19" s="72"/>
      <c r="SMU19" s="72"/>
      <c r="SMV19" s="72"/>
      <c r="SMW19" s="72"/>
      <c r="SMX19" s="72"/>
      <c r="SMY19" s="72"/>
      <c r="SMZ19" s="72"/>
      <c r="SNA19" s="72"/>
      <c r="SNB19" s="72"/>
      <c r="SNC19" s="72"/>
      <c r="SND19" s="72"/>
      <c r="SNE19" s="72"/>
      <c r="SNF19" s="72"/>
      <c r="SNG19" s="72"/>
      <c r="SNH19" s="72"/>
      <c r="SNI19" s="72"/>
      <c r="SNJ19" s="72"/>
      <c r="SNK19" s="72"/>
      <c r="SNL19" s="72"/>
      <c r="SNM19" s="72"/>
      <c r="SNN19" s="72"/>
      <c r="SNO19" s="72"/>
      <c r="SNP19" s="72"/>
      <c r="SNQ19" s="72"/>
      <c r="SNR19" s="72"/>
      <c r="SNS19" s="72"/>
      <c r="SNT19" s="72"/>
      <c r="SNU19" s="72"/>
      <c r="SNV19" s="72"/>
      <c r="SNW19" s="72"/>
      <c r="SNX19" s="72"/>
      <c r="SNY19" s="72"/>
      <c r="SNZ19" s="72"/>
      <c r="SOA19" s="72"/>
      <c r="SOB19" s="72"/>
      <c r="SOC19" s="72"/>
      <c r="SOD19" s="72"/>
      <c r="SOE19" s="72"/>
      <c r="SOF19" s="72"/>
      <c r="SOG19" s="72"/>
      <c r="SOH19" s="72"/>
      <c r="SOI19" s="72"/>
      <c r="SOJ19" s="72"/>
      <c r="SOK19" s="72"/>
      <c r="SOL19" s="72"/>
      <c r="SOM19" s="72"/>
      <c r="SON19" s="72"/>
      <c r="SOO19" s="72"/>
      <c r="SOP19" s="72"/>
      <c r="SOQ19" s="72"/>
      <c r="SOR19" s="72"/>
      <c r="SOS19" s="72"/>
      <c r="SOT19" s="72"/>
      <c r="SOU19" s="72"/>
      <c r="SOV19" s="72"/>
      <c r="SOW19" s="72"/>
      <c r="SOX19" s="72"/>
      <c r="SOY19" s="72"/>
      <c r="SOZ19" s="72"/>
      <c r="SPA19" s="72"/>
      <c r="SPB19" s="72"/>
      <c r="SPC19" s="72"/>
      <c r="SPD19" s="72"/>
      <c r="SPE19" s="72"/>
      <c r="SPF19" s="72"/>
      <c r="SPG19" s="72"/>
      <c r="SPH19" s="72"/>
      <c r="SPI19" s="72"/>
      <c r="SPJ19" s="72"/>
      <c r="SPK19" s="72"/>
      <c r="SPL19" s="72"/>
      <c r="SPM19" s="72"/>
      <c r="SPN19" s="72"/>
      <c r="SPO19" s="72"/>
      <c r="SPP19" s="72"/>
      <c r="SPQ19" s="72"/>
      <c r="SPR19" s="72"/>
      <c r="SPS19" s="72"/>
      <c r="SPT19" s="72"/>
      <c r="SPU19" s="72"/>
      <c r="SPV19" s="72"/>
      <c r="SPW19" s="72"/>
      <c r="SPX19" s="72"/>
      <c r="SPY19" s="72"/>
      <c r="SPZ19" s="72"/>
      <c r="SQA19" s="72"/>
      <c r="SQB19" s="72"/>
      <c r="SQC19" s="72"/>
      <c r="SQD19" s="72"/>
      <c r="SQE19" s="72"/>
      <c r="SQF19" s="72"/>
      <c r="SQG19" s="72"/>
      <c r="SQH19" s="72"/>
      <c r="SQI19" s="72"/>
      <c r="SQJ19" s="72"/>
      <c r="SQK19" s="72"/>
      <c r="SQL19" s="72"/>
      <c r="SQM19" s="72"/>
      <c r="SQN19" s="72"/>
      <c r="SQO19" s="72"/>
      <c r="SQP19" s="72"/>
      <c r="SQQ19" s="72"/>
      <c r="SQR19" s="72"/>
      <c r="SQS19" s="72"/>
      <c r="SQT19" s="72"/>
      <c r="SQU19" s="72"/>
      <c r="SQV19" s="72"/>
      <c r="SQW19" s="72"/>
      <c r="SQX19" s="72"/>
      <c r="SQY19" s="72"/>
      <c r="SQZ19" s="72"/>
      <c r="SRA19" s="72"/>
      <c r="SRB19" s="72"/>
      <c r="SRC19" s="72"/>
      <c r="SRD19" s="72"/>
      <c r="SRE19" s="72"/>
      <c r="SRF19" s="72"/>
      <c r="SRG19" s="72"/>
      <c r="SRH19" s="72"/>
      <c r="SRI19" s="72"/>
      <c r="SRJ19" s="72"/>
      <c r="SRK19" s="72"/>
      <c r="SRL19" s="72"/>
      <c r="SRM19" s="72"/>
      <c r="SRN19" s="72"/>
      <c r="SRO19" s="72"/>
      <c r="SRP19" s="72"/>
      <c r="SRQ19" s="72"/>
      <c r="SRR19" s="72"/>
      <c r="SRS19" s="72"/>
      <c r="SRT19" s="72"/>
      <c r="SRU19" s="72"/>
      <c r="SRV19" s="72"/>
      <c r="SRW19" s="72"/>
      <c r="SRX19" s="72"/>
      <c r="SRY19" s="72"/>
      <c r="SRZ19" s="72"/>
      <c r="SSA19" s="72"/>
      <c r="SSB19" s="72"/>
      <c r="SSC19" s="72"/>
      <c r="SSD19" s="72"/>
      <c r="SSE19" s="72"/>
      <c r="SSF19" s="72"/>
      <c r="SSG19" s="72"/>
      <c r="SSH19" s="72"/>
      <c r="SSI19" s="72"/>
      <c r="SSJ19" s="72"/>
      <c r="SSK19" s="72"/>
      <c r="SSL19" s="72"/>
      <c r="SSM19" s="72"/>
      <c r="SSN19" s="72"/>
      <c r="SSO19" s="72"/>
      <c r="SSP19" s="72"/>
      <c r="SSQ19" s="72"/>
      <c r="SSR19" s="72"/>
      <c r="SSS19" s="72"/>
      <c r="SST19" s="72"/>
      <c r="SSU19" s="72"/>
      <c r="SSV19" s="72"/>
      <c r="SSW19" s="72"/>
      <c r="SSX19" s="72"/>
      <c r="SSY19" s="72"/>
      <c r="SSZ19" s="72"/>
      <c r="STA19" s="72"/>
      <c r="STB19" s="72"/>
      <c r="STC19" s="72"/>
      <c r="STD19" s="72"/>
      <c r="STE19" s="72"/>
      <c r="STF19" s="72"/>
      <c r="STG19" s="72"/>
      <c r="STH19" s="72"/>
      <c r="STI19" s="72"/>
      <c r="STJ19" s="72"/>
      <c r="STK19" s="72"/>
      <c r="STL19" s="72"/>
      <c r="STM19" s="72"/>
      <c r="STN19" s="72"/>
      <c r="STO19" s="72"/>
      <c r="STP19" s="72"/>
      <c r="STQ19" s="72"/>
      <c r="STR19" s="72"/>
      <c r="STS19" s="72"/>
      <c r="STT19" s="72"/>
      <c r="STU19" s="72"/>
      <c r="STV19" s="72"/>
      <c r="STW19" s="72"/>
      <c r="STX19" s="72"/>
      <c r="STY19" s="72"/>
      <c r="STZ19" s="72"/>
      <c r="SUA19" s="72"/>
      <c r="SUB19" s="72"/>
      <c r="SUC19" s="72"/>
      <c r="SUD19" s="72"/>
      <c r="SUE19" s="72"/>
      <c r="SUF19" s="72"/>
      <c r="SUG19" s="72"/>
      <c r="SUH19" s="72"/>
      <c r="SUI19" s="72"/>
      <c r="SUJ19" s="72"/>
      <c r="SUK19" s="72"/>
      <c r="SUL19" s="72"/>
      <c r="SUM19" s="72"/>
      <c r="SUN19" s="72"/>
      <c r="SUO19" s="72"/>
      <c r="SUP19" s="72"/>
      <c r="SUQ19" s="72"/>
      <c r="SUR19" s="72"/>
      <c r="SUS19" s="72"/>
      <c r="SUT19" s="72"/>
      <c r="SUU19" s="72"/>
      <c r="SUV19" s="72"/>
      <c r="SUW19" s="72"/>
      <c r="SUX19" s="72"/>
      <c r="SUY19" s="72"/>
      <c r="SUZ19" s="72"/>
      <c r="SVA19" s="72"/>
      <c r="SVB19" s="72"/>
      <c r="SVC19" s="72"/>
      <c r="SVD19" s="72"/>
      <c r="SVE19" s="72"/>
      <c r="SVF19" s="72"/>
      <c r="SVG19" s="72"/>
      <c r="SVH19" s="72"/>
      <c r="SVI19" s="72"/>
      <c r="SVJ19" s="72"/>
      <c r="SVK19" s="72"/>
      <c r="SVL19" s="72"/>
      <c r="SVM19" s="72"/>
      <c r="SVN19" s="72"/>
      <c r="SVO19" s="72"/>
      <c r="SVP19" s="72"/>
      <c r="SVQ19" s="72"/>
      <c r="SVR19" s="72"/>
      <c r="SVS19" s="72"/>
      <c r="SVT19" s="72"/>
      <c r="SVU19" s="72"/>
      <c r="SVV19" s="72"/>
      <c r="SVW19" s="72"/>
      <c r="SVX19" s="72"/>
      <c r="SVY19" s="72"/>
      <c r="SVZ19" s="72"/>
      <c r="SWA19" s="72"/>
      <c r="SWB19" s="72"/>
      <c r="SWC19" s="72"/>
      <c r="SWD19" s="72"/>
      <c r="SWE19" s="72"/>
      <c r="SWF19" s="72"/>
      <c r="SWG19" s="72"/>
      <c r="SWH19" s="72"/>
      <c r="SWI19" s="72"/>
      <c r="SWJ19" s="72"/>
      <c r="SWK19" s="72"/>
      <c r="SWL19" s="72"/>
      <c r="SWM19" s="72"/>
      <c r="SWN19" s="72"/>
      <c r="SWO19" s="72"/>
      <c r="SWP19" s="72"/>
      <c r="SWQ19" s="72"/>
      <c r="SWR19" s="72"/>
      <c r="SWS19" s="72"/>
      <c r="SWT19" s="72"/>
      <c r="SWU19" s="72"/>
      <c r="SWV19" s="72"/>
      <c r="SWW19" s="72"/>
      <c r="SWX19" s="72"/>
      <c r="SWY19" s="72"/>
      <c r="SWZ19" s="72"/>
      <c r="SXA19" s="72"/>
      <c r="SXB19" s="72"/>
      <c r="SXC19" s="72"/>
      <c r="SXD19" s="72"/>
      <c r="SXE19" s="72"/>
      <c r="SXF19" s="72"/>
      <c r="SXG19" s="72"/>
      <c r="SXH19" s="72"/>
      <c r="SXI19" s="72"/>
      <c r="SXJ19" s="72"/>
      <c r="SXK19" s="72"/>
      <c r="SXL19" s="72"/>
      <c r="SXM19" s="72"/>
      <c r="SXN19" s="72"/>
      <c r="SXO19" s="72"/>
      <c r="SXP19" s="72"/>
      <c r="SXQ19" s="72"/>
      <c r="SXR19" s="72"/>
      <c r="SXS19" s="72"/>
      <c r="SXT19" s="72"/>
      <c r="SXU19" s="72"/>
      <c r="SXV19" s="72"/>
      <c r="SXW19" s="72"/>
      <c r="SXX19" s="72"/>
      <c r="SXY19" s="72"/>
      <c r="SXZ19" s="72"/>
      <c r="SYA19" s="72"/>
      <c r="SYB19" s="72"/>
      <c r="SYC19" s="72"/>
      <c r="SYD19" s="72"/>
      <c r="SYE19" s="72"/>
      <c r="SYF19" s="72"/>
      <c r="SYG19" s="72"/>
      <c r="SYH19" s="72"/>
      <c r="SYI19" s="72"/>
      <c r="SYJ19" s="72"/>
      <c r="SYK19" s="72"/>
      <c r="SYL19" s="72"/>
      <c r="SYM19" s="72"/>
      <c r="SYN19" s="72"/>
      <c r="SYO19" s="72"/>
      <c r="SYP19" s="72"/>
      <c r="SYQ19" s="72"/>
      <c r="SYR19" s="72"/>
      <c r="SYS19" s="72"/>
      <c r="SYT19" s="72"/>
      <c r="SYU19" s="72"/>
      <c r="SYV19" s="72"/>
      <c r="SYW19" s="72"/>
      <c r="SYX19" s="72"/>
      <c r="SYY19" s="72"/>
      <c r="SYZ19" s="72"/>
      <c r="SZA19" s="72"/>
      <c r="SZB19" s="72"/>
      <c r="SZC19" s="72"/>
      <c r="SZD19" s="72"/>
      <c r="SZE19" s="72"/>
      <c r="SZF19" s="72"/>
      <c r="SZG19" s="72"/>
      <c r="SZH19" s="72"/>
      <c r="SZI19" s="72"/>
      <c r="SZJ19" s="72"/>
      <c r="SZK19" s="72"/>
      <c r="SZL19" s="72"/>
      <c r="SZM19" s="72"/>
      <c r="SZN19" s="72"/>
      <c r="SZO19" s="72"/>
      <c r="SZP19" s="72"/>
      <c r="SZQ19" s="72"/>
      <c r="SZR19" s="72"/>
      <c r="SZS19" s="72"/>
      <c r="SZT19" s="72"/>
      <c r="SZU19" s="72"/>
      <c r="SZV19" s="72"/>
      <c r="SZW19" s="72"/>
      <c r="SZX19" s="72"/>
      <c r="SZY19" s="72"/>
      <c r="SZZ19" s="72"/>
      <c r="TAA19" s="72"/>
      <c r="TAB19" s="72"/>
      <c r="TAC19" s="72"/>
      <c r="TAD19" s="72"/>
      <c r="TAE19" s="72"/>
      <c r="TAF19" s="72"/>
      <c r="TAG19" s="72"/>
      <c r="TAH19" s="72"/>
      <c r="TAI19" s="72"/>
      <c r="TAJ19" s="72"/>
      <c r="TAK19" s="72"/>
      <c r="TAL19" s="72"/>
      <c r="TAM19" s="72"/>
      <c r="TAN19" s="72"/>
      <c r="TAO19" s="72"/>
      <c r="TAP19" s="72"/>
      <c r="TAQ19" s="72"/>
      <c r="TAR19" s="72"/>
      <c r="TAS19" s="72"/>
      <c r="TAT19" s="72"/>
      <c r="TAU19" s="72"/>
      <c r="TAV19" s="72"/>
      <c r="TAW19" s="72"/>
      <c r="TAX19" s="72"/>
      <c r="TAY19" s="72"/>
      <c r="TAZ19" s="72"/>
      <c r="TBA19" s="72"/>
      <c r="TBB19" s="72"/>
      <c r="TBC19" s="72"/>
      <c r="TBD19" s="72"/>
      <c r="TBE19" s="72"/>
      <c r="TBF19" s="72"/>
      <c r="TBG19" s="72"/>
      <c r="TBH19" s="72"/>
      <c r="TBI19" s="72"/>
      <c r="TBJ19" s="72"/>
      <c r="TBK19" s="72"/>
      <c r="TBL19" s="72"/>
      <c r="TBM19" s="72"/>
      <c r="TBN19" s="72"/>
      <c r="TBO19" s="72"/>
      <c r="TBP19" s="72"/>
      <c r="TBQ19" s="72"/>
      <c r="TBR19" s="72"/>
      <c r="TBS19" s="72"/>
      <c r="TBT19" s="72"/>
      <c r="TBU19" s="72"/>
      <c r="TBV19" s="72"/>
      <c r="TBW19" s="72"/>
      <c r="TBX19" s="72"/>
      <c r="TBY19" s="72"/>
      <c r="TBZ19" s="72"/>
      <c r="TCA19" s="72"/>
      <c r="TCB19" s="72"/>
      <c r="TCC19" s="72"/>
      <c r="TCD19" s="72"/>
      <c r="TCE19" s="72"/>
      <c r="TCF19" s="72"/>
      <c r="TCG19" s="72"/>
      <c r="TCH19" s="72"/>
      <c r="TCI19" s="72"/>
      <c r="TCJ19" s="72"/>
      <c r="TCK19" s="72"/>
      <c r="TCL19" s="72"/>
      <c r="TCM19" s="72"/>
      <c r="TCN19" s="72"/>
      <c r="TCO19" s="72"/>
      <c r="TCP19" s="72"/>
      <c r="TCQ19" s="72"/>
      <c r="TCR19" s="72"/>
      <c r="TCS19" s="72"/>
      <c r="TCT19" s="72"/>
      <c r="TCU19" s="72"/>
      <c r="TCV19" s="72"/>
      <c r="TCW19" s="72"/>
      <c r="TCX19" s="72"/>
      <c r="TCY19" s="72"/>
      <c r="TCZ19" s="72"/>
      <c r="TDA19" s="72"/>
      <c r="TDB19" s="72"/>
      <c r="TDC19" s="72"/>
      <c r="TDD19" s="72"/>
      <c r="TDE19" s="72"/>
      <c r="TDF19" s="72"/>
      <c r="TDG19" s="72"/>
      <c r="TDH19" s="72"/>
      <c r="TDI19" s="72"/>
      <c r="TDJ19" s="72"/>
      <c r="TDK19" s="72"/>
      <c r="TDL19" s="72"/>
      <c r="TDM19" s="72"/>
      <c r="TDN19" s="72"/>
      <c r="TDO19" s="72"/>
      <c r="TDP19" s="72"/>
      <c r="TDQ19" s="72"/>
      <c r="TDR19" s="72"/>
      <c r="TDS19" s="72"/>
      <c r="TDT19" s="72"/>
      <c r="TDU19" s="72"/>
      <c r="TDV19" s="72"/>
      <c r="TDW19" s="72"/>
      <c r="TDX19" s="72"/>
      <c r="TDY19" s="72"/>
      <c r="TDZ19" s="72"/>
      <c r="TEA19" s="72"/>
      <c r="TEB19" s="72"/>
      <c r="TEC19" s="72"/>
      <c r="TED19" s="72"/>
      <c r="TEE19" s="72"/>
      <c r="TEF19" s="72"/>
      <c r="TEG19" s="72"/>
      <c r="TEH19" s="72"/>
      <c r="TEI19" s="72"/>
      <c r="TEJ19" s="72"/>
      <c r="TEK19" s="72"/>
      <c r="TEL19" s="72"/>
      <c r="TEM19" s="72"/>
      <c r="TEN19" s="72"/>
      <c r="TEO19" s="72"/>
      <c r="TEP19" s="72"/>
      <c r="TEQ19" s="72"/>
      <c r="TER19" s="72"/>
      <c r="TES19" s="72"/>
      <c r="TET19" s="72"/>
      <c r="TEU19" s="72"/>
      <c r="TEV19" s="72"/>
      <c r="TEW19" s="72"/>
      <c r="TEX19" s="72"/>
      <c r="TEY19" s="72"/>
      <c r="TEZ19" s="72"/>
      <c r="TFA19" s="72"/>
      <c r="TFB19" s="72"/>
      <c r="TFC19" s="72"/>
      <c r="TFD19" s="72"/>
      <c r="TFE19" s="72"/>
      <c r="TFF19" s="72"/>
      <c r="TFG19" s="72"/>
      <c r="TFH19" s="72"/>
      <c r="TFI19" s="72"/>
      <c r="TFJ19" s="72"/>
      <c r="TFK19" s="72"/>
      <c r="TFL19" s="72"/>
      <c r="TFM19" s="72"/>
      <c r="TFN19" s="72"/>
      <c r="TFO19" s="72"/>
      <c r="TFP19" s="72"/>
      <c r="TFQ19" s="72"/>
      <c r="TFR19" s="72"/>
      <c r="TFS19" s="72"/>
      <c r="TFT19" s="72"/>
      <c r="TFU19" s="72"/>
      <c r="TFV19" s="72"/>
      <c r="TFW19" s="72"/>
      <c r="TFX19" s="72"/>
      <c r="TFY19" s="72"/>
      <c r="TFZ19" s="72"/>
      <c r="TGA19" s="72"/>
      <c r="TGB19" s="72"/>
      <c r="TGC19" s="72"/>
      <c r="TGD19" s="72"/>
      <c r="TGE19" s="72"/>
      <c r="TGF19" s="72"/>
      <c r="TGG19" s="72"/>
      <c r="TGH19" s="72"/>
      <c r="TGI19" s="72"/>
      <c r="TGJ19" s="72"/>
      <c r="TGK19" s="72"/>
      <c r="TGL19" s="72"/>
      <c r="TGM19" s="72"/>
      <c r="TGN19" s="72"/>
      <c r="TGO19" s="72"/>
      <c r="TGP19" s="72"/>
      <c r="TGQ19" s="72"/>
      <c r="TGR19" s="72"/>
      <c r="TGS19" s="72"/>
      <c r="TGT19" s="72"/>
      <c r="TGU19" s="72"/>
      <c r="TGV19" s="72"/>
      <c r="TGW19" s="72"/>
      <c r="TGX19" s="72"/>
      <c r="TGY19" s="72"/>
      <c r="TGZ19" s="72"/>
      <c r="THA19" s="72"/>
      <c r="THB19" s="72"/>
      <c r="THC19" s="72"/>
      <c r="THD19" s="72"/>
      <c r="THE19" s="72"/>
      <c r="THF19" s="72"/>
      <c r="THG19" s="72"/>
      <c r="THH19" s="72"/>
      <c r="THI19" s="72"/>
      <c r="THJ19" s="72"/>
      <c r="THK19" s="72"/>
      <c r="THL19" s="72"/>
      <c r="THM19" s="72"/>
      <c r="THN19" s="72"/>
      <c r="THO19" s="72"/>
      <c r="THP19" s="72"/>
      <c r="THQ19" s="72"/>
      <c r="THR19" s="72"/>
      <c r="THS19" s="72"/>
      <c r="THT19" s="72"/>
      <c r="THU19" s="72"/>
      <c r="THV19" s="72"/>
      <c r="THW19" s="72"/>
      <c r="THX19" s="72"/>
      <c r="THY19" s="72"/>
      <c r="THZ19" s="72"/>
      <c r="TIA19" s="72"/>
      <c r="TIB19" s="72"/>
      <c r="TIC19" s="72"/>
      <c r="TID19" s="72"/>
      <c r="TIE19" s="72"/>
      <c r="TIF19" s="72"/>
      <c r="TIG19" s="72"/>
      <c r="TIH19" s="72"/>
      <c r="TII19" s="72"/>
      <c r="TIJ19" s="72"/>
      <c r="TIK19" s="72"/>
      <c r="TIL19" s="72"/>
      <c r="TIM19" s="72"/>
      <c r="TIN19" s="72"/>
      <c r="TIO19" s="72"/>
      <c r="TIP19" s="72"/>
      <c r="TIQ19" s="72"/>
      <c r="TIR19" s="72"/>
      <c r="TIS19" s="72"/>
      <c r="TIT19" s="72"/>
      <c r="TIU19" s="72"/>
      <c r="TIV19" s="72"/>
      <c r="TIW19" s="72"/>
      <c r="TIX19" s="72"/>
      <c r="TIY19" s="72"/>
      <c r="TIZ19" s="72"/>
      <c r="TJA19" s="72"/>
      <c r="TJB19" s="72"/>
      <c r="TJC19" s="72"/>
      <c r="TJD19" s="72"/>
      <c r="TJE19" s="72"/>
      <c r="TJF19" s="72"/>
      <c r="TJG19" s="72"/>
      <c r="TJH19" s="72"/>
      <c r="TJI19" s="72"/>
      <c r="TJJ19" s="72"/>
      <c r="TJK19" s="72"/>
      <c r="TJL19" s="72"/>
      <c r="TJM19" s="72"/>
      <c r="TJN19" s="72"/>
      <c r="TJO19" s="72"/>
      <c r="TJP19" s="72"/>
      <c r="TJQ19" s="72"/>
      <c r="TJR19" s="72"/>
      <c r="TJS19" s="72"/>
      <c r="TJT19" s="72"/>
      <c r="TJU19" s="72"/>
      <c r="TJV19" s="72"/>
      <c r="TJW19" s="72"/>
      <c r="TJX19" s="72"/>
      <c r="TJY19" s="72"/>
      <c r="TJZ19" s="72"/>
      <c r="TKA19" s="72"/>
      <c r="TKB19" s="72"/>
      <c r="TKC19" s="72"/>
      <c r="TKD19" s="72"/>
      <c r="TKE19" s="72"/>
      <c r="TKF19" s="72"/>
      <c r="TKG19" s="72"/>
      <c r="TKH19" s="72"/>
      <c r="TKI19" s="72"/>
      <c r="TKJ19" s="72"/>
      <c r="TKK19" s="72"/>
      <c r="TKL19" s="72"/>
      <c r="TKM19" s="72"/>
      <c r="TKN19" s="72"/>
      <c r="TKO19" s="72"/>
      <c r="TKP19" s="72"/>
      <c r="TKQ19" s="72"/>
      <c r="TKR19" s="72"/>
      <c r="TKS19" s="72"/>
      <c r="TKT19" s="72"/>
      <c r="TKU19" s="72"/>
      <c r="TKV19" s="72"/>
      <c r="TKW19" s="72"/>
      <c r="TKX19" s="72"/>
      <c r="TKY19" s="72"/>
      <c r="TKZ19" s="72"/>
      <c r="TLA19" s="72"/>
      <c r="TLB19" s="72"/>
      <c r="TLC19" s="72"/>
      <c r="TLD19" s="72"/>
      <c r="TLE19" s="72"/>
      <c r="TLF19" s="72"/>
      <c r="TLG19" s="72"/>
      <c r="TLH19" s="72"/>
      <c r="TLI19" s="72"/>
      <c r="TLJ19" s="72"/>
      <c r="TLK19" s="72"/>
      <c r="TLL19" s="72"/>
      <c r="TLM19" s="72"/>
      <c r="TLN19" s="72"/>
      <c r="TLO19" s="72"/>
      <c r="TLP19" s="72"/>
      <c r="TLQ19" s="72"/>
      <c r="TLR19" s="72"/>
      <c r="TLS19" s="72"/>
      <c r="TLT19" s="72"/>
      <c r="TLU19" s="72"/>
      <c r="TLV19" s="72"/>
      <c r="TLW19" s="72"/>
      <c r="TLX19" s="72"/>
      <c r="TLY19" s="72"/>
      <c r="TLZ19" s="72"/>
      <c r="TMA19" s="72"/>
      <c r="TMB19" s="72"/>
      <c r="TMC19" s="72"/>
      <c r="TMD19" s="72"/>
      <c r="TME19" s="72"/>
      <c r="TMF19" s="72"/>
      <c r="TMG19" s="72"/>
      <c r="TMH19" s="72"/>
      <c r="TMI19" s="72"/>
      <c r="TMJ19" s="72"/>
      <c r="TMK19" s="72"/>
      <c r="TML19" s="72"/>
      <c r="TMM19" s="72"/>
      <c r="TMN19" s="72"/>
      <c r="TMO19" s="72"/>
      <c r="TMP19" s="72"/>
      <c r="TMQ19" s="72"/>
      <c r="TMR19" s="72"/>
      <c r="TMS19" s="72"/>
      <c r="TMT19" s="72"/>
      <c r="TMU19" s="72"/>
      <c r="TMV19" s="72"/>
      <c r="TMW19" s="72"/>
      <c r="TMX19" s="72"/>
      <c r="TMY19" s="72"/>
      <c r="TMZ19" s="72"/>
      <c r="TNA19" s="72"/>
      <c r="TNB19" s="72"/>
      <c r="TNC19" s="72"/>
      <c r="TND19" s="72"/>
      <c r="TNE19" s="72"/>
      <c r="TNF19" s="72"/>
      <c r="TNG19" s="72"/>
      <c r="TNH19" s="72"/>
      <c r="TNI19" s="72"/>
      <c r="TNJ19" s="72"/>
      <c r="TNK19" s="72"/>
      <c r="TNL19" s="72"/>
      <c r="TNM19" s="72"/>
      <c r="TNN19" s="72"/>
      <c r="TNO19" s="72"/>
      <c r="TNP19" s="72"/>
      <c r="TNQ19" s="72"/>
      <c r="TNR19" s="72"/>
      <c r="TNS19" s="72"/>
      <c r="TNT19" s="72"/>
      <c r="TNU19" s="72"/>
      <c r="TNV19" s="72"/>
      <c r="TNW19" s="72"/>
      <c r="TNX19" s="72"/>
      <c r="TNY19" s="72"/>
      <c r="TNZ19" s="72"/>
      <c r="TOA19" s="72"/>
      <c r="TOB19" s="72"/>
      <c r="TOC19" s="72"/>
      <c r="TOD19" s="72"/>
      <c r="TOE19" s="72"/>
      <c r="TOF19" s="72"/>
      <c r="TOG19" s="72"/>
      <c r="TOH19" s="72"/>
      <c r="TOI19" s="72"/>
      <c r="TOJ19" s="72"/>
      <c r="TOK19" s="72"/>
      <c r="TOL19" s="72"/>
      <c r="TOM19" s="72"/>
      <c r="TON19" s="72"/>
      <c r="TOO19" s="72"/>
      <c r="TOP19" s="72"/>
      <c r="TOQ19" s="72"/>
      <c r="TOR19" s="72"/>
      <c r="TOS19" s="72"/>
      <c r="TOT19" s="72"/>
      <c r="TOU19" s="72"/>
      <c r="TOV19" s="72"/>
      <c r="TOW19" s="72"/>
      <c r="TOX19" s="72"/>
      <c r="TOY19" s="72"/>
      <c r="TOZ19" s="72"/>
      <c r="TPA19" s="72"/>
      <c r="TPB19" s="72"/>
      <c r="TPC19" s="72"/>
      <c r="TPD19" s="72"/>
      <c r="TPE19" s="72"/>
      <c r="TPF19" s="72"/>
      <c r="TPG19" s="72"/>
      <c r="TPH19" s="72"/>
      <c r="TPI19" s="72"/>
      <c r="TPJ19" s="72"/>
      <c r="TPK19" s="72"/>
      <c r="TPL19" s="72"/>
      <c r="TPM19" s="72"/>
      <c r="TPN19" s="72"/>
      <c r="TPO19" s="72"/>
      <c r="TPP19" s="72"/>
      <c r="TPQ19" s="72"/>
      <c r="TPR19" s="72"/>
      <c r="TPS19" s="72"/>
      <c r="TPT19" s="72"/>
      <c r="TPU19" s="72"/>
      <c r="TPV19" s="72"/>
      <c r="TPW19" s="72"/>
      <c r="TPX19" s="72"/>
      <c r="TPY19" s="72"/>
      <c r="TPZ19" s="72"/>
      <c r="TQA19" s="72"/>
      <c r="TQB19" s="72"/>
      <c r="TQC19" s="72"/>
      <c r="TQD19" s="72"/>
      <c r="TQE19" s="72"/>
      <c r="TQF19" s="72"/>
      <c r="TQG19" s="72"/>
      <c r="TQH19" s="72"/>
      <c r="TQI19" s="72"/>
      <c r="TQJ19" s="72"/>
      <c r="TQK19" s="72"/>
      <c r="TQL19" s="72"/>
      <c r="TQM19" s="72"/>
      <c r="TQN19" s="72"/>
      <c r="TQO19" s="72"/>
      <c r="TQP19" s="72"/>
      <c r="TQQ19" s="72"/>
      <c r="TQR19" s="72"/>
      <c r="TQS19" s="72"/>
      <c r="TQT19" s="72"/>
      <c r="TQU19" s="72"/>
      <c r="TQV19" s="72"/>
      <c r="TQW19" s="72"/>
      <c r="TQX19" s="72"/>
      <c r="TQY19" s="72"/>
      <c r="TQZ19" s="72"/>
      <c r="TRA19" s="72"/>
      <c r="TRB19" s="72"/>
      <c r="TRC19" s="72"/>
      <c r="TRD19" s="72"/>
      <c r="TRE19" s="72"/>
      <c r="TRF19" s="72"/>
      <c r="TRG19" s="72"/>
      <c r="TRH19" s="72"/>
      <c r="TRI19" s="72"/>
      <c r="TRJ19" s="72"/>
      <c r="TRK19" s="72"/>
      <c r="TRL19" s="72"/>
      <c r="TRM19" s="72"/>
      <c r="TRN19" s="72"/>
      <c r="TRO19" s="72"/>
      <c r="TRP19" s="72"/>
      <c r="TRQ19" s="72"/>
      <c r="TRR19" s="72"/>
      <c r="TRS19" s="72"/>
      <c r="TRT19" s="72"/>
      <c r="TRU19" s="72"/>
      <c r="TRV19" s="72"/>
      <c r="TRW19" s="72"/>
      <c r="TRX19" s="72"/>
      <c r="TRY19" s="72"/>
      <c r="TRZ19" s="72"/>
      <c r="TSA19" s="72"/>
      <c r="TSB19" s="72"/>
      <c r="TSC19" s="72"/>
      <c r="TSD19" s="72"/>
      <c r="TSE19" s="72"/>
      <c r="TSF19" s="72"/>
      <c r="TSG19" s="72"/>
      <c r="TSH19" s="72"/>
      <c r="TSI19" s="72"/>
      <c r="TSJ19" s="72"/>
      <c r="TSK19" s="72"/>
      <c r="TSL19" s="72"/>
      <c r="TSM19" s="72"/>
      <c r="TSN19" s="72"/>
      <c r="TSO19" s="72"/>
      <c r="TSP19" s="72"/>
      <c r="TSQ19" s="72"/>
      <c r="TSR19" s="72"/>
      <c r="TSS19" s="72"/>
      <c r="TST19" s="72"/>
      <c r="TSU19" s="72"/>
      <c r="TSV19" s="72"/>
      <c r="TSW19" s="72"/>
      <c r="TSX19" s="72"/>
      <c r="TSY19" s="72"/>
      <c r="TSZ19" s="72"/>
      <c r="TTA19" s="72"/>
      <c r="TTB19" s="72"/>
      <c r="TTC19" s="72"/>
      <c r="TTD19" s="72"/>
      <c r="TTE19" s="72"/>
      <c r="TTF19" s="72"/>
      <c r="TTG19" s="72"/>
      <c r="TTH19" s="72"/>
      <c r="TTI19" s="72"/>
      <c r="TTJ19" s="72"/>
      <c r="TTK19" s="72"/>
      <c r="TTL19" s="72"/>
      <c r="TTM19" s="72"/>
      <c r="TTN19" s="72"/>
      <c r="TTO19" s="72"/>
      <c r="TTP19" s="72"/>
      <c r="TTQ19" s="72"/>
      <c r="TTR19" s="72"/>
      <c r="TTS19" s="72"/>
      <c r="TTT19" s="72"/>
      <c r="TTU19" s="72"/>
      <c r="TTV19" s="72"/>
      <c r="TTW19" s="72"/>
      <c r="TTX19" s="72"/>
      <c r="TTY19" s="72"/>
      <c r="TTZ19" s="72"/>
      <c r="TUA19" s="72"/>
      <c r="TUB19" s="72"/>
      <c r="TUC19" s="72"/>
      <c r="TUD19" s="72"/>
      <c r="TUE19" s="72"/>
      <c r="TUF19" s="72"/>
      <c r="TUG19" s="72"/>
      <c r="TUH19" s="72"/>
      <c r="TUI19" s="72"/>
      <c r="TUJ19" s="72"/>
      <c r="TUK19" s="72"/>
      <c r="TUL19" s="72"/>
      <c r="TUM19" s="72"/>
      <c r="TUN19" s="72"/>
      <c r="TUO19" s="72"/>
      <c r="TUP19" s="72"/>
      <c r="TUQ19" s="72"/>
      <c r="TUR19" s="72"/>
      <c r="TUS19" s="72"/>
      <c r="TUT19" s="72"/>
      <c r="TUU19" s="72"/>
      <c r="TUV19" s="72"/>
      <c r="TUW19" s="72"/>
      <c r="TUX19" s="72"/>
      <c r="TUY19" s="72"/>
      <c r="TUZ19" s="72"/>
      <c r="TVA19" s="72"/>
      <c r="TVB19" s="72"/>
      <c r="TVC19" s="72"/>
      <c r="TVD19" s="72"/>
      <c r="TVE19" s="72"/>
      <c r="TVF19" s="72"/>
      <c r="TVG19" s="72"/>
      <c r="TVH19" s="72"/>
      <c r="TVI19" s="72"/>
      <c r="TVJ19" s="72"/>
      <c r="TVK19" s="72"/>
      <c r="TVL19" s="72"/>
      <c r="TVM19" s="72"/>
      <c r="TVN19" s="72"/>
      <c r="TVO19" s="72"/>
      <c r="TVP19" s="72"/>
      <c r="TVQ19" s="72"/>
      <c r="TVR19" s="72"/>
      <c r="TVS19" s="72"/>
      <c r="TVT19" s="72"/>
      <c r="TVU19" s="72"/>
      <c r="TVV19" s="72"/>
      <c r="TVW19" s="72"/>
      <c r="TVX19" s="72"/>
      <c r="TVY19" s="72"/>
      <c r="TVZ19" s="72"/>
      <c r="TWA19" s="72"/>
      <c r="TWB19" s="72"/>
      <c r="TWC19" s="72"/>
      <c r="TWD19" s="72"/>
      <c r="TWE19" s="72"/>
      <c r="TWF19" s="72"/>
      <c r="TWG19" s="72"/>
      <c r="TWH19" s="72"/>
      <c r="TWI19" s="72"/>
      <c r="TWJ19" s="72"/>
      <c r="TWK19" s="72"/>
      <c r="TWL19" s="72"/>
      <c r="TWM19" s="72"/>
      <c r="TWN19" s="72"/>
      <c r="TWO19" s="72"/>
      <c r="TWP19" s="72"/>
      <c r="TWQ19" s="72"/>
      <c r="TWR19" s="72"/>
      <c r="TWS19" s="72"/>
      <c r="TWT19" s="72"/>
      <c r="TWU19" s="72"/>
      <c r="TWV19" s="72"/>
      <c r="TWW19" s="72"/>
      <c r="TWX19" s="72"/>
      <c r="TWY19" s="72"/>
      <c r="TWZ19" s="72"/>
      <c r="TXA19" s="72"/>
      <c r="TXB19" s="72"/>
      <c r="TXC19" s="72"/>
      <c r="TXD19" s="72"/>
      <c r="TXE19" s="72"/>
      <c r="TXF19" s="72"/>
      <c r="TXG19" s="72"/>
      <c r="TXH19" s="72"/>
      <c r="TXI19" s="72"/>
      <c r="TXJ19" s="72"/>
      <c r="TXK19" s="72"/>
      <c r="TXL19" s="72"/>
      <c r="TXM19" s="72"/>
      <c r="TXN19" s="72"/>
      <c r="TXO19" s="72"/>
      <c r="TXP19" s="72"/>
      <c r="TXQ19" s="72"/>
      <c r="TXR19" s="72"/>
      <c r="TXS19" s="72"/>
      <c r="TXT19" s="72"/>
      <c r="TXU19" s="72"/>
      <c r="TXV19" s="72"/>
      <c r="TXW19" s="72"/>
      <c r="TXX19" s="72"/>
      <c r="TXY19" s="72"/>
      <c r="TXZ19" s="72"/>
      <c r="TYA19" s="72"/>
      <c r="TYB19" s="72"/>
      <c r="TYC19" s="72"/>
      <c r="TYD19" s="72"/>
      <c r="TYE19" s="72"/>
      <c r="TYF19" s="72"/>
      <c r="TYG19" s="72"/>
      <c r="TYH19" s="72"/>
      <c r="TYI19" s="72"/>
      <c r="TYJ19" s="72"/>
      <c r="TYK19" s="72"/>
      <c r="TYL19" s="72"/>
      <c r="TYM19" s="72"/>
      <c r="TYN19" s="72"/>
      <c r="TYO19" s="72"/>
      <c r="TYP19" s="72"/>
      <c r="TYQ19" s="72"/>
      <c r="TYR19" s="72"/>
      <c r="TYS19" s="72"/>
      <c r="TYT19" s="72"/>
      <c r="TYU19" s="72"/>
      <c r="TYV19" s="72"/>
      <c r="TYW19" s="72"/>
      <c r="TYX19" s="72"/>
      <c r="TYY19" s="72"/>
      <c r="TYZ19" s="72"/>
      <c r="TZA19" s="72"/>
      <c r="TZB19" s="72"/>
      <c r="TZC19" s="72"/>
      <c r="TZD19" s="72"/>
      <c r="TZE19" s="72"/>
      <c r="TZF19" s="72"/>
      <c r="TZG19" s="72"/>
      <c r="TZH19" s="72"/>
      <c r="TZI19" s="72"/>
      <c r="TZJ19" s="72"/>
      <c r="TZK19" s="72"/>
      <c r="TZL19" s="72"/>
      <c r="TZM19" s="72"/>
      <c r="TZN19" s="72"/>
      <c r="TZO19" s="72"/>
      <c r="TZP19" s="72"/>
      <c r="TZQ19" s="72"/>
      <c r="TZR19" s="72"/>
      <c r="TZS19" s="72"/>
      <c r="TZT19" s="72"/>
      <c r="TZU19" s="72"/>
      <c r="TZV19" s="72"/>
      <c r="TZW19" s="72"/>
      <c r="TZX19" s="72"/>
      <c r="TZY19" s="72"/>
      <c r="TZZ19" s="72"/>
      <c r="UAA19" s="72"/>
      <c r="UAB19" s="72"/>
      <c r="UAC19" s="72"/>
      <c r="UAD19" s="72"/>
      <c r="UAE19" s="72"/>
      <c r="UAF19" s="72"/>
      <c r="UAG19" s="72"/>
      <c r="UAH19" s="72"/>
      <c r="UAI19" s="72"/>
      <c r="UAJ19" s="72"/>
      <c r="UAK19" s="72"/>
      <c r="UAL19" s="72"/>
      <c r="UAM19" s="72"/>
      <c r="UAN19" s="72"/>
      <c r="UAO19" s="72"/>
      <c r="UAP19" s="72"/>
      <c r="UAQ19" s="72"/>
      <c r="UAR19" s="72"/>
      <c r="UAS19" s="72"/>
      <c r="UAT19" s="72"/>
      <c r="UAU19" s="72"/>
      <c r="UAV19" s="72"/>
      <c r="UAW19" s="72"/>
      <c r="UAX19" s="72"/>
      <c r="UAY19" s="72"/>
      <c r="UAZ19" s="72"/>
      <c r="UBA19" s="72"/>
      <c r="UBB19" s="72"/>
      <c r="UBC19" s="72"/>
      <c r="UBD19" s="72"/>
      <c r="UBE19" s="72"/>
      <c r="UBF19" s="72"/>
      <c r="UBG19" s="72"/>
      <c r="UBH19" s="72"/>
      <c r="UBI19" s="72"/>
      <c r="UBJ19" s="72"/>
      <c r="UBK19" s="72"/>
      <c r="UBL19" s="72"/>
      <c r="UBM19" s="72"/>
      <c r="UBN19" s="72"/>
      <c r="UBO19" s="72"/>
      <c r="UBP19" s="72"/>
      <c r="UBQ19" s="72"/>
      <c r="UBR19" s="72"/>
      <c r="UBS19" s="72"/>
      <c r="UBT19" s="72"/>
      <c r="UBU19" s="72"/>
      <c r="UBV19" s="72"/>
      <c r="UBW19" s="72"/>
      <c r="UBX19" s="72"/>
      <c r="UBY19" s="72"/>
      <c r="UBZ19" s="72"/>
      <c r="UCA19" s="72"/>
      <c r="UCB19" s="72"/>
      <c r="UCC19" s="72"/>
      <c r="UCD19" s="72"/>
      <c r="UCE19" s="72"/>
      <c r="UCF19" s="72"/>
      <c r="UCG19" s="72"/>
      <c r="UCH19" s="72"/>
      <c r="UCI19" s="72"/>
      <c r="UCJ19" s="72"/>
      <c r="UCK19" s="72"/>
      <c r="UCL19" s="72"/>
      <c r="UCM19" s="72"/>
      <c r="UCN19" s="72"/>
      <c r="UCO19" s="72"/>
      <c r="UCP19" s="72"/>
      <c r="UCQ19" s="72"/>
      <c r="UCR19" s="72"/>
      <c r="UCS19" s="72"/>
      <c r="UCT19" s="72"/>
      <c r="UCU19" s="72"/>
      <c r="UCV19" s="72"/>
      <c r="UCW19" s="72"/>
      <c r="UCX19" s="72"/>
      <c r="UCY19" s="72"/>
      <c r="UCZ19" s="72"/>
      <c r="UDA19" s="72"/>
      <c r="UDB19" s="72"/>
      <c r="UDC19" s="72"/>
      <c r="UDD19" s="72"/>
      <c r="UDE19" s="72"/>
      <c r="UDF19" s="72"/>
      <c r="UDG19" s="72"/>
      <c r="UDH19" s="72"/>
      <c r="UDI19" s="72"/>
      <c r="UDJ19" s="72"/>
      <c r="UDK19" s="72"/>
      <c r="UDL19" s="72"/>
      <c r="UDM19" s="72"/>
      <c r="UDN19" s="72"/>
      <c r="UDO19" s="72"/>
      <c r="UDP19" s="72"/>
      <c r="UDQ19" s="72"/>
      <c r="UDR19" s="72"/>
      <c r="UDS19" s="72"/>
      <c r="UDT19" s="72"/>
      <c r="UDU19" s="72"/>
      <c r="UDV19" s="72"/>
      <c r="UDW19" s="72"/>
      <c r="UDX19" s="72"/>
      <c r="UDY19" s="72"/>
      <c r="UDZ19" s="72"/>
      <c r="UEA19" s="72"/>
      <c r="UEB19" s="72"/>
      <c r="UEC19" s="72"/>
      <c r="UED19" s="72"/>
      <c r="UEE19" s="72"/>
      <c r="UEF19" s="72"/>
      <c r="UEG19" s="72"/>
      <c r="UEH19" s="72"/>
      <c r="UEI19" s="72"/>
      <c r="UEJ19" s="72"/>
      <c r="UEK19" s="72"/>
      <c r="UEL19" s="72"/>
      <c r="UEM19" s="72"/>
      <c r="UEN19" s="72"/>
      <c r="UEO19" s="72"/>
      <c r="UEP19" s="72"/>
      <c r="UEQ19" s="72"/>
      <c r="UER19" s="72"/>
      <c r="UES19" s="72"/>
      <c r="UET19" s="72"/>
      <c r="UEU19" s="72"/>
      <c r="UEV19" s="72"/>
      <c r="UEW19" s="72"/>
      <c r="UEX19" s="72"/>
      <c r="UEY19" s="72"/>
      <c r="UEZ19" s="72"/>
      <c r="UFA19" s="72"/>
      <c r="UFB19" s="72"/>
      <c r="UFC19" s="72"/>
      <c r="UFD19" s="72"/>
      <c r="UFE19" s="72"/>
      <c r="UFF19" s="72"/>
      <c r="UFG19" s="72"/>
      <c r="UFH19" s="72"/>
      <c r="UFI19" s="72"/>
      <c r="UFJ19" s="72"/>
      <c r="UFK19" s="72"/>
      <c r="UFL19" s="72"/>
      <c r="UFM19" s="72"/>
      <c r="UFN19" s="72"/>
      <c r="UFO19" s="72"/>
      <c r="UFP19" s="72"/>
      <c r="UFQ19" s="72"/>
      <c r="UFR19" s="72"/>
      <c r="UFS19" s="72"/>
      <c r="UFT19" s="72"/>
      <c r="UFU19" s="72"/>
      <c r="UFV19" s="72"/>
      <c r="UFW19" s="72"/>
      <c r="UFX19" s="72"/>
      <c r="UFY19" s="72"/>
      <c r="UFZ19" s="72"/>
      <c r="UGA19" s="72"/>
      <c r="UGB19" s="72"/>
      <c r="UGC19" s="72"/>
      <c r="UGD19" s="72"/>
      <c r="UGE19" s="72"/>
      <c r="UGF19" s="72"/>
      <c r="UGG19" s="72"/>
      <c r="UGH19" s="72"/>
      <c r="UGI19" s="72"/>
      <c r="UGJ19" s="72"/>
      <c r="UGK19" s="72"/>
      <c r="UGL19" s="72"/>
      <c r="UGM19" s="72"/>
      <c r="UGN19" s="72"/>
      <c r="UGO19" s="72"/>
      <c r="UGP19" s="72"/>
      <c r="UGQ19" s="72"/>
      <c r="UGR19" s="72"/>
      <c r="UGS19" s="72"/>
      <c r="UGT19" s="72"/>
      <c r="UGU19" s="72"/>
      <c r="UGV19" s="72"/>
      <c r="UGW19" s="72"/>
      <c r="UGX19" s="72"/>
      <c r="UGY19" s="72"/>
      <c r="UGZ19" s="72"/>
      <c r="UHA19" s="72"/>
      <c r="UHB19" s="72"/>
      <c r="UHC19" s="72"/>
      <c r="UHD19" s="72"/>
      <c r="UHE19" s="72"/>
      <c r="UHF19" s="72"/>
      <c r="UHG19" s="72"/>
      <c r="UHH19" s="72"/>
      <c r="UHI19" s="72"/>
      <c r="UHJ19" s="72"/>
      <c r="UHK19" s="72"/>
      <c r="UHL19" s="72"/>
      <c r="UHM19" s="72"/>
      <c r="UHN19" s="72"/>
      <c r="UHO19" s="72"/>
      <c r="UHP19" s="72"/>
      <c r="UHQ19" s="72"/>
      <c r="UHR19" s="72"/>
      <c r="UHS19" s="72"/>
      <c r="UHT19" s="72"/>
      <c r="UHU19" s="72"/>
      <c r="UHV19" s="72"/>
      <c r="UHW19" s="72"/>
      <c r="UHX19" s="72"/>
      <c r="UHY19" s="72"/>
      <c r="UHZ19" s="72"/>
      <c r="UIA19" s="72"/>
      <c r="UIB19" s="72"/>
      <c r="UIC19" s="72"/>
      <c r="UID19" s="72"/>
      <c r="UIE19" s="72"/>
      <c r="UIF19" s="72"/>
      <c r="UIG19" s="72"/>
      <c r="UIH19" s="72"/>
      <c r="UII19" s="72"/>
      <c r="UIJ19" s="72"/>
      <c r="UIK19" s="72"/>
      <c r="UIL19" s="72"/>
      <c r="UIM19" s="72"/>
      <c r="UIN19" s="72"/>
      <c r="UIO19" s="72"/>
      <c r="UIP19" s="72"/>
      <c r="UIQ19" s="72"/>
      <c r="UIR19" s="72"/>
      <c r="UIS19" s="72"/>
      <c r="UIT19" s="72"/>
      <c r="UIU19" s="72"/>
      <c r="UIV19" s="72"/>
      <c r="UIW19" s="72"/>
      <c r="UIX19" s="72"/>
      <c r="UIY19" s="72"/>
      <c r="UIZ19" s="72"/>
      <c r="UJA19" s="72"/>
      <c r="UJB19" s="72"/>
      <c r="UJC19" s="72"/>
      <c r="UJD19" s="72"/>
      <c r="UJE19" s="72"/>
      <c r="UJF19" s="72"/>
      <c r="UJG19" s="72"/>
      <c r="UJH19" s="72"/>
      <c r="UJI19" s="72"/>
      <c r="UJJ19" s="72"/>
      <c r="UJK19" s="72"/>
      <c r="UJL19" s="72"/>
      <c r="UJM19" s="72"/>
      <c r="UJN19" s="72"/>
      <c r="UJO19" s="72"/>
      <c r="UJP19" s="72"/>
      <c r="UJQ19" s="72"/>
      <c r="UJR19" s="72"/>
      <c r="UJS19" s="72"/>
      <c r="UJT19" s="72"/>
      <c r="UJU19" s="72"/>
      <c r="UJV19" s="72"/>
      <c r="UJW19" s="72"/>
      <c r="UJX19" s="72"/>
      <c r="UJY19" s="72"/>
      <c r="UJZ19" s="72"/>
      <c r="UKA19" s="72"/>
      <c r="UKB19" s="72"/>
      <c r="UKC19" s="72"/>
      <c r="UKD19" s="72"/>
      <c r="UKE19" s="72"/>
      <c r="UKF19" s="72"/>
      <c r="UKG19" s="72"/>
      <c r="UKH19" s="72"/>
      <c r="UKI19" s="72"/>
      <c r="UKJ19" s="72"/>
      <c r="UKK19" s="72"/>
      <c r="UKL19" s="72"/>
      <c r="UKM19" s="72"/>
      <c r="UKN19" s="72"/>
      <c r="UKO19" s="72"/>
      <c r="UKP19" s="72"/>
      <c r="UKQ19" s="72"/>
      <c r="UKR19" s="72"/>
      <c r="UKS19" s="72"/>
      <c r="UKT19" s="72"/>
      <c r="UKU19" s="72"/>
      <c r="UKV19" s="72"/>
      <c r="UKW19" s="72"/>
      <c r="UKX19" s="72"/>
      <c r="UKY19" s="72"/>
      <c r="UKZ19" s="72"/>
      <c r="ULA19" s="72"/>
      <c r="ULB19" s="72"/>
      <c r="ULC19" s="72"/>
      <c r="ULD19" s="72"/>
      <c r="ULE19" s="72"/>
      <c r="ULF19" s="72"/>
      <c r="ULG19" s="72"/>
      <c r="ULH19" s="72"/>
      <c r="ULI19" s="72"/>
      <c r="ULJ19" s="72"/>
      <c r="ULK19" s="72"/>
      <c r="ULL19" s="72"/>
      <c r="ULM19" s="72"/>
      <c r="ULN19" s="72"/>
      <c r="ULO19" s="72"/>
      <c r="ULP19" s="72"/>
      <c r="ULQ19" s="72"/>
      <c r="ULR19" s="72"/>
      <c r="ULS19" s="72"/>
      <c r="ULT19" s="72"/>
      <c r="ULU19" s="72"/>
      <c r="ULV19" s="72"/>
      <c r="ULW19" s="72"/>
      <c r="ULX19" s="72"/>
      <c r="ULY19" s="72"/>
      <c r="ULZ19" s="72"/>
      <c r="UMA19" s="72"/>
      <c r="UMB19" s="72"/>
      <c r="UMC19" s="72"/>
      <c r="UMD19" s="72"/>
      <c r="UME19" s="72"/>
      <c r="UMF19" s="72"/>
      <c r="UMG19" s="72"/>
      <c r="UMH19" s="72"/>
      <c r="UMI19" s="72"/>
      <c r="UMJ19" s="72"/>
      <c r="UMK19" s="72"/>
      <c r="UML19" s="72"/>
      <c r="UMM19" s="72"/>
      <c r="UMN19" s="72"/>
      <c r="UMO19" s="72"/>
      <c r="UMP19" s="72"/>
      <c r="UMQ19" s="72"/>
      <c r="UMR19" s="72"/>
      <c r="UMS19" s="72"/>
      <c r="UMT19" s="72"/>
      <c r="UMU19" s="72"/>
      <c r="UMV19" s="72"/>
      <c r="UMW19" s="72"/>
      <c r="UMX19" s="72"/>
      <c r="UMY19" s="72"/>
      <c r="UMZ19" s="72"/>
      <c r="UNA19" s="72"/>
      <c r="UNB19" s="72"/>
      <c r="UNC19" s="72"/>
      <c r="UND19" s="72"/>
      <c r="UNE19" s="72"/>
      <c r="UNF19" s="72"/>
      <c r="UNG19" s="72"/>
      <c r="UNH19" s="72"/>
      <c r="UNI19" s="72"/>
      <c r="UNJ19" s="72"/>
      <c r="UNK19" s="72"/>
      <c r="UNL19" s="72"/>
      <c r="UNM19" s="72"/>
      <c r="UNN19" s="72"/>
      <c r="UNO19" s="72"/>
      <c r="UNP19" s="72"/>
      <c r="UNQ19" s="72"/>
      <c r="UNR19" s="72"/>
      <c r="UNS19" s="72"/>
      <c r="UNT19" s="72"/>
      <c r="UNU19" s="72"/>
      <c r="UNV19" s="72"/>
      <c r="UNW19" s="72"/>
      <c r="UNX19" s="72"/>
      <c r="UNY19" s="72"/>
      <c r="UNZ19" s="72"/>
      <c r="UOA19" s="72"/>
      <c r="UOB19" s="72"/>
      <c r="UOC19" s="72"/>
      <c r="UOD19" s="72"/>
      <c r="UOE19" s="72"/>
      <c r="UOF19" s="72"/>
      <c r="UOG19" s="72"/>
      <c r="UOH19" s="72"/>
      <c r="UOI19" s="72"/>
      <c r="UOJ19" s="72"/>
      <c r="UOK19" s="72"/>
      <c r="UOL19" s="72"/>
      <c r="UOM19" s="72"/>
      <c r="UON19" s="72"/>
      <c r="UOO19" s="72"/>
      <c r="UOP19" s="72"/>
      <c r="UOQ19" s="72"/>
      <c r="UOR19" s="72"/>
      <c r="UOS19" s="72"/>
      <c r="UOT19" s="72"/>
      <c r="UOU19" s="72"/>
      <c r="UOV19" s="72"/>
      <c r="UOW19" s="72"/>
      <c r="UOX19" s="72"/>
      <c r="UOY19" s="72"/>
      <c r="UOZ19" s="72"/>
      <c r="UPA19" s="72"/>
      <c r="UPB19" s="72"/>
      <c r="UPC19" s="72"/>
      <c r="UPD19" s="72"/>
      <c r="UPE19" s="72"/>
      <c r="UPF19" s="72"/>
      <c r="UPG19" s="72"/>
      <c r="UPH19" s="72"/>
      <c r="UPI19" s="72"/>
      <c r="UPJ19" s="72"/>
      <c r="UPK19" s="72"/>
      <c r="UPL19" s="72"/>
      <c r="UPM19" s="72"/>
      <c r="UPN19" s="72"/>
      <c r="UPO19" s="72"/>
      <c r="UPP19" s="72"/>
      <c r="UPQ19" s="72"/>
      <c r="UPR19" s="72"/>
      <c r="UPS19" s="72"/>
      <c r="UPT19" s="72"/>
      <c r="UPU19" s="72"/>
      <c r="UPV19" s="72"/>
      <c r="UPW19" s="72"/>
      <c r="UPX19" s="72"/>
      <c r="UPY19" s="72"/>
      <c r="UPZ19" s="72"/>
      <c r="UQA19" s="72"/>
      <c r="UQB19" s="72"/>
      <c r="UQC19" s="72"/>
      <c r="UQD19" s="72"/>
      <c r="UQE19" s="72"/>
      <c r="UQF19" s="72"/>
      <c r="UQG19" s="72"/>
      <c r="UQH19" s="72"/>
      <c r="UQI19" s="72"/>
      <c r="UQJ19" s="72"/>
      <c r="UQK19" s="72"/>
      <c r="UQL19" s="72"/>
      <c r="UQM19" s="72"/>
      <c r="UQN19" s="72"/>
      <c r="UQO19" s="72"/>
      <c r="UQP19" s="72"/>
      <c r="UQQ19" s="72"/>
      <c r="UQR19" s="72"/>
      <c r="UQS19" s="72"/>
      <c r="UQT19" s="72"/>
      <c r="UQU19" s="72"/>
      <c r="UQV19" s="72"/>
      <c r="UQW19" s="72"/>
      <c r="UQX19" s="72"/>
      <c r="UQY19" s="72"/>
      <c r="UQZ19" s="72"/>
      <c r="URA19" s="72"/>
      <c r="URB19" s="72"/>
      <c r="URC19" s="72"/>
      <c r="URD19" s="72"/>
      <c r="URE19" s="72"/>
      <c r="URF19" s="72"/>
      <c r="URG19" s="72"/>
      <c r="URH19" s="72"/>
      <c r="URI19" s="72"/>
      <c r="URJ19" s="72"/>
      <c r="URK19" s="72"/>
      <c r="URL19" s="72"/>
      <c r="URM19" s="72"/>
      <c r="URN19" s="72"/>
      <c r="URO19" s="72"/>
      <c r="URP19" s="72"/>
      <c r="URQ19" s="72"/>
      <c r="URR19" s="72"/>
      <c r="URS19" s="72"/>
      <c r="URT19" s="72"/>
      <c r="URU19" s="72"/>
      <c r="URV19" s="72"/>
      <c r="URW19" s="72"/>
      <c r="URX19" s="72"/>
      <c r="URY19" s="72"/>
      <c r="URZ19" s="72"/>
      <c r="USA19" s="72"/>
      <c r="USB19" s="72"/>
      <c r="USC19" s="72"/>
      <c r="USD19" s="72"/>
      <c r="USE19" s="72"/>
      <c r="USF19" s="72"/>
      <c r="USG19" s="72"/>
      <c r="USH19" s="72"/>
      <c r="USI19" s="72"/>
      <c r="USJ19" s="72"/>
      <c r="USK19" s="72"/>
      <c r="USL19" s="72"/>
      <c r="USM19" s="72"/>
      <c r="USN19" s="72"/>
      <c r="USO19" s="72"/>
      <c r="USP19" s="72"/>
      <c r="USQ19" s="72"/>
      <c r="USR19" s="72"/>
      <c r="USS19" s="72"/>
      <c r="UST19" s="72"/>
      <c r="USU19" s="72"/>
      <c r="USV19" s="72"/>
      <c r="USW19" s="72"/>
      <c r="USX19" s="72"/>
      <c r="USY19" s="72"/>
      <c r="USZ19" s="72"/>
      <c r="UTA19" s="72"/>
      <c r="UTB19" s="72"/>
      <c r="UTC19" s="72"/>
      <c r="UTD19" s="72"/>
      <c r="UTE19" s="72"/>
      <c r="UTF19" s="72"/>
      <c r="UTG19" s="72"/>
      <c r="UTH19" s="72"/>
      <c r="UTI19" s="72"/>
      <c r="UTJ19" s="72"/>
      <c r="UTK19" s="72"/>
      <c r="UTL19" s="72"/>
      <c r="UTM19" s="72"/>
      <c r="UTN19" s="72"/>
      <c r="UTO19" s="72"/>
      <c r="UTP19" s="72"/>
      <c r="UTQ19" s="72"/>
      <c r="UTR19" s="72"/>
      <c r="UTS19" s="72"/>
      <c r="UTT19" s="72"/>
      <c r="UTU19" s="72"/>
      <c r="UTV19" s="72"/>
      <c r="UTW19" s="72"/>
      <c r="UTX19" s="72"/>
      <c r="UTY19" s="72"/>
      <c r="UTZ19" s="72"/>
      <c r="UUA19" s="72"/>
      <c r="UUB19" s="72"/>
      <c r="UUC19" s="72"/>
      <c r="UUD19" s="72"/>
      <c r="UUE19" s="72"/>
      <c r="UUF19" s="72"/>
      <c r="UUG19" s="72"/>
      <c r="UUH19" s="72"/>
      <c r="UUI19" s="72"/>
      <c r="UUJ19" s="72"/>
      <c r="UUK19" s="72"/>
      <c r="UUL19" s="72"/>
      <c r="UUM19" s="72"/>
      <c r="UUN19" s="72"/>
      <c r="UUO19" s="72"/>
      <c r="UUP19" s="72"/>
      <c r="UUQ19" s="72"/>
      <c r="UUR19" s="72"/>
      <c r="UUS19" s="72"/>
      <c r="UUT19" s="72"/>
      <c r="UUU19" s="72"/>
      <c r="UUV19" s="72"/>
      <c r="UUW19" s="72"/>
      <c r="UUX19" s="72"/>
      <c r="UUY19" s="72"/>
      <c r="UUZ19" s="72"/>
      <c r="UVA19" s="72"/>
      <c r="UVB19" s="72"/>
      <c r="UVC19" s="72"/>
      <c r="UVD19" s="72"/>
      <c r="UVE19" s="72"/>
      <c r="UVF19" s="72"/>
      <c r="UVG19" s="72"/>
      <c r="UVH19" s="72"/>
      <c r="UVI19" s="72"/>
      <c r="UVJ19" s="72"/>
      <c r="UVK19" s="72"/>
      <c r="UVL19" s="72"/>
      <c r="UVM19" s="72"/>
      <c r="UVN19" s="72"/>
      <c r="UVO19" s="72"/>
      <c r="UVP19" s="72"/>
      <c r="UVQ19" s="72"/>
      <c r="UVR19" s="72"/>
      <c r="UVS19" s="72"/>
      <c r="UVT19" s="72"/>
      <c r="UVU19" s="72"/>
      <c r="UVV19" s="72"/>
      <c r="UVW19" s="72"/>
      <c r="UVX19" s="72"/>
      <c r="UVY19" s="72"/>
      <c r="UVZ19" s="72"/>
      <c r="UWA19" s="72"/>
      <c r="UWB19" s="72"/>
      <c r="UWC19" s="72"/>
      <c r="UWD19" s="72"/>
      <c r="UWE19" s="72"/>
      <c r="UWF19" s="72"/>
      <c r="UWG19" s="72"/>
      <c r="UWH19" s="72"/>
      <c r="UWI19" s="72"/>
      <c r="UWJ19" s="72"/>
      <c r="UWK19" s="72"/>
      <c r="UWL19" s="72"/>
      <c r="UWM19" s="72"/>
      <c r="UWN19" s="72"/>
      <c r="UWO19" s="72"/>
      <c r="UWP19" s="72"/>
      <c r="UWQ19" s="72"/>
      <c r="UWR19" s="72"/>
      <c r="UWS19" s="72"/>
      <c r="UWT19" s="72"/>
      <c r="UWU19" s="72"/>
      <c r="UWV19" s="72"/>
      <c r="UWW19" s="72"/>
      <c r="UWX19" s="72"/>
      <c r="UWY19" s="72"/>
      <c r="UWZ19" s="72"/>
      <c r="UXA19" s="72"/>
      <c r="UXB19" s="72"/>
      <c r="UXC19" s="72"/>
      <c r="UXD19" s="72"/>
      <c r="UXE19" s="72"/>
      <c r="UXF19" s="72"/>
      <c r="UXG19" s="72"/>
      <c r="UXH19" s="72"/>
      <c r="UXI19" s="72"/>
      <c r="UXJ19" s="72"/>
      <c r="UXK19" s="72"/>
      <c r="UXL19" s="72"/>
      <c r="UXM19" s="72"/>
      <c r="UXN19" s="72"/>
      <c r="UXO19" s="72"/>
      <c r="UXP19" s="72"/>
      <c r="UXQ19" s="72"/>
      <c r="UXR19" s="72"/>
      <c r="UXS19" s="72"/>
      <c r="UXT19" s="72"/>
      <c r="UXU19" s="72"/>
      <c r="UXV19" s="72"/>
      <c r="UXW19" s="72"/>
      <c r="UXX19" s="72"/>
      <c r="UXY19" s="72"/>
      <c r="UXZ19" s="72"/>
      <c r="UYA19" s="72"/>
      <c r="UYB19" s="72"/>
      <c r="UYC19" s="72"/>
      <c r="UYD19" s="72"/>
      <c r="UYE19" s="72"/>
      <c r="UYF19" s="72"/>
      <c r="UYG19" s="72"/>
      <c r="UYH19" s="72"/>
      <c r="UYI19" s="72"/>
      <c r="UYJ19" s="72"/>
      <c r="UYK19" s="72"/>
      <c r="UYL19" s="72"/>
      <c r="UYM19" s="72"/>
      <c r="UYN19" s="72"/>
      <c r="UYO19" s="72"/>
      <c r="UYP19" s="72"/>
      <c r="UYQ19" s="72"/>
      <c r="UYR19" s="72"/>
      <c r="UYS19" s="72"/>
      <c r="UYT19" s="72"/>
      <c r="UYU19" s="72"/>
      <c r="UYV19" s="72"/>
      <c r="UYW19" s="72"/>
      <c r="UYX19" s="72"/>
      <c r="UYY19" s="72"/>
      <c r="UYZ19" s="72"/>
      <c r="UZA19" s="72"/>
      <c r="UZB19" s="72"/>
      <c r="UZC19" s="72"/>
      <c r="UZD19" s="72"/>
      <c r="UZE19" s="72"/>
      <c r="UZF19" s="72"/>
      <c r="UZG19" s="72"/>
      <c r="UZH19" s="72"/>
      <c r="UZI19" s="72"/>
      <c r="UZJ19" s="72"/>
      <c r="UZK19" s="72"/>
      <c r="UZL19" s="72"/>
      <c r="UZM19" s="72"/>
      <c r="UZN19" s="72"/>
      <c r="UZO19" s="72"/>
      <c r="UZP19" s="72"/>
      <c r="UZQ19" s="72"/>
      <c r="UZR19" s="72"/>
      <c r="UZS19" s="72"/>
      <c r="UZT19" s="72"/>
      <c r="UZU19" s="72"/>
      <c r="UZV19" s="72"/>
      <c r="UZW19" s="72"/>
      <c r="UZX19" s="72"/>
      <c r="UZY19" s="72"/>
      <c r="UZZ19" s="72"/>
      <c r="VAA19" s="72"/>
      <c r="VAB19" s="72"/>
      <c r="VAC19" s="72"/>
      <c r="VAD19" s="72"/>
      <c r="VAE19" s="72"/>
      <c r="VAF19" s="72"/>
      <c r="VAG19" s="72"/>
      <c r="VAH19" s="72"/>
      <c r="VAI19" s="72"/>
      <c r="VAJ19" s="72"/>
      <c r="VAK19" s="72"/>
      <c r="VAL19" s="72"/>
      <c r="VAM19" s="72"/>
      <c r="VAN19" s="72"/>
      <c r="VAO19" s="72"/>
      <c r="VAP19" s="72"/>
      <c r="VAQ19" s="72"/>
      <c r="VAR19" s="72"/>
      <c r="VAS19" s="72"/>
      <c r="VAT19" s="72"/>
      <c r="VAU19" s="72"/>
      <c r="VAV19" s="72"/>
      <c r="VAW19" s="72"/>
      <c r="VAX19" s="72"/>
      <c r="VAY19" s="72"/>
      <c r="VAZ19" s="72"/>
      <c r="VBA19" s="72"/>
      <c r="VBB19" s="72"/>
      <c r="VBC19" s="72"/>
      <c r="VBD19" s="72"/>
      <c r="VBE19" s="72"/>
      <c r="VBF19" s="72"/>
      <c r="VBG19" s="72"/>
      <c r="VBH19" s="72"/>
      <c r="VBI19" s="72"/>
      <c r="VBJ19" s="72"/>
      <c r="VBK19" s="72"/>
      <c r="VBL19" s="72"/>
      <c r="VBM19" s="72"/>
      <c r="VBN19" s="72"/>
      <c r="VBO19" s="72"/>
      <c r="VBP19" s="72"/>
      <c r="VBQ19" s="72"/>
      <c r="VBR19" s="72"/>
      <c r="VBS19" s="72"/>
      <c r="VBT19" s="72"/>
      <c r="VBU19" s="72"/>
      <c r="VBV19" s="72"/>
      <c r="VBW19" s="72"/>
      <c r="VBX19" s="72"/>
      <c r="VBY19" s="72"/>
      <c r="VBZ19" s="72"/>
      <c r="VCA19" s="72"/>
      <c r="VCB19" s="72"/>
      <c r="VCC19" s="72"/>
      <c r="VCD19" s="72"/>
      <c r="VCE19" s="72"/>
      <c r="VCF19" s="72"/>
      <c r="VCG19" s="72"/>
      <c r="VCH19" s="72"/>
      <c r="VCI19" s="72"/>
      <c r="VCJ19" s="72"/>
      <c r="VCK19" s="72"/>
      <c r="VCL19" s="72"/>
      <c r="VCM19" s="72"/>
      <c r="VCN19" s="72"/>
      <c r="VCO19" s="72"/>
      <c r="VCP19" s="72"/>
      <c r="VCQ19" s="72"/>
      <c r="VCR19" s="72"/>
      <c r="VCS19" s="72"/>
      <c r="VCT19" s="72"/>
      <c r="VCU19" s="72"/>
      <c r="VCV19" s="72"/>
      <c r="VCW19" s="72"/>
      <c r="VCX19" s="72"/>
      <c r="VCY19" s="72"/>
      <c r="VCZ19" s="72"/>
      <c r="VDA19" s="72"/>
      <c r="VDB19" s="72"/>
      <c r="VDC19" s="72"/>
      <c r="VDD19" s="72"/>
      <c r="VDE19" s="72"/>
      <c r="VDF19" s="72"/>
      <c r="VDG19" s="72"/>
      <c r="VDH19" s="72"/>
      <c r="VDI19" s="72"/>
      <c r="VDJ19" s="72"/>
      <c r="VDK19" s="72"/>
      <c r="VDL19" s="72"/>
      <c r="VDM19" s="72"/>
      <c r="VDN19" s="72"/>
      <c r="VDO19" s="72"/>
      <c r="VDP19" s="72"/>
      <c r="VDQ19" s="72"/>
      <c r="VDR19" s="72"/>
      <c r="VDS19" s="72"/>
      <c r="VDT19" s="72"/>
      <c r="VDU19" s="72"/>
      <c r="VDV19" s="72"/>
      <c r="VDW19" s="72"/>
      <c r="VDX19" s="72"/>
      <c r="VDY19" s="72"/>
      <c r="VDZ19" s="72"/>
      <c r="VEA19" s="72"/>
      <c r="VEB19" s="72"/>
      <c r="VEC19" s="72"/>
      <c r="VED19" s="72"/>
      <c r="VEE19" s="72"/>
      <c r="VEF19" s="72"/>
      <c r="VEG19" s="72"/>
      <c r="VEH19" s="72"/>
      <c r="VEI19" s="72"/>
      <c r="VEJ19" s="72"/>
      <c r="VEK19" s="72"/>
      <c r="VEL19" s="72"/>
      <c r="VEM19" s="72"/>
      <c r="VEN19" s="72"/>
      <c r="VEO19" s="72"/>
      <c r="VEP19" s="72"/>
      <c r="VEQ19" s="72"/>
      <c r="VER19" s="72"/>
      <c r="VES19" s="72"/>
      <c r="VET19" s="72"/>
      <c r="VEU19" s="72"/>
      <c r="VEV19" s="72"/>
      <c r="VEW19" s="72"/>
      <c r="VEX19" s="72"/>
      <c r="VEY19" s="72"/>
      <c r="VEZ19" s="72"/>
      <c r="VFA19" s="72"/>
      <c r="VFB19" s="72"/>
      <c r="VFC19" s="72"/>
      <c r="VFD19" s="72"/>
      <c r="VFE19" s="72"/>
      <c r="VFF19" s="72"/>
      <c r="VFG19" s="72"/>
      <c r="VFH19" s="72"/>
      <c r="VFI19" s="72"/>
      <c r="VFJ19" s="72"/>
      <c r="VFK19" s="72"/>
      <c r="VFL19" s="72"/>
      <c r="VFM19" s="72"/>
      <c r="VFN19" s="72"/>
      <c r="VFO19" s="72"/>
      <c r="VFP19" s="72"/>
      <c r="VFQ19" s="72"/>
      <c r="VFR19" s="72"/>
      <c r="VFS19" s="72"/>
      <c r="VFT19" s="72"/>
      <c r="VFU19" s="72"/>
      <c r="VFV19" s="72"/>
      <c r="VFW19" s="72"/>
      <c r="VFX19" s="72"/>
      <c r="VFY19" s="72"/>
      <c r="VFZ19" s="72"/>
      <c r="VGA19" s="72"/>
      <c r="VGB19" s="72"/>
      <c r="VGC19" s="72"/>
      <c r="VGD19" s="72"/>
      <c r="VGE19" s="72"/>
      <c r="VGF19" s="72"/>
      <c r="VGG19" s="72"/>
      <c r="VGH19" s="72"/>
      <c r="VGI19" s="72"/>
      <c r="VGJ19" s="72"/>
      <c r="VGK19" s="72"/>
      <c r="VGL19" s="72"/>
      <c r="VGM19" s="72"/>
      <c r="VGN19" s="72"/>
      <c r="VGO19" s="72"/>
      <c r="VGP19" s="72"/>
      <c r="VGQ19" s="72"/>
      <c r="VGR19" s="72"/>
      <c r="VGS19" s="72"/>
      <c r="VGT19" s="72"/>
      <c r="VGU19" s="72"/>
      <c r="VGV19" s="72"/>
      <c r="VGW19" s="72"/>
      <c r="VGX19" s="72"/>
      <c r="VGY19" s="72"/>
      <c r="VGZ19" s="72"/>
      <c r="VHA19" s="72"/>
      <c r="VHB19" s="72"/>
      <c r="VHC19" s="72"/>
      <c r="VHD19" s="72"/>
      <c r="VHE19" s="72"/>
      <c r="VHF19" s="72"/>
      <c r="VHG19" s="72"/>
      <c r="VHH19" s="72"/>
      <c r="VHI19" s="72"/>
      <c r="VHJ19" s="72"/>
      <c r="VHK19" s="72"/>
      <c r="VHL19" s="72"/>
      <c r="VHM19" s="72"/>
      <c r="VHN19" s="72"/>
      <c r="VHO19" s="72"/>
      <c r="VHP19" s="72"/>
      <c r="VHQ19" s="72"/>
      <c r="VHR19" s="72"/>
      <c r="VHS19" s="72"/>
      <c r="VHT19" s="72"/>
      <c r="VHU19" s="72"/>
      <c r="VHV19" s="72"/>
      <c r="VHW19" s="72"/>
      <c r="VHX19" s="72"/>
      <c r="VHY19" s="72"/>
      <c r="VHZ19" s="72"/>
      <c r="VIA19" s="72"/>
      <c r="VIB19" s="72"/>
      <c r="VIC19" s="72"/>
      <c r="VID19" s="72"/>
      <c r="VIE19" s="72"/>
      <c r="VIF19" s="72"/>
      <c r="VIG19" s="72"/>
      <c r="VIH19" s="72"/>
      <c r="VII19" s="72"/>
      <c r="VIJ19" s="72"/>
      <c r="VIK19" s="72"/>
      <c r="VIL19" s="72"/>
      <c r="VIM19" s="72"/>
      <c r="VIN19" s="72"/>
      <c r="VIO19" s="72"/>
      <c r="VIP19" s="72"/>
      <c r="VIQ19" s="72"/>
      <c r="VIR19" s="72"/>
      <c r="VIS19" s="72"/>
      <c r="VIT19" s="72"/>
      <c r="VIU19" s="72"/>
      <c r="VIV19" s="72"/>
      <c r="VIW19" s="72"/>
      <c r="VIX19" s="72"/>
      <c r="VIY19" s="72"/>
      <c r="VIZ19" s="72"/>
      <c r="VJA19" s="72"/>
      <c r="VJB19" s="72"/>
      <c r="VJC19" s="72"/>
      <c r="VJD19" s="72"/>
      <c r="VJE19" s="72"/>
      <c r="VJF19" s="72"/>
      <c r="VJG19" s="72"/>
      <c r="VJH19" s="72"/>
      <c r="VJI19" s="72"/>
      <c r="VJJ19" s="72"/>
      <c r="VJK19" s="72"/>
      <c r="VJL19" s="72"/>
      <c r="VJM19" s="72"/>
      <c r="VJN19" s="72"/>
      <c r="VJO19" s="72"/>
      <c r="VJP19" s="72"/>
      <c r="VJQ19" s="72"/>
      <c r="VJR19" s="72"/>
      <c r="VJS19" s="72"/>
      <c r="VJT19" s="72"/>
      <c r="VJU19" s="72"/>
      <c r="VJV19" s="72"/>
      <c r="VJW19" s="72"/>
      <c r="VJX19" s="72"/>
      <c r="VJY19" s="72"/>
      <c r="VJZ19" s="72"/>
      <c r="VKA19" s="72"/>
      <c r="VKB19" s="72"/>
      <c r="VKC19" s="72"/>
      <c r="VKD19" s="72"/>
      <c r="VKE19" s="72"/>
      <c r="VKF19" s="72"/>
      <c r="VKG19" s="72"/>
      <c r="VKH19" s="72"/>
      <c r="VKI19" s="72"/>
      <c r="VKJ19" s="72"/>
      <c r="VKK19" s="72"/>
      <c r="VKL19" s="72"/>
      <c r="VKM19" s="72"/>
      <c r="VKN19" s="72"/>
      <c r="VKO19" s="72"/>
      <c r="VKP19" s="72"/>
      <c r="VKQ19" s="72"/>
      <c r="VKR19" s="72"/>
      <c r="VKS19" s="72"/>
      <c r="VKT19" s="72"/>
      <c r="VKU19" s="72"/>
      <c r="VKV19" s="72"/>
      <c r="VKW19" s="72"/>
      <c r="VKX19" s="72"/>
      <c r="VKY19" s="72"/>
      <c r="VKZ19" s="72"/>
      <c r="VLA19" s="72"/>
      <c r="VLB19" s="72"/>
      <c r="VLC19" s="72"/>
      <c r="VLD19" s="72"/>
      <c r="VLE19" s="72"/>
      <c r="VLF19" s="72"/>
      <c r="VLG19" s="72"/>
      <c r="VLH19" s="72"/>
      <c r="VLI19" s="72"/>
      <c r="VLJ19" s="72"/>
      <c r="VLK19" s="72"/>
      <c r="VLL19" s="72"/>
      <c r="VLM19" s="72"/>
      <c r="VLN19" s="72"/>
      <c r="VLO19" s="72"/>
      <c r="VLP19" s="72"/>
      <c r="VLQ19" s="72"/>
      <c r="VLR19" s="72"/>
      <c r="VLS19" s="72"/>
      <c r="VLT19" s="72"/>
      <c r="VLU19" s="72"/>
      <c r="VLV19" s="72"/>
      <c r="VLW19" s="72"/>
      <c r="VLX19" s="72"/>
      <c r="VLY19" s="72"/>
      <c r="VLZ19" s="72"/>
      <c r="VMA19" s="72"/>
      <c r="VMB19" s="72"/>
      <c r="VMC19" s="72"/>
      <c r="VMD19" s="72"/>
      <c r="VME19" s="72"/>
      <c r="VMF19" s="72"/>
      <c r="VMG19" s="72"/>
      <c r="VMH19" s="72"/>
      <c r="VMI19" s="72"/>
      <c r="VMJ19" s="72"/>
      <c r="VMK19" s="72"/>
      <c r="VML19" s="72"/>
      <c r="VMM19" s="72"/>
      <c r="VMN19" s="72"/>
      <c r="VMO19" s="72"/>
      <c r="VMP19" s="72"/>
      <c r="VMQ19" s="72"/>
      <c r="VMR19" s="72"/>
      <c r="VMS19" s="72"/>
      <c r="VMT19" s="72"/>
      <c r="VMU19" s="72"/>
      <c r="VMV19" s="72"/>
      <c r="VMW19" s="72"/>
      <c r="VMX19" s="72"/>
      <c r="VMY19" s="72"/>
      <c r="VMZ19" s="72"/>
      <c r="VNA19" s="72"/>
      <c r="VNB19" s="72"/>
      <c r="VNC19" s="72"/>
      <c r="VND19" s="72"/>
      <c r="VNE19" s="72"/>
      <c r="VNF19" s="72"/>
      <c r="VNG19" s="72"/>
      <c r="VNH19" s="72"/>
      <c r="VNI19" s="72"/>
      <c r="VNJ19" s="72"/>
      <c r="VNK19" s="72"/>
      <c r="VNL19" s="72"/>
      <c r="VNM19" s="72"/>
      <c r="VNN19" s="72"/>
      <c r="VNO19" s="72"/>
      <c r="VNP19" s="72"/>
      <c r="VNQ19" s="72"/>
      <c r="VNR19" s="72"/>
      <c r="VNS19" s="72"/>
      <c r="VNT19" s="72"/>
      <c r="VNU19" s="72"/>
      <c r="VNV19" s="72"/>
      <c r="VNW19" s="72"/>
      <c r="VNX19" s="72"/>
      <c r="VNY19" s="72"/>
      <c r="VNZ19" s="72"/>
      <c r="VOA19" s="72"/>
      <c r="VOB19" s="72"/>
      <c r="VOC19" s="72"/>
      <c r="VOD19" s="72"/>
      <c r="VOE19" s="72"/>
      <c r="VOF19" s="72"/>
      <c r="VOG19" s="72"/>
      <c r="VOH19" s="72"/>
      <c r="VOI19" s="72"/>
      <c r="VOJ19" s="72"/>
      <c r="VOK19" s="72"/>
      <c r="VOL19" s="72"/>
      <c r="VOM19" s="72"/>
      <c r="VON19" s="72"/>
      <c r="VOO19" s="72"/>
      <c r="VOP19" s="72"/>
      <c r="VOQ19" s="72"/>
      <c r="VOR19" s="72"/>
      <c r="VOS19" s="72"/>
      <c r="VOT19" s="72"/>
      <c r="VOU19" s="72"/>
      <c r="VOV19" s="72"/>
      <c r="VOW19" s="72"/>
      <c r="VOX19" s="72"/>
      <c r="VOY19" s="72"/>
      <c r="VOZ19" s="72"/>
      <c r="VPA19" s="72"/>
      <c r="VPB19" s="72"/>
      <c r="VPC19" s="72"/>
      <c r="VPD19" s="72"/>
      <c r="VPE19" s="72"/>
      <c r="VPF19" s="72"/>
      <c r="VPG19" s="72"/>
      <c r="VPH19" s="72"/>
      <c r="VPI19" s="72"/>
      <c r="VPJ19" s="72"/>
      <c r="VPK19" s="72"/>
      <c r="VPL19" s="72"/>
      <c r="VPM19" s="72"/>
      <c r="VPN19" s="72"/>
      <c r="VPO19" s="72"/>
      <c r="VPP19" s="72"/>
      <c r="VPQ19" s="72"/>
      <c r="VPR19" s="72"/>
      <c r="VPS19" s="72"/>
      <c r="VPT19" s="72"/>
      <c r="VPU19" s="72"/>
      <c r="VPV19" s="72"/>
      <c r="VPW19" s="72"/>
      <c r="VPX19" s="72"/>
      <c r="VPY19" s="72"/>
      <c r="VPZ19" s="72"/>
      <c r="VQA19" s="72"/>
      <c r="VQB19" s="72"/>
      <c r="VQC19" s="72"/>
      <c r="VQD19" s="72"/>
      <c r="VQE19" s="72"/>
      <c r="VQF19" s="72"/>
      <c r="VQG19" s="72"/>
      <c r="VQH19" s="72"/>
      <c r="VQI19" s="72"/>
      <c r="VQJ19" s="72"/>
      <c r="VQK19" s="72"/>
      <c r="VQL19" s="72"/>
      <c r="VQM19" s="72"/>
      <c r="VQN19" s="72"/>
      <c r="VQO19" s="72"/>
      <c r="VQP19" s="72"/>
      <c r="VQQ19" s="72"/>
      <c r="VQR19" s="72"/>
      <c r="VQS19" s="72"/>
      <c r="VQT19" s="72"/>
      <c r="VQU19" s="72"/>
      <c r="VQV19" s="72"/>
      <c r="VQW19" s="72"/>
      <c r="VQX19" s="72"/>
      <c r="VQY19" s="72"/>
      <c r="VQZ19" s="72"/>
      <c r="VRA19" s="72"/>
      <c r="VRB19" s="72"/>
      <c r="VRC19" s="72"/>
      <c r="VRD19" s="72"/>
      <c r="VRE19" s="72"/>
      <c r="VRF19" s="72"/>
      <c r="VRG19" s="72"/>
      <c r="VRH19" s="72"/>
      <c r="VRI19" s="72"/>
      <c r="VRJ19" s="72"/>
      <c r="VRK19" s="72"/>
      <c r="VRL19" s="72"/>
      <c r="VRM19" s="72"/>
      <c r="VRN19" s="72"/>
      <c r="VRO19" s="72"/>
      <c r="VRP19" s="72"/>
      <c r="VRQ19" s="72"/>
      <c r="VRR19" s="72"/>
      <c r="VRS19" s="72"/>
      <c r="VRT19" s="72"/>
      <c r="VRU19" s="72"/>
      <c r="VRV19" s="72"/>
      <c r="VRW19" s="72"/>
      <c r="VRX19" s="72"/>
      <c r="VRY19" s="72"/>
      <c r="VRZ19" s="72"/>
      <c r="VSA19" s="72"/>
      <c r="VSB19" s="72"/>
      <c r="VSC19" s="72"/>
      <c r="VSD19" s="72"/>
      <c r="VSE19" s="72"/>
      <c r="VSF19" s="72"/>
      <c r="VSG19" s="72"/>
      <c r="VSH19" s="72"/>
      <c r="VSI19" s="72"/>
      <c r="VSJ19" s="72"/>
      <c r="VSK19" s="72"/>
      <c r="VSL19" s="72"/>
      <c r="VSM19" s="72"/>
      <c r="VSN19" s="72"/>
      <c r="VSO19" s="72"/>
      <c r="VSP19" s="72"/>
      <c r="VSQ19" s="72"/>
      <c r="VSR19" s="72"/>
      <c r="VSS19" s="72"/>
      <c r="VST19" s="72"/>
      <c r="VSU19" s="72"/>
      <c r="VSV19" s="72"/>
      <c r="VSW19" s="72"/>
      <c r="VSX19" s="72"/>
      <c r="VSY19" s="72"/>
      <c r="VSZ19" s="72"/>
      <c r="VTA19" s="72"/>
      <c r="VTB19" s="72"/>
      <c r="VTC19" s="72"/>
      <c r="VTD19" s="72"/>
      <c r="VTE19" s="72"/>
      <c r="VTF19" s="72"/>
      <c r="VTG19" s="72"/>
      <c r="VTH19" s="72"/>
      <c r="VTI19" s="72"/>
      <c r="VTJ19" s="72"/>
      <c r="VTK19" s="72"/>
      <c r="VTL19" s="72"/>
      <c r="VTM19" s="72"/>
      <c r="VTN19" s="72"/>
      <c r="VTO19" s="72"/>
      <c r="VTP19" s="72"/>
      <c r="VTQ19" s="72"/>
      <c r="VTR19" s="72"/>
      <c r="VTS19" s="72"/>
      <c r="VTT19" s="72"/>
      <c r="VTU19" s="72"/>
      <c r="VTV19" s="72"/>
      <c r="VTW19" s="72"/>
      <c r="VTX19" s="72"/>
      <c r="VTY19" s="72"/>
      <c r="VTZ19" s="72"/>
      <c r="VUA19" s="72"/>
      <c r="VUB19" s="72"/>
      <c r="VUC19" s="72"/>
      <c r="VUD19" s="72"/>
      <c r="VUE19" s="72"/>
      <c r="VUF19" s="72"/>
      <c r="VUG19" s="72"/>
      <c r="VUH19" s="72"/>
      <c r="VUI19" s="72"/>
      <c r="VUJ19" s="72"/>
      <c r="VUK19" s="72"/>
      <c r="VUL19" s="72"/>
      <c r="VUM19" s="72"/>
      <c r="VUN19" s="72"/>
      <c r="VUO19" s="72"/>
      <c r="VUP19" s="72"/>
      <c r="VUQ19" s="72"/>
      <c r="VUR19" s="72"/>
      <c r="VUS19" s="72"/>
      <c r="VUT19" s="72"/>
      <c r="VUU19" s="72"/>
      <c r="VUV19" s="72"/>
      <c r="VUW19" s="72"/>
      <c r="VUX19" s="72"/>
      <c r="VUY19" s="72"/>
      <c r="VUZ19" s="72"/>
      <c r="VVA19" s="72"/>
      <c r="VVB19" s="72"/>
      <c r="VVC19" s="72"/>
      <c r="VVD19" s="72"/>
      <c r="VVE19" s="72"/>
      <c r="VVF19" s="72"/>
      <c r="VVG19" s="72"/>
      <c r="VVH19" s="72"/>
      <c r="VVI19" s="72"/>
      <c r="VVJ19" s="72"/>
      <c r="VVK19" s="72"/>
      <c r="VVL19" s="72"/>
      <c r="VVM19" s="72"/>
      <c r="VVN19" s="72"/>
      <c r="VVO19" s="72"/>
      <c r="VVP19" s="72"/>
      <c r="VVQ19" s="72"/>
      <c r="VVR19" s="72"/>
      <c r="VVS19" s="72"/>
      <c r="VVT19" s="72"/>
      <c r="VVU19" s="72"/>
      <c r="VVV19" s="72"/>
      <c r="VVW19" s="72"/>
      <c r="VVX19" s="72"/>
      <c r="VVY19" s="72"/>
      <c r="VVZ19" s="72"/>
      <c r="VWA19" s="72"/>
      <c r="VWB19" s="72"/>
      <c r="VWC19" s="72"/>
      <c r="VWD19" s="72"/>
      <c r="VWE19" s="72"/>
      <c r="VWF19" s="72"/>
      <c r="VWG19" s="72"/>
      <c r="VWH19" s="72"/>
      <c r="VWI19" s="72"/>
      <c r="VWJ19" s="72"/>
      <c r="VWK19" s="72"/>
      <c r="VWL19" s="72"/>
      <c r="VWM19" s="72"/>
      <c r="VWN19" s="72"/>
      <c r="VWO19" s="72"/>
      <c r="VWP19" s="72"/>
      <c r="VWQ19" s="72"/>
      <c r="VWR19" s="72"/>
      <c r="VWS19" s="72"/>
      <c r="VWT19" s="72"/>
      <c r="VWU19" s="72"/>
      <c r="VWV19" s="72"/>
      <c r="VWW19" s="72"/>
      <c r="VWX19" s="72"/>
      <c r="VWY19" s="72"/>
      <c r="VWZ19" s="72"/>
      <c r="VXA19" s="72"/>
      <c r="VXB19" s="72"/>
      <c r="VXC19" s="72"/>
      <c r="VXD19" s="72"/>
      <c r="VXE19" s="72"/>
      <c r="VXF19" s="72"/>
      <c r="VXG19" s="72"/>
      <c r="VXH19" s="72"/>
      <c r="VXI19" s="72"/>
      <c r="VXJ19" s="72"/>
      <c r="VXK19" s="72"/>
      <c r="VXL19" s="72"/>
      <c r="VXM19" s="72"/>
      <c r="VXN19" s="72"/>
      <c r="VXO19" s="72"/>
      <c r="VXP19" s="72"/>
      <c r="VXQ19" s="72"/>
      <c r="VXR19" s="72"/>
      <c r="VXS19" s="72"/>
      <c r="VXT19" s="72"/>
      <c r="VXU19" s="72"/>
      <c r="VXV19" s="72"/>
      <c r="VXW19" s="72"/>
      <c r="VXX19" s="72"/>
      <c r="VXY19" s="72"/>
      <c r="VXZ19" s="72"/>
      <c r="VYA19" s="72"/>
      <c r="VYB19" s="72"/>
      <c r="VYC19" s="72"/>
      <c r="VYD19" s="72"/>
      <c r="VYE19" s="72"/>
      <c r="VYF19" s="72"/>
      <c r="VYG19" s="72"/>
      <c r="VYH19" s="72"/>
      <c r="VYI19" s="72"/>
      <c r="VYJ19" s="72"/>
      <c r="VYK19" s="72"/>
      <c r="VYL19" s="72"/>
      <c r="VYM19" s="72"/>
      <c r="VYN19" s="72"/>
      <c r="VYO19" s="72"/>
      <c r="VYP19" s="72"/>
      <c r="VYQ19" s="72"/>
      <c r="VYR19" s="72"/>
      <c r="VYS19" s="72"/>
      <c r="VYT19" s="72"/>
      <c r="VYU19" s="72"/>
      <c r="VYV19" s="72"/>
      <c r="VYW19" s="72"/>
      <c r="VYX19" s="72"/>
      <c r="VYY19" s="72"/>
      <c r="VYZ19" s="72"/>
      <c r="VZA19" s="72"/>
      <c r="VZB19" s="72"/>
      <c r="VZC19" s="72"/>
      <c r="VZD19" s="72"/>
      <c r="VZE19" s="72"/>
      <c r="VZF19" s="72"/>
      <c r="VZG19" s="72"/>
      <c r="VZH19" s="72"/>
      <c r="VZI19" s="72"/>
      <c r="VZJ19" s="72"/>
      <c r="VZK19" s="72"/>
      <c r="VZL19" s="72"/>
      <c r="VZM19" s="72"/>
      <c r="VZN19" s="72"/>
      <c r="VZO19" s="72"/>
      <c r="VZP19" s="72"/>
      <c r="VZQ19" s="72"/>
      <c r="VZR19" s="72"/>
      <c r="VZS19" s="72"/>
      <c r="VZT19" s="72"/>
      <c r="VZU19" s="72"/>
      <c r="VZV19" s="72"/>
      <c r="VZW19" s="72"/>
      <c r="VZX19" s="72"/>
      <c r="VZY19" s="72"/>
      <c r="VZZ19" s="72"/>
      <c r="WAA19" s="72"/>
      <c r="WAB19" s="72"/>
      <c r="WAC19" s="72"/>
      <c r="WAD19" s="72"/>
      <c r="WAE19" s="72"/>
      <c r="WAF19" s="72"/>
      <c r="WAG19" s="72"/>
      <c r="WAH19" s="72"/>
      <c r="WAI19" s="72"/>
      <c r="WAJ19" s="72"/>
      <c r="WAK19" s="72"/>
      <c r="WAL19" s="72"/>
      <c r="WAM19" s="72"/>
      <c r="WAN19" s="72"/>
      <c r="WAO19" s="72"/>
      <c r="WAP19" s="72"/>
      <c r="WAQ19" s="72"/>
      <c r="WAR19" s="72"/>
      <c r="WAS19" s="72"/>
      <c r="WAT19" s="72"/>
      <c r="WAU19" s="72"/>
      <c r="WAV19" s="72"/>
      <c r="WAW19" s="72"/>
      <c r="WAX19" s="72"/>
      <c r="WAY19" s="72"/>
      <c r="WAZ19" s="72"/>
      <c r="WBA19" s="72"/>
      <c r="WBB19" s="72"/>
      <c r="WBC19" s="72"/>
      <c r="WBD19" s="72"/>
      <c r="WBE19" s="72"/>
      <c r="WBF19" s="72"/>
      <c r="WBG19" s="72"/>
      <c r="WBH19" s="72"/>
      <c r="WBI19" s="72"/>
      <c r="WBJ19" s="72"/>
      <c r="WBK19" s="72"/>
      <c r="WBL19" s="72"/>
      <c r="WBM19" s="72"/>
      <c r="WBN19" s="72"/>
      <c r="WBO19" s="72"/>
      <c r="WBP19" s="72"/>
      <c r="WBQ19" s="72"/>
      <c r="WBR19" s="72"/>
      <c r="WBS19" s="72"/>
      <c r="WBT19" s="72"/>
      <c r="WBU19" s="72"/>
      <c r="WBV19" s="72"/>
      <c r="WBW19" s="72"/>
      <c r="WBX19" s="72"/>
      <c r="WBY19" s="72"/>
      <c r="WBZ19" s="72"/>
      <c r="WCA19" s="72"/>
      <c r="WCB19" s="72"/>
      <c r="WCC19" s="72"/>
      <c r="WCD19" s="72"/>
      <c r="WCE19" s="72"/>
      <c r="WCF19" s="72"/>
      <c r="WCG19" s="72"/>
      <c r="WCH19" s="72"/>
      <c r="WCI19" s="72"/>
      <c r="WCJ19" s="72"/>
      <c r="WCK19" s="72"/>
      <c r="WCL19" s="72"/>
      <c r="WCM19" s="72"/>
      <c r="WCN19" s="72"/>
      <c r="WCO19" s="72"/>
      <c r="WCP19" s="72"/>
      <c r="WCQ19" s="72"/>
      <c r="WCR19" s="72"/>
      <c r="WCS19" s="72"/>
      <c r="WCT19" s="72"/>
      <c r="WCU19" s="72"/>
      <c r="WCV19" s="72"/>
      <c r="WCW19" s="72"/>
      <c r="WCX19" s="72"/>
      <c r="WCY19" s="72"/>
      <c r="WCZ19" s="72"/>
      <c r="WDA19" s="72"/>
      <c r="WDB19" s="72"/>
      <c r="WDC19" s="72"/>
      <c r="WDD19" s="72"/>
      <c r="WDE19" s="72"/>
      <c r="WDF19" s="72"/>
      <c r="WDG19" s="72"/>
      <c r="WDH19" s="72"/>
      <c r="WDI19" s="72"/>
      <c r="WDJ19" s="72"/>
      <c r="WDK19" s="72"/>
      <c r="WDL19" s="72"/>
      <c r="WDM19" s="72"/>
      <c r="WDN19" s="72"/>
      <c r="WDO19" s="72"/>
      <c r="WDP19" s="72"/>
      <c r="WDQ19" s="72"/>
      <c r="WDR19" s="72"/>
      <c r="WDS19" s="72"/>
      <c r="WDT19" s="72"/>
      <c r="WDU19" s="72"/>
      <c r="WDV19" s="72"/>
      <c r="WDW19" s="72"/>
      <c r="WDX19" s="72"/>
      <c r="WDY19" s="72"/>
      <c r="WDZ19" s="72"/>
      <c r="WEA19" s="72"/>
      <c r="WEB19" s="72"/>
      <c r="WEC19" s="72"/>
      <c r="WED19" s="72"/>
      <c r="WEE19" s="72"/>
      <c r="WEF19" s="72"/>
      <c r="WEG19" s="72"/>
      <c r="WEH19" s="72"/>
      <c r="WEI19" s="72"/>
      <c r="WEJ19" s="72"/>
      <c r="WEK19" s="72"/>
      <c r="WEL19" s="72"/>
      <c r="WEM19" s="72"/>
      <c r="WEN19" s="72"/>
      <c r="WEO19" s="72"/>
      <c r="WEP19" s="72"/>
      <c r="WEQ19" s="72"/>
      <c r="WER19" s="72"/>
      <c r="WES19" s="72"/>
      <c r="WET19" s="72"/>
      <c r="WEU19" s="72"/>
      <c r="WEV19" s="72"/>
      <c r="WEW19" s="72"/>
      <c r="WEX19" s="72"/>
      <c r="WEY19" s="72"/>
      <c r="WEZ19" s="72"/>
      <c r="WFA19" s="72"/>
      <c r="WFB19" s="72"/>
      <c r="WFC19" s="72"/>
      <c r="WFD19" s="72"/>
      <c r="WFE19" s="72"/>
      <c r="WFF19" s="72"/>
      <c r="WFG19" s="72"/>
      <c r="WFH19" s="72"/>
      <c r="WFI19" s="72"/>
      <c r="WFJ19" s="72"/>
      <c r="WFK19" s="72"/>
      <c r="WFL19" s="72"/>
      <c r="WFM19" s="72"/>
      <c r="WFN19" s="72"/>
      <c r="WFO19" s="72"/>
      <c r="WFP19" s="72"/>
      <c r="WFQ19" s="72"/>
      <c r="WFR19" s="72"/>
      <c r="WFS19" s="72"/>
      <c r="WFT19" s="72"/>
      <c r="WFU19" s="72"/>
      <c r="WFV19" s="72"/>
      <c r="WFW19" s="72"/>
      <c r="WFX19" s="72"/>
      <c r="WFY19" s="72"/>
      <c r="WFZ19" s="72"/>
      <c r="WGA19" s="72"/>
      <c r="WGB19" s="72"/>
      <c r="WGC19" s="72"/>
      <c r="WGD19" s="72"/>
      <c r="WGE19" s="72"/>
      <c r="WGF19" s="72"/>
      <c r="WGG19" s="72"/>
      <c r="WGH19" s="72"/>
      <c r="WGI19" s="72"/>
      <c r="WGJ19" s="72"/>
      <c r="WGK19" s="72"/>
      <c r="WGL19" s="72"/>
      <c r="WGM19" s="72"/>
      <c r="WGN19" s="72"/>
      <c r="WGO19" s="72"/>
      <c r="WGP19" s="72"/>
      <c r="WGQ19" s="72"/>
      <c r="WGR19" s="72"/>
      <c r="WGS19" s="72"/>
      <c r="WGT19" s="72"/>
      <c r="WGU19" s="72"/>
      <c r="WGV19" s="72"/>
      <c r="WGW19" s="72"/>
      <c r="WGX19" s="72"/>
      <c r="WGY19" s="72"/>
      <c r="WGZ19" s="72"/>
      <c r="WHA19" s="72"/>
      <c r="WHB19" s="72"/>
      <c r="WHC19" s="72"/>
      <c r="WHD19" s="72"/>
      <c r="WHE19" s="72"/>
      <c r="WHF19" s="72"/>
      <c r="WHG19" s="72"/>
      <c r="WHH19" s="72"/>
      <c r="WHI19" s="72"/>
      <c r="WHJ19" s="72"/>
      <c r="WHK19" s="72"/>
      <c r="WHL19" s="72"/>
      <c r="WHM19" s="72"/>
      <c r="WHN19" s="72"/>
      <c r="WHO19" s="72"/>
      <c r="WHP19" s="72"/>
      <c r="WHQ19" s="72"/>
      <c r="WHR19" s="72"/>
      <c r="WHS19" s="72"/>
      <c r="WHT19" s="72"/>
      <c r="WHU19" s="72"/>
      <c r="WHV19" s="72"/>
      <c r="WHW19" s="72"/>
      <c r="WHX19" s="72"/>
      <c r="WHY19" s="72"/>
      <c r="WHZ19" s="72"/>
      <c r="WIA19" s="72"/>
      <c r="WIB19" s="72"/>
      <c r="WIC19" s="72"/>
      <c r="WID19" s="72"/>
      <c r="WIE19" s="72"/>
      <c r="WIF19" s="72"/>
      <c r="WIG19" s="72"/>
      <c r="WIH19" s="72"/>
      <c r="WII19" s="72"/>
      <c r="WIJ19" s="72"/>
      <c r="WIK19" s="72"/>
      <c r="WIL19" s="72"/>
      <c r="WIM19" s="72"/>
      <c r="WIN19" s="72"/>
      <c r="WIO19" s="72"/>
      <c r="WIP19" s="72"/>
      <c r="WIQ19" s="72"/>
      <c r="WIR19" s="72"/>
      <c r="WIS19" s="72"/>
      <c r="WIT19" s="72"/>
      <c r="WIU19" s="72"/>
      <c r="WIV19" s="72"/>
      <c r="WIW19" s="72"/>
      <c r="WIX19" s="72"/>
      <c r="WIY19" s="72"/>
      <c r="WIZ19" s="72"/>
      <c r="WJA19" s="72"/>
      <c r="WJB19" s="72"/>
      <c r="WJC19" s="72"/>
      <c r="WJD19" s="72"/>
      <c r="WJE19" s="72"/>
      <c r="WJF19" s="72"/>
      <c r="WJG19" s="72"/>
      <c r="WJH19" s="72"/>
      <c r="WJI19" s="72"/>
      <c r="WJJ19" s="72"/>
      <c r="WJK19" s="72"/>
      <c r="WJL19" s="72"/>
      <c r="WJM19" s="72"/>
      <c r="WJN19" s="72"/>
      <c r="WJO19" s="72"/>
      <c r="WJP19" s="72"/>
      <c r="WJQ19" s="72"/>
      <c r="WJR19" s="72"/>
      <c r="WJS19" s="72"/>
      <c r="WJT19" s="72"/>
      <c r="WJU19" s="72"/>
      <c r="WJV19" s="72"/>
      <c r="WJW19" s="72"/>
      <c r="WJX19" s="72"/>
      <c r="WJY19" s="72"/>
      <c r="WJZ19" s="72"/>
      <c r="WKA19" s="72"/>
      <c r="WKB19" s="72"/>
      <c r="WKC19" s="72"/>
      <c r="WKD19" s="72"/>
      <c r="WKE19" s="72"/>
      <c r="WKF19" s="72"/>
      <c r="WKG19" s="72"/>
      <c r="WKH19" s="72"/>
      <c r="WKI19" s="72"/>
      <c r="WKJ19" s="72"/>
      <c r="WKK19" s="72"/>
      <c r="WKL19" s="72"/>
      <c r="WKM19" s="72"/>
      <c r="WKN19" s="72"/>
      <c r="WKO19" s="72"/>
      <c r="WKP19" s="72"/>
      <c r="WKQ19" s="72"/>
      <c r="WKR19" s="72"/>
      <c r="WKS19" s="72"/>
      <c r="WKT19" s="72"/>
      <c r="WKU19" s="72"/>
      <c r="WKV19" s="72"/>
      <c r="WKW19" s="72"/>
      <c r="WKX19" s="72"/>
      <c r="WKY19" s="72"/>
      <c r="WKZ19" s="72"/>
      <c r="WLA19" s="72"/>
      <c r="WLB19" s="72"/>
      <c r="WLC19" s="72"/>
      <c r="WLD19" s="72"/>
      <c r="WLE19" s="72"/>
      <c r="WLF19" s="72"/>
      <c r="WLG19" s="72"/>
      <c r="WLH19" s="72"/>
      <c r="WLI19" s="72"/>
      <c r="WLJ19" s="72"/>
      <c r="WLK19" s="72"/>
      <c r="WLL19" s="72"/>
      <c r="WLM19" s="72"/>
      <c r="WLN19" s="72"/>
      <c r="WLO19" s="72"/>
      <c r="WLP19" s="72"/>
      <c r="WLQ19" s="72"/>
      <c r="WLR19" s="72"/>
      <c r="WLS19" s="72"/>
      <c r="WLT19" s="72"/>
      <c r="WLU19" s="72"/>
      <c r="WLV19" s="72"/>
      <c r="WLW19" s="72"/>
      <c r="WLX19" s="72"/>
      <c r="WLY19" s="72"/>
      <c r="WLZ19" s="72"/>
      <c r="WMA19" s="72"/>
      <c r="WMB19" s="72"/>
      <c r="WMC19" s="72"/>
      <c r="WMD19" s="72"/>
      <c r="WME19" s="72"/>
      <c r="WMF19" s="72"/>
      <c r="WMG19" s="72"/>
      <c r="WMH19" s="72"/>
      <c r="WMI19" s="72"/>
      <c r="WMJ19" s="72"/>
      <c r="WMK19" s="72"/>
      <c r="WML19" s="72"/>
      <c r="WMM19" s="72"/>
      <c r="WMN19" s="72"/>
      <c r="WMO19" s="72"/>
      <c r="WMP19" s="72"/>
      <c r="WMQ19" s="72"/>
      <c r="WMR19" s="72"/>
      <c r="WMS19" s="72"/>
      <c r="WMT19" s="72"/>
      <c r="WMU19" s="72"/>
      <c r="WMV19" s="72"/>
      <c r="WMW19" s="72"/>
      <c r="WMX19" s="72"/>
      <c r="WMY19" s="72"/>
      <c r="WMZ19" s="72"/>
      <c r="WNA19" s="72"/>
      <c r="WNB19" s="72"/>
      <c r="WNC19" s="72"/>
      <c r="WND19" s="72"/>
      <c r="WNE19" s="72"/>
      <c r="WNF19" s="72"/>
      <c r="WNG19" s="72"/>
      <c r="WNH19" s="72"/>
      <c r="WNI19" s="72"/>
      <c r="WNJ19" s="72"/>
      <c r="WNK19" s="72"/>
      <c r="WNL19" s="72"/>
      <c r="WNM19" s="72"/>
      <c r="WNN19" s="72"/>
      <c r="WNO19" s="72"/>
      <c r="WNP19" s="72"/>
      <c r="WNQ19" s="72"/>
      <c r="WNR19" s="72"/>
      <c r="WNS19" s="72"/>
      <c r="WNT19" s="72"/>
      <c r="WNU19" s="72"/>
      <c r="WNV19" s="72"/>
      <c r="WNW19" s="72"/>
      <c r="WNX19" s="72"/>
      <c r="WNY19" s="72"/>
      <c r="WNZ19" s="72"/>
      <c r="WOA19" s="72"/>
      <c r="WOB19" s="72"/>
      <c r="WOC19" s="72"/>
      <c r="WOD19" s="72"/>
      <c r="WOE19" s="72"/>
      <c r="WOF19" s="72"/>
      <c r="WOG19" s="72"/>
      <c r="WOH19" s="72"/>
      <c r="WOI19" s="72"/>
      <c r="WOJ19" s="72"/>
      <c r="WOK19" s="72"/>
      <c r="WOL19" s="72"/>
      <c r="WOM19" s="72"/>
      <c r="WON19" s="72"/>
      <c r="WOO19" s="72"/>
      <c r="WOP19" s="72"/>
      <c r="WOQ19" s="72"/>
      <c r="WOR19" s="72"/>
      <c r="WOS19" s="72"/>
      <c r="WOT19" s="72"/>
      <c r="WOU19" s="72"/>
      <c r="WOV19" s="72"/>
      <c r="WOW19" s="72"/>
      <c r="WOX19" s="72"/>
      <c r="WOY19" s="72"/>
      <c r="WOZ19" s="72"/>
      <c r="WPA19" s="72"/>
      <c r="WPB19" s="72"/>
      <c r="WPC19" s="72"/>
      <c r="WPD19" s="72"/>
      <c r="WPE19" s="72"/>
      <c r="WPF19" s="72"/>
      <c r="WPG19" s="72"/>
      <c r="WPH19" s="72"/>
      <c r="WPI19" s="72"/>
      <c r="WPJ19" s="72"/>
      <c r="WPK19" s="72"/>
      <c r="WPL19" s="72"/>
      <c r="WPM19" s="72"/>
      <c r="WPN19" s="72"/>
      <c r="WPO19" s="72"/>
      <c r="WPP19" s="72"/>
      <c r="WPQ19" s="72"/>
      <c r="WPR19" s="72"/>
      <c r="WPS19" s="72"/>
      <c r="WPT19" s="72"/>
      <c r="WPU19" s="72"/>
      <c r="WPV19" s="72"/>
      <c r="WPW19" s="72"/>
      <c r="WPX19" s="72"/>
      <c r="WPY19" s="72"/>
      <c r="WPZ19" s="72"/>
      <c r="WQA19" s="72"/>
      <c r="WQB19" s="72"/>
      <c r="WQC19" s="72"/>
      <c r="WQD19" s="72"/>
      <c r="WQE19" s="72"/>
      <c r="WQF19" s="72"/>
      <c r="WQG19" s="72"/>
      <c r="WQH19" s="72"/>
      <c r="WQI19" s="72"/>
      <c r="WQJ19" s="72"/>
      <c r="WQK19" s="72"/>
      <c r="WQL19" s="72"/>
      <c r="WQM19" s="72"/>
      <c r="WQN19" s="72"/>
      <c r="WQO19" s="72"/>
      <c r="WQP19" s="72"/>
      <c r="WQQ19" s="72"/>
      <c r="WQR19" s="72"/>
      <c r="WQS19" s="72"/>
      <c r="WQT19" s="72"/>
      <c r="WQU19" s="72"/>
      <c r="WQV19" s="72"/>
      <c r="WQW19" s="72"/>
      <c r="WQX19" s="72"/>
      <c r="WQY19" s="72"/>
      <c r="WQZ19" s="72"/>
      <c r="WRA19" s="72"/>
      <c r="WRB19" s="72"/>
      <c r="WRC19" s="72"/>
      <c r="WRD19" s="72"/>
      <c r="WRE19" s="72"/>
      <c r="WRF19" s="72"/>
      <c r="WRG19" s="72"/>
      <c r="WRH19" s="72"/>
      <c r="WRI19" s="72"/>
      <c r="WRJ19" s="72"/>
      <c r="WRK19" s="72"/>
      <c r="WRL19" s="72"/>
      <c r="WRM19" s="72"/>
      <c r="WRN19" s="72"/>
      <c r="WRO19" s="72"/>
      <c r="WRP19" s="72"/>
      <c r="WRQ19" s="72"/>
      <c r="WRR19" s="72"/>
      <c r="WRS19" s="72"/>
      <c r="WRT19" s="72"/>
      <c r="WRU19" s="72"/>
      <c r="WRV19" s="72"/>
      <c r="WRW19" s="72"/>
      <c r="WRX19" s="72"/>
      <c r="WRY19" s="72"/>
      <c r="WRZ19" s="72"/>
      <c r="WSA19" s="72"/>
      <c r="WSB19" s="72"/>
      <c r="WSC19" s="72"/>
      <c r="WSD19" s="72"/>
      <c r="WSE19" s="72"/>
      <c r="WSF19" s="72"/>
      <c r="WSG19" s="72"/>
      <c r="WSH19" s="72"/>
      <c r="WSI19" s="72"/>
      <c r="WSJ19" s="72"/>
      <c r="WSK19" s="72"/>
      <c r="WSL19" s="72"/>
      <c r="WSM19" s="72"/>
      <c r="WSN19" s="72"/>
      <c r="WSO19" s="72"/>
      <c r="WSP19" s="72"/>
      <c r="WSQ19" s="72"/>
      <c r="WSR19" s="72"/>
      <c r="WSS19" s="72"/>
      <c r="WST19" s="72"/>
      <c r="WSU19" s="72"/>
      <c r="WSV19" s="72"/>
      <c r="WSW19" s="72"/>
      <c r="WSX19" s="72"/>
      <c r="WSY19" s="72"/>
      <c r="WSZ19" s="72"/>
      <c r="WTA19" s="72"/>
      <c r="WTB19" s="72"/>
      <c r="WTC19" s="72"/>
      <c r="WTD19" s="72"/>
      <c r="WTE19" s="72"/>
      <c r="WTF19" s="72"/>
      <c r="WTG19" s="72"/>
      <c r="WTH19" s="72"/>
      <c r="WTI19" s="72"/>
      <c r="WTJ19" s="72"/>
      <c r="WTK19" s="72"/>
      <c r="WTL19" s="72"/>
      <c r="WTM19" s="72"/>
      <c r="WTN19" s="72"/>
      <c r="WTO19" s="72"/>
      <c r="WTP19" s="72"/>
      <c r="WTQ19" s="72"/>
      <c r="WTR19" s="72"/>
      <c r="WTS19" s="72"/>
      <c r="WTT19" s="72"/>
      <c r="WTU19" s="72"/>
      <c r="WTV19" s="72"/>
      <c r="WTW19" s="72"/>
      <c r="WTX19" s="72"/>
      <c r="WTY19" s="72"/>
      <c r="WTZ19" s="72"/>
      <c r="WUA19" s="72"/>
      <c r="WUB19" s="72"/>
      <c r="WUC19" s="72"/>
      <c r="WUD19" s="72"/>
      <c r="WUE19" s="72"/>
      <c r="WUF19" s="72"/>
      <c r="WUG19" s="72"/>
      <c r="WUH19" s="72"/>
      <c r="WUI19" s="72"/>
      <c r="WUJ19" s="72"/>
      <c r="WUK19" s="72"/>
      <c r="WUL19" s="72"/>
      <c r="WUM19" s="72"/>
      <c r="WUN19" s="72"/>
      <c r="WUO19" s="72"/>
      <c r="WUP19" s="72"/>
      <c r="WUQ19" s="72"/>
      <c r="WUR19" s="72"/>
      <c r="WUS19" s="72"/>
      <c r="WUT19" s="72"/>
      <c r="WUU19" s="72"/>
      <c r="WUV19" s="72"/>
      <c r="WUW19" s="72"/>
      <c r="WUX19" s="72"/>
      <c r="WUY19" s="72"/>
      <c r="WUZ19" s="72"/>
      <c r="WVA19" s="72"/>
      <c r="WVB19" s="72"/>
      <c r="WVC19" s="72"/>
      <c r="WVD19" s="72"/>
      <c r="WVE19" s="72"/>
      <c r="WVF19" s="72"/>
      <c r="WVG19" s="72"/>
      <c r="WVH19" s="72"/>
      <c r="WVI19" s="72"/>
      <c r="WVJ19" s="72"/>
      <c r="WVK19" s="72"/>
      <c r="WVL19" s="72"/>
      <c r="WVM19" s="72"/>
      <c r="WVN19" s="72"/>
      <c r="WVO19" s="72"/>
      <c r="WVP19" s="72"/>
      <c r="WVQ19" s="72"/>
      <c r="WVR19" s="72"/>
      <c r="WVS19" s="72"/>
      <c r="WVT19" s="72"/>
      <c r="WVU19" s="72"/>
      <c r="WVV19" s="72"/>
      <c r="WVW19" s="72"/>
      <c r="WVX19" s="72"/>
      <c r="WVY19" s="72"/>
      <c r="WVZ19" s="72"/>
      <c r="WWA19" s="72"/>
      <c r="WWB19" s="72"/>
      <c r="WWC19" s="72"/>
      <c r="WWD19" s="72"/>
      <c r="WWE19" s="72"/>
      <c r="WWF19" s="72"/>
      <c r="WWG19" s="72"/>
      <c r="WWH19" s="72"/>
      <c r="WWI19" s="72"/>
      <c r="WWJ19" s="72"/>
      <c r="WWK19" s="72"/>
      <c r="WWL19" s="72"/>
      <c r="WWM19" s="72"/>
      <c r="WWN19" s="72"/>
      <c r="WWO19" s="72"/>
      <c r="WWP19" s="72"/>
      <c r="WWQ19" s="72"/>
      <c r="WWR19" s="72"/>
      <c r="WWS19" s="72"/>
      <c r="WWT19" s="72"/>
      <c r="WWU19" s="72"/>
      <c r="WWV19" s="72"/>
      <c r="WWW19" s="72"/>
      <c r="WWX19" s="72"/>
      <c r="WWY19" s="72"/>
      <c r="WWZ19" s="72"/>
      <c r="WXA19" s="72"/>
      <c r="WXB19" s="72"/>
      <c r="WXC19" s="72"/>
      <c r="WXD19" s="72"/>
      <c r="WXE19" s="72"/>
      <c r="WXF19" s="72"/>
      <c r="WXG19" s="72"/>
      <c r="WXH19" s="72"/>
      <c r="WXI19" s="72"/>
      <c r="WXJ19" s="72"/>
      <c r="WXK19" s="72"/>
      <c r="WXL19" s="72"/>
      <c r="WXM19" s="72"/>
      <c r="WXN19" s="72"/>
      <c r="WXO19" s="72"/>
      <c r="WXP19" s="72"/>
      <c r="WXQ19" s="72"/>
      <c r="WXR19" s="72"/>
      <c r="WXS19" s="72"/>
      <c r="WXT19" s="72"/>
      <c r="WXU19" s="72"/>
      <c r="WXV19" s="72"/>
      <c r="WXW19" s="72"/>
      <c r="WXX19" s="72"/>
      <c r="WXY19" s="72"/>
      <c r="WXZ19" s="72"/>
      <c r="WYA19" s="72"/>
      <c r="WYB19" s="72"/>
      <c r="WYC19" s="72"/>
      <c r="WYD19" s="72"/>
      <c r="WYE19" s="72"/>
      <c r="WYF19" s="72"/>
      <c r="WYG19" s="72"/>
      <c r="WYH19" s="72"/>
      <c r="WYI19" s="72"/>
      <c r="WYJ19" s="72"/>
      <c r="WYK19" s="72"/>
      <c r="WYL19" s="72"/>
      <c r="WYM19" s="72"/>
      <c r="WYN19" s="72"/>
      <c r="WYO19" s="72"/>
      <c r="WYP19" s="72"/>
      <c r="WYQ19" s="72"/>
      <c r="WYR19" s="72"/>
      <c r="WYS19" s="72"/>
      <c r="WYT19" s="72"/>
      <c r="WYU19" s="72"/>
      <c r="WYV19" s="72"/>
      <c r="WYW19" s="72"/>
      <c r="WYX19" s="72"/>
      <c r="WYY19" s="72"/>
      <c r="WYZ19" s="72"/>
      <c r="WZA19" s="72"/>
      <c r="WZB19" s="72"/>
      <c r="WZC19" s="72"/>
      <c r="WZD19" s="72"/>
      <c r="WZE19" s="72"/>
      <c r="WZF19" s="72"/>
      <c r="WZG19" s="72"/>
      <c r="WZH19" s="72"/>
      <c r="WZI19" s="72"/>
      <c r="WZJ19" s="72"/>
      <c r="WZK19" s="72"/>
      <c r="WZL19" s="72"/>
      <c r="WZM19" s="72"/>
      <c r="WZN19" s="72"/>
      <c r="WZO19" s="72"/>
      <c r="WZP19" s="72"/>
      <c r="WZQ19" s="72"/>
      <c r="WZR19" s="72"/>
      <c r="WZS19" s="72"/>
      <c r="WZT19" s="72"/>
      <c r="WZU19" s="72"/>
      <c r="WZV19" s="72"/>
      <c r="WZW19" s="72"/>
      <c r="WZX19" s="72"/>
      <c r="WZY19" s="72"/>
      <c r="WZZ19" s="72"/>
      <c r="XAA19" s="72"/>
      <c r="XAB19" s="72"/>
      <c r="XAC19" s="72"/>
      <c r="XAD19" s="72"/>
      <c r="XAE19" s="72"/>
      <c r="XAF19" s="72"/>
      <c r="XAG19" s="72"/>
      <c r="XAH19" s="72"/>
      <c r="XAI19" s="72"/>
      <c r="XAJ19" s="72"/>
      <c r="XAK19" s="72"/>
      <c r="XAL19" s="72"/>
      <c r="XAM19" s="72"/>
      <c r="XAN19" s="72"/>
      <c r="XAO19" s="72"/>
      <c r="XAP19" s="72"/>
      <c r="XAQ19" s="72"/>
      <c r="XAR19" s="72"/>
      <c r="XAS19" s="72"/>
      <c r="XAT19" s="72"/>
      <c r="XAU19" s="72"/>
      <c r="XAV19" s="72"/>
      <c r="XAW19" s="72"/>
      <c r="XAX19" s="72"/>
      <c r="XAY19" s="72"/>
      <c r="XAZ19" s="72"/>
      <c r="XBA19" s="72"/>
      <c r="XBB19" s="72"/>
      <c r="XBC19" s="72"/>
      <c r="XBD19" s="72"/>
      <c r="XBE19" s="72"/>
      <c r="XBF19" s="72"/>
      <c r="XBG19" s="72"/>
      <c r="XBH19" s="72"/>
      <c r="XBI19" s="72"/>
      <c r="XBJ19" s="72"/>
      <c r="XBK19" s="72"/>
      <c r="XBL19" s="72"/>
      <c r="XBM19" s="72"/>
      <c r="XBN19" s="72"/>
      <c r="XBO19" s="72"/>
      <c r="XBP19" s="72"/>
      <c r="XBQ19" s="72"/>
      <c r="XBR19" s="72"/>
      <c r="XBS19" s="72"/>
      <c r="XBT19" s="72"/>
      <c r="XBU19" s="72"/>
      <c r="XBV19" s="72"/>
      <c r="XBW19" s="72"/>
      <c r="XBX19" s="72"/>
      <c r="XBY19" s="72"/>
      <c r="XBZ19" s="72"/>
      <c r="XCA19" s="72"/>
      <c r="XCB19" s="72"/>
      <c r="XCC19" s="72"/>
      <c r="XCD19" s="72"/>
      <c r="XCE19" s="72"/>
      <c r="XCF19" s="72"/>
      <c r="XCG19" s="72"/>
      <c r="XCH19" s="72"/>
      <c r="XCI19" s="72"/>
      <c r="XCJ19" s="72"/>
      <c r="XCK19" s="72"/>
      <c r="XCL19" s="72"/>
      <c r="XCM19" s="72"/>
      <c r="XCN19" s="72"/>
      <c r="XCO19" s="72"/>
      <c r="XCP19" s="72"/>
      <c r="XCQ19" s="72"/>
      <c r="XCR19" s="72"/>
      <c r="XCS19" s="72"/>
      <c r="XCT19" s="72"/>
      <c r="XCU19" s="72"/>
      <c r="XCV19" s="72"/>
      <c r="XCW19" s="72"/>
      <c r="XCX19" s="72"/>
      <c r="XCY19" s="72"/>
      <c r="XCZ19" s="72"/>
      <c r="XDA19" s="72"/>
      <c r="XDB19" s="72"/>
      <c r="XDC19" s="72"/>
      <c r="XDD19" s="72"/>
      <c r="XDE19" s="72"/>
      <c r="XDF19" s="72"/>
      <c r="XDG19" s="72"/>
      <c r="XDH19" s="72"/>
      <c r="XDI19" s="72"/>
      <c r="XDJ19" s="72"/>
      <c r="XDK19" s="72"/>
      <c r="XDL19" s="72"/>
      <c r="XDM19" s="72"/>
      <c r="XDN19" s="72"/>
      <c r="XDO19" s="72"/>
      <c r="XDP19" s="72"/>
      <c r="XDQ19" s="72"/>
      <c r="XDR19" s="72"/>
      <c r="XDS19" s="72"/>
      <c r="XDT19" s="72"/>
      <c r="XDU19" s="72"/>
      <c r="XDV19" s="72"/>
      <c r="XDW19" s="72"/>
      <c r="XDX19" s="72"/>
      <c r="XDY19" s="72"/>
      <c r="XDZ19" s="72"/>
      <c r="XEA19" s="72"/>
      <c r="XEB19" s="72"/>
      <c r="XEC19" s="72"/>
      <c r="XED19" s="72"/>
      <c r="XEE19" s="72"/>
      <c r="XEF19" s="72"/>
      <c r="XEG19" s="72"/>
      <c r="XEH19" s="72"/>
      <c r="XEI19" s="72"/>
      <c r="XEJ19" s="72"/>
      <c r="XEK19" s="72"/>
      <c r="XEL19" s="72"/>
      <c r="XEM19" s="72"/>
      <c r="XEN19" s="72"/>
      <c r="XEO19" s="72"/>
      <c r="XEP19" s="72"/>
      <c r="XEQ19" s="72"/>
      <c r="XER19" s="72"/>
      <c r="XES19" s="72"/>
      <c r="XET19" s="72"/>
      <c r="XEU19" s="72"/>
      <c r="XEV19" s="72"/>
      <c r="XEW19" s="72"/>
      <c r="XEX19" s="72"/>
      <c r="XEY19" s="72"/>
      <c r="XEZ19" s="72"/>
      <c r="XFA19" s="72"/>
      <c r="XFB19" s="72"/>
      <c r="XFC19" s="72"/>
      <c r="XFD19" s="72"/>
    </row>
    <row r="20" spans="2:16384" ht="14.45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  <c r="HO20" s="72"/>
      <c r="HP20" s="72"/>
      <c r="HQ20" s="72"/>
      <c r="HR20" s="72"/>
      <c r="HS20" s="72"/>
      <c r="HT20" s="72"/>
      <c r="HU20" s="72"/>
      <c r="HV20" s="72"/>
      <c r="HW20" s="72"/>
      <c r="HX20" s="72"/>
      <c r="HY20" s="72"/>
      <c r="HZ20" s="72"/>
      <c r="IA20" s="72"/>
      <c r="IB20" s="72"/>
      <c r="IC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  <c r="IU20" s="72"/>
      <c r="IV20" s="72"/>
      <c r="IW20" s="72"/>
      <c r="IX20" s="72"/>
      <c r="IY20" s="72"/>
      <c r="IZ20" s="72"/>
      <c r="JA20" s="72"/>
      <c r="JB20" s="72"/>
      <c r="JC20" s="72"/>
      <c r="JD20" s="72"/>
      <c r="JE20" s="72"/>
      <c r="JF20" s="72"/>
      <c r="JG20" s="72"/>
      <c r="JH20" s="72"/>
      <c r="JI20" s="72"/>
      <c r="JJ20" s="72"/>
      <c r="JK20" s="72"/>
      <c r="JL20" s="72"/>
      <c r="JM20" s="72"/>
      <c r="JN20" s="72"/>
      <c r="JO20" s="72"/>
      <c r="JP20" s="72"/>
      <c r="JQ20" s="72"/>
      <c r="JR20" s="72"/>
      <c r="JS20" s="72"/>
      <c r="JT20" s="72"/>
      <c r="JU20" s="72"/>
      <c r="JV20" s="72"/>
      <c r="JW20" s="72"/>
      <c r="JX20" s="72"/>
      <c r="JY20" s="72"/>
      <c r="JZ20" s="72"/>
      <c r="KA20" s="72"/>
      <c r="KB20" s="72"/>
      <c r="KC20" s="72"/>
      <c r="KD20" s="72"/>
      <c r="KE20" s="72"/>
      <c r="KF20" s="72"/>
      <c r="KG20" s="72"/>
      <c r="KH20" s="72"/>
      <c r="KI20" s="72"/>
      <c r="KJ20" s="72"/>
      <c r="KK20" s="72"/>
      <c r="KL20" s="72"/>
      <c r="KM20" s="72"/>
      <c r="KN20" s="72"/>
      <c r="KO20" s="72"/>
      <c r="KP20" s="72"/>
      <c r="KQ20" s="72"/>
      <c r="KR20" s="72"/>
      <c r="KS20" s="72"/>
      <c r="KT20" s="72"/>
      <c r="KU20" s="72"/>
      <c r="KV20" s="72"/>
      <c r="KW20" s="72"/>
      <c r="KX20" s="72"/>
      <c r="KY20" s="72"/>
      <c r="KZ20" s="72"/>
      <c r="LA20" s="72"/>
      <c r="LB20" s="72"/>
      <c r="LC20" s="72"/>
      <c r="LD20" s="72"/>
      <c r="LE20" s="72"/>
      <c r="LF20" s="72"/>
      <c r="LG20" s="72"/>
      <c r="LH20" s="72"/>
      <c r="LI20" s="72"/>
      <c r="LJ20" s="72"/>
      <c r="LK20" s="72"/>
      <c r="LL20" s="72"/>
      <c r="LM20" s="72"/>
      <c r="LN20" s="72"/>
      <c r="LO20" s="72"/>
      <c r="LP20" s="72"/>
      <c r="LQ20" s="72"/>
      <c r="LR20" s="72"/>
      <c r="LS20" s="72"/>
      <c r="LT20" s="72"/>
      <c r="LU20" s="72"/>
      <c r="LV20" s="72"/>
      <c r="LW20" s="72"/>
      <c r="LX20" s="72"/>
      <c r="LY20" s="72"/>
      <c r="LZ20" s="72"/>
      <c r="MA20" s="72"/>
      <c r="MB20" s="72"/>
      <c r="MC20" s="72"/>
      <c r="MD20" s="72"/>
      <c r="ME20" s="72"/>
      <c r="MF20" s="72"/>
      <c r="MG20" s="72"/>
      <c r="MH20" s="72"/>
      <c r="MI20" s="72"/>
      <c r="MJ20" s="72"/>
      <c r="MK20" s="72"/>
      <c r="ML20" s="72"/>
      <c r="MM20" s="72"/>
      <c r="MN20" s="72"/>
      <c r="MO20" s="72"/>
      <c r="MP20" s="72"/>
      <c r="MQ20" s="72"/>
      <c r="MR20" s="72"/>
      <c r="MS20" s="72"/>
      <c r="MT20" s="72"/>
      <c r="MU20" s="72"/>
      <c r="MV20" s="72"/>
      <c r="MW20" s="72"/>
      <c r="MX20" s="72"/>
      <c r="MY20" s="72"/>
      <c r="MZ20" s="72"/>
      <c r="NA20" s="72"/>
      <c r="NB20" s="72"/>
      <c r="NC20" s="72"/>
      <c r="ND20" s="72"/>
      <c r="NE20" s="72"/>
      <c r="NF20" s="72"/>
      <c r="NG20" s="72"/>
      <c r="NH20" s="72"/>
      <c r="NI20" s="72"/>
      <c r="NJ20" s="72"/>
      <c r="NK20" s="72"/>
      <c r="NL20" s="72"/>
      <c r="NM20" s="72"/>
      <c r="NN20" s="72"/>
      <c r="NO20" s="72"/>
      <c r="NP20" s="72"/>
      <c r="NQ20" s="72"/>
      <c r="NR20" s="72"/>
      <c r="NS20" s="72"/>
      <c r="NT20" s="72"/>
      <c r="NU20" s="72"/>
      <c r="NV20" s="72"/>
      <c r="NW20" s="72"/>
      <c r="NX20" s="72"/>
      <c r="NY20" s="72"/>
      <c r="NZ20" s="72"/>
      <c r="OA20" s="72"/>
      <c r="OB20" s="72"/>
      <c r="OC20" s="72"/>
      <c r="OD20" s="72"/>
      <c r="OE20" s="72"/>
      <c r="OF20" s="72"/>
      <c r="OG20" s="72"/>
      <c r="OH20" s="72"/>
      <c r="OI20" s="72"/>
      <c r="OJ20" s="72"/>
      <c r="OK20" s="72"/>
      <c r="OL20" s="72"/>
      <c r="OM20" s="72"/>
      <c r="ON20" s="72"/>
      <c r="OO20" s="72"/>
      <c r="OP20" s="72"/>
      <c r="OQ20" s="72"/>
      <c r="OR20" s="72"/>
      <c r="OS20" s="72"/>
      <c r="OT20" s="72"/>
      <c r="OU20" s="72"/>
      <c r="OV20" s="72"/>
      <c r="OW20" s="72"/>
      <c r="OX20" s="72"/>
      <c r="OY20" s="72"/>
      <c r="OZ20" s="72"/>
      <c r="PA20" s="72"/>
      <c r="PB20" s="72"/>
      <c r="PC20" s="72"/>
      <c r="PD20" s="72"/>
      <c r="PE20" s="72"/>
      <c r="PF20" s="72"/>
      <c r="PG20" s="72"/>
      <c r="PH20" s="72"/>
      <c r="PI20" s="72"/>
      <c r="PJ20" s="72"/>
      <c r="PK20" s="72"/>
      <c r="PL20" s="72"/>
      <c r="PM20" s="72"/>
      <c r="PN20" s="72"/>
      <c r="PO20" s="72"/>
      <c r="PP20" s="72"/>
      <c r="PQ20" s="72"/>
      <c r="PR20" s="72"/>
      <c r="PS20" s="72"/>
      <c r="PT20" s="72"/>
      <c r="PU20" s="72"/>
      <c r="PV20" s="72"/>
      <c r="PW20" s="72"/>
      <c r="PX20" s="72"/>
      <c r="PY20" s="72"/>
      <c r="PZ20" s="72"/>
      <c r="QA20" s="72"/>
      <c r="QB20" s="72"/>
      <c r="QC20" s="72"/>
      <c r="QD20" s="72"/>
      <c r="QE20" s="72"/>
      <c r="QF20" s="72"/>
      <c r="QG20" s="72"/>
      <c r="QH20" s="72"/>
      <c r="QI20" s="72"/>
      <c r="QJ20" s="72"/>
      <c r="QK20" s="72"/>
      <c r="QL20" s="72"/>
      <c r="QM20" s="72"/>
      <c r="QN20" s="72"/>
      <c r="QO20" s="72"/>
      <c r="QP20" s="72"/>
      <c r="QQ20" s="72"/>
      <c r="QR20" s="72"/>
      <c r="QS20" s="72"/>
      <c r="QT20" s="72"/>
      <c r="QU20" s="72"/>
      <c r="QV20" s="72"/>
      <c r="QW20" s="72"/>
      <c r="QX20" s="72"/>
      <c r="QY20" s="72"/>
      <c r="QZ20" s="72"/>
      <c r="RA20" s="72"/>
      <c r="RB20" s="72"/>
      <c r="RC20" s="72"/>
      <c r="RD20" s="72"/>
      <c r="RE20" s="72"/>
      <c r="RF20" s="72"/>
      <c r="RG20" s="72"/>
      <c r="RH20" s="72"/>
      <c r="RI20" s="72"/>
      <c r="RJ20" s="72"/>
      <c r="RK20" s="72"/>
      <c r="RL20" s="72"/>
      <c r="RM20" s="72"/>
      <c r="RN20" s="72"/>
      <c r="RO20" s="72"/>
      <c r="RP20" s="72"/>
      <c r="RQ20" s="72"/>
      <c r="RR20" s="72"/>
      <c r="RS20" s="72"/>
      <c r="RT20" s="72"/>
      <c r="RU20" s="72"/>
      <c r="RV20" s="72"/>
      <c r="RW20" s="72"/>
      <c r="RX20" s="72"/>
      <c r="RY20" s="72"/>
      <c r="RZ20" s="72"/>
      <c r="SA20" s="72"/>
      <c r="SB20" s="72"/>
      <c r="SC20" s="72"/>
      <c r="SD20" s="72"/>
      <c r="SE20" s="72"/>
      <c r="SF20" s="72"/>
      <c r="SG20" s="72"/>
      <c r="SH20" s="72"/>
      <c r="SI20" s="72"/>
      <c r="SJ20" s="72"/>
      <c r="SK20" s="72"/>
      <c r="SL20" s="72"/>
      <c r="SM20" s="72"/>
      <c r="SN20" s="72"/>
      <c r="SO20" s="72"/>
      <c r="SP20" s="72"/>
      <c r="SQ20" s="72"/>
      <c r="SR20" s="72"/>
      <c r="SS20" s="72"/>
      <c r="ST20" s="72"/>
      <c r="SU20" s="72"/>
      <c r="SV20" s="72"/>
      <c r="SW20" s="72"/>
      <c r="SX20" s="72"/>
      <c r="SY20" s="72"/>
      <c r="SZ20" s="72"/>
      <c r="TA20" s="72"/>
      <c r="TB20" s="72"/>
      <c r="TC20" s="72"/>
      <c r="TD20" s="72"/>
      <c r="TE20" s="72"/>
      <c r="TF20" s="72"/>
      <c r="TG20" s="72"/>
      <c r="TH20" s="72"/>
      <c r="TI20" s="72"/>
      <c r="TJ20" s="72"/>
      <c r="TK20" s="72"/>
      <c r="TL20" s="72"/>
      <c r="TM20" s="72"/>
      <c r="TN20" s="72"/>
      <c r="TO20" s="72"/>
      <c r="TP20" s="72"/>
      <c r="TQ20" s="72"/>
      <c r="TR20" s="72"/>
      <c r="TS20" s="72"/>
      <c r="TT20" s="72"/>
      <c r="TU20" s="72"/>
      <c r="TV20" s="72"/>
      <c r="TW20" s="72"/>
      <c r="TX20" s="72"/>
      <c r="TY20" s="72"/>
      <c r="TZ20" s="72"/>
      <c r="UA20" s="72"/>
      <c r="UB20" s="72"/>
      <c r="UC20" s="72"/>
      <c r="UD20" s="72"/>
      <c r="UE20" s="72"/>
      <c r="UF20" s="72"/>
      <c r="UG20" s="72"/>
      <c r="UH20" s="72"/>
      <c r="UI20" s="72"/>
      <c r="UJ20" s="72"/>
      <c r="UK20" s="72"/>
      <c r="UL20" s="72"/>
      <c r="UM20" s="72"/>
      <c r="UN20" s="72"/>
      <c r="UO20" s="72"/>
      <c r="UP20" s="72"/>
      <c r="UQ20" s="72"/>
      <c r="UR20" s="72"/>
      <c r="US20" s="72"/>
      <c r="UT20" s="72"/>
      <c r="UU20" s="72"/>
      <c r="UV20" s="72"/>
      <c r="UW20" s="72"/>
      <c r="UX20" s="72"/>
      <c r="UY20" s="72"/>
      <c r="UZ20" s="72"/>
      <c r="VA20" s="72"/>
      <c r="VB20" s="72"/>
      <c r="VC20" s="72"/>
      <c r="VD20" s="72"/>
      <c r="VE20" s="72"/>
      <c r="VF20" s="72"/>
      <c r="VG20" s="72"/>
      <c r="VH20" s="72"/>
      <c r="VI20" s="72"/>
      <c r="VJ20" s="72"/>
      <c r="VK20" s="72"/>
      <c r="VL20" s="72"/>
      <c r="VM20" s="72"/>
      <c r="VN20" s="72"/>
      <c r="VO20" s="72"/>
      <c r="VP20" s="72"/>
      <c r="VQ20" s="72"/>
      <c r="VR20" s="72"/>
      <c r="VS20" s="72"/>
      <c r="VT20" s="72"/>
      <c r="VU20" s="72"/>
      <c r="VV20" s="72"/>
      <c r="VW20" s="72"/>
      <c r="VX20" s="72"/>
      <c r="VY20" s="72"/>
      <c r="VZ20" s="72"/>
      <c r="WA20" s="72"/>
      <c r="WB20" s="72"/>
      <c r="WC20" s="72"/>
      <c r="WD20" s="72"/>
      <c r="WE20" s="72"/>
      <c r="WF20" s="72"/>
      <c r="WG20" s="72"/>
      <c r="WH20" s="72"/>
      <c r="WI20" s="72"/>
      <c r="WJ20" s="72"/>
      <c r="WK20" s="72"/>
      <c r="WL20" s="72"/>
      <c r="WM20" s="72"/>
      <c r="WN20" s="72"/>
      <c r="WO20" s="72"/>
      <c r="WP20" s="72"/>
      <c r="WQ20" s="72"/>
      <c r="WR20" s="72"/>
      <c r="WS20" s="72"/>
      <c r="WT20" s="72"/>
      <c r="WU20" s="72"/>
      <c r="WV20" s="72"/>
      <c r="WW20" s="72"/>
      <c r="WX20" s="72"/>
      <c r="WY20" s="72"/>
      <c r="WZ20" s="72"/>
      <c r="XA20" s="72"/>
      <c r="XB20" s="72"/>
      <c r="XC20" s="72"/>
      <c r="XD20" s="72"/>
      <c r="XE20" s="72"/>
      <c r="XF20" s="72"/>
      <c r="XG20" s="72"/>
      <c r="XH20" s="72"/>
      <c r="XI20" s="72"/>
      <c r="XJ20" s="72"/>
      <c r="XK20" s="72"/>
      <c r="XL20" s="72"/>
      <c r="XM20" s="72"/>
      <c r="XN20" s="72"/>
      <c r="XO20" s="72"/>
      <c r="XP20" s="72"/>
      <c r="XQ20" s="72"/>
      <c r="XR20" s="72"/>
      <c r="XS20" s="72"/>
      <c r="XT20" s="72"/>
      <c r="XU20" s="72"/>
      <c r="XV20" s="72"/>
      <c r="XW20" s="72"/>
      <c r="XX20" s="72"/>
      <c r="XY20" s="72"/>
      <c r="XZ20" s="72"/>
      <c r="YA20" s="72"/>
      <c r="YB20" s="72"/>
      <c r="YC20" s="72"/>
      <c r="YD20" s="72"/>
      <c r="YE20" s="72"/>
      <c r="YF20" s="72"/>
      <c r="YG20" s="72"/>
      <c r="YH20" s="72"/>
      <c r="YI20" s="72"/>
      <c r="YJ20" s="72"/>
      <c r="YK20" s="72"/>
      <c r="YL20" s="72"/>
      <c r="YM20" s="72"/>
      <c r="YN20" s="72"/>
      <c r="YO20" s="72"/>
      <c r="YP20" s="72"/>
      <c r="YQ20" s="72"/>
      <c r="YR20" s="72"/>
      <c r="YS20" s="72"/>
      <c r="YT20" s="72"/>
      <c r="YU20" s="72"/>
      <c r="YV20" s="72"/>
      <c r="YW20" s="72"/>
      <c r="YX20" s="72"/>
      <c r="YY20" s="72"/>
      <c r="YZ20" s="72"/>
      <c r="ZA20" s="72"/>
      <c r="ZB20" s="72"/>
      <c r="ZC20" s="72"/>
      <c r="ZD20" s="72"/>
      <c r="ZE20" s="72"/>
      <c r="ZF20" s="72"/>
      <c r="ZG20" s="72"/>
      <c r="ZH20" s="72"/>
      <c r="ZI20" s="72"/>
      <c r="ZJ20" s="72"/>
      <c r="ZK20" s="72"/>
      <c r="ZL20" s="72"/>
      <c r="ZM20" s="72"/>
      <c r="ZN20" s="72"/>
      <c r="ZO20" s="72"/>
      <c r="ZP20" s="72"/>
      <c r="ZQ20" s="72"/>
      <c r="ZR20" s="72"/>
      <c r="ZS20" s="72"/>
      <c r="ZT20" s="72"/>
      <c r="ZU20" s="72"/>
      <c r="ZV20" s="72"/>
      <c r="ZW20" s="72"/>
      <c r="ZX20" s="72"/>
      <c r="ZY20" s="72"/>
      <c r="ZZ20" s="72"/>
      <c r="AAA20" s="72"/>
      <c r="AAB20" s="72"/>
      <c r="AAC20" s="72"/>
      <c r="AAD20" s="72"/>
      <c r="AAE20" s="72"/>
      <c r="AAF20" s="72"/>
      <c r="AAG20" s="72"/>
      <c r="AAH20" s="72"/>
      <c r="AAI20" s="72"/>
      <c r="AAJ20" s="72"/>
      <c r="AAK20" s="72"/>
      <c r="AAL20" s="72"/>
      <c r="AAM20" s="72"/>
      <c r="AAN20" s="72"/>
      <c r="AAO20" s="72"/>
      <c r="AAP20" s="72"/>
      <c r="AAQ20" s="72"/>
      <c r="AAR20" s="72"/>
      <c r="AAS20" s="72"/>
      <c r="AAT20" s="72"/>
      <c r="AAU20" s="72"/>
      <c r="AAV20" s="72"/>
      <c r="AAW20" s="72"/>
      <c r="AAX20" s="72"/>
      <c r="AAY20" s="72"/>
      <c r="AAZ20" s="72"/>
      <c r="ABA20" s="72"/>
      <c r="ABB20" s="72"/>
      <c r="ABC20" s="72"/>
      <c r="ABD20" s="72"/>
      <c r="ABE20" s="72"/>
      <c r="ABF20" s="72"/>
      <c r="ABG20" s="72"/>
      <c r="ABH20" s="72"/>
      <c r="ABI20" s="72"/>
      <c r="ABJ20" s="72"/>
      <c r="ABK20" s="72"/>
      <c r="ABL20" s="72"/>
      <c r="ABM20" s="72"/>
      <c r="ABN20" s="72"/>
      <c r="ABO20" s="72"/>
      <c r="ABP20" s="72"/>
      <c r="ABQ20" s="72"/>
      <c r="ABR20" s="72"/>
      <c r="ABS20" s="72"/>
      <c r="ABT20" s="72"/>
      <c r="ABU20" s="72"/>
      <c r="ABV20" s="72"/>
      <c r="ABW20" s="72"/>
      <c r="ABX20" s="72"/>
      <c r="ABY20" s="72"/>
      <c r="ABZ20" s="72"/>
      <c r="ACA20" s="72"/>
      <c r="ACB20" s="72"/>
      <c r="ACC20" s="72"/>
      <c r="ACD20" s="72"/>
      <c r="ACE20" s="72"/>
      <c r="ACF20" s="72"/>
      <c r="ACG20" s="72"/>
      <c r="ACH20" s="72"/>
      <c r="ACI20" s="72"/>
      <c r="ACJ20" s="72"/>
      <c r="ACK20" s="72"/>
      <c r="ACL20" s="72"/>
      <c r="ACM20" s="72"/>
      <c r="ACN20" s="72"/>
      <c r="ACO20" s="72"/>
      <c r="ACP20" s="72"/>
      <c r="ACQ20" s="72"/>
      <c r="ACR20" s="72"/>
      <c r="ACS20" s="72"/>
      <c r="ACT20" s="72"/>
      <c r="ACU20" s="72"/>
      <c r="ACV20" s="72"/>
      <c r="ACW20" s="72"/>
      <c r="ACX20" s="72"/>
      <c r="ACY20" s="72"/>
      <c r="ACZ20" s="72"/>
      <c r="ADA20" s="72"/>
      <c r="ADB20" s="72"/>
      <c r="ADC20" s="72"/>
      <c r="ADD20" s="72"/>
      <c r="ADE20" s="72"/>
      <c r="ADF20" s="72"/>
      <c r="ADG20" s="72"/>
      <c r="ADH20" s="72"/>
      <c r="ADI20" s="72"/>
      <c r="ADJ20" s="72"/>
      <c r="ADK20" s="72"/>
      <c r="ADL20" s="72"/>
      <c r="ADM20" s="72"/>
      <c r="ADN20" s="72"/>
      <c r="ADO20" s="72"/>
      <c r="ADP20" s="72"/>
      <c r="ADQ20" s="72"/>
      <c r="ADR20" s="72"/>
      <c r="ADS20" s="72"/>
      <c r="ADT20" s="72"/>
      <c r="ADU20" s="72"/>
      <c r="ADV20" s="72"/>
      <c r="ADW20" s="72"/>
      <c r="ADX20" s="72"/>
      <c r="ADY20" s="72"/>
      <c r="ADZ20" s="72"/>
      <c r="AEA20" s="72"/>
      <c r="AEB20" s="72"/>
      <c r="AEC20" s="72"/>
      <c r="AED20" s="72"/>
      <c r="AEE20" s="72"/>
      <c r="AEF20" s="72"/>
      <c r="AEG20" s="72"/>
      <c r="AEH20" s="72"/>
      <c r="AEI20" s="72"/>
      <c r="AEJ20" s="72"/>
      <c r="AEK20" s="72"/>
      <c r="AEL20" s="72"/>
      <c r="AEM20" s="72"/>
      <c r="AEN20" s="72"/>
      <c r="AEO20" s="72"/>
      <c r="AEP20" s="72"/>
      <c r="AEQ20" s="72"/>
      <c r="AER20" s="72"/>
      <c r="AES20" s="72"/>
      <c r="AET20" s="72"/>
      <c r="AEU20" s="72"/>
      <c r="AEV20" s="72"/>
      <c r="AEW20" s="72"/>
      <c r="AEX20" s="72"/>
      <c r="AEY20" s="72"/>
      <c r="AEZ20" s="72"/>
      <c r="AFA20" s="72"/>
      <c r="AFB20" s="72"/>
      <c r="AFC20" s="72"/>
      <c r="AFD20" s="72"/>
      <c r="AFE20" s="72"/>
      <c r="AFF20" s="72"/>
      <c r="AFG20" s="72"/>
      <c r="AFH20" s="72"/>
      <c r="AFI20" s="72"/>
      <c r="AFJ20" s="72"/>
      <c r="AFK20" s="72"/>
      <c r="AFL20" s="72"/>
      <c r="AFM20" s="72"/>
      <c r="AFN20" s="72"/>
      <c r="AFO20" s="72"/>
      <c r="AFP20" s="72"/>
      <c r="AFQ20" s="72"/>
      <c r="AFR20" s="72"/>
      <c r="AFS20" s="72"/>
      <c r="AFT20" s="72"/>
      <c r="AFU20" s="72"/>
      <c r="AFV20" s="72"/>
      <c r="AFW20" s="72"/>
      <c r="AFX20" s="72"/>
      <c r="AFY20" s="72"/>
      <c r="AFZ20" s="72"/>
      <c r="AGA20" s="72"/>
      <c r="AGB20" s="72"/>
      <c r="AGC20" s="72"/>
      <c r="AGD20" s="72"/>
      <c r="AGE20" s="72"/>
      <c r="AGF20" s="72"/>
      <c r="AGG20" s="72"/>
      <c r="AGH20" s="72"/>
      <c r="AGI20" s="72"/>
      <c r="AGJ20" s="72"/>
      <c r="AGK20" s="72"/>
      <c r="AGL20" s="72"/>
      <c r="AGM20" s="72"/>
      <c r="AGN20" s="72"/>
      <c r="AGO20" s="72"/>
      <c r="AGP20" s="72"/>
      <c r="AGQ20" s="72"/>
      <c r="AGR20" s="72"/>
      <c r="AGS20" s="72"/>
      <c r="AGT20" s="72"/>
      <c r="AGU20" s="72"/>
      <c r="AGV20" s="72"/>
      <c r="AGW20" s="72"/>
      <c r="AGX20" s="72"/>
      <c r="AGY20" s="72"/>
      <c r="AGZ20" s="72"/>
      <c r="AHA20" s="72"/>
      <c r="AHB20" s="72"/>
      <c r="AHC20" s="72"/>
      <c r="AHD20" s="72"/>
      <c r="AHE20" s="72"/>
      <c r="AHF20" s="72"/>
      <c r="AHG20" s="72"/>
      <c r="AHH20" s="72"/>
      <c r="AHI20" s="72"/>
      <c r="AHJ20" s="72"/>
      <c r="AHK20" s="72"/>
      <c r="AHL20" s="72"/>
      <c r="AHM20" s="72"/>
      <c r="AHN20" s="72"/>
      <c r="AHO20" s="72"/>
      <c r="AHP20" s="72"/>
      <c r="AHQ20" s="72"/>
      <c r="AHR20" s="72"/>
      <c r="AHS20" s="72"/>
      <c r="AHT20" s="72"/>
      <c r="AHU20" s="72"/>
      <c r="AHV20" s="72"/>
      <c r="AHW20" s="72"/>
      <c r="AHX20" s="72"/>
      <c r="AHY20" s="72"/>
      <c r="AHZ20" s="72"/>
      <c r="AIA20" s="72"/>
      <c r="AIB20" s="72"/>
      <c r="AIC20" s="72"/>
      <c r="AID20" s="72"/>
      <c r="AIE20" s="72"/>
      <c r="AIF20" s="72"/>
      <c r="AIG20" s="72"/>
      <c r="AIH20" s="72"/>
      <c r="AII20" s="72"/>
      <c r="AIJ20" s="72"/>
      <c r="AIK20" s="72"/>
      <c r="AIL20" s="72"/>
      <c r="AIM20" s="72"/>
      <c r="AIN20" s="72"/>
      <c r="AIO20" s="72"/>
      <c r="AIP20" s="72"/>
      <c r="AIQ20" s="72"/>
      <c r="AIR20" s="72"/>
      <c r="AIS20" s="72"/>
      <c r="AIT20" s="72"/>
      <c r="AIU20" s="72"/>
      <c r="AIV20" s="72"/>
      <c r="AIW20" s="72"/>
      <c r="AIX20" s="72"/>
      <c r="AIY20" s="72"/>
      <c r="AIZ20" s="72"/>
      <c r="AJA20" s="72"/>
      <c r="AJB20" s="72"/>
      <c r="AJC20" s="72"/>
      <c r="AJD20" s="72"/>
      <c r="AJE20" s="72"/>
      <c r="AJF20" s="72"/>
      <c r="AJG20" s="72"/>
      <c r="AJH20" s="72"/>
      <c r="AJI20" s="72"/>
      <c r="AJJ20" s="72"/>
      <c r="AJK20" s="72"/>
      <c r="AJL20" s="72"/>
      <c r="AJM20" s="72"/>
      <c r="AJN20" s="72"/>
      <c r="AJO20" s="72"/>
      <c r="AJP20" s="72"/>
      <c r="AJQ20" s="72"/>
      <c r="AJR20" s="72"/>
      <c r="AJS20" s="72"/>
      <c r="AJT20" s="72"/>
      <c r="AJU20" s="72"/>
      <c r="AJV20" s="72"/>
      <c r="AJW20" s="72"/>
      <c r="AJX20" s="72"/>
      <c r="AJY20" s="72"/>
      <c r="AJZ20" s="72"/>
      <c r="AKA20" s="72"/>
      <c r="AKB20" s="72"/>
      <c r="AKC20" s="72"/>
      <c r="AKD20" s="72"/>
      <c r="AKE20" s="72"/>
      <c r="AKF20" s="72"/>
      <c r="AKG20" s="72"/>
      <c r="AKH20" s="72"/>
      <c r="AKI20" s="72"/>
      <c r="AKJ20" s="72"/>
      <c r="AKK20" s="72"/>
      <c r="AKL20" s="72"/>
      <c r="AKM20" s="72"/>
      <c r="AKN20" s="72"/>
      <c r="AKO20" s="72"/>
      <c r="AKP20" s="72"/>
      <c r="AKQ20" s="72"/>
      <c r="AKR20" s="72"/>
      <c r="AKS20" s="72"/>
      <c r="AKT20" s="72"/>
      <c r="AKU20" s="72"/>
      <c r="AKV20" s="72"/>
      <c r="AKW20" s="72"/>
      <c r="AKX20" s="72"/>
      <c r="AKY20" s="72"/>
      <c r="AKZ20" s="72"/>
      <c r="ALA20" s="72"/>
      <c r="ALB20" s="72"/>
      <c r="ALC20" s="72"/>
      <c r="ALD20" s="72"/>
      <c r="ALE20" s="72"/>
      <c r="ALF20" s="72"/>
      <c r="ALG20" s="72"/>
      <c r="ALH20" s="72"/>
      <c r="ALI20" s="72"/>
      <c r="ALJ20" s="72"/>
      <c r="ALK20" s="72"/>
      <c r="ALL20" s="72"/>
      <c r="ALM20" s="72"/>
      <c r="ALN20" s="72"/>
      <c r="ALO20" s="72"/>
      <c r="ALP20" s="72"/>
      <c r="ALQ20" s="72"/>
      <c r="ALR20" s="72"/>
      <c r="ALS20" s="72"/>
      <c r="ALT20" s="72"/>
      <c r="ALU20" s="72"/>
      <c r="ALV20" s="72"/>
      <c r="ALW20" s="72"/>
      <c r="ALX20" s="72"/>
      <c r="ALY20" s="72"/>
      <c r="ALZ20" s="72"/>
      <c r="AMA20" s="72"/>
      <c r="AMB20" s="72"/>
      <c r="AMC20" s="72"/>
      <c r="AMD20" s="72"/>
      <c r="AME20" s="72"/>
      <c r="AMF20" s="72"/>
      <c r="AMG20" s="72"/>
      <c r="AMH20" s="72"/>
      <c r="AMI20" s="72"/>
      <c r="AMJ20" s="72"/>
      <c r="AMK20" s="72"/>
      <c r="AML20" s="72"/>
      <c r="AMM20" s="72"/>
      <c r="AMN20" s="72"/>
      <c r="AMO20" s="72"/>
      <c r="AMP20" s="72"/>
      <c r="AMQ20" s="72"/>
      <c r="AMR20" s="72"/>
      <c r="AMS20" s="72"/>
      <c r="AMT20" s="72"/>
      <c r="AMU20" s="72"/>
      <c r="AMV20" s="72"/>
      <c r="AMW20" s="72"/>
      <c r="AMX20" s="72"/>
      <c r="AMY20" s="72"/>
      <c r="AMZ20" s="72"/>
      <c r="ANA20" s="72"/>
      <c r="ANB20" s="72"/>
      <c r="ANC20" s="72"/>
      <c r="AND20" s="72"/>
      <c r="ANE20" s="72"/>
      <c r="ANF20" s="72"/>
      <c r="ANG20" s="72"/>
      <c r="ANH20" s="72"/>
      <c r="ANI20" s="72"/>
      <c r="ANJ20" s="72"/>
      <c r="ANK20" s="72"/>
      <c r="ANL20" s="72"/>
      <c r="ANM20" s="72"/>
      <c r="ANN20" s="72"/>
      <c r="ANO20" s="72"/>
      <c r="ANP20" s="72"/>
      <c r="ANQ20" s="72"/>
      <c r="ANR20" s="72"/>
      <c r="ANS20" s="72"/>
      <c r="ANT20" s="72"/>
      <c r="ANU20" s="72"/>
      <c r="ANV20" s="72"/>
      <c r="ANW20" s="72"/>
      <c r="ANX20" s="72"/>
      <c r="ANY20" s="72"/>
      <c r="ANZ20" s="72"/>
      <c r="AOA20" s="72"/>
      <c r="AOB20" s="72"/>
      <c r="AOC20" s="72"/>
      <c r="AOD20" s="72"/>
      <c r="AOE20" s="72"/>
      <c r="AOF20" s="72"/>
      <c r="AOG20" s="72"/>
      <c r="AOH20" s="72"/>
      <c r="AOI20" s="72"/>
      <c r="AOJ20" s="72"/>
      <c r="AOK20" s="72"/>
      <c r="AOL20" s="72"/>
      <c r="AOM20" s="72"/>
      <c r="AON20" s="72"/>
      <c r="AOO20" s="72"/>
      <c r="AOP20" s="72"/>
      <c r="AOQ20" s="72"/>
      <c r="AOR20" s="72"/>
      <c r="AOS20" s="72"/>
      <c r="AOT20" s="72"/>
      <c r="AOU20" s="72"/>
      <c r="AOV20" s="72"/>
      <c r="AOW20" s="72"/>
      <c r="AOX20" s="72"/>
      <c r="AOY20" s="72"/>
      <c r="AOZ20" s="72"/>
      <c r="APA20" s="72"/>
      <c r="APB20" s="72"/>
      <c r="APC20" s="72"/>
      <c r="APD20" s="72"/>
      <c r="APE20" s="72"/>
      <c r="APF20" s="72"/>
      <c r="APG20" s="72"/>
      <c r="APH20" s="72"/>
      <c r="API20" s="72"/>
      <c r="APJ20" s="72"/>
      <c r="APK20" s="72"/>
      <c r="APL20" s="72"/>
      <c r="APM20" s="72"/>
      <c r="APN20" s="72"/>
      <c r="APO20" s="72"/>
      <c r="APP20" s="72"/>
      <c r="APQ20" s="72"/>
      <c r="APR20" s="72"/>
      <c r="APS20" s="72"/>
      <c r="APT20" s="72"/>
      <c r="APU20" s="72"/>
      <c r="APV20" s="72"/>
      <c r="APW20" s="72"/>
      <c r="APX20" s="72"/>
      <c r="APY20" s="72"/>
      <c r="APZ20" s="72"/>
      <c r="AQA20" s="72"/>
      <c r="AQB20" s="72"/>
      <c r="AQC20" s="72"/>
      <c r="AQD20" s="72"/>
      <c r="AQE20" s="72"/>
      <c r="AQF20" s="72"/>
      <c r="AQG20" s="72"/>
      <c r="AQH20" s="72"/>
      <c r="AQI20" s="72"/>
      <c r="AQJ20" s="72"/>
      <c r="AQK20" s="72"/>
      <c r="AQL20" s="72"/>
      <c r="AQM20" s="72"/>
      <c r="AQN20" s="72"/>
      <c r="AQO20" s="72"/>
      <c r="AQP20" s="72"/>
      <c r="AQQ20" s="72"/>
      <c r="AQR20" s="72"/>
      <c r="AQS20" s="72"/>
      <c r="AQT20" s="72"/>
      <c r="AQU20" s="72"/>
      <c r="AQV20" s="72"/>
      <c r="AQW20" s="72"/>
      <c r="AQX20" s="72"/>
      <c r="AQY20" s="72"/>
      <c r="AQZ20" s="72"/>
      <c r="ARA20" s="72"/>
      <c r="ARB20" s="72"/>
      <c r="ARC20" s="72"/>
      <c r="ARD20" s="72"/>
      <c r="ARE20" s="72"/>
      <c r="ARF20" s="72"/>
      <c r="ARG20" s="72"/>
      <c r="ARH20" s="72"/>
      <c r="ARI20" s="72"/>
      <c r="ARJ20" s="72"/>
      <c r="ARK20" s="72"/>
      <c r="ARL20" s="72"/>
      <c r="ARM20" s="72"/>
      <c r="ARN20" s="72"/>
      <c r="ARO20" s="72"/>
      <c r="ARP20" s="72"/>
      <c r="ARQ20" s="72"/>
      <c r="ARR20" s="72"/>
      <c r="ARS20" s="72"/>
      <c r="ART20" s="72"/>
      <c r="ARU20" s="72"/>
      <c r="ARV20" s="72"/>
      <c r="ARW20" s="72"/>
      <c r="ARX20" s="72"/>
      <c r="ARY20" s="72"/>
      <c r="ARZ20" s="72"/>
      <c r="ASA20" s="72"/>
      <c r="ASB20" s="72"/>
      <c r="ASC20" s="72"/>
      <c r="ASD20" s="72"/>
      <c r="ASE20" s="72"/>
      <c r="ASF20" s="72"/>
      <c r="ASG20" s="72"/>
      <c r="ASH20" s="72"/>
      <c r="ASI20" s="72"/>
      <c r="ASJ20" s="72"/>
      <c r="ASK20" s="72"/>
      <c r="ASL20" s="72"/>
      <c r="ASM20" s="72"/>
      <c r="ASN20" s="72"/>
      <c r="ASO20" s="72"/>
      <c r="ASP20" s="72"/>
      <c r="ASQ20" s="72"/>
      <c r="ASR20" s="72"/>
      <c r="ASS20" s="72"/>
      <c r="AST20" s="72"/>
      <c r="ASU20" s="72"/>
      <c r="ASV20" s="72"/>
      <c r="ASW20" s="72"/>
      <c r="ASX20" s="72"/>
      <c r="ASY20" s="72"/>
      <c r="ASZ20" s="72"/>
      <c r="ATA20" s="72"/>
      <c r="ATB20" s="72"/>
      <c r="ATC20" s="72"/>
      <c r="ATD20" s="72"/>
      <c r="ATE20" s="72"/>
      <c r="ATF20" s="72"/>
      <c r="ATG20" s="72"/>
      <c r="ATH20" s="72"/>
      <c r="ATI20" s="72"/>
      <c r="ATJ20" s="72"/>
      <c r="ATK20" s="72"/>
      <c r="ATL20" s="72"/>
      <c r="ATM20" s="72"/>
      <c r="ATN20" s="72"/>
      <c r="ATO20" s="72"/>
      <c r="ATP20" s="72"/>
      <c r="ATQ20" s="72"/>
      <c r="ATR20" s="72"/>
      <c r="ATS20" s="72"/>
      <c r="ATT20" s="72"/>
      <c r="ATU20" s="72"/>
      <c r="ATV20" s="72"/>
      <c r="ATW20" s="72"/>
      <c r="ATX20" s="72"/>
      <c r="ATY20" s="72"/>
      <c r="ATZ20" s="72"/>
      <c r="AUA20" s="72"/>
      <c r="AUB20" s="72"/>
      <c r="AUC20" s="72"/>
      <c r="AUD20" s="72"/>
      <c r="AUE20" s="72"/>
      <c r="AUF20" s="72"/>
      <c r="AUG20" s="72"/>
      <c r="AUH20" s="72"/>
      <c r="AUI20" s="72"/>
      <c r="AUJ20" s="72"/>
      <c r="AUK20" s="72"/>
      <c r="AUL20" s="72"/>
      <c r="AUM20" s="72"/>
      <c r="AUN20" s="72"/>
      <c r="AUO20" s="72"/>
      <c r="AUP20" s="72"/>
      <c r="AUQ20" s="72"/>
      <c r="AUR20" s="72"/>
      <c r="AUS20" s="72"/>
      <c r="AUT20" s="72"/>
      <c r="AUU20" s="72"/>
      <c r="AUV20" s="72"/>
      <c r="AUW20" s="72"/>
      <c r="AUX20" s="72"/>
      <c r="AUY20" s="72"/>
      <c r="AUZ20" s="72"/>
      <c r="AVA20" s="72"/>
      <c r="AVB20" s="72"/>
      <c r="AVC20" s="72"/>
      <c r="AVD20" s="72"/>
      <c r="AVE20" s="72"/>
      <c r="AVF20" s="72"/>
      <c r="AVG20" s="72"/>
      <c r="AVH20" s="72"/>
      <c r="AVI20" s="72"/>
      <c r="AVJ20" s="72"/>
      <c r="AVK20" s="72"/>
      <c r="AVL20" s="72"/>
      <c r="AVM20" s="72"/>
      <c r="AVN20" s="72"/>
      <c r="AVO20" s="72"/>
      <c r="AVP20" s="72"/>
      <c r="AVQ20" s="72"/>
      <c r="AVR20" s="72"/>
      <c r="AVS20" s="72"/>
      <c r="AVT20" s="72"/>
      <c r="AVU20" s="72"/>
      <c r="AVV20" s="72"/>
      <c r="AVW20" s="72"/>
      <c r="AVX20" s="72"/>
      <c r="AVY20" s="72"/>
      <c r="AVZ20" s="72"/>
      <c r="AWA20" s="72"/>
      <c r="AWB20" s="72"/>
      <c r="AWC20" s="72"/>
      <c r="AWD20" s="72"/>
      <c r="AWE20" s="72"/>
      <c r="AWF20" s="72"/>
      <c r="AWG20" s="72"/>
      <c r="AWH20" s="72"/>
      <c r="AWI20" s="72"/>
      <c r="AWJ20" s="72"/>
      <c r="AWK20" s="72"/>
      <c r="AWL20" s="72"/>
      <c r="AWM20" s="72"/>
      <c r="AWN20" s="72"/>
      <c r="AWO20" s="72"/>
      <c r="AWP20" s="72"/>
      <c r="AWQ20" s="72"/>
      <c r="AWR20" s="72"/>
      <c r="AWS20" s="72"/>
      <c r="AWT20" s="72"/>
      <c r="AWU20" s="72"/>
      <c r="AWV20" s="72"/>
      <c r="AWW20" s="72"/>
      <c r="AWX20" s="72"/>
      <c r="AWY20" s="72"/>
      <c r="AWZ20" s="72"/>
      <c r="AXA20" s="72"/>
      <c r="AXB20" s="72"/>
      <c r="AXC20" s="72"/>
      <c r="AXD20" s="72"/>
      <c r="AXE20" s="72"/>
      <c r="AXF20" s="72"/>
      <c r="AXG20" s="72"/>
      <c r="AXH20" s="72"/>
      <c r="AXI20" s="72"/>
      <c r="AXJ20" s="72"/>
      <c r="AXK20" s="72"/>
      <c r="AXL20" s="72"/>
      <c r="AXM20" s="72"/>
      <c r="AXN20" s="72"/>
      <c r="AXO20" s="72"/>
      <c r="AXP20" s="72"/>
      <c r="AXQ20" s="72"/>
      <c r="AXR20" s="72"/>
      <c r="AXS20" s="72"/>
      <c r="AXT20" s="72"/>
      <c r="AXU20" s="72"/>
      <c r="AXV20" s="72"/>
      <c r="AXW20" s="72"/>
      <c r="AXX20" s="72"/>
      <c r="AXY20" s="72"/>
      <c r="AXZ20" s="72"/>
      <c r="AYA20" s="72"/>
      <c r="AYB20" s="72"/>
      <c r="AYC20" s="72"/>
      <c r="AYD20" s="72"/>
      <c r="AYE20" s="72"/>
      <c r="AYF20" s="72"/>
      <c r="AYG20" s="72"/>
      <c r="AYH20" s="72"/>
      <c r="AYI20" s="72"/>
      <c r="AYJ20" s="72"/>
      <c r="AYK20" s="72"/>
      <c r="AYL20" s="72"/>
      <c r="AYM20" s="72"/>
      <c r="AYN20" s="72"/>
      <c r="AYO20" s="72"/>
      <c r="AYP20" s="72"/>
      <c r="AYQ20" s="72"/>
      <c r="AYR20" s="72"/>
      <c r="AYS20" s="72"/>
      <c r="AYT20" s="72"/>
      <c r="AYU20" s="72"/>
      <c r="AYV20" s="72"/>
      <c r="AYW20" s="72"/>
      <c r="AYX20" s="72"/>
      <c r="AYY20" s="72"/>
      <c r="AYZ20" s="72"/>
      <c r="AZA20" s="72"/>
      <c r="AZB20" s="72"/>
      <c r="AZC20" s="72"/>
      <c r="AZD20" s="72"/>
      <c r="AZE20" s="72"/>
      <c r="AZF20" s="72"/>
      <c r="AZG20" s="72"/>
      <c r="AZH20" s="72"/>
      <c r="AZI20" s="72"/>
      <c r="AZJ20" s="72"/>
      <c r="AZK20" s="72"/>
      <c r="AZL20" s="72"/>
      <c r="AZM20" s="72"/>
      <c r="AZN20" s="72"/>
      <c r="AZO20" s="72"/>
      <c r="AZP20" s="72"/>
      <c r="AZQ20" s="72"/>
      <c r="AZR20" s="72"/>
      <c r="AZS20" s="72"/>
      <c r="AZT20" s="72"/>
      <c r="AZU20" s="72"/>
      <c r="AZV20" s="72"/>
      <c r="AZW20" s="72"/>
      <c r="AZX20" s="72"/>
      <c r="AZY20" s="72"/>
      <c r="AZZ20" s="72"/>
      <c r="BAA20" s="72"/>
      <c r="BAB20" s="72"/>
      <c r="BAC20" s="72"/>
      <c r="BAD20" s="72"/>
      <c r="BAE20" s="72"/>
      <c r="BAF20" s="72"/>
      <c r="BAG20" s="72"/>
      <c r="BAH20" s="72"/>
      <c r="BAI20" s="72"/>
      <c r="BAJ20" s="72"/>
      <c r="BAK20" s="72"/>
      <c r="BAL20" s="72"/>
      <c r="BAM20" s="72"/>
      <c r="BAN20" s="72"/>
      <c r="BAO20" s="72"/>
      <c r="BAP20" s="72"/>
      <c r="BAQ20" s="72"/>
      <c r="BAR20" s="72"/>
      <c r="BAS20" s="72"/>
      <c r="BAT20" s="72"/>
      <c r="BAU20" s="72"/>
      <c r="BAV20" s="72"/>
      <c r="BAW20" s="72"/>
      <c r="BAX20" s="72"/>
      <c r="BAY20" s="72"/>
      <c r="BAZ20" s="72"/>
      <c r="BBA20" s="72"/>
      <c r="BBB20" s="72"/>
      <c r="BBC20" s="72"/>
      <c r="BBD20" s="72"/>
      <c r="BBE20" s="72"/>
      <c r="BBF20" s="72"/>
      <c r="BBG20" s="72"/>
      <c r="BBH20" s="72"/>
      <c r="BBI20" s="72"/>
      <c r="BBJ20" s="72"/>
      <c r="BBK20" s="72"/>
      <c r="BBL20" s="72"/>
      <c r="BBM20" s="72"/>
      <c r="BBN20" s="72"/>
      <c r="BBO20" s="72"/>
      <c r="BBP20" s="72"/>
      <c r="BBQ20" s="72"/>
      <c r="BBR20" s="72"/>
      <c r="BBS20" s="72"/>
      <c r="BBT20" s="72"/>
      <c r="BBU20" s="72"/>
      <c r="BBV20" s="72"/>
      <c r="BBW20" s="72"/>
      <c r="BBX20" s="72"/>
      <c r="BBY20" s="72"/>
      <c r="BBZ20" s="72"/>
      <c r="BCA20" s="72"/>
      <c r="BCB20" s="72"/>
      <c r="BCC20" s="72"/>
      <c r="BCD20" s="72"/>
      <c r="BCE20" s="72"/>
      <c r="BCF20" s="72"/>
      <c r="BCG20" s="72"/>
      <c r="BCH20" s="72"/>
      <c r="BCI20" s="72"/>
      <c r="BCJ20" s="72"/>
      <c r="BCK20" s="72"/>
      <c r="BCL20" s="72"/>
      <c r="BCM20" s="72"/>
      <c r="BCN20" s="72"/>
      <c r="BCO20" s="72"/>
      <c r="BCP20" s="72"/>
      <c r="BCQ20" s="72"/>
      <c r="BCR20" s="72"/>
      <c r="BCS20" s="72"/>
      <c r="BCT20" s="72"/>
      <c r="BCU20" s="72"/>
      <c r="BCV20" s="72"/>
      <c r="BCW20" s="72"/>
      <c r="BCX20" s="72"/>
      <c r="BCY20" s="72"/>
      <c r="BCZ20" s="72"/>
      <c r="BDA20" s="72"/>
      <c r="BDB20" s="72"/>
      <c r="BDC20" s="72"/>
      <c r="BDD20" s="72"/>
      <c r="BDE20" s="72"/>
      <c r="BDF20" s="72"/>
      <c r="BDG20" s="72"/>
      <c r="BDH20" s="72"/>
      <c r="BDI20" s="72"/>
      <c r="BDJ20" s="72"/>
      <c r="BDK20" s="72"/>
      <c r="BDL20" s="72"/>
      <c r="BDM20" s="72"/>
      <c r="BDN20" s="72"/>
      <c r="BDO20" s="72"/>
      <c r="BDP20" s="72"/>
      <c r="BDQ20" s="72"/>
      <c r="BDR20" s="72"/>
      <c r="BDS20" s="72"/>
      <c r="BDT20" s="72"/>
      <c r="BDU20" s="72"/>
      <c r="BDV20" s="72"/>
      <c r="BDW20" s="72"/>
      <c r="BDX20" s="72"/>
      <c r="BDY20" s="72"/>
      <c r="BDZ20" s="72"/>
      <c r="BEA20" s="72"/>
      <c r="BEB20" s="72"/>
      <c r="BEC20" s="72"/>
      <c r="BED20" s="72"/>
      <c r="BEE20" s="72"/>
      <c r="BEF20" s="72"/>
      <c r="BEG20" s="72"/>
      <c r="BEH20" s="72"/>
      <c r="BEI20" s="72"/>
      <c r="BEJ20" s="72"/>
      <c r="BEK20" s="72"/>
      <c r="BEL20" s="72"/>
      <c r="BEM20" s="72"/>
      <c r="BEN20" s="72"/>
      <c r="BEO20" s="72"/>
      <c r="BEP20" s="72"/>
      <c r="BEQ20" s="72"/>
      <c r="BER20" s="72"/>
      <c r="BES20" s="72"/>
      <c r="BET20" s="72"/>
      <c r="BEU20" s="72"/>
      <c r="BEV20" s="72"/>
      <c r="BEW20" s="72"/>
      <c r="BEX20" s="72"/>
      <c r="BEY20" s="72"/>
      <c r="BEZ20" s="72"/>
      <c r="BFA20" s="72"/>
      <c r="BFB20" s="72"/>
      <c r="BFC20" s="72"/>
      <c r="BFD20" s="72"/>
      <c r="BFE20" s="72"/>
      <c r="BFF20" s="72"/>
      <c r="BFG20" s="72"/>
      <c r="BFH20" s="72"/>
      <c r="BFI20" s="72"/>
      <c r="BFJ20" s="72"/>
      <c r="BFK20" s="72"/>
      <c r="BFL20" s="72"/>
      <c r="BFM20" s="72"/>
      <c r="BFN20" s="72"/>
      <c r="BFO20" s="72"/>
      <c r="BFP20" s="72"/>
      <c r="BFQ20" s="72"/>
      <c r="BFR20" s="72"/>
      <c r="BFS20" s="72"/>
      <c r="BFT20" s="72"/>
      <c r="BFU20" s="72"/>
      <c r="BFV20" s="72"/>
      <c r="BFW20" s="72"/>
      <c r="BFX20" s="72"/>
      <c r="BFY20" s="72"/>
      <c r="BFZ20" s="72"/>
      <c r="BGA20" s="72"/>
      <c r="BGB20" s="72"/>
      <c r="BGC20" s="72"/>
      <c r="BGD20" s="72"/>
      <c r="BGE20" s="72"/>
      <c r="BGF20" s="72"/>
      <c r="BGG20" s="72"/>
      <c r="BGH20" s="72"/>
      <c r="BGI20" s="72"/>
      <c r="BGJ20" s="72"/>
      <c r="BGK20" s="72"/>
      <c r="BGL20" s="72"/>
      <c r="BGM20" s="72"/>
      <c r="BGN20" s="72"/>
      <c r="BGO20" s="72"/>
      <c r="BGP20" s="72"/>
      <c r="BGQ20" s="72"/>
      <c r="BGR20" s="72"/>
      <c r="BGS20" s="72"/>
      <c r="BGT20" s="72"/>
      <c r="BGU20" s="72"/>
      <c r="BGV20" s="72"/>
      <c r="BGW20" s="72"/>
      <c r="BGX20" s="72"/>
      <c r="BGY20" s="72"/>
      <c r="BGZ20" s="72"/>
      <c r="BHA20" s="72"/>
      <c r="BHB20" s="72"/>
      <c r="BHC20" s="72"/>
      <c r="BHD20" s="72"/>
      <c r="BHE20" s="72"/>
      <c r="BHF20" s="72"/>
      <c r="BHG20" s="72"/>
      <c r="BHH20" s="72"/>
      <c r="BHI20" s="72"/>
      <c r="BHJ20" s="72"/>
      <c r="BHK20" s="72"/>
      <c r="BHL20" s="72"/>
      <c r="BHM20" s="72"/>
      <c r="BHN20" s="72"/>
      <c r="BHO20" s="72"/>
      <c r="BHP20" s="72"/>
      <c r="BHQ20" s="72"/>
      <c r="BHR20" s="72"/>
      <c r="BHS20" s="72"/>
      <c r="BHT20" s="72"/>
      <c r="BHU20" s="72"/>
      <c r="BHV20" s="72"/>
      <c r="BHW20" s="72"/>
      <c r="BHX20" s="72"/>
      <c r="BHY20" s="72"/>
      <c r="BHZ20" s="72"/>
      <c r="BIA20" s="72"/>
      <c r="BIB20" s="72"/>
      <c r="BIC20" s="72"/>
      <c r="BID20" s="72"/>
      <c r="BIE20" s="72"/>
      <c r="BIF20" s="72"/>
      <c r="BIG20" s="72"/>
      <c r="BIH20" s="72"/>
      <c r="BII20" s="72"/>
      <c r="BIJ20" s="72"/>
      <c r="BIK20" s="72"/>
      <c r="BIL20" s="72"/>
      <c r="BIM20" s="72"/>
      <c r="BIN20" s="72"/>
      <c r="BIO20" s="72"/>
      <c r="BIP20" s="72"/>
      <c r="BIQ20" s="72"/>
      <c r="BIR20" s="72"/>
      <c r="BIS20" s="72"/>
      <c r="BIT20" s="72"/>
      <c r="BIU20" s="72"/>
      <c r="BIV20" s="72"/>
      <c r="BIW20" s="72"/>
      <c r="BIX20" s="72"/>
      <c r="BIY20" s="72"/>
      <c r="BIZ20" s="72"/>
      <c r="BJA20" s="72"/>
      <c r="BJB20" s="72"/>
      <c r="BJC20" s="72"/>
      <c r="BJD20" s="72"/>
      <c r="BJE20" s="72"/>
      <c r="BJF20" s="72"/>
      <c r="BJG20" s="72"/>
      <c r="BJH20" s="72"/>
      <c r="BJI20" s="72"/>
      <c r="BJJ20" s="72"/>
      <c r="BJK20" s="72"/>
      <c r="BJL20" s="72"/>
      <c r="BJM20" s="72"/>
      <c r="BJN20" s="72"/>
      <c r="BJO20" s="72"/>
      <c r="BJP20" s="72"/>
      <c r="BJQ20" s="72"/>
      <c r="BJR20" s="72"/>
      <c r="BJS20" s="72"/>
      <c r="BJT20" s="72"/>
      <c r="BJU20" s="72"/>
      <c r="BJV20" s="72"/>
      <c r="BJW20" s="72"/>
      <c r="BJX20" s="72"/>
      <c r="BJY20" s="72"/>
      <c r="BJZ20" s="72"/>
      <c r="BKA20" s="72"/>
      <c r="BKB20" s="72"/>
      <c r="BKC20" s="72"/>
      <c r="BKD20" s="72"/>
      <c r="BKE20" s="72"/>
      <c r="BKF20" s="72"/>
      <c r="BKG20" s="72"/>
      <c r="BKH20" s="72"/>
      <c r="BKI20" s="72"/>
      <c r="BKJ20" s="72"/>
      <c r="BKK20" s="72"/>
      <c r="BKL20" s="72"/>
      <c r="BKM20" s="72"/>
      <c r="BKN20" s="72"/>
      <c r="BKO20" s="72"/>
      <c r="BKP20" s="72"/>
      <c r="BKQ20" s="72"/>
      <c r="BKR20" s="72"/>
      <c r="BKS20" s="72"/>
      <c r="BKT20" s="72"/>
      <c r="BKU20" s="72"/>
      <c r="BKV20" s="72"/>
      <c r="BKW20" s="72"/>
      <c r="BKX20" s="72"/>
      <c r="BKY20" s="72"/>
      <c r="BKZ20" s="72"/>
      <c r="BLA20" s="72"/>
      <c r="BLB20" s="72"/>
      <c r="BLC20" s="72"/>
      <c r="BLD20" s="72"/>
      <c r="BLE20" s="72"/>
      <c r="BLF20" s="72"/>
      <c r="BLG20" s="72"/>
      <c r="BLH20" s="72"/>
      <c r="BLI20" s="72"/>
      <c r="BLJ20" s="72"/>
      <c r="BLK20" s="72"/>
      <c r="BLL20" s="72"/>
      <c r="BLM20" s="72"/>
      <c r="BLN20" s="72"/>
      <c r="BLO20" s="72"/>
      <c r="BLP20" s="72"/>
      <c r="BLQ20" s="72"/>
      <c r="BLR20" s="72"/>
      <c r="BLS20" s="72"/>
      <c r="BLT20" s="72"/>
      <c r="BLU20" s="72"/>
      <c r="BLV20" s="72"/>
      <c r="BLW20" s="72"/>
      <c r="BLX20" s="72"/>
      <c r="BLY20" s="72"/>
      <c r="BLZ20" s="72"/>
      <c r="BMA20" s="72"/>
      <c r="BMB20" s="72"/>
      <c r="BMC20" s="72"/>
      <c r="BMD20" s="72"/>
      <c r="BME20" s="72"/>
      <c r="BMF20" s="72"/>
      <c r="BMG20" s="72"/>
      <c r="BMH20" s="72"/>
      <c r="BMI20" s="72"/>
      <c r="BMJ20" s="72"/>
      <c r="BMK20" s="72"/>
      <c r="BML20" s="72"/>
      <c r="BMM20" s="72"/>
      <c r="BMN20" s="72"/>
      <c r="BMO20" s="72"/>
      <c r="BMP20" s="72"/>
      <c r="BMQ20" s="72"/>
      <c r="BMR20" s="72"/>
      <c r="BMS20" s="72"/>
      <c r="BMT20" s="72"/>
      <c r="BMU20" s="72"/>
      <c r="BMV20" s="72"/>
      <c r="BMW20" s="72"/>
      <c r="BMX20" s="72"/>
      <c r="BMY20" s="72"/>
      <c r="BMZ20" s="72"/>
      <c r="BNA20" s="72"/>
      <c r="BNB20" s="72"/>
      <c r="BNC20" s="72"/>
      <c r="BND20" s="72"/>
      <c r="BNE20" s="72"/>
      <c r="BNF20" s="72"/>
      <c r="BNG20" s="72"/>
      <c r="BNH20" s="72"/>
      <c r="BNI20" s="72"/>
      <c r="BNJ20" s="72"/>
      <c r="BNK20" s="72"/>
      <c r="BNL20" s="72"/>
      <c r="BNM20" s="72"/>
      <c r="BNN20" s="72"/>
      <c r="BNO20" s="72"/>
      <c r="BNP20" s="72"/>
      <c r="BNQ20" s="72"/>
      <c r="BNR20" s="72"/>
      <c r="BNS20" s="72"/>
      <c r="BNT20" s="72"/>
      <c r="BNU20" s="72"/>
      <c r="BNV20" s="72"/>
      <c r="BNW20" s="72"/>
      <c r="BNX20" s="72"/>
      <c r="BNY20" s="72"/>
      <c r="BNZ20" s="72"/>
      <c r="BOA20" s="72"/>
      <c r="BOB20" s="72"/>
      <c r="BOC20" s="72"/>
      <c r="BOD20" s="72"/>
      <c r="BOE20" s="72"/>
      <c r="BOF20" s="72"/>
      <c r="BOG20" s="72"/>
      <c r="BOH20" s="72"/>
      <c r="BOI20" s="72"/>
      <c r="BOJ20" s="72"/>
      <c r="BOK20" s="72"/>
      <c r="BOL20" s="72"/>
      <c r="BOM20" s="72"/>
      <c r="BON20" s="72"/>
      <c r="BOO20" s="72"/>
      <c r="BOP20" s="72"/>
      <c r="BOQ20" s="72"/>
      <c r="BOR20" s="72"/>
      <c r="BOS20" s="72"/>
      <c r="BOT20" s="72"/>
      <c r="BOU20" s="72"/>
      <c r="BOV20" s="72"/>
      <c r="BOW20" s="72"/>
      <c r="BOX20" s="72"/>
      <c r="BOY20" s="72"/>
      <c r="BOZ20" s="72"/>
      <c r="BPA20" s="72"/>
      <c r="BPB20" s="72"/>
      <c r="BPC20" s="72"/>
      <c r="BPD20" s="72"/>
      <c r="BPE20" s="72"/>
      <c r="BPF20" s="72"/>
      <c r="BPG20" s="72"/>
      <c r="BPH20" s="72"/>
      <c r="BPI20" s="72"/>
      <c r="BPJ20" s="72"/>
      <c r="BPK20" s="72"/>
      <c r="BPL20" s="72"/>
      <c r="BPM20" s="72"/>
      <c r="BPN20" s="72"/>
      <c r="BPO20" s="72"/>
      <c r="BPP20" s="72"/>
      <c r="BPQ20" s="72"/>
      <c r="BPR20" s="72"/>
      <c r="BPS20" s="72"/>
      <c r="BPT20" s="72"/>
      <c r="BPU20" s="72"/>
      <c r="BPV20" s="72"/>
      <c r="BPW20" s="72"/>
      <c r="BPX20" s="72"/>
      <c r="BPY20" s="72"/>
      <c r="BPZ20" s="72"/>
      <c r="BQA20" s="72"/>
      <c r="BQB20" s="72"/>
      <c r="BQC20" s="72"/>
      <c r="BQD20" s="72"/>
      <c r="BQE20" s="72"/>
      <c r="BQF20" s="72"/>
      <c r="BQG20" s="72"/>
      <c r="BQH20" s="72"/>
      <c r="BQI20" s="72"/>
      <c r="BQJ20" s="72"/>
      <c r="BQK20" s="72"/>
      <c r="BQL20" s="72"/>
      <c r="BQM20" s="72"/>
      <c r="BQN20" s="72"/>
      <c r="BQO20" s="72"/>
      <c r="BQP20" s="72"/>
      <c r="BQQ20" s="72"/>
      <c r="BQR20" s="72"/>
      <c r="BQS20" s="72"/>
      <c r="BQT20" s="72"/>
      <c r="BQU20" s="72"/>
      <c r="BQV20" s="72"/>
      <c r="BQW20" s="72"/>
      <c r="BQX20" s="72"/>
      <c r="BQY20" s="72"/>
      <c r="BQZ20" s="72"/>
      <c r="BRA20" s="72"/>
      <c r="BRB20" s="72"/>
      <c r="BRC20" s="72"/>
      <c r="BRD20" s="72"/>
      <c r="BRE20" s="72"/>
      <c r="BRF20" s="72"/>
      <c r="BRG20" s="72"/>
      <c r="BRH20" s="72"/>
      <c r="BRI20" s="72"/>
      <c r="BRJ20" s="72"/>
      <c r="BRK20" s="72"/>
      <c r="BRL20" s="72"/>
      <c r="BRM20" s="72"/>
      <c r="BRN20" s="72"/>
      <c r="BRO20" s="72"/>
      <c r="BRP20" s="72"/>
      <c r="BRQ20" s="72"/>
      <c r="BRR20" s="72"/>
      <c r="BRS20" s="72"/>
      <c r="BRT20" s="72"/>
      <c r="BRU20" s="72"/>
      <c r="BRV20" s="72"/>
      <c r="BRW20" s="72"/>
      <c r="BRX20" s="72"/>
      <c r="BRY20" s="72"/>
      <c r="BRZ20" s="72"/>
      <c r="BSA20" s="72"/>
      <c r="BSB20" s="72"/>
      <c r="BSC20" s="72"/>
      <c r="BSD20" s="72"/>
      <c r="BSE20" s="72"/>
      <c r="BSF20" s="72"/>
      <c r="BSG20" s="72"/>
      <c r="BSH20" s="72"/>
      <c r="BSI20" s="72"/>
      <c r="BSJ20" s="72"/>
      <c r="BSK20" s="72"/>
      <c r="BSL20" s="72"/>
      <c r="BSM20" s="72"/>
      <c r="BSN20" s="72"/>
      <c r="BSO20" s="72"/>
      <c r="BSP20" s="72"/>
      <c r="BSQ20" s="72"/>
      <c r="BSR20" s="72"/>
      <c r="BSS20" s="72"/>
      <c r="BST20" s="72"/>
      <c r="BSU20" s="72"/>
      <c r="BSV20" s="72"/>
      <c r="BSW20" s="72"/>
      <c r="BSX20" s="72"/>
      <c r="BSY20" s="72"/>
      <c r="BSZ20" s="72"/>
      <c r="BTA20" s="72"/>
      <c r="BTB20" s="72"/>
      <c r="BTC20" s="72"/>
      <c r="BTD20" s="72"/>
      <c r="BTE20" s="72"/>
      <c r="BTF20" s="72"/>
      <c r="BTG20" s="72"/>
      <c r="BTH20" s="72"/>
      <c r="BTI20" s="72"/>
      <c r="BTJ20" s="72"/>
      <c r="BTK20" s="72"/>
      <c r="BTL20" s="72"/>
      <c r="BTM20" s="72"/>
      <c r="BTN20" s="72"/>
      <c r="BTO20" s="72"/>
      <c r="BTP20" s="72"/>
      <c r="BTQ20" s="72"/>
      <c r="BTR20" s="72"/>
      <c r="BTS20" s="72"/>
      <c r="BTT20" s="72"/>
      <c r="BTU20" s="72"/>
      <c r="BTV20" s="72"/>
      <c r="BTW20" s="72"/>
      <c r="BTX20" s="72"/>
      <c r="BTY20" s="72"/>
      <c r="BTZ20" s="72"/>
      <c r="BUA20" s="72"/>
      <c r="BUB20" s="72"/>
      <c r="BUC20" s="72"/>
      <c r="BUD20" s="72"/>
      <c r="BUE20" s="72"/>
      <c r="BUF20" s="72"/>
      <c r="BUG20" s="72"/>
      <c r="BUH20" s="72"/>
      <c r="BUI20" s="72"/>
      <c r="BUJ20" s="72"/>
      <c r="BUK20" s="72"/>
      <c r="BUL20" s="72"/>
      <c r="BUM20" s="72"/>
      <c r="BUN20" s="72"/>
      <c r="BUO20" s="72"/>
      <c r="BUP20" s="72"/>
      <c r="BUQ20" s="72"/>
      <c r="BUR20" s="72"/>
      <c r="BUS20" s="72"/>
      <c r="BUT20" s="72"/>
      <c r="BUU20" s="72"/>
      <c r="BUV20" s="72"/>
      <c r="BUW20" s="72"/>
      <c r="BUX20" s="72"/>
      <c r="BUY20" s="72"/>
      <c r="BUZ20" s="72"/>
      <c r="BVA20" s="72"/>
      <c r="BVB20" s="72"/>
      <c r="BVC20" s="72"/>
      <c r="BVD20" s="72"/>
      <c r="BVE20" s="72"/>
      <c r="BVF20" s="72"/>
      <c r="BVG20" s="72"/>
      <c r="BVH20" s="72"/>
      <c r="BVI20" s="72"/>
      <c r="BVJ20" s="72"/>
      <c r="BVK20" s="72"/>
      <c r="BVL20" s="72"/>
      <c r="BVM20" s="72"/>
      <c r="BVN20" s="72"/>
      <c r="BVO20" s="72"/>
      <c r="BVP20" s="72"/>
      <c r="BVQ20" s="72"/>
      <c r="BVR20" s="72"/>
      <c r="BVS20" s="72"/>
      <c r="BVT20" s="72"/>
      <c r="BVU20" s="72"/>
      <c r="BVV20" s="72"/>
      <c r="BVW20" s="72"/>
      <c r="BVX20" s="72"/>
      <c r="BVY20" s="72"/>
      <c r="BVZ20" s="72"/>
      <c r="BWA20" s="72"/>
      <c r="BWB20" s="72"/>
      <c r="BWC20" s="72"/>
      <c r="BWD20" s="72"/>
      <c r="BWE20" s="72"/>
      <c r="BWF20" s="72"/>
      <c r="BWG20" s="72"/>
      <c r="BWH20" s="72"/>
      <c r="BWI20" s="72"/>
      <c r="BWJ20" s="72"/>
      <c r="BWK20" s="72"/>
      <c r="BWL20" s="72"/>
      <c r="BWM20" s="72"/>
      <c r="BWN20" s="72"/>
      <c r="BWO20" s="72"/>
      <c r="BWP20" s="72"/>
      <c r="BWQ20" s="72"/>
      <c r="BWR20" s="72"/>
      <c r="BWS20" s="72"/>
      <c r="BWT20" s="72"/>
      <c r="BWU20" s="72"/>
      <c r="BWV20" s="72"/>
      <c r="BWW20" s="72"/>
      <c r="BWX20" s="72"/>
      <c r="BWY20" s="72"/>
      <c r="BWZ20" s="72"/>
      <c r="BXA20" s="72"/>
      <c r="BXB20" s="72"/>
      <c r="BXC20" s="72"/>
      <c r="BXD20" s="72"/>
      <c r="BXE20" s="72"/>
      <c r="BXF20" s="72"/>
      <c r="BXG20" s="72"/>
      <c r="BXH20" s="72"/>
      <c r="BXI20" s="72"/>
      <c r="BXJ20" s="72"/>
      <c r="BXK20" s="72"/>
      <c r="BXL20" s="72"/>
      <c r="BXM20" s="72"/>
      <c r="BXN20" s="72"/>
      <c r="BXO20" s="72"/>
      <c r="BXP20" s="72"/>
      <c r="BXQ20" s="72"/>
      <c r="BXR20" s="72"/>
      <c r="BXS20" s="72"/>
      <c r="BXT20" s="72"/>
      <c r="BXU20" s="72"/>
      <c r="BXV20" s="72"/>
      <c r="BXW20" s="72"/>
      <c r="BXX20" s="72"/>
      <c r="BXY20" s="72"/>
      <c r="BXZ20" s="72"/>
      <c r="BYA20" s="72"/>
      <c r="BYB20" s="72"/>
      <c r="BYC20" s="72"/>
      <c r="BYD20" s="72"/>
      <c r="BYE20" s="72"/>
      <c r="BYF20" s="72"/>
      <c r="BYG20" s="72"/>
      <c r="BYH20" s="72"/>
      <c r="BYI20" s="72"/>
      <c r="BYJ20" s="72"/>
      <c r="BYK20" s="72"/>
      <c r="BYL20" s="72"/>
      <c r="BYM20" s="72"/>
      <c r="BYN20" s="72"/>
      <c r="BYO20" s="72"/>
      <c r="BYP20" s="72"/>
      <c r="BYQ20" s="72"/>
      <c r="BYR20" s="72"/>
      <c r="BYS20" s="72"/>
      <c r="BYT20" s="72"/>
      <c r="BYU20" s="72"/>
      <c r="BYV20" s="72"/>
      <c r="BYW20" s="72"/>
      <c r="BYX20" s="72"/>
      <c r="BYY20" s="72"/>
      <c r="BYZ20" s="72"/>
      <c r="BZA20" s="72"/>
      <c r="BZB20" s="72"/>
      <c r="BZC20" s="72"/>
      <c r="BZD20" s="72"/>
      <c r="BZE20" s="72"/>
      <c r="BZF20" s="72"/>
      <c r="BZG20" s="72"/>
      <c r="BZH20" s="72"/>
      <c r="BZI20" s="72"/>
      <c r="BZJ20" s="72"/>
      <c r="BZK20" s="72"/>
      <c r="BZL20" s="72"/>
      <c r="BZM20" s="72"/>
      <c r="BZN20" s="72"/>
      <c r="BZO20" s="72"/>
      <c r="BZP20" s="72"/>
      <c r="BZQ20" s="72"/>
      <c r="BZR20" s="72"/>
      <c r="BZS20" s="72"/>
      <c r="BZT20" s="72"/>
      <c r="BZU20" s="72"/>
      <c r="BZV20" s="72"/>
      <c r="BZW20" s="72"/>
      <c r="BZX20" s="72"/>
      <c r="BZY20" s="72"/>
      <c r="BZZ20" s="72"/>
      <c r="CAA20" s="72"/>
      <c r="CAB20" s="72"/>
      <c r="CAC20" s="72"/>
      <c r="CAD20" s="72"/>
      <c r="CAE20" s="72"/>
      <c r="CAF20" s="72"/>
      <c r="CAG20" s="72"/>
      <c r="CAH20" s="72"/>
      <c r="CAI20" s="72"/>
      <c r="CAJ20" s="72"/>
      <c r="CAK20" s="72"/>
      <c r="CAL20" s="72"/>
      <c r="CAM20" s="72"/>
      <c r="CAN20" s="72"/>
      <c r="CAO20" s="72"/>
      <c r="CAP20" s="72"/>
      <c r="CAQ20" s="72"/>
      <c r="CAR20" s="72"/>
      <c r="CAS20" s="72"/>
      <c r="CAT20" s="72"/>
      <c r="CAU20" s="72"/>
      <c r="CAV20" s="72"/>
      <c r="CAW20" s="72"/>
      <c r="CAX20" s="72"/>
      <c r="CAY20" s="72"/>
      <c r="CAZ20" s="72"/>
      <c r="CBA20" s="72"/>
      <c r="CBB20" s="72"/>
      <c r="CBC20" s="72"/>
      <c r="CBD20" s="72"/>
      <c r="CBE20" s="72"/>
      <c r="CBF20" s="72"/>
      <c r="CBG20" s="72"/>
      <c r="CBH20" s="72"/>
      <c r="CBI20" s="72"/>
      <c r="CBJ20" s="72"/>
      <c r="CBK20" s="72"/>
      <c r="CBL20" s="72"/>
      <c r="CBM20" s="72"/>
      <c r="CBN20" s="72"/>
      <c r="CBO20" s="72"/>
      <c r="CBP20" s="72"/>
      <c r="CBQ20" s="72"/>
      <c r="CBR20" s="72"/>
      <c r="CBS20" s="72"/>
      <c r="CBT20" s="72"/>
      <c r="CBU20" s="72"/>
      <c r="CBV20" s="72"/>
      <c r="CBW20" s="72"/>
      <c r="CBX20" s="72"/>
      <c r="CBY20" s="72"/>
      <c r="CBZ20" s="72"/>
      <c r="CCA20" s="72"/>
      <c r="CCB20" s="72"/>
      <c r="CCC20" s="72"/>
      <c r="CCD20" s="72"/>
      <c r="CCE20" s="72"/>
      <c r="CCF20" s="72"/>
      <c r="CCG20" s="72"/>
      <c r="CCH20" s="72"/>
      <c r="CCI20" s="72"/>
      <c r="CCJ20" s="72"/>
      <c r="CCK20" s="72"/>
      <c r="CCL20" s="72"/>
      <c r="CCM20" s="72"/>
      <c r="CCN20" s="72"/>
      <c r="CCO20" s="72"/>
      <c r="CCP20" s="72"/>
      <c r="CCQ20" s="72"/>
      <c r="CCR20" s="72"/>
      <c r="CCS20" s="72"/>
      <c r="CCT20" s="72"/>
      <c r="CCU20" s="72"/>
      <c r="CCV20" s="72"/>
      <c r="CCW20" s="72"/>
      <c r="CCX20" s="72"/>
      <c r="CCY20" s="72"/>
      <c r="CCZ20" s="72"/>
      <c r="CDA20" s="72"/>
      <c r="CDB20" s="72"/>
      <c r="CDC20" s="72"/>
      <c r="CDD20" s="72"/>
      <c r="CDE20" s="72"/>
      <c r="CDF20" s="72"/>
      <c r="CDG20" s="72"/>
      <c r="CDH20" s="72"/>
      <c r="CDI20" s="72"/>
      <c r="CDJ20" s="72"/>
      <c r="CDK20" s="72"/>
      <c r="CDL20" s="72"/>
      <c r="CDM20" s="72"/>
      <c r="CDN20" s="72"/>
      <c r="CDO20" s="72"/>
      <c r="CDP20" s="72"/>
      <c r="CDQ20" s="72"/>
      <c r="CDR20" s="72"/>
      <c r="CDS20" s="72"/>
      <c r="CDT20" s="72"/>
      <c r="CDU20" s="72"/>
      <c r="CDV20" s="72"/>
      <c r="CDW20" s="72"/>
      <c r="CDX20" s="72"/>
      <c r="CDY20" s="72"/>
      <c r="CDZ20" s="72"/>
      <c r="CEA20" s="72"/>
      <c r="CEB20" s="72"/>
      <c r="CEC20" s="72"/>
      <c r="CED20" s="72"/>
      <c r="CEE20" s="72"/>
      <c r="CEF20" s="72"/>
      <c r="CEG20" s="72"/>
      <c r="CEH20" s="72"/>
      <c r="CEI20" s="72"/>
      <c r="CEJ20" s="72"/>
      <c r="CEK20" s="72"/>
      <c r="CEL20" s="72"/>
      <c r="CEM20" s="72"/>
      <c r="CEN20" s="72"/>
      <c r="CEO20" s="72"/>
      <c r="CEP20" s="72"/>
      <c r="CEQ20" s="72"/>
      <c r="CER20" s="72"/>
      <c r="CES20" s="72"/>
      <c r="CET20" s="72"/>
      <c r="CEU20" s="72"/>
      <c r="CEV20" s="72"/>
      <c r="CEW20" s="72"/>
      <c r="CEX20" s="72"/>
      <c r="CEY20" s="72"/>
      <c r="CEZ20" s="72"/>
      <c r="CFA20" s="72"/>
      <c r="CFB20" s="72"/>
      <c r="CFC20" s="72"/>
      <c r="CFD20" s="72"/>
      <c r="CFE20" s="72"/>
      <c r="CFF20" s="72"/>
      <c r="CFG20" s="72"/>
      <c r="CFH20" s="72"/>
      <c r="CFI20" s="72"/>
      <c r="CFJ20" s="72"/>
      <c r="CFK20" s="72"/>
      <c r="CFL20" s="72"/>
      <c r="CFM20" s="72"/>
      <c r="CFN20" s="72"/>
      <c r="CFO20" s="72"/>
      <c r="CFP20" s="72"/>
      <c r="CFQ20" s="72"/>
      <c r="CFR20" s="72"/>
      <c r="CFS20" s="72"/>
      <c r="CFT20" s="72"/>
      <c r="CFU20" s="72"/>
      <c r="CFV20" s="72"/>
      <c r="CFW20" s="72"/>
      <c r="CFX20" s="72"/>
      <c r="CFY20" s="72"/>
      <c r="CFZ20" s="72"/>
      <c r="CGA20" s="72"/>
      <c r="CGB20" s="72"/>
      <c r="CGC20" s="72"/>
      <c r="CGD20" s="72"/>
      <c r="CGE20" s="72"/>
      <c r="CGF20" s="72"/>
      <c r="CGG20" s="72"/>
      <c r="CGH20" s="72"/>
      <c r="CGI20" s="72"/>
      <c r="CGJ20" s="72"/>
      <c r="CGK20" s="72"/>
      <c r="CGL20" s="72"/>
      <c r="CGM20" s="72"/>
      <c r="CGN20" s="72"/>
      <c r="CGO20" s="72"/>
      <c r="CGP20" s="72"/>
      <c r="CGQ20" s="72"/>
      <c r="CGR20" s="72"/>
      <c r="CGS20" s="72"/>
      <c r="CGT20" s="72"/>
      <c r="CGU20" s="72"/>
      <c r="CGV20" s="72"/>
      <c r="CGW20" s="72"/>
      <c r="CGX20" s="72"/>
      <c r="CGY20" s="72"/>
      <c r="CGZ20" s="72"/>
      <c r="CHA20" s="72"/>
      <c r="CHB20" s="72"/>
      <c r="CHC20" s="72"/>
      <c r="CHD20" s="72"/>
      <c r="CHE20" s="72"/>
      <c r="CHF20" s="72"/>
      <c r="CHG20" s="72"/>
      <c r="CHH20" s="72"/>
      <c r="CHI20" s="72"/>
      <c r="CHJ20" s="72"/>
      <c r="CHK20" s="72"/>
      <c r="CHL20" s="72"/>
      <c r="CHM20" s="72"/>
      <c r="CHN20" s="72"/>
      <c r="CHO20" s="72"/>
      <c r="CHP20" s="72"/>
      <c r="CHQ20" s="72"/>
      <c r="CHR20" s="72"/>
      <c r="CHS20" s="72"/>
      <c r="CHT20" s="72"/>
      <c r="CHU20" s="72"/>
      <c r="CHV20" s="72"/>
      <c r="CHW20" s="72"/>
      <c r="CHX20" s="72"/>
      <c r="CHY20" s="72"/>
      <c r="CHZ20" s="72"/>
      <c r="CIA20" s="72"/>
      <c r="CIB20" s="72"/>
      <c r="CIC20" s="72"/>
      <c r="CID20" s="72"/>
      <c r="CIE20" s="72"/>
      <c r="CIF20" s="72"/>
      <c r="CIG20" s="72"/>
      <c r="CIH20" s="72"/>
      <c r="CII20" s="72"/>
      <c r="CIJ20" s="72"/>
      <c r="CIK20" s="72"/>
      <c r="CIL20" s="72"/>
      <c r="CIM20" s="72"/>
      <c r="CIN20" s="72"/>
      <c r="CIO20" s="72"/>
      <c r="CIP20" s="72"/>
      <c r="CIQ20" s="72"/>
      <c r="CIR20" s="72"/>
      <c r="CIS20" s="72"/>
      <c r="CIT20" s="72"/>
      <c r="CIU20" s="72"/>
      <c r="CIV20" s="72"/>
      <c r="CIW20" s="72"/>
      <c r="CIX20" s="72"/>
      <c r="CIY20" s="72"/>
      <c r="CIZ20" s="72"/>
      <c r="CJA20" s="72"/>
      <c r="CJB20" s="72"/>
      <c r="CJC20" s="72"/>
      <c r="CJD20" s="72"/>
      <c r="CJE20" s="72"/>
      <c r="CJF20" s="72"/>
      <c r="CJG20" s="72"/>
      <c r="CJH20" s="72"/>
      <c r="CJI20" s="72"/>
      <c r="CJJ20" s="72"/>
      <c r="CJK20" s="72"/>
      <c r="CJL20" s="72"/>
      <c r="CJM20" s="72"/>
      <c r="CJN20" s="72"/>
      <c r="CJO20" s="72"/>
      <c r="CJP20" s="72"/>
      <c r="CJQ20" s="72"/>
      <c r="CJR20" s="72"/>
      <c r="CJS20" s="72"/>
      <c r="CJT20" s="72"/>
      <c r="CJU20" s="72"/>
      <c r="CJV20" s="72"/>
      <c r="CJW20" s="72"/>
      <c r="CJX20" s="72"/>
      <c r="CJY20" s="72"/>
      <c r="CJZ20" s="72"/>
      <c r="CKA20" s="72"/>
      <c r="CKB20" s="72"/>
      <c r="CKC20" s="72"/>
      <c r="CKD20" s="72"/>
      <c r="CKE20" s="72"/>
      <c r="CKF20" s="72"/>
      <c r="CKG20" s="72"/>
      <c r="CKH20" s="72"/>
      <c r="CKI20" s="72"/>
      <c r="CKJ20" s="72"/>
      <c r="CKK20" s="72"/>
      <c r="CKL20" s="72"/>
      <c r="CKM20" s="72"/>
      <c r="CKN20" s="72"/>
      <c r="CKO20" s="72"/>
      <c r="CKP20" s="72"/>
      <c r="CKQ20" s="72"/>
      <c r="CKR20" s="72"/>
      <c r="CKS20" s="72"/>
      <c r="CKT20" s="72"/>
      <c r="CKU20" s="72"/>
      <c r="CKV20" s="72"/>
      <c r="CKW20" s="72"/>
      <c r="CKX20" s="72"/>
      <c r="CKY20" s="72"/>
      <c r="CKZ20" s="72"/>
      <c r="CLA20" s="72"/>
      <c r="CLB20" s="72"/>
      <c r="CLC20" s="72"/>
      <c r="CLD20" s="72"/>
      <c r="CLE20" s="72"/>
      <c r="CLF20" s="72"/>
      <c r="CLG20" s="72"/>
      <c r="CLH20" s="72"/>
      <c r="CLI20" s="72"/>
      <c r="CLJ20" s="72"/>
      <c r="CLK20" s="72"/>
      <c r="CLL20" s="72"/>
      <c r="CLM20" s="72"/>
      <c r="CLN20" s="72"/>
      <c r="CLO20" s="72"/>
      <c r="CLP20" s="72"/>
      <c r="CLQ20" s="72"/>
      <c r="CLR20" s="72"/>
      <c r="CLS20" s="72"/>
      <c r="CLT20" s="72"/>
      <c r="CLU20" s="72"/>
      <c r="CLV20" s="72"/>
      <c r="CLW20" s="72"/>
      <c r="CLX20" s="72"/>
      <c r="CLY20" s="72"/>
      <c r="CLZ20" s="72"/>
      <c r="CMA20" s="72"/>
      <c r="CMB20" s="72"/>
      <c r="CMC20" s="72"/>
      <c r="CMD20" s="72"/>
      <c r="CME20" s="72"/>
      <c r="CMF20" s="72"/>
      <c r="CMG20" s="72"/>
      <c r="CMH20" s="72"/>
      <c r="CMI20" s="72"/>
      <c r="CMJ20" s="72"/>
      <c r="CMK20" s="72"/>
      <c r="CML20" s="72"/>
      <c r="CMM20" s="72"/>
      <c r="CMN20" s="72"/>
      <c r="CMO20" s="72"/>
      <c r="CMP20" s="72"/>
      <c r="CMQ20" s="72"/>
      <c r="CMR20" s="72"/>
      <c r="CMS20" s="72"/>
      <c r="CMT20" s="72"/>
      <c r="CMU20" s="72"/>
      <c r="CMV20" s="72"/>
      <c r="CMW20" s="72"/>
      <c r="CMX20" s="72"/>
      <c r="CMY20" s="72"/>
      <c r="CMZ20" s="72"/>
      <c r="CNA20" s="72"/>
      <c r="CNB20" s="72"/>
      <c r="CNC20" s="72"/>
      <c r="CND20" s="72"/>
      <c r="CNE20" s="72"/>
      <c r="CNF20" s="72"/>
      <c r="CNG20" s="72"/>
      <c r="CNH20" s="72"/>
      <c r="CNI20" s="72"/>
      <c r="CNJ20" s="72"/>
      <c r="CNK20" s="72"/>
      <c r="CNL20" s="72"/>
      <c r="CNM20" s="72"/>
      <c r="CNN20" s="72"/>
      <c r="CNO20" s="72"/>
      <c r="CNP20" s="72"/>
      <c r="CNQ20" s="72"/>
      <c r="CNR20" s="72"/>
      <c r="CNS20" s="72"/>
      <c r="CNT20" s="72"/>
      <c r="CNU20" s="72"/>
      <c r="CNV20" s="72"/>
      <c r="CNW20" s="72"/>
      <c r="CNX20" s="72"/>
      <c r="CNY20" s="72"/>
      <c r="CNZ20" s="72"/>
      <c r="COA20" s="72"/>
      <c r="COB20" s="72"/>
      <c r="COC20" s="72"/>
      <c r="COD20" s="72"/>
      <c r="COE20" s="72"/>
      <c r="COF20" s="72"/>
      <c r="COG20" s="72"/>
      <c r="COH20" s="72"/>
      <c r="COI20" s="72"/>
      <c r="COJ20" s="72"/>
      <c r="COK20" s="72"/>
      <c r="COL20" s="72"/>
      <c r="COM20" s="72"/>
      <c r="CON20" s="72"/>
      <c r="COO20" s="72"/>
      <c r="COP20" s="72"/>
      <c r="COQ20" s="72"/>
      <c r="COR20" s="72"/>
      <c r="COS20" s="72"/>
      <c r="COT20" s="72"/>
      <c r="COU20" s="72"/>
      <c r="COV20" s="72"/>
      <c r="COW20" s="72"/>
      <c r="COX20" s="72"/>
      <c r="COY20" s="72"/>
      <c r="COZ20" s="72"/>
      <c r="CPA20" s="72"/>
      <c r="CPB20" s="72"/>
      <c r="CPC20" s="72"/>
      <c r="CPD20" s="72"/>
      <c r="CPE20" s="72"/>
      <c r="CPF20" s="72"/>
      <c r="CPG20" s="72"/>
      <c r="CPH20" s="72"/>
      <c r="CPI20" s="72"/>
      <c r="CPJ20" s="72"/>
      <c r="CPK20" s="72"/>
      <c r="CPL20" s="72"/>
      <c r="CPM20" s="72"/>
      <c r="CPN20" s="72"/>
      <c r="CPO20" s="72"/>
      <c r="CPP20" s="72"/>
      <c r="CPQ20" s="72"/>
      <c r="CPR20" s="72"/>
      <c r="CPS20" s="72"/>
      <c r="CPT20" s="72"/>
      <c r="CPU20" s="72"/>
      <c r="CPV20" s="72"/>
      <c r="CPW20" s="72"/>
      <c r="CPX20" s="72"/>
      <c r="CPY20" s="72"/>
      <c r="CPZ20" s="72"/>
      <c r="CQA20" s="72"/>
      <c r="CQB20" s="72"/>
      <c r="CQC20" s="72"/>
      <c r="CQD20" s="72"/>
      <c r="CQE20" s="72"/>
      <c r="CQF20" s="72"/>
      <c r="CQG20" s="72"/>
      <c r="CQH20" s="72"/>
      <c r="CQI20" s="72"/>
      <c r="CQJ20" s="72"/>
      <c r="CQK20" s="72"/>
      <c r="CQL20" s="72"/>
      <c r="CQM20" s="72"/>
      <c r="CQN20" s="72"/>
      <c r="CQO20" s="72"/>
      <c r="CQP20" s="72"/>
      <c r="CQQ20" s="72"/>
      <c r="CQR20" s="72"/>
      <c r="CQS20" s="72"/>
      <c r="CQT20" s="72"/>
      <c r="CQU20" s="72"/>
      <c r="CQV20" s="72"/>
      <c r="CQW20" s="72"/>
      <c r="CQX20" s="72"/>
      <c r="CQY20" s="72"/>
      <c r="CQZ20" s="72"/>
      <c r="CRA20" s="72"/>
      <c r="CRB20" s="72"/>
      <c r="CRC20" s="72"/>
      <c r="CRD20" s="72"/>
      <c r="CRE20" s="72"/>
      <c r="CRF20" s="72"/>
      <c r="CRG20" s="72"/>
      <c r="CRH20" s="72"/>
      <c r="CRI20" s="72"/>
      <c r="CRJ20" s="72"/>
      <c r="CRK20" s="72"/>
      <c r="CRL20" s="72"/>
      <c r="CRM20" s="72"/>
      <c r="CRN20" s="72"/>
      <c r="CRO20" s="72"/>
      <c r="CRP20" s="72"/>
      <c r="CRQ20" s="72"/>
      <c r="CRR20" s="72"/>
      <c r="CRS20" s="72"/>
      <c r="CRT20" s="72"/>
      <c r="CRU20" s="72"/>
      <c r="CRV20" s="72"/>
      <c r="CRW20" s="72"/>
      <c r="CRX20" s="72"/>
      <c r="CRY20" s="72"/>
      <c r="CRZ20" s="72"/>
      <c r="CSA20" s="72"/>
      <c r="CSB20" s="72"/>
      <c r="CSC20" s="72"/>
      <c r="CSD20" s="72"/>
      <c r="CSE20" s="72"/>
      <c r="CSF20" s="72"/>
      <c r="CSG20" s="72"/>
      <c r="CSH20" s="72"/>
      <c r="CSI20" s="72"/>
      <c r="CSJ20" s="72"/>
      <c r="CSK20" s="72"/>
      <c r="CSL20" s="72"/>
      <c r="CSM20" s="72"/>
      <c r="CSN20" s="72"/>
      <c r="CSO20" s="72"/>
      <c r="CSP20" s="72"/>
      <c r="CSQ20" s="72"/>
      <c r="CSR20" s="72"/>
      <c r="CSS20" s="72"/>
      <c r="CST20" s="72"/>
      <c r="CSU20" s="72"/>
      <c r="CSV20" s="72"/>
      <c r="CSW20" s="72"/>
      <c r="CSX20" s="72"/>
      <c r="CSY20" s="72"/>
      <c r="CSZ20" s="72"/>
      <c r="CTA20" s="72"/>
      <c r="CTB20" s="72"/>
      <c r="CTC20" s="72"/>
      <c r="CTD20" s="72"/>
      <c r="CTE20" s="72"/>
      <c r="CTF20" s="72"/>
      <c r="CTG20" s="72"/>
      <c r="CTH20" s="72"/>
      <c r="CTI20" s="72"/>
      <c r="CTJ20" s="72"/>
      <c r="CTK20" s="72"/>
      <c r="CTL20" s="72"/>
      <c r="CTM20" s="72"/>
      <c r="CTN20" s="72"/>
      <c r="CTO20" s="72"/>
      <c r="CTP20" s="72"/>
      <c r="CTQ20" s="72"/>
      <c r="CTR20" s="72"/>
      <c r="CTS20" s="72"/>
      <c r="CTT20" s="72"/>
      <c r="CTU20" s="72"/>
      <c r="CTV20" s="72"/>
      <c r="CTW20" s="72"/>
      <c r="CTX20" s="72"/>
      <c r="CTY20" s="72"/>
      <c r="CTZ20" s="72"/>
      <c r="CUA20" s="72"/>
      <c r="CUB20" s="72"/>
      <c r="CUC20" s="72"/>
      <c r="CUD20" s="72"/>
      <c r="CUE20" s="72"/>
      <c r="CUF20" s="72"/>
      <c r="CUG20" s="72"/>
      <c r="CUH20" s="72"/>
      <c r="CUI20" s="72"/>
      <c r="CUJ20" s="72"/>
      <c r="CUK20" s="72"/>
      <c r="CUL20" s="72"/>
      <c r="CUM20" s="72"/>
      <c r="CUN20" s="72"/>
      <c r="CUO20" s="72"/>
      <c r="CUP20" s="72"/>
      <c r="CUQ20" s="72"/>
      <c r="CUR20" s="72"/>
      <c r="CUS20" s="72"/>
      <c r="CUT20" s="72"/>
      <c r="CUU20" s="72"/>
      <c r="CUV20" s="72"/>
      <c r="CUW20" s="72"/>
      <c r="CUX20" s="72"/>
      <c r="CUY20" s="72"/>
      <c r="CUZ20" s="72"/>
      <c r="CVA20" s="72"/>
      <c r="CVB20" s="72"/>
      <c r="CVC20" s="72"/>
      <c r="CVD20" s="72"/>
      <c r="CVE20" s="72"/>
      <c r="CVF20" s="72"/>
      <c r="CVG20" s="72"/>
      <c r="CVH20" s="72"/>
      <c r="CVI20" s="72"/>
      <c r="CVJ20" s="72"/>
      <c r="CVK20" s="72"/>
      <c r="CVL20" s="72"/>
      <c r="CVM20" s="72"/>
      <c r="CVN20" s="72"/>
      <c r="CVO20" s="72"/>
      <c r="CVP20" s="72"/>
      <c r="CVQ20" s="72"/>
      <c r="CVR20" s="72"/>
      <c r="CVS20" s="72"/>
      <c r="CVT20" s="72"/>
      <c r="CVU20" s="72"/>
      <c r="CVV20" s="72"/>
      <c r="CVW20" s="72"/>
      <c r="CVX20" s="72"/>
      <c r="CVY20" s="72"/>
      <c r="CVZ20" s="72"/>
      <c r="CWA20" s="72"/>
      <c r="CWB20" s="72"/>
      <c r="CWC20" s="72"/>
      <c r="CWD20" s="72"/>
      <c r="CWE20" s="72"/>
      <c r="CWF20" s="72"/>
      <c r="CWG20" s="72"/>
      <c r="CWH20" s="72"/>
      <c r="CWI20" s="72"/>
      <c r="CWJ20" s="72"/>
      <c r="CWK20" s="72"/>
      <c r="CWL20" s="72"/>
      <c r="CWM20" s="72"/>
      <c r="CWN20" s="72"/>
      <c r="CWO20" s="72"/>
      <c r="CWP20" s="72"/>
      <c r="CWQ20" s="72"/>
      <c r="CWR20" s="72"/>
      <c r="CWS20" s="72"/>
      <c r="CWT20" s="72"/>
      <c r="CWU20" s="72"/>
      <c r="CWV20" s="72"/>
      <c r="CWW20" s="72"/>
      <c r="CWX20" s="72"/>
      <c r="CWY20" s="72"/>
      <c r="CWZ20" s="72"/>
      <c r="CXA20" s="72"/>
      <c r="CXB20" s="72"/>
      <c r="CXC20" s="72"/>
      <c r="CXD20" s="72"/>
      <c r="CXE20" s="72"/>
      <c r="CXF20" s="72"/>
      <c r="CXG20" s="72"/>
      <c r="CXH20" s="72"/>
      <c r="CXI20" s="72"/>
      <c r="CXJ20" s="72"/>
      <c r="CXK20" s="72"/>
      <c r="CXL20" s="72"/>
      <c r="CXM20" s="72"/>
      <c r="CXN20" s="72"/>
      <c r="CXO20" s="72"/>
      <c r="CXP20" s="72"/>
      <c r="CXQ20" s="72"/>
      <c r="CXR20" s="72"/>
      <c r="CXS20" s="72"/>
      <c r="CXT20" s="72"/>
      <c r="CXU20" s="72"/>
      <c r="CXV20" s="72"/>
      <c r="CXW20" s="72"/>
      <c r="CXX20" s="72"/>
      <c r="CXY20" s="72"/>
      <c r="CXZ20" s="72"/>
      <c r="CYA20" s="72"/>
      <c r="CYB20" s="72"/>
      <c r="CYC20" s="72"/>
      <c r="CYD20" s="72"/>
      <c r="CYE20" s="72"/>
      <c r="CYF20" s="72"/>
      <c r="CYG20" s="72"/>
      <c r="CYH20" s="72"/>
      <c r="CYI20" s="72"/>
      <c r="CYJ20" s="72"/>
      <c r="CYK20" s="72"/>
      <c r="CYL20" s="72"/>
      <c r="CYM20" s="72"/>
      <c r="CYN20" s="72"/>
      <c r="CYO20" s="72"/>
      <c r="CYP20" s="72"/>
      <c r="CYQ20" s="72"/>
      <c r="CYR20" s="72"/>
      <c r="CYS20" s="72"/>
      <c r="CYT20" s="72"/>
      <c r="CYU20" s="72"/>
      <c r="CYV20" s="72"/>
      <c r="CYW20" s="72"/>
      <c r="CYX20" s="72"/>
      <c r="CYY20" s="72"/>
      <c r="CYZ20" s="72"/>
      <c r="CZA20" s="72"/>
      <c r="CZB20" s="72"/>
      <c r="CZC20" s="72"/>
      <c r="CZD20" s="72"/>
      <c r="CZE20" s="72"/>
      <c r="CZF20" s="72"/>
      <c r="CZG20" s="72"/>
      <c r="CZH20" s="72"/>
      <c r="CZI20" s="72"/>
      <c r="CZJ20" s="72"/>
      <c r="CZK20" s="72"/>
      <c r="CZL20" s="72"/>
      <c r="CZM20" s="72"/>
      <c r="CZN20" s="72"/>
      <c r="CZO20" s="72"/>
      <c r="CZP20" s="72"/>
      <c r="CZQ20" s="72"/>
      <c r="CZR20" s="72"/>
      <c r="CZS20" s="72"/>
      <c r="CZT20" s="72"/>
      <c r="CZU20" s="72"/>
      <c r="CZV20" s="72"/>
      <c r="CZW20" s="72"/>
      <c r="CZX20" s="72"/>
      <c r="CZY20" s="72"/>
      <c r="CZZ20" s="72"/>
      <c r="DAA20" s="72"/>
      <c r="DAB20" s="72"/>
      <c r="DAC20" s="72"/>
      <c r="DAD20" s="72"/>
      <c r="DAE20" s="72"/>
      <c r="DAF20" s="72"/>
      <c r="DAG20" s="72"/>
      <c r="DAH20" s="72"/>
      <c r="DAI20" s="72"/>
      <c r="DAJ20" s="72"/>
      <c r="DAK20" s="72"/>
      <c r="DAL20" s="72"/>
      <c r="DAM20" s="72"/>
      <c r="DAN20" s="72"/>
      <c r="DAO20" s="72"/>
      <c r="DAP20" s="72"/>
      <c r="DAQ20" s="72"/>
      <c r="DAR20" s="72"/>
      <c r="DAS20" s="72"/>
      <c r="DAT20" s="72"/>
      <c r="DAU20" s="72"/>
      <c r="DAV20" s="72"/>
      <c r="DAW20" s="72"/>
      <c r="DAX20" s="72"/>
      <c r="DAY20" s="72"/>
      <c r="DAZ20" s="72"/>
      <c r="DBA20" s="72"/>
      <c r="DBB20" s="72"/>
      <c r="DBC20" s="72"/>
      <c r="DBD20" s="72"/>
      <c r="DBE20" s="72"/>
      <c r="DBF20" s="72"/>
      <c r="DBG20" s="72"/>
      <c r="DBH20" s="72"/>
      <c r="DBI20" s="72"/>
      <c r="DBJ20" s="72"/>
      <c r="DBK20" s="72"/>
      <c r="DBL20" s="72"/>
      <c r="DBM20" s="72"/>
      <c r="DBN20" s="72"/>
      <c r="DBO20" s="72"/>
      <c r="DBP20" s="72"/>
      <c r="DBQ20" s="72"/>
      <c r="DBR20" s="72"/>
      <c r="DBS20" s="72"/>
      <c r="DBT20" s="72"/>
      <c r="DBU20" s="72"/>
      <c r="DBV20" s="72"/>
      <c r="DBW20" s="72"/>
      <c r="DBX20" s="72"/>
      <c r="DBY20" s="72"/>
      <c r="DBZ20" s="72"/>
      <c r="DCA20" s="72"/>
      <c r="DCB20" s="72"/>
      <c r="DCC20" s="72"/>
      <c r="DCD20" s="72"/>
      <c r="DCE20" s="72"/>
      <c r="DCF20" s="72"/>
      <c r="DCG20" s="72"/>
      <c r="DCH20" s="72"/>
      <c r="DCI20" s="72"/>
      <c r="DCJ20" s="72"/>
      <c r="DCK20" s="72"/>
      <c r="DCL20" s="72"/>
      <c r="DCM20" s="72"/>
      <c r="DCN20" s="72"/>
      <c r="DCO20" s="72"/>
      <c r="DCP20" s="72"/>
      <c r="DCQ20" s="72"/>
      <c r="DCR20" s="72"/>
      <c r="DCS20" s="72"/>
      <c r="DCT20" s="72"/>
      <c r="DCU20" s="72"/>
      <c r="DCV20" s="72"/>
      <c r="DCW20" s="72"/>
      <c r="DCX20" s="72"/>
      <c r="DCY20" s="72"/>
      <c r="DCZ20" s="72"/>
      <c r="DDA20" s="72"/>
      <c r="DDB20" s="72"/>
      <c r="DDC20" s="72"/>
      <c r="DDD20" s="72"/>
      <c r="DDE20" s="72"/>
      <c r="DDF20" s="72"/>
      <c r="DDG20" s="72"/>
      <c r="DDH20" s="72"/>
      <c r="DDI20" s="72"/>
      <c r="DDJ20" s="72"/>
      <c r="DDK20" s="72"/>
      <c r="DDL20" s="72"/>
      <c r="DDM20" s="72"/>
      <c r="DDN20" s="72"/>
      <c r="DDO20" s="72"/>
      <c r="DDP20" s="72"/>
      <c r="DDQ20" s="72"/>
      <c r="DDR20" s="72"/>
      <c r="DDS20" s="72"/>
      <c r="DDT20" s="72"/>
      <c r="DDU20" s="72"/>
      <c r="DDV20" s="72"/>
      <c r="DDW20" s="72"/>
      <c r="DDX20" s="72"/>
      <c r="DDY20" s="72"/>
      <c r="DDZ20" s="72"/>
      <c r="DEA20" s="72"/>
      <c r="DEB20" s="72"/>
      <c r="DEC20" s="72"/>
      <c r="DED20" s="72"/>
      <c r="DEE20" s="72"/>
      <c r="DEF20" s="72"/>
      <c r="DEG20" s="72"/>
      <c r="DEH20" s="72"/>
      <c r="DEI20" s="72"/>
      <c r="DEJ20" s="72"/>
      <c r="DEK20" s="72"/>
      <c r="DEL20" s="72"/>
      <c r="DEM20" s="72"/>
      <c r="DEN20" s="72"/>
      <c r="DEO20" s="72"/>
      <c r="DEP20" s="72"/>
      <c r="DEQ20" s="72"/>
      <c r="DER20" s="72"/>
      <c r="DES20" s="72"/>
      <c r="DET20" s="72"/>
      <c r="DEU20" s="72"/>
      <c r="DEV20" s="72"/>
      <c r="DEW20" s="72"/>
      <c r="DEX20" s="72"/>
      <c r="DEY20" s="72"/>
      <c r="DEZ20" s="72"/>
      <c r="DFA20" s="72"/>
      <c r="DFB20" s="72"/>
      <c r="DFC20" s="72"/>
      <c r="DFD20" s="72"/>
      <c r="DFE20" s="72"/>
      <c r="DFF20" s="72"/>
      <c r="DFG20" s="72"/>
      <c r="DFH20" s="72"/>
      <c r="DFI20" s="72"/>
      <c r="DFJ20" s="72"/>
      <c r="DFK20" s="72"/>
      <c r="DFL20" s="72"/>
      <c r="DFM20" s="72"/>
      <c r="DFN20" s="72"/>
      <c r="DFO20" s="72"/>
      <c r="DFP20" s="72"/>
      <c r="DFQ20" s="72"/>
      <c r="DFR20" s="72"/>
      <c r="DFS20" s="72"/>
      <c r="DFT20" s="72"/>
      <c r="DFU20" s="72"/>
      <c r="DFV20" s="72"/>
      <c r="DFW20" s="72"/>
      <c r="DFX20" s="72"/>
      <c r="DFY20" s="72"/>
      <c r="DFZ20" s="72"/>
      <c r="DGA20" s="72"/>
      <c r="DGB20" s="72"/>
      <c r="DGC20" s="72"/>
      <c r="DGD20" s="72"/>
      <c r="DGE20" s="72"/>
      <c r="DGF20" s="72"/>
      <c r="DGG20" s="72"/>
      <c r="DGH20" s="72"/>
      <c r="DGI20" s="72"/>
      <c r="DGJ20" s="72"/>
      <c r="DGK20" s="72"/>
      <c r="DGL20" s="72"/>
      <c r="DGM20" s="72"/>
      <c r="DGN20" s="72"/>
      <c r="DGO20" s="72"/>
      <c r="DGP20" s="72"/>
      <c r="DGQ20" s="72"/>
      <c r="DGR20" s="72"/>
      <c r="DGS20" s="72"/>
      <c r="DGT20" s="72"/>
      <c r="DGU20" s="72"/>
      <c r="DGV20" s="72"/>
      <c r="DGW20" s="72"/>
      <c r="DGX20" s="72"/>
      <c r="DGY20" s="72"/>
      <c r="DGZ20" s="72"/>
      <c r="DHA20" s="72"/>
      <c r="DHB20" s="72"/>
      <c r="DHC20" s="72"/>
      <c r="DHD20" s="72"/>
      <c r="DHE20" s="72"/>
      <c r="DHF20" s="72"/>
      <c r="DHG20" s="72"/>
      <c r="DHH20" s="72"/>
      <c r="DHI20" s="72"/>
      <c r="DHJ20" s="72"/>
      <c r="DHK20" s="72"/>
      <c r="DHL20" s="72"/>
      <c r="DHM20" s="72"/>
      <c r="DHN20" s="72"/>
      <c r="DHO20" s="72"/>
      <c r="DHP20" s="72"/>
      <c r="DHQ20" s="72"/>
      <c r="DHR20" s="72"/>
      <c r="DHS20" s="72"/>
      <c r="DHT20" s="72"/>
      <c r="DHU20" s="72"/>
      <c r="DHV20" s="72"/>
      <c r="DHW20" s="72"/>
      <c r="DHX20" s="72"/>
      <c r="DHY20" s="72"/>
      <c r="DHZ20" s="72"/>
      <c r="DIA20" s="72"/>
      <c r="DIB20" s="72"/>
      <c r="DIC20" s="72"/>
      <c r="DID20" s="72"/>
      <c r="DIE20" s="72"/>
      <c r="DIF20" s="72"/>
      <c r="DIG20" s="72"/>
      <c r="DIH20" s="72"/>
      <c r="DII20" s="72"/>
      <c r="DIJ20" s="72"/>
      <c r="DIK20" s="72"/>
      <c r="DIL20" s="72"/>
      <c r="DIM20" s="72"/>
      <c r="DIN20" s="72"/>
      <c r="DIO20" s="72"/>
      <c r="DIP20" s="72"/>
      <c r="DIQ20" s="72"/>
      <c r="DIR20" s="72"/>
      <c r="DIS20" s="72"/>
      <c r="DIT20" s="72"/>
      <c r="DIU20" s="72"/>
      <c r="DIV20" s="72"/>
      <c r="DIW20" s="72"/>
      <c r="DIX20" s="72"/>
      <c r="DIY20" s="72"/>
      <c r="DIZ20" s="72"/>
      <c r="DJA20" s="72"/>
      <c r="DJB20" s="72"/>
      <c r="DJC20" s="72"/>
      <c r="DJD20" s="72"/>
      <c r="DJE20" s="72"/>
      <c r="DJF20" s="72"/>
      <c r="DJG20" s="72"/>
      <c r="DJH20" s="72"/>
      <c r="DJI20" s="72"/>
      <c r="DJJ20" s="72"/>
      <c r="DJK20" s="72"/>
      <c r="DJL20" s="72"/>
      <c r="DJM20" s="72"/>
      <c r="DJN20" s="72"/>
      <c r="DJO20" s="72"/>
      <c r="DJP20" s="72"/>
      <c r="DJQ20" s="72"/>
      <c r="DJR20" s="72"/>
      <c r="DJS20" s="72"/>
      <c r="DJT20" s="72"/>
      <c r="DJU20" s="72"/>
      <c r="DJV20" s="72"/>
      <c r="DJW20" s="72"/>
      <c r="DJX20" s="72"/>
      <c r="DJY20" s="72"/>
      <c r="DJZ20" s="72"/>
      <c r="DKA20" s="72"/>
      <c r="DKB20" s="72"/>
      <c r="DKC20" s="72"/>
      <c r="DKD20" s="72"/>
      <c r="DKE20" s="72"/>
      <c r="DKF20" s="72"/>
      <c r="DKG20" s="72"/>
      <c r="DKH20" s="72"/>
      <c r="DKI20" s="72"/>
      <c r="DKJ20" s="72"/>
      <c r="DKK20" s="72"/>
      <c r="DKL20" s="72"/>
      <c r="DKM20" s="72"/>
      <c r="DKN20" s="72"/>
      <c r="DKO20" s="72"/>
      <c r="DKP20" s="72"/>
      <c r="DKQ20" s="72"/>
      <c r="DKR20" s="72"/>
      <c r="DKS20" s="72"/>
      <c r="DKT20" s="72"/>
      <c r="DKU20" s="72"/>
      <c r="DKV20" s="72"/>
      <c r="DKW20" s="72"/>
      <c r="DKX20" s="72"/>
      <c r="DKY20" s="72"/>
      <c r="DKZ20" s="72"/>
      <c r="DLA20" s="72"/>
      <c r="DLB20" s="72"/>
      <c r="DLC20" s="72"/>
      <c r="DLD20" s="72"/>
      <c r="DLE20" s="72"/>
      <c r="DLF20" s="72"/>
      <c r="DLG20" s="72"/>
      <c r="DLH20" s="72"/>
      <c r="DLI20" s="72"/>
      <c r="DLJ20" s="72"/>
      <c r="DLK20" s="72"/>
      <c r="DLL20" s="72"/>
      <c r="DLM20" s="72"/>
      <c r="DLN20" s="72"/>
      <c r="DLO20" s="72"/>
      <c r="DLP20" s="72"/>
      <c r="DLQ20" s="72"/>
      <c r="DLR20" s="72"/>
      <c r="DLS20" s="72"/>
      <c r="DLT20" s="72"/>
      <c r="DLU20" s="72"/>
      <c r="DLV20" s="72"/>
      <c r="DLW20" s="72"/>
      <c r="DLX20" s="72"/>
      <c r="DLY20" s="72"/>
      <c r="DLZ20" s="72"/>
      <c r="DMA20" s="72"/>
      <c r="DMB20" s="72"/>
      <c r="DMC20" s="72"/>
      <c r="DMD20" s="72"/>
      <c r="DME20" s="72"/>
      <c r="DMF20" s="72"/>
      <c r="DMG20" s="72"/>
      <c r="DMH20" s="72"/>
      <c r="DMI20" s="72"/>
      <c r="DMJ20" s="72"/>
      <c r="DMK20" s="72"/>
      <c r="DML20" s="72"/>
      <c r="DMM20" s="72"/>
      <c r="DMN20" s="72"/>
      <c r="DMO20" s="72"/>
      <c r="DMP20" s="72"/>
      <c r="DMQ20" s="72"/>
      <c r="DMR20" s="72"/>
      <c r="DMS20" s="72"/>
      <c r="DMT20" s="72"/>
      <c r="DMU20" s="72"/>
      <c r="DMV20" s="72"/>
      <c r="DMW20" s="72"/>
      <c r="DMX20" s="72"/>
      <c r="DMY20" s="72"/>
      <c r="DMZ20" s="72"/>
      <c r="DNA20" s="72"/>
      <c r="DNB20" s="72"/>
      <c r="DNC20" s="72"/>
      <c r="DND20" s="72"/>
      <c r="DNE20" s="72"/>
      <c r="DNF20" s="72"/>
      <c r="DNG20" s="72"/>
      <c r="DNH20" s="72"/>
      <c r="DNI20" s="72"/>
      <c r="DNJ20" s="72"/>
      <c r="DNK20" s="72"/>
      <c r="DNL20" s="72"/>
      <c r="DNM20" s="72"/>
      <c r="DNN20" s="72"/>
      <c r="DNO20" s="72"/>
      <c r="DNP20" s="72"/>
      <c r="DNQ20" s="72"/>
      <c r="DNR20" s="72"/>
      <c r="DNS20" s="72"/>
      <c r="DNT20" s="72"/>
      <c r="DNU20" s="72"/>
      <c r="DNV20" s="72"/>
      <c r="DNW20" s="72"/>
      <c r="DNX20" s="72"/>
      <c r="DNY20" s="72"/>
      <c r="DNZ20" s="72"/>
      <c r="DOA20" s="72"/>
      <c r="DOB20" s="72"/>
      <c r="DOC20" s="72"/>
      <c r="DOD20" s="72"/>
      <c r="DOE20" s="72"/>
      <c r="DOF20" s="72"/>
      <c r="DOG20" s="72"/>
      <c r="DOH20" s="72"/>
      <c r="DOI20" s="72"/>
      <c r="DOJ20" s="72"/>
      <c r="DOK20" s="72"/>
      <c r="DOL20" s="72"/>
      <c r="DOM20" s="72"/>
      <c r="DON20" s="72"/>
      <c r="DOO20" s="72"/>
      <c r="DOP20" s="72"/>
      <c r="DOQ20" s="72"/>
      <c r="DOR20" s="72"/>
      <c r="DOS20" s="72"/>
      <c r="DOT20" s="72"/>
      <c r="DOU20" s="72"/>
      <c r="DOV20" s="72"/>
      <c r="DOW20" s="72"/>
      <c r="DOX20" s="72"/>
      <c r="DOY20" s="72"/>
      <c r="DOZ20" s="72"/>
      <c r="DPA20" s="72"/>
      <c r="DPB20" s="72"/>
      <c r="DPC20" s="72"/>
      <c r="DPD20" s="72"/>
      <c r="DPE20" s="72"/>
      <c r="DPF20" s="72"/>
      <c r="DPG20" s="72"/>
      <c r="DPH20" s="72"/>
      <c r="DPI20" s="72"/>
      <c r="DPJ20" s="72"/>
      <c r="DPK20" s="72"/>
      <c r="DPL20" s="72"/>
      <c r="DPM20" s="72"/>
      <c r="DPN20" s="72"/>
      <c r="DPO20" s="72"/>
      <c r="DPP20" s="72"/>
      <c r="DPQ20" s="72"/>
      <c r="DPR20" s="72"/>
      <c r="DPS20" s="72"/>
      <c r="DPT20" s="72"/>
      <c r="DPU20" s="72"/>
      <c r="DPV20" s="72"/>
      <c r="DPW20" s="72"/>
      <c r="DPX20" s="72"/>
      <c r="DPY20" s="72"/>
      <c r="DPZ20" s="72"/>
      <c r="DQA20" s="72"/>
      <c r="DQB20" s="72"/>
      <c r="DQC20" s="72"/>
      <c r="DQD20" s="72"/>
      <c r="DQE20" s="72"/>
      <c r="DQF20" s="72"/>
      <c r="DQG20" s="72"/>
      <c r="DQH20" s="72"/>
      <c r="DQI20" s="72"/>
      <c r="DQJ20" s="72"/>
      <c r="DQK20" s="72"/>
      <c r="DQL20" s="72"/>
      <c r="DQM20" s="72"/>
      <c r="DQN20" s="72"/>
      <c r="DQO20" s="72"/>
      <c r="DQP20" s="72"/>
      <c r="DQQ20" s="72"/>
      <c r="DQR20" s="72"/>
      <c r="DQS20" s="72"/>
      <c r="DQT20" s="72"/>
      <c r="DQU20" s="72"/>
      <c r="DQV20" s="72"/>
      <c r="DQW20" s="72"/>
      <c r="DQX20" s="72"/>
      <c r="DQY20" s="72"/>
      <c r="DQZ20" s="72"/>
      <c r="DRA20" s="72"/>
      <c r="DRB20" s="72"/>
      <c r="DRC20" s="72"/>
      <c r="DRD20" s="72"/>
      <c r="DRE20" s="72"/>
      <c r="DRF20" s="72"/>
      <c r="DRG20" s="72"/>
      <c r="DRH20" s="72"/>
      <c r="DRI20" s="72"/>
      <c r="DRJ20" s="72"/>
      <c r="DRK20" s="72"/>
      <c r="DRL20" s="72"/>
      <c r="DRM20" s="72"/>
      <c r="DRN20" s="72"/>
      <c r="DRO20" s="72"/>
      <c r="DRP20" s="72"/>
      <c r="DRQ20" s="72"/>
      <c r="DRR20" s="72"/>
      <c r="DRS20" s="72"/>
      <c r="DRT20" s="72"/>
      <c r="DRU20" s="72"/>
      <c r="DRV20" s="72"/>
      <c r="DRW20" s="72"/>
      <c r="DRX20" s="72"/>
      <c r="DRY20" s="72"/>
      <c r="DRZ20" s="72"/>
      <c r="DSA20" s="72"/>
      <c r="DSB20" s="72"/>
      <c r="DSC20" s="72"/>
      <c r="DSD20" s="72"/>
      <c r="DSE20" s="72"/>
      <c r="DSF20" s="72"/>
      <c r="DSG20" s="72"/>
      <c r="DSH20" s="72"/>
      <c r="DSI20" s="72"/>
      <c r="DSJ20" s="72"/>
      <c r="DSK20" s="72"/>
      <c r="DSL20" s="72"/>
      <c r="DSM20" s="72"/>
      <c r="DSN20" s="72"/>
      <c r="DSO20" s="72"/>
      <c r="DSP20" s="72"/>
      <c r="DSQ20" s="72"/>
      <c r="DSR20" s="72"/>
      <c r="DSS20" s="72"/>
      <c r="DST20" s="72"/>
      <c r="DSU20" s="72"/>
      <c r="DSV20" s="72"/>
      <c r="DSW20" s="72"/>
      <c r="DSX20" s="72"/>
      <c r="DSY20" s="72"/>
      <c r="DSZ20" s="72"/>
      <c r="DTA20" s="72"/>
      <c r="DTB20" s="72"/>
      <c r="DTC20" s="72"/>
      <c r="DTD20" s="72"/>
      <c r="DTE20" s="72"/>
      <c r="DTF20" s="72"/>
      <c r="DTG20" s="72"/>
      <c r="DTH20" s="72"/>
      <c r="DTI20" s="72"/>
      <c r="DTJ20" s="72"/>
      <c r="DTK20" s="72"/>
      <c r="DTL20" s="72"/>
      <c r="DTM20" s="72"/>
      <c r="DTN20" s="72"/>
      <c r="DTO20" s="72"/>
      <c r="DTP20" s="72"/>
      <c r="DTQ20" s="72"/>
      <c r="DTR20" s="72"/>
      <c r="DTS20" s="72"/>
      <c r="DTT20" s="72"/>
      <c r="DTU20" s="72"/>
      <c r="DTV20" s="72"/>
      <c r="DTW20" s="72"/>
      <c r="DTX20" s="72"/>
      <c r="DTY20" s="72"/>
      <c r="DTZ20" s="72"/>
      <c r="DUA20" s="72"/>
      <c r="DUB20" s="72"/>
      <c r="DUC20" s="72"/>
      <c r="DUD20" s="72"/>
      <c r="DUE20" s="72"/>
      <c r="DUF20" s="72"/>
      <c r="DUG20" s="72"/>
      <c r="DUH20" s="72"/>
      <c r="DUI20" s="72"/>
      <c r="DUJ20" s="72"/>
      <c r="DUK20" s="72"/>
      <c r="DUL20" s="72"/>
      <c r="DUM20" s="72"/>
      <c r="DUN20" s="72"/>
      <c r="DUO20" s="72"/>
      <c r="DUP20" s="72"/>
      <c r="DUQ20" s="72"/>
      <c r="DUR20" s="72"/>
      <c r="DUS20" s="72"/>
      <c r="DUT20" s="72"/>
      <c r="DUU20" s="72"/>
      <c r="DUV20" s="72"/>
      <c r="DUW20" s="72"/>
      <c r="DUX20" s="72"/>
      <c r="DUY20" s="72"/>
      <c r="DUZ20" s="72"/>
      <c r="DVA20" s="72"/>
      <c r="DVB20" s="72"/>
      <c r="DVC20" s="72"/>
      <c r="DVD20" s="72"/>
      <c r="DVE20" s="72"/>
      <c r="DVF20" s="72"/>
      <c r="DVG20" s="72"/>
      <c r="DVH20" s="72"/>
      <c r="DVI20" s="72"/>
      <c r="DVJ20" s="72"/>
      <c r="DVK20" s="72"/>
      <c r="DVL20" s="72"/>
      <c r="DVM20" s="72"/>
      <c r="DVN20" s="72"/>
      <c r="DVO20" s="72"/>
      <c r="DVP20" s="72"/>
      <c r="DVQ20" s="72"/>
      <c r="DVR20" s="72"/>
      <c r="DVS20" s="72"/>
      <c r="DVT20" s="72"/>
      <c r="DVU20" s="72"/>
      <c r="DVV20" s="72"/>
      <c r="DVW20" s="72"/>
      <c r="DVX20" s="72"/>
      <c r="DVY20" s="72"/>
      <c r="DVZ20" s="72"/>
      <c r="DWA20" s="72"/>
      <c r="DWB20" s="72"/>
      <c r="DWC20" s="72"/>
      <c r="DWD20" s="72"/>
      <c r="DWE20" s="72"/>
      <c r="DWF20" s="72"/>
      <c r="DWG20" s="72"/>
      <c r="DWH20" s="72"/>
      <c r="DWI20" s="72"/>
      <c r="DWJ20" s="72"/>
      <c r="DWK20" s="72"/>
      <c r="DWL20" s="72"/>
      <c r="DWM20" s="72"/>
      <c r="DWN20" s="72"/>
      <c r="DWO20" s="72"/>
      <c r="DWP20" s="72"/>
      <c r="DWQ20" s="72"/>
      <c r="DWR20" s="72"/>
      <c r="DWS20" s="72"/>
      <c r="DWT20" s="72"/>
      <c r="DWU20" s="72"/>
      <c r="DWV20" s="72"/>
      <c r="DWW20" s="72"/>
      <c r="DWX20" s="72"/>
      <c r="DWY20" s="72"/>
      <c r="DWZ20" s="72"/>
      <c r="DXA20" s="72"/>
      <c r="DXB20" s="72"/>
      <c r="DXC20" s="72"/>
      <c r="DXD20" s="72"/>
      <c r="DXE20" s="72"/>
      <c r="DXF20" s="72"/>
      <c r="DXG20" s="72"/>
      <c r="DXH20" s="72"/>
      <c r="DXI20" s="72"/>
      <c r="DXJ20" s="72"/>
      <c r="DXK20" s="72"/>
      <c r="DXL20" s="72"/>
      <c r="DXM20" s="72"/>
      <c r="DXN20" s="72"/>
      <c r="DXO20" s="72"/>
      <c r="DXP20" s="72"/>
      <c r="DXQ20" s="72"/>
      <c r="DXR20" s="72"/>
      <c r="DXS20" s="72"/>
      <c r="DXT20" s="72"/>
      <c r="DXU20" s="72"/>
      <c r="DXV20" s="72"/>
      <c r="DXW20" s="72"/>
      <c r="DXX20" s="72"/>
      <c r="DXY20" s="72"/>
      <c r="DXZ20" s="72"/>
      <c r="DYA20" s="72"/>
      <c r="DYB20" s="72"/>
      <c r="DYC20" s="72"/>
      <c r="DYD20" s="72"/>
      <c r="DYE20" s="72"/>
      <c r="DYF20" s="72"/>
      <c r="DYG20" s="72"/>
      <c r="DYH20" s="72"/>
      <c r="DYI20" s="72"/>
      <c r="DYJ20" s="72"/>
      <c r="DYK20" s="72"/>
      <c r="DYL20" s="72"/>
      <c r="DYM20" s="72"/>
      <c r="DYN20" s="72"/>
      <c r="DYO20" s="72"/>
      <c r="DYP20" s="72"/>
      <c r="DYQ20" s="72"/>
      <c r="DYR20" s="72"/>
      <c r="DYS20" s="72"/>
      <c r="DYT20" s="72"/>
      <c r="DYU20" s="72"/>
      <c r="DYV20" s="72"/>
      <c r="DYW20" s="72"/>
      <c r="DYX20" s="72"/>
      <c r="DYY20" s="72"/>
      <c r="DYZ20" s="72"/>
      <c r="DZA20" s="72"/>
      <c r="DZB20" s="72"/>
      <c r="DZC20" s="72"/>
      <c r="DZD20" s="72"/>
      <c r="DZE20" s="72"/>
      <c r="DZF20" s="72"/>
      <c r="DZG20" s="72"/>
      <c r="DZH20" s="72"/>
      <c r="DZI20" s="72"/>
      <c r="DZJ20" s="72"/>
      <c r="DZK20" s="72"/>
      <c r="DZL20" s="72"/>
      <c r="DZM20" s="72"/>
      <c r="DZN20" s="72"/>
      <c r="DZO20" s="72"/>
      <c r="DZP20" s="72"/>
      <c r="DZQ20" s="72"/>
      <c r="DZR20" s="72"/>
      <c r="DZS20" s="72"/>
      <c r="DZT20" s="72"/>
      <c r="DZU20" s="72"/>
      <c r="DZV20" s="72"/>
      <c r="DZW20" s="72"/>
      <c r="DZX20" s="72"/>
      <c r="DZY20" s="72"/>
      <c r="DZZ20" s="72"/>
      <c r="EAA20" s="72"/>
      <c r="EAB20" s="72"/>
      <c r="EAC20" s="72"/>
      <c r="EAD20" s="72"/>
      <c r="EAE20" s="72"/>
      <c r="EAF20" s="72"/>
      <c r="EAG20" s="72"/>
      <c r="EAH20" s="72"/>
      <c r="EAI20" s="72"/>
      <c r="EAJ20" s="72"/>
      <c r="EAK20" s="72"/>
      <c r="EAL20" s="72"/>
      <c r="EAM20" s="72"/>
      <c r="EAN20" s="72"/>
      <c r="EAO20" s="72"/>
      <c r="EAP20" s="72"/>
      <c r="EAQ20" s="72"/>
      <c r="EAR20" s="72"/>
      <c r="EAS20" s="72"/>
      <c r="EAT20" s="72"/>
      <c r="EAU20" s="72"/>
      <c r="EAV20" s="72"/>
      <c r="EAW20" s="72"/>
      <c r="EAX20" s="72"/>
      <c r="EAY20" s="72"/>
      <c r="EAZ20" s="72"/>
      <c r="EBA20" s="72"/>
      <c r="EBB20" s="72"/>
      <c r="EBC20" s="72"/>
      <c r="EBD20" s="72"/>
      <c r="EBE20" s="72"/>
      <c r="EBF20" s="72"/>
      <c r="EBG20" s="72"/>
      <c r="EBH20" s="72"/>
      <c r="EBI20" s="72"/>
      <c r="EBJ20" s="72"/>
      <c r="EBK20" s="72"/>
      <c r="EBL20" s="72"/>
      <c r="EBM20" s="72"/>
      <c r="EBN20" s="72"/>
      <c r="EBO20" s="72"/>
      <c r="EBP20" s="72"/>
      <c r="EBQ20" s="72"/>
      <c r="EBR20" s="72"/>
      <c r="EBS20" s="72"/>
      <c r="EBT20" s="72"/>
      <c r="EBU20" s="72"/>
      <c r="EBV20" s="72"/>
      <c r="EBW20" s="72"/>
      <c r="EBX20" s="72"/>
      <c r="EBY20" s="72"/>
      <c r="EBZ20" s="72"/>
      <c r="ECA20" s="72"/>
      <c r="ECB20" s="72"/>
      <c r="ECC20" s="72"/>
      <c r="ECD20" s="72"/>
      <c r="ECE20" s="72"/>
      <c r="ECF20" s="72"/>
      <c r="ECG20" s="72"/>
      <c r="ECH20" s="72"/>
      <c r="ECI20" s="72"/>
      <c r="ECJ20" s="72"/>
      <c r="ECK20" s="72"/>
      <c r="ECL20" s="72"/>
      <c r="ECM20" s="72"/>
      <c r="ECN20" s="72"/>
      <c r="ECO20" s="72"/>
      <c r="ECP20" s="72"/>
      <c r="ECQ20" s="72"/>
      <c r="ECR20" s="72"/>
      <c r="ECS20" s="72"/>
      <c r="ECT20" s="72"/>
      <c r="ECU20" s="72"/>
      <c r="ECV20" s="72"/>
      <c r="ECW20" s="72"/>
      <c r="ECX20" s="72"/>
      <c r="ECY20" s="72"/>
      <c r="ECZ20" s="72"/>
      <c r="EDA20" s="72"/>
      <c r="EDB20" s="72"/>
      <c r="EDC20" s="72"/>
      <c r="EDD20" s="72"/>
      <c r="EDE20" s="72"/>
      <c r="EDF20" s="72"/>
      <c r="EDG20" s="72"/>
      <c r="EDH20" s="72"/>
      <c r="EDI20" s="72"/>
      <c r="EDJ20" s="72"/>
      <c r="EDK20" s="72"/>
      <c r="EDL20" s="72"/>
      <c r="EDM20" s="72"/>
      <c r="EDN20" s="72"/>
      <c r="EDO20" s="72"/>
      <c r="EDP20" s="72"/>
      <c r="EDQ20" s="72"/>
      <c r="EDR20" s="72"/>
      <c r="EDS20" s="72"/>
      <c r="EDT20" s="72"/>
      <c r="EDU20" s="72"/>
      <c r="EDV20" s="72"/>
      <c r="EDW20" s="72"/>
      <c r="EDX20" s="72"/>
      <c r="EDY20" s="72"/>
      <c r="EDZ20" s="72"/>
      <c r="EEA20" s="72"/>
      <c r="EEB20" s="72"/>
      <c r="EEC20" s="72"/>
      <c r="EED20" s="72"/>
      <c r="EEE20" s="72"/>
      <c r="EEF20" s="72"/>
      <c r="EEG20" s="72"/>
      <c r="EEH20" s="72"/>
      <c r="EEI20" s="72"/>
      <c r="EEJ20" s="72"/>
      <c r="EEK20" s="72"/>
      <c r="EEL20" s="72"/>
      <c r="EEM20" s="72"/>
      <c r="EEN20" s="72"/>
      <c r="EEO20" s="72"/>
      <c r="EEP20" s="72"/>
      <c r="EEQ20" s="72"/>
      <c r="EER20" s="72"/>
      <c r="EES20" s="72"/>
      <c r="EET20" s="72"/>
      <c r="EEU20" s="72"/>
      <c r="EEV20" s="72"/>
      <c r="EEW20" s="72"/>
      <c r="EEX20" s="72"/>
      <c r="EEY20" s="72"/>
      <c r="EEZ20" s="72"/>
      <c r="EFA20" s="72"/>
      <c r="EFB20" s="72"/>
      <c r="EFC20" s="72"/>
      <c r="EFD20" s="72"/>
      <c r="EFE20" s="72"/>
      <c r="EFF20" s="72"/>
      <c r="EFG20" s="72"/>
      <c r="EFH20" s="72"/>
      <c r="EFI20" s="72"/>
      <c r="EFJ20" s="72"/>
      <c r="EFK20" s="72"/>
      <c r="EFL20" s="72"/>
      <c r="EFM20" s="72"/>
      <c r="EFN20" s="72"/>
      <c r="EFO20" s="72"/>
      <c r="EFP20" s="72"/>
      <c r="EFQ20" s="72"/>
      <c r="EFR20" s="72"/>
      <c r="EFS20" s="72"/>
      <c r="EFT20" s="72"/>
      <c r="EFU20" s="72"/>
      <c r="EFV20" s="72"/>
      <c r="EFW20" s="72"/>
      <c r="EFX20" s="72"/>
      <c r="EFY20" s="72"/>
      <c r="EFZ20" s="72"/>
      <c r="EGA20" s="72"/>
      <c r="EGB20" s="72"/>
      <c r="EGC20" s="72"/>
      <c r="EGD20" s="72"/>
      <c r="EGE20" s="72"/>
      <c r="EGF20" s="72"/>
      <c r="EGG20" s="72"/>
      <c r="EGH20" s="72"/>
      <c r="EGI20" s="72"/>
      <c r="EGJ20" s="72"/>
      <c r="EGK20" s="72"/>
      <c r="EGL20" s="72"/>
      <c r="EGM20" s="72"/>
      <c r="EGN20" s="72"/>
      <c r="EGO20" s="72"/>
      <c r="EGP20" s="72"/>
      <c r="EGQ20" s="72"/>
      <c r="EGR20" s="72"/>
      <c r="EGS20" s="72"/>
      <c r="EGT20" s="72"/>
      <c r="EGU20" s="72"/>
      <c r="EGV20" s="72"/>
      <c r="EGW20" s="72"/>
      <c r="EGX20" s="72"/>
      <c r="EGY20" s="72"/>
      <c r="EGZ20" s="72"/>
      <c r="EHA20" s="72"/>
      <c r="EHB20" s="72"/>
      <c r="EHC20" s="72"/>
      <c r="EHD20" s="72"/>
      <c r="EHE20" s="72"/>
      <c r="EHF20" s="72"/>
      <c r="EHG20" s="72"/>
      <c r="EHH20" s="72"/>
      <c r="EHI20" s="72"/>
      <c r="EHJ20" s="72"/>
      <c r="EHK20" s="72"/>
      <c r="EHL20" s="72"/>
      <c r="EHM20" s="72"/>
      <c r="EHN20" s="72"/>
      <c r="EHO20" s="72"/>
      <c r="EHP20" s="72"/>
      <c r="EHQ20" s="72"/>
      <c r="EHR20" s="72"/>
      <c r="EHS20" s="72"/>
      <c r="EHT20" s="72"/>
      <c r="EHU20" s="72"/>
      <c r="EHV20" s="72"/>
      <c r="EHW20" s="72"/>
      <c r="EHX20" s="72"/>
      <c r="EHY20" s="72"/>
      <c r="EHZ20" s="72"/>
      <c r="EIA20" s="72"/>
      <c r="EIB20" s="72"/>
      <c r="EIC20" s="72"/>
      <c r="EID20" s="72"/>
      <c r="EIE20" s="72"/>
      <c r="EIF20" s="72"/>
      <c r="EIG20" s="72"/>
      <c r="EIH20" s="72"/>
      <c r="EII20" s="72"/>
      <c r="EIJ20" s="72"/>
      <c r="EIK20" s="72"/>
      <c r="EIL20" s="72"/>
      <c r="EIM20" s="72"/>
      <c r="EIN20" s="72"/>
      <c r="EIO20" s="72"/>
      <c r="EIP20" s="72"/>
      <c r="EIQ20" s="72"/>
      <c r="EIR20" s="72"/>
      <c r="EIS20" s="72"/>
      <c r="EIT20" s="72"/>
      <c r="EIU20" s="72"/>
      <c r="EIV20" s="72"/>
      <c r="EIW20" s="72"/>
      <c r="EIX20" s="72"/>
      <c r="EIY20" s="72"/>
      <c r="EIZ20" s="72"/>
      <c r="EJA20" s="72"/>
      <c r="EJB20" s="72"/>
      <c r="EJC20" s="72"/>
      <c r="EJD20" s="72"/>
      <c r="EJE20" s="72"/>
      <c r="EJF20" s="72"/>
      <c r="EJG20" s="72"/>
      <c r="EJH20" s="72"/>
      <c r="EJI20" s="72"/>
      <c r="EJJ20" s="72"/>
      <c r="EJK20" s="72"/>
      <c r="EJL20" s="72"/>
      <c r="EJM20" s="72"/>
      <c r="EJN20" s="72"/>
      <c r="EJO20" s="72"/>
      <c r="EJP20" s="72"/>
      <c r="EJQ20" s="72"/>
      <c r="EJR20" s="72"/>
      <c r="EJS20" s="72"/>
      <c r="EJT20" s="72"/>
      <c r="EJU20" s="72"/>
      <c r="EJV20" s="72"/>
      <c r="EJW20" s="72"/>
      <c r="EJX20" s="72"/>
      <c r="EJY20" s="72"/>
      <c r="EJZ20" s="72"/>
      <c r="EKA20" s="72"/>
      <c r="EKB20" s="72"/>
      <c r="EKC20" s="72"/>
      <c r="EKD20" s="72"/>
      <c r="EKE20" s="72"/>
      <c r="EKF20" s="72"/>
      <c r="EKG20" s="72"/>
      <c r="EKH20" s="72"/>
      <c r="EKI20" s="72"/>
      <c r="EKJ20" s="72"/>
      <c r="EKK20" s="72"/>
      <c r="EKL20" s="72"/>
      <c r="EKM20" s="72"/>
      <c r="EKN20" s="72"/>
      <c r="EKO20" s="72"/>
      <c r="EKP20" s="72"/>
      <c r="EKQ20" s="72"/>
      <c r="EKR20" s="72"/>
      <c r="EKS20" s="72"/>
      <c r="EKT20" s="72"/>
      <c r="EKU20" s="72"/>
      <c r="EKV20" s="72"/>
      <c r="EKW20" s="72"/>
      <c r="EKX20" s="72"/>
      <c r="EKY20" s="72"/>
      <c r="EKZ20" s="72"/>
      <c r="ELA20" s="72"/>
      <c r="ELB20" s="72"/>
      <c r="ELC20" s="72"/>
      <c r="ELD20" s="72"/>
      <c r="ELE20" s="72"/>
      <c r="ELF20" s="72"/>
      <c r="ELG20" s="72"/>
      <c r="ELH20" s="72"/>
      <c r="ELI20" s="72"/>
      <c r="ELJ20" s="72"/>
      <c r="ELK20" s="72"/>
      <c r="ELL20" s="72"/>
      <c r="ELM20" s="72"/>
      <c r="ELN20" s="72"/>
      <c r="ELO20" s="72"/>
      <c r="ELP20" s="72"/>
      <c r="ELQ20" s="72"/>
      <c r="ELR20" s="72"/>
      <c r="ELS20" s="72"/>
      <c r="ELT20" s="72"/>
      <c r="ELU20" s="72"/>
      <c r="ELV20" s="72"/>
      <c r="ELW20" s="72"/>
      <c r="ELX20" s="72"/>
      <c r="ELY20" s="72"/>
      <c r="ELZ20" s="72"/>
      <c r="EMA20" s="72"/>
      <c r="EMB20" s="72"/>
      <c r="EMC20" s="72"/>
      <c r="EMD20" s="72"/>
      <c r="EME20" s="72"/>
      <c r="EMF20" s="72"/>
      <c r="EMG20" s="72"/>
      <c r="EMH20" s="72"/>
      <c r="EMI20" s="72"/>
      <c r="EMJ20" s="72"/>
      <c r="EMK20" s="72"/>
      <c r="EML20" s="72"/>
      <c r="EMM20" s="72"/>
      <c r="EMN20" s="72"/>
      <c r="EMO20" s="72"/>
      <c r="EMP20" s="72"/>
      <c r="EMQ20" s="72"/>
      <c r="EMR20" s="72"/>
      <c r="EMS20" s="72"/>
      <c r="EMT20" s="72"/>
      <c r="EMU20" s="72"/>
      <c r="EMV20" s="72"/>
      <c r="EMW20" s="72"/>
      <c r="EMX20" s="72"/>
      <c r="EMY20" s="72"/>
      <c r="EMZ20" s="72"/>
      <c r="ENA20" s="72"/>
      <c r="ENB20" s="72"/>
      <c r="ENC20" s="72"/>
      <c r="END20" s="72"/>
      <c r="ENE20" s="72"/>
      <c r="ENF20" s="72"/>
      <c r="ENG20" s="72"/>
      <c r="ENH20" s="72"/>
      <c r="ENI20" s="72"/>
      <c r="ENJ20" s="72"/>
      <c r="ENK20" s="72"/>
      <c r="ENL20" s="72"/>
      <c r="ENM20" s="72"/>
      <c r="ENN20" s="72"/>
      <c r="ENO20" s="72"/>
      <c r="ENP20" s="72"/>
      <c r="ENQ20" s="72"/>
      <c r="ENR20" s="72"/>
      <c r="ENS20" s="72"/>
      <c r="ENT20" s="72"/>
      <c r="ENU20" s="72"/>
      <c r="ENV20" s="72"/>
      <c r="ENW20" s="72"/>
      <c r="ENX20" s="72"/>
      <c r="ENY20" s="72"/>
      <c r="ENZ20" s="72"/>
      <c r="EOA20" s="72"/>
      <c r="EOB20" s="72"/>
      <c r="EOC20" s="72"/>
      <c r="EOD20" s="72"/>
      <c r="EOE20" s="72"/>
      <c r="EOF20" s="72"/>
      <c r="EOG20" s="72"/>
      <c r="EOH20" s="72"/>
      <c r="EOI20" s="72"/>
      <c r="EOJ20" s="72"/>
      <c r="EOK20" s="72"/>
      <c r="EOL20" s="72"/>
      <c r="EOM20" s="72"/>
      <c r="EON20" s="72"/>
      <c r="EOO20" s="72"/>
      <c r="EOP20" s="72"/>
      <c r="EOQ20" s="72"/>
      <c r="EOR20" s="72"/>
      <c r="EOS20" s="72"/>
      <c r="EOT20" s="72"/>
      <c r="EOU20" s="72"/>
      <c r="EOV20" s="72"/>
      <c r="EOW20" s="72"/>
      <c r="EOX20" s="72"/>
      <c r="EOY20" s="72"/>
      <c r="EOZ20" s="72"/>
      <c r="EPA20" s="72"/>
      <c r="EPB20" s="72"/>
      <c r="EPC20" s="72"/>
      <c r="EPD20" s="72"/>
      <c r="EPE20" s="72"/>
      <c r="EPF20" s="72"/>
      <c r="EPG20" s="72"/>
      <c r="EPH20" s="72"/>
      <c r="EPI20" s="72"/>
      <c r="EPJ20" s="72"/>
      <c r="EPK20" s="72"/>
      <c r="EPL20" s="72"/>
      <c r="EPM20" s="72"/>
      <c r="EPN20" s="72"/>
      <c r="EPO20" s="72"/>
      <c r="EPP20" s="72"/>
      <c r="EPQ20" s="72"/>
      <c r="EPR20" s="72"/>
      <c r="EPS20" s="72"/>
      <c r="EPT20" s="72"/>
      <c r="EPU20" s="72"/>
      <c r="EPV20" s="72"/>
      <c r="EPW20" s="72"/>
      <c r="EPX20" s="72"/>
      <c r="EPY20" s="72"/>
      <c r="EPZ20" s="72"/>
      <c r="EQA20" s="72"/>
      <c r="EQB20" s="72"/>
      <c r="EQC20" s="72"/>
      <c r="EQD20" s="72"/>
      <c r="EQE20" s="72"/>
      <c r="EQF20" s="72"/>
      <c r="EQG20" s="72"/>
      <c r="EQH20" s="72"/>
      <c r="EQI20" s="72"/>
      <c r="EQJ20" s="72"/>
      <c r="EQK20" s="72"/>
      <c r="EQL20" s="72"/>
      <c r="EQM20" s="72"/>
      <c r="EQN20" s="72"/>
      <c r="EQO20" s="72"/>
      <c r="EQP20" s="72"/>
      <c r="EQQ20" s="72"/>
      <c r="EQR20" s="72"/>
      <c r="EQS20" s="72"/>
      <c r="EQT20" s="72"/>
      <c r="EQU20" s="72"/>
      <c r="EQV20" s="72"/>
      <c r="EQW20" s="72"/>
      <c r="EQX20" s="72"/>
      <c r="EQY20" s="72"/>
      <c r="EQZ20" s="72"/>
      <c r="ERA20" s="72"/>
      <c r="ERB20" s="72"/>
      <c r="ERC20" s="72"/>
      <c r="ERD20" s="72"/>
      <c r="ERE20" s="72"/>
      <c r="ERF20" s="72"/>
      <c r="ERG20" s="72"/>
      <c r="ERH20" s="72"/>
      <c r="ERI20" s="72"/>
      <c r="ERJ20" s="72"/>
      <c r="ERK20" s="72"/>
      <c r="ERL20" s="72"/>
      <c r="ERM20" s="72"/>
      <c r="ERN20" s="72"/>
      <c r="ERO20" s="72"/>
      <c r="ERP20" s="72"/>
      <c r="ERQ20" s="72"/>
      <c r="ERR20" s="72"/>
      <c r="ERS20" s="72"/>
      <c r="ERT20" s="72"/>
      <c r="ERU20" s="72"/>
      <c r="ERV20" s="72"/>
      <c r="ERW20" s="72"/>
      <c r="ERX20" s="72"/>
      <c r="ERY20" s="72"/>
      <c r="ERZ20" s="72"/>
      <c r="ESA20" s="72"/>
      <c r="ESB20" s="72"/>
      <c r="ESC20" s="72"/>
      <c r="ESD20" s="72"/>
      <c r="ESE20" s="72"/>
      <c r="ESF20" s="72"/>
      <c r="ESG20" s="72"/>
      <c r="ESH20" s="72"/>
      <c r="ESI20" s="72"/>
      <c r="ESJ20" s="72"/>
      <c r="ESK20" s="72"/>
      <c r="ESL20" s="72"/>
      <c r="ESM20" s="72"/>
      <c r="ESN20" s="72"/>
      <c r="ESO20" s="72"/>
      <c r="ESP20" s="72"/>
      <c r="ESQ20" s="72"/>
      <c r="ESR20" s="72"/>
      <c r="ESS20" s="72"/>
      <c r="EST20" s="72"/>
      <c r="ESU20" s="72"/>
      <c r="ESV20" s="72"/>
      <c r="ESW20" s="72"/>
      <c r="ESX20" s="72"/>
      <c r="ESY20" s="72"/>
      <c r="ESZ20" s="72"/>
      <c r="ETA20" s="72"/>
      <c r="ETB20" s="72"/>
      <c r="ETC20" s="72"/>
      <c r="ETD20" s="72"/>
      <c r="ETE20" s="72"/>
      <c r="ETF20" s="72"/>
      <c r="ETG20" s="72"/>
      <c r="ETH20" s="72"/>
      <c r="ETI20" s="72"/>
      <c r="ETJ20" s="72"/>
      <c r="ETK20" s="72"/>
      <c r="ETL20" s="72"/>
      <c r="ETM20" s="72"/>
      <c r="ETN20" s="72"/>
      <c r="ETO20" s="72"/>
      <c r="ETP20" s="72"/>
      <c r="ETQ20" s="72"/>
      <c r="ETR20" s="72"/>
      <c r="ETS20" s="72"/>
      <c r="ETT20" s="72"/>
      <c r="ETU20" s="72"/>
      <c r="ETV20" s="72"/>
      <c r="ETW20" s="72"/>
      <c r="ETX20" s="72"/>
      <c r="ETY20" s="72"/>
      <c r="ETZ20" s="72"/>
      <c r="EUA20" s="72"/>
      <c r="EUB20" s="72"/>
      <c r="EUC20" s="72"/>
      <c r="EUD20" s="72"/>
      <c r="EUE20" s="72"/>
      <c r="EUF20" s="72"/>
      <c r="EUG20" s="72"/>
      <c r="EUH20" s="72"/>
      <c r="EUI20" s="72"/>
      <c r="EUJ20" s="72"/>
      <c r="EUK20" s="72"/>
      <c r="EUL20" s="72"/>
      <c r="EUM20" s="72"/>
      <c r="EUN20" s="72"/>
      <c r="EUO20" s="72"/>
      <c r="EUP20" s="72"/>
      <c r="EUQ20" s="72"/>
      <c r="EUR20" s="72"/>
      <c r="EUS20" s="72"/>
      <c r="EUT20" s="72"/>
      <c r="EUU20" s="72"/>
      <c r="EUV20" s="72"/>
      <c r="EUW20" s="72"/>
      <c r="EUX20" s="72"/>
      <c r="EUY20" s="72"/>
      <c r="EUZ20" s="72"/>
      <c r="EVA20" s="72"/>
      <c r="EVB20" s="72"/>
      <c r="EVC20" s="72"/>
      <c r="EVD20" s="72"/>
      <c r="EVE20" s="72"/>
      <c r="EVF20" s="72"/>
      <c r="EVG20" s="72"/>
      <c r="EVH20" s="72"/>
      <c r="EVI20" s="72"/>
      <c r="EVJ20" s="72"/>
      <c r="EVK20" s="72"/>
      <c r="EVL20" s="72"/>
      <c r="EVM20" s="72"/>
      <c r="EVN20" s="72"/>
      <c r="EVO20" s="72"/>
      <c r="EVP20" s="72"/>
      <c r="EVQ20" s="72"/>
      <c r="EVR20" s="72"/>
      <c r="EVS20" s="72"/>
      <c r="EVT20" s="72"/>
      <c r="EVU20" s="72"/>
      <c r="EVV20" s="72"/>
      <c r="EVW20" s="72"/>
      <c r="EVX20" s="72"/>
      <c r="EVY20" s="72"/>
      <c r="EVZ20" s="72"/>
      <c r="EWA20" s="72"/>
      <c r="EWB20" s="72"/>
      <c r="EWC20" s="72"/>
      <c r="EWD20" s="72"/>
      <c r="EWE20" s="72"/>
      <c r="EWF20" s="72"/>
      <c r="EWG20" s="72"/>
      <c r="EWH20" s="72"/>
      <c r="EWI20" s="72"/>
      <c r="EWJ20" s="72"/>
      <c r="EWK20" s="72"/>
      <c r="EWL20" s="72"/>
      <c r="EWM20" s="72"/>
      <c r="EWN20" s="72"/>
      <c r="EWO20" s="72"/>
      <c r="EWP20" s="72"/>
      <c r="EWQ20" s="72"/>
      <c r="EWR20" s="72"/>
      <c r="EWS20" s="72"/>
      <c r="EWT20" s="72"/>
      <c r="EWU20" s="72"/>
      <c r="EWV20" s="72"/>
      <c r="EWW20" s="72"/>
      <c r="EWX20" s="72"/>
      <c r="EWY20" s="72"/>
      <c r="EWZ20" s="72"/>
      <c r="EXA20" s="72"/>
      <c r="EXB20" s="72"/>
      <c r="EXC20" s="72"/>
      <c r="EXD20" s="72"/>
      <c r="EXE20" s="72"/>
      <c r="EXF20" s="72"/>
      <c r="EXG20" s="72"/>
      <c r="EXH20" s="72"/>
      <c r="EXI20" s="72"/>
      <c r="EXJ20" s="72"/>
      <c r="EXK20" s="72"/>
      <c r="EXL20" s="72"/>
      <c r="EXM20" s="72"/>
      <c r="EXN20" s="72"/>
      <c r="EXO20" s="72"/>
      <c r="EXP20" s="72"/>
      <c r="EXQ20" s="72"/>
      <c r="EXR20" s="72"/>
      <c r="EXS20" s="72"/>
      <c r="EXT20" s="72"/>
      <c r="EXU20" s="72"/>
      <c r="EXV20" s="72"/>
      <c r="EXW20" s="72"/>
      <c r="EXX20" s="72"/>
      <c r="EXY20" s="72"/>
      <c r="EXZ20" s="72"/>
      <c r="EYA20" s="72"/>
      <c r="EYB20" s="72"/>
      <c r="EYC20" s="72"/>
      <c r="EYD20" s="72"/>
      <c r="EYE20" s="72"/>
      <c r="EYF20" s="72"/>
      <c r="EYG20" s="72"/>
      <c r="EYH20" s="72"/>
      <c r="EYI20" s="72"/>
      <c r="EYJ20" s="72"/>
      <c r="EYK20" s="72"/>
      <c r="EYL20" s="72"/>
      <c r="EYM20" s="72"/>
      <c r="EYN20" s="72"/>
      <c r="EYO20" s="72"/>
      <c r="EYP20" s="72"/>
      <c r="EYQ20" s="72"/>
      <c r="EYR20" s="72"/>
      <c r="EYS20" s="72"/>
      <c r="EYT20" s="72"/>
      <c r="EYU20" s="72"/>
      <c r="EYV20" s="72"/>
      <c r="EYW20" s="72"/>
      <c r="EYX20" s="72"/>
      <c r="EYY20" s="72"/>
      <c r="EYZ20" s="72"/>
      <c r="EZA20" s="72"/>
      <c r="EZB20" s="72"/>
      <c r="EZC20" s="72"/>
      <c r="EZD20" s="72"/>
      <c r="EZE20" s="72"/>
      <c r="EZF20" s="72"/>
      <c r="EZG20" s="72"/>
      <c r="EZH20" s="72"/>
      <c r="EZI20" s="72"/>
      <c r="EZJ20" s="72"/>
      <c r="EZK20" s="72"/>
      <c r="EZL20" s="72"/>
      <c r="EZM20" s="72"/>
      <c r="EZN20" s="72"/>
      <c r="EZO20" s="72"/>
      <c r="EZP20" s="72"/>
      <c r="EZQ20" s="72"/>
      <c r="EZR20" s="72"/>
      <c r="EZS20" s="72"/>
      <c r="EZT20" s="72"/>
      <c r="EZU20" s="72"/>
      <c r="EZV20" s="72"/>
      <c r="EZW20" s="72"/>
      <c r="EZX20" s="72"/>
      <c r="EZY20" s="72"/>
      <c r="EZZ20" s="72"/>
      <c r="FAA20" s="72"/>
      <c r="FAB20" s="72"/>
      <c r="FAC20" s="72"/>
      <c r="FAD20" s="72"/>
      <c r="FAE20" s="72"/>
      <c r="FAF20" s="72"/>
      <c r="FAG20" s="72"/>
      <c r="FAH20" s="72"/>
      <c r="FAI20" s="72"/>
      <c r="FAJ20" s="72"/>
      <c r="FAK20" s="72"/>
      <c r="FAL20" s="72"/>
      <c r="FAM20" s="72"/>
      <c r="FAN20" s="72"/>
      <c r="FAO20" s="72"/>
      <c r="FAP20" s="72"/>
      <c r="FAQ20" s="72"/>
      <c r="FAR20" s="72"/>
      <c r="FAS20" s="72"/>
      <c r="FAT20" s="72"/>
      <c r="FAU20" s="72"/>
      <c r="FAV20" s="72"/>
      <c r="FAW20" s="72"/>
      <c r="FAX20" s="72"/>
      <c r="FAY20" s="72"/>
      <c r="FAZ20" s="72"/>
      <c r="FBA20" s="72"/>
      <c r="FBB20" s="72"/>
      <c r="FBC20" s="72"/>
      <c r="FBD20" s="72"/>
      <c r="FBE20" s="72"/>
      <c r="FBF20" s="72"/>
      <c r="FBG20" s="72"/>
      <c r="FBH20" s="72"/>
      <c r="FBI20" s="72"/>
      <c r="FBJ20" s="72"/>
      <c r="FBK20" s="72"/>
      <c r="FBL20" s="72"/>
      <c r="FBM20" s="72"/>
      <c r="FBN20" s="72"/>
      <c r="FBO20" s="72"/>
      <c r="FBP20" s="72"/>
      <c r="FBQ20" s="72"/>
      <c r="FBR20" s="72"/>
      <c r="FBS20" s="72"/>
      <c r="FBT20" s="72"/>
      <c r="FBU20" s="72"/>
      <c r="FBV20" s="72"/>
      <c r="FBW20" s="72"/>
      <c r="FBX20" s="72"/>
      <c r="FBY20" s="72"/>
      <c r="FBZ20" s="72"/>
      <c r="FCA20" s="72"/>
      <c r="FCB20" s="72"/>
      <c r="FCC20" s="72"/>
      <c r="FCD20" s="72"/>
      <c r="FCE20" s="72"/>
      <c r="FCF20" s="72"/>
      <c r="FCG20" s="72"/>
      <c r="FCH20" s="72"/>
      <c r="FCI20" s="72"/>
      <c r="FCJ20" s="72"/>
      <c r="FCK20" s="72"/>
      <c r="FCL20" s="72"/>
      <c r="FCM20" s="72"/>
      <c r="FCN20" s="72"/>
      <c r="FCO20" s="72"/>
      <c r="FCP20" s="72"/>
      <c r="FCQ20" s="72"/>
      <c r="FCR20" s="72"/>
      <c r="FCS20" s="72"/>
      <c r="FCT20" s="72"/>
      <c r="FCU20" s="72"/>
      <c r="FCV20" s="72"/>
      <c r="FCW20" s="72"/>
      <c r="FCX20" s="72"/>
      <c r="FCY20" s="72"/>
      <c r="FCZ20" s="72"/>
      <c r="FDA20" s="72"/>
      <c r="FDB20" s="72"/>
      <c r="FDC20" s="72"/>
      <c r="FDD20" s="72"/>
      <c r="FDE20" s="72"/>
      <c r="FDF20" s="72"/>
      <c r="FDG20" s="72"/>
      <c r="FDH20" s="72"/>
      <c r="FDI20" s="72"/>
      <c r="FDJ20" s="72"/>
      <c r="FDK20" s="72"/>
      <c r="FDL20" s="72"/>
      <c r="FDM20" s="72"/>
      <c r="FDN20" s="72"/>
      <c r="FDO20" s="72"/>
      <c r="FDP20" s="72"/>
      <c r="FDQ20" s="72"/>
      <c r="FDR20" s="72"/>
      <c r="FDS20" s="72"/>
      <c r="FDT20" s="72"/>
      <c r="FDU20" s="72"/>
      <c r="FDV20" s="72"/>
      <c r="FDW20" s="72"/>
      <c r="FDX20" s="72"/>
      <c r="FDY20" s="72"/>
      <c r="FDZ20" s="72"/>
      <c r="FEA20" s="72"/>
      <c r="FEB20" s="72"/>
      <c r="FEC20" s="72"/>
      <c r="FED20" s="72"/>
      <c r="FEE20" s="72"/>
      <c r="FEF20" s="72"/>
      <c r="FEG20" s="72"/>
      <c r="FEH20" s="72"/>
      <c r="FEI20" s="72"/>
      <c r="FEJ20" s="72"/>
      <c r="FEK20" s="72"/>
      <c r="FEL20" s="72"/>
      <c r="FEM20" s="72"/>
      <c r="FEN20" s="72"/>
      <c r="FEO20" s="72"/>
      <c r="FEP20" s="72"/>
      <c r="FEQ20" s="72"/>
      <c r="FER20" s="72"/>
      <c r="FES20" s="72"/>
      <c r="FET20" s="72"/>
      <c r="FEU20" s="72"/>
      <c r="FEV20" s="72"/>
      <c r="FEW20" s="72"/>
      <c r="FEX20" s="72"/>
      <c r="FEY20" s="72"/>
      <c r="FEZ20" s="72"/>
      <c r="FFA20" s="72"/>
      <c r="FFB20" s="72"/>
      <c r="FFC20" s="72"/>
      <c r="FFD20" s="72"/>
      <c r="FFE20" s="72"/>
      <c r="FFF20" s="72"/>
      <c r="FFG20" s="72"/>
      <c r="FFH20" s="72"/>
      <c r="FFI20" s="72"/>
      <c r="FFJ20" s="72"/>
      <c r="FFK20" s="72"/>
      <c r="FFL20" s="72"/>
      <c r="FFM20" s="72"/>
      <c r="FFN20" s="72"/>
      <c r="FFO20" s="72"/>
      <c r="FFP20" s="72"/>
      <c r="FFQ20" s="72"/>
      <c r="FFR20" s="72"/>
      <c r="FFS20" s="72"/>
      <c r="FFT20" s="72"/>
      <c r="FFU20" s="72"/>
      <c r="FFV20" s="72"/>
      <c r="FFW20" s="72"/>
      <c r="FFX20" s="72"/>
      <c r="FFY20" s="72"/>
      <c r="FFZ20" s="72"/>
      <c r="FGA20" s="72"/>
      <c r="FGB20" s="72"/>
      <c r="FGC20" s="72"/>
      <c r="FGD20" s="72"/>
      <c r="FGE20" s="72"/>
      <c r="FGF20" s="72"/>
      <c r="FGG20" s="72"/>
      <c r="FGH20" s="72"/>
      <c r="FGI20" s="72"/>
      <c r="FGJ20" s="72"/>
      <c r="FGK20" s="72"/>
      <c r="FGL20" s="72"/>
      <c r="FGM20" s="72"/>
      <c r="FGN20" s="72"/>
      <c r="FGO20" s="72"/>
      <c r="FGP20" s="72"/>
      <c r="FGQ20" s="72"/>
      <c r="FGR20" s="72"/>
      <c r="FGS20" s="72"/>
      <c r="FGT20" s="72"/>
      <c r="FGU20" s="72"/>
      <c r="FGV20" s="72"/>
      <c r="FGW20" s="72"/>
      <c r="FGX20" s="72"/>
      <c r="FGY20" s="72"/>
      <c r="FGZ20" s="72"/>
      <c r="FHA20" s="72"/>
      <c r="FHB20" s="72"/>
      <c r="FHC20" s="72"/>
      <c r="FHD20" s="72"/>
      <c r="FHE20" s="72"/>
      <c r="FHF20" s="72"/>
      <c r="FHG20" s="72"/>
      <c r="FHH20" s="72"/>
      <c r="FHI20" s="72"/>
      <c r="FHJ20" s="72"/>
      <c r="FHK20" s="72"/>
      <c r="FHL20" s="72"/>
      <c r="FHM20" s="72"/>
      <c r="FHN20" s="72"/>
      <c r="FHO20" s="72"/>
      <c r="FHP20" s="72"/>
      <c r="FHQ20" s="72"/>
      <c r="FHR20" s="72"/>
      <c r="FHS20" s="72"/>
      <c r="FHT20" s="72"/>
      <c r="FHU20" s="72"/>
      <c r="FHV20" s="72"/>
      <c r="FHW20" s="72"/>
      <c r="FHX20" s="72"/>
      <c r="FHY20" s="72"/>
      <c r="FHZ20" s="72"/>
      <c r="FIA20" s="72"/>
      <c r="FIB20" s="72"/>
      <c r="FIC20" s="72"/>
      <c r="FID20" s="72"/>
      <c r="FIE20" s="72"/>
      <c r="FIF20" s="72"/>
      <c r="FIG20" s="72"/>
      <c r="FIH20" s="72"/>
      <c r="FII20" s="72"/>
      <c r="FIJ20" s="72"/>
      <c r="FIK20" s="72"/>
      <c r="FIL20" s="72"/>
      <c r="FIM20" s="72"/>
      <c r="FIN20" s="72"/>
      <c r="FIO20" s="72"/>
      <c r="FIP20" s="72"/>
      <c r="FIQ20" s="72"/>
      <c r="FIR20" s="72"/>
      <c r="FIS20" s="72"/>
      <c r="FIT20" s="72"/>
      <c r="FIU20" s="72"/>
      <c r="FIV20" s="72"/>
      <c r="FIW20" s="72"/>
      <c r="FIX20" s="72"/>
      <c r="FIY20" s="72"/>
      <c r="FIZ20" s="72"/>
      <c r="FJA20" s="72"/>
      <c r="FJB20" s="72"/>
      <c r="FJC20" s="72"/>
      <c r="FJD20" s="72"/>
      <c r="FJE20" s="72"/>
      <c r="FJF20" s="72"/>
      <c r="FJG20" s="72"/>
      <c r="FJH20" s="72"/>
      <c r="FJI20" s="72"/>
      <c r="FJJ20" s="72"/>
      <c r="FJK20" s="72"/>
      <c r="FJL20" s="72"/>
      <c r="FJM20" s="72"/>
      <c r="FJN20" s="72"/>
      <c r="FJO20" s="72"/>
      <c r="FJP20" s="72"/>
      <c r="FJQ20" s="72"/>
      <c r="FJR20" s="72"/>
      <c r="FJS20" s="72"/>
      <c r="FJT20" s="72"/>
      <c r="FJU20" s="72"/>
      <c r="FJV20" s="72"/>
      <c r="FJW20" s="72"/>
      <c r="FJX20" s="72"/>
      <c r="FJY20" s="72"/>
      <c r="FJZ20" s="72"/>
      <c r="FKA20" s="72"/>
      <c r="FKB20" s="72"/>
      <c r="FKC20" s="72"/>
      <c r="FKD20" s="72"/>
      <c r="FKE20" s="72"/>
      <c r="FKF20" s="72"/>
      <c r="FKG20" s="72"/>
      <c r="FKH20" s="72"/>
      <c r="FKI20" s="72"/>
      <c r="FKJ20" s="72"/>
      <c r="FKK20" s="72"/>
      <c r="FKL20" s="72"/>
      <c r="FKM20" s="72"/>
      <c r="FKN20" s="72"/>
      <c r="FKO20" s="72"/>
      <c r="FKP20" s="72"/>
      <c r="FKQ20" s="72"/>
      <c r="FKR20" s="72"/>
      <c r="FKS20" s="72"/>
      <c r="FKT20" s="72"/>
      <c r="FKU20" s="72"/>
      <c r="FKV20" s="72"/>
      <c r="FKW20" s="72"/>
      <c r="FKX20" s="72"/>
      <c r="FKY20" s="72"/>
      <c r="FKZ20" s="72"/>
      <c r="FLA20" s="72"/>
      <c r="FLB20" s="72"/>
      <c r="FLC20" s="72"/>
      <c r="FLD20" s="72"/>
      <c r="FLE20" s="72"/>
      <c r="FLF20" s="72"/>
      <c r="FLG20" s="72"/>
      <c r="FLH20" s="72"/>
      <c r="FLI20" s="72"/>
      <c r="FLJ20" s="72"/>
      <c r="FLK20" s="72"/>
      <c r="FLL20" s="72"/>
      <c r="FLM20" s="72"/>
      <c r="FLN20" s="72"/>
      <c r="FLO20" s="72"/>
      <c r="FLP20" s="72"/>
      <c r="FLQ20" s="72"/>
      <c r="FLR20" s="72"/>
      <c r="FLS20" s="72"/>
      <c r="FLT20" s="72"/>
      <c r="FLU20" s="72"/>
      <c r="FLV20" s="72"/>
      <c r="FLW20" s="72"/>
      <c r="FLX20" s="72"/>
      <c r="FLY20" s="72"/>
      <c r="FLZ20" s="72"/>
      <c r="FMA20" s="72"/>
      <c r="FMB20" s="72"/>
      <c r="FMC20" s="72"/>
      <c r="FMD20" s="72"/>
      <c r="FME20" s="72"/>
      <c r="FMF20" s="72"/>
      <c r="FMG20" s="72"/>
      <c r="FMH20" s="72"/>
      <c r="FMI20" s="72"/>
      <c r="FMJ20" s="72"/>
      <c r="FMK20" s="72"/>
      <c r="FML20" s="72"/>
      <c r="FMM20" s="72"/>
      <c r="FMN20" s="72"/>
      <c r="FMO20" s="72"/>
      <c r="FMP20" s="72"/>
      <c r="FMQ20" s="72"/>
      <c r="FMR20" s="72"/>
      <c r="FMS20" s="72"/>
      <c r="FMT20" s="72"/>
      <c r="FMU20" s="72"/>
      <c r="FMV20" s="72"/>
      <c r="FMW20" s="72"/>
      <c r="FMX20" s="72"/>
      <c r="FMY20" s="72"/>
      <c r="FMZ20" s="72"/>
      <c r="FNA20" s="72"/>
      <c r="FNB20" s="72"/>
      <c r="FNC20" s="72"/>
      <c r="FND20" s="72"/>
      <c r="FNE20" s="72"/>
      <c r="FNF20" s="72"/>
      <c r="FNG20" s="72"/>
      <c r="FNH20" s="72"/>
      <c r="FNI20" s="72"/>
      <c r="FNJ20" s="72"/>
      <c r="FNK20" s="72"/>
      <c r="FNL20" s="72"/>
      <c r="FNM20" s="72"/>
      <c r="FNN20" s="72"/>
      <c r="FNO20" s="72"/>
      <c r="FNP20" s="72"/>
      <c r="FNQ20" s="72"/>
      <c r="FNR20" s="72"/>
      <c r="FNS20" s="72"/>
      <c r="FNT20" s="72"/>
      <c r="FNU20" s="72"/>
      <c r="FNV20" s="72"/>
      <c r="FNW20" s="72"/>
      <c r="FNX20" s="72"/>
      <c r="FNY20" s="72"/>
      <c r="FNZ20" s="72"/>
      <c r="FOA20" s="72"/>
      <c r="FOB20" s="72"/>
      <c r="FOC20" s="72"/>
      <c r="FOD20" s="72"/>
      <c r="FOE20" s="72"/>
      <c r="FOF20" s="72"/>
      <c r="FOG20" s="72"/>
      <c r="FOH20" s="72"/>
      <c r="FOI20" s="72"/>
      <c r="FOJ20" s="72"/>
      <c r="FOK20" s="72"/>
      <c r="FOL20" s="72"/>
      <c r="FOM20" s="72"/>
      <c r="FON20" s="72"/>
      <c r="FOO20" s="72"/>
      <c r="FOP20" s="72"/>
      <c r="FOQ20" s="72"/>
      <c r="FOR20" s="72"/>
      <c r="FOS20" s="72"/>
      <c r="FOT20" s="72"/>
      <c r="FOU20" s="72"/>
      <c r="FOV20" s="72"/>
      <c r="FOW20" s="72"/>
      <c r="FOX20" s="72"/>
      <c r="FOY20" s="72"/>
      <c r="FOZ20" s="72"/>
      <c r="FPA20" s="72"/>
      <c r="FPB20" s="72"/>
      <c r="FPC20" s="72"/>
      <c r="FPD20" s="72"/>
      <c r="FPE20" s="72"/>
      <c r="FPF20" s="72"/>
      <c r="FPG20" s="72"/>
      <c r="FPH20" s="72"/>
      <c r="FPI20" s="72"/>
      <c r="FPJ20" s="72"/>
      <c r="FPK20" s="72"/>
      <c r="FPL20" s="72"/>
      <c r="FPM20" s="72"/>
      <c r="FPN20" s="72"/>
      <c r="FPO20" s="72"/>
      <c r="FPP20" s="72"/>
      <c r="FPQ20" s="72"/>
      <c r="FPR20" s="72"/>
      <c r="FPS20" s="72"/>
      <c r="FPT20" s="72"/>
      <c r="FPU20" s="72"/>
      <c r="FPV20" s="72"/>
      <c r="FPW20" s="72"/>
      <c r="FPX20" s="72"/>
      <c r="FPY20" s="72"/>
      <c r="FPZ20" s="72"/>
      <c r="FQA20" s="72"/>
      <c r="FQB20" s="72"/>
      <c r="FQC20" s="72"/>
      <c r="FQD20" s="72"/>
      <c r="FQE20" s="72"/>
      <c r="FQF20" s="72"/>
      <c r="FQG20" s="72"/>
      <c r="FQH20" s="72"/>
      <c r="FQI20" s="72"/>
      <c r="FQJ20" s="72"/>
      <c r="FQK20" s="72"/>
      <c r="FQL20" s="72"/>
      <c r="FQM20" s="72"/>
      <c r="FQN20" s="72"/>
      <c r="FQO20" s="72"/>
      <c r="FQP20" s="72"/>
      <c r="FQQ20" s="72"/>
      <c r="FQR20" s="72"/>
      <c r="FQS20" s="72"/>
      <c r="FQT20" s="72"/>
      <c r="FQU20" s="72"/>
      <c r="FQV20" s="72"/>
      <c r="FQW20" s="72"/>
      <c r="FQX20" s="72"/>
      <c r="FQY20" s="72"/>
      <c r="FQZ20" s="72"/>
      <c r="FRA20" s="72"/>
      <c r="FRB20" s="72"/>
      <c r="FRC20" s="72"/>
      <c r="FRD20" s="72"/>
      <c r="FRE20" s="72"/>
      <c r="FRF20" s="72"/>
      <c r="FRG20" s="72"/>
      <c r="FRH20" s="72"/>
      <c r="FRI20" s="72"/>
      <c r="FRJ20" s="72"/>
      <c r="FRK20" s="72"/>
      <c r="FRL20" s="72"/>
      <c r="FRM20" s="72"/>
      <c r="FRN20" s="72"/>
      <c r="FRO20" s="72"/>
      <c r="FRP20" s="72"/>
      <c r="FRQ20" s="72"/>
      <c r="FRR20" s="72"/>
      <c r="FRS20" s="72"/>
      <c r="FRT20" s="72"/>
      <c r="FRU20" s="72"/>
      <c r="FRV20" s="72"/>
      <c r="FRW20" s="72"/>
      <c r="FRX20" s="72"/>
      <c r="FRY20" s="72"/>
      <c r="FRZ20" s="72"/>
      <c r="FSA20" s="72"/>
      <c r="FSB20" s="72"/>
      <c r="FSC20" s="72"/>
      <c r="FSD20" s="72"/>
      <c r="FSE20" s="72"/>
      <c r="FSF20" s="72"/>
      <c r="FSG20" s="72"/>
      <c r="FSH20" s="72"/>
      <c r="FSI20" s="72"/>
      <c r="FSJ20" s="72"/>
      <c r="FSK20" s="72"/>
      <c r="FSL20" s="72"/>
      <c r="FSM20" s="72"/>
      <c r="FSN20" s="72"/>
      <c r="FSO20" s="72"/>
      <c r="FSP20" s="72"/>
      <c r="FSQ20" s="72"/>
      <c r="FSR20" s="72"/>
      <c r="FSS20" s="72"/>
      <c r="FST20" s="72"/>
      <c r="FSU20" s="72"/>
      <c r="FSV20" s="72"/>
      <c r="FSW20" s="72"/>
      <c r="FSX20" s="72"/>
      <c r="FSY20" s="72"/>
      <c r="FSZ20" s="72"/>
      <c r="FTA20" s="72"/>
      <c r="FTB20" s="72"/>
      <c r="FTC20" s="72"/>
      <c r="FTD20" s="72"/>
      <c r="FTE20" s="72"/>
      <c r="FTF20" s="72"/>
      <c r="FTG20" s="72"/>
      <c r="FTH20" s="72"/>
      <c r="FTI20" s="72"/>
      <c r="FTJ20" s="72"/>
      <c r="FTK20" s="72"/>
      <c r="FTL20" s="72"/>
      <c r="FTM20" s="72"/>
      <c r="FTN20" s="72"/>
      <c r="FTO20" s="72"/>
      <c r="FTP20" s="72"/>
      <c r="FTQ20" s="72"/>
      <c r="FTR20" s="72"/>
      <c r="FTS20" s="72"/>
      <c r="FTT20" s="72"/>
      <c r="FTU20" s="72"/>
      <c r="FTV20" s="72"/>
      <c r="FTW20" s="72"/>
      <c r="FTX20" s="72"/>
      <c r="FTY20" s="72"/>
      <c r="FTZ20" s="72"/>
      <c r="FUA20" s="72"/>
      <c r="FUB20" s="72"/>
      <c r="FUC20" s="72"/>
      <c r="FUD20" s="72"/>
      <c r="FUE20" s="72"/>
      <c r="FUF20" s="72"/>
      <c r="FUG20" s="72"/>
      <c r="FUH20" s="72"/>
      <c r="FUI20" s="72"/>
      <c r="FUJ20" s="72"/>
      <c r="FUK20" s="72"/>
      <c r="FUL20" s="72"/>
      <c r="FUM20" s="72"/>
      <c r="FUN20" s="72"/>
      <c r="FUO20" s="72"/>
      <c r="FUP20" s="72"/>
      <c r="FUQ20" s="72"/>
      <c r="FUR20" s="72"/>
      <c r="FUS20" s="72"/>
      <c r="FUT20" s="72"/>
      <c r="FUU20" s="72"/>
      <c r="FUV20" s="72"/>
      <c r="FUW20" s="72"/>
      <c r="FUX20" s="72"/>
      <c r="FUY20" s="72"/>
      <c r="FUZ20" s="72"/>
      <c r="FVA20" s="72"/>
      <c r="FVB20" s="72"/>
      <c r="FVC20" s="72"/>
      <c r="FVD20" s="72"/>
      <c r="FVE20" s="72"/>
      <c r="FVF20" s="72"/>
      <c r="FVG20" s="72"/>
      <c r="FVH20" s="72"/>
      <c r="FVI20" s="72"/>
      <c r="FVJ20" s="72"/>
      <c r="FVK20" s="72"/>
      <c r="FVL20" s="72"/>
      <c r="FVM20" s="72"/>
      <c r="FVN20" s="72"/>
      <c r="FVO20" s="72"/>
      <c r="FVP20" s="72"/>
      <c r="FVQ20" s="72"/>
      <c r="FVR20" s="72"/>
      <c r="FVS20" s="72"/>
      <c r="FVT20" s="72"/>
      <c r="FVU20" s="72"/>
      <c r="FVV20" s="72"/>
      <c r="FVW20" s="72"/>
      <c r="FVX20" s="72"/>
      <c r="FVY20" s="72"/>
      <c r="FVZ20" s="72"/>
      <c r="FWA20" s="72"/>
      <c r="FWB20" s="72"/>
      <c r="FWC20" s="72"/>
      <c r="FWD20" s="72"/>
      <c r="FWE20" s="72"/>
      <c r="FWF20" s="72"/>
      <c r="FWG20" s="72"/>
      <c r="FWH20" s="72"/>
      <c r="FWI20" s="72"/>
      <c r="FWJ20" s="72"/>
      <c r="FWK20" s="72"/>
      <c r="FWL20" s="72"/>
      <c r="FWM20" s="72"/>
      <c r="FWN20" s="72"/>
      <c r="FWO20" s="72"/>
      <c r="FWP20" s="72"/>
      <c r="FWQ20" s="72"/>
      <c r="FWR20" s="72"/>
      <c r="FWS20" s="72"/>
      <c r="FWT20" s="72"/>
      <c r="FWU20" s="72"/>
      <c r="FWV20" s="72"/>
      <c r="FWW20" s="72"/>
      <c r="FWX20" s="72"/>
      <c r="FWY20" s="72"/>
      <c r="FWZ20" s="72"/>
      <c r="FXA20" s="72"/>
      <c r="FXB20" s="72"/>
      <c r="FXC20" s="72"/>
      <c r="FXD20" s="72"/>
      <c r="FXE20" s="72"/>
      <c r="FXF20" s="72"/>
      <c r="FXG20" s="72"/>
      <c r="FXH20" s="72"/>
      <c r="FXI20" s="72"/>
      <c r="FXJ20" s="72"/>
      <c r="FXK20" s="72"/>
      <c r="FXL20" s="72"/>
      <c r="FXM20" s="72"/>
      <c r="FXN20" s="72"/>
      <c r="FXO20" s="72"/>
      <c r="FXP20" s="72"/>
      <c r="FXQ20" s="72"/>
      <c r="FXR20" s="72"/>
      <c r="FXS20" s="72"/>
      <c r="FXT20" s="72"/>
      <c r="FXU20" s="72"/>
      <c r="FXV20" s="72"/>
      <c r="FXW20" s="72"/>
      <c r="FXX20" s="72"/>
      <c r="FXY20" s="72"/>
      <c r="FXZ20" s="72"/>
      <c r="FYA20" s="72"/>
      <c r="FYB20" s="72"/>
      <c r="FYC20" s="72"/>
      <c r="FYD20" s="72"/>
      <c r="FYE20" s="72"/>
      <c r="FYF20" s="72"/>
      <c r="FYG20" s="72"/>
      <c r="FYH20" s="72"/>
      <c r="FYI20" s="72"/>
      <c r="FYJ20" s="72"/>
      <c r="FYK20" s="72"/>
      <c r="FYL20" s="72"/>
      <c r="FYM20" s="72"/>
      <c r="FYN20" s="72"/>
      <c r="FYO20" s="72"/>
      <c r="FYP20" s="72"/>
      <c r="FYQ20" s="72"/>
      <c r="FYR20" s="72"/>
      <c r="FYS20" s="72"/>
      <c r="FYT20" s="72"/>
      <c r="FYU20" s="72"/>
      <c r="FYV20" s="72"/>
      <c r="FYW20" s="72"/>
      <c r="FYX20" s="72"/>
      <c r="FYY20" s="72"/>
      <c r="FYZ20" s="72"/>
      <c r="FZA20" s="72"/>
      <c r="FZB20" s="72"/>
      <c r="FZC20" s="72"/>
      <c r="FZD20" s="72"/>
      <c r="FZE20" s="72"/>
      <c r="FZF20" s="72"/>
      <c r="FZG20" s="72"/>
      <c r="FZH20" s="72"/>
      <c r="FZI20" s="72"/>
      <c r="FZJ20" s="72"/>
      <c r="FZK20" s="72"/>
      <c r="FZL20" s="72"/>
      <c r="FZM20" s="72"/>
      <c r="FZN20" s="72"/>
      <c r="FZO20" s="72"/>
      <c r="FZP20" s="72"/>
      <c r="FZQ20" s="72"/>
      <c r="FZR20" s="72"/>
      <c r="FZS20" s="72"/>
      <c r="FZT20" s="72"/>
      <c r="FZU20" s="72"/>
      <c r="FZV20" s="72"/>
      <c r="FZW20" s="72"/>
      <c r="FZX20" s="72"/>
      <c r="FZY20" s="72"/>
      <c r="FZZ20" s="72"/>
      <c r="GAA20" s="72"/>
      <c r="GAB20" s="72"/>
      <c r="GAC20" s="72"/>
      <c r="GAD20" s="72"/>
      <c r="GAE20" s="72"/>
      <c r="GAF20" s="72"/>
      <c r="GAG20" s="72"/>
      <c r="GAH20" s="72"/>
      <c r="GAI20" s="72"/>
      <c r="GAJ20" s="72"/>
      <c r="GAK20" s="72"/>
      <c r="GAL20" s="72"/>
      <c r="GAM20" s="72"/>
      <c r="GAN20" s="72"/>
      <c r="GAO20" s="72"/>
      <c r="GAP20" s="72"/>
      <c r="GAQ20" s="72"/>
      <c r="GAR20" s="72"/>
      <c r="GAS20" s="72"/>
      <c r="GAT20" s="72"/>
      <c r="GAU20" s="72"/>
      <c r="GAV20" s="72"/>
      <c r="GAW20" s="72"/>
      <c r="GAX20" s="72"/>
      <c r="GAY20" s="72"/>
      <c r="GAZ20" s="72"/>
      <c r="GBA20" s="72"/>
      <c r="GBB20" s="72"/>
      <c r="GBC20" s="72"/>
      <c r="GBD20" s="72"/>
      <c r="GBE20" s="72"/>
      <c r="GBF20" s="72"/>
      <c r="GBG20" s="72"/>
      <c r="GBH20" s="72"/>
      <c r="GBI20" s="72"/>
      <c r="GBJ20" s="72"/>
      <c r="GBK20" s="72"/>
      <c r="GBL20" s="72"/>
      <c r="GBM20" s="72"/>
      <c r="GBN20" s="72"/>
      <c r="GBO20" s="72"/>
      <c r="GBP20" s="72"/>
      <c r="GBQ20" s="72"/>
      <c r="GBR20" s="72"/>
      <c r="GBS20" s="72"/>
      <c r="GBT20" s="72"/>
      <c r="GBU20" s="72"/>
      <c r="GBV20" s="72"/>
      <c r="GBW20" s="72"/>
      <c r="GBX20" s="72"/>
      <c r="GBY20" s="72"/>
      <c r="GBZ20" s="72"/>
      <c r="GCA20" s="72"/>
      <c r="GCB20" s="72"/>
      <c r="GCC20" s="72"/>
      <c r="GCD20" s="72"/>
      <c r="GCE20" s="72"/>
      <c r="GCF20" s="72"/>
      <c r="GCG20" s="72"/>
      <c r="GCH20" s="72"/>
      <c r="GCI20" s="72"/>
      <c r="GCJ20" s="72"/>
      <c r="GCK20" s="72"/>
      <c r="GCL20" s="72"/>
      <c r="GCM20" s="72"/>
      <c r="GCN20" s="72"/>
      <c r="GCO20" s="72"/>
      <c r="GCP20" s="72"/>
      <c r="GCQ20" s="72"/>
      <c r="GCR20" s="72"/>
      <c r="GCS20" s="72"/>
      <c r="GCT20" s="72"/>
      <c r="GCU20" s="72"/>
      <c r="GCV20" s="72"/>
      <c r="GCW20" s="72"/>
      <c r="GCX20" s="72"/>
      <c r="GCY20" s="72"/>
      <c r="GCZ20" s="72"/>
      <c r="GDA20" s="72"/>
      <c r="GDB20" s="72"/>
      <c r="GDC20" s="72"/>
      <c r="GDD20" s="72"/>
      <c r="GDE20" s="72"/>
      <c r="GDF20" s="72"/>
      <c r="GDG20" s="72"/>
      <c r="GDH20" s="72"/>
      <c r="GDI20" s="72"/>
      <c r="GDJ20" s="72"/>
      <c r="GDK20" s="72"/>
      <c r="GDL20" s="72"/>
      <c r="GDM20" s="72"/>
      <c r="GDN20" s="72"/>
      <c r="GDO20" s="72"/>
      <c r="GDP20" s="72"/>
      <c r="GDQ20" s="72"/>
      <c r="GDR20" s="72"/>
      <c r="GDS20" s="72"/>
      <c r="GDT20" s="72"/>
      <c r="GDU20" s="72"/>
      <c r="GDV20" s="72"/>
      <c r="GDW20" s="72"/>
      <c r="GDX20" s="72"/>
      <c r="GDY20" s="72"/>
      <c r="GDZ20" s="72"/>
      <c r="GEA20" s="72"/>
      <c r="GEB20" s="72"/>
      <c r="GEC20" s="72"/>
      <c r="GED20" s="72"/>
      <c r="GEE20" s="72"/>
      <c r="GEF20" s="72"/>
      <c r="GEG20" s="72"/>
      <c r="GEH20" s="72"/>
      <c r="GEI20" s="72"/>
      <c r="GEJ20" s="72"/>
      <c r="GEK20" s="72"/>
      <c r="GEL20" s="72"/>
      <c r="GEM20" s="72"/>
      <c r="GEN20" s="72"/>
      <c r="GEO20" s="72"/>
      <c r="GEP20" s="72"/>
      <c r="GEQ20" s="72"/>
      <c r="GER20" s="72"/>
      <c r="GES20" s="72"/>
      <c r="GET20" s="72"/>
      <c r="GEU20" s="72"/>
      <c r="GEV20" s="72"/>
      <c r="GEW20" s="72"/>
      <c r="GEX20" s="72"/>
      <c r="GEY20" s="72"/>
      <c r="GEZ20" s="72"/>
      <c r="GFA20" s="72"/>
      <c r="GFB20" s="72"/>
      <c r="GFC20" s="72"/>
      <c r="GFD20" s="72"/>
      <c r="GFE20" s="72"/>
      <c r="GFF20" s="72"/>
      <c r="GFG20" s="72"/>
      <c r="GFH20" s="72"/>
      <c r="GFI20" s="72"/>
      <c r="GFJ20" s="72"/>
      <c r="GFK20" s="72"/>
      <c r="GFL20" s="72"/>
      <c r="GFM20" s="72"/>
      <c r="GFN20" s="72"/>
      <c r="GFO20" s="72"/>
      <c r="GFP20" s="72"/>
      <c r="GFQ20" s="72"/>
      <c r="GFR20" s="72"/>
      <c r="GFS20" s="72"/>
      <c r="GFT20" s="72"/>
      <c r="GFU20" s="72"/>
      <c r="GFV20" s="72"/>
      <c r="GFW20" s="72"/>
      <c r="GFX20" s="72"/>
      <c r="GFY20" s="72"/>
      <c r="GFZ20" s="72"/>
      <c r="GGA20" s="72"/>
      <c r="GGB20" s="72"/>
      <c r="GGC20" s="72"/>
      <c r="GGD20" s="72"/>
      <c r="GGE20" s="72"/>
      <c r="GGF20" s="72"/>
      <c r="GGG20" s="72"/>
      <c r="GGH20" s="72"/>
      <c r="GGI20" s="72"/>
      <c r="GGJ20" s="72"/>
      <c r="GGK20" s="72"/>
      <c r="GGL20" s="72"/>
      <c r="GGM20" s="72"/>
      <c r="GGN20" s="72"/>
      <c r="GGO20" s="72"/>
      <c r="GGP20" s="72"/>
      <c r="GGQ20" s="72"/>
      <c r="GGR20" s="72"/>
      <c r="GGS20" s="72"/>
      <c r="GGT20" s="72"/>
      <c r="GGU20" s="72"/>
      <c r="GGV20" s="72"/>
      <c r="GGW20" s="72"/>
      <c r="GGX20" s="72"/>
      <c r="GGY20" s="72"/>
      <c r="GGZ20" s="72"/>
      <c r="GHA20" s="72"/>
      <c r="GHB20" s="72"/>
      <c r="GHC20" s="72"/>
      <c r="GHD20" s="72"/>
      <c r="GHE20" s="72"/>
      <c r="GHF20" s="72"/>
      <c r="GHG20" s="72"/>
      <c r="GHH20" s="72"/>
      <c r="GHI20" s="72"/>
      <c r="GHJ20" s="72"/>
      <c r="GHK20" s="72"/>
      <c r="GHL20" s="72"/>
      <c r="GHM20" s="72"/>
      <c r="GHN20" s="72"/>
      <c r="GHO20" s="72"/>
      <c r="GHP20" s="72"/>
      <c r="GHQ20" s="72"/>
      <c r="GHR20" s="72"/>
      <c r="GHS20" s="72"/>
      <c r="GHT20" s="72"/>
      <c r="GHU20" s="72"/>
      <c r="GHV20" s="72"/>
      <c r="GHW20" s="72"/>
      <c r="GHX20" s="72"/>
      <c r="GHY20" s="72"/>
      <c r="GHZ20" s="72"/>
      <c r="GIA20" s="72"/>
      <c r="GIB20" s="72"/>
      <c r="GIC20" s="72"/>
      <c r="GID20" s="72"/>
      <c r="GIE20" s="72"/>
      <c r="GIF20" s="72"/>
      <c r="GIG20" s="72"/>
      <c r="GIH20" s="72"/>
      <c r="GII20" s="72"/>
      <c r="GIJ20" s="72"/>
      <c r="GIK20" s="72"/>
      <c r="GIL20" s="72"/>
      <c r="GIM20" s="72"/>
      <c r="GIN20" s="72"/>
      <c r="GIO20" s="72"/>
      <c r="GIP20" s="72"/>
      <c r="GIQ20" s="72"/>
      <c r="GIR20" s="72"/>
      <c r="GIS20" s="72"/>
      <c r="GIT20" s="72"/>
      <c r="GIU20" s="72"/>
      <c r="GIV20" s="72"/>
      <c r="GIW20" s="72"/>
      <c r="GIX20" s="72"/>
      <c r="GIY20" s="72"/>
      <c r="GIZ20" s="72"/>
      <c r="GJA20" s="72"/>
      <c r="GJB20" s="72"/>
      <c r="GJC20" s="72"/>
      <c r="GJD20" s="72"/>
      <c r="GJE20" s="72"/>
      <c r="GJF20" s="72"/>
      <c r="GJG20" s="72"/>
      <c r="GJH20" s="72"/>
      <c r="GJI20" s="72"/>
      <c r="GJJ20" s="72"/>
      <c r="GJK20" s="72"/>
      <c r="GJL20" s="72"/>
      <c r="GJM20" s="72"/>
      <c r="GJN20" s="72"/>
      <c r="GJO20" s="72"/>
      <c r="GJP20" s="72"/>
      <c r="GJQ20" s="72"/>
      <c r="GJR20" s="72"/>
      <c r="GJS20" s="72"/>
      <c r="GJT20" s="72"/>
      <c r="GJU20" s="72"/>
      <c r="GJV20" s="72"/>
      <c r="GJW20" s="72"/>
      <c r="GJX20" s="72"/>
      <c r="GJY20" s="72"/>
      <c r="GJZ20" s="72"/>
      <c r="GKA20" s="72"/>
      <c r="GKB20" s="72"/>
      <c r="GKC20" s="72"/>
      <c r="GKD20" s="72"/>
      <c r="GKE20" s="72"/>
      <c r="GKF20" s="72"/>
      <c r="GKG20" s="72"/>
      <c r="GKH20" s="72"/>
      <c r="GKI20" s="72"/>
      <c r="GKJ20" s="72"/>
      <c r="GKK20" s="72"/>
      <c r="GKL20" s="72"/>
      <c r="GKM20" s="72"/>
      <c r="GKN20" s="72"/>
      <c r="GKO20" s="72"/>
      <c r="GKP20" s="72"/>
      <c r="GKQ20" s="72"/>
      <c r="GKR20" s="72"/>
      <c r="GKS20" s="72"/>
      <c r="GKT20" s="72"/>
      <c r="GKU20" s="72"/>
      <c r="GKV20" s="72"/>
      <c r="GKW20" s="72"/>
      <c r="GKX20" s="72"/>
      <c r="GKY20" s="72"/>
      <c r="GKZ20" s="72"/>
      <c r="GLA20" s="72"/>
      <c r="GLB20" s="72"/>
      <c r="GLC20" s="72"/>
      <c r="GLD20" s="72"/>
      <c r="GLE20" s="72"/>
      <c r="GLF20" s="72"/>
      <c r="GLG20" s="72"/>
      <c r="GLH20" s="72"/>
      <c r="GLI20" s="72"/>
      <c r="GLJ20" s="72"/>
      <c r="GLK20" s="72"/>
      <c r="GLL20" s="72"/>
      <c r="GLM20" s="72"/>
      <c r="GLN20" s="72"/>
      <c r="GLO20" s="72"/>
      <c r="GLP20" s="72"/>
      <c r="GLQ20" s="72"/>
      <c r="GLR20" s="72"/>
      <c r="GLS20" s="72"/>
      <c r="GLT20" s="72"/>
      <c r="GLU20" s="72"/>
      <c r="GLV20" s="72"/>
      <c r="GLW20" s="72"/>
      <c r="GLX20" s="72"/>
      <c r="GLY20" s="72"/>
      <c r="GLZ20" s="72"/>
      <c r="GMA20" s="72"/>
      <c r="GMB20" s="72"/>
      <c r="GMC20" s="72"/>
      <c r="GMD20" s="72"/>
      <c r="GME20" s="72"/>
      <c r="GMF20" s="72"/>
      <c r="GMG20" s="72"/>
      <c r="GMH20" s="72"/>
      <c r="GMI20" s="72"/>
      <c r="GMJ20" s="72"/>
      <c r="GMK20" s="72"/>
      <c r="GML20" s="72"/>
      <c r="GMM20" s="72"/>
      <c r="GMN20" s="72"/>
      <c r="GMO20" s="72"/>
      <c r="GMP20" s="72"/>
      <c r="GMQ20" s="72"/>
      <c r="GMR20" s="72"/>
      <c r="GMS20" s="72"/>
      <c r="GMT20" s="72"/>
      <c r="GMU20" s="72"/>
      <c r="GMV20" s="72"/>
      <c r="GMW20" s="72"/>
      <c r="GMX20" s="72"/>
      <c r="GMY20" s="72"/>
      <c r="GMZ20" s="72"/>
      <c r="GNA20" s="72"/>
      <c r="GNB20" s="72"/>
      <c r="GNC20" s="72"/>
      <c r="GND20" s="72"/>
      <c r="GNE20" s="72"/>
      <c r="GNF20" s="72"/>
      <c r="GNG20" s="72"/>
      <c r="GNH20" s="72"/>
      <c r="GNI20" s="72"/>
      <c r="GNJ20" s="72"/>
      <c r="GNK20" s="72"/>
      <c r="GNL20" s="72"/>
      <c r="GNM20" s="72"/>
      <c r="GNN20" s="72"/>
      <c r="GNO20" s="72"/>
      <c r="GNP20" s="72"/>
      <c r="GNQ20" s="72"/>
      <c r="GNR20" s="72"/>
      <c r="GNS20" s="72"/>
      <c r="GNT20" s="72"/>
      <c r="GNU20" s="72"/>
      <c r="GNV20" s="72"/>
      <c r="GNW20" s="72"/>
      <c r="GNX20" s="72"/>
      <c r="GNY20" s="72"/>
      <c r="GNZ20" s="72"/>
      <c r="GOA20" s="72"/>
      <c r="GOB20" s="72"/>
      <c r="GOC20" s="72"/>
      <c r="GOD20" s="72"/>
      <c r="GOE20" s="72"/>
      <c r="GOF20" s="72"/>
      <c r="GOG20" s="72"/>
      <c r="GOH20" s="72"/>
      <c r="GOI20" s="72"/>
      <c r="GOJ20" s="72"/>
      <c r="GOK20" s="72"/>
      <c r="GOL20" s="72"/>
      <c r="GOM20" s="72"/>
      <c r="GON20" s="72"/>
      <c r="GOO20" s="72"/>
      <c r="GOP20" s="72"/>
      <c r="GOQ20" s="72"/>
      <c r="GOR20" s="72"/>
      <c r="GOS20" s="72"/>
      <c r="GOT20" s="72"/>
      <c r="GOU20" s="72"/>
      <c r="GOV20" s="72"/>
      <c r="GOW20" s="72"/>
      <c r="GOX20" s="72"/>
      <c r="GOY20" s="72"/>
      <c r="GOZ20" s="72"/>
      <c r="GPA20" s="72"/>
      <c r="GPB20" s="72"/>
      <c r="GPC20" s="72"/>
      <c r="GPD20" s="72"/>
      <c r="GPE20" s="72"/>
      <c r="GPF20" s="72"/>
      <c r="GPG20" s="72"/>
      <c r="GPH20" s="72"/>
      <c r="GPI20" s="72"/>
      <c r="GPJ20" s="72"/>
      <c r="GPK20" s="72"/>
      <c r="GPL20" s="72"/>
      <c r="GPM20" s="72"/>
      <c r="GPN20" s="72"/>
      <c r="GPO20" s="72"/>
      <c r="GPP20" s="72"/>
      <c r="GPQ20" s="72"/>
      <c r="GPR20" s="72"/>
      <c r="GPS20" s="72"/>
      <c r="GPT20" s="72"/>
      <c r="GPU20" s="72"/>
      <c r="GPV20" s="72"/>
      <c r="GPW20" s="72"/>
      <c r="GPX20" s="72"/>
      <c r="GPY20" s="72"/>
      <c r="GPZ20" s="72"/>
      <c r="GQA20" s="72"/>
      <c r="GQB20" s="72"/>
      <c r="GQC20" s="72"/>
      <c r="GQD20" s="72"/>
      <c r="GQE20" s="72"/>
      <c r="GQF20" s="72"/>
      <c r="GQG20" s="72"/>
      <c r="GQH20" s="72"/>
      <c r="GQI20" s="72"/>
      <c r="GQJ20" s="72"/>
      <c r="GQK20" s="72"/>
      <c r="GQL20" s="72"/>
      <c r="GQM20" s="72"/>
      <c r="GQN20" s="72"/>
      <c r="GQO20" s="72"/>
      <c r="GQP20" s="72"/>
      <c r="GQQ20" s="72"/>
      <c r="GQR20" s="72"/>
      <c r="GQS20" s="72"/>
      <c r="GQT20" s="72"/>
      <c r="GQU20" s="72"/>
      <c r="GQV20" s="72"/>
      <c r="GQW20" s="72"/>
      <c r="GQX20" s="72"/>
      <c r="GQY20" s="72"/>
      <c r="GQZ20" s="72"/>
      <c r="GRA20" s="72"/>
      <c r="GRB20" s="72"/>
      <c r="GRC20" s="72"/>
      <c r="GRD20" s="72"/>
      <c r="GRE20" s="72"/>
      <c r="GRF20" s="72"/>
      <c r="GRG20" s="72"/>
      <c r="GRH20" s="72"/>
      <c r="GRI20" s="72"/>
      <c r="GRJ20" s="72"/>
      <c r="GRK20" s="72"/>
      <c r="GRL20" s="72"/>
      <c r="GRM20" s="72"/>
      <c r="GRN20" s="72"/>
      <c r="GRO20" s="72"/>
      <c r="GRP20" s="72"/>
      <c r="GRQ20" s="72"/>
      <c r="GRR20" s="72"/>
      <c r="GRS20" s="72"/>
      <c r="GRT20" s="72"/>
      <c r="GRU20" s="72"/>
      <c r="GRV20" s="72"/>
      <c r="GRW20" s="72"/>
      <c r="GRX20" s="72"/>
      <c r="GRY20" s="72"/>
      <c r="GRZ20" s="72"/>
      <c r="GSA20" s="72"/>
      <c r="GSB20" s="72"/>
      <c r="GSC20" s="72"/>
      <c r="GSD20" s="72"/>
      <c r="GSE20" s="72"/>
      <c r="GSF20" s="72"/>
      <c r="GSG20" s="72"/>
      <c r="GSH20" s="72"/>
      <c r="GSI20" s="72"/>
      <c r="GSJ20" s="72"/>
      <c r="GSK20" s="72"/>
      <c r="GSL20" s="72"/>
      <c r="GSM20" s="72"/>
      <c r="GSN20" s="72"/>
      <c r="GSO20" s="72"/>
      <c r="GSP20" s="72"/>
      <c r="GSQ20" s="72"/>
      <c r="GSR20" s="72"/>
      <c r="GSS20" s="72"/>
      <c r="GST20" s="72"/>
      <c r="GSU20" s="72"/>
      <c r="GSV20" s="72"/>
      <c r="GSW20" s="72"/>
      <c r="GSX20" s="72"/>
      <c r="GSY20" s="72"/>
      <c r="GSZ20" s="72"/>
      <c r="GTA20" s="72"/>
      <c r="GTB20" s="72"/>
      <c r="GTC20" s="72"/>
      <c r="GTD20" s="72"/>
      <c r="GTE20" s="72"/>
      <c r="GTF20" s="72"/>
      <c r="GTG20" s="72"/>
      <c r="GTH20" s="72"/>
      <c r="GTI20" s="72"/>
      <c r="GTJ20" s="72"/>
      <c r="GTK20" s="72"/>
      <c r="GTL20" s="72"/>
      <c r="GTM20" s="72"/>
      <c r="GTN20" s="72"/>
      <c r="GTO20" s="72"/>
      <c r="GTP20" s="72"/>
      <c r="GTQ20" s="72"/>
      <c r="GTR20" s="72"/>
      <c r="GTS20" s="72"/>
      <c r="GTT20" s="72"/>
      <c r="GTU20" s="72"/>
      <c r="GTV20" s="72"/>
      <c r="GTW20" s="72"/>
      <c r="GTX20" s="72"/>
      <c r="GTY20" s="72"/>
      <c r="GTZ20" s="72"/>
      <c r="GUA20" s="72"/>
      <c r="GUB20" s="72"/>
      <c r="GUC20" s="72"/>
      <c r="GUD20" s="72"/>
      <c r="GUE20" s="72"/>
      <c r="GUF20" s="72"/>
      <c r="GUG20" s="72"/>
      <c r="GUH20" s="72"/>
      <c r="GUI20" s="72"/>
      <c r="GUJ20" s="72"/>
      <c r="GUK20" s="72"/>
      <c r="GUL20" s="72"/>
      <c r="GUM20" s="72"/>
      <c r="GUN20" s="72"/>
      <c r="GUO20" s="72"/>
      <c r="GUP20" s="72"/>
      <c r="GUQ20" s="72"/>
      <c r="GUR20" s="72"/>
      <c r="GUS20" s="72"/>
      <c r="GUT20" s="72"/>
      <c r="GUU20" s="72"/>
      <c r="GUV20" s="72"/>
      <c r="GUW20" s="72"/>
      <c r="GUX20" s="72"/>
      <c r="GUY20" s="72"/>
      <c r="GUZ20" s="72"/>
      <c r="GVA20" s="72"/>
      <c r="GVB20" s="72"/>
      <c r="GVC20" s="72"/>
      <c r="GVD20" s="72"/>
      <c r="GVE20" s="72"/>
      <c r="GVF20" s="72"/>
      <c r="GVG20" s="72"/>
      <c r="GVH20" s="72"/>
      <c r="GVI20" s="72"/>
      <c r="GVJ20" s="72"/>
      <c r="GVK20" s="72"/>
      <c r="GVL20" s="72"/>
      <c r="GVM20" s="72"/>
      <c r="GVN20" s="72"/>
      <c r="GVO20" s="72"/>
      <c r="GVP20" s="72"/>
      <c r="GVQ20" s="72"/>
      <c r="GVR20" s="72"/>
      <c r="GVS20" s="72"/>
      <c r="GVT20" s="72"/>
      <c r="GVU20" s="72"/>
      <c r="GVV20" s="72"/>
      <c r="GVW20" s="72"/>
      <c r="GVX20" s="72"/>
      <c r="GVY20" s="72"/>
      <c r="GVZ20" s="72"/>
      <c r="GWA20" s="72"/>
      <c r="GWB20" s="72"/>
      <c r="GWC20" s="72"/>
      <c r="GWD20" s="72"/>
      <c r="GWE20" s="72"/>
      <c r="GWF20" s="72"/>
      <c r="GWG20" s="72"/>
      <c r="GWH20" s="72"/>
      <c r="GWI20" s="72"/>
      <c r="GWJ20" s="72"/>
      <c r="GWK20" s="72"/>
      <c r="GWL20" s="72"/>
      <c r="GWM20" s="72"/>
      <c r="GWN20" s="72"/>
      <c r="GWO20" s="72"/>
      <c r="GWP20" s="72"/>
      <c r="GWQ20" s="72"/>
      <c r="GWR20" s="72"/>
      <c r="GWS20" s="72"/>
      <c r="GWT20" s="72"/>
      <c r="GWU20" s="72"/>
      <c r="GWV20" s="72"/>
      <c r="GWW20" s="72"/>
      <c r="GWX20" s="72"/>
      <c r="GWY20" s="72"/>
      <c r="GWZ20" s="72"/>
      <c r="GXA20" s="72"/>
      <c r="GXB20" s="72"/>
      <c r="GXC20" s="72"/>
      <c r="GXD20" s="72"/>
      <c r="GXE20" s="72"/>
      <c r="GXF20" s="72"/>
      <c r="GXG20" s="72"/>
      <c r="GXH20" s="72"/>
      <c r="GXI20" s="72"/>
      <c r="GXJ20" s="72"/>
      <c r="GXK20" s="72"/>
      <c r="GXL20" s="72"/>
      <c r="GXM20" s="72"/>
      <c r="GXN20" s="72"/>
      <c r="GXO20" s="72"/>
      <c r="GXP20" s="72"/>
      <c r="GXQ20" s="72"/>
      <c r="GXR20" s="72"/>
      <c r="GXS20" s="72"/>
      <c r="GXT20" s="72"/>
      <c r="GXU20" s="72"/>
      <c r="GXV20" s="72"/>
      <c r="GXW20" s="72"/>
      <c r="GXX20" s="72"/>
      <c r="GXY20" s="72"/>
      <c r="GXZ20" s="72"/>
      <c r="GYA20" s="72"/>
      <c r="GYB20" s="72"/>
      <c r="GYC20" s="72"/>
      <c r="GYD20" s="72"/>
      <c r="GYE20" s="72"/>
      <c r="GYF20" s="72"/>
      <c r="GYG20" s="72"/>
      <c r="GYH20" s="72"/>
      <c r="GYI20" s="72"/>
      <c r="GYJ20" s="72"/>
      <c r="GYK20" s="72"/>
      <c r="GYL20" s="72"/>
      <c r="GYM20" s="72"/>
      <c r="GYN20" s="72"/>
      <c r="GYO20" s="72"/>
      <c r="GYP20" s="72"/>
      <c r="GYQ20" s="72"/>
      <c r="GYR20" s="72"/>
      <c r="GYS20" s="72"/>
      <c r="GYT20" s="72"/>
      <c r="GYU20" s="72"/>
      <c r="GYV20" s="72"/>
      <c r="GYW20" s="72"/>
      <c r="GYX20" s="72"/>
      <c r="GYY20" s="72"/>
      <c r="GYZ20" s="72"/>
      <c r="GZA20" s="72"/>
      <c r="GZB20" s="72"/>
      <c r="GZC20" s="72"/>
      <c r="GZD20" s="72"/>
      <c r="GZE20" s="72"/>
      <c r="GZF20" s="72"/>
      <c r="GZG20" s="72"/>
      <c r="GZH20" s="72"/>
      <c r="GZI20" s="72"/>
      <c r="GZJ20" s="72"/>
      <c r="GZK20" s="72"/>
      <c r="GZL20" s="72"/>
      <c r="GZM20" s="72"/>
      <c r="GZN20" s="72"/>
      <c r="GZO20" s="72"/>
      <c r="GZP20" s="72"/>
      <c r="GZQ20" s="72"/>
      <c r="GZR20" s="72"/>
      <c r="GZS20" s="72"/>
      <c r="GZT20" s="72"/>
      <c r="GZU20" s="72"/>
      <c r="GZV20" s="72"/>
      <c r="GZW20" s="72"/>
      <c r="GZX20" s="72"/>
      <c r="GZY20" s="72"/>
      <c r="GZZ20" s="72"/>
      <c r="HAA20" s="72"/>
      <c r="HAB20" s="72"/>
      <c r="HAC20" s="72"/>
      <c r="HAD20" s="72"/>
      <c r="HAE20" s="72"/>
      <c r="HAF20" s="72"/>
      <c r="HAG20" s="72"/>
      <c r="HAH20" s="72"/>
      <c r="HAI20" s="72"/>
      <c r="HAJ20" s="72"/>
      <c r="HAK20" s="72"/>
      <c r="HAL20" s="72"/>
      <c r="HAM20" s="72"/>
      <c r="HAN20" s="72"/>
      <c r="HAO20" s="72"/>
      <c r="HAP20" s="72"/>
      <c r="HAQ20" s="72"/>
      <c r="HAR20" s="72"/>
      <c r="HAS20" s="72"/>
      <c r="HAT20" s="72"/>
      <c r="HAU20" s="72"/>
      <c r="HAV20" s="72"/>
      <c r="HAW20" s="72"/>
      <c r="HAX20" s="72"/>
      <c r="HAY20" s="72"/>
      <c r="HAZ20" s="72"/>
      <c r="HBA20" s="72"/>
      <c r="HBB20" s="72"/>
      <c r="HBC20" s="72"/>
      <c r="HBD20" s="72"/>
      <c r="HBE20" s="72"/>
      <c r="HBF20" s="72"/>
      <c r="HBG20" s="72"/>
      <c r="HBH20" s="72"/>
      <c r="HBI20" s="72"/>
      <c r="HBJ20" s="72"/>
      <c r="HBK20" s="72"/>
      <c r="HBL20" s="72"/>
      <c r="HBM20" s="72"/>
      <c r="HBN20" s="72"/>
      <c r="HBO20" s="72"/>
      <c r="HBP20" s="72"/>
      <c r="HBQ20" s="72"/>
      <c r="HBR20" s="72"/>
      <c r="HBS20" s="72"/>
      <c r="HBT20" s="72"/>
      <c r="HBU20" s="72"/>
      <c r="HBV20" s="72"/>
      <c r="HBW20" s="72"/>
      <c r="HBX20" s="72"/>
      <c r="HBY20" s="72"/>
      <c r="HBZ20" s="72"/>
      <c r="HCA20" s="72"/>
      <c r="HCB20" s="72"/>
      <c r="HCC20" s="72"/>
      <c r="HCD20" s="72"/>
      <c r="HCE20" s="72"/>
      <c r="HCF20" s="72"/>
      <c r="HCG20" s="72"/>
      <c r="HCH20" s="72"/>
      <c r="HCI20" s="72"/>
      <c r="HCJ20" s="72"/>
      <c r="HCK20" s="72"/>
      <c r="HCL20" s="72"/>
      <c r="HCM20" s="72"/>
      <c r="HCN20" s="72"/>
      <c r="HCO20" s="72"/>
      <c r="HCP20" s="72"/>
      <c r="HCQ20" s="72"/>
      <c r="HCR20" s="72"/>
      <c r="HCS20" s="72"/>
      <c r="HCT20" s="72"/>
      <c r="HCU20" s="72"/>
      <c r="HCV20" s="72"/>
      <c r="HCW20" s="72"/>
      <c r="HCX20" s="72"/>
      <c r="HCY20" s="72"/>
      <c r="HCZ20" s="72"/>
      <c r="HDA20" s="72"/>
      <c r="HDB20" s="72"/>
      <c r="HDC20" s="72"/>
      <c r="HDD20" s="72"/>
      <c r="HDE20" s="72"/>
      <c r="HDF20" s="72"/>
      <c r="HDG20" s="72"/>
      <c r="HDH20" s="72"/>
      <c r="HDI20" s="72"/>
      <c r="HDJ20" s="72"/>
      <c r="HDK20" s="72"/>
      <c r="HDL20" s="72"/>
      <c r="HDM20" s="72"/>
      <c r="HDN20" s="72"/>
      <c r="HDO20" s="72"/>
      <c r="HDP20" s="72"/>
      <c r="HDQ20" s="72"/>
      <c r="HDR20" s="72"/>
      <c r="HDS20" s="72"/>
      <c r="HDT20" s="72"/>
      <c r="HDU20" s="72"/>
      <c r="HDV20" s="72"/>
      <c r="HDW20" s="72"/>
      <c r="HDX20" s="72"/>
      <c r="HDY20" s="72"/>
      <c r="HDZ20" s="72"/>
      <c r="HEA20" s="72"/>
      <c r="HEB20" s="72"/>
      <c r="HEC20" s="72"/>
      <c r="HED20" s="72"/>
      <c r="HEE20" s="72"/>
      <c r="HEF20" s="72"/>
      <c r="HEG20" s="72"/>
      <c r="HEH20" s="72"/>
      <c r="HEI20" s="72"/>
      <c r="HEJ20" s="72"/>
      <c r="HEK20" s="72"/>
      <c r="HEL20" s="72"/>
      <c r="HEM20" s="72"/>
      <c r="HEN20" s="72"/>
      <c r="HEO20" s="72"/>
      <c r="HEP20" s="72"/>
      <c r="HEQ20" s="72"/>
      <c r="HER20" s="72"/>
      <c r="HES20" s="72"/>
      <c r="HET20" s="72"/>
      <c r="HEU20" s="72"/>
      <c r="HEV20" s="72"/>
      <c r="HEW20" s="72"/>
      <c r="HEX20" s="72"/>
      <c r="HEY20" s="72"/>
      <c r="HEZ20" s="72"/>
      <c r="HFA20" s="72"/>
      <c r="HFB20" s="72"/>
      <c r="HFC20" s="72"/>
      <c r="HFD20" s="72"/>
      <c r="HFE20" s="72"/>
      <c r="HFF20" s="72"/>
      <c r="HFG20" s="72"/>
      <c r="HFH20" s="72"/>
      <c r="HFI20" s="72"/>
      <c r="HFJ20" s="72"/>
      <c r="HFK20" s="72"/>
      <c r="HFL20" s="72"/>
      <c r="HFM20" s="72"/>
      <c r="HFN20" s="72"/>
      <c r="HFO20" s="72"/>
      <c r="HFP20" s="72"/>
      <c r="HFQ20" s="72"/>
      <c r="HFR20" s="72"/>
      <c r="HFS20" s="72"/>
      <c r="HFT20" s="72"/>
      <c r="HFU20" s="72"/>
      <c r="HFV20" s="72"/>
      <c r="HFW20" s="72"/>
      <c r="HFX20" s="72"/>
      <c r="HFY20" s="72"/>
      <c r="HFZ20" s="72"/>
      <c r="HGA20" s="72"/>
      <c r="HGB20" s="72"/>
      <c r="HGC20" s="72"/>
      <c r="HGD20" s="72"/>
      <c r="HGE20" s="72"/>
      <c r="HGF20" s="72"/>
      <c r="HGG20" s="72"/>
      <c r="HGH20" s="72"/>
      <c r="HGI20" s="72"/>
      <c r="HGJ20" s="72"/>
      <c r="HGK20" s="72"/>
      <c r="HGL20" s="72"/>
      <c r="HGM20" s="72"/>
      <c r="HGN20" s="72"/>
      <c r="HGO20" s="72"/>
      <c r="HGP20" s="72"/>
      <c r="HGQ20" s="72"/>
      <c r="HGR20" s="72"/>
      <c r="HGS20" s="72"/>
      <c r="HGT20" s="72"/>
      <c r="HGU20" s="72"/>
      <c r="HGV20" s="72"/>
      <c r="HGW20" s="72"/>
      <c r="HGX20" s="72"/>
      <c r="HGY20" s="72"/>
      <c r="HGZ20" s="72"/>
      <c r="HHA20" s="72"/>
      <c r="HHB20" s="72"/>
      <c r="HHC20" s="72"/>
      <c r="HHD20" s="72"/>
      <c r="HHE20" s="72"/>
      <c r="HHF20" s="72"/>
      <c r="HHG20" s="72"/>
      <c r="HHH20" s="72"/>
      <c r="HHI20" s="72"/>
      <c r="HHJ20" s="72"/>
      <c r="HHK20" s="72"/>
      <c r="HHL20" s="72"/>
      <c r="HHM20" s="72"/>
      <c r="HHN20" s="72"/>
      <c r="HHO20" s="72"/>
      <c r="HHP20" s="72"/>
      <c r="HHQ20" s="72"/>
      <c r="HHR20" s="72"/>
      <c r="HHS20" s="72"/>
      <c r="HHT20" s="72"/>
      <c r="HHU20" s="72"/>
      <c r="HHV20" s="72"/>
      <c r="HHW20" s="72"/>
      <c r="HHX20" s="72"/>
      <c r="HHY20" s="72"/>
      <c r="HHZ20" s="72"/>
      <c r="HIA20" s="72"/>
      <c r="HIB20" s="72"/>
      <c r="HIC20" s="72"/>
      <c r="HID20" s="72"/>
      <c r="HIE20" s="72"/>
      <c r="HIF20" s="72"/>
      <c r="HIG20" s="72"/>
      <c r="HIH20" s="72"/>
      <c r="HII20" s="72"/>
      <c r="HIJ20" s="72"/>
      <c r="HIK20" s="72"/>
      <c r="HIL20" s="72"/>
      <c r="HIM20" s="72"/>
      <c r="HIN20" s="72"/>
      <c r="HIO20" s="72"/>
      <c r="HIP20" s="72"/>
      <c r="HIQ20" s="72"/>
      <c r="HIR20" s="72"/>
      <c r="HIS20" s="72"/>
      <c r="HIT20" s="72"/>
      <c r="HIU20" s="72"/>
      <c r="HIV20" s="72"/>
      <c r="HIW20" s="72"/>
      <c r="HIX20" s="72"/>
      <c r="HIY20" s="72"/>
      <c r="HIZ20" s="72"/>
      <c r="HJA20" s="72"/>
      <c r="HJB20" s="72"/>
      <c r="HJC20" s="72"/>
      <c r="HJD20" s="72"/>
      <c r="HJE20" s="72"/>
      <c r="HJF20" s="72"/>
      <c r="HJG20" s="72"/>
      <c r="HJH20" s="72"/>
      <c r="HJI20" s="72"/>
      <c r="HJJ20" s="72"/>
      <c r="HJK20" s="72"/>
      <c r="HJL20" s="72"/>
      <c r="HJM20" s="72"/>
      <c r="HJN20" s="72"/>
      <c r="HJO20" s="72"/>
      <c r="HJP20" s="72"/>
      <c r="HJQ20" s="72"/>
      <c r="HJR20" s="72"/>
      <c r="HJS20" s="72"/>
      <c r="HJT20" s="72"/>
      <c r="HJU20" s="72"/>
      <c r="HJV20" s="72"/>
      <c r="HJW20" s="72"/>
      <c r="HJX20" s="72"/>
      <c r="HJY20" s="72"/>
      <c r="HJZ20" s="72"/>
      <c r="HKA20" s="72"/>
      <c r="HKB20" s="72"/>
      <c r="HKC20" s="72"/>
      <c r="HKD20" s="72"/>
      <c r="HKE20" s="72"/>
      <c r="HKF20" s="72"/>
      <c r="HKG20" s="72"/>
      <c r="HKH20" s="72"/>
      <c r="HKI20" s="72"/>
      <c r="HKJ20" s="72"/>
      <c r="HKK20" s="72"/>
      <c r="HKL20" s="72"/>
      <c r="HKM20" s="72"/>
      <c r="HKN20" s="72"/>
      <c r="HKO20" s="72"/>
      <c r="HKP20" s="72"/>
      <c r="HKQ20" s="72"/>
      <c r="HKR20" s="72"/>
      <c r="HKS20" s="72"/>
      <c r="HKT20" s="72"/>
      <c r="HKU20" s="72"/>
      <c r="HKV20" s="72"/>
      <c r="HKW20" s="72"/>
      <c r="HKX20" s="72"/>
      <c r="HKY20" s="72"/>
      <c r="HKZ20" s="72"/>
      <c r="HLA20" s="72"/>
      <c r="HLB20" s="72"/>
      <c r="HLC20" s="72"/>
      <c r="HLD20" s="72"/>
      <c r="HLE20" s="72"/>
      <c r="HLF20" s="72"/>
      <c r="HLG20" s="72"/>
      <c r="HLH20" s="72"/>
      <c r="HLI20" s="72"/>
      <c r="HLJ20" s="72"/>
      <c r="HLK20" s="72"/>
      <c r="HLL20" s="72"/>
      <c r="HLM20" s="72"/>
      <c r="HLN20" s="72"/>
      <c r="HLO20" s="72"/>
      <c r="HLP20" s="72"/>
      <c r="HLQ20" s="72"/>
      <c r="HLR20" s="72"/>
      <c r="HLS20" s="72"/>
      <c r="HLT20" s="72"/>
      <c r="HLU20" s="72"/>
      <c r="HLV20" s="72"/>
      <c r="HLW20" s="72"/>
      <c r="HLX20" s="72"/>
      <c r="HLY20" s="72"/>
      <c r="HLZ20" s="72"/>
      <c r="HMA20" s="72"/>
      <c r="HMB20" s="72"/>
      <c r="HMC20" s="72"/>
      <c r="HMD20" s="72"/>
      <c r="HME20" s="72"/>
      <c r="HMF20" s="72"/>
      <c r="HMG20" s="72"/>
      <c r="HMH20" s="72"/>
      <c r="HMI20" s="72"/>
      <c r="HMJ20" s="72"/>
      <c r="HMK20" s="72"/>
      <c r="HML20" s="72"/>
      <c r="HMM20" s="72"/>
      <c r="HMN20" s="72"/>
      <c r="HMO20" s="72"/>
      <c r="HMP20" s="72"/>
      <c r="HMQ20" s="72"/>
      <c r="HMR20" s="72"/>
      <c r="HMS20" s="72"/>
      <c r="HMT20" s="72"/>
      <c r="HMU20" s="72"/>
      <c r="HMV20" s="72"/>
      <c r="HMW20" s="72"/>
      <c r="HMX20" s="72"/>
      <c r="HMY20" s="72"/>
      <c r="HMZ20" s="72"/>
      <c r="HNA20" s="72"/>
      <c r="HNB20" s="72"/>
      <c r="HNC20" s="72"/>
      <c r="HND20" s="72"/>
      <c r="HNE20" s="72"/>
      <c r="HNF20" s="72"/>
      <c r="HNG20" s="72"/>
      <c r="HNH20" s="72"/>
      <c r="HNI20" s="72"/>
      <c r="HNJ20" s="72"/>
      <c r="HNK20" s="72"/>
      <c r="HNL20" s="72"/>
      <c r="HNM20" s="72"/>
      <c r="HNN20" s="72"/>
      <c r="HNO20" s="72"/>
      <c r="HNP20" s="72"/>
      <c r="HNQ20" s="72"/>
      <c r="HNR20" s="72"/>
      <c r="HNS20" s="72"/>
      <c r="HNT20" s="72"/>
      <c r="HNU20" s="72"/>
      <c r="HNV20" s="72"/>
      <c r="HNW20" s="72"/>
      <c r="HNX20" s="72"/>
      <c r="HNY20" s="72"/>
      <c r="HNZ20" s="72"/>
      <c r="HOA20" s="72"/>
      <c r="HOB20" s="72"/>
      <c r="HOC20" s="72"/>
      <c r="HOD20" s="72"/>
      <c r="HOE20" s="72"/>
      <c r="HOF20" s="72"/>
      <c r="HOG20" s="72"/>
      <c r="HOH20" s="72"/>
      <c r="HOI20" s="72"/>
      <c r="HOJ20" s="72"/>
      <c r="HOK20" s="72"/>
      <c r="HOL20" s="72"/>
      <c r="HOM20" s="72"/>
      <c r="HON20" s="72"/>
      <c r="HOO20" s="72"/>
      <c r="HOP20" s="72"/>
      <c r="HOQ20" s="72"/>
      <c r="HOR20" s="72"/>
      <c r="HOS20" s="72"/>
      <c r="HOT20" s="72"/>
      <c r="HOU20" s="72"/>
      <c r="HOV20" s="72"/>
      <c r="HOW20" s="72"/>
      <c r="HOX20" s="72"/>
      <c r="HOY20" s="72"/>
      <c r="HOZ20" s="72"/>
      <c r="HPA20" s="72"/>
      <c r="HPB20" s="72"/>
      <c r="HPC20" s="72"/>
      <c r="HPD20" s="72"/>
      <c r="HPE20" s="72"/>
      <c r="HPF20" s="72"/>
      <c r="HPG20" s="72"/>
      <c r="HPH20" s="72"/>
      <c r="HPI20" s="72"/>
      <c r="HPJ20" s="72"/>
      <c r="HPK20" s="72"/>
      <c r="HPL20" s="72"/>
      <c r="HPM20" s="72"/>
      <c r="HPN20" s="72"/>
      <c r="HPO20" s="72"/>
      <c r="HPP20" s="72"/>
      <c r="HPQ20" s="72"/>
      <c r="HPR20" s="72"/>
      <c r="HPS20" s="72"/>
      <c r="HPT20" s="72"/>
      <c r="HPU20" s="72"/>
      <c r="HPV20" s="72"/>
      <c r="HPW20" s="72"/>
      <c r="HPX20" s="72"/>
      <c r="HPY20" s="72"/>
      <c r="HPZ20" s="72"/>
      <c r="HQA20" s="72"/>
      <c r="HQB20" s="72"/>
      <c r="HQC20" s="72"/>
      <c r="HQD20" s="72"/>
      <c r="HQE20" s="72"/>
      <c r="HQF20" s="72"/>
      <c r="HQG20" s="72"/>
      <c r="HQH20" s="72"/>
      <c r="HQI20" s="72"/>
      <c r="HQJ20" s="72"/>
      <c r="HQK20" s="72"/>
      <c r="HQL20" s="72"/>
      <c r="HQM20" s="72"/>
      <c r="HQN20" s="72"/>
      <c r="HQO20" s="72"/>
      <c r="HQP20" s="72"/>
      <c r="HQQ20" s="72"/>
      <c r="HQR20" s="72"/>
      <c r="HQS20" s="72"/>
      <c r="HQT20" s="72"/>
      <c r="HQU20" s="72"/>
      <c r="HQV20" s="72"/>
      <c r="HQW20" s="72"/>
      <c r="HQX20" s="72"/>
      <c r="HQY20" s="72"/>
      <c r="HQZ20" s="72"/>
      <c r="HRA20" s="72"/>
      <c r="HRB20" s="72"/>
      <c r="HRC20" s="72"/>
      <c r="HRD20" s="72"/>
      <c r="HRE20" s="72"/>
      <c r="HRF20" s="72"/>
      <c r="HRG20" s="72"/>
      <c r="HRH20" s="72"/>
      <c r="HRI20" s="72"/>
      <c r="HRJ20" s="72"/>
      <c r="HRK20" s="72"/>
      <c r="HRL20" s="72"/>
      <c r="HRM20" s="72"/>
      <c r="HRN20" s="72"/>
      <c r="HRO20" s="72"/>
      <c r="HRP20" s="72"/>
      <c r="HRQ20" s="72"/>
      <c r="HRR20" s="72"/>
      <c r="HRS20" s="72"/>
      <c r="HRT20" s="72"/>
      <c r="HRU20" s="72"/>
      <c r="HRV20" s="72"/>
      <c r="HRW20" s="72"/>
      <c r="HRX20" s="72"/>
      <c r="HRY20" s="72"/>
      <c r="HRZ20" s="72"/>
      <c r="HSA20" s="72"/>
      <c r="HSB20" s="72"/>
      <c r="HSC20" s="72"/>
      <c r="HSD20" s="72"/>
      <c r="HSE20" s="72"/>
      <c r="HSF20" s="72"/>
      <c r="HSG20" s="72"/>
      <c r="HSH20" s="72"/>
      <c r="HSI20" s="72"/>
      <c r="HSJ20" s="72"/>
      <c r="HSK20" s="72"/>
      <c r="HSL20" s="72"/>
      <c r="HSM20" s="72"/>
      <c r="HSN20" s="72"/>
      <c r="HSO20" s="72"/>
      <c r="HSP20" s="72"/>
      <c r="HSQ20" s="72"/>
      <c r="HSR20" s="72"/>
      <c r="HSS20" s="72"/>
      <c r="HST20" s="72"/>
      <c r="HSU20" s="72"/>
      <c r="HSV20" s="72"/>
      <c r="HSW20" s="72"/>
      <c r="HSX20" s="72"/>
      <c r="HSY20" s="72"/>
      <c r="HSZ20" s="72"/>
      <c r="HTA20" s="72"/>
      <c r="HTB20" s="72"/>
      <c r="HTC20" s="72"/>
      <c r="HTD20" s="72"/>
      <c r="HTE20" s="72"/>
      <c r="HTF20" s="72"/>
      <c r="HTG20" s="72"/>
      <c r="HTH20" s="72"/>
      <c r="HTI20" s="72"/>
      <c r="HTJ20" s="72"/>
      <c r="HTK20" s="72"/>
      <c r="HTL20" s="72"/>
      <c r="HTM20" s="72"/>
      <c r="HTN20" s="72"/>
      <c r="HTO20" s="72"/>
      <c r="HTP20" s="72"/>
      <c r="HTQ20" s="72"/>
      <c r="HTR20" s="72"/>
      <c r="HTS20" s="72"/>
      <c r="HTT20" s="72"/>
      <c r="HTU20" s="72"/>
      <c r="HTV20" s="72"/>
      <c r="HTW20" s="72"/>
      <c r="HTX20" s="72"/>
      <c r="HTY20" s="72"/>
      <c r="HTZ20" s="72"/>
      <c r="HUA20" s="72"/>
      <c r="HUB20" s="72"/>
      <c r="HUC20" s="72"/>
      <c r="HUD20" s="72"/>
      <c r="HUE20" s="72"/>
      <c r="HUF20" s="72"/>
      <c r="HUG20" s="72"/>
      <c r="HUH20" s="72"/>
      <c r="HUI20" s="72"/>
      <c r="HUJ20" s="72"/>
      <c r="HUK20" s="72"/>
      <c r="HUL20" s="72"/>
      <c r="HUM20" s="72"/>
      <c r="HUN20" s="72"/>
      <c r="HUO20" s="72"/>
      <c r="HUP20" s="72"/>
      <c r="HUQ20" s="72"/>
      <c r="HUR20" s="72"/>
      <c r="HUS20" s="72"/>
      <c r="HUT20" s="72"/>
      <c r="HUU20" s="72"/>
      <c r="HUV20" s="72"/>
      <c r="HUW20" s="72"/>
      <c r="HUX20" s="72"/>
      <c r="HUY20" s="72"/>
      <c r="HUZ20" s="72"/>
      <c r="HVA20" s="72"/>
      <c r="HVB20" s="72"/>
      <c r="HVC20" s="72"/>
      <c r="HVD20" s="72"/>
      <c r="HVE20" s="72"/>
      <c r="HVF20" s="72"/>
      <c r="HVG20" s="72"/>
      <c r="HVH20" s="72"/>
      <c r="HVI20" s="72"/>
      <c r="HVJ20" s="72"/>
      <c r="HVK20" s="72"/>
      <c r="HVL20" s="72"/>
      <c r="HVM20" s="72"/>
      <c r="HVN20" s="72"/>
      <c r="HVO20" s="72"/>
      <c r="HVP20" s="72"/>
      <c r="HVQ20" s="72"/>
      <c r="HVR20" s="72"/>
      <c r="HVS20" s="72"/>
      <c r="HVT20" s="72"/>
      <c r="HVU20" s="72"/>
      <c r="HVV20" s="72"/>
      <c r="HVW20" s="72"/>
      <c r="HVX20" s="72"/>
      <c r="HVY20" s="72"/>
      <c r="HVZ20" s="72"/>
      <c r="HWA20" s="72"/>
      <c r="HWB20" s="72"/>
      <c r="HWC20" s="72"/>
      <c r="HWD20" s="72"/>
      <c r="HWE20" s="72"/>
      <c r="HWF20" s="72"/>
      <c r="HWG20" s="72"/>
      <c r="HWH20" s="72"/>
      <c r="HWI20" s="72"/>
      <c r="HWJ20" s="72"/>
      <c r="HWK20" s="72"/>
      <c r="HWL20" s="72"/>
      <c r="HWM20" s="72"/>
      <c r="HWN20" s="72"/>
      <c r="HWO20" s="72"/>
      <c r="HWP20" s="72"/>
      <c r="HWQ20" s="72"/>
      <c r="HWR20" s="72"/>
      <c r="HWS20" s="72"/>
      <c r="HWT20" s="72"/>
      <c r="HWU20" s="72"/>
      <c r="HWV20" s="72"/>
      <c r="HWW20" s="72"/>
      <c r="HWX20" s="72"/>
      <c r="HWY20" s="72"/>
      <c r="HWZ20" s="72"/>
      <c r="HXA20" s="72"/>
      <c r="HXB20" s="72"/>
      <c r="HXC20" s="72"/>
      <c r="HXD20" s="72"/>
      <c r="HXE20" s="72"/>
      <c r="HXF20" s="72"/>
      <c r="HXG20" s="72"/>
      <c r="HXH20" s="72"/>
      <c r="HXI20" s="72"/>
      <c r="HXJ20" s="72"/>
      <c r="HXK20" s="72"/>
      <c r="HXL20" s="72"/>
      <c r="HXM20" s="72"/>
      <c r="HXN20" s="72"/>
      <c r="HXO20" s="72"/>
      <c r="HXP20" s="72"/>
      <c r="HXQ20" s="72"/>
      <c r="HXR20" s="72"/>
      <c r="HXS20" s="72"/>
      <c r="HXT20" s="72"/>
      <c r="HXU20" s="72"/>
      <c r="HXV20" s="72"/>
      <c r="HXW20" s="72"/>
      <c r="HXX20" s="72"/>
      <c r="HXY20" s="72"/>
      <c r="HXZ20" s="72"/>
      <c r="HYA20" s="72"/>
      <c r="HYB20" s="72"/>
      <c r="HYC20" s="72"/>
      <c r="HYD20" s="72"/>
      <c r="HYE20" s="72"/>
      <c r="HYF20" s="72"/>
      <c r="HYG20" s="72"/>
      <c r="HYH20" s="72"/>
      <c r="HYI20" s="72"/>
      <c r="HYJ20" s="72"/>
      <c r="HYK20" s="72"/>
      <c r="HYL20" s="72"/>
      <c r="HYM20" s="72"/>
      <c r="HYN20" s="72"/>
      <c r="HYO20" s="72"/>
      <c r="HYP20" s="72"/>
      <c r="HYQ20" s="72"/>
      <c r="HYR20" s="72"/>
      <c r="HYS20" s="72"/>
      <c r="HYT20" s="72"/>
      <c r="HYU20" s="72"/>
      <c r="HYV20" s="72"/>
      <c r="HYW20" s="72"/>
      <c r="HYX20" s="72"/>
      <c r="HYY20" s="72"/>
      <c r="HYZ20" s="72"/>
      <c r="HZA20" s="72"/>
      <c r="HZB20" s="72"/>
      <c r="HZC20" s="72"/>
      <c r="HZD20" s="72"/>
      <c r="HZE20" s="72"/>
      <c r="HZF20" s="72"/>
      <c r="HZG20" s="72"/>
      <c r="HZH20" s="72"/>
      <c r="HZI20" s="72"/>
      <c r="HZJ20" s="72"/>
      <c r="HZK20" s="72"/>
      <c r="HZL20" s="72"/>
      <c r="HZM20" s="72"/>
      <c r="HZN20" s="72"/>
      <c r="HZO20" s="72"/>
      <c r="HZP20" s="72"/>
      <c r="HZQ20" s="72"/>
      <c r="HZR20" s="72"/>
      <c r="HZS20" s="72"/>
      <c r="HZT20" s="72"/>
      <c r="HZU20" s="72"/>
      <c r="HZV20" s="72"/>
      <c r="HZW20" s="72"/>
      <c r="HZX20" s="72"/>
      <c r="HZY20" s="72"/>
      <c r="HZZ20" s="72"/>
      <c r="IAA20" s="72"/>
      <c r="IAB20" s="72"/>
      <c r="IAC20" s="72"/>
      <c r="IAD20" s="72"/>
      <c r="IAE20" s="72"/>
      <c r="IAF20" s="72"/>
      <c r="IAG20" s="72"/>
      <c r="IAH20" s="72"/>
      <c r="IAI20" s="72"/>
      <c r="IAJ20" s="72"/>
      <c r="IAK20" s="72"/>
      <c r="IAL20" s="72"/>
      <c r="IAM20" s="72"/>
      <c r="IAN20" s="72"/>
      <c r="IAO20" s="72"/>
      <c r="IAP20" s="72"/>
      <c r="IAQ20" s="72"/>
      <c r="IAR20" s="72"/>
      <c r="IAS20" s="72"/>
      <c r="IAT20" s="72"/>
      <c r="IAU20" s="72"/>
      <c r="IAV20" s="72"/>
      <c r="IAW20" s="72"/>
      <c r="IAX20" s="72"/>
      <c r="IAY20" s="72"/>
      <c r="IAZ20" s="72"/>
      <c r="IBA20" s="72"/>
      <c r="IBB20" s="72"/>
      <c r="IBC20" s="72"/>
      <c r="IBD20" s="72"/>
      <c r="IBE20" s="72"/>
      <c r="IBF20" s="72"/>
      <c r="IBG20" s="72"/>
      <c r="IBH20" s="72"/>
      <c r="IBI20" s="72"/>
      <c r="IBJ20" s="72"/>
      <c r="IBK20" s="72"/>
      <c r="IBL20" s="72"/>
      <c r="IBM20" s="72"/>
      <c r="IBN20" s="72"/>
      <c r="IBO20" s="72"/>
      <c r="IBP20" s="72"/>
      <c r="IBQ20" s="72"/>
      <c r="IBR20" s="72"/>
      <c r="IBS20" s="72"/>
      <c r="IBT20" s="72"/>
      <c r="IBU20" s="72"/>
      <c r="IBV20" s="72"/>
      <c r="IBW20" s="72"/>
      <c r="IBX20" s="72"/>
      <c r="IBY20" s="72"/>
      <c r="IBZ20" s="72"/>
      <c r="ICA20" s="72"/>
      <c r="ICB20" s="72"/>
      <c r="ICC20" s="72"/>
      <c r="ICD20" s="72"/>
      <c r="ICE20" s="72"/>
      <c r="ICF20" s="72"/>
      <c r="ICG20" s="72"/>
      <c r="ICH20" s="72"/>
      <c r="ICI20" s="72"/>
      <c r="ICJ20" s="72"/>
      <c r="ICK20" s="72"/>
      <c r="ICL20" s="72"/>
      <c r="ICM20" s="72"/>
      <c r="ICN20" s="72"/>
      <c r="ICO20" s="72"/>
      <c r="ICP20" s="72"/>
      <c r="ICQ20" s="72"/>
      <c r="ICR20" s="72"/>
      <c r="ICS20" s="72"/>
      <c r="ICT20" s="72"/>
      <c r="ICU20" s="72"/>
      <c r="ICV20" s="72"/>
      <c r="ICW20" s="72"/>
      <c r="ICX20" s="72"/>
      <c r="ICY20" s="72"/>
      <c r="ICZ20" s="72"/>
      <c r="IDA20" s="72"/>
      <c r="IDB20" s="72"/>
      <c r="IDC20" s="72"/>
      <c r="IDD20" s="72"/>
      <c r="IDE20" s="72"/>
      <c r="IDF20" s="72"/>
      <c r="IDG20" s="72"/>
      <c r="IDH20" s="72"/>
      <c r="IDI20" s="72"/>
      <c r="IDJ20" s="72"/>
      <c r="IDK20" s="72"/>
      <c r="IDL20" s="72"/>
      <c r="IDM20" s="72"/>
      <c r="IDN20" s="72"/>
      <c r="IDO20" s="72"/>
      <c r="IDP20" s="72"/>
      <c r="IDQ20" s="72"/>
      <c r="IDR20" s="72"/>
      <c r="IDS20" s="72"/>
      <c r="IDT20" s="72"/>
      <c r="IDU20" s="72"/>
      <c r="IDV20" s="72"/>
      <c r="IDW20" s="72"/>
      <c r="IDX20" s="72"/>
      <c r="IDY20" s="72"/>
      <c r="IDZ20" s="72"/>
      <c r="IEA20" s="72"/>
      <c r="IEB20" s="72"/>
      <c r="IEC20" s="72"/>
      <c r="IED20" s="72"/>
      <c r="IEE20" s="72"/>
      <c r="IEF20" s="72"/>
      <c r="IEG20" s="72"/>
      <c r="IEH20" s="72"/>
      <c r="IEI20" s="72"/>
      <c r="IEJ20" s="72"/>
      <c r="IEK20" s="72"/>
      <c r="IEL20" s="72"/>
      <c r="IEM20" s="72"/>
      <c r="IEN20" s="72"/>
      <c r="IEO20" s="72"/>
      <c r="IEP20" s="72"/>
      <c r="IEQ20" s="72"/>
      <c r="IER20" s="72"/>
      <c r="IES20" s="72"/>
      <c r="IET20" s="72"/>
      <c r="IEU20" s="72"/>
      <c r="IEV20" s="72"/>
      <c r="IEW20" s="72"/>
      <c r="IEX20" s="72"/>
      <c r="IEY20" s="72"/>
      <c r="IEZ20" s="72"/>
      <c r="IFA20" s="72"/>
      <c r="IFB20" s="72"/>
      <c r="IFC20" s="72"/>
      <c r="IFD20" s="72"/>
      <c r="IFE20" s="72"/>
      <c r="IFF20" s="72"/>
      <c r="IFG20" s="72"/>
      <c r="IFH20" s="72"/>
      <c r="IFI20" s="72"/>
      <c r="IFJ20" s="72"/>
      <c r="IFK20" s="72"/>
      <c r="IFL20" s="72"/>
      <c r="IFM20" s="72"/>
      <c r="IFN20" s="72"/>
      <c r="IFO20" s="72"/>
      <c r="IFP20" s="72"/>
      <c r="IFQ20" s="72"/>
      <c r="IFR20" s="72"/>
      <c r="IFS20" s="72"/>
      <c r="IFT20" s="72"/>
      <c r="IFU20" s="72"/>
      <c r="IFV20" s="72"/>
      <c r="IFW20" s="72"/>
      <c r="IFX20" s="72"/>
      <c r="IFY20" s="72"/>
      <c r="IFZ20" s="72"/>
      <c r="IGA20" s="72"/>
      <c r="IGB20" s="72"/>
      <c r="IGC20" s="72"/>
      <c r="IGD20" s="72"/>
      <c r="IGE20" s="72"/>
      <c r="IGF20" s="72"/>
      <c r="IGG20" s="72"/>
      <c r="IGH20" s="72"/>
      <c r="IGI20" s="72"/>
      <c r="IGJ20" s="72"/>
      <c r="IGK20" s="72"/>
      <c r="IGL20" s="72"/>
      <c r="IGM20" s="72"/>
      <c r="IGN20" s="72"/>
      <c r="IGO20" s="72"/>
      <c r="IGP20" s="72"/>
      <c r="IGQ20" s="72"/>
      <c r="IGR20" s="72"/>
      <c r="IGS20" s="72"/>
      <c r="IGT20" s="72"/>
      <c r="IGU20" s="72"/>
      <c r="IGV20" s="72"/>
      <c r="IGW20" s="72"/>
      <c r="IGX20" s="72"/>
      <c r="IGY20" s="72"/>
      <c r="IGZ20" s="72"/>
      <c r="IHA20" s="72"/>
      <c r="IHB20" s="72"/>
      <c r="IHC20" s="72"/>
      <c r="IHD20" s="72"/>
      <c r="IHE20" s="72"/>
      <c r="IHF20" s="72"/>
      <c r="IHG20" s="72"/>
      <c r="IHH20" s="72"/>
      <c r="IHI20" s="72"/>
      <c r="IHJ20" s="72"/>
      <c r="IHK20" s="72"/>
      <c r="IHL20" s="72"/>
      <c r="IHM20" s="72"/>
      <c r="IHN20" s="72"/>
      <c r="IHO20" s="72"/>
      <c r="IHP20" s="72"/>
      <c r="IHQ20" s="72"/>
      <c r="IHR20" s="72"/>
      <c r="IHS20" s="72"/>
      <c r="IHT20" s="72"/>
      <c r="IHU20" s="72"/>
      <c r="IHV20" s="72"/>
      <c r="IHW20" s="72"/>
      <c r="IHX20" s="72"/>
      <c r="IHY20" s="72"/>
      <c r="IHZ20" s="72"/>
      <c r="IIA20" s="72"/>
      <c r="IIB20" s="72"/>
      <c r="IIC20" s="72"/>
      <c r="IID20" s="72"/>
      <c r="IIE20" s="72"/>
      <c r="IIF20" s="72"/>
      <c r="IIG20" s="72"/>
      <c r="IIH20" s="72"/>
      <c r="III20" s="72"/>
      <c r="IIJ20" s="72"/>
      <c r="IIK20" s="72"/>
      <c r="IIL20" s="72"/>
      <c r="IIM20" s="72"/>
      <c r="IIN20" s="72"/>
      <c r="IIO20" s="72"/>
      <c r="IIP20" s="72"/>
      <c r="IIQ20" s="72"/>
      <c r="IIR20" s="72"/>
      <c r="IIS20" s="72"/>
      <c r="IIT20" s="72"/>
      <c r="IIU20" s="72"/>
      <c r="IIV20" s="72"/>
      <c r="IIW20" s="72"/>
      <c r="IIX20" s="72"/>
      <c r="IIY20" s="72"/>
      <c r="IIZ20" s="72"/>
      <c r="IJA20" s="72"/>
      <c r="IJB20" s="72"/>
      <c r="IJC20" s="72"/>
      <c r="IJD20" s="72"/>
      <c r="IJE20" s="72"/>
      <c r="IJF20" s="72"/>
      <c r="IJG20" s="72"/>
      <c r="IJH20" s="72"/>
      <c r="IJI20" s="72"/>
      <c r="IJJ20" s="72"/>
      <c r="IJK20" s="72"/>
      <c r="IJL20" s="72"/>
      <c r="IJM20" s="72"/>
      <c r="IJN20" s="72"/>
      <c r="IJO20" s="72"/>
      <c r="IJP20" s="72"/>
      <c r="IJQ20" s="72"/>
      <c r="IJR20" s="72"/>
      <c r="IJS20" s="72"/>
      <c r="IJT20" s="72"/>
      <c r="IJU20" s="72"/>
      <c r="IJV20" s="72"/>
      <c r="IJW20" s="72"/>
      <c r="IJX20" s="72"/>
      <c r="IJY20" s="72"/>
      <c r="IJZ20" s="72"/>
      <c r="IKA20" s="72"/>
      <c r="IKB20" s="72"/>
      <c r="IKC20" s="72"/>
      <c r="IKD20" s="72"/>
      <c r="IKE20" s="72"/>
      <c r="IKF20" s="72"/>
      <c r="IKG20" s="72"/>
      <c r="IKH20" s="72"/>
      <c r="IKI20" s="72"/>
      <c r="IKJ20" s="72"/>
      <c r="IKK20" s="72"/>
      <c r="IKL20" s="72"/>
      <c r="IKM20" s="72"/>
      <c r="IKN20" s="72"/>
      <c r="IKO20" s="72"/>
      <c r="IKP20" s="72"/>
      <c r="IKQ20" s="72"/>
      <c r="IKR20" s="72"/>
      <c r="IKS20" s="72"/>
      <c r="IKT20" s="72"/>
      <c r="IKU20" s="72"/>
      <c r="IKV20" s="72"/>
      <c r="IKW20" s="72"/>
      <c r="IKX20" s="72"/>
      <c r="IKY20" s="72"/>
      <c r="IKZ20" s="72"/>
      <c r="ILA20" s="72"/>
      <c r="ILB20" s="72"/>
      <c r="ILC20" s="72"/>
      <c r="ILD20" s="72"/>
      <c r="ILE20" s="72"/>
      <c r="ILF20" s="72"/>
      <c r="ILG20" s="72"/>
      <c r="ILH20" s="72"/>
      <c r="ILI20" s="72"/>
      <c r="ILJ20" s="72"/>
      <c r="ILK20" s="72"/>
      <c r="ILL20" s="72"/>
      <c r="ILM20" s="72"/>
      <c r="ILN20" s="72"/>
      <c r="ILO20" s="72"/>
      <c r="ILP20" s="72"/>
      <c r="ILQ20" s="72"/>
      <c r="ILR20" s="72"/>
      <c r="ILS20" s="72"/>
      <c r="ILT20" s="72"/>
      <c r="ILU20" s="72"/>
      <c r="ILV20" s="72"/>
      <c r="ILW20" s="72"/>
      <c r="ILX20" s="72"/>
      <c r="ILY20" s="72"/>
      <c r="ILZ20" s="72"/>
      <c r="IMA20" s="72"/>
      <c r="IMB20" s="72"/>
      <c r="IMC20" s="72"/>
      <c r="IMD20" s="72"/>
      <c r="IME20" s="72"/>
      <c r="IMF20" s="72"/>
      <c r="IMG20" s="72"/>
      <c r="IMH20" s="72"/>
      <c r="IMI20" s="72"/>
      <c r="IMJ20" s="72"/>
      <c r="IMK20" s="72"/>
      <c r="IML20" s="72"/>
      <c r="IMM20" s="72"/>
      <c r="IMN20" s="72"/>
      <c r="IMO20" s="72"/>
      <c r="IMP20" s="72"/>
      <c r="IMQ20" s="72"/>
      <c r="IMR20" s="72"/>
      <c r="IMS20" s="72"/>
      <c r="IMT20" s="72"/>
      <c r="IMU20" s="72"/>
      <c r="IMV20" s="72"/>
      <c r="IMW20" s="72"/>
      <c r="IMX20" s="72"/>
      <c r="IMY20" s="72"/>
      <c r="IMZ20" s="72"/>
      <c r="INA20" s="72"/>
      <c r="INB20" s="72"/>
      <c r="INC20" s="72"/>
      <c r="IND20" s="72"/>
      <c r="INE20" s="72"/>
      <c r="INF20" s="72"/>
      <c r="ING20" s="72"/>
      <c r="INH20" s="72"/>
      <c r="INI20" s="72"/>
      <c r="INJ20" s="72"/>
      <c r="INK20" s="72"/>
      <c r="INL20" s="72"/>
      <c r="INM20" s="72"/>
      <c r="INN20" s="72"/>
      <c r="INO20" s="72"/>
      <c r="INP20" s="72"/>
      <c r="INQ20" s="72"/>
      <c r="INR20" s="72"/>
      <c r="INS20" s="72"/>
      <c r="INT20" s="72"/>
      <c r="INU20" s="72"/>
      <c r="INV20" s="72"/>
      <c r="INW20" s="72"/>
      <c r="INX20" s="72"/>
      <c r="INY20" s="72"/>
      <c r="INZ20" s="72"/>
      <c r="IOA20" s="72"/>
      <c r="IOB20" s="72"/>
      <c r="IOC20" s="72"/>
      <c r="IOD20" s="72"/>
      <c r="IOE20" s="72"/>
      <c r="IOF20" s="72"/>
      <c r="IOG20" s="72"/>
      <c r="IOH20" s="72"/>
      <c r="IOI20" s="72"/>
      <c r="IOJ20" s="72"/>
      <c r="IOK20" s="72"/>
      <c r="IOL20" s="72"/>
      <c r="IOM20" s="72"/>
      <c r="ION20" s="72"/>
      <c r="IOO20" s="72"/>
      <c r="IOP20" s="72"/>
      <c r="IOQ20" s="72"/>
      <c r="IOR20" s="72"/>
      <c r="IOS20" s="72"/>
      <c r="IOT20" s="72"/>
      <c r="IOU20" s="72"/>
      <c r="IOV20" s="72"/>
      <c r="IOW20" s="72"/>
      <c r="IOX20" s="72"/>
      <c r="IOY20" s="72"/>
      <c r="IOZ20" s="72"/>
      <c r="IPA20" s="72"/>
      <c r="IPB20" s="72"/>
      <c r="IPC20" s="72"/>
      <c r="IPD20" s="72"/>
      <c r="IPE20" s="72"/>
      <c r="IPF20" s="72"/>
      <c r="IPG20" s="72"/>
      <c r="IPH20" s="72"/>
      <c r="IPI20" s="72"/>
      <c r="IPJ20" s="72"/>
      <c r="IPK20" s="72"/>
      <c r="IPL20" s="72"/>
      <c r="IPM20" s="72"/>
      <c r="IPN20" s="72"/>
      <c r="IPO20" s="72"/>
      <c r="IPP20" s="72"/>
      <c r="IPQ20" s="72"/>
      <c r="IPR20" s="72"/>
      <c r="IPS20" s="72"/>
      <c r="IPT20" s="72"/>
      <c r="IPU20" s="72"/>
      <c r="IPV20" s="72"/>
      <c r="IPW20" s="72"/>
      <c r="IPX20" s="72"/>
      <c r="IPY20" s="72"/>
      <c r="IPZ20" s="72"/>
      <c r="IQA20" s="72"/>
      <c r="IQB20" s="72"/>
      <c r="IQC20" s="72"/>
      <c r="IQD20" s="72"/>
      <c r="IQE20" s="72"/>
      <c r="IQF20" s="72"/>
      <c r="IQG20" s="72"/>
      <c r="IQH20" s="72"/>
      <c r="IQI20" s="72"/>
      <c r="IQJ20" s="72"/>
      <c r="IQK20" s="72"/>
      <c r="IQL20" s="72"/>
      <c r="IQM20" s="72"/>
      <c r="IQN20" s="72"/>
      <c r="IQO20" s="72"/>
      <c r="IQP20" s="72"/>
      <c r="IQQ20" s="72"/>
      <c r="IQR20" s="72"/>
      <c r="IQS20" s="72"/>
      <c r="IQT20" s="72"/>
      <c r="IQU20" s="72"/>
      <c r="IQV20" s="72"/>
      <c r="IQW20" s="72"/>
      <c r="IQX20" s="72"/>
      <c r="IQY20" s="72"/>
      <c r="IQZ20" s="72"/>
      <c r="IRA20" s="72"/>
      <c r="IRB20" s="72"/>
      <c r="IRC20" s="72"/>
      <c r="IRD20" s="72"/>
      <c r="IRE20" s="72"/>
      <c r="IRF20" s="72"/>
      <c r="IRG20" s="72"/>
      <c r="IRH20" s="72"/>
      <c r="IRI20" s="72"/>
      <c r="IRJ20" s="72"/>
      <c r="IRK20" s="72"/>
      <c r="IRL20" s="72"/>
      <c r="IRM20" s="72"/>
      <c r="IRN20" s="72"/>
      <c r="IRO20" s="72"/>
      <c r="IRP20" s="72"/>
      <c r="IRQ20" s="72"/>
      <c r="IRR20" s="72"/>
      <c r="IRS20" s="72"/>
      <c r="IRT20" s="72"/>
      <c r="IRU20" s="72"/>
      <c r="IRV20" s="72"/>
      <c r="IRW20" s="72"/>
      <c r="IRX20" s="72"/>
      <c r="IRY20" s="72"/>
      <c r="IRZ20" s="72"/>
      <c r="ISA20" s="72"/>
      <c r="ISB20" s="72"/>
      <c r="ISC20" s="72"/>
      <c r="ISD20" s="72"/>
      <c r="ISE20" s="72"/>
      <c r="ISF20" s="72"/>
      <c r="ISG20" s="72"/>
      <c r="ISH20" s="72"/>
      <c r="ISI20" s="72"/>
      <c r="ISJ20" s="72"/>
      <c r="ISK20" s="72"/>
      <c r="ISL20" s="72"/>
      <c r="ISM20" s="72"/>
      <c r="ISN20" s="72"/>
      <c r="ISO20" s="72"/>
      <c r="ISP20" s="72"/>
      <c r="ISQ20" s="72"/>
      <c r="ISR20" s="72"/>
      <c r="ISS20" s="72"/>
      <c r="IST20" s="72"/>
      <c r="ISU20" s="72"/>
      <c r="ISV20" s="72"/>
      <c r="ISW20" s="72"/>
      <c r="ISX20" s="72"/>
      <c r="ISY20" s="72"/>
      <c r="ISZ20" s="72"/>
      <c r="ITA20" s="72"/>
      <c r="ITB20" s="72"/>
      <c r="ITC20" s="72"/>
      <c r="ITD20" s="72"/>
      <c r="ITE20" s="72"/>
      <c r="ITF20" s="72"/>
      <c r="ITG20" s="72"/>
      <c r="ITH20" s="72"/>
      <c r="ITI20" s="72"/>
      <c r="ITJ20" s="72"/>
      <c r="ITK20" s="72"/>
      <c r="ITL20" s="72"/>
      <c r="ITM20" s="72"/>
      <c r="ITN20" s="72"/>
      <c r="ITO20" s="72"/>
      <c r="ITP20" s="72"/>
      <c r="ITQ20" s="72"/>
      <c r="ITR20" s="72"/>
      <c r="ITS20" s="72"/>
      <c r="ITT20" s="72"/>
      <c r="ITU20" s="72"/>
      <c r="ITV20" s="72"/>
      <c r="ITW20" s="72"/>
      <c r="ITX20" s="72"/>
      <c r="ITY20" s="72"/>
      <c r="ITZ20" s="72"/>
      <c r="IUA20" s="72"/>
      <c r="IUB20" s="72"/>
      <c r="IUC20" s="72"/>
      <c r="IUD20" s="72"/>
      <c r="IUE20" s="72"/>
      <c r="IUF20" s="72"/>
      <c r="IUG20" s="72"/>
      <c r="IUH20" s="72"/>
      <c r="IUI20" s="72"/>
      <c r="IUJ20" s="72"/>
      <c r="IUK20" s="72"/>
      <c r="IUL20" s="72"/>
      <c r="IUM20" s="72"/>
      <c r="IUN20" s="72"/>
      <c r="IUO20" s="72"/>
      <c r="IUP20" s="72"/>
      <c r="IUQ20" s="72"/>
      <c r="IUR20" s="72"/>
      <c r="IUS20" s="72"/>
      <c r="IUT20" s="72"/>
      <c r="IUU20" s="72"/>
      <c r="IUV20" s="72"/>
      <c r="IUW20" s="72"/>
      <c r="IUX20" s="72"/>
      <c r="IUY20" s="72"/>
      <c r="IUZ20" s="72"/>
      <c r="IVA20" s="72"/>
      <c r="IVB20" s="72"/>
      <c r="IVC20" s="72"/>
      <c r="IVD20" s="72"/>
      <c r="IVE20" s="72"/>
      <c r="IVF20" s="72"/>
      <c r="IVG20" s="72"/>
      <c r="IVH20" s="72"/>
      <c r="IVI20" s="72"/>
      <c r="IVJ20" s="72"/>
      <c r="IVK20" s="72"/>
      <c r="IVL20" s="72"/>
      <c r="IVM20" s="72"/>
      <c r="IVN20" s="72"/>
      <c r="IVO20" s="72"/>
      <c r="IVP20" s="72"/>
      <c r="IVQ20" s="72"/>
      <c r="IVR20" s="72"/>
      <c r="IVS20" s="72"/>
      <c r="IVT20" s="72"/>
      <c r="IVU20" s="72"/>
      <c r="IVV20" s="72"/>
      <c r="IVW20" s="72"/>
      <c r="IVX20" s="72"/>
      <c r="IVY20" s="72"/>
      <c r="IVZ20" s="72"/>
      <c r="IWA20" s="72"/>
      <c r="IWB20" s="72"/>
      <c r="IWC20" s="72"/>
      <c r="IWD20" s="72"/>
      <c r="IWE20" s="72"/>
      <c r="IWF20" s="72"/>
      <c r="IWG20" s="72"/>
      <c r="IWH20" s="72"/>
      <c r="IWI20" s="72"/>
      <c r="IWJ20" s="72"/>
      <c r="IWK20" s="72"/>
      <c r="IWL20" s="72"/>
      <c r="IWM20" s="72"/>
      <c r="IWN20" s="72"/>
      <c r="IWO20" s="72"/>
      <c r="IWP20" s="72"/>
      <c r="IWQ20" s="72"/>
      <c r="IWR20" s="72"/>
      <c r="IWS20" s="72"/>
      <c r="IWT20" s="72"/>
      <c r="IWU20" s="72"/>
      <c r="IWV20" s="72"/>
      <c r="IWW20" s="72"/>
      <c r="IWX20" s="72"/>
      <c r="IWY20" s="72"/>
      <c r="IWZ20" s="72"/>
      <c r="IXA20" s="72"/>
      <c r="IXB20" s="72"/>
      <c r="IXC20" s="72"/>
      <c r="IXD20" s="72"/>
      <c r="IXE20" s="72"/>
      <c r="IXF20" s="72"/>
      <c r="IXG20" s="72"/>
      <c r="IXH20" s="72"/>
      <c r="IXI20" s="72"/>
      <c r="IXJ20" s="72"/>
      <c r="IXK20" s="72"/>
      <c r="IXL20" s="72"/>
      <c r="IXM20" s="72"/>
      <c r="IXN20" s="72"/>
      <c r="IXO20" s="72"/>
      <c r="IXP20" s="72"/>
      <c r="IXQ20" s="72"/>
      <c r="IXR20" s="72"/>
      <c r="IXS20" s="72"/>
      <c r="IXT20" s="72"/>
      <c r="IXU20" s="72"/>
      <c r="IXV20" s="72"/>
      <c r="IXW20" s="72"/>
      <c r="IXX20" s="72"/>
      <c r="IXY20" s="72"/>
      <c r="IXZ20" s="72"/>
      <c r="IYA20" s="72"/>
      <c r="IYB20" s="72"/>
      <c r="IYC20" s="72"/>
      <c r="IYD20" s="72"/>
      <c r="IYE20" s="72"/>
      <c r="IYF20" s="72"/>
      <c r="IYG20" s="72"/>
      <c r="IYH20" s="72"/>
      <c r="IYI20" s="72"/>
      <c r="IYJ20" s="72"/>
      <c r="IYK20" s="72"/>
      <c r="IYL20" s="72"/>
      <c r="IYM20" s="72"/>
      <c r="IYN20" s="72"/>
      <c r="IYO20" s="72"/>
      <c r="IYP20" s="72"/>
      <c r="IYQ20" s="72"/>
      <c r="IYR20" s="72"/>
      <c r="IYS20" s="72"/>
      <c r="IYT20" s="72"/>
      <c r="IYU20" s="72"/>
      <c r="IYV20" s="72"/>
      <c r="IYW20" s="72"/>
      <c r="IYX20" s="72"/>
      <c r="IYY20" s="72"/>
      <c r="IYZ20" s="72"/>
      <c r="IZA20" s="72"/>
      <c r="IZB20" s="72"/>
      <c r="IZC20" s="72"/>
      <c r="IZD20" s="72"/>
      <c r="IZE20" s="72"/>
      <c r="IZF20" s="72"/>
      <c r="IZG20" s="72"/>
      <c r="IZH20" s="72"/>
      <c r="IZI20" s="72"/>
      <c r="IZJ20" s="72"/>
      <c r="IZK20" s="72"/>
      <c r="IZL20" s="72"/>
      <c r="IZM20" s="72"/>
      <c r="IZN20" s="72"/>
      <c r="IZO20" s="72"/>
      <c r="IZP20" s="72"/>
      <c r="IZQ20" s="72"/>
      <c r="IZR20" s="72"/>
      <c r="IZS20" s="72"/>
      <c r="IZT20" s="72"/>
      <c r="IZU20" s="72"/>
      <c r="IZV20" s="72"/>
      <c r="IZW20" s="72"/>
      <c r="IZX20" s="72"/>
      <c r="IZY20" s="72"/>
      <c r="IZZ20" s="72"/>
      <c r="JAA20" s="72"/>
      <c r="JAB20" s="72"/>
      <c r="JAC20" s="72"/>
      <c r="JAD20" s="72"/>
      <c r="JAE20" s="72"/>
      <c r="JAF20" s="72"/>
      <c r="JAG20" s="72"/>
      <c r="JAH20" s="72"/>
      <c r="JAI20" s="72"/>
      <c r="JAJ20" s="72"/>
      <c r="JAK20" s="72"/>
      <c r="JAL20" s="72"/>
      <c r="JAM20" s="72"/>
      <c r="JAN20" s="72"/>
      <c r="JAO20" s="72"/>
      <c r="JAP20" s="72"/>
      <c r="JAQ20" s="72"/>
      <c r="JAR20" s="72"/>
      <c r="JAS20" s="72"/>
      <c r="JAT20" s="72"/>
      <c r="JAU20" s="72"/>
      <c r="JAV20" s="72"/>
      <c r="JAW20" s="72"/>
      <c r="JAX20" s="72"/>
      <c r="JAY20" s="72"/>
      <c r="JAZ20" s="72"/>
      <c r="JBA20" s="72"/>
      <c r="JBB20" s="72"/>
      <c r="JBC20" s="72"/>
      <c r="JBD20" s="72"/>
      <c r="JBE20" s="72"/>
      <c r="JBF20" s="72"/>
      <c r="JBG20" s="72"/>
      <c r="JBH20" s="72"/>
      <c r="JBI20" s="72"/>
      <c r="JBJ20" s="72"/>
      <c r="JBK20" s="72"/>
      <c r="JBL20" s="72"/>
      <c r="JBM20" s="72"/>
      <c r="JBN20" s="72"/>
      <c r="JBO20" s="72"/>
      <c r="JBP20" s="72"/>
      <c r="JBQ20" s="72"/>
      <c r="JBR20" s="72"/>
      <c r="JBS20" s="72"/>
      <c r="JBT20" s="72"/>
      <c r="JBU20" s="72"/>
      <c r="JBV20" s="72"/>
      <c r="JBW20" s="72"/>
      <c r="JBX20" s="72"/>
      <c r="JBY20" s="72"/>
      <c r="JBZ20" s="72"/>
      <c r="JCA20" s="72"/>
      <c r="JCB20" s="72"/>
      <c r="JCC20" s="72"/>
      <c r="JCD20" s="72"/>
      <c r="JCE20" s="72"/>
      <c r="JCF20" s="72"/>
      <c r="JCG20" s="72"/>
      <c r="JCH20" s="72"/>
      <c r="JCI20" s="72"/>
      <c r="JCJ20" s="72"/>
      <c r="JCK20" s="72"/>
      <c r="JCL20" s="72"/>
      <c r="JCM20" s="72"/>
      <c r="JCN20" s="72"/>
      <c r="JCO20" s="72"/>
      <c r="JCP20" s="72"/>
      <c r="JCQ20" s="72"/>
      <c r="JCR20" s="72"/>
      <c r="JCS20" s="72"/>
      <c r="JCT20" s="72"/>
      <c r="JCU20" s="72"/>
      <c r="JCV20" s="72"/>
      <c r="JCW20" s="72"/>
      <c r="JCX20" s="72"/>
      <c r="JCY20" s="72"/>
      <c r="JCZ20" s="72"/>
      <c r="JDA20" s="72"/>
      <c r="JDB20" s="72"/>
      <c r="JDC20" s="72"/>
      <c r="JDD20" s="72"/>
      <c r="JDE20" s="72"/>
      <c r="JDF20" s="72"/>
      <c r="JDG20" s="72"/>
      <c r="JDH20" s="72"/>
      <c r="JDI20" s="72"/>
      <c r="JDJ20" s="72"/>
      <c r="JDK20" s="72"/>
      <c r="JDL20" s="72"/>
      <c r="JDM20" s="72"/>
      <c r="JDN20" s="72"/>
      <c r="JDO20" s="72"/>
      <c r="JDP20" s="72"/>
      <c r="JDQ20" s="72"/>
      <c r="JDR20" s="72"/>
      <c r="JDS20" s="72"/>
      <c r="JDT20" s="72"/>
      <c r="JDU20" s="72"/>
      <c r="JDV20" s="72"/>
      <c r="JDW20" s="72"/>
      <c r="JDX20" s="72"/>
      <c r="JDY20" s="72"/>
      <c r="JDZ20" s="72"/>
      <c r="JEA20" s="72"/>
      <c r="JEB20" s="72"/>
      <c r="JEC20" s="72"/>
      <c r="JED20" s="72"/>
      <c r="JEE20" s="72"/>
      <c r="JEF20" s="72"/>
      <c r="JEG20" s="72"/>
      <c r="JEH20" s="72"/>
      <c r="JEI20" s="72"/>
      <c r="JEJ20" s="72"/>
      <c r="JEK20" s="72"/>
      <c r="JEL20" s="72"/>
      <c r="JEM20" s="72"/>
      <c r="JEN20" s="72"/>
      <c r="JEO20" s="72"/>
      <c r="JEP20" s="72"/>
      <c r="JEQ20" s="72"/>
      <c r="JER20" s="72"/>
      <c r="JES20" s="72"/>
      <c r="JET20" s="72"/>
      <c r="JEU20" s="72"/>
      <c r="JEV20" s="72"/>
      <c r="JEW20" s="72"/>
      <c r="JEX20" s="72"/>
      <c r="JEY20" s="72"/>
      <c r="JEZ20" s="72"/>
      <c r="JFA20" s="72"/>
      <c r="JFB20" s="72"/>
      <c r="JFC20" s="72"/>
      <c r="JFD20" s="72"/>
      <c r="JFE20" s="72"/>
      <c r="JFF20" s="72"/>
      <c r="JFG20" s="72"/>
      <c r="JFH20" s="72"/>
      <c r="JFI20" s="72"/>
      <c r="JFJ20" s="72"/>
      <c r="JFK20" s="72"/>
      <c r="JFL20" s="72"/>
      <c r="JFM20" s="72"/>
      <c r="JFN20" s="72"/>
      <c r="JFO20" s="72"/>
      <c r="JFP20" s="72"/>
      <c r="JFQ20" s="72"/>
      <c r="JFR20" s="72"/>
      <c r="JFS20" s="72"/>
      <c r="JFT20" s="72"/>
      <c r="JFU20" s="72"/>
      <c r="JFV20" s="72"/>
      <c r="JFW20" s="72"/>
      <c r="JFX20" s="72"/>
      <c r="JFY20" s="72"/>
      <c r="JFZ20" s="72"/>
      <c r="JGA20" s="72"/>
      <c r="JGB20" s="72"/>
      <c r="JGC20" s="72"/>
      <c r="JGD20" s="72"/>
      <c r="JGE20" s="72"/>
      <c r="JGF20" s="72"/>
      <c r="JGG20" s="72"/>
      <c r="JGH20" s="72"/>
      <c r="JGI20" s="72"/>
      <c r="JGJ20" s="72"/>
      <c r="JGK20" s="72"/>
      <c r="JGL20" s="72"/>
      <c r="JGM20" s="72"/>
      <c r="JGN20" s="72"/>
      <c r="JGO20" s="72"/>
      <c r="JGP20" s="72"/>
      <c r="JGQ20" s="72"/>
      <c r="JGR20" s="72"/>
      <c r="JGS20" s="72"/>
      <c r="JGT20" s="72"/>
      <c r="JGU20" s="72"/>
      <c r="JGV20" s="72"/>
      <c r="JGW20" s="72"/>
      <c r="JGX20" s="72"/>
      <c r="JGY20" s="72"/>
      <c r="JGZ20" s="72"/>
      <c r="JHA20" s="72"/>
      <c r="JHB20" s="72"/>
      <c r="JHC20" s="72"/>
      <c r="JHD20" s="72"/>
      <c r="JHE20" s="72"/>
      <c r="JHF20" s="72"/>
      <c r="JHG20" s="72"/>
      <c r="JHH20" s="72"/>
      <c r="JHI20" s="72"/>
      <c r="JHJ20" s="72"/>
      <c r="JHK20" s="72"/>
      <c r="JHL20" s="72"/>
      <c r="JHM20" s="72"/>
      <c r="JHN20" s="72"/>
      <c r="JHO20" s="72"/>
      <c r="JHP20" s="72"/>
      <c r="JHQ20" s="72"/>
      <c r="JHR20" s="72"/>
      <c r="JHS20" s="72"/>
      <c r="JHT20" s="72"/>
      <c r="JHU20" s="72"/>
      <c r="JHV20" s="72"/>
      <c r="JHW20" s="72"/>
      <c r="JHX20" s="72"/>
      <c r="JHY20" s="72"/>
      <c r="JHZ20" s="72"/>
      <c r="JIA20" s="72"/>
      <c r="JIB20" s="72"/>
      <c r="JIC20" s="72"/>
      <c r="JID20" s="72"/>
      <c r="JIE20" s="72"/>
      <c r="JIF20" s="72"/>
      <c r="JIG20" s="72"/>
      <c r="JIH20" s="72"/>
      <c r="JII20" s="72"/>
      <c r="JIJ20" s="72"/>
      <c r="JIK20" s="72"/>
      <c r="JIL20" s="72"/>
      <c r="JIM20" s="72"/>
      <c r="JIN20" s="72"/>
      <c r="JIO20" s="72"/>
      <c r="JIP20" s="72"/>
      <c r="JIQ20" s="72"/>
      <c r="JIR20" s="72"/>
      <c r="JIS20" s="72"/>
      <c r="JIT20" s="72"/>
      <c r="JIU20" s="72"/>
      <c r="JIV20" s="72"/>
      <c r="JIW20" s="72"/>
      <c r="JIX20" s="72"/>
      <c r="JIY20" s="72"/>
      <c r="JIZ20" s="72"/>
      <c r="JJA20" s="72"/>
      <c r="JJB20" s="72"/>
      <c r="JJC20" s="72"/>
      <c r="JJD20" s="72"/>
      <c r="JJE20" s="72"/>
      <c r="JJF20" s="72"/>
      <c r="JJG20" s="72"/>
      <c r="JJH20" s="72"/>
      <c r="JJI20" s="72"/>
      <c r="JJJ20" s="72"/>
      <c r="JJK20" s="72"/>
      <c r="JJL20" s="72"/>
      <c r="JJM20" s="72"/>
      <c r="JJN20" s="72"/>
      <c r="JJO20" s="72"/>
      <c r="JJP20" s="72"/>
      <c r="JJQ20" s="72"/>
      <c r="JJR20" s="72"/>
      <c r="JJS20" s="72"/>
      <c r="JJT20" s="72"/>
      <c r="JJU20" s="72"/>
      <c r="JJV20" s="72"/>
      <c r="JJW20" s="72"/>
      <c r="JJX20" s="72"/>
      <c r="JJY20" s="72"/>
      <c r="JJZ20" s="72"/>
      <c r="JKA20" s="72"/>
      <c r="JKB20" s="72"/>
      <c r="JKC20" s="72"/>
      <c r="JKD20" s="72"/>
      <c r="JKE20" s="72"/>
      <c r="JKF20" s="72"/>
      <c r="JKG20" s="72"/>
      <c r="JKH20" s="72"/>
      <c r="JKI20" s="72"/>
      <c r="JKJ20" s="72"/>
      <c r="JKK20" s="72"/>
      <c r="JKL20" s="72"/>
      <c r="JKM20" s="72"/>
      <c r="JKN20" s="72"/>
      <c r="JKO20" s="72"/>
      <c r="JKP20" s="72"/>
      <c r="JKQ20" s="72"/>
      <c r="JKR20" s="72"/>
      <c r="JKS20" s="72"/>
      <c r="JKT20" s="72"/>
      <c r="JKU20" s="72"/>
      <c r="JKV20" s="72"/>
      <c r="JKW20" s="72"/>
      <c r="JKX20" s="72"/>
      <c r="JKY20" s="72"/>
      <c r="JKZ20" s="72"/>
      <c r="JLA20" s="72"/>
      <c r="JLB20" s="72"/>
      <c r="JLC20" s="72"/>
      <c r="JLD20" s="72"/>
      <c r="JLE20" s="72"/>
      <c r="JLF20" s="72"/>
      <c r="JLG20" s="72"/>
      <c r="JLH20" s="72"/>
      <c r="JLI20" s="72"/>
      <c r="JLJ20" s="72"/>
      <c r="JLK20" s="72"/>
      <c r="JLL20" s="72"/>
      <c r="JLM20" s="72"/>
      <c r="JLN20" s="72"/>
      <c r="JLO20" s="72"/>
      <c r="JLP20" s="72"/>
      <c r="JLQ20" s="72"/>
      <c r="JLR20" s="72"/>
      <c r="JLS20" s="72"/>
      <c r="JLT20" s="72"/>
      <c r="JLU20" s="72"/>
      <c r="JLV20" s="72"/>
      <c r="JLW20" s="72"/>
      <c r="JLX20" s="72"/>
      <c r="JLY20" s="72"/>
      <c r="JLZ20" s="72"/>
      <c r="JMA20" s="72"/>
      <c r="JMB20" s="72"/>
      <c r="JMC20" s="72"/>
      <c r="JMD20" s="72"/>
      <c r="JME20" s="72"/>
      <c r="JMF20" s="72"/>
      <c r="JMG20" s="72"/>
      <c r="JMH20" s="72"/>
      <c r="JMI20" s="72"/>
      <c r="JMJ20" s="72"/>
      <c r="JMK20" s="72"/>
      <c r="JML20" s="72"/>
      <c r="JMM20" s="72"/>
      <c r="JMN20" s="72"/>
      <c r="JMO20" s="72"/>
      <c r="JMP20" s="72"/>
      <c r="JMQ20" s="72"/>
      <c r="JMR20" s="72"/>
      <c r="JMS20" s="72"/>
      <c r="JMT20" s="72"/>
      <c r="JMU20" s="72"/>
      <c r="JMV20" s="72"/>
      <c r="JMW20" s="72"/>
      <c r="JMX20" s="72"/>
      <c r="JMY20" s="72"/>
      <c r="JMZ20" s="72"/>
      <c r="JNA20" s="72"/>
      <c r="JNB20" s="72"/>
      <c r="JNC20" s="72"/>
      <c r="JND20" s="72"/>
      <c r="JNE20" s="72"/>
      <c r="JNF20" s="72"/>
      <c r="JNG20" s="72"/>
      <c r="JNH20" s="72"/>
      <c r="JNI20" s="72"/>
      <c r="JNJ20" s="72"/>
      <c r="JNK20" s="72"/>
      <c r="JNL20" s="72"/>
      <c r="JNM20" s="72"/>
      <c r="JNN20" s="72"/>
      <c r="JNO20" s="72"/>
      <c r="JNP20" s="72"/>
      <c r="JNQ20" s="72"/>
      <c r="JNR20" s="72"/>
      <c r="JNS20" s="72"/>
      <c r="JNT20" s="72"/>
      <c r="JNU20" s="72"/>
      <c r="JNV20" s="72"/>
      <c r="JNW20" s="72"/>
      <c r="JNX20" s="72"/>
      <c r="JNY20" s="72"/>
      <c r="JNZ20" s="72"/>
      <c r="JOA20" s="72"/>
      <c r="JOB20" s="72"/>
      <c r="JOC20" s="72"/>
      <c r="JOD20" s="72"/>
      <c r="JOE20" s="72"/>
      <c r="JOF20" s="72"/>
      <c r="JOG20" s="72"/>
      <c r="JOH20" s="72"/>
      <c r="JOI20" s="72"/>
      <c r="JOJ20" s="72"/>
      <c r="JOK20" s="72"/>
      <c r="JOL20" s="72"/>
      <c r="JOM20" s="72"/>
      <c r="JON20" s="72"/>
      <c r="JOO20" s="72"/>
      <c r="JOP20" s="72"/>
      <c r="JOQ20" s="72"/>
      <c r="JOR20" s="72"/>
      <c r="JOS20" s="72"/>
      <c r="JOT20" s="72"/>
      <c r="JOU20" s="72"/>
      <c r="JOV20" s="72"/>
      <c r="JOW20" s="72"/>
      <c r="JOX20" s="72"/>
      <c r="JOY20" s="72"/>
      <c r="JOZ20" s="72"/>
      <c r="JPA20" s="72"/>
      <c r="JPB20" s="72"/>
      <c r="JPC20" s="72"/>
      <c r="JPD20" s="72"/>
      <c r="JPE20" s="72"/>
      <c r="JPF20" s="72"/>
      <c r="JPG20" s="72"/>
      <c r="JPH20" s="72"/>
      <c r="JPI20" s="72"/>
      <c r="JPJ20" s="72"/>
      <c r="JPK20" s="72"/>
      <c r="JPL20" s="72"/>
      <c r="JPM20" s="72"/>
      <c r="JPN20" s="72"/>
      <c r="JPO20" s="72"/>
      <c r="JPP20" s="72"/>
      <c r="JPQ20" s="72"/>
      <c r="JPR20" s="72"/>
      <c r="JPS20" s="72"/>
      <c r="JPT20" s="72"/>
      <c r="JPU20" s="72"/>
      <c r="JPV20" s="72"/>
      <c r="JPW20" s="72"/>
      <c r="JPX20" s="72"/>
      <c r="JPY20" s="72"/>
      <c r="JPZ20" s="72"/>
      <c r="JQA20" s="72"/>
      <c r="JQB20" s="72"/>
      <c r="JQC20" s="72"/>
      <c r="JQD20" s="72"/>
      <c r="JQE20" s="72"/>
      <c r="JQF20" s="72"/>
      <c r="JQG20" s="72"/>
      <c r="JQH20" s="72"/>
      <c r="JQI20" s="72"/>
      <c r="JQJ20" s="72"/>
      <c r="JQK20" s="72"/>
      <c r="JQL20" s="72"/>
      <c r="JQM20" s="72"/>
      <c r="JQN20" s="72"/>
      <c r="JQO20" s="72"/>
      <c r="JQP20" s="72"/>
      <c r="JQQ20" s="72"/>
      <c r="JQR20" s="72"/>
      <c r="JQS20" s="72"/>
      <c r="JQT20" s="72"/>
      <c r="JQU20" s="72"/>
      <c r="JQV20" s="72"/>
      <c r="JQW20" s="72"/>
      <c r="JQX20" s="72"/>
      <c r="JQY20" s="72"/>
      <c r="JQZ20" s="72"/>
      <c r="JRA20" s="72"/>
      <c r="JRB20" s="72"/>
      <c r="JRC20" s="72"/>
      <c r="JRD20" s="72"/>
      <c r="JRE20" s="72"/>
      <c r="JRF20" s="72"/>
      <c r="JRG20" s="72"/>
      <c r="JRH20" s="72"/>
      <c r="JRI20" s="72"/>
      <c r="JRJ20" s="72"/>
      <c r="JRK20" s="72"/>
      <c r="JRL20" s="72"/>
      <c r="JRM20" s="72"/>
      <c r="JRN20" s="72"/>
      <c r="JRO20" s="72"/>
      <c r="JRP20" s="72"/>
      <c r="JRQ20" s="72"/>
      <c r="JRR20" s="72"/>
      <c r="JRS20" s="72"/>
      <c r="JRT20" s="72"/>
      <c r="JRU20" s="72"/>
      <c r="JRV20" s="72"/>
      <c r="JRW20" s="72"/>
      <c r="JRX20" s="72"/>
      <c r="JRY20" s="72"/>
      <c r="JRZ20" s="72"/>
      <c r="JSA20" s="72"/>
      <c r="JSB20" s="72"/>
      <c r="JSC20" s="72"/>
      <c r="JSD20" s="72"/>
      <c r="JSE20" s="72"/>
      <c r="JSF20" s="72"/>
      <c r="JSG20" s="72"/>
      <c r="JSH20" s="72"/>
      <c r="JSI20" s="72"/>
      <c r="JSJ20" s="72"/>
      <c r="JSK20" s="72"/>
      <c r="JSL20" s="72"/>
      <c r="JSM20" s="72"/>
      <c r="JSN20" s="72"/>
      <c r="JSO20" s="72"/>
      <c r="JSP20" s="72"/>
      <c r="JSQ20" s="72"/>
      <c r="JSR20" s="72"/>
      <c r="JSS20" s="72"/>
      <c r="JST20" s="72"/>
      <c r="JSU20" s="72"/>
      <c r="JSV20" s="72"/>
      <c r="JSW20" s="72"/>
      <c r="JSX20" s="72"/>
      <c r="JSY20" s="72"/>
      <c r="JSZ20" s="72"/>
      <c r="JTA20" s="72"/>
      <c r="JTB20" s="72"/>
      <c r="JTC20" s="72"/>
      <c r="JTD20" s="72"/>
      <c r="JTE20" s="72"/>
      <c r="JTF20" s="72"/>
      <c r="JTG20" s="72"/>
      <c r="JTH20" s="72"/>
      <c r="JTI20" s="72"/>
      <c r="JTJ20" s="72"/>
      <c r="JTK20" s="72"/>
      <c r="JTL20" s="72"/>
      <c r="JTM20" s="72"/>
      <c r="JTN20" s="72"/>
      <c r="JTO20" s="72"/>
      <c r="JTP20" s="72"/>
      <c r="JTQ20" s="72"/>
      <c r="JTR20" s="72"/>
      <c r="JTS20" s="72"/>
      <c r="JTT20" s="72"/>
      <c r="JTU20" s="72"/>
      <c r="JTV20" s="72"/>
      <c r="JTW20" s="72"/>
      <c r="JTX20" s="72"/>
      <c r="JTY20" s="72"/>
      <c r="JTZ20" s="72"/>
      <c r="JUA20" s="72"/>
      <c r="JUB20" s="72"/>
      <c r="JUC20" s="72"/>
      <c r="JUD20" s="72"/>
      <c r="JUE20" s="72"/>
      <c r="JUF20" s="72"/>
      <c r="JUG20" s="72"/>
      <c r="JUH20" s="72"/>
      <c r="JUI20" s="72"/>
      <c r="JUJ20" s="72"/>
      <c r="JUK20" s="72"/>
      <c r="JUL20" s="72"/>
      <c r="JUM20" s="72"/>
      <c r="JUN20" s="72"/>
      <c r="JUO20" s="72"/>
      <c r="JUP20" s="72"/>
      <c r="JUQ20" s="72"/>
      <c r="JUR20" s="72"/>
      <c r="JUS20" s="72"/>
      <c r="JUT20" s="72"/>
      <c r="JUU20" s="72"/>
      <c r="JUV20" s="72"/>
      <c r="JUW20" s="72"/>
      <c r="JUX20" s="72"/>
      <c r="JUY20" s="72"/>
      <c r="JUZ20" s="72"/>
      <c r="JVA20" s="72"/>
      <c r="JVB20" s="72"/>
      <c r="JVC20" s="72"/>
      <c r="JVD20" s="72"/>
      <c r="JVE20" s="72"/>
      <c r="JVF20" s="72"/>
      <c r="JVG20" s="72"/>
      <c r="JVH20" s="72"/>
      <c r="JVI20" s="72"/>
      <c r="JVJ20" s="72"/>
      <c r="JVK20" s="72"/>
      <c r="JVL20" s="72"/>
      <c r="JVM20" s="72"/>
      <c r="JVN20" s="72"/>
      <c r="JVO20" s="72"/>
      <c r="JVP20" s="72"/>
      <c r="JVQ20" s="72"/>
      <c r="JVR20" s="72"/>
      <c r="JVS20" s="72"/>
      <c r="JVT20" s="72"/>
      <c r="JVU20" s="72"/>
      <c r="JVV20" s="72"/>
      <c r="JVW20" s="72"/>
      <c r="JVX20" s="72"/>
      <c r="JVY20" s="72"/>
      <c r="JVZ20" s="72"/>
      <c r="JWA20" s="72"/>
      <c r="JWB20" s="72"/>
      <c r="JWC20" s="72"/>
      <c r="JWD20" s="72"/>
      <c r="JWE20" s="72"/>
      <c r="JWF20" s="72"/>
      <c r="JWG20" s="72"/>
      <c r="JWH20" s="72"/>
      <c r="JWI20" s="72"/>
      <c r="JWJ20" s="72"/>
      <c r="JWK20" s="72"/>
      <c r="JWL20" s="72"/>
      <c r="JWM20" s="72"/>
      <c r="JWN20" s="72"/>
      <c r="JWO20" s="72"/>
      <c r="JWP20" s="72"/>
      <c r="JWQ20" s="72"/>
      <c r="JWR20" s="72"/>
      <c r="JWS20" s="72"/>
      <c r="JWT20" s="72"/>
      <c r="JWU20" s="72"/>
      <c r="JWV20" s="72"/>
      <c r="JWW20" s="72"/>
      <c r="JWX20" s="72"/>
      <c r="JWY20" s="72"/>
      <c r="JWZ20" s="72"/>
      <c r="JXA20" s="72"/>
      <c r="JXB20" s="72"/>
      <c r="JXC20" s="72"/>
      <c r="JXD20" s="72"/>
      <c r="JXE20" s="72"/>
      <c r="JXF20" s="72"/>
      <c r="JXG20" s="72"/>
      <c r="JXH20" s="72"/>
      <c r="JXI20" s="72"/>
      <c r="JXJ20" s="72"/>
      <c r="JXK20" s="72"/>
      <c r="JXL20" s="72"/>
      <c r="JXM20" s="72"/>
      <c r="JXN20" s="72"/>
      <c r="JXO20" s="72"/>
      <c r="JXP20" s="72"/>
      <c r="JXQ20" s="72"/>
      <c r="JXR20" s="72"/>
      <c r="JXS20" s="72"/>
      <c r="JXT20" s="72"/>
      <c r="JXU20" s="72"/>
      <c r="JXV20" s="72"/>
      <c r="JXW20" s="72"/>
      <c r="JXX20" s="72"/>
      <c r="JXY20" s="72"/>
      <c r="JXZ20" s="72"/>
      <c r="JYA20" s="72"/>
      <c r="JYB20" s="72"/>
      <c r="JYC20" s="72"/>
      <c r="JYD20" s="72"/>
      <c r="JYE20" s="72"/>
      <c r="JYF20" s="72"/>
      <c r="JYG20" s="72"/>
      <c r="JYH20" s="72"/>
      <c r="JYI20" s="72"/>
      <c r="JYJ20" s="72"/>
      <c r="JYK20" s="72"/>
      <c r="JYL20" s="72"/>
      <c r="JYM20" s="72"/>
      <c r="JYN20" s="72"/>
      <c r="JYO20" s="72"/>
      <c r="JYP20" s="72"/>
      <c r="JYQ20" s="72"/>
      <c r="JYR20" s="72"/>
      <c r="JYS20" s="72"/>
      <c r="JYT20" s="72"/>
      <c r="JYU20" s="72"/>
      <c r="JYV20" s="72"/>
      <c r="JYW20" s="72"/>
      <c r="JYX20" s="72"/>
      <c r="JYY20" s="72"/>
      <c r="JYZ20" s="72"/>
      <c r="JZA20" s="72"/>
      <c r="JZB20" s="72"/>
      <c r="JZC20" s="72"/>
      <c r="JZD20" s="72"/>
      <c r="JZE20" s="72"/>
      <c r="JZF20" s="72"/>
      <c r="JZG20" s="72"/>
      <c r="JZH20" s="72"/>
      <c r="JZI20" s="72"/>
      <c r="JZJ20" s="72"/>
      <c r="JZK20" s="72"/>
      <c r="JZL20" s="72"/>
      <c r="JZM20" s="72"/>
      <c r="JZN20" s="72"/>
      <c r="JZO20" s="72"/>
      <c r="JZP20" s="72"/>
      <c r="JZQ20" s="72"/>
      <c r="JZR20" s="72"/>
      <c r="JZS20" s="72"/>
      <c r="JZT20" s="72"/>
      <c r="JZU20" s="72"/>
      <c r="JZV20" s="72"/>
      <c r="JZW20" s="72"/>
      <c r="JZX20" s="72"/>
      <c r="JZY20" s="72"/>
      <c r="JZZ20" s="72"/>
      <c r="KAA20" s="72"/>
      <c r="KAB20" s="72"/>
      <c r="KAC20" s="72"/>
      <c r="KAD20" s="72"/>
      <c r="KAE20" s="72"/>
      <c r="KAF20" s="72"/>
      <c r="KAG20" s="72"/>
      <c r="KAH20" s="72"/>
      <c r="KAI20" s="72"/>
      <c r="KAJ20" s="72"/>
      <c r="KAK20" s="72"/>
      <c r="KAL20" s="72"/>
      <c r="KAM20" s="72"/>
      <c r="KAN20" s="72"/>
      <c r="KAO20" s="72"/>
      <c r="KAP20" s="72"/>
      <c r="KAQ20" s="72"/>
      <c r="KAR20" s="72"/>
      <c r="KAS20" s="72"/>
      <c r="KAT20" s="72"/>
      <c r="KAU20" s="72"/>
      <c r="KAV20" s="72"/>
      <c r="KAW20" s="72"/>
      <c r="KAX20" s="72"/>
      <c r="KAY20" s="72"/>
      <c r="KAZ20" s="72"/>
      <c r="KBA20" s="72"/>
      <c r="KBB20" s="72"/>
      <c r="KBC20" s="72"/>
      <c r="KBD20" s="72"/>
      <c r="KBE20" s="72"/>
      <c r="KBF20" s="72"/>
      <c r="KBG20" s="72"/>
      <c r="KBH20" s="72"/>
      <c r="KBI20" s="72"/>
      <c r="KBJ20" s="72"/>
      <c r="KBK20" s="72"/>
      <c r="KBL20" s="72"/>
      <c r="KBM20" s="72"/>
      <c r="KBN20" s="72"/>
      <c r="KBO20" s="72"/>
      <c r="KBP20" s="72"/>
      <c r="KBQ20" s="72"/>
      <c r="KBR20" s="72"/>
      <c r="KBS20" s="72"/>
      <c r="KBT20" s="72"/>
      <c r="KBU20" s="72"/>
      <c r="KBV20" s="72"/>
      <c r="KBW20" s="72"/>
      <c r="KBX20" s="72"/>
      <c r="KBY20" s="72"/>
      <c r="KBZ20" s="72"/>
      <c r="KCA20" s="72"/>
      <c r="KCB20" s="72"/>
      <c r="KCC20" s="72"/>
      <c r="KCD20" s="72"/>
      <c r="KCE20" s="72"/>
      <c r="KCF20" s="72"/>
      <c r="KCG20" s="72"/>
      <c r="KCH20" s="72"/>
      <c r="KCI20" s="72"/>
      <c r="KCJ20" s="72"/>
      <c r="KCK20" s="72"/>
      <c r="KCL20" s="72"/>
      <c r="KCM20" s="72"/>
      <c r="KCN20" s="72"/>
      <c r="KCO20" s="72"/>
      <c r="KCP20" s="72"/>
      <c r="KCQ20" s="72"/>
      <c r="KCR20" s="72"/>
      <c r="KCS20" s="72"/>
      <c r="KCT20" s="72"/>
      <c r="KCU20" s="72"/>
      <c r="KCV20" s="72"/>
      <c r="KCW20" s="72"/>
      <c r="KCX20" s="72"/>
      <c r="KCY20" s="72"/>
      <c r="KCZ20" s="72"/>
      <c r="KDA20" s="72"/>
      <c r="KDB20" s="72"/>
      <c r="KDC20" s="72"/>
      <c r="KDD20" s="72"/>
      <c r="KDE20" s="72"/>
      <c r="KDF20" s="72"/>
      <c r="KDG20" s="72"/>
      <c r="KDH20" s="72"/>
      <c r="KDI20" s="72"/>
      <c r="KDJ20" s="72"/>
      <c r="KDK20" s="72"/>
      <c r="KDL20" s="72"/>
      <c r="KDM20" s="72"/>
      <c r="KDN20" s="72"/>
      <c r="KDO20" s="72"/>
      <c r="KDP20" s="72"/>
      <c r="KDQ20" s="72"/>
      <c r="KDR20" s="72"/>
      <c r="KDS20" s="72"/>
      <c r="KDT20" s="72"/>
      <c r="KDU20" s="72"/>
      <c r="KDV20" s="72"/>
      <c r="KDW20" s="72"/>
      <c r="KDX20" s="72"/>
      <c r="KDY20" s="72"/>
      <c r="KDZ20" s="72"/>
      <c r="KEA20" s="72"/>
      <c r="KEB20" s="72"/>
      <c r="KEC20" s="72"/>
      <c r="KED20" s="72"/>
      <c r="KEE20" s="72"/>
      <c r="KEF20" s="72"/>
      <c r="KEG20" s="72"/>
      <c r="KEH20" s="72"/>
      <c r="KEI20" s="72"/>
      <c r="KEJ20" s="72"/>
      <c r="KEK20" s="72"/>
      <c r="KEL20" s="72"/>
      <c r="KEM20" s="72"/>
      <c r="KEN20" s="72"/>
      <c r="KEO20" s="72"/>
      <c r="KEP20" s="72"/>
      <c r="KEQ20" s="72"/>
      <c r="KER20" s="72"/>
      <c r="KES20" s="72"/>
      <c r="KET20" s="72"/>
      <c r="KEU20" s="72"/>
      <c r="KEV20" s="72"/>
      <c r="KEW20" s="72"/>
      <c r="KEX20" s="72"/>
      <c r="KEY20" s="72"/>
      <c r="KEZ20" s="72"/>
      <c r="KFA20" s="72"/>
      <c r="KFB20" s="72"/>
      <c r="KFC20" s="72"/>
      <c r="KFD20" s="72"/>
      <c r="KFE20" s="72"/>
      <c r="KFF20" s="72"/>
      <c r="KFG20" s="72"/>
      <c r="KFH20" s="72"/>
      <c r="KFI20" s="72"/>
      <c r="KFJ20" s="72"/>
      <c r="KFK20" s="72"/>
      <c r="KFL20" s="72"/>
      <c r="KFM20" s="72"/>
      <c r="KFN20" s="72"/>
      <c r="KFO20" s="72"/>
      <c r="KFP20" s="72"/>
      <c r="KFQ20" s="72"/>
      <c r="KFR20" s="72"/>
      <c r="KFS20" s="72"/>
      <c r="KFT20" s="72"/>
      <c r="KFU20" s="72"/>
      <c r="KFV20" s="72"/>
      <c r="KFW20" s="72"/>
      <c r="KFX20" s="72"/>
      <c r="KFY20" s="72"/>
      <c r="KFZ20" s="72"/>
      <c r="KGA20" s="72"/>
      <c r="KGB20" s="72"/>
      <c r="KGC20" s="72"/>
      <c r="KGD20" s="72"/>
      <c r="KGE20" s="72"/>
      <c r="KGF20" s="72"/>
      <c r="KGG20" s="72"/>
      <c r="KGH20" s="72"/>
      <c r="KGI20" s="72"/>
      <c r="KGJ20" s="72"/>
      <c r="KGK20" s="72"/>
      <c r="KGL20" s="72"/>
      <c r="KGM20" s="72"/>
      <c r="KGN20" s="72"/>
      <c r="KGO20" s="72"/>
      <c r="KGP20" s="72"/>
      <c r="KGQ20" s="72"/>
      <c r="KGR20" s="72"/>
      <c r="KGS20" s="72"/>
      <c r="KGT20" s="72"/>
      <c r="KGU20" s="72"/>
      <c r="KGV20" s="72"/>
      <c r="KGW20" s="72"/>
      <c r="KGX20" s="72"/>
      <c r="KGY20" s="72"/>
      <c r="KGZ20" s="72"/>
      <c r="KHA20" s="72"/>
      <c r="KHB20" s="72"/>
      <c r="KHC20" s="72"/>
      <c r="KHD20" s="72"/>
      <c r="KHE20" s="72"/>
      <c r="KHF20" s="72"/>
      <c r="KHG20" s="72"/>
      <c r="KHH20" s="72"/>
      <c r="KHI20" s="72"/>
      <c r="KHJ20" s="72"/>
      <c r="KHK20" s="72"/>
      <c r="KHL20" s="72"/>
      <c r="KHM20" s="72"/>
      <c r="KHN20" s="72"/>
      <c r="KHO20" s="72"/>
      <c r="KHP20" s="72"/>
      <c r="KHQ20" s="72"/>
      <c r="KHR20" s="72"/>
      <c r="KHS20" s="72"/>
      <c r="KHT20" s="72"/>
      <c r="KHU20" s="72"/>
      <c r="KHV20" s="72"/>
      <c r="KHW20" s="72"/>
      <c r="KHX20" s="72"/>
      <c r="KHY20" s="72"/>
      <c r="KHZ20" s="72"/>
      <c r="KIA20" s="72"/>
      <c r="KIB20" s="72"/>
      <c r="KIC20" s="72"/>
      <c r="KID20" s="72"/>
      <c r="KIE20" s="72"/>
      <c r="KIF20" s="72"/>
      <c r="KIG20" s="72"/>
      <c r="KIH20" s="72"/>
      <c r="KII20" s="72"/>
      <c r="KIJ20" s="72"/>
      <c r="KIK20" s="72"/>
      <c r="KIL20" s="72"/>
      <c r="KIM20" s="72"/>
      <c r="KIN20" s="72"/>
      <c r="KIO20" s="72"/>
      <c r="KIP20" s="72"/>
      <c r="KIQ20" s="72"/>
      <c r="KIR20" s="72"/>
      <c r="KIS20" s="72"/>
      <c r="KIT20" s="72"/>
      <c r="KIU20" s="72"/>
      <c r="KIV20" s="72"/>
      <c r="KIW20" s="72"/>
      <c r="KIX20" s="72"/>
      <c r="KIY20" s="72"/>
      <c r="KIZ20" s="72"/>
      <c r="KJA20" s="72"/>
      <c r="KJB20" s="72"/>
      <c r="KJC20" s="72"/>
      <c r="KJD20" s="72"/>
      <c r="KJE20" s="72"/>
      <c r="KJF20" s="72"/>
      <c r="KJG20" s="72"/>
      <c r="KJH20" s="72"/>
      <c r="KJI20" s="72"/>
      <c r="KJJ20" s="72"/>
      <c r="KJK20" s="72"/>
      <c r="KJL20" s="72"/>
      <c r="KJM20" s="72"/>
      <c r="KJN20" s="72"/>
      <c r="KJO20" s="72"/>
      <c r="KJP20" s="72"/>
      <c r="KJQ20" s="72"/>
      <c r="KJR20" s="72"/>
      <c r="KJS20" s="72"/>
      <c r="KJT20" s="72"/>
      <c r="KJU20" s="72"/>
      <c r="KJV20" s="72"/>
      <c r="KJW20" s="72"/>
      <c r="KJX20" s="72"/>
      <c r="KJY20" s="72"/>
      <c r="KJZ20" s="72"/>
      <c r="KKA20" s="72"/>
      <c r="KKB20" s="72"/>
      <c r="KKC20" s="72"/>
      <c r="KKD20" s="72"/>
      <c r="KKE20" s="72"/>
      <c r="KKF20" s="72"/>
      <c r="KKG20" s="72"/>
      <c r="KKH20" s="72"/>
      <c r="KKI20" s="72"/>
      <c r="KKJ20" s="72"/>
      <c r="KKK20" s="72"/>
      <c r="KKL20" s="72"/>
      <c r="KKM20" s="72"/>
      <c r="KKN20" s="72"/>
      <c r="KKO20" s="72"/>
      <c r="KKP20" s="72"/>
      <c r="KKQ20" s="72"/>
      <c r="KKR20" s="72"/>
      <c r="KKS20" s="72"/>
      <c r="KKT20" s="72"/>
      <c r="KKU20" s="72"/>
      <c r="KKV20" s="72"/>
      <c r="KKW20" s="72"/>
      <c r="KKX20" s="72"/>
      <c r="KKY20" s="72"/>
      <c r="KKZ20" s="72"/>
      <c r="KLA20" s="72"/>
      <c r="KLB20" s="72"/>
      <c r="KLC20" s="72"/>
      <c r="KLD20" s="72"/>
      <c r="KLE20" s="72"/>
      <c r="KLF20" s="72"/>
      <c r="KLG20" s="72"/>
      <c r="KLH20" s="72"/>
      <c r="KLI20" s="72"/>
      <c r="KLJ20" s="72"/>
      <c r="KLK20" s="72"/>
      <c r="KLL20" s="72"/>
      <c r="KLM20" s="72"/>
      <c r="KLN20" s="72"/>
      <c r="KLO20" s="72"/>
      <c r="KLP20" s="72"/>
      <c r="KLQ20" s="72"/>
      <c r="KLR20" s="72"/>
      <c r="KLS20" s="72"/>
      <c r="KLT20" s="72"/>
      <c r="KLU20" s="72"/>
      <c r="KLV20" s="72"/>
      <c r="KLW20" s="72"/>
      <c r="KLX20" s="72"/>
      <c r="KLY20" s="72"/>
      <c r="KLZ20" s="72"/>
      <c r="KMA20" s="72"/>
      <c r="KMB20" s="72"/>
      <c r="KMC20" s="72"/>
      <c r="KMD20" s="72"/>
      <c r="KME20" s="72"/>
      <c r="KMF20" s="72"/>
      <c r="KMG20" s="72"/>
      <c r="KMH20" s="72"/>
      <c r="KMI20" s="72"/>
      <c r="KMJ20" s="72"/>
      <c r="KMK20" s="72"/>
      <c r="KML20" s="72"/>
      <c r="KMM20" s="72"/>
      <c r="KMN20" s="72"/>
      <c r="KMO20" s="72"/>
      <c r="KMP20" s="72"/>
      <c r="KMQ20" s="72"/>
      <c r="KMR20" s="72"/>
      <c r="KMS20" s="72"/>
      <c r="KMT20" s="72"/>
      <c r="KMU20" s="72"/>
      <c r="KMV20" s="72"/>
      <c r="KMW20" s="72"/>
      <c r="KMX20" s="72"/>
      <c r="KMY20" s="72"/>
      <c r="KMZ20" s="72"/>
      <c r="KNA20" s="72"/>
      <c r="KNB20" s="72"/>
      <c r="KNC20" s="72"/>
      <c r="KND20" s="72"/>
      <c r="KNE20" s="72"/>
      <c r="KNF20" s="72"/>
      <c r="KNG20" s="72"/>
      <c r="KNH20" s="72"/>
      <c r="KNI20" s="72"/>
      <c r="KNJ20" s="72"/>
      <c r="KNK20" s="72"/>
      <c r="KNL20" s="72"/>
      <c r="KNM20" s="72"/>
      <c r="KNN20" s="72"/>
      <c r="KNO20" s="72"/>
      <c r="KNP20" s="72"/>
      <c r="KNQ20" s="72"/>
      <c r="KNR20" s="72"/>
      <c r="KNS20" s="72"/>
      <c r="KNT20" s="72"/>
      <c r="KNU20" s="72"/>
      <c r="KNV20" s="72"/>
      <c r="KNW20" s="72"/>
      <c r="KNX20" s="72"/>
      <c r="KNY20" s="72"/>
      <c r="KNZ20" s="72"/>
      <c r="KOA20" s="72"/>
      <c r="KOB20" s="72"/>
      <c r="KOC20" s="72"/>
      <c r="KOD20" s="72"/>
      <c r="KOE20" s="72"/>
      <c r="KOF20" s="72"/>
      <c r="KOG20" s="72"/>
      <c r="KOH20" s="72"/>
      <c r="KOI20" s="72"/>
      <c r="KOJ20" s="72"/>
      <c r="KOK20" s="72"/>
      <c r="KOL20" s="72"/>
      <c r="KOM20" s="72"/>
      <c r="KON20" s="72"/>
      <c r="KOO20" s="72"/>
      <c r="KOP20" s="72"/>
      <c r="KOQ20" s="72"/>
      <c r="KOR20" s="72"/>
      <c r="KOS20" s="72"/>
      <c r="KOT20" s="72"/>
      <c r="KOU20" s="72"/>
      <c r="KOV20" s="72"/>
      <c r="KOW20" s="72"/>
      <c r="KOX20" s="72"/>
      <c r="KOY20" s="72"/>
      <c r="KOZ20" s="72"/>
      <c r="KPA20" s="72"/>
      <c r="KPB20" s="72"/>
      <c r="KPC20" s="72"/>
      <c r="KPD20" s="72"/>
      <c r="KPE20" s="72"/>
      <c r="KPF20" s="72"/>
      <c r="KPG20" s="72"/>
      <c r="KPH20" s="72"/>
      <c r="KPI20" s="72"/>
      <c r="KPJ20" s="72"/>
      <c r="KPK20" s="72"/>
      <c r="KPL20" s="72"/>
      <c r="KPM20" s="72"/>
      <c r="KPN20" s="72"/>
      <c r="KPO20" s="72"/>
      <c r="KPP20" s="72"/>
      <c r="KPQ20" s="72"/>
      <c r="KPR20" s="72"/>
      <c r="KPS20" s="72"/>
      <c r="KPT20" s="72"/>
      <c r="KPU20" s="72"/>
      <c r="KPV20" s="72"/>
      <c r="KPW20" s="72"/>
      <c r="KPX20" s="72"/>
      <c r="KPY20" s="72"/>
      <c r="KPZ20" s="72"/>
      <c r="KQA20" s="72"/>
      <c r="KQB20" s="72"/>
      <c r="KQC20" s="72"/>
      <c r="KQD20" s="72"/>
      <c r="KQE20" s="72"/>
      <c r="KQF20" s="72"/>
      <c r="KQG20" s="72"/>
      <c r="KQH20" s="72"/>
      <c r="KQI20" s="72"/>
      <c r="KQJ20" s="72"/>
      <c r="KQK20" s="72"/>
      <c r="KQL20" s="72"/>
      <c r="KQM20" s="72"/>
      <c r="KQN20" s="72"/>
      <c r="KQO20" s="72"/>
      <c r="KQP20" s="72"/>
      <c r="KQQ20" s="72"/>
      <c r="KQR20" s="72"/>
      <c r="KQS20" s="72"/>
      <c r="KQT20" s="72"/>
      <c r="KQU20" s="72"/>
      <c r="KQV20" s="72"/>
      <c r="KQW20" s="72"/>
      <c r="KQX20" s="72"/>
      <c r="KQY20" s="72"/>
      <c r="KQZ20" s="72"/>
      <c r="KRA20" s="72"/>
      <c r="KRB20" s="72"/>
      <c r="KRC20" s="72"/>
      <c r="KRD20" s="72"/>
      <c r="KRE20" s="72"/>
      <c r="KRF20" s="72"/>
      <c r="KRG20" s="72"/>
      <c r="KRH20" s="72"/>
      <c r="KRI20" s="72"/>
      <c r="KRJ20" s="72"/>
      <c r="KRK20" s="72"/>
      <c r="KRL20" s="72"/>
      <c r="KRM20" s="72"/>
      <c r="KRN20" s="72"/>
      <c r="KRO20" s="72"/>
      <c r="KRP20" s="72"/>
      <c r="KRQ20" s="72"/>
      <c r="KRR20" s="72"/>
      <c r="KRS20" s="72"/>
      <c r="KRT20" s="72"/>
      <c r="KRU20" s="72"/>
      <c r="KRV20" s="72"/>
      <c r="KRW20" s="72"/>
      <c r="KRX20" s="72"/>
      <c r="KRY20" s="72"/>
      <c r="KRZ20" s="72"/>
      <c r="KSA20" s="72"/>
      <c r="KSB20" s="72"/>
      <c r="KSC20" s="72"/>
      <c r="KSD20" s="72"/>
      <c r="KSE20" s="72"/>
      <c r="KSF20" s="72"/>
      <c r="KSG20" s="72"/>
      <c r="KSH20" s="72"/>
      <c r="KSI20" s="72"/>
      <c r="KSJ20" s="72"/>
      <c r="KSK20" s="72"/>
      <c r="KSL20" s="72"/>
      <c r="KSM20" s="72"/>
      <c r="KSN20" s="72"/>
      <c r="KSO20" s="72"/>
      <c r="KSP20" s="72"/>
      <c r="KSQ20" s="72"/>
      <c r="KSR20" s="72"/>
      <c r="KSS20" s="72"/>
      <c r="KST20" s="72"/>
      <c r="KSU20" s="72"/>
      <c r="KSV20" s="72"/>
      <c r="KSW20" s="72"/>
      <c r="KSX20" s="72"/>
      <c r="KSY20" s="72"/>
      <c r="KSZ20" s="72"/>
      <c r="KTA20" s="72"/>
      <c r="KTB20" s="72"/>
      <c r="KTC20" s="72"/>
      <c r="KTD20" s="72"/>
      <c r="KTE20" s="72"/>
      <c r="KTF20" s="72"/>
      <c r="KTG20" s="72"/>
      <c r="KTH20" s="72"/>
      <c r="KTI20" s="72"/>
      <c r="KTJ20" s="72"/>
      <c r="KTK20" s="72"/>
      <c r="KTL20" s="72"/>
      <c r="KTM20" s="72"/>
      <c r="KTN20" s="72"/>
      <c r="KTO20" s="72"/>
      <c r="KTP20" s="72"/>
      <c r="KTQ20" s="72"/>
      <c r="KTR20" s="72"/>
      <c r="KTS20" s="72"/>
      <c r="KTT20" s="72"/>
      <c r="KTU20" s="72"/>
      <c r="KTV20" s="72"/>
      <c r="KTW20" s="72"/>
      <c r="KTX20" s="72"/>
      <c r="KTY20" s="72"/>
      <c r="KTZ20" s="72"/>
      <c r="KUA20" s="72"/>
      <c r="KUB20" s="72"/>
      <c r="KUC20" s="72"/>
      <c r="KUD20" s="72"/>
      <c r="KUE20" s="72"/>
      <c r="KUF20" s="72"/>
      <c r="KUG20" s="72"/>
      <c r="KUH20" s="72"/>
      <c r="KUI20" s="72"/>
      <c r="KUJ20" s="72"/>
      <c r="KUK20" s="72"/>
      <c r="KUL20" s="72"/>
      <c r="KUM20" s="72"/>
      <c r="KUN20" s="72"/>
      <c r="KUO20" s="72"/>
      <c r="KUP20" s="72"/>
      <c r="KUQ20" s="72"/>
      <c r="KUR20" s="72"/>
      <c r="KUS20" s="72"/>
      <c r="KUT20" s="72"/>
      <c r="KUU20" s="72"/>
      <c r="KUV20" s="72"/>
      <c r="KUW20" s="72"/>
      <c r="KUX20" s="72"/>
      <c r="KUY20" s="72"/>
      <c r="KUZ20" s="72"/>
      <c r="KVA20" s="72"/>
      <c r="KVB20" s="72"/>
      <c r="KVC20" s="72"/>
      <c r="KVD20" s="72"/>
      <c r="KVE20" s="72"/>
      <c r="KVF20" s="72"/>
      <c r="KVG20" s="72"/>
      <c r="KVH20" s="72"/>
      <c r="KVI20" s="72"/>
      <c r="KVJ20" s="72"/>
      <c r="KVK20" s="72"/>
      <c r="KVL20" s="72"/>
      <c r="KVM20" s="72"/>
      <c r="KVN20" s="72"/>
      <c r="KVO20" s="72"/>
      <c r="KVP20" s="72"/>
      <c r="KVQ20" s="72"/>
      <c r="KVR20" s="72"/>
      <c r="KVS20" s="72"/>
      <c r="KVT20" s="72"/>
      <c r="KVU20" s="72"/>
      <c r="KVV20" s="72"/>
      <c r="KVW20" s="72"/>
      <c r="KVX20" s="72"/>
      <c r="KVY20" s="72"/>
      <c r="KVZ20" s="72"/>
      <c r="KWA20" s="72"/>
      <c r="KWB20" s="72"/>
      <c r="KWC20" s="72"/>
      <c r="KWD20" s="72"/>
      <c r="KWE20" s="72"/>
      <c r="KWF20" s="72"/>
      <c r="KWG20" s="72"/>
      <c r="KWH20" s="72"/>
      <c r="KWI20" s="72"/>
      <c r="KWJ20" s="72"/>
      <c r="KWK20" s="72"/>
      <c r="KWL20" s="72"/>
      <c r="KWM20" s="72"/>
      <c r="KWN20" s="72"/>
      <c r="KWO20" s="72"/>
      <c r="KWP20" s="72"/>
      <c r="KWQ20" s="72"/>
      <c r="KWR20" s="72"/>
      <c r="KWS20" s="72"/>
      <c r="KWT20" s="72"/>
      <c r="KWU20" s="72"/>
      <c r="KWV20" s="72"/>
      <c r="KWW20" s="72"/>
      <c r="KWX20" s="72"/>
      <c r="KWY20" s="72"/>
      <c r="KWZ20" s="72"/>
      <c r="KXA20" s="72"/>
      <c r="KXB20" s="72"/>
      <c r="KXC20" s="72"/>
      <c r="KXD20" s="72"/>
      <c r="KXE20" s="72"/>
      <c r="KXF20" s="72"/>
      <c r="KXG20" s="72"/>
      <c r="KXH20" s="72"/>
      <c r="KXI20" s="72"/>
      <c r="KXJ20" s="72"/>
      <c r="KXK20" s="72"/>
      <c r="KXL20" s="72"/>
      <c r="KXM20" s="72"/>
      <c r="KXN20" s="72"/>
      <c r="KXO20" s="72"/>
      <c r="KXP20" s="72"/>
      <c r="KXQ20" s="72"/>
      <c r="KXR20" s="72"/>
      <c r="KXS20" s="72"/>
      <c r="KXT20" s="72"/>
      <c r="KXU20" s="72"/>
      <c r="KXV20" s="72"/>
      <c r="KXW20" s="72"/>
      <c r="KXX20" s="72"/>
      <c r="KXY20" s="72"/>
      <c r="KXZ20" s="72"/>
      <c r="KYA20" s="72"/>
      <c r="KYB20" s="72"/>
      <c r="KYC20" s="72"/>
      <c r="KYD20" s="72"/>
      <c r="KYE20" s="72"/>
      <c r="KYF20" s="72"/>
      <c r="KYG20" s="72"/>
      <c r="KYH20" s="72"/>
      <c r="KYI20" s="72"/>
      <c r="KYJ20" s="72"/>
      <c r="KYK20" s="72"/>
      <c r="KYL20" s="72"/>
      <c r="KYM20" s="72"/>
      <c r="KYN20" s="72"/>
      <c r="KYO20" s="72"/>
      <c r="KYP20" s="72"/>
      <c r="KYQ20" s="72"/>
      <c r="KYR20" s="72"/>
      <c r="KYS20" s="72"/>
      <c r="KYT20" s="72"/>
      <c r="KYU20" s="72"/>
      <c r="KYV20" s="72"/>
      <c r="KYW20" s="72"/>
      <c r="KYX20" s="72"/>
      <c r="KYY20" s="72"/>
      <c r="KYZ20" s="72"/>
      <c r="KZA20" s="72"/>
      <c r="KZB20" s="72"/>
      <c r="KZC20" s="72"/>
      <c r="KZD20" s="72"/>
      <c r="KZE20" s="72"/>
      <c r="KZF20" s="72"/>
      <c r="KZG20" s="72"/>
      <c r="KZH20" s="72"/>
      <c r="KZI20" s="72"/>
      <c r="KZJ20" s="72"/>
      <c r="KZK20" s="72"/>
      <c r="KZL20" s="72"/>
      <c r="KZM20" s="72"/>
      <c r="KZN20" s="72"/>
      <c r="KZO20" s="72"/>
      <c r="KZP20" s="72"/>
      <c r="KZQ20" s="72"/>
      <c r="KZR20" s="72"/>
      <c r="KZS20" s="72"/>
      <c r="KZT20" s="72"/>
      <c r="KZU20" s="72"/>
      <c r="KZV20" s="72"/>
      <c r="KZW20" s="72"/>
      <c r="KZX20" s="72"/>
      <c r="KZY20" s="72"/>
      <c r="KZZ20" s="72"/>
      <c r="LAA20" s="72"/>
      <c r="LAB20" s="72"/>
      <c r="LAC20" s="72"/>
      <c r="LAD20" s="72"/>
      <c r="LAE20" s="72"/>
      <c r="LAF20" s="72"/>
      <c r="LAG20" s="72"/>
      <c r="LAH20" s="72"/>
      <c r="LAI20" s="72"/>
      <c r="LAJ20" s="72"/>
      <c r="LAK20" s="72"/>
      <c r="LAL20" s="72"/>
      <c r="LAM20" s="72"/>
      <c r="LAN20" s="72"/>
      <c r="LAO20" s="72"/>
      <c r="LAP20" s="72"/>
      <c r="LAQ20" s="72"/>
      <c r="LAR20" s="72"/>
      <c r="LAS20" s="72"/>
      <c r="LAT20" s="72"/>
      <c r="LAU20" s="72"/>
      <c r="LAV20" s="72"/>
      <c r="LAW20" s="72"/>
      <c r="LAX20" s="72"/>
      <c r="LAY20" s="72"/>
      <c r="LAZ20" s="72"/>
      <c r="LBA20" s="72"/>
      <c r="LBB20" s="72"/>
      <c r="LBC20" s="72"/>
      <c r="LBD20" s="72"/>
      <c r="LBE20" s="72"/>
      <c r="LBF20" s="72"/>
      <c r="LBG20" s="72"/>
      <c r="LBH20" s="72"/>
      <c r="LBI20" s="72"/>
      <c r="LBJ20" s="72"/>
      <c r="LBK20" s="72"/>
      <c r="LBL20" s="72"/>
      <c r="LBM20" s="72"/>
      <c r="LBN20" s="72"/>
      <c r="LBO20" s="72"/>
      <c r="LBP20" s="72"/>
      <c r="LBQ20" s="72"/>
      <c r="LBR20" s="72"/>
      <c r="LBS20" s="72"/>
      <c r="LBT20" s="72"/>
      <c r="LBU20" s="72"/>
      <c r="LBV20" s="72"/>
      <c r="LBW20" s="72"/>
      <c r="LBX20" s="72"/>
      <c r="LBY20" s="72"/>
      <c r="LBZ20" s="72"/>
      <c r="LCA20" s="72"/>
      <c r="LCB20" s="72"/>
      <c r="LCC20" s="72"/>
      <c r="LCD20" s="72"/>
      <c r="LCE20" s="72"/>
      <c r="LCF20" s="72"/>
      <c r="LCG20" s="72"/>
      <c r="LCH20" s="72"/>
      <c r="LCI20" s="72"/>
      <c r="LCJ20" s="72"/>
      <c r="LCK20" s="72"/>
      <c r="LCL20" s="72"/>
      <c r="LCM20" s="72"/>
      <c r="LCN20" s="72"/>
      <c r="LCO20" s="72"/>
      <c r="LCP20" s="72"/>
      <c r="LCQ20" s="72"/>
      <c r="LCR20" s="72"/>
      <c r="LCS20" s="72"/>
      <c r="LCT20" s="72"/>
      <c r="LCU20" s="72"/>
      <c r="LCV20" s="72"/>
      <c r="LCW20" s="72"/>
      <c r="LCX20" s="72"/>
      <c r="LCY20" s="72"/>
      <c r="LCZ20" s="72"/>
      <c r="LDA20" s="72"/>
      <c r="LDB20" s="72"/>
      <c r="LDC20" s="72"/>
      <c r="LDD20" s="72"/>
      <c r="LDE20" s="72"/>
      <c r="LDF20" s="72"/>
      <c r="LDG20" s="72"/>
      <c r="LDH20" s="72"/>
      <c r="LDI20" s="72"/>
      <c r="LDJ20" s="72"/>
      <c r="LDK20" s="72"/>
      <c r="LDL20" s="72"/>
      <c r="LDM20" s="72"/>
      <c r="LDN20" s="72"/>
      <c r="LDO20" s="72"/>
      <c r="LDP20" s="72"/>
      <c r="LDQ20" s="72"/>
      <c r="LDR20" s="72"/>
      <c r="LDS20" s="72"/>
      <c r="LDT20" s="72"/>
      <c r="LDU20" s="72"/>
      <c r="LDV20" s="72"/>
      <c r="LDW20" s="72"/>
      <c r="LDX20" s="72"/>
      <c r="LDY20" s="72"/>
      <c r="LDZ20" s="72"/>
      <c r="LEA20" s="72"/>
      <c r="LEB20" s="72"/>
      <c r="LEC20" s="72"/>
      <c r="LED20" s="72"/>
      <c r="LEE20" s="72"/>
      <c r="LEF20" s="72"/>
      <c r="LEG20" s="72"/>
      <c r="LEH20" s="72"/>
      <c r="LEI20" s="72"/>
      <c r="LEJ20" s="72"/>
      <c r="LEK20" s="72"/>
      <c r="LEL20" s="72"/>
      <c r="LEM20" s="72"/>
      <c r="LEN20" s="72"/>
      <c r="LEO20" s="72"/>
      <c r="LEP20" s="72"/>
      <c r="LEQ20" s="72"/>
      <c r="LER20" s="72"/>
      <c r="LES20" s="72"/>
      <c r="LET20" s="72"/>
      <c r="LEU20" s="72"/>
      <c r="LEV20" s="72"/>
      <c r="LEW20" s="72"/>
      <c r="LEX20" s="72"/>
      <c r="LEY20" s="72"/>
      <c r="LEZ20" s="72"/>
      <c r="LFA20" s="72"/>
      <c r="LFB20" s="72"/>
      <c r="LFC20" s="72"/>
      <c r="LFD20" s="72"/>
      <c r="LFE20" s="72"/>
      <c r="LFF20" s="72"/>
      <c r="LFG20" s="72"/>
      <c r="LFH20" s="72"/>
      <c r="LFI20" s="72"/>
      <c r="LFJ20" s="72"/>
      <c r="LFK20" s="72"/>
      <c r="LFL20" s="72"/>
      <c r="LFM20" s="72"/>
      <c r="LFN20" s="72"/>
      <c r="LFO20" s="72"/>
      <c r="LFP20" s="72"/>
      <c r="LFQ20" s="72"/>
      <c r="LFR20" s="72"/>
      <c r="LFS20" s="72"/>
      <c r="LFT20" s="72"/>
      <c r="LFU20" s="72"/>
      <c r="LFV20" s="72"/>
      <c r="LFW20" s="72"/>
      <c r="LFX20" s="72"/>
      <c r="LFY20" s="72"/>
      <c r="LFZ20" s="72"/>
      <c r="LGA20" s="72"/>
      <c r="LGB20" s="72"/>
      <c r="LGC20" s="72"/>
      <c r="LGD20" s="72"/>
      <c r="LGE20" s="72"/>
      <c r="LGF20" s="72"/>
      <c r="LGG20" s="72"/>
      <c r="LGH20" s="72"/>
      <c r="LGI20" s="72"/>
      <c r="LGJ20" s="72"/>
      <c r="LGK20" s="72"/>
      <c r="LGL20" s="72"/>
      <c r="LGM20" s="72"/>
      <c r="LGN20" s="72"/>
      <c r="LGO20" s="72"/>
      <c r="LGP20" s="72"/>
      <c r="LGQ20" s="72"/>
      <c r="LGR20" s="72"/>
      <c r="LGS20" s="72"/>
      <c r="LGT20" s="72"/>
      <c r="LGU20" s="72"/>
      <c r="LGV20" s="72"/>
      <c r="LGW20" s="72"/>
      <c r="LGX20" s="72"/>
      <c r="LGY20" s="72"/>
      <c r="LGZ20" s="72"/>
      <c r="LHA20" s="72"/>
      <c r="LHB20" s="72"/>
      <c r="LHC20" s="72"/>
      <c r="LHD20" s="72"/>
      <c r="LHE20" s="72"/>
      <c r="LHF20" s="72"/>
      <c r="LHG20" s="72"/>
      <c r="LHH20" s="72"/>
      <c r="LHI20" s="72"/>
      <c r="LHJ20" s="72"/>
      <c r="LHK20" s="72"/>
      <c r="LHL20" s="72"/>
      <c r="LHM20" s="72"/>
      <c r="LHN20" s="72"/>
      <c r="LHO20" s="72"/>
      <c r="LHP20" s="72"/>
      <c r="LHQ20" s="72"/>
      <c r="LHR20" s="72"/>
      <c r="LHS20" s="72"/>
      <c r="LHT20" s="72"/>
      <c r="LHU20" s="72"/>
      <c r="LHV20" s="72"/>
      <c r="LHW20" s="72"/>
      <c r="LHX20" s="72"/>
      <c r="LHY20" s="72"/>
      <c r="LHZ20" s="72"/>
      <c r="LIA20" s="72"/>
      <c r="LIB20" s="72"/>
      <c r="LIC20" s="72"/>
      <c r="LID20" s="72"/>
      <c r="LIE20" s="72"/>
      <c r="LIF20" s="72"/>
      <c r="LIG20" s="72"/>
      <c r="LIH20" s="72"/>
      <c r="LII20" s="72"/>
      <c r="LIJ20" s="72"/>
      <c r="LIK20" s="72"/>
      <c r="LIL20" s="72"/>
      <c r="LIM20" s="72"/>
      <c r="LIN20" s="72"/>
      <c r="LIO20" s="72"/>
      <c r="LIP20" s="72"/>
      <c r="LIQ20" s="72"/>
      <c r="LIR20" s="72"/>
      <c r="LIS20" s="72"/>
      <c r="LIT20" s="72"/>
      <c r="LIU20" s="72"/>
      <c r="LIV20" s="72"/>
      <c r="LIW20" s="72"/>
      <c r="LIX20" s="72"/>
      <c r="LIY20" s="72"/>
      <c r="LIZ20" s="72"/>
      <c r="LJA20" s="72"/>
      <c r="LJB20" s="72"/>
      <c r="LJC20" s="72"/>
      <c r="LJD20" s="72"/>
      <c r="LJE20" s="72"/>
      <c r="LJF20" s="72"/>
      <c r="LJG20" s="72"/>
      <c r="LJH20" s="72"/>
      <c r="LJI20" s="72"/>
      <c r="LJJ20" s="72"/>
      <c r="LJK20" s="72"/>
      <c r="LJL20" s="72"/>
      <c r="LJM20" s="72"/>
      <c r="LJN20" s="72"/>
      <c r="LJO20" s="72"/>
      <c r="LJP20" s="72"/>
      <c r="LJQ20" s="72"/>
      <c r="LJR20" s="72"/>
      <c r="LJS20" s="72"/>
      <c r="LJT20" s="72"/>
      <c r="LJU20" s="72"/>
      <c r="LJV20" s="72"/>
      <c r="LJW20" s="72"/>
      <c r="LJX20" s="72"/>
      <c r="LJY20" s="72"/>
      <c r="LJZ20" s="72"/>
      <c r="LKA20" s="72"/>
      <c r="LKB20" s="72"/>
      <c r="LKC20" s="72"/>
      <c r="LKD20" s="72"/>
      <c r="LKE20" s="72"/>
      <c r="LKF20" s="72"/>
      <c r="LKG20" s="72"/>
      <c r="LKH20" s="72"/>
      <c r="LKI20" s="72"/>
      <c r="LKJ20" s="72"/>
      <c r="LKK20" s="72"/>
      <c r="LKL20" s="72"/>
      <c r="LKM20" s="72"/>
      <c r="LKN20" s="72"/>
      <c r="LKO20" s="72"/>
      <c r="LKP20" s="72"/>
      <c r="LKQ20" s="72"/>
      <c r="LKR20" s="72"/>
      <c r="LKS20" s="72"/>
      <c r="LKT20" s="72"/>
      <c r="LKU20" s="72"/>
      <c r="LKV20" s="72"/>
      <c r="LKW20" s="72"/>
      <c r="LKX20" s="72"/>
      <c r="LKY20" s="72"/>
      <c r="LKZ20" s="72"/>
      <c r="LLA20" s="72"/>
      <c r="LLB20" s="72"/>
      <c r="LLC20" s="72"/>
      <c r="LLD20" s="72"/>
      <c r="LLE20" s="72"/>
      <c r="LLF20" s="72"/>
      <c r="LLG20" s="72"/>
      <c r="LLH20" s="72"/>
      <c r="LLI20" s="72"/>
      <c r="LLJ20" s="72"/>
      <c r="LLK20" s="72"/>
      <c r="LLL20" s="72"/>
      <c r="LLM20" s="72"/>
      <c r="LLN20" s="72"/>
      <c r="LLO20" s="72"/>
      <c r="LLP20" s="72"/>
      <c r="LLQ20" s="72"/>
      <c r="LLR20" s="72"/>
      <c r="LLS20" s="72"/>
      <c r="LLT20" s="72"/>
      <c r="LLU20" s="72"/>
      <c r="LLV20" s="72"/>
      <c r="LLW20" s="72"/>
      <c r="LLX20" s="72"/>
      <c r="LLY20" s="72"/>
      <c r="LLZ20" s="72"/>
      <c r="LMA20" s="72"/>
      <c r="LMB20" s="72"/>
      <c r="LMC20" s="72"/>
      <c r="LMD20" s="72"/>
      <c r="LME20" s="72"/>
      <c r="LMF20" s="72"/>
      <c r="LMG20" s="72"/>
      <c r="LMH20" s="72"/>
      <c r="LMI20" s="72"/>
      <c r="LMJ20" s="72"/>
      <c r="LMK20" s="72"/>
      <c r="LML20" s="72"/>
      <c r="LMM20" s="72"/>
      <c r="LMN20" s="72"/>
      <c r="LMO20" s="72"/>
      <c r="LMP20" s="72"/>
      <c r="LMQ20" s="72"/>
      <c r="LMR20" s="72"/>
      <c r="LMS20" s="72"/>
      <c r="LMT20" s="72"/>
      <c r="LMU20" s="72"/>
      <c r="LMV20" s="72"/>
      <c r="LMW20" s="72"/>
      <c r="LMX20" s="72"/>
      <c r="LMY20" s="72"/>
      <c r="LMZ20" s="72"/>
      <c r="LNA20" s="72"/>
      <c r="LNB20" s="72"/>
      <c r="LNC20" s="72"/>
      <c r="LND20" s="72"/>
      <c r="LNE20" s="72"/>
      <c r="LNF20" s="72"/>
      <c r="LNG20" s="72"/>
      <c r="LNH20" s="72"/>
      <c r="LNI20" s="72"/>
      <c r="LNJ20" s="72"/>
      <c r="LNK20" s="72"/>
      <c r="LNL20" s="72"/>
      <c r="LNM20" s="72"/>
      <c r="LNN20" s="72"/>
      <c r="LNO20" s="72"/>
      <c r="LNP20" s="72"/>
      <c r="LNQ20" s="72"/>
      <c r="LNR20" s="72"/>
      <c r="LNS20" s="72"/>
      <c r="LNT20" s="72"/>
      <c r="LNU20" s="72"/>
      <c r="LNV20" s="72"/>
      <c r="LNW20" s="72"/>
      <c r="LNX20" s="72"/>
      <c r="LNY20" s="72"/>
      <c r="LNZ20" s="72"/>
      <c r="LOA20" s="72"/>
      <c r="LOB20" s="72"/>
      <c r="LOC20" s="72"/>
      <c r="LOD20" s="72"/>
      <c r="LOE20" s="72"/>
      <c r="LOF20" s="72"/>
      <c r="LOG20" s="72"/>
      <c r="LOH20" s="72"/>
      <c r="LOI20" s="72"/>
      <c r="LOJ20" s="72"/>
      <c r="LOK20" s="72"/>
      <c r="LOL20" s="72"/>
      <c r="LOM20" s="72"/>
      <c r="LON20" s="72"/>
      <c r="LOO20" s="72"/>
      <c r="LOP20" s="72"/>
      <c r="LOQ20" s="72"/>
      <c r="LOR20" s="72"/>
      <c r="LOS20" s="72"/>
      <c r="LOT20" s="72"/>
      <c r="LOU20" s="72"/>
      <c r="LOV20" s="72"/>
      <c r="LOW20" s="72"/>
      <c r="LOX20" s="72"/>
      <c r="LOY20" s="72"/>
      <c r="LOZ20" s="72"/>
      <c r="LPA20" s="72"/>
      <c r="LPB20" s="72"/>
      <c r="LPC20" s="72"/>
      <c r="LPD20" s="72"/>
      <c r="LPE20" s="72"/>
      <c r="LPF20" s="72"/>
      <c r="LPG20" s="72"/>
      <c r="LPH20" s="72"/>
      <c r="LPI20" s="72"/>
      <c r="LPJ20" s="72"/>
      <c r="LPK20" s="72"/>
      <c r="LPL20" s="72"/>
      <c r="LPM20" s="72"/>
      <c r="LPN20" s="72"/>
      <c r="LPO20" s="72"/>
      <c r="LPP20" s="72"/>
      <c r="LPQ20" s="72"/>
      <c r="LPR20" s="72"/>
      <c r="LPS20" s="72"/>
      <c r="LPT20" s="72"/>
      <c r="LPU20" s="72"/>
      <c r="LPV20" s="72"/>
      <c r="LPW20" s="72"/>
      <c r="LPX20" s="72"/>
      <c r="LPY20" s="72"/>
      <c r="LPZ20" s="72"/>
      <c r="LQA20" s="72"/>
      <c r="LQB20" s="72"/>
      <c r="LQC20" s="72"/>
      <c r="LQD20" s="72"/>
      <c r="LQE20" s="72"/>
      <c r="LQF20" s="72"/>
      <c r="LQG20" s="72"/>
      <c r="LQH20" s="72"/>
      <c r="LQI20" s="72"/>
      <c r="LQJ20" s="72"/>
      <c r="LQK20" s="72"/>
      <c r="LQL20" s="72"/>
      <c r="LQM20" s="72"/>
      <c r="LQN20" s="72"/>
      <c r="LQO20" s="72"/>
      <c r="LQP20" s="72"/>
      <c r="LQQ20" s="72"/>
      <c r="LQR20" s="72"/>
      <c r="LQS20" s="72"/>
      <c r="LQT20" s="72"/>
      <c r="LQU20" s="72"/>
      <c r="LQV20" s="72"/>
      <c r="LQW20" s="72"/>
      <c r="LQX20" s="72"/>
      <c r="LQY20" s="72"/>
      <c r="LQZ20" s="72"/>
      <c r="LRA20" s="72"/>
      <c r="LRB20" s="72"/>
      <c r="LRC20" s="72"/>
      <c r="LRD20" s="72"/>
      <c r="LRE20" s="72"/>
      <c r="LRF20" s="72"/>
      <c r="LRG20" s="72"/>
      <c r="LRH20" s="72"/>
      <c r="LRI20" s="72"/>
      <c r="LRJ20" s="72"/>
      <c r="LRK20" s="72"/>
      <c r="LRL20" s="72"/>
      <c r="LRM20" s="72"/>
      <c r="LRN20" s="72"/>
      <c r="LRO20" s="72"/>
      <c r="LRP20" s="72"/>
      <c r="LRQ20" s="72"/>
      <c r="LRR20" s="72"/>
      <c r="LRS20" s="72"/>
      <c r="LRT20" s="72"/>
      <c r="LRU20" s="72"/>
      <c r="LRV20" s="72"/>
      <c r="LRW20" s="72"/>
      <c r="LRX20" s="72"/>
      <c r="LRY20" s="72"/>
      <c r="LRZ20" s="72"/>
      <c r="LSA20" s="72"/>
      <c r="LSB20" s="72"/>
      <c r="LSC20" s="72"/>
      <c r="LSD20" s="72"/>
      <c r="LSE20" s="72"/>
      <c r="LSF20" s="72"/>
      <c r="LSG20" s="72"/>
      <c r="LSH20" s="72"/>
      <c r="LSI20" s="72"/>
      <c r="LSJ20" s="72"/>
      <c r="LSK20" s="72"/>
      <c r="LSL20" s="72"/>
      <c r="LSM20" s="72"/>
      <c r="LSN20" s="72"/>
      <c r="LSO20" s="72"/>
      <c r="LSP20" s="72"/>
      <c r="LSQ20" s="72"/>
      <c r="LSR20" s="72"/>
      <c r="LSS20" s="72"/>
      <c r="LST20" s="72"/>
      <c r="LSU20" s="72"/>
      <c r="LSV20" s="72"/>
      <c r="LSW20" s="72"/>
      <c r="LSX20" s="72"/>
      <c r="LSY20" s="72"/>
      <c r="LSZ20" s="72"/>
      <c r="LTA20" s="72"/>
      <c r="LTB20" s="72"/>
      <c r="LTC20" s="72"/>
      <c r="LTD20" s="72"/>
      <c r="LTE20" s="72"/>
      <c r="LTF20" s="72"/>
      <c r="LTG20" s="72"/>
      <c r="LTH20" s="72"/>
      <c r="LTI20" s="72"/>
      <c r="LTJ20" s="72"/>
      <c r="LTK20" s="72"/>
      <c r="LTL20" s="72"/>
      <c r="LTM20" s="72"/>
      <c r="LTN20" s="72"/>
      <c r="LTO20" s="72"/>
      <c r="LTP20" s="72"/>
      <c r="LTQ20" s="72"/>
      <c r="LTR20" s="72"/>
      <c r="LTS20" s="72"/>
      <c r="LTT20" s="72"/>
      <c r="LTU20" s="72"/>
      <c r="LTV20" s="72"/>
      <c r="LTW20" s="72"/>
      <c r="LTX20" s="72"/>
      <c r="LTY20" s="72"/>
      <c r="LTZ20" s="72"/>
      <c r="LUA20" s="72"/>
      <c r="LUB20" s="72"/>
      <c r="LUC20" s="72"/>
      <c r="LUD20" s="72"/>
      <c r="LUE20" s="72"/>
      <c r="LUF20" s="72"/>
      <c r="LUG20" s="72"/>
      <c r="LUH20" s="72"/>
      <c r="LUI20" s="72"/>
      <c r="LUJ20" s="72"/>
      <c r="LUK20" s="72"/>
      <c r="LUL20" s="72"/>
      <c r="LUM20" s="72"/>
      <c r="LUN20" s="72"/>
      <c r="LUO20" s="72"/>
      <c r="LUP20" s="72"/>
      <c r="LUQ20" s="72"/>
      <c r="LUR20" s="72"/>
      <c r="LUS20" s="72"/>
      <c r="LUT20" s="72"/>
      <c r="LUU20" s="72"/>
      <c r="LUV20" s="72"/>
      <c r="LUW20" s="72"/>
      <c r="LUX20" s="72"/>
      <c r="LUY20" s="72"/>
      <c r="LUZ20" s="72"/>
      <c r="LVA20" s="72"/>
      <c r="LVB20" s="72"/>
      <c r="LVC20" s="72"/>
      <c r="LVD20" s="72"/>
      <c r="LVE20" s="72"/>
      <c r="LVF20" s="72"/>
      <c r="LVG20" s="72"/>
      <c r="LVH20" s="72"/>
      <c r="LVI20" s="72"/>
      <c r="LVJ20" s="72"/>
      <c r="LVK20" s="72"/>
      <c r="LVL20" s="72"/>
      <c r="LVM20" s="72"/>
      <c r="LVN20" s="72"/>
      <c r="LVO20" s="72"/>
      <c r="LVP20" s="72"/>
      <c r="LVQ20" s="72"/>
      <c r="LVR20" s="72"/>
      <c r="LVS20" s="72"/>
      <c r="LVT20" s="72"/>
      <c r="LVU20" s="72"/>
      <c r="LVV20" s="72"/>
      <c r="LVW20" s="72"/>
      <c r="LVX20" s="72"/>
      <c r="LVY20" s="72"/>
      <c r="LVZ20" s="72"/>
      <c r="LWA20" s="72"/>
      <c r="LWB20" s="72"/>
      <c r="LWC20" s="72"/>
      <c r="LWD20" s="72"/>
      <c r="LWE20" s="72"/>
      <c r="LWF20" s="72"/>
      <c r="LWG20" s="72"/>
      <c r="LWH20" s="72"/>
      <c r="LWI20" s="72"/>
      <c r="LWJ20" s="72"/>
      <c r="LWK20" s="72"/>
      <c r="LWL20" s="72"/>
      <c r="LWM20" s="72"/>
      <c r="LWN20" s="72"/>
      <c r="LWO20" s="72"/>
      <c r="LWP20" s="72"/>
      <c r="LWQ20" s="72"/>
      <c r="LWR20" s="72"/>
      <c r="LWS20" s="72"/>
      <c r="LWT20" s="72"/>
      <c r="LWU20" s="72"/>
      <c r="LWV20" s="72"/>
      <c r="LWW20" s="72"/>
      <c r="LWX20" s="72"/>
      <c r="LWY20" s="72"/>
      <c r="LWZ20" s="72"/>
      <c r="LXA20" s="72"/>
      <c r="LXB20" s="72"/>
      <c r="LXC20" s="72"/>
      <c r="LXD20" s="72"/>
      <c r="LXE20" s="72"/>
      <c r="LXF20" s="72"/>
      <c r="LXG20" s="72"/>
      <c r="LXH20" s="72"/>
      <c r="LXI20" s="72"/>
      <c r="LXJ20" s="72"/>
      <c r="LXK20" s="72"/>
      <c r="LXL20" s="72"/>
      <c r="LXM20" s="72"/>
      <c r="LXN20" s="72"/>
      <c r="LXO20" s="72"/>
      <c r="LXP20" s="72"/>
      <c r="LXQ20" s="72"/>
      <c r="LXR20" s="72"/>
      <c r="LXS20" s="72"/>
      <c r="LXT20" s="72"/>
      <c r="LXU20" s="72"/>
      <c r="LXV20" s="72"/>
      <c r="LXW20" s="72"/>
      <c r="LXX20" s="72"/>
      <c r="LXY20" s="72"/>
      <c r="LXZ20" s="72"/>
      <c r="LYA20" s="72"/>
      <c r="LYB20" s="72"/>
      <c r="LYC20" s="72"/>
      <c r="LYD20" s="72"/>
      <c r="LYE20" s="72"/>
      <c r="LYF20" s="72"/>
      <c r="LYG20" s="72"/>
      <c r="LYH20" s="72"/>
      <c r="LYI20" s="72"/>
      <c r="LYJ20" s="72"/>
      <c r="LYK20" s="72"/>
      <c r="LYL20" s="72"/>
      <c r="LYM20" s="72"/>
      <c r="LYN20" s="72"/>
      <c r="LYO20" s="72"/>
      <c r="LYP20" s="72"/>
      <c r="LYQ20" s="72"/>
      <c r="LYR20" s="72"/>
      <c r="LYS20" s="72"/>
      <c r="LYT20" s="72"/>
      <c r="LYU20" s="72"/>
      <c r="LYV20" s="72"/>
      <c r="LYW20" s="72"/>
      <c r="LYX20" s="72"/>
      <c r="LYY20" s="72"/>
      <c r="LYZ20" s="72"/>
      <c r="LZA20" s="72"/>
      <c r="LZB20" s="72"/>
      <c r="LZC20" s="72"/>
      <c r="LZD20" s="72"/>
      <c r="LZE20" s="72"/>
      <c r="LZF20" s="72"/>
      <c r="LZG20" s="72"/>
      <c r="LZH20" s="72"/>
      <c r="LZI20" s="72"/>
      <c r="LZJ20" s="72"/>
      <c r="LZK20" s="72"/>
      <c r="LZL20" s="72"/>
      <c r="LZM20" s="72"/>
      <c r="LZN20" s="72"/>
      <c r="LZO20" s="72"/>
      <c r="LZP20" s="72"/>
      <c r="LZQ20" s="72"/>
      <c r="LZR20" s="72"/>
      <c r="LZS20" s="72"/>
      <c r="LZT20" s="72"/>
      <c r="LZU20" s="72"/>
      <c r="LZV20" s="72"/>
      <c r="LZW20" s="72"/>
      <c r="LZX20" s="72"/>
      <c r="LZY20" s="72"/>
      <c r="LZZ20" s="72"/>
      <c r="MAA20" s="72"/>
      <c r="MAB20" s="72"/>
      <c r="MAC20" s="72"/>
      <c r="MAD20" s="72"/>
      <c r="MAE20" s="72"/>
      <c r="MAF20" s="72"/>
      <c r="MAG20" s="72"/>
      <c r="MAH20" s="72"/>
      <c r="MAI20" s="72"/>
      <c r="MAJ20" s="72"/>
      <c r="MAK20" s="72"/>
      <c r="MAL20" s="72"/>
      <c r="MAM20" s="72"/>
      <c r="MAN20" s="72"/>
      <c r="MAO20" s="72"/>
      <c r="MAP20" s="72"/>
      <c r="MAQ20" s="72"/>
      <c r="MAR20" s="72"/>
      <c r="MAS20" s="72"/>
      <c r="MAT20" s="72"/>
      <c r="MAU20" s="72"/>
      <c r="MAV20" s="72"/>
      <c r="MAW20" s="72"/>
      <c r="MAX20" s="72"/>
      <c r="MAY20" s="72"/>
      <c r="MAZ20" s="72"/>
      <c r="MBA20" s="72"/>
      <c r="MBB20" s="72"/>
      <c r="MBC20" s="72"/>
      <c r="MBD20" s="72"/>
      <c r="MBE20" s="72"/>
      <c r="MBF20" s="72"/>
      <c r="MBG20" s="72"/>
      <c r="MBH20" s="72"/>
      <c r="MBI20" s="72"/>
      <c r="MBJ20" s="72"/>
      <c r="MBK20" s="72"/>
      <c r="MBL20" s="72"/>
      <c r="MBM20" s="72"/>
      <c r="MBN20" s="72"/>
      <c r="MBO20" s="72"/>
      <c r="MBP20" s="72"/>
      <c r="MBQ20" s="72"/>
      <c r="MBR20" s="72"/>
      <c r="MBS20" s="72"/>
      <c r="MBT20" s="72"/>
      <c r="MBU20" s="72"/>
      <c r="MBV20" s="72"/>
      <c r="MBW20" s="72"/>
      <c r="MBX20" s="72"/>
      <c r="MBY20" s="72"/>
      <c r="MBZ20" s="72"/>
      <c r="MCA20" s="72"/>
      <c r="MCB20" s="72"/>
      <c r="MCC20" s="72"/>
      <c r="MCD20" s="72"/>
      <c r="MCE20" s="72"/>
      <c r="MCF20" s="72"/>
      <c r="MCG20" s="72"/>
      <c r="MCH20" s="72"/>
      <c r="MCI20" s="72"/>
      <c r="MCJ20" s="72"/>
      <c r="MCK20" s="72"/>
      <c r="MCL20" s="72"/>
      <c r="MCM20" s="72"/>
      <c r="MCN20" s="72"/>
      <c r="MCO20" s="72"/>
      <c r="MCP20" s="72"/>
      <c r="MCQ20" s="72"/>
      <c r="MCR20" s="72"/>
      <c r="MCS20" s="72"/>
      <c r="MCT20" s="72"/>
      <c r="MCU20" s="72"/>
      <c r="MCV20" s="72"/>
      <c r="MCW20" s="72"/>
      <c r="MCX20" s="72"/>
      <c r="MCY20" s="72"/>
      <c r="MCZ20" s="72"/>
      <c r="MDA20" s="72"/>
      <c r="MDB20" s="72"/>
      <c r="MDC20" s="72"/>
      <c r="MDD20" s="72"/>
      <c r="MDE20" s="72"/>
      <c r="MDF20" s="72"/>
      <c r="MDG20" s="72"/>
      <c r="MDH20" s="72"/>
      <c r="MDI20" s="72"/>
      <c r="MDJ20" s="72"/>
      <c r="MDK20" s="72"/>
      <c r="MDL20" s="72"/>
      <c r="MDM20" s="72"/>
      <c r="MDN20" s="72"/>
      <c r="MDO20" s="72"/>
      <c r="MDP20" s="72"/>
      <c r="MDQ20" s="72"/>
      <c r="MDR20" s="72"/>
      <c r="MDS20" s="72"/>
      <c r="MDT20" s="72"/>
      <c r="MDU20" s="72"/>
      <c r="MDV20" s="72"/>
      <c r="MDW20" s="72"/>
      <c r="MDX20" s="72"/>
      <c r="MDY20" s="72"/>
      <c r="MDZ20" s="72"/>
      <c r="MEA20" s="72"/>
      <c r="MEB20" s="72"/>
      <c r="MEC20" s="72"/>
      <c r="MED20" s="72"/>
      <c r="MEE20" s="72"/>
      <c r="MEF20" s="72"/>
      <c r="MEG20" s="72"/>
      <c r="MEH20" s="72"/>
      <c r="MEI20" s="72"/>
      <c r="MEJ20" s="72"/>
      <c r="MEK20" s="72"/>
      <c r="MEL20" s="72"/>
      <c r="MEM20" s="72"/>
      <c r="MEN20" s="72"/>
      <c r="MEO20" s="72"/>
      <c r="MEP20" s="72"/>
      <c r="MEQ20" s="72"/>
      <c r="MER20" s="72"/>
      <c r="MES20" s="72"/>
      <c r="MET20" s="72"/>
      <c r="MEU20" s="72"/>
      <c r="MEV20" s="72"/>
      <c r="MEW20" s="72"/>
      <c r="MEX20" s="72"/>
      <c r="MEY20" s="72"/>
      <c r="MEZ20" s="72"/>
      <c r="MFA20" s="72"/>
      <c r="MFB20" s="72"/>
      <c r="MFC20" s="72"/>
      <c r="MFD20" s="72"/>
      <c r="MFE20" s="72"/>
      <c r="MFF20" s="72"/>
      <c r="MFG20" s="72"/>
      <c r="MFH20" s="72"/>
      <c r="MFI20" s="72"/>
      <c r="MFJ20" s="72"/>
      <c r="MFK20" s="72"/>
      <c r="MFL20" s="72"/>
      <c r="MFM20" s="72"/>
      <c r="MFN20" s="72"/>
      <c r="MFO20" s="72"/>
      <c r="MFP20" s="72"/>
      <c r="MFQ20" s="72"/>
      <c r="MFR20" s="72"/>
      <c r="MFS20" s="72"/>
      <c r="MFT20" s="72"/>
      <c r="MFU20" s="72"/>
      <c r="MFV20" s="72"/>
      <c r="MFW20" s="72"/>
      <c r="MFX20" s="72"/>
      <c r="MFY20" s="72"/>
      <c r="MFZ20" s="72"/>
      <c r="MGA20" s="72"/>
      <c r="MGB20" s="72"/>
      <c r="MGC20" s="72"/>
      <c r="MGD20" s="72"/>
      <c r="MGE20" s="72"/>
      <c r="MGF20" s="72"/>
      <c r="MGG20" s="72"/>
      <c r="MGH20" s="72"/>
      <c r="MGI20" s="72"/>
      <c r="MGJ20" s="72"/>
      <c r="MGK20" s="72"/>
      <c r="MGL20" s="72"/>
      <c r="MGM20" s="72"/>
      <c r="MGN20" s="72"/>
      <c r="MGO20" s="72"/>
      <c r="MGP20" s="72"/>
      <c r="MGQ20" s="72"/>
      <c r="MGR20" s="72"/>
      <c r="MGS20" s="72"/>
      <c r="MGT20" s="72"/>
      <c r="MGU20" s="72"/>
      <c r="MGV20" s="72"/>
      <c r="MGW20" s="72"/>
      <c r="MGX20" s="72"/>
      <c r="MGY20" s="72"/>
      <c r="MGZ20" s="72"/>
      <c r="MHA20" s="72"/>
      <c r="MHB20" s="72"/>
      <c r="MHC20" s="72"/>
      <c r="MHD20" s="72"/>
      <c r="MHE20" s="72"/>
      <c r="MHF20" s="72"/>
      <c r="MHG20" s="72"/>
      <c r="MHH20" s="72"/>
      <c r="MHI20" s="72"/>
      <c r="MHJ20" s="72"/>
      <c r="MHK20" s="72"/>
      <c r="MHL20" s="72"/>
      <c r="MHM20" s="72"/>
      <c r="MHN20" s="72"/>
      <c r="MHO20" s="72"/>
      <c r="MHP20" s="72"/>
      <c r="MHQ20" s="72"/>
      <c r="MHR20" s="72"/>
      <c r="MHS20" s="72"/>
      <c r="MHT20" s="72"/>
      <c r="MHU20" s="72"/>
      <c r="MHV20" s="72"/>
      <c r="MHW20" s="72"/>
      <c r="MHX20" s="72"/>
      <c r="MHY20" s="72"/>
      <c r="MHZ20" s="72"/>
      <c r="MIA20" s="72"/>
      <c r="MIB20" s="72"/>
      <c r="MIC20" s="72"/>
      <c r="MID20" s="72"/>
      <c r="MIE20" s="72"/>
      <c r="MIF20" s="72"/>
      <c r="MIG20" s="72"/>
      <c r="MIH20" s="72"/>
      <c r="MII20" s="72"/>
      <c r="MIJ20" s="72"/>
      <c r="MIK20" s="72"/>
      <c r="MIL20" s="72"/>
      <c r="MIM20" s="72"/>
      <c r="MIN20" s="72"/>
      <c r="MIO20" s="72"/>
      <c r="MIP20" s="72"/>
      <c r="MIQ20" s="72"/>
      <c r="MIR20" s="72"/>
      <c r="MIS20" s="72"/>
      <c r="MIT20" s="72"/>
      <c r="MIU20" s="72"/>
      <c r="MIV20" s="72"/>
      <c r="MIW20" s="72"/>
      <c r="MIX20" s="72"/>
      <c r="MIY20" s="72"/>
      <c r="MIZ20" s="72"/>
      <c r="MJA20" s="72"/>
      <c r="MJB20" s="72"/>
      <c r="MJC20" s="72"/>
      <c r="MJD20" s="72"/>
      <c r="MJE20" s="72"/>
      <c r="MJF20" s="72"/>
      <c r="MJG20" s="72"/>
      <c r="MJH20" s="72"/>
      <c r="MJI20" s="72"/>
      <c r="MJJ20" s="72"/>
      <c r="MJK20" s="72"/>
      <c r="MJL20" s="72"/>
      <c r="MJM20" s="72"/>
      <c r="MJN20" s="72"/>
      <c r="MJO20" s="72"/>
      <c r="MJP20" s="72"/>
      <c r="MJQ20" s="72"/>
      <c r="MJR20" s="72"/>
      <c r="MJS20" s="72"/>
      <c r="MJT20" s="72"/>
      <c r="MJU20" s="72"/>
      <c r="MJV20" s="72"/>
      <c r="MJW20" s="72"/>
      <c r="MJX20" s="72"/>
      <c r="MJY20" s="72"/>
      <c r="MJZ20" s="72"/>
      <c r="MKA20" s="72"/>
      <c r="MKB20" s="72"/>
      <c r="MKC20" s="72"/>
      <c r="MKD20" s="72"/>
      <c r="MKE20" s="72"/>
      <c r="MKF20" s="72"/>
      <c r="MKG20" s="72"/>
      <c r="MKH20" s="72"/>
      <c r="MKI20" s="72"/>
      <c r="MKJ20" s="72"/>
      <c r="MKK20" s="72"/>
      <c r="MKL20" s="72"/>
      <c r="MKM20" s="72"/>
      <c r="MKN20" s="72"/>
      <c r="MKO20" s="72"/>
      <c r="MKP20" s="72"/>
      <c r="MKQ20" s="72"/>
      <c r="MKR20" s="72"/>
      <c r="MKS20" s="72"/>
      <c r="MKT20" s="72"/>
      <c r="MKU20" s="72"/>
      <c r="MKV20" s="72"/>
      <c r="MKW20" s="72"/>
      <c r="MKX20" s="72"/>
      <c r="MKY20" s="72"/>
      <c r="MKZ20" s="72"/>
      <c r="MLA20" s="72"/>
      <c r="MLB20" s="72"/>
      <c r="MLC20" s="72"/>
      <c r="MLD20" s="72"/>
      <c r="MLE20" s="72"/>
      <c r="MLF20" s="72"/>
      <c r="MLG20" s="72"/>
      <c r="MLH20" s="72"/>
      <c r="MLI20" s="72"/>
      <c r="MLJ20" s="72"/>
      <c r="MLK20" s="72"/>
      <c r="MLL20" s="72"/>
      <c r="MLM20" s="72"/>
      <c r="MLN20" s="72"/>
      <c r="MLO20" s="72"/>
      <c r="MLP20" s="72"/>
      <c r="MLQ20" s="72"/>
      <c r="MLR20" s="72"/>
      <c r="MLS20" s="72"/>
      <c r="MLT20" s="72"/>
      <c r="MLU20" s="72"/>
      <c r="MLV20" s="72"/>
      <c r="MLW20" s="72"/>
      <c r="MLX20" s="72"/>
      <c r="MLY20" s="72"/>
      <c r="MLZ20" s="72"/>
      <c r="MMA20" s="72"/>
      <c r="MMB20" s="72"/>
      <c r="MMC20" s="72"/>
      <c r="MMD20" s="72"/>
      <c r="MME20" s="72"/>
      <c r="MMF20" s="72"/>
      <c r="MMG20" s="72"/>
      <c r="MMH20" s="72"/>
      <c r="MMI20" s="72"/>
      <c r="MMJ20" s="72"/>
      <c r="MMK20" s="72"/>
      <c r="MML20" s="72"/>
      <c r="MMM20" s="72"/>
      <c r="MMN20" s="72"/>
      <c r="MMO20" s="72"/>
      <c r="MMP20" s="72"/>
      <c r="MMQ20" s="72"/>
      <c r="MMR20" s="72"/>
      <c r="MMS20" s="72"/>
      <c r="MMT20" s="72"/>
      <c r="MMU20" s="72"/>
      <c r="MMV20" s="72"/>
      <c r="MMW20" s="72"/>
      <c r="MMX20" s="72"/>
      <c r="MMY20" s="72"/>
      <c r="MMZ20" s="72"/>
      <c r="MNA20" s="72"/>
      <c r="MNB20" s="72"/>
      <c r="MNC20" s="72"/>
      <c r="MND20" s="72"/>
      <c r="MNE20" s="72"/>
      <c r="MNF20" s="72"/>
      <c r="MNG20" s="72"/>
      <c r="MNH20" s="72"/>
      <c r="MNI20" s="72"/>
      <c r="MNJ20" s="72"/>
      <c r="MNK20" s="72"/>
      <c r="MNL20" s="72"/>
      <c r="MNM20" s="72"/>
      <c r="MNN20" s="72"/>
      <c r="MNO20" s="72"/>
      <c r="MNP20" s="72"/>
      <c r="MNQ20" s="72"/>
      <c r="MNR20" s="72"/>
      <c r="MNS20" s="72"/>
      <c r="MNT20" s="72"/>
      <c r="MNU20" s="72"/>
      <c r="MNV20" s="72"/>
      <c r="MNW20" s="72"/>
      <c r="MNX20" s="72"/>
      <c r="MNY20" s="72"/>
      <c r="MNZ20" s="72"/>
      <c r="MOA20" s="72"/>
      <c r="MOB20" s="72"/>
      <c r="MOC20" s="72"/>
      <c r="MOD20" s="72"/>
      <c r="MOE20" s="72"/>
      <c r="MOF20" s="72"/>
      <c r="MOG20" s="72"/>
      <c r="MOH20" s="72"/>
      <c r="MOI20" s="72"/>
      <c r="MOJ20" s="72"/>
      <c r="MOK20" s="72"/>
      <c r="MOL20" s="72"/>
      <c r="MOM20" s="72"/>
      <c r="MON20" s="72"/>
      <c r="MOO20" s="72"/>
      <c r="MOP20" s="72"/>
      <c r="MOQ20" s="72"/>
      <c r="MOR20" s="72"/>
      <c r="MOS20" s="72"/>
      <c r="MOT20" s="72"/>
      <c r="MOU20" s="72"/>
      <c r="MOV20" s="72"/>
      <c r="MOW20" s="72"/>
      <c r="MOX20" s="72"/>
      <c r="MOY20" s="72"/>
      <c r="MOZ20" s="72"/>
      <c r="MPA20" s="72"/>
      <c r="MPB20" s="72"/>
      <c r="MPC20" s="72"/>
      <c r="MPD20" s="72"/>
      <c r="MPE20" s="72"/>
      <c r="MPF20" s="72"/>
      <c r="MPG20" s="72"/>
      <c r="MPH20" s="72"/>
      <c r="MPI20" s="72"/>
      <c r="MPJ20" s="72"/>
      <c r="MPK20" s="72"/>
      <c r="MPL20" s="72"/>
      <c r="MPM20" s="72"/>
      <c r="MPN20" s="72"/>
      <c r="MPO20" s="72"/>
      <c r="MPP20" s="72"/>
      <c r="MPQ20" s="72"/>
      <c r="MPR20" s="72"/>
      <c r="MPS20" s="72"/>
      <c r="MPT20" s="72"/>
      <c r="MPU20" s="72"/>
      <c r="MPV20" s="72"/>
      <c r="MPW20" s="72"/>
      <c r="MPX20" s="72"/>
      <c r="MPY20" s="72"/>
      <c r="MPZ20" s="72"/>
      <c r="MQA20" s="72"/>
      <c r="MQB20" s="72"/>
      <c r="MQC20" s="72"/>
      <c r="MQD20" s="72"/>
      <c r="MQE20" s="72"/>
      <c r="MQF20" s="72"/>
      <c r="MQG20" s="72"/>
      <c r="MQH20" s="72"/>
      <c r="MQI20" s="72"/>
      <c r="MQJ20" s="72"/>
      <c r="MQK20" s="72"/>
      <c r="MQL20" s="72"/>
      <c r="MQM20" s="72"/>
      <c r="MQN20" s="72"/>
      <c r="MQO20" s="72"/>
      <c r="MQP20" s="72"/>
      <c r="MQQ20" s="72"/>
      <c r="MQR20" s="72"/>
      <c r="MQS20" s="72"/>
      <c r="MQT20" s="72"/>
      <c r="MQU20" s="72"/>
      <c r="MQV20" s="72"/>
      <c r="MQW20" s="72"/>
      <c r="MQX20" s="72"/>
      <c r="MQY20" s="72"/>
      <c r="MQZ20" s="72"/>
      <c r="MRA20" s="72"/>
      <c r="MRB20" s="72"/>
      <c r="MRC20" s="72"/>
      <c r="MRD20" s="72"/>
      <c r="MRE20" s="72"/>
      <c r="MRF20" s="72"/>
      <c r="MRG20" s="72"/>
      <c r="MRH20" s="72"/>
      <c r="MRI20" s="72"/>
      <c r="MRJ20" s="72"/>
      <c r="MRK20" s="72"/>
      <c r="MRL20" s="72"/>
      <c r="MRM20" s="72"/>
      <c r="MRN20" s="72"/>
      <c r="MRO20" s="72"/>
      <c r="MRP20" s="72"/>
      <c r="MRQ20" s="72"/>
      <c r="MRR20" s="72"/>
      <c r="MRS20" s="72"/>
      <c r="MRT20" s="72"/>
      <c r="MRU20" s="72"/>
      <c r="MRV20" s="72"/>
      <c r="MRW20" s="72"/>
      <c r="MRX20" s="72"/>
      <c r="MRY20" s="72"/>
      <c r="MRZ20" s="72"/>
      <c r="MSA20" s="72"/>
      <c r="MSB20" s="72"/>
      <c r="MSC20" s="72"/>
      <c r="MSD20" s="72"/>
      <c r="MSE20" s="72"/>
      <c r="MSF20" s="72"/>
      <c r="MSG20" s="72"/>
      <c r="MSH20" s="72"/>
      <c r="MSI20" s="72"/>
      <c r="MSJ20" s="72"/>
      <c r="MSK20" s="72"/>
      <c r="MSL20" s="72"/>
      <c r="MSM20" s="72"/>
      <c r="MSN20" s="72"/>
      <c r="MSO20" s="72"/>
      <c r="MSP20" s="72"/>
      <c r="MSQ20" s="72"/>
      <c r="MSR20" s="72"/>
      <c r="MSS20" s="72"/>
      <c r="MST20" s="72"/>
      <c r="MSU20" s="72"/>
      <c r="MSV20" s="72"/>
      <c r="MSW20" s="72"/>
      <c r="MSX20" s="72"/>
      <c r="MSY20" s="72"/>
      <c r="MSZ20" s="72"/>
      <c r="MTA20" s="72"/>
      <c r="MTB20" s="72"/>
      <c r="MTC20" s="72"/>
      <c r="MTD20" s="72"/>
      <c r="MTE20" s="72"/>
      <c r="MTF20" s="72"/>
      <c r="MTG20" s="72"/>
      <c r="MTH20" s="72"/>
      <c r="MTI20" s="72"/>
      <c r="MTJ20" s="72"/>
      <c r="MTK20" s="72"/>
      <c r="MTL20" s="72"/>
      <c r="MTM20" s="72"/>
      <c r="MTN20" s="72"/>
      <c r="MTO20" s="72"/>
      <c r="MTP20" s="72"/>
      <c r="MTQ20" s="72"/>
      <c r="MTR20" s="72"/>
      <c r="MTS20" s="72"/>
      <c r="MTT20" s="72"/>
      <c r="MTU20" s="72"/>
      <c r="MTV20" s="72"/>
      <c r="MTW20" s="72"/>
      <c r="MTX20" s="72"/>
      <c r="MTY20" s="72"/>
      <c r="MTZ20" s="72"/>
      <c r="MUA20" s="72"/>
      <c r="MUB20" s="72"/>
      <c r="MUC20" s="72"/>
      <c r="MUD20" s="72"/>
      <c r="MUE20" s="72"/>
      <c r="MUF20" s="72"/>
      <c r="MUG20" s="72"/>
      <c r="MUH20" s="72"/>
      <c r="MUI20" s="72"/>
      <c r="MUJ20" s="72"/>
      <c r="MUK20" s="72"/>
      <c r="MUL20" s="72"/>
      <c r="MUM20" s="72"/>
      <c r="MUN20" s="72"/>
      <c r="MUO20" s="72"/>
      <c r="MUP20" s="72"/>
      <c r="MUQ20" s="72"/>
      <c r="MUR20" s="72"/>
      <c r="MUS20" s="72"/>
      <c r="MUT20" s="72"/>
      <c r="MUU20" s="72"/>
      <c r="MUV20" s="72"/>
      <c r="MUW20" s="72"/>
      <c r="MUX20" s="72"/>
      <c r="MUY20" s="72"/>
      <c r="MUZ20" s="72"/>
      <c r="MVA20" s="72"/>
      <c r="MVB20" s="72"/>
      <c r="MVC20" s="72"/>
      <c r="MVD20" s="72"/>
      <c r="MVE20" s="72"/>
      <c r="MVF20" s="72"/>
      <c r="MVG20" s="72"/>
      <c r="MVH20" s="72"/>
      <c r="MVI20" s="72"/>
      <c r="MVJ20" s="72"/>
      <c r="MVK20" s="72"/>
      <c r="MVL20" s="72"/>
      <c r="MVM20" s="72"/>
      <c r="MVN20" s="72"/>
      <c r="MVO20" s="72"/>
      <c r="MVP20" s="72"/>
      <c r="MVQ20" s="72"/>
      <c r="MVR20" s="72"/>
      <c r="MVS20" s="72"/>
      <c r="MVT20" s="72"/>
      <c r="MVU20" s="72"/>
      <c r="MVV20" s="72"/>
      <c r="MVW20" s="72"/>
      <c r="MVX20" s="72"/>
      <c r="MVY20" s="72"/>
      <c r="MVZ20" s="72"/>
      <c r="MWA20" s="72"/>
      <c r="MWB20" s="72"/>
      <c r="MWC20" s="72"/>
      <c r="MWD20" s="72"/>
      <c r="MWE20" s="72"/>
      <c r="MWF20" s="72"/>
      <c r="MWG20" s="72"/>
      <c r="MWH20" s="72"/>
      <c r="MWI20" s="72"/>
      <c r="MWJ20" s="72"/>
      <c r="MWK20" s="72"/>
      <c r="MWL20" s="72"/>
      <c r="MWM20" s="72"/>
      <c r="MWN20" s="72"/>
      <c r="MWO20" s="72"/>
      <c r="MWP20" s="72"/>
      <c r="MWQ20" s="72"/>
      <c r="MWR20" s="72"/>
      <c r="MWS20" s="72"/>
      <c r="MWT20" s="72"/>
      <c r="MWU20" s="72"/>
      <c r="MWV20" s="72"/>
      <c r="MWW20" s="72"/>
      <c r="MWX20" s="72"/>
      <c r="MWY20" s="72"/>
      <c r="MWZ20" s="72"/>
      <c r="MXA20" s="72"/>
      <c r="MXB20" s="72"/>
      <c r="MXC20" s="72"/>
      <c r="MXD20" s="72"/>
      <c r="MXE20" s="72"/>
      <c r="MXF20" s="72"/>
      <c r="MXG20" s="72"/>
      <c r="MXH20" s="72"/>
      <c r="MXI20" s="72"/>
      <c r="MXJ20" s="72"/>
      <c r="MXK20" s="72"/>
      <c r="MXL20" s="72"/>
      <c r="MXM20" s="72"/>
      <c r="MXN20" s="72"/>
      <c r="MXO20" s="72"/>
      <c r="MXP20" s="72"/>
      <c r="MXQ20" s="72"/>
      <c r="MXR20" s="72"/>
      <c r="MXS20" s="72"/>
      <c r="MXT20" s="72"/>
      <c r="MXU20" s="72"/>
      <c r="MXV20" s="72"/>
      <c r="MXW20" s="72"/>
      <c r="MXX20" s="72"/>
      <c r="MXY20" s="72"/>
      <c r="MXZ20" s="72"/>
      <c r="MYA20" s="72"/>
      <c r="MYB20" s="72"/>
      <c r="MYC20" s="72"/>
      <c r="MYD20" s="72"/>
      <c r="MYE20" s="72"/>
      <c r="MYF20" s="72"/>
      <c r="MYG20" s="72"/>
      <c r="MYH20" s="72"/>
      <c r="MYI20" s="72"/>
      <c r="MYJ20" s="72"/>
      <c r="MYK20" s="72"/>
      <c r="MYL20" s="72"/>
      <c r="MYM20" s="72"/>
      <c r="MYN20" s="72"/>
      <c r="MYO20" s="72"/>
      <c r="MYP20" s="72"/>
      <c r="MYQ20" s="72"/>
      <c r="MYR20" s="72"/>
      <c r="MYS20" s="72"/>
      <c r="MYT20" s="72"/>
      <c r="MYU20" s="72"/>
      <c r="MYV20" s="72"/>
      <c r="MYW20" s="72"/>
      <c r="MYX20" s="72"/>
      <c r="MYY20" s="72"/>
      <c r="MYZ20" s="72"/>
      <c r="MZA20" s="72"/>
      <c r="MZB20" s="72"/>
      <c r="MZC20" s="72"/>
      <c r="MZD20" s="72"/>
      <c r="MZE20" s="72"/>
      <c r="MZF20" s="72"/>
      <c r="MZG20" s="72"/>
      <c r="MZH20" s="72"/>
      <c r="MZI20" s="72"/>
      <c r="MZJ20" s="72"/>
      <c r="MZK20" s="72"/>
      <c r="MZL20" s="72"/>
      <c r="MZM20" s="72"/>
      <c r="MZN20" s="72"/>
      <c r="MZO20" s="72"/>
      <c r="MZP20" s="72"/>
      <c r="MZQ20" s="72"/>
      <c r="MZR20" s="72"/>
      <c r="MZS20" s="72"/>
      <c r="MZT20" s="72"/>
      <c r="MZU20" s="72"/>
      <c r="MZV20" s="72"/>
      <c r="MZW20" s="72"/>
      <c r="MZX20" s="72"/>
      <c r="MZY20" s="72"/>
      <c r="MZZ20" s="72"/>
      <c r="NAA20" s="72"/>
      <c r="NAB20" s="72"/>
      <c r="NAC20" s="72"/>
      <c r="NAD20" s="72"/>
      <c r="NAE20" s="72"/>
      <c r="NAF20" s="72"/>
      <c r="NAG20" s="72"/>
      <c r="NAH20" s="72"/>
      <c r="NAI20" s="72"/>
      <c r="NAJ20" s="72"/>
      <c r="NAK20" s="72"/>
      <c r="NAL20" s="72"/>
      <c r="NAM20" s="72"/>
      <c r="NAN20" s="72"/>
      <c r="NAO20" s="72"/>
      <c r="NAP20" s="72"/>
      <c r="NAQ20" s="72"/>
      <c r="NAR20" s="72"/>
      <c r="NAS20" s="72"/>
      <c r="NAT20" s="72"/>
      <c r="NAU20" s="72"/>
      <c r="NAV20" s="72"/>
      <c r="NAW20" s="72"/>
      <c r="NAX20" s="72"/>
      <c r="NAY20" s="72"/>
      <c r="NAZ20" s="72"/>
      <c r="NBA20" s="72"/>
      <c r="NBB20" s="72"/>
      <c r="NBC20" s="72"/>
      <c r="NBD20" s="72"/>
      <c r="NBE20" s="72"/>
      <c r="NBF20" s="72"/>
      <c r="NBG20" s="72"/>
      <c r="NBH20" s="72"/>
      <c r="NBI20" s="72"/>
      <c r="NBJ20" s="72"/>
      <c r="NBK20" s="72"/>
      <c r="NBL20" s="72"/>
      <c r="NBM20" s="72"/>
      <c r="NBN20" s="72"/>
      <c r="NBO20" s="72"/>
      <c r="NBP20" s="72"/>
      <c r="NBQ20" s="72"/>
      <c r="NBR20" s="72"/>
      <c r="NBS20" s="72"/>
      <c r="NBT20" s="72"/>
      <c r="NBU20" s="72"/>
      <c r="NBV20" s="72"/>
      <c r="NBW20" s="72"/>
      <c r="NBX20" s="72"/>
      <c r="NBY20" s="72"/>
      <c r="NBZ20" s="72"/>
      <c r="NCA20" s="72"/>
      <c r="NCB20" s="72"/>
      <c r="NCC20" s="72"/>
      <c r="NCD20" s="72"/>
      <c r="NCE20" s="72"/>
      <c r="NCF20" s="72"/>
      <c r="NCG20" s="72"/>
      <c r="NCH20" s="72"/>
      <c r="NCI20" s="72"/>
      <c r="NCJ20" s="72"/>
      <c r="NCK20" s="72"/>
      <c r="NCL20" s="72"/>
      <c r="NCM20" s="72"/>
      <c r="NCN20" s="72"/>
      <c r="NCO20" s="72"/>
      <c r="NCP20" s="72"/>
      <c r="NCQ20" s="72"/>
      <c r="NCR20" s="72"/>
      <c r="NCS20" s="72"/>
      <c r="NCT20" s="72"/>
      <c r="NCU20" s="72"/>
      <c r="NCV20" s="72"/>
      <c r="NCW20" s="72"/>
      <c r="NCX20" s="72"/>
      <c r="NCY20" s="72"/>
      <c r="NCZ20" s="72"/>
      <c r="NDA20" s="72"/>
      <c r="NDB20" s="72"/>
      <c r="NDC20" s="72"/>
      <c r="NDD20" s="72"/>
      <c r="NDE20" s="72"/>
      <c r="NDF20" s="72"/>
      <c r="NDG20" s="72"/>
      <c r="NDH20" s="72"/>
      <c r="NDI20" s="72"/>
      <c r="NDJ20" s="72"/>
      <c r="NDK20" s="72"/>
      <c r="NDL20" s="72"/>
      <c r="NDM20" s="72"/>
      <c r="NDN20" s="72"/>
      <c r="NDO20" s="72"/>
      <c r="NDP20" s="72"/>
      <c r="NDQ20" s="72"/>
      <c r="NDR20" s="72"/>
      <c r="NDS20" s="72"/>
      <c r="NDT20" s="72"/>
      <c r="NDU20" s="72"/>
      <c r="NDV20" s="72"/>
      <c r="NDW20" s="72"/>
      <c r="NDX20" s="72"/>
      <c r="NDY20" s="72"/>
      <c r="NDZ20" s="72"/>
      <c r="NEA20" s="72"/>
      <c r="NEB20" s="72"/>
      <c r="NEC20" s="72"/>
      <c r="NED20" s="72"/>
      <c r="NEE20" s="72"/>
      <c r="NEF20" s="72"/>
      <c r="NEG20" s="72"/>
      <c r="NEH20" s="72"/>
      <c r="NEI20" s="72"/>
      <c r="NEJ20" s="72"/>
      <c r="NEK20" s="72"/>
      <c r="NEL20" s="72"/>
      <c r="NEM20" s="72"/>
      <c r="NEN20" s="72"/>
      <c r="NEO20" s="72"/>
      <c r="NEP20" s="72"/>
      <c r="NEQ20" s="72"/>
      <c r="NER20" s="72"/>
      <c r="NES20" s="72"/>
      <c r="NET20" s="72"/>
      <c r="NEU20" s="72"/>
      <c r="NEV20" s="72"/>
      <c r="NEW20" s="72"/>
      <c r="NEX20" s="72"/>
      <c r="NEY20" s="72"/>
      <c r="NEZ20" s="72"/>
      <c r="NFA20" s="72"/>
      <c r="NFB20" s="72"/>
      <c r="NFC20" s="72"/>
      <c r="NFD20" s="72"/>
      <c r="NFE20" s="72"/>
      <c r="NFF20" s="72"/>
      <c r="NFG20" s="72"/>
      <c r="NFH20" s="72"/>
      <c r="NFI20" s="72"/>
      <c r="NFJ20" s="72"/>
      <c r="NFK20" s="72"/>
      <c r="NFL20" s="72"/>
      <c r="NFM20" s="72"/>
      <c r="NFN20" s="72"/>
      <c r="NFO20" s="72"/>
      <c r="NFP20" s="72"/>
      <c r="NFQ20" s="72"/>
      <c r="NFR20" s="72"/>
      <c r="NFS20" s="72"/>
      <c r="NFT20" s="72"/>
      <c r="NFU20" s="72"/>
      <c r="NFV20" s="72"/>
      <c r="NFW20" s="72"/>
      <c r="NFX20" s="72"/>
      <c r="NFY20" s="72"/>
      <c r="NFZ20" s="72"/>
      <c r="NGA20" s="72"/>
      <c r="NGB20" s="72"/>
      <c r="NGC20" s="72"/>
      <c r="NGD20" s="72"/>
      <c r="NGE20" s="72"/>
      <c r="NGF20" s="72"/>
      <c r="NGG20" s="72"/>
      <c r="NGH20" s="72"/>
      <c r="NGI20" s="72"/>
      <c r="NGJ20" s="72"/>
      <c r="NGK20" s="72"/>
      <c r="NGL20" s="72"/>
      <c r="NGM20" s="72"/>
      <c r="NGN20" s="72"/>
      <c r="NGO20" s="72"/>
      <c r="NGP20" s="72"/>
      <c r="NGQ20" s="72"/>
      <c r="NGR20" s="72"/>
      <c r="NGS20" s="72"/>
      <c r="NGT20" s="72"/>
      <c r="NGU20" s="72"/>
      <c r="NGV20" s="72"/>
      <c r="NGW20" s="72"/>
      <c r="NGX20" s="72"/>
      <c r="NGY20" s="72"/>
      <c r="NGZ20" s="72"/>
      <c r="NHA20" s="72"/>
      <c r="NHB20" s="72"/>
      <c r="NHC20" s="72"/>
      <c r="NHD20" s="72"/>
      <c r="NHE20" s="72"/>
      <c r="NHF20" s="72"/>
      <c r="NHG20" s="72"/>
      <c r="NHH20" s="72"/>
      <c r="NHI20" s="72"/>
      <c r="NHJ20" s="72"/>
      <c r="NHK20" s="72"/>
      <c r="NHL20" s="72"/>
      <c r="NHM20" s="72"/>
      <c r="NHN20" s="72"/>
      <c r="NHO20" s="72"/>
      <c r="NHP20" s="72"/>
      <c r="NHQ20" s="72"/>
      <c r="NHR20" s="72"/>
      <c r="NHS20" s="72"/>
      <c r="NHT20" s="72"/>
      <c r="NHU20" s="72"/>
      <c r="NHV20" s="72"/>
      <c r="NHW20" s="72"/>
      <c r="NHX20" s="72"/>
      <c r="NHY20" s="72"/>
      <c r="NHZ20" s="72"/>
      <c r="NIA20" s="72"/>
      <c r="NIB20" s="72"/>
      <c r="NIC20" s="72"/>
      <c r="NID20" s="72"/>
      <c r="NIE20" s="72"/>
      <c r="NIF20" s="72"/>
      <c r="NIG20" s="72"/>
      <c r="NIH20" s="72"/>
      <c r="NII20" s="72"/>
      <c r="NIJ20" s="72"/>
      <c r="NIK20" s="72"/>
      <c r="NIL20" s="72"/>
      <c r="NIM20" s="72"/>
      <c r="NIN20" s="72"/>
      <c r="NIO20" s="72"/>
      <c r="NIP20" s="72"/>
      <c r="NIQ20" s="72"/>
      <c r="NIR20" s="72"/>
      <c r="NIS20" s="72"/>
      <c r="NIT20" s="72"/>
      <c r="NIU20" s="72"/>
      <c r="NIV20" s="72"/>
      <c r="NIW20" s="72"/>
      <c r="NIX20" s="72"/>
      <c r="NIY20" s="72"/>
      <c r="NIZ20" s="72"/>
      <c r="NJA20" s="72"/>
      <c r="NJB20" s="72"/>
      <c r="NJC20" s="72"/>
      <c r="NJD20" s="72"/>
      <c r="NJE20" s="72"/>
      <c r="NJF20" s="72"/>
      <c r="NJG20" s="72"/>
      <c r="NJH20" s="72"/>
      <c r="NJI20" s="72"/>
      <c r="NJJ20" s="72"/>
      <c r="NJK20" s="72"/>
      <c r="NJL20" s="72"/>
      <c r="NJM20" s="72"/>
      <c r="NJN20" s="72"/>
      <c r="NJO20" s="72"/>
      <c r="NJP20" s="72"/>
      <c r="NJQ20" s="72"/>
      <c r="NJR20" s="72"/>
      <c r="NJS20" s="72"/>
      <c r="NJT20" s="72"/>
      <c r="NJU20" s="72"/>
      <c r="NJV20" s="72"/>
      <c r="NJW20" s="72"/>
      <c r="NJX20" s="72"/>
      <c r="NJY20" s="72"/>
      <c r="NJZ20" s="72"/>
      <c r="NKA20" s="72"/>
      <c r="NKB20" s="72"/>
      <c r="NKC20" s="72"/>
      <c r="NKD20" s="72"/>
      <c r="NKE20" s="72"/>
      <c r="NKF20" s="72"/>
      <c r="NKG20" s="72"/>
      <c r="NKH20" s="72"/>
      <c r="NKI20" s="72"/>
      <c r="NKJ20" s="72"/>
      <c r="NKK20" s="72"/>
      <c r="NKL20" s="72"/>
      <c r="NKM20" s="72"/>
      <c r="NKN20" s="72"/>
      <c r="NKO20" s="72"/>
      <c r="NKP20" s="72"/>
      <c r="NKQ20" s="72"/>
      <c r="NKR20" s="72"/>
      <c r="NKS20" s="72"/>
      <c r="NKT20" s="72"/>
      <c r="NKU20" s="72"/>
      <c r="NKV20" s="72"/>
      <c r="NKW20" s="72"/>
      <c r="NKX20" s="72"/>
      <c r="NKY20" s="72"/>
      <c r="NKZ20" s="72"/>
      <c r="NLA20" s="72"/>
      <c r="NLB20" s="72"/>
      <c r="NLC20" s="72"/>
      <c r="NLD20" s="72"/>
      <c r="NLE20" s="72"/>
      <c r="NLF20" s="72"/>
      <c r="NLG20" s="72"/>
      <c r="NLH20" s="72"/>
      <c r="NLI20" s="72"/>
      <c r="NLJ20" s="72"/>
      <c r="NLK20" s="72"/>
      <c r="NLL20" s="72"/>
      <c r="NLM20" s="72"/>
      <c r="NLN20" s="72"/>
      <c r="NLO20" s="72"/>
      <c r="NLP20" s="72"/>
      <c r="NLQ20" s="72"/>
      <c r="NLR20" s="72"/>
      <c r="NLS20" s="72"/>
      <c r="NLT20" s="72"/>
      <c r="NLU20" s="72"/>
      <c r="NLV20" s="72"/>
      <c r="NLW20" s="72"/>
      <c r="NLX20" s="72"/>
      <c r="NLY20" s="72"/>
      <c r="NLZ20" s="72"/>
      <c r="NMA20" s="72"/>
      <c r="NMB20" s="72"/>
      <c r="NMC20" s="72"/>
      <c r="NMD20" s="72"/>
      <c r="NME20" s="72"/>
      <c r="NMF20" s="72"/>
      <c r="NMG20" s="72"/>
      <c r="NMH20" s="72"/>
      <c r="NMI20" s="72"/>
      <c r="NMJ20" s="72"/>
      <c r="NMK20" s="72"/>
      <c r="NML20" s="72"/>
      <c r="NMM20" s="72"/>
      <c r="NMN20" s="72"/>
      <c r="NMO20" s="72"/>
      <c r="NMP20" s="72"/>
      <c r="NMQ20" s="72"/>
      <c r="NMR20" s="72"/>
      <c r="NMS20" s="72"/>
      <c r="NMT20" s="72"/>
      <c r="NMU20" s="72"/>
      <c r="NMV20" s="72"/>
      <c r="NMW20" s="72"/>
      <c r="NMX20" s="72"/>
      <c r="NMY20" s="72"/>
      <c r="NMZ20" s="72"/>
      <c r="NNA20" s="72"/>
      <c r="NNB20" s="72"/>
      <c r="NNC20" s="72"/>
      <c r="NND20" s="72"/>
      <c r="NNE20" s="72"/>
      <c r="NNF20" s="72"/>
      <c r="NNG20" s="72"/>
      <c r="NNH20" s="72"/>
      <c r="NNI20" s="72"/>
      <c r="NNJ20" s="72"/>
      <c r="NNK20" s="72"/>
      <c r="NNL20" s="72"/>
      <c r="NNM20" s="72"/>
      <c r="NNN20" s="72"/>
      <c r="NNO20" s="72"/>
      <c r="NNP20" s="72"/>
      <c r="NNQ20" s="72"/>
      <c r="NNR20" s="72"/>
      <c r="NNS20" s="72"/>
      <c r="NNT20" s="72"/>
      <c r="NNU20" s="72"/>
      <c r="NNV20" s="72"/>
      <c r="NNW20" s="72"/>
      <c r="NNX20" s="72"/>
      <c r="NNY20" s="72"/>
      <c r="NNZ20" s="72"/>
      <c r="NOA20" s="72"/>
      <c r="NOB20" s="72"/>
      <c r="NOC20" s="72"/>
      <c r="NOD20" s="72"/>
      <c r="NOE20" s="72"/>
      <c r="NOF20" s="72"/>
      <c r="NOG20" s="72"/>
      <c r="NOH20" s="72"/>
      <c r="NOI20" s="72"/>
      <c r="NOJ20" s="72"/>
      <c r="NOK20" s="72"/>
      <c r="NOL20" s="72"/>
      <c r="NOM20" s="72"/>
      <c r="NON20" s="72"/>
      <c r="NOO20" s="72"/>
      <c r="NOP20" s="72"/>
      <c r="NOQ20" s="72"/>
      <c r="NOR20" s="72"/>
      <c r="NOS20" s="72"/>
      <c r="NOT20" s="72"/>
      <c r="NOU20" s="72"/>
      <c r="NOV20" s="72"/>
      <c r="NOW20" s="72"/>
      <c r="NOX20" s="72"/>
      <c r="NOY20" s="72"/>
      <c r="NOZ20" s="72"/>
      <c r="NPA20" s="72"/>
      <c r="NPB20" s="72"/>
      <c r="NPC20" s="72"/>
      <c r="NPD20" s="72"/>
      <c r="NPE20" s="72"/>
      <c r="NPF20" s="72"/>
      <c r="NPG20" s="72"/>
      <c r="NPH20" s="72"/>
      <c r="NPI20" s="72"/>
      <c r="NPJ20" s="72"/>
      <c r="NPK20" s="72"/>
      <c r="NPL20" s="72"/>
      <c r="NPM20" s="72"/>
      <c r="NPN20" s="72"/>
      <c r="NPO20" s="72"/>
      <c r="NPP20" s="72"/>
      <c r="NPQ20" s="72"/>
      <c r="NPR20" s="72"/>
      <c r="NPS20" s="72"/>
      <c r="NPT20" s="72"/>
      <c r="NPU20" s="72"/>
      <c r="NPV20" s="72"/>
      <c r="NPW20" s="72"/>
      <c r="NPX20" s="72"/>
      <c r="NPY20" s="72"/>
      <c r="NPZ20" s="72"/>
      <c r="NQA20" s="72"/>
      <c r="NQB20" s="72"/>
      <c r="NQC20" s="72"/>
      <c r="NQD20" s="72"/>
      <c r="NQE20" s="72"/>
      <c r="NQF20" s="72"/>
      <c r="NQG20" s="72"/>
      <c r="NQH20" s="72"/>
      <c r="NQI20" s="72"/>
      <c r="NQJ20" s="72"/>
      <c r="NQK20" s="72"/>
      <c r="NQL20" s="72"/>
      <c r="NQM20" s="72"/>
      <c r="NQN20" s="72"/>
      <c r="NQO20" s="72"/>
      <c r="NQP20" s="72"/>
      <c r="NQQ20" s="72"/>
      <c r="NQR20" s="72"/>
      <c r="NQS20" s="72"/>
      <c r="NQT20" s="72"/>
      <c r="NQU20" s="72"/>
      <c r="NQV20" s="72"/>
      <c r="NQW20" s="72"/>
      <c r="NQX20" s="72"/>
      <c r="NQY20" s="72"/>
      <c r="NQZ20" s="72"/>
      <c r="NRA20" s="72"/>
      <c r="NRB20" s="72"/>
      <c r="NRC20" s="72"/>
      <c r="NRD20" s="72"/>
      <c r="NRE20" s="72"/>
      <c r="NRF20" s="72"/>
      <c r="NRG20" s="72"/>
      <c r="NRH20" s="72"/>
      <c r="NRI20" s="72"/>
      <c r="NRJ20" s="72"/>
      <c r="NRK20" s="72"/>
      <c r="NRL20" s="72"/>
      <c r="NRM20" s="72"/>
      <c r="NRN20" s="72"/>
      <c r="NRO20" s="72"/>
      <c r="NRP20" s="72"/>
      <c r="NRQ20" s="72"/>
      <c r="NRR20" s="72"/>
      <c r="NRS20" s="72"/>
      <c r="NRT20" s="72"/>
      <c r="NRU20" s="72"/>
      <c r="NRV20" s="72"/>
      <c r="NRW20" s="72"/>
      <c r="NRX20" s="72"/>
      <c r="NRY20" s="72"/>
      <c r="NRZ20" s="72"/>
      <c r="NSA20" s="72"/>
      <c r="NSB20" s="72"/>
      <c r="NSC20" s="72"/>
      <c r="NSD20" s="72"/>
      <c r="NSE20" s="72"/>
      <c r="NSF20" s="72"/>
      <c r="NSG20" s="72"/>
      <c r="NSH20" s="72"/>
      <c r="NSI20" s="72"/>
      <c r="NSJ20" s="72"/>
      <c r="NSK20" s="72"/>
      <c r="NSL20" s="72"/>
      <c r="NSM20" s="72"/>
      <c r="NSN20" s="72"/>
      <c r="NSO20" s="72"/>
      <c r="NSP20" s="72"/>
      <c r="NSQ20" s="72"/>
      <c r="NSR20" s="72"/>
      <c r="NSS20" s="72"/>
      <c r="NST20" s="72"/>
      <c r="NSU20" s="72"/>
      <c r="NSV20" s="72"/>
      <c r="NSW20" s="72"/>
      <c r="NSX20" s="72"/>
      <c r="NSY20" s="72"/>
      <c r="NSZ20" s="72"/>
      <c r="NTA20" s="72"/>
      <c r="NTB20" s="72"/>
      <c r="NTC20" s="72"/>
      <c r="NTD20" s="72"/>
      <c r="NTE20" s="72"/>
      <c r="NTF20" s="72"/>
      <c r="NTG20" s="72"/>
      <c r="NTH20" s="72"/>
      <c r="NTI20" s="72"/>
      <c r="NTJ20" s="72"/>
      <c r="NTK20" s="72"/>
      <c r="NTL20" s="72"/>
      <c r="NTM20" s="72"/>
      <c r="NTN20" s="72"/>
      <c r="NTO20" s="72"/>
      <c r="NTP20" s="72"/>
      <c r="NTQ20" s="72"/>
      <c r="NTR20" s="72"/>
      <c r="NTS20" s="72"/>
      <c r="NTT20" s="72"/>
      <c r="NTU20" s="72"/>
      <c r="NTV20" s="72"/>
      <c r="NTW20" s="72"/>
      <c r="NTX20" s="72"/>
      <c r="NTY20" s="72"/>
      <c r="NTZ20" s="72"/>
      <c r="NUA20" s="72"/>
      <c r="NUB20" s="72"/>
      <c r="NUC20" s="72"/>
      <c r="NUD20" s="72"/>
      <c r="NUE20" s="72"/>
      <c r="NUF20" s="72"/>
      <c r="NUG20" s="72"/>
      <c r="NUH20" s="72"/>
      <c r="NUI20" s="72"/>
      <c r="NUJ20" s="72"/>
      <c r="NUK20" s="72"/>
      <c r="NUL20" s="72"/>
      <c r="NUM20" s="72"/>
      <c r="NUN20" s="72"/>
      <c r="NUO20" s="72"/>
      <c r="NUP20" s="72"/>
      <c r="NUQ20" s="72"/>
      <c r="NUR20" s="72"/>
      <c r="NUS20" s="72"/>
      <c r="NUT20" s="72"/>
      <c r="NUU20" s="72"/>
      <c r="NUV20" s="72"/>
      <c r="NUW20" s="72"/>
      <c r="NUX20" s="72"/>
      <c r="NUY20" s="72"/>
      <c r="NUZ20" s="72"/>
      <c r="NVA20" s="72"/>
      <c r="NVB20" s="72"/>
      <c r="NVC20" s="72"/>
      <c r="NVD20" s="72"/>
      <c r="NVE20" s="72"/>
      <c r="NVF20" s="72"/>
      <c r="NVG20" s="72"/>
      <c r="NVH20" s="72"/>
      <c r="NVI20" s="72"/>
      <c r="NVJ20" s="72"/>
      <c r="NVK20" s="72"/>
      <c r="NVL20" s="72"/>
      <c r="NVM20" s="72"/>
      <c r="NVN20" s="72"/>
      <c r="NVO20" s="72"/>
      <c r="NVP20" s="72"/>
      <c r="NVQ20" s="72"/>
      <c r="NVR20" s="72"/>
      <c r="NVS20" s="72"/>
      <c r="NVT20" s="72"/>
      <c r="NVU20" s="72"/>
      <c r="NVV20" s="72"/>
      <c r="NVW20" s="72"/>
      <c r="NVX20" s="72"/>
      <c r="NVY20" s="72"/>
      <c r="NVZ20" s="72"/>
      <c r="NWA20" s="72"/>
      <c r="NWB20" s="72"/>
      <c r="NWC20" s="72"/>
      <c r="NWD20" s="72"/>
      <c r="NWE20" s="72"/>
      <c r="NWF20" s="72"/>
      <c r="NWG20" s="72"/>
      <c r="NWH20" s="72"/>
      <c r="NWI20" s="72"/>
      <c r="NWJ20" s="72"/>
      <c r="NWK20" s="72"/>
      <c r="NWL20" s="72"/>
      <c r="NWM20" s="72"/>
      <c r="NWN20" s="72"/>
      <c r="NWO20" s="72"/>
      <c r="NWP20" s="72"/>
      <c r="NWQ20" s="72"/>
      <c r="NWR20" s="72"/>
      <c r="NWS20" s="72"/>
      <c r="NWT20" s="72"/>
      <c r="NWU20" s="72"/>
      <c r="NWV20" s="72"/>
      <c r="NWW20" s="72"/>
      <c r="NWX20" s="72"/>
      <c r="NWY20" s="72"/>
      <c r="NWZ20" s="72"/>
      <c r="NXA20" s="72"/>
      <c r="NXB20" s="72"/>
      <c r="NXC20" s="72"/>
      <c r="NXD20" s="72"/>
      <c r="NXE20" s="72"/>
      <c r="NXF20" s="72"/>
      <c r="NXG20" s="72"/>
      <c r="NXH20" s="72"/>
      <c r="NXI20" s="72"/>
      <c r="NXJ20" s="72"/>
      <c r="NXK20" s="72"/>
      <c r="NXL20" s="72"/>
      <c r="NXM20" s="72"/>
      <c r="NXN20" s="72"/>
      <c r="NXO20" s="72"/>
      <c r="NXP20" s="72"/>
      <c r="NXQ20" s="72"/>
      <c r="NXR20" s="72"/>
      <c r="NXS20" s="72"/>
      <c r="NXT20" s="72"/>
      <c r="NXU20" s="72"/>
      <c r="NXV20" s="72"/>
      <c r="NXW20" s="72"/>
      <c r="NXX20" s="72"/>
      <c r="NXY20" s="72"/>
      <c r="NXZ20" s="72"/>
      <c r="NYA20" s="72"/>
      <c r="NYB20" s="72"/>
      <c r="NYC20" s="72"/>
      <c r="NYD20" s="72"/>
      <c r="NYE20" s="72"/>
      <c r="NYF20" s="72"/>
      <c r="NYG20" s="72"/>
      <c r="NYH20" s="72"/>
      <c r="NYI20" s="72"/>
      <c r="NYJ20" s="72"/>
      <c r="NYK20" s="72"/>
      <c r="NYL20" s="72"/>
      <c r="NYM20" s="72"/>
      <c r="NYN20" s="72"/>
      <c r="NYO20" s="72"/>
      <c r="NYP20" s="72"/>
      <c r="NYQ20" s="72"/>
      <c r="NYR20" s="72"/>
      <c r="NYS20" s="72"/>
      <c r="NYT20" s="72"/>
      <c r="NYU20" s="72"/>
      <c r="NYV20" s="72"/>
      <c r="NYW20" s="72"/>
      <c r="NYX20" s="72"/>
      <c r="NYY20" s="72"/>
      <c r="NYZ20" s="72"/>
      <c r="NZA20" s="72"/>
      <c r="NZB20" s="72"/>
      <c r="NZC20" s="72"/>
      <c r="NZD20" s="72"/>
      <c r="NZE20" s="72"/>
      <c r="NZF20" s="72"/>
      <c r="NZG20" s="72"/>
      <c r="NZH20" s="72"/>
      <c r="NZI20" s="72"/>
      <c r="NZJ20" s="72"/>
      <c r="NZK20" s="72"/>
      <c r="NZL20" s="72"/>
      <c r="NZM20" s="72"/>
      <c r="NZN20" s="72"/>
      <c r="NZO20" s="72"/>
      <c r="NZP20" s="72"/>
      <c r="NZQ20" s="72"/>
      <c r="NZR20" s="72"/>
      <c r="NZS20" s="72"/>
      <c r="NZT20" s="72"/>
      <c r="NZU20" s="72"/>
      <c r="NZV20" s="72"/>
      <c r="NZW20" s="72"/>
      <c r="NZX20" s="72"/>
      <c r="NZY20" s="72"/>
      <c r="NZZ20" s="72"/>
      <c r="OAA20" s="72"/>
      <c r="OAB20" s="72"/>
      <c r="OAC20" s="72"/>
      <c r="OAD20" s="72"/>
      <c r="OAE20" s="72"/>
      <c r="OAF20" s="72"/>
      <c r="OAG20" s="72"/>
      <c r="OAH20" s="72"/>
      <c r="OAI20" s="72"/>
      <c r="OAJ20" s="72"/>
      <c r="OAK20" s="72"/>
      <c r="OAL20" s="72"/>
      <c r="OAM20" s="72"/>
      <c r="OAN20" s="72"/>
      <c r="OAO20" s="72"/>
      <c r="OAP20" s="72"/>
      <c r="OAQ20" s="72"/>
      <c r="OAR20" s="72"/>
      <c r="OAS20" s="72"/>
      <c r="OAT20" s="72"/>
      <c r="OAU20" s="72"/>
      <c r="OAV20" s="72"/>
      <c r="OAW20" s="72"/>
      <c r="OAX20" s="72"/>
      <c r="OAY20" s="72"/>
      <c r="OAZ20" s="72"/>
      <c r="OBA20" s="72"/>
      <c r="OBB20" s="72"/>
      <c r="OBC20" s="72"/>
      <c r="OBD20" s="72"/>
      <c r="OBE20" s="72"/>
      <c r="OBF20" s="72"/>
      <c r="OBG20" s="72"/>
      <c r="OBH20" s="72"/>
      <c r="OBI20" s="72"/>
      <c r="OBJ20" s="72"/>
      <c r="OBK20" s="72"/>
      <c r="OBL20" s="72"/>
      <c r="OBM20" s="72"/>
      <c r="OBN20" s="72"/>
      <c r="OBO20" s="72"/>
      <c r="OBP20" s="72"/>
      <c r="OBQ20" s="72"/>
      <c r="OBR20" s="72"/>
      <c r="OBS20" s="72"/>
      <c r="OBT20" s="72"/>
      <c r="OBU20" s="72"/>
      <c r="OBV20" s="72"/>
      <c r="OBW20" s="72"/>
      <c r="OBX20" s="72"/>
      <c r="OBY20" s="72"/>
      <c r="OBZ20" s="72"/>
      <c r="OCA20" s="72"/>
      <c r="OCB20" s="72"/>
      <c r="OCC20" s="72"/>
      <c r="OCD20" s="72"/>
      <c r="OCE20" s="72"/>
      <c r="OCF20" s="72"/>
      <c r="OCG20" s="72"/>
      <c r="OCH20" s="72"/>
      <c r="OCI20" s="72"/>
      <c r="OCJ20" s="72"/>
      <c r="OCK20" s="72"/>
      <c r="OCL20" s="72"/>
      <c r="OCM20" s="72"/>
      <c r="OCN20" s="72"/>
      <c r="OCO20" s="72"/>
      <c r="OCP20" s="72"/>
      <c r="OCQ20" s="72"/>
      <c r="OCR20" s="72"/>
      <c r="OCS20" s="72"/>
      <c r="OCT20" s="72"/>
      <c r="OCU20" s="72"/>
      <c r="OCV20" s="72"/>
      <c r="OCW20" s="72"/>
      <c r="OCX20" s="72"/>
      <c r="OCY20" s="72"/>
      <c r="OCZ20" s="72"/>
      <c r="ODA20" s="72"/>
      <c r="ODB20" s="72"/>
      <c r="ODC20" s="72"/>
      <c r="ODD20" s="72"/>
      <c r="ODE20" s="72"/>
      <c r="ODF20" s="72"/>
      <c r="ODG20" s="72"/>
      <c r="ODH20" s="72"/>
      <c r="ODI20" s="72"/>
      <c r="ODJ20" s="72"/>
      <c r="ODK20" s="72"/>
      <c r="ODL20" s="72"/>
      <c r="ODM20" s="72"/>
      <c r="ODN20" s="72"/>
      <c r="ODO20" s="72"/>
      <c r="ODP20" s="72"/>
      <c r="ODQ20" s="72"/>
      <c r="ODR20" s="72"/>
      <c r="ODS20" s="72"/>
      <c r="ODT20" s="72"/>
      <c r="ODU20" s="72"/>
      <c r="ODV20" s="72"/>
      <c r="ODW20" s="72"/>
      <c r="ODX20" s="72"/>
      <c r="ODY20" s="72"/>
      <c r="ODZ20" s="72"/>
      <c r="OEA20" s="72"/>
      <c r="OEB20" s="72"/>
      <c r="OEC20" s="72"/>
      <c r="OED20" s="72"/>
      <c r="OEE20" s="72"/>
      <c r="OEF20" s="72"/>
      <c r="OEG20" s="72"/>
      <c r="OEH20" s="72"/>
      <c r="OEI20" s="72"/>
      <c r="OEJ20" s="72"/>
      <c r="OEK20" s="72"/>
      <c r="OEL20" s="72"/>
      <c r="OEM20" s="72"/>
      <c r="OEN20" s="72"/>
      <c r="OEO20" s="72"/>
      <c r="OEP20" s="72"/>
      <c r="OEQ20" s="72"/>
      <c r="OER20" s="72"/>
      <c r="OES20" s="72"/>
      <c r="OET20" s="72"/>
      <c r="OEU20" s="72"/>
      <c r="OEV20" s="72"/>
      <c r="OEW20" s="72"/>
      <c r="OEX20" s="72"/>
      <c r="OEY20" s="72"/>
      <c r="OEZ20" s="72"/>
      <c r="OFA20" s="72"/>
      <c r="OFB20" s="72"/>
      <c r="OFC20" s="72"/>
      <c r="OFD20" s="72"/>
      <c r="OFE20" s="72"/>
      <c r="OFF20" s="72"/>
      <c r="OFG20" s="72"/>
      <c r="OFH20" s="72"/>
      <c r="OFI20" s="72"/>
      <c r="OFJ20" s="72"/>
      <c r="OFK20" s="72"/>
      <c r="OFL20" s="72"/>
      <c r="OFM20" s="72"/>
      <c r="OFN20" s="72"/>
      <c r="OFO20" s="72"/>
      <c r="OFP20" s="72"/>
      <c r="OFQ20" s="72"/>
      <c r="OFR20" s="72"/>
      <c r="OFS20" s="72"/>
      <c r="OFT20" s="72"/>
      <c r="OFU20" s="72"/>
      <c r="OFV20" s="72"/>
      <c r="OFW20" s="72"/>
      <c r="OFX20" s="72"/>
      <c r="OFY20" s="72"/>
      <c r="OFZ20" s="72"/>
      <c r="OGA20" s="72"/>
      <c r="OGB20" s="72"/>
      <c r="OGC20" s="72"/>
      <c r="OGD20" s="72"/>
      <c r="OGE20" s="72"/>
      <c r="OGF20" s="72"/>
      <c r="OGG20" s="72"/>
      <c r="OGH20" s="72"/>
      <c r="OGI20" s="72"/>
      <c r="OGJ20" s="72"/>
      <c r="OGK20" s="72"/>
      <c r="OGL20" s="72"/>
      <c r="OGM20" s="72"/>
      <c r="OGN20" s="72"/>
      <c r="OGO20" s="72"/>
      <c r="OGP20" s="72"/>
      <c r="OGQ20" s="72"/>
      <c r="OGR20" s="72"/>
      <c r="OGS20" s="72"/>
      <c r="OGT20" s="72"/>
      <c r="OGU20" s="72"/>
      <c r="OGV20" s="72"/>
      <c r="OGW20" s="72"/>
      <c r="OGX20" s="72"/>
      <c r="OGY20" s="72"/>
      <c r="OGZ20" s="72"/>
      <c r="OHA20" s="72"/>
      <c r="OHB20" s="72"/>
      <c r="OHC20" s="72"/>
      <c r="OHD20" s="72"/>
      <c r="OHE20" s="72"/>
      <c r="OHF20" s="72"/>
      <c r="OHG20" s="72"/>
      <c r="OHH20" s="72"/>
      <c r="OHI20" s="72"/>
      <c r="OHJ20" s="72"/>
      <c r="OHK20" s="72"/>
      <c r="OHL20" s="72"/>
      <c r="OHM20" s="72"/>
      <c r="OHN20" s="72"/>
      <c r="OHO20" s="72"/>
      <c r="OHP20" s="72"/>
      <c r="OHQ20" s="72"/>
      <c r="OHR20" s="72"/>
      <c r="OHS20" s="72"/>
      <c r="OHT20" s="72"/>
      <c r="OHU20" s="72"/>
      <c r="OHV20" s="72"/>
      <c r="OHW20" s="72"/>
      <c r="OHX20" s="72"/>
      <c r="OHY20" s="72"/>
      <c r="OHZ20" s="72"/>
      <c r="OIA20" s="72"/>
      <c r="OIB20" s="72"/>
      <c r="OIC20" s="72"/>
      <c r="OID20" s="72"/>
      <c r="OIE20" s="72"/>
      <c r="OIF20" s="72"/>
      <c r="OIG20" s="72"/>
      <c r="OIH20" s="72"/>
      <c r="OII20" s="72"/>
      <c r="OIJ20" s="72"/>
      <c r="OIK20" s="72"/>
      <c r="OIL20" s="72"/>
      <c r="OIM20" s="72"/>
      <c r="OIN20" s="72"/>
      <c r="OIO20" s="72"/>
      <c r="OIP20" s="72"/>
      <c r="OIQ20" s="72"/>
      <c r="OIR20" s="72"/>
      <c r="OIS20" s="72"/>
      <c r="OIT20" s="72"/>
      <c r="OIU20" s="72"/>
      <c r="OIV20" s="72"/>
      <c r="OIW20" s="72"/>
      <c r="OIX20" s="72"/>
      <c r="OIY20" s="72"/>
      <c r="OIZ20" s="72"/>
      <c r="OJA20" s="72"/>
      <c r="OJB20" s="72"/>
      <c r="OJC20" s="72"/>
      <c r="OJD20" s="72"/>
      <c r="OJE20" s="72"/>
      <c r="OJF20" s="72"/>
      <c r="OJG20" s="72"/>
      <c r="OJH20" s="72"/>
      <c r="OJI20" s="72"/>
      <c r="OJJ20" s="72"/>
      <c r="OJK20" s="72"/>
      <c r="OJL20" s="72"/>
      <c r="OJM20" s="72"/>
      <c r="OJN20" s="72"/>
      <c r="OJO20" s="72"/>
      <c r="OJP20" s="72"/>
      <c r="OJQ20" s="72"/>
      <c r="OJR20" s="72"/>
      <c r="OJS20" s="72"/>
      <c r="OJT20" s="72"/>
      <c r="OJU20" s="72"/>
      <c r="OJV20" s="72"/>
      <c r="OJW20" s="72"/>
      <c r="OJX20" s="72"/>
      <c r="OJY20" s="72"/>
      <c r="OJZ20" s="72"/>
      <c r="OKA20" s="72"/>
      <c r="OKB20" s="72"/>
      <c r="OKC20" s="72"/>
      <c r="OKD20" s="72"/>
      <c r="OKE20" s="72"/>
      <c r="OKF20" s="72"/>
      <c r="OKG20" s="72"/>
      <c r="OKH20" s="72"/>
      <c r="OKI20" s="72"/>
      <c r="OKJ20" s="72"/>
      <c r="OKK20" s="72"/>
      <c r="OKL20" s="72"/>
      <c r="OKM20" s="72"/>
      <c r="OKN20" s="72"/>
      <c r="OKO20" s="72"/>
      <c r="OKP20" s="72"/>
      <c r="OKQ20" s="72"/>
      <c r="OKR20" s="72"/>
      <c r="OKS20" s="72"/>
      <c r="OKT20" s="72"/>
      <c r="OKU20" s="72"/>
      <c r="OKV20" s="72"/>
      <c r="OKW20" s="72"/>
      <c r="OKX20" s="72"/>
      <c r="OKY20" s="72"/>
      <c r="OKZ20" s="72"/>
      <c r="OLA20" s="72"/>
      <c r="OLB20" s="72"/>
      <c r="OLC20" s="72"/>
      <c r="OLD20" s="72"/>
      <c r="OLE20" s="72"/>
      <c r="OLF20" s="72"/>
      <c r="OLG20" s="72"/>
      <c r="OLH20" s="72"/>
      <c r="OLI20" s="72"/>
      <c r="OLJ20" s="72"/>
      <c r="OLK20" s="72"/>
      <c r="OLL20" s="72"/>
      <c r="OLM20" s="72"/>
      <c r="OLN20" s="72"/>
      <c r="OLO20" s="72"/>
      <c r="OLP20" s="72"/>
      <c r="OLQ20" s="72"/>
      <c r="OLR20" s="72"/>
      <c r="OLS20" s="72"/>
      <c r="OLT20" s="72"/>
      <c r="OLU20" s="72"/>
      <c r="OLV20" s="72"/>
      <c r="OLW20" s="72"/>
      <c r="OLX20" s="72"/>
      <c r="OLY20" s="72"/>
      <c r="OLZ20" s="72"/>
      <c r="OMA20" s="72"/>
      <c r="OMB20" s="72"/>
      <c r="OMC20" s="72"/>
      <c r="OMD20" s="72"/>
      <c r="OME20" s="72"/>
      <c r="OMF20" s="72"/>
      <c r="OMG20" s="72"/>
      <c r="OMH20" s="72"/>
      <c r="OMI20" s="72"/>
      <c r="OMJ20" s="72"/>
      <c r="OMK20" s="72"/>
      <c r="OML20" s="72"/>
      <c r="OMM20" s="72"/>
      <c r="OMN20" s="72"/>
      <c r="OMO20" s="72"/>
      <c r="OMP20" s="72"/>
      <c r="OMQ20" s="72"/>
      <c r="OMR20" s="72"/>
      <c r="OMS20" s="72"/>
      <c r="OMT20" s="72"/>
      <c r="OMU20" s="72"/>
      <c r="OMV20" s="72"/>
      <c r="OMW20" s="72"/>
      <c r="OMX20" s="72"/>
      <c r="OMY20" s="72"/>
      <c r="OMZ20" s="72"/>
      <c r="ONA20" s="72"/>
      <c r="ONB20" s="72"/>
      <c r="ONC20" s="72"/>
      <c r="OND20" s="72"/>
      <c r="ONE20" s="72"/>
      <c r="ONF20" s="72"/>
      <c r="ONG20" s="72"/>
      <c r="ONH20" s="72"/>
      <c r="ONI20" s="72"/>
      <c r="ONJ20" s="72"/>
      <c r="ONK20" s="72"/>
      <c r="ONL20" s="72"/>
      <c r="ONM20" s="72"/>
      <c r="ONN20" s="72"/>
      <c r="ONO20" s="72"/>
      <c r="ONP20" s="72"/>
      <c r="ONQ20" s="72"/>
      <c r="ONR20" s="72"/>
      <c r="ONS20" s="72"/>
      <c r="ONT20" s="72"/>
      <c r="ONU20" s="72"/>
      <c r="ONV20" s="72"/>
      <c r="ONW20" s="72"/>
      <c r="ONX20" s="72"/>
      <c r="ONY20" s="72"/>
      <c r="ONZ20" s="72"/>
      <c r="OOA20" s="72"/>
      <c r="OOB20" s="72"/>
      <c r="OOC20" s="72"/>
      <c r="OOD20" s="72"/>
      <c r="OOE20" s="72"/>
      <c r="OOF20" s="72"/>
      <c r="OOG20" s="72"/>
      <c r="OOH20" s="72"/>
      <c r="OOI20" s="72"/>
      <c r="OOJ20" s="72"/>
      <c r="OOK20" s="72"/>
      <c r="OOL20" s="72"/>
      <c r="OOM20" s="72"/>
      <c r="OON20" s="72"/>
      <c r="OOO20" s="72"/>
      <c r="OOP20" s="72"/>
      <c r="OOQ20" s="72"/>
      <c r="OOR20" s="72"/>
      <c r="OOS20" s="72"/>
      <c r="OOT20" s="72"/>
      <c r="OOU20" s="72"/>
      <c r="OOV20" s="72"/>
      <c r="OOW20" s="72"/>
      <c r="OOX20" s="72"/>
      <c r="OOY20" s="72"/>
      <c r="OOZ20" s="72"/>
      <c r="OPA20" s="72"/>
      <c r="OPB20" s="72"/>
      <c r="OPC20" s="72"/>
      <c r="OPD20" s="72"/>
      <c r="OPE20" s="72"/>
      <c r="OPF20" s="72"/>
      <c r="OPG20" s="72"/>
      <c r="OPH20" s="72"/>
      <c r="OPI20" s="72"/>
      <c r="OPJ20" s="72"/>
      <c r="OPK20" s="72"/>
      <c r="OPL20" s="72"/>
      <c r="OPM20" s="72"/>
      <c r="OPN20" s="72"/>
      <c r="OPO20" s="72"/>
      <c r="OPP20" s="72"/>
      <c r="OPQ20" s="72"/>
      <c r="OPR20" s="72"/>
      <c r="OPS20" s="72"/>
      <c r="OPT20" s="72"/>
      <c r="OPU20" s="72"/>
      <c r="OPV20" s="72"/>
      <c r="OPW20" s="72"/>
      <c r="OPX20" s="72"/>
      <c r="OPY20" s="72"/>
      <c r="OPZ20" s="72"/>
      <c r="OQA20" s="72"/>
      <c r="OQB20" s="72"/>
      <c r="OQC20" s="72"/>
      <c r="OQD20" s="72"/>
      <c r="OQE20" s="72"/>
      <c r="OQF20" s="72"/>
      <c r="OQG20" s="72"/>
      <c r="OQH20" s="72"/>
      <c r="OQI20" s="72"/>
      <c r="OQJ20" s="72"/>
      <c r="OQK20" s="72"/>
      <c r="OQL20" s="72"/>
      <c r="OQM20" s="72"/>
      <c r="OQN20" s="72"/>
      <c r="OQO20" s="72"/>
      <c r="OQP20" s="72"/>
      <c r="OQQ20" s="72"/>
      <c r="OQR20" s="72"/>
      <c r="OQS20" s="72"/>
      <c r="OQT20" s="72"/>
      <c r="OQU20" s="72"/>
      <c r="OQV20" s="72"/>
      <c r="OQW20" s="72"/>
      <c r="OQX20" s="72"/>
      <c r="OQY20" s="72"/>
      <c r="OQZ20" s="72"/>
      <c r="ORA20" s="72"/>
      <c r="ORB20" s="72"/>
      <c r="ORC20" s="72"/>
      <c r="ORD20" s="72"/>
      <c r="ORE20" s="72"/>
      <c r="ORF20" s="72"/>
      <c r="ORG20" s="72"/>
      <c r="ORH20" s="72"/>
      <c r="ORI20" s="72"/>
      <c r="ORJ20" s="72"/>
      <c r="ORK20" s="72"/>
      <c r="ORL20" s="72"/>
      <c r="ORM20" s="72"/>
      <c r="ORN20" s="72"/>
      <c r="ORO20" s="72"/>
      <c r="ORP20" s="72"/>
      <c r="ORQ20" s="72"/>
      <c r="ORR20" s="72"/>
      <c r="ORS20" s="72"/>
      <c r="ORT20" s="72"/>
      <c r="ORU20" s="72"/>
      <c r="ORV20" s="72"/>
      <c r="ORW20" s="72"/>
      <c r="ORX20" s="72"/>
      <c r="ORY20" s="72"/>
      <c r="ORZ20" s="72"/>
      <c r="OSA20" s="72"/>
      <c r="OSB20" s="72"/>
      <c r="OSC20" s="72"/>
      <c r="OSD20" s="72"/>
      <c r="OSE20" s="72"/>
      <c r="OSF20" s="72"/>
      <c r="OSG20" s="72"/>
      <c r="OSH20" s="72"/>
      <c r="OSI20" s="72"/>
      <c r="OSJ20" s="72"/>
      <c r="OSK20" s="72"/>
      <c r="OSL20" s="72"/>
      <c r="OSM20" s="72"/>
      <c r="OSN20" s="72"/>
      <c r="OSO20" s="72"/>
      <c r="OSP20" s="72"/>
      <c r="OSQ20" s="72"/>
      <c r="OSR20" s="72"/>
      <c r="OSS20" s="72"/>
      <c r="OST20" s="72"/>
      <c r="OSU20" s="72"/>
      <c r="OSV20" s="72"/>
      <c r="OSW20" s="72"/>
      <c r="OSX20" s="72"/>
      <c r="OSY20" s="72"/>
      <c r="OSZ20" s="72"/>
      <c r="OTA20" s="72"/>
      <c r="OTB20" s="72"/>
      <c r="OTC20" s="72"/>
      <c r="OTD20" s="72"/>
      <c r="OTE20" s="72"/>
      <c r="OTF20" s="72"/>
      <c r="OTG20" s="72"/>
      <c r="OTH20" s="72"/>
      <c r="OTI20" s="72"/>
      <c r="OTJ20" s="72"/>
      <c r="OTK20" s="72"/>
      <c r="OTL20" s="72"/>
      <c r="OTM20" s="72"/>
      <c r="OTN20" s="72"/>
      <c r="OTO20" s="72"/>
      <c r="OTP20" s="72"/>
      <c r="OTQ20" s="72"/>
      <c r="OTR20" s="72"/>
      <c r="OTS20" s="72"/>
      <c r="OTT20" s="72"/>
      <c r="OTU20" s="72"/>
      <c r="OTV20" s="72"/>
      <c r="OTW20" s="72"/>
      <c r="OTX20" s="72"/>
      <c r="OTY20" s="72"/>
      <c r="OTZ20" s="72"/>
      <c r="OUA20" s="72"/>
      <c r="OUB20" s="72"/>
      <c r="OUC20" s="72"/>
      <c r="OUD20" s="72"/>
      <c r="OUE20" s="72"/>
      <c r="OUF20" s="72"/>
      <c r="OUG20" s="72"/>
      <c r="OUH20" s="72"/>
      <c r="OUI20" s="72"/>
      <c r="OUJ20" s="72"/>
      <c r="OUK20" s="72"/>
      <c r="OUL20" s="72"/>
      <c r="OUM20" s="72"/>
      <c r="OUN20" s="72"/>
      <c r="OUO20" s="72"/>
      <c r="OUP20" s="72"/>
      <c r="OUQ20" s="72"/>
      <c r="OUR20" s="72"/>
      <c r="OUS20" s="72"/>
      <c r="OUT20" s="72"/>
      <c r="OUU20" s="72"/>
      <c r="OUV20" s="72"/>
      <c r="OUW20" s="72"/>
      <c r="OUX20" s="72"/>
      <c r="OUY20" s="72"/>
      <c r="OUZ20" s="72"/>
      <c r="OVA20" s="72"/>
      <c r="OVB20" s="72"/>
      <c r="OVC20" s="72"/>
      <c r="OVD20" s="72"/>
      <c r="OVE20" s="72"/>
      <c r="OVF20" s="72"/>
      <c r="OVG20" s="72"/>
      <c r="OVH20" s="72"/>
      <c r="OVI20" s="72"/>
      <c r="OVJ20" s="72"/>
      <c r="OVK20" s="72"/>
      <c r="OVL20" s="72"/>
      <c r="OVM20" s="72"/>
      <c r="OVN20" s="72"/>
      <c r="OVO20" s="72"/>
      <c r="OVP20" s="72"/>
      <c r="OVQ20" s="72"/>
      <c r="OVR20" s="72"/>
      <c r="OVS20" s="72"/>
      <c r="OVT20" s="72"/>
      <c r="OVU20" s="72"/>
      <c r="OVV20" s="72"/>
      <c r="OVW20" s="72"/>
      <c r="OVX20" s="72"/>
      <c r="OVY20" s="72"/>
      <c r="OVZ20" s="72"/>
      <c r="OWA20" s="72"/>
      <c r="OWB20" s="72"/>
      <c r="OWC20" s="72"/>
      <c r="OWD20" s="72"/>
      <c r="OWE20" s="72"/>
      <c r="OWF20" s="72"/>
      <c r="OWG20" s="72"/>
      <c r="OWH20" s="72"/>
      <c r="OWI20" s="72"/>
      <c r="OWJ20" s="72"/>
      <c r="OWK20" s="72"/>
      <c r="OWL20" s="72"/>
      <c r="OWM20" s="72"/>
      <c r="OWN20" s="72"/>
      <c r="OWO20" s="72"/>
      <c r="OWP20" s="72"/>
      <c r="OWQ20" s="72"/>
      <c r="OWR20" s="72"/>
      <c r="OWS20" s="72"/>
      <c r="OWT20" s="72"/>
      <c r="OWU20" s="72"/>
      <c r="OWV20" s="72"/>
      <c r="OWW20" s="72"/>
      <c r="OWX20" s="72"/>
      <c r="OWY20" s="72"/>
      <c r="OWZ20" s="72"/>
      <c r="OXA20" s="72"/>
      <c r="OXB20" s="72"/>
      <c r="OXC20" s="72"/>
      <c r="OXD20" s="72"/>
      <c r="OXE20" s="72"/>
      <c r="OXF20" s="72"/>
      <c r="OXG20" s="72"/>
      <c r="OXH20" s="72"/>
      <c r="OXI20" s="72"/>
      <c r="OXJ20" s="72"/>
      <c r="OXK20" s="72"/>
      <c r="OXL20" s="72"/>
      <c r="OXM20" s="72"/>
      <c r="OXN20" s="72"/>
      <c r="OXO20" s="72"/>
      <c r="OXP20" s="72"/>
      <c r="OXQ20" s="72"/>
      <c r="OXR20" s="72"/>
      <c r="OXS20" s="72"/>
      <c r="OXT20" s="72"/>
      <c r="OXU20" s="72"/>
      <c r="OXV20" s="72"/>
      <c r="OXW20" s="72"/>
      <c r="OXX20" s="72"/>
      <c r="OXY20" s="72"/>
      <c r="OXZ20" s="72"/>
      <c r="OYA20" s="72"/>
      <c r="OYB20" s="72"/>
      <c r="OYC20" s="72"/>
      <c r="OYD20" s="72"/>
      <c r="OYE20" s="72"/>
      <c r="OYF20" s="72"/>
      <c r="OYG20" s="72"/>
      <c r="OYH20" s="72"/>
      <c r="OYI20" s="72"/>
      <c r="OYJ20" s="72"/>
      <c r="OYK20" s="72"/>
      <c r="OYL20" s="72"/>
      <c r="OYM20" s="72"/>
      <c r="OYN20" s="72"/>
      <c r="OYO20" s="72"/>
      <c r="OYP20" s="72"/>
      <c r="OYQ20" s="72"/>
      <c r="OYR20" s="72"/>
      <c r="OYS20" s="72"/>
      <c r="OYT20" s="72"/>
      <c r="OYU20" s="72"/>
      <c r="OYV20" s="72"/>
      <c r="OYW20" s="72"/>
      <c r="OYX20" s="72"/>
      <c r="OYY20" s="72"/>
      <c r="OYZ20" s="72"/>
      <c r="OZA20" s="72"/>
      <c r="OZB20" s="72"/>
      <c r="OZC20" s="72"/>
      <c r="OZD20" s="72"/>
      <c r="OZE20" s="72"/>
      <c r="OZF20" s="72"/>
      <c r="OZG20" s="72"/>
      <c r="OZH20" s="72"/>
      <c r="OZI20" s="72"/>
      <c r="OZJ20" s="72"/>
      <c r="OZK20" s="72"/>
      <c r="OZL20" s="72"/>
      <c r="OZM20" s="72"/>
      <c r="OZN20" s="72"/>
      <c r="OZO20" s="72"/>
      <c r="OZP20" s="72"/>
      <c r="OZQ20" s="72"/>
      <c r="OZR20" s="72"/>
      <c r="OZS20" s="72"/>
      <c r="OZT20" s="72"/>
      <c r="OZU20" s="72"/>
      <c r="OZV20" s="72"/>
      <c r="OZW20" s="72"/>
      <c r="OZX20" s="72"/>
      <c r="OZY20" s="72"/>
      <c r="OZZ20" s="72"/>
      <c r="PAA20" s="72"/>
      <c r="PAB20" s="72"/>
      <c r="PAC20" s="72"/>
      <c r="PAD20" s="72"/>
      <c r="PAE20" s="72"/>
      <c r="PAF20" s="72"/>
      <c r="PAG20" s="72"/>
      <c r="PAH20" s="72"/>
      <c r="PAI20" s="72"/>
      <c r="PAJ20" s="72"/>
      <c r="PAK20" s="72"/>
      <c r="PAL20" s="72"/>
      <c r="PAM20" s="72"/>
      <c r="PAN20" s="72"/>
      <c r="PAO20" s="72"/>
      <c r="PAP20" s="72"/>
      <c r="PAQ20" s="72"/>
      <c r="PAR20" s="72"/>
      <c r="PAS20" s="72"/>
      <c r="PAT20" s="72"/>
      <c r="PAU20" s="72"/>
      <c r="PAV20" s="72"/>
      <c r="PAW20" s="72"/>
      <c r="PAX20" s="72"/>
      <c r="PAY20" s="72"/>
      <c r="PAZ20" s="72"/>
      <c r="PBA20" s="72"/>
      <c r="PBB20" s="72"/>
      <c r="PBC20" s="72"/>
      <c r="PBD20" s="72"/>
      <c r="PBE20" s="72"/>
      <c r="PBF20" s="72"/>
      <c r="PBG20" s="72"/>
      <c r="PBH20" s="72"/>
      <c r="PBI20" s="72"/>
      <c r="PBJ20" s="72"/>
      <c r="PBK20" s="72"/>
      <c r="PBL20" s="72"/>
      <c r="PBM20" s="72"/>
      <c r="PBN20" s="72"/>
      <c r="PBO20" s="72"/>
      <c r="PBP20" s="72"/>
      <c r="PBQ20" s="72"/>
      <c r="PBR20" s="72"/>
      <c r="PBS20" s="72"/>
      <c r="PBT20" s="72"/>
      <c r="PBU20" s="72"/>
      <c r="PBV20" s="72"/>
      <c r="PBW20" s="72"/>
      <c r="PBX20" s="72"/>
      <c r="PBY20" s="72"/>
      <c r="PBZ20" s="72"/>
      <c r="PCA20" s="72"/>
      <c r="PCB20" s="72"/>
      <c r="PCC20" s="72"/>
      <c r="PCD20" s="72"/>
      <c r="PCE20" s="72"/>
      <c r="PCF20" s="72"/>
      <c r="PCG20" s="72"/>
      <c r="PCH20" s="72"/>
      <c r="PCI20" s="72"/>
      <c r="PCJ20" s="72"/>
      <c r="PCK20" s="72"/>
      <c r="PCL20" s="72"/>
      <c r="PCM20" s="72"/>
      <c r="PCN20" s="72"/>
      <c r="PCO20" s="72"/>
      <c r="PCP20" s="72"/>
      <c r="PCQ20" s="72"/>
      <c r="PCR20" s="72"/>
      <c r="PCS20" s="72"/>
      <c r="PCT20" s="72"/>
      <c r="PCU20" s="72"/>
      <c r="PCV20" s="72"/>
      <c r="PCW20" s="72"/>
      <c r="PCX20" s="72"/>
      <c r="PCY20" s="72"/>
      <c r="PCZ20" s="72"/>
      <c r="PDA20" s="72"/>
      <c r="PDB20" s="72"/>
      <c r="PDC20" s="72"/>
      <c r="PDD20" s="72"/>
      <c r="PDE20" s="72"/>
      <c r="PDF20" s="72"/>
      <c r="PDG20" s="72"/>
      <c r="PDH20" s="72"/>
      <c r="PDI20" s="72"/>
      <c r="PDJ20" s="72"/>
      <c r="PDK20" s="72"/>
      <c r="PDL20" s="72"/>
      <c r="PDM20" s="72"/>
      <c r="PDN20" s="72"/>
      <c r="PDO20" s="72"/>
      <c r="PDP20" s="72"/>
      <c r="PDQ20" s="72"/>
      <c r="PDR20" s="72"/>
      <c r="PDS20" s="72"/>
      <c r="PDT20" s="72"/>
      <c r="PDU20" s="72"/>
      <c r="PDV20" s="72"/>
      <c r="PDW20" s="72"/>
      <c r="PDX20" s="72"/>
      <c r="PDY20" s="72"/>
      <c r="PDZ20" s="72"/>
      <c r="PEA20" s="72"/>
      <c r="PEB20" s="72"/>
      <c r="PEC20" s="72"/>
      <c r="PED20" s="72"/>
      <c r="PEE20" s="72"/>
      <c r="PEF20" s="72"/>
      <c r="PEG20" s="72"/>
      <c r="PEH20" s="72"/>
      <c r="PEI20" s="72"/>
      <c r="PEJ20" s="72"/>
      <c r="PEK20" s="72"/>
      <c r="PEL20" s="72"/>
      <c r="PEM20" s="72"/>
      <c r="PEN20" s="72"/>
      <c r="PEO20" s="72"/>
      <c r="PEP20" s="72"/>
      <c r="PEQ20" s="72"/>
      <c r="PER20" s="72"/>
      <c r="PES20" s="72"/>
      <c r="PET20" s="72"/>
      <c r="PEU20" s="72"/>
      <c r="PEV20" s="72"/>
      <c r="PEW20" s="72"/>
      <c r="PEX20" s="72"/>
      <c r="PEY20" s="72"/>
      <c r="PEZ20" s="72"/>
      <c r="PFA20" s="72"/>
      <c r="PFB20" s="72"/>
      <c r="PFC20" s="72"/>
      <c r="PFD20" s="72"/>
      <c r="PFE20" s="72"/>
      <c r="PFF20" s="72"/>
      <c r="PFG20" s="72"/>
      <c r="PFH20" s="72"/>
      <c r="PFI20" s="72"/>
      <c r="PFJ20" s="72"/>
      <c r="PFK20" s="72"/>
      <c r="PFL20" s="72"/>
      <c r="PFM20" s="72"/>
      <c r="PFN20" s="72"/>
      <c r="PFO20" s="72"/>
      <c r="PFP20" s="72"/>
      <c r="PFQ20" s="72"/>
      <c r="PFR20" s="72"/>
      <c r="PFS20" s="72"/>
      <c r="PFT20" s="72"/>
      <c r="PFU20" s="72"/>
      <c r="PFV20" s="72"/>
      <c r="PFW20" s="72"/>
      <c r="PFX20" s="72"/>
      <c r="PFY20" s="72"/>
      <c r="PFZ20" s="72"/>
      <c r="PGA20" s="72"/>
      <c r="PGB20" s="72"/>
      <c r="PGC20" s="72"/>
      <c r="PGD20" s="72"/>
      <c r="PGE20" s="72"/>
      <c r="PGF20" s="72"/>
      <c r="PGG20" s="72"/>
      <c r="PGH20" s="72"/>
      <c r="PGI20" s="72"/>
      <c r="PGJ20" s="72"/>
      <c r="PGK20" s="72"/>
      <c r="PGL20" s="72"/>
      <c r="PGM20" s="72"/>
      <c r="PGN20" s="72"/>
      <c r="PGO20" s="72"/>
      <c r="PGP20" s="72"/>
      <c r="PGQ20" s="72"/>
      <c r="PGR20" s="72"/>
      <c r="PGS20" s="72"/>
      <c r="PGT20" s="72"/>
      <c r="PGU20" s="72"/>
      <c r="PGV20" s="72"/>
      <c r="PGW20" s="72"/>
      <c r="PGX20" s="72"/>
      <c r="PGY20" s="72"/>
      <c r="PGZ20" s="72"/>
      <c r="PHA20" s="72"/>
      <c r="PHB20" s="72"/>
      <c r="PHC20" s="72"/>
      <c r="PHD20" s="72"/>
      <c r="PHE20" s="72"/>
      <c r="PHF20" s="72"/>
      <c r="PHG20" s="72"/>
      <c r="PHH20" s="72"/>
      <c r="PHI20" s="72"/>
      <c r="PHJ20" s="72"/>
      <c r="PHK20" s="72"/>
      <c r="PHL20" s="72"/>
      <c r="PHM20" s="72"/>
      <c r="PHN20" s="72"/>
      <c r="PHO20" s="72"/>
      <c r="PHP20" s="72"/>
      <c r="PHQ20" s="72"/>
      <c r="PHR20" s="72"/>
      <c r="PHS20" s="72"/>
      <c r="PHT20" s="72"/>
      <c r="PHU20" s="72"/>
      <c r="PHV20" s="72"/>
      <c r="PHW20" s="72"/>
      <c r="PHX20" s="72"/>
      <c r="PHY20" s="72"/>
      <c r="PHZ20" s="72"/>
      <c r="PIA20" s="72"/>
      <c r="PIB20" s="72"/>
      <c r="PIC20" s="72"/>
      <c r="PID20" s="72"/>
      <c r="PIE20" s="72"/>
      <c r="PIF20" s="72"/>
      <c r="PIG20" s="72"/>
      <c r="PIH20" s="72"/>
      <c r="PII20" s="72"/>
      <c r="PIJ20" s="72"/>
      <c r="PIK20" s="72"/>
      <c r="PIL20" s="72"/>
      <c r="PIM20" s="72"/>
      <c r="PIN20" s="72"/>
      <c r="PIO20" s="72"/>
      <c r="PIP20" s="72"/>
      <c r="PIQ20" s="72"/>
      <c r="PIR20" s="72"/>
      <c r="PIS20" s="72"/>
      <c r="PIT20" s="72"/>
      <c r="PIU20" s="72"/>
      <c r="PIV20" s="72"/>
      <c r="PIW20" s="72"/>
      <c r="PIX20" s="72"/>
      <c r="PIY20" s="72"/>
      <c r="PIZ20" s="72"/>
      <c r="PJA20" s="72"/>
      <c r="PJB20" s="72"/>
      <c r="PJC20" s="72"/>
      <c r="PJD20" s="72"/>
      <c r="PJE20" s="72"/>
      <c r="PJF20" s="72"/>
      <c r="PJG20" s="72"/>
      <c r="PJH20" s="72"/>
      <c r="PJI20" s="72"/>
      <c r="PJJ20" s="72"/>
      <c r="PJK20" s="72"/>
      <c r="PJL20" s="72"/>
      <c r="PJM20" s="72"/>
      <c r="PJN20" s="72"/>
      <c r="PJO20" s="72"/>
      <c r="PJP20" s="72"/>
      <c r="PJQ20" s="72"/>
      <c r="PJR20" s="72"/>
      <c r="PJS20" s="72"/>
      <c r="PJT20" s="72"/>
      <c r="PJU20" s="72"/>
      <c r="PJV20" s="72"/>
      <c r="PJW20" s="72"/>
      <c r="PJX20" s="72"/>
      <c r="PJY20" s="72"/>
      <c r="PJZ20" s="72"/>
      <c r="PKA20" s="72"/>
      <c r="PKB20" s="72"/>
      <c r="PKC20" s="72"/>
      <c r="PKD20" s="72"/>
      <c r="PKE20" s="72"/>
      <c r="PKF20" s="72"/>
      <c r="PKG20" s="72"/>
      <c r="PKH20" s="72"/>
      <c r="PKI20" s="72"/>
      <c r="PKJ20" s="72"/>
      <c r="PKK20" s="72"/>
      <c r="PKL20" s="72"/>
      <c r="PKM20" s="72"/>
      <c r="PKN20" s="72"/>
      <c r="PKO20" s="72"/>
      <c r="PKP20" s="72"/>
      <c r="PKQ20" s="72"/>
      <c r="PKR20" s="72"/>
      <c r="PKS20" s="72"/>
      <c r="PKT20" s="72"/>
      <c r="PKU20" s="72"/>
      <c r="PKV20" s="72"/>
      <c r="PKW20" s="72"/>
      <c r="PKX20" s="72"/>
      <c r="PKY20" s="72"/>
      <c r="PKZ20" s="72"/>
      <c r="PLA20" s="72"/>
      <c r="PLB20" s="72"/>
      <c r="PLC20" s="72"/>
      <c r="PLD20" s="72"/>
      <c r="PLE20" s="72"/>
      <c r="PLF20" s="72"/>
      <c r="PLG20" s="72"/>
      <c r="PLH20" s="72"/>
      <c r="PLI20" s="72"/>
      <c r="PLJ20" s="72"/>
      <c r="PLK20" s="72"/>
      <c r="PLL20" s="72"/>
      <c r="PLM20" s="72"/>
      <c r="PLN20" s="72"/>
      <c r="PLO20" s="72"/>
      <c r="PLP20" s="72"/>
      <c r="PLQ20" s="72"/>
      <c r="PLR20" s="72"/>
      <c r="PLS20" s="72"/>
      <c r="PLT20" s="72"/>
      <c r="PLU20" s="72"/>
      <c r="PLV20" s="72"/>
      <c r="PLW20" s="72"/>
      <c r="PLX20" s="72"/>
      <c r="PLY20" s="72"/>
      <c r="PLZ20" s="72"/>
      <c r="PMA20" s="72"/>
      <c r="PMB20" s="72"/>
      <c r="PMC20" s="72"/>
      <c r="PMD20" s="72"/>
      <c r="PME20" s="72"/>
      <c r="PMF20" s="72"/>
      <c r="PMG20" s="72"/>
      <c r="PMH20" s="72"/>
      <c r="PMI20" s="72"/>
      <c r="PMJ20" s="72"/>
      <c r="PMK20" s="72"/>
      <c r="PML20" s="72"/>
      <c r="PMM20" s="72"/>
      <c r="PMN20" s="72"/>
      <c r="PMO20" s="72"/>
      <c r="PMP20" s="72"/>
      <c r="PMQ20" s="72"/>
      <c r="PMR20" s="72"/>
      <c r="PMS20" s="72"/>
      <c r="PMT20" s="72"/>
      <c r="PMU20" s="72"/>
      <c r="PMV20" s="72"/>
      <c r="PMW20" s="72"/>
      <c r="PMX20" s="72"/>
      <c r="PMY20" s="72"/>
      <c r="PMZ20" s="72"/>
      <c r="PNA20" s="72"/>
      <c r="PNB20" s="72"/>
      <c r="PNC20" s="72"/>
      <c r="PND20" s="72"/>
      <c r="PNE20" s="72"/>
      <c r="PNF20" s="72"/>
      <c r="PNG20" s="72"/>
      <c r="PNH20" s="72"/>
      <c r="PNI20" s="72"/>
      <c r="PNJ20" s="72"/>
      <c r="PNK20" s="72"/>
      <c r="PNL20" s="72"/>
      <c r="PNM20" s="72"/>
      <c r="PNN20" s="72"/>
      <c r="PNO20" s="72"/>
      <c r="PNP20" s="72"/>
      <c r="PNQ20" s="72"/>
      <c r="PNR20" s="72"/>
      <c r="PNS20" s="72"/>
      <c r="PNT20" s="72"/>
      <c r="PNU20" s="72"/>
      <c r="PNV20" s="72"/>
      <c r="PNW20" s="72"/>
      <c r="PNX20" s="72"/>
      <c r="PNY20" s="72"/>
      <c r="PNZ20" s="72"/>
      <c r="POA20" s="72"/>
      <c r="POB20" s="72"/>
      <c r="POC20" s="72"/>
      <c r="POD20" s="72"/>
      <c r="POE20" s="72"/>
      <c r="POF20" s="72"/>
      <c r="POG20" s="72"/>
      <c r="POH20" s="72"/>
      <c r="POI20" s="72"/>
      <c r="POJ20" s="72"/>
      <c r="POK20" s="72"/>
      <c r="POL20" s="72"/>
      <c r="POM20" s="72"/>
      <c r="PON20" s="72"/>
      <c r="POO20" s="72"/>
      <c r="POP20" s="72"/>
      <c r="POQ20" s="72"/>
      <c r="POR20" s="72"/>
      <c r="POS20" s="72"/>
      <c r="POT20" s="72"/>
      <c r="POU20" s="72"/>
      <c r="POV20" s="72"/>
      <c r="POW20" s="72"/>
      <c r="POX20" s="72"/>
      <c r="POY20" s="72"/>
      <c r="POZ20" s="72"/>
      <c r="PPA20" s="72"/>
      <c r="PPB20" s="72"/>
      <c r="PPC20" s="72"/>
      <c r="PPD20" s="72"/>
      <c r="PPE20" s="72"/>
      <c r="PPF20" s="72"/>
      <c r="PPG20" s="72"/>
      <c r="PPH20" s="72"/>
      <c r="PPI20" s="72"/>
      <c r="PPJ20" s="72"/>
      <c r="PPK20" s="72"/>
      <c r="PPL20" s="72"/>
      <c r="PPM20" s="72"/>
      <c r="PPN20" s="72"/>
      <c r="PPO20" s="72"/>
      <c r="PPP20" s="72"/>
      <c r="PPQ20" s="72"/>
      <c r="PPR20" s="72"/>
      <c r="PPS20" s="72"/>
      <c r="PPT20" s="72"/>
      <c r="PPU20" s="72"/>
      <c r="PPV20" s="72"/>
      <c r="PPW20" s="72"/>
      <c r="PPX20" s="72"/>
      <c r="PPY20" s="72"/>
      <c r="PPZ20" s="72"/>
      <c r="PQA20" s="72"/>
      <c r="PQB20" s="72"/>
      <c r="PQC20" s="72"/>
      <c r="PQD20" s="72"/>
      <c r="PQE20" s="72"/>
      <c r="PQF20" s="72"/>
      <c r="PQG20" s="72"/>
      <c r="PQH20" s="72"/>
      <c r="PQI20" s="72"/>
      <c r="PQJ20" s="72"/>
      <c r="PQK20" s="72"/>
      <c r="PQL20" s="72"/>
      <c r="PQM20" s="72"/>
      <c r="PQN20" s="72"/>
      <c r="PQO20" s="72"/>
      <c r="PQP20" s="72"/>
      <c r="PQQ20" s="72"/>
      <c r="PQR20" s="72"/>
      <c r="PQS20" s="72"/>
      <c r="PQT20" s="72"/>
      <c r="PQU20" s="72"/>
      <c r="PQV20" s="72"/>
      <c r="PQW20" s="72"/>
      <c r="PQX20" s="72"/>
      <c r="PQY20" s="72"/>
      <c r="PQZ20" s="72"/>
      <c r="PRA20" s="72"/>
      <c r="PRB20" s="72"/>
      <c r="PRC20" s="72"/>
      <c r="PRD20" s="72"/>
      <c r="PRE20" s="72"/>
      <c r="PRF20" s="72"/>
      <c r="PRG20" s="72"/>
      <c r="PRH20" s="72"/>
      <c r="PRI20" s="72"/>
      <c r="PRJ20" s="72"/>
      <c r="PRK20" s="72"/>
      <c r="PRL20" s="72"/>
      <c r="PRM20" s="72"/>
      <c r="PRN20" s="72"/>
      <c r="PRO20" s="72"/>
      <c r="PRP20" s="72"/>
      <c r="PRQ20" s="72"/>
      <c r="PRR20" s="72"/>
      <c r="PRS20" s="72"/>
      <c r="PRT20" s="72"/>
      <c r="PRU20" s="72"/>
      <c r="PRV20" s="72"/>
      <c r="PRW20" s="72"/>
      <c r="PRX20" s="72"/>
      <c r="PRY20" s="72"/>
      <c r="PRZ20" s="72"/>
      <c r="PSA20" s="72"/>
      <c r="PSB20" s="72"/>
      <c r="PSC20" s="72"/>
      <c r="PSD20" s="72"/>
      <c r="PSE20" s="72"/>
      <c r="PSF20" s="72"/>
      <c r="PSG20" s="72"/>
      <c r="PSH20" s="72"/>
      <c r="PSI20" s="72"/>
      <c r="PSJ20" s="72"/>
      <c r="PSK20" s="72"/>
      <c r="PSL20" s="72"/>
      <c r="PSM20" s="72"/>
      <c r="PSN20" s="72"/>
      <c r="PSO20" s="72"/>
      <c r="PSP20" s="72"/>
      <c r="PSQ20" s="72"/>
      <c r="PSR20" s="72"/>
      <c r="PSS20" s="72"/>
      <c r="PST20" s="72"/>
      <c r="PSU20" s="72"/>
      <c r="PSV20" s="72"/>
      <c r="PSW20" s="72"/>
      <c r="PSX20" s="72"/>
      <c r="PSY20" s="72"/>
      <c r="PSZ20" s="72"/>
      <c r="PTA20" s="72"/>
      <c r="PTB20" s="72"/>
      <c r="PTC20" s="72"/>
      <c r="PTD20" s="72"/>
      <c r="PTE20" s="72"/>
      <c r="PTF20" s="72"/>
      <c r="PTG20" s="72"/>
      <c r="PTH20" s="72"/>
      <c r="PTI20" s="72"/>
      <c r="PTJ20" s="72"/>
      <c r="PTK20" s="72"/>
      <c r="PTL20" s="72"/>
      <c r="PTM20" s="72"/>
      <c r="PTN20" s="72"/>
      <c r="PTO20" s="72"/>
      <c r="PTP20" s="72"/>
      <c r="PTQ20" s="72"/>
      <c r="PTR20" s="72"/>
      <c r="PTS20" s="72"/>
      <c r="PTT20" s="72"/>
      <c r="PTU20" s="72"/>
      <c r="PTV20" s="72"/>
      <c r="PTW20" s="72"/>
      <c r="PTX20" s="72"/>
      <c r="PTY20" s="72"/>
      <c r="PTZ20" s="72"/>
      <c r="PUA20" s="72"/>
      <c r="PUB20" s="72"/>
      <c r="PUC20" s="72"/>
      <c r="PUD20" s="72"/>
      <c r="PUE20" s="72"/>
      <c r="PUF20" s="72"/>
      <c r="PUG20" s="72"/>
      <c r="PUH20" s="72"/>
      <c r="PUI20" s="72"/>
      <c r="PUJ20" s="72"/>
      <c r="PUK20" s="72"/>
      <c r="PUL20" s="72"/>
      <c r="PUM20" s="72"/>
      <c r="PUN20" s="72"/>
      <c r="PUO20" s="72"/>
      <c r="PUP20" s="72"/>
      <c r="PUQ20" s="72"/>
      <c r="PUR20" s="72"/>
      <c r="PUS20" s="72"/>
      <c r="PUT20" s="72"/>
      <c r="PUU20" s="72"/>
      <c r="PUV20" s="72"/>
      <c r="PUW20" s="72"/>
      <c r="PUX20" s="72"/>
      <c r="PUY20" s="72"/>
      <c r="PUZ20" s="72"/>
      <c r="PVA20" s="72"/>
      <c r="PVB20" s="72"/>
      <c r="PVC20" s="72"/>
      <c r="PVD20" s="72"/>
      <c r="PVE20" s="72"/>
      <c r="PVF20" s="72"/>
      <c r="PVG20" s="72"/>
      <c r="PVH20" s="72"/>
      <c r="PVI20" s="72"/>
      <c r="PVJ20" s="72"/>
      <c r="PVK20" s="72"/>
      <c r="PVL20" s="72"/>
      <c r="PVM20" s="72"/>
      <c r="PVN20" s="72"/>
      <c r="PVO20" s="72"/>
      <c r="PVP20" s="72"/>
      <c r="PVQ20" s="72"/>
      <c r="PVR20" s="72"/>
      <c r="PVS20" s="72"/>
      <c r="PVT20" s="72"/>
      <c r="PVU20" s="72"/>
      <c r="PVV20" s="72"/>
      <c r="PVW20" s="72"/>
      <c r="PVX20" s="72"/>
      <c r="PVY20" s="72"/>
      <c r="PVZ20" s="72"/>
      <c r="PWA20" s="72"/>
      <c r="PWB20" s="72"/>
      <c r="PWC20" s="72"/>
      <c r="PWD20" s="72"/>
      <c r="PWE20" s="72"/>
      <c r="PWF20" s="72"/>
      <c r="PWG20" s="72"/>
      <c r="PWH20" s="72"/>
      <c r="PWI20" s="72"/>
      <c r="PWJ20" s="72"/>
      <c r="PWK20" s="72"/>
      <c r="PWL20" s="72"/>
      <c r="PWM20" s="72"/>
      <c r="PWN20" s="72"/>
      <c r="PWO20" s="72"/>
      <c r="PWP20" s="72"/>
      <c r="PWQ20" s="72"/>
      <c r="PWR20" s="72"/>
      <c r="PWS20" s="72"/>
      <c r="PWT20" s="72"/>
      <c r="PWU20" s="72"/>
      <c r="PWV20" s="72"/>
      <c r="PWW20" s="72"/>
      <c r="PWX20" s="72"/>
      <c r="PWY20" s="72"/>
      <c r="PWZ20" s="72"/>
      <c r="PXA20" s="72"/>
      <c r="PXB20" s="72"/>
      <c r="PXC20" s="72"/>
      <c r="PXD20" s="72"/>
      <c r="PXE20" s="72"/>
      <c r="PXF20" s="72"/>
      <c r="PXG20" s="72"/>
      <c r="PXH20" s="72"/>
      <c r="PXI20" s="72"/>
      <c r="PXJ20" s="72"/>
      <c r="PXK20" s="72"/>
      <c r="PXL20" s="72"/>
      <c r="PXM20" s="72"/>
      <c r="PXN20" s="72"/>
      <c r="PXO20" s="72"/>
      <c r="PXP20" s="72"/>
      <c r="PXQ20" s="72"/>
      <c r="PXR20" s="72"/>
      <c r="PXS20" s="72"/>
      <c r="PXT20" s="72"/>
      <c r="PXU20" s="72"/>
      <c r="PXV20" s="72"/>
      <c r="PXW20" s="72"/>
      <c r="PXX20" s="72"/>
      <c r="PXY20" s="72"/>
      <c r="PXZ20" s="72"/>
      <c r="PYA20" s="72"/>
      <c r="PYB20" s="72"/>
      <c r="PYC20" s="72"/>
      <c r="PYD20" s="72"/>
      <c r="PYE20" s="72"/>
      <c r="PYF20" s="72"/>
      <c r="PYG20" s="72"/>
      <c r="PYH20" s="72"/>
      <c r="PYI20" s="72"/>
      <c r="PYJ20" s="72"/>
      <c r="PYK20" s="72"/>
      <c r="PYL20" s="72"/>
      <c r="PYM20" s="72"/>
      <c r="PYN20" s="72"/>
      <c r="PYO20" s="72"/>
      <c r="PYP20" s="72"/>
      <c r="PYQ20" s="72"/>
      <c r="PYR20" s="72"/>
      <c r="PYS20" s="72"/>
      <c r="PYT20" s="72"/>
      <c r="PYU20" s="72"/>
      <c r="PYV20" s="72"/>
      <c r="PYW20" s="72"/>
      <c r="PYX20" s="72"/>
      <c r="PYY20" s="72"/>
      <c r="PYZ20" s="72"/>
      <c r="PZA20" s="72"/>
      <c r="PZB20" s="72"/>
      <c r="PZC20" s="72"/>
      <c r="PZD20" s="72"/>
      <c r="PZE20" s="72"/>
      <c r="PZF20" s="72"/>
      <c r="PZG20" s="72"/>
      <c r="PZH20" s="72"/>
      <c r="PZI20" s="72"/>
      <c r="PZJ20" s="72"/>
      <c r="PZK20" s="72"/>
      <c r="PZL20" s="72"/>
      <c r="PZM20" s="72"/>
      <c r="PZN20" s="72"/>
      <c r="PZO20" s="72"/>
      <c r="PZP20" s="72"/>
      <c r="PZQ20" s="72"/>
      <c r="PZR20" s="72"/>
      <c r="PZS20" s="72"/>
      <c r="PZT20" s="72"/>
      <c r="PZU20" s="72"/>
      <c r="PZV20" s="72"/>
      <c r="PZW20" s="72"/>
      <c r="PZX20" s="72"/>
      <c r="PZY20" s="72"/>
      <c r="PZZ20" s="72"/>
      <c r="QAA20" s="72"/>
      <c r="QAB20" s="72"/>
      <c r="QAC20" s="72"/>
      <c r="QAD20" s="72"/>
      <c r="QAE20" s="72"/>
      <c r="QAF20" s="72"/>
      <c r="QAG20" s="72"/>
      <c r="QAH20" s="72"/>
      <c r="QAI20" s="72"/>
      <c r="QAJ20" s="72"/>
      <c r="QAK20" s="72"/>
      <c r="QAL20" s="72"/>
      <c r="QAM20" s="72"/>
      <c r="QAN20" s="72"/>
      <c r="QAO20" s="72"/>
      <c r="QAP20" s="72"/>
      <c r="QAQ20" s="72"/>
      <c r="QAR20" s="72"/>
      <c r="QAS20" s="72"/>
      <c r="QAT20" s="72"/>
      <c r="QAU20" s="72"/>
      <c r="QAV20" s="72"/>
      <c r="QAW20" s="72"/>
      <c r="QAX20" s="72"/>
      <c r="QAY20" s="72"/>
      <c r="QAZ20" s="72"/>
      <c r="QBA20" s="72"/>
      <c r="QBB20" s="72"/>
      <c r="QBC20" s="72"/>
      <c r="QBD20" s="72"/>
      <c r="QBE20" s="72"/>
      <c r="QBF20" s="72"/>
      <c r="QBG20" s="72"/>
      <c r="QBH20" s="72"/>
      <c r="QBI20" s="72"/>
      <c r="QBJ20" s="72"/>
      <c r="QBK20" s="72"/>
      <c r="QBL20" s="72"/>
      <c r="QBM20" s="72"/>
      <c r="QBN20" s="72"/>
      <c r="QBO20" s="72"/>
      <c r="QBP20" s="72"/>
      <c r="QBQ20" s="72"/>
      <c r="QBR20" s="72"/>
      <c r="QBS20" s="72"/>
      <c r="QBT20" s="72"/>
      <c r="QBU20" s="72"/>
      <c r="QBV20" s="72"/>
      <c r="QBW20" s="72"/>
      <c r="QBX20" s="72"/>
      <c r="QBY20" s="72"/>
      <c r="QBZ20" s="72"/>
      <c r="QCA20" s="72"/>
      <c r="QCB20" s="72"/>
      <c r="QCC20" s="72"/>
      <c r="QCD20" s="72"/>
      <c r="QCE20" s="72"/>
      <c r="QCF20" s="72"/>
      <c r="QCG20" s="72"/>
      <c r="QCH20" s="72"/>
      <c r="QCI20" s="72"/>
      <c r="QCJ20" s="72"/>
      <c r="QCK20" s="72"/>
      <c r="QCL20" s="72"/>
      <c r="QCM20" s="72"/>
      <c r="QCN20" s="72"/>
      <c r="QCO20" s="72"/>
      <c r="QCP20" s="72"/>
      <c r="QCQ20" s="72"/>
      <c r="QCR20" s="72"/>
      <c r="QCS20" s="72"/>
      <c r="QCT20" s="72"/>
      <c r="QCU20" s="72"/>
      <c r="QCV20" s="72"/>
      <c r="QCW20" s="72"/>
      <c r="QCX20" s="72"/>
      <c r="QCY20" s="72"/>
      <c r="QCZ20" s="72"/>
      <c r="QDA20" s="72"/>
      <c r="QDB20" s="72"/>
      <c r="QDC20" s="72"/>
      <c r="QDD20" s="72"/>
      <c r="QDE20" s="72"/>
      <c r="QDF20" s="72"/>
      <c r="QDG20" s="72"/>
      <c r="QDH20" s="72"/>
      <c r="QDI20" s="72"/>
      <c r="QDJ20" s="72"/>
      <c r="QDK20" s="72"/>
      <c r="QDL20" s="72"/>
      <c r="QDM20" s="72"/>
      <c r="QDN20" s="72"/>
      <c r="QDO20" s="72"/>
      <c r="QDP20" s="72"/>
      <c r="QDQ20" s="72"/>
      <c r="QDR20" s="72"/>
      <c r="QDS20" s="72"/>
      <c r="QDT20" s="72"/>
      <c r="QDU20" s="72"/>
      <c r="QDV20" s="72"/>
      <c r="QDW20" s="72"/>
      <c r="QDX20" s="72"/>
      <c r="QDY20" s="72"/>
      <c r="QDZ20" s="72"/>
      <c r="QEA20" s="72"/>
      <c r="QEB20" s="72"/>
      <c r="QEC20" s="72"/>
      <c r="QED20" s="72"/>
      <c r="QEE20" s="72"/>
      <c r="QEF20" s="72"/>
      <c r="QEG20" s="72"/>
      <c r="QEH20" s="72"/>
      <c r="QEI20" s="72"/>
      <c r="QEJ20" s="72"/>
      <c r="QEK20" s="72"/>
      <c r="QEL20" s="72"/>
      <c r="QEM20" s="72"/>
      <c r="QEN20" s="72"/>
      <c r="QEO20" s="72"/>
      <c r="QEP20" s="72"/>
      <c r="QEQ20" s="72"/>
      <c r="QER20" s="72"/>
      <c r="QES20" s="72"/>
      <c r="QET20" s="72"/>
      <c r="QEU20" s="72"/>
      <c r="QEV20" s="72"/>
      <c r="QEW20" s="72"/>
      <c r="QEX20" s="72"/>
      <c r="QEY20" s="72"/>
      <c r="QEZ20" s="72"/>
      <c r="QFA20" s="72"/>
      <c r="QFB20" s="72"/>
      <c r="QFC20" s="72"/>
      <c r="QFD20" s="72"/>
      <c r="QFE20" s="72"/>
      <c r="QFF20" s="72"/>
      <c r="QFG20" s="72"/>
      <c r="QFH20" s="72"/>
      <c r="QFI20" s="72"/>
      <c r="QFJ20" s="72"/>
      <c r="QFK20" s="72"/>
      <c r="QFL20" s="72"/>
      <c r="QFM20" s="72"/>
      <c r="QFN20" s="72"/>
      <c r="QFO20" s="72"/>
      <c r="QFP20" s="72"/>
      <c r="QFQ20" s="72"/>
      <c r="QFR20" s="72"/>
      <c r="QFS20" s="72"/>
      <c r="QFT20" s="72"/>
      <c r="QFU20" s="72"/>
      <c r="QFV20" s="72"/>
      <c r="QFW20" s="72"/>
      <c r="QFX20" s="72"/>
      <c r="QFY20" s="72"/>
      <c r="QFZ20" s="72"/>
      <c r="QGA20" s="72"/>
      <c r="QGB20" s="72"/>
      <c r="QGC20" s="72"/>
      <c r="QGD20" s="72"/>
      <c r="QGE20" s="72"/>
      <c r="QGF20" s="72"/>
      <c r="QGG20" s="72"/>
      <c r="QGH20" s="72"/>
      <c r="QGI20" s="72"/>
      <c r="QGJ20" s="72"/>
      <c r="QGK20" s="72"/>
      <c r="QGL20" s="72"/>
      <c r="QGM20" s="72"/>
      <c r="QGN20" s="72"/>
      <c r="QGO20" s="72"/>
      <c r="QGP20" s="72"/>
      <c r="QGQ20" s="72"/>
      <c r="QGR20" s="72"/>
      <c r="QGS20" s="72"/>
      <c r="QGT20" s="72"/>
      <c r="QGU20" s="72"/>
      <c r="QGV20" s="72"/>
      <c r="QGW20" s="72"/>
      <c r="QGX20" s="72"/>
      <c r="QGY20" s="72"/>
      <c r="QGZ20" s="72"/>
      <c r="QHA20" s="72"/>
      <c r="QHB20" s="72"/>
      <c r="QHC20" s="72"/>
      <c r="QHD20" s="72"/>
      <c r="QHE20" s="72"/>
      <c r="QHF20" s="72"/>
      <c r="QHG20" s="72"/>
      <c r="QHH20" s="72"/>
      <c r="QHI20" s="72"/>
      <c r="QHJ20" s="72"/>
      <c r="QHK20" s="72"/>
      <c r="QHL20" s="72"/>
      <c r="QHM20" s="72"/>
      <c r="QHN20" s="72"/>
      <c r="QHO20" s="72"/>
      <c r="QHP20" s="72"/>
      <c r="QHQ20" s="72"/>
      <c r="QHR20" s="72"/>
      <c r="QHS20" s="72"/>
      <c r="QHT20" s="72"/>
      <c r="QHU20" s="72"/>
      <c r="QHV20" s="72"/>
      <c r="QHW20" s="72"/>
      <c r="QHX20" s="72"/>
      <c r="QHY20" s="72"/>
      <c r="QHZ20" s="72"/>
      <c r="QIA20" s="72"/>
      <c r="QIB20" s="72"/>
      <c r="QIC20" s="72"/>
      <c r="QID20" s="72"/>
      <c r="QIE20" s="72"/>
      <c r="QIF20" s="72"/>
      <c r="QIG20" s="72"/>
      <c r="QIH20" s="72"/>
      <c r="QII20" s="72"/>
      <c r="QIJ20" s="72"/>
      <c r="QIK20" s="72"/>
      <c r="QIL20" s="72"/>
      <c r="QIM20" s="72"/>
      <c r="QIN20" s="72"/>
      <c r="QIO20" s="72"/>
      <c r="QIP20" s="72"/>
      <c r="QIQ20" s="72"/>
      <c r="QIR20" s="72"/>
      <c r="QIS20" s="72"/>
      <c r="QIT20" s="72"/>
      <c r="QIU20" s="72"/>
      <c r="QIV20" s="72"/>
      <c r="QIW20" s="72"/>
      <c r="QIX20" s="72"/>
      <c r="QIY20" s="72"/>
      <c r="QIZ20" s="72"/>
      <c r="QJA20" s="72"/>
      <c r="QJB20" s="72"/>
      <c r="QJC20" s="72"/>
      <c r="QJD20" s="72"/>
      <c r="QJE20" s="72"/>
      <c r="QJF20" s="72"/>
      <c r="QJG20" s="72"/>
      <c r="QJH20" s="72"/>
      <c r="QJI20" s="72"/>
      <c r="QJJ20" s="72"/>
      <c r="QJK20" s="72"/>
      <c r="QJL20" s="72"/>
      <c r="QJM20" s="72"/>
      <c r="QJN20" s="72"/>
      <c r="QJO20" s="72"/>
      <c r="QJP20" s="72"/>
      <c r="QJQ20" s="72"/>
      <c r="QJR20" s="72"/>
      <c r="QJS20" s="72"/>
      <c r="QJT20" s="72"/>
      <c r="QJU20" s="72"/>
      <c r="QJV20" s="72"/>
      <c r="QJW20" s="72"/>
      <c r="QJX20" s="72"/>
      <c r="QJY20" s="72"/>
      <c r="QJZ20" s="72"/>
      <c r="QKA20" s="72"/>
      <c r="QKB20" s="72"/>
      <c r="QKC20" s="72"/>
      <c r="QKD20" s="72"/>
      <c r="QKE20" s="72"/>
      <c r="QKF20" s="72"/>
      <c r="QKG20" s="72"/>
      <c r="QKH20" s="72"/>
      <c r="QKI20" s="72"/>
      <c r="QKJ20" s="72"/>
      <c r="QKK20" s="72"/>
      <c r="QKL20" s="72"/>
      <c r="QKM20" s="72"/>
      <c r="QKN20" s="72"/>
      <c r="QKO20" s="72"/>
      <c r="QKP20" s="72"/>
      <c r="QKQ20" s="72"/>
      <c r="QKR20" s="72"/>
      <c r="QKS20" s="72"/>
      <c r="QKT20" s="72"/>
      <c r="QKU20" s="72"/>
      <c r="QKV20" s="72"/>
      <c r="QKW20" s="72"/>
      <c r="QKX20" s="72"/>
      <c r="QKY20" s="72"/>
      <c r="QKZ20" s="72"/>
      <c r="QLA20" s="72"/>
      <c r="QLB20" s="72"/>
      <c r="QLC20" s="72"/>
      <c r="QLD20" s="72"/>
      <c r="QLE20" s="72"/>
      <c r="QLF20" s="72"/>
      <c r="QLG20" s="72"/>
      <c r="QLH20" s="72"/>
      <c r="QLI20" s="72"/>
      <c r="QLJ20" s="72"/>
      <c r="QLK20" s="72"/>
      <c r="QLL20" s="72"/>
      <c r="QLM20" s="72"/>
      <c r="QLN20" s="72"/>
      <c r="QLO20" s="72"/>
      <c r="QLP20" s="72"/>
      <c r="QLQ20" s="72"/>
      <c r="QLR20" s="72"/>
      <c r="QLS20" s="72"/>
      <c r="QLT20" s="72"/>
      <c r="QLU20" s="72"/>
      <c r="QLV20" s="72"/>
      <c r="QLW20" s="72"/>
      <c r="QLX20" s="72"/>
      <c r="QLY20" s="72"/>
      <c r="QLZ20" s="72"/>
      <c r="QMA20" s="72"/>
      <c r="QMB20" s="72"/>
      <c r="QMC20" s="72"/>
      <c r="QMD20" s="72"/>
      <c r="QME20" s="72"/>
      <c r="QMF20" s="72"/>
      <c r="QMG20" s="72"/>
      <c r="QMH20" s="72"/>
      <c r="QMI20" s="72"/>
      <c r="QMJ20" s="72"/>
      <c r="QMK20" s="72"/>
      <c r="QML20" s="72"/>
      <c r="QMM20" s="72"/>
      <c r="QMN20" s="72"/>
      <c r="QMO20" s="72"/>
      <c r="QMP20" s="72"/>
      <c r="QMQ20" s="72"/>
      <c r="QMR20" s="72"/>
      <c r="QMS20" s="72"/>
      <c r="QMT20" s="72"/>
      <c r="QMU20" s="72"/>
      <c r="QMV20" s="72"/>
      <c r="QMW20" s="72"/>
      <c r="QMX20" s="72"/>
      <c r="QMY20" s="72"/>
      <c r="QMZ20" s="72"/>
      <c r="QNA20" s="72"/>
      <c r="QNB20" s="72"/>
      <c r="QNC20" s="72"/>
      <c r="QND20" s="72"/>
      <c r="QNE20" s="72"/>
      <c r="QNF20" s="72"/>
      <c r="QNG20" s="72"/>
      <c r="QNH20" s="72"/>
      <c r="QNI20" s="72"/>
      <c r="QNJ20" s="72"/>
      <c r="QNK20" s="72"/>
      <c r="QNL20" s="72"/>
      <c r="QNM20" s="72"/>
      <c r="QNN20" s="72"/>
      <c r="QNO20" s="72"/>
      <c r="QNP20" s="72"/>
      <c r="QNQ20" s="72"/>
      <c r="QNR20" s="72"/>
      <c r="QNS20" s="72"/>
      <c r="QNT20" s="72"/>
      <c r="QNU20" s="72"/>
      <c r="QNV20" s="72"/>
      <c r="QNW20" s="72"/>
      <c r="QNX20" s="72"/>
      <c r="QNY20" s="72"/>
      <c r="QNZ20" s="72"/>
      <c r="QOA20" s="72"/>
      <c r="QOB20" s="72"/>
      <c r="QOC20" s="72"/>
      <c r="QOD20" s="72"/>
      <c r="QOE20" s="72"/>
      <c r="QOF20" s="72"/>
      <c r="QOG20" s="72"/>
      <c r="QOH20" s="72"/>
      <c r="QOI20" s="72"/>
      <c r="QOJ20" s="72"/>
      <c r="QOK20" s="72"/>
      <c r="QOL20" s="72"/>
      <c r="QOM20" s="72"/>
      <c r="QON20" s="72"/>
      <c r="QOO20" s="72"/>
      <c r="QOP20" s="72"/>
      <c r="QOQ20" s="72"/>
      <c r="QOR20" s="72"/>
      <c r="QOS20" s="72"/>
      <c r="QOT20" s="72"/>
      <c r="QOU20" s="72"/>
      <c r="QOV20" s="72"/>
      <c r="QOW20" s="72"/>
      <c r="QOX20" s="72"/>
      <c r="QOY20" s="72"/>
      <c r="QOZ20" s="72"/>
      <c r="QPA20" s="72"/>
      <c r="QPB20" s="72"/>
      <c r="QPC20" s="72"/>
      <c r="QPD20" s="72"/>
      <c r="QPE20" s="72"/>
      <c r="QPF20" s="72"/>
      <c r="QPG20" s="72"/>
      <c r="QPH20" s="72"/>
      <c r="QPI20" s="72"/>
      <c r="QPJ20" s="72"/>
      <c r="QPK20" s="72"/>
      <c r="QPL20" s="72"/>
      <c r="QPM20" s="72"/>
      <c r="QPN20" s="72"/>
      <c r="QPO20" s="72"/>
      <c r="QPP20" s="72"/>
      <c r="QPQ20" s="72"/>
      <c r="QPR20" s="72"/>
      <c r="QPS20" s="72"/>
      <c r="QPT20" s="72"/>
      <c r="QPU20" s="72"/>
      <c r="QPV20" s="72"/>
      <c r="QPW20" s="72"/>
      <c r="QPX20" s="72"/>
      <c r="QPY20" s="72"/>
      <c r="QPZ20" s="72"/>
      <c r="QQA20" s="72"/>
      <c r="QQB20" s="72"/>
      <c r="QQC20" s="72"/>
      <c r="QQD20" s="72"/>
      <c r="QQE20" s="72"/>
      <c r="QQF20" s="72"/>
      <c r="QQG20" s="72"/>
      <c r="QQH20" s="72"/>
      <c r="QQI20" s="72"/>
      <c r="QQJ20" s="72"/>
      <c r="QQK20" s="72"/>
      <c r="QQL20" s="72"/>
      <c r="QQM20" s="72"/>
      <c r="QQN20" s="72"/>
      <c r="QQO20" s="72"/>
      <c r="QQP20" s="72"/>
      <c r="QQQ20" s="72"/>
      <c r="QQR20" s="72"/>
      <c r="QQS20" s="72"/>
      <c r="QQT20" s="72"/>
      <c r="QQU20" s="72"/>
      <c r="QQV20" s="72"/>
      <c r="QQW20" s="72"/>
      <c r="QQX20" s="72"/>
      <c r="QQY20" s="72"/>
      <c r="QQZ20" s="72"/>
      <c r="QRA20" s="72"/>
      <c r="QRB20" s="72"/>
      <c r="QRC20" s="72"/>
      <c r="QRD20" s="72"/>
      <c r="QRE20" s="72"/>
      <c r="QRF20" s="72"/>
      <c r="QRG20" s="72"/>
      <c r="QRH20" s="72"/>
      <c r="QRI20" s="72"/>
      <c r="QRJ20" s="72"/>
      <c r="QRK20" s="72"/>
      <c r="QRL20" s="72"/>
      <c r="QRM20" s="72"/>
      <c r="QRN20" s="72"/>
      <c r="QRO20" s="72"/>
      <c r="QRP20" s="72"/>
      <c r="QRQ20" s="72"/>
      <c r="QRR20" s="72"/>
      <c r="QRS20" s="72"/>
      <c r="QRT20" s="72"/>
      <c r="QRU20" s="72"/>
      <c r="QRV20" s="72"/>
      <c r="QRW20" s="72"/>
      <c r="QRX20" s="72"/>
      <c r="QRY20" s="72"/>
      <c r="QRZ20" s="72"/>
      <c r="QSA20" s="72"/>
      <c r="QSB20" s="72"/>
      <c r="QSC20" s="72"/>
      <c r="QSD20" s="72"/>
      <c r="QSE20" s="72"/>
      <c r="QSF20" s="72"/>
      <c r="QSG20" s="72"/>
      <c r="QSH20" s="72"/>
      <c r="QSI20" s="72"/>
      <c r="QSJ20" s="72"/>
      <c r="QSK20" s="72"/>
      <c r="QSL20" s="72"/>
      <c r="QSM20" s="72"/>
      <c r="QSN20" s="72"/>
      <c r="QSO20" s="72"/>
      <c r="QSP20" s="72"/>
      <c r="QSQ20" s="72"/>
      <c r="QSR20" s="72"/>
      <c r="QSS20" s="72"/>
      <c r="QST20" s="72"/>
      <c r="QSU20" s="72"/>
      <c r="QSV20" s="72"/>
      <c r="QSW20" s="72"/>
      <c r="QSX20" s="72"/>
      <c r="QSY20" s="72"/>
      <c r="QSZ20" s="72"/>
      <c r="QTA20" s="72"/>
      <c r="QTB20" s="72"/>
      <c r="QTC20" s="72"/>
      <c r="QTD20" s="72"/>
      <c r="QTE20" s="72"/>
      <c r="QTF20" s="72"/>
      <c r="QTG20" s="72"/>
      <c r="QTH20" s="72"/>
      <c r="QTI20" s="72"/>
      <c r="QTJ20" s="72"/>
      <c r="QTK20" s="72"/>
      <c r="QTL20" s="72"/>
      <c r="QTM20" s="72"/>
      <c r="QTN20" s="72"/>
      <c r="QTO20" s="72"/>
      <c r="QTP20" s="72"/>
      <c r="QTQ20" s="72"/>
      <c r="QTR20" s="72"/>
      <c r="QTS20" s="72"/>
      <c r="QTT20" s="72"/>
      <c r="QTU20" s="72"/>
      <c r="QTV20" s="72"/>
      <c r="QTW20" s="72"/>
      <c r="QTX20" s="72"/>
      <c r="QTY20" s="72"/>
      <c r="QTZ20" s="72"/>
      <c r="QUA20" s="72"/>
      <c r="QUB20" s="72"/>
      <c r="QUC20" s="72"/>
      <c r="QUD20" s="72"/>
      <c r="QUE20" s="72"/>
      <c r="QUF20" s="72"/>
      <c r="QUG20" s="72"/>
      <c r="QUH20" s="72"/>
      <c r="QUI20" s="72"/>
      <c r="QUJ20" s="72"/>
      <c r="QUK20" s="72"/>
      <c r="QUL20" s="72"/>
      <c r="QUM20" s="72"/>
      <c r="QUN20" s="72"/>
      <c r="QUO20" s="72"/>
      <c r="QUP20" s="72"/>
      <c r="QUQ20" s="72"/>
      <c r="QUR20" s="72"/>
      <c r="QUS20" s="72"/>
      <c r="QUT20" s="72"/>
      <c r="QUU20" s="72"/>
      <c r="QUV20" s="72"/>
      <c r="QUW20" s="72"/>
      <c r="QUX20" s="72"/>
      <c r="QUY20" s="72"/>
      <c r="QUZ20" s="72"/>
      <c r="QVA20" s="72"/>
      <c r="QVB20" s="72"/>
      <c r="QVC20" s="72"/>
      <c r="QVD20" s="72"/>
      <c r="QVE20" s="72"/>
      <c r="QVF20" s="72"/>
      <c r="QVG20" s="72"/>
      <c r="QVH20" s="72"/>
      <c r="QVI20" s="72"/>
      <c r="QVJ20" s="72"/>
      <c r="QVK20" s="72"/>
      <c r="QVL20" s="72"/>
      <c r="QVM20" s="72"/>
      <c r="QVN20" s="72"/>
      <c r="QVO20" s="72"/>
      <c r="QVP20" s="72"/>
      <c r="QVQ20" s="72"/>
      <c r="QVR20" s="72"/>
      <c r="QVS20" s="72"/>
      <c r="QVT20" s="72"/>
      <c r="QVU20" s="72"/>
      <c r="QVV20" s="72"/>
      <c r="QVW20" s="72"/>
      <c r="QVX20" s="72"/>
      <c r="QVY20" s="72"/>
      <c r="QVZ20" s="72"/>
      <c r="QWA20" s="72"/>
      <c r="QWB20" s="72"/>
      <c r="QWC20" s="72"/>
      <c r="QWD20" s="72"/>
      <c r="QWE20" s="72"/>
      <c r="QWF20" s="72"/>
      <c r="QWG20" s="72"/>
      <c r="QWH20" s="72"/>
      <c r="QWI20" s="72"/>
      <c r="QWJ20" s="72"/>
      <c r="QWK20" s="72"/>
      <c r="QWL20" s="72"/>
      <c r="QWM20" s="72"/>
      <c r="QWN20" s="72"/>
      <c r="QWO20" s="72"/>
      <c r="QWP20" s="72"/>
      <c r="QWQ20" s="72"/>
      <c r="QWR20" s="72"/>
      <c r="QWS20" s="72"/>
      <c r="QWT20" s="72"/>
      <c r="QWU20" s="72"/>
      <c r="QWV20" s="72"/>
      <c r="QWW20" s="72"/>
      <c r="QWX20" s="72"/>
      <c r="QWY20" s="72"/>
      <c r="QWZ20" s="72"/>
      <c r="QXA20" s="72"/>
      <c r="QXB20" s="72"/>
      <c r="QXC20" s="72"/>
      <c r="QXD20" s="72"/>
      <c r="QXE20" s="72"/>
      <c r="QXF20" s="72"/>
      <c r="QXG20" s="72"/>
      <c r="QXH20" s="72"/>
      <c r="QXI20" s="72"/>
      <c r="QXJ20" s="72"/>
      <c r="QXK20" s="72"/>
      <c r="QXL20" s="72"/>
      <c r="QXM20" s="72"/>
      <c r="QXN20" s="72"/>
      <c r="QXO20" s="72"/>
      <c r="QXP20" s="72"/>
      <c r="QXQ20" s="72"/>
      <c r="QXR20" s="72"/>
      <c r="QXS20" s="72"/>
      <c r="QXT20" s="72"/>
      <c r="QXU20" s="72"/>
      <c r="QXV20" s="72"/>
      <c r="QXW20" s="72"/>
      <c r="QXX20" s="72"/>
      <c r="QXY20" s="72"/>
      <c r="QXZ20" s="72"/>
      <c r="QYA20" s="72"/>
      <c r="QYB20" s="72"/>
      <c r="QYC20" s="72"/>
      <c r="QYD20" s="72"/>
      <c r="QYE20" s="72"/>
      <c r="QYF20" s="72"/>
      <c r="QYG20" s="72"/>
      <c r="QYH20" s="72"/>
      <c r="QYI20" s="72"/>
      <c r="QYJ20" s="72"/>
      <c r="QYK20" s="72"/>
      <c r="QYL20" s="72"/>
      <c r="QYM20" s="72"/>
      <c r="QYN20" s="72"/>
      <c r="QYO20" s="72"/>
      <c r="QYP20" s="72"/>
      <c r="QYQ20" s="72"/>
      <c r="QYR20" s="72"/>
      <c r="QYS20" s="72"/>
      <c r="QYT20" s="72"/>
      <c r="QYU20" s="72"/>
      <c r="QYV20" s="72"/>
      <c r="QYW20" s="72"/>
      <c r="QYX20" s="72"/>
      <c r="QYY20" s="72"/>
      <c r="QYZ20" s="72"/>
      <c r="QZA20" s="72"/>
      <c r="QZB20" s="72"/>
      <c r="QZC20" s="72"/>
      <c r="QZD20" s="72"/>
      <c r="QZE20" s="72"/>
      <c r="QZF20" s="72"/>
      <c r="QZG20" s="72"/>
      <c r="QZH20" s="72"/>
      <c r="QZI20" s="72"/>
      <c r="QZJ20" s="72"/>
      <c r="QZK20" s="72"/>
      <c r="QZL20" s="72"/>
      <c r="QZM20" s="72"/>
      <c r="QZN20" s="72"/>
      <c r="QZO20" s="72"/>
      <c r="QZP20" s="72"/>
      <c r="QZQ20" s="72"/>
      <c r="QZR20" s="72"/>
      <c r="QZS20" s="72"/>
      <c r="QZT20" s="72"/>
      <c r="QZU20" s="72"/>
      <c r="QZV20" s="72"/>
      <c r="QZW20" s="72"/>
      <c r="QZX20" s="72"/>
      <c r="QZY20" s="72"/>
      <c r="QZZ20" s="72"/>
      <c r="RAA20" s="72"/>
      <c r="RAB20" s="72"/>
      <c r="RAC20" s="72"/>
      <c r="RAD20" s="72"/>
      <c r="RAE20" s="72"/>
      <c r="RAF20" s="72"/>
      <c r="RAG20" s="72"/>
      <c r="RAH20" s="72"/>
      <c r="RAI20" s="72"/>
      <c r="RAJ20" s="72"/>
      <c r="RAK20" s="72"/>
      <c r="RAL20" s="72"/>
      <c r="RAM20" s="72"/>
      <c r="RAN20" s="72"/>
      <c r="RAO20" s="72"/>
      <c r="RAP20" s="72"/>
      <c r="RAQ20" s="72"/>
      <c r="RAR20" s="72"/>
      <c r="RAS20" s="72"/>
      <c r="RAT20" s="72"/>
      <c r="RAU20" s="72"/>
      <c r="RAV20" s="72"/>
      <c r="RAW20" s="72"/>
      <c r="RAX20" s="72"/>
      <c r="RAY20" s="72"/>
      <c r="RAZ20" s="72"/>
      <c r="RBA20" s="72"/>
      <c r="RBB20" s="72"/>
      <c r="RBC20" s="72"/>
      <c r="RBD20" s="72"/>
      <c r="RBE20" s="72"/>
      <c r="RBF20" s="72"/>
      <c r="RBG20" s="72"/>
      <c r="RBH20" s="72"/>
      <c r="RBI20" s="72"/>
      <c r="RBJ20" s="72"/>
      <c r="RBK20" s="72"/>
      <c r="RBL20" s="72"/>
      <c r="RBM20" s="72"/>
      <c r="RBN20" s="72"/>
      <c r="RBO20" s="72"/>
      <c r="RBP20" s="72"/>
      <c r="RBQ20" s="72"/>
      <c r="RBR20" s="72"/>
      <c r="RBS20" s="72"/>
      <c r="RBT20" s="72"/>
      <c r="RBU20" s="72"/>
      <c r="RBV20" s="72"/>
      <c r="RBW20" s="72"/>
      <c r="RBX20" s="72"/>
      <c r="RBY20" s="72"/>
      <c r="RBZ20" s="72"/>
      <c r="RCA20" s="72"/>
      <c r="RCB20" s="72"/>
      <c r="RCC20" s="72"/>
      <c r="RCD20" s="72"/>
      <c r="RCE20" s="72"/>
      <c r="RCF20" s="72"/>
      <c r="RCG20" s="72"/>
      <c r="RCH20" s="72"/>
      <c r="RCI20" s="72"/>
      <c r="RCJ20" s="72"/>
      <c r="RCK20" s="72"/>
      <c r="RCL20" s="72"/>
      <c r="RCM20" s="72"/>
      <c r="RCN20" s="72"/>
      <c r="RCO20" s="72"/>
      <c r="RCP20" s="72"/>
      <c r="RCQ20" s="72"/>
      <c r="RCR20" s="72"/>
      <c r="RCS20" s="72"/>
      <c r="RCT20" s="72"/>
      <c r="RCU20" s="72"/>
      <c r="RCV20" s="72"/>
      <c r="RCW20" s="72"/>
      <c r="RCX20" s="72"/>
      <c r="RCY20" s="72"/>
      <c r="RCZ20" s="72"/>
      <c r="RDA20" s="72"/>
      <c r="RDB20" s="72"/>
      <c r="RDC20" s="72"/>
      <c r="RDD20" s="72"/>
      <c r="RDE20" s="72"/>
      <c r="RDF20" s="72"/>
      <c r="RDG20" s="72"/>
      <c r="RDH20" s="72"/>
      <c r="RDI20" s="72"/>
      <c r="RDJ20" s="72"/>
      <c r="RDK20" s="72"/>
      <c r="RDL20" s="72"/>
      <c r="RDM20" s="72"/>
      <c r="RDN20" s="72"/>
      <c r="RDO20" s="72"/>
      <c r="RDP20" s="72"/>
      <c r="RDQ20" s="72"/>
      <c r="RDR20" s="72"/>
      <c r="RDS20" s="72"/>
      <c r="RDT20" s="72"/>
      <c r="RDU20" s="72"/>
      <c r="RDV20" s="72"/>
      <c r="RDW20" s="72"/>
      <c r="RDX20" s="72"/>
      <c r="RDY20" s="72"/>
      <c r="RDZ20" s="72"/>
      <c r="REA20" s="72"/>
      <c r="REB20" s="72"/>
      <c r="REC20" s="72"/>
      <c r="RED20" s="72"/>
      <c r="REE20" s="72"/>
      <c r="REF20" s="72"/>
      <c r="REG20" s="72"/>
      <c r="REH20" s="72"/>
      <c r="REI20" s="72"/>
      <c r="REJ20" s="72"/>
      <c r="REK20" s="72"/>
      <c r="REL20" s="72"/>
      <c r="REM20" s="72"/>
      <c r="REN20" s="72"/>
      <c r="REO20" s="72"/>
      <c r="REP20" s="72"/>
      <c r="REQ20" s="72"/>
      <c r="RER20" s="72"/>
      <c r="RES20" s="72"/>
      <c r="RET20" s="72"/>
      <c r="REU20" s="72"/>
      <c r="REV20" s="72"/>
      <c r="REW20" s="72"/>
      <c r="REX20" s="72"/>
      <c r="REY20" s="72"/>
      <c r="REZ20" s="72"/>
      <c r="RFA20" s="72"/>
      <c r="RFB20" s="72"/>
      <c r="RFC20" s="72"/>
      <c r="RFD20" s="72"/>
      <c r="RFE20" s="72"/>
      <c r="RFF20" s="72"/>
      <c r="RFG20" s="72"/>
      <c r="RFH20" s="72"/>
      <c r="RFI20" s="72"/>
      <c r="RFJ20" s="72"/>
      <c r="RFK20" s="72"/>
      <c r="RFL20" s="72"/>
      <c r="RFM20" s="72"/>
      <c r="RFN20" s="72"/>
      <c r="RFO20" s="72"/>
      <c r="RFP20" s="72"/>
      <c r="RFQ20" s="72"/>
      <c r="RFR20" s="72"/>
      <c r="RFS20" s="72"/>
      <c r="RFT20" s="72"/>
      <c r="RFU20" s="72"/>
      <c r="RFV20" s="72"/>
      <c r="RFW20" s="72"/>
      <c r="RFX20" s="72"/>
      <c r="RFY20" s="72"/>
      <c r="RFZ20" s="72"/>
      <c r="RGA20" s="72"/>
      <c r="RGB20" s="72"/>
      <c r="RGC20" s="72"/>
      <c r="RGD20" s="72"/>
      <c r="RGE20" s="72"/>
      <c r="RGF20" s="72"/>
      <c r="RGG20" s="72"/>
      <c r="RGH20" s="72"/>
      <c r="RGI20" s="72"/>
      <c r="RGJ20" s="72"/>
      <c r="RGK20" s="72"/>
      <c r="RGL20" s="72"/>
      <c r="RGM20" s="72"/>
      <c r="RGN20" s="72"/>
      <c r="RGO20" s="72"/>
      <c r="RGP20" s="72"/>
      <c r="RGQ20" s="72"/>
      <c r="RGR20" s="72"/>
      <c r="RGS20" s="72"/>
      <c r="RGT20" s="72"/>
      <c r="RGU20" s="72"/>
      <c r="RGV20" s="72"/>
      <c r="RGW20" s="72"/>
      <c r="RGX20" s="72"/>
      <c r="RGY20" s="72"/>
      <c r="RGZ20" s="72"/>
      <c r="RHA20" s="72"/>
      <c r="RHB20" s="72"/>
      <c r="RHC20" s="72"/>
      <c r="RHD20" s="72"/>
      <c r="RHE20" s="72"/>
      <c r="RHF20" s="72"/>
      <c r="RHG20" s="72"/>
      <c r="RHH20" s="72"/>
      <c r="RHI20" s="72"/>
      <c r="RHJ20" s="72"/>
      <c r="RHK20" s="72"/>
      <c r="RHL20" s="72"/>
      <c r="RHM20" s="72"/>
      <c r="RHN20" s="72"/>
      <c r="RHO20" s="72"/>
      <c r="RHP20" s="72"/>
      <c r="RHQ20" s="72"/>
      <c r="RHR20" s="72"/>
      <c r="RHS20" s="72"/>
      <c r="RHT20" s="72"/>
      <c r="RHU20" s="72"/>
      <c r="RHV20" s="72"/>
      <c r="RHW20" s="72"/>
      <c r="RHX20" s="72"/>
      <c r="RHY20" s="72"/>
      <c r="RHZ20" s="72"/>
      <c r="RIA20" s="72"/>
      <c r="RIB20" s="72"/>
      <c r="RIC20" s="72"/>
      <c r="RID20" s="72"/>
      <c r="RIE20" s="72"/>
      <c r="RIF20" s="72"/>
      <c r="RIG20" s="72"/>
      <c r="RIH20" s="72"/>
      <c r="RII20" s="72"/>
      <c r="RIJ20" s="72"/>
      <c r="RIK20" s="72"/>
      <c r="RIL20" s="72"/>
      <c r="RIM20" s="72"/>
      <c r="RIN20" s="72"/>
      <c r="RIO20" s="72"/>
      <c r="RIP20" s="72"/>
      <c r="RIQ20" s="72"/>
      <c r="RIR20" s="72"/>
      <c r="RIS20" s="72"/>
      <c r="RIT20" s="72"/>
      <c r="RIU20" s="72"/>
      <c r="RIV20" s="72"/>
      <c r="RIW20" s="72"/>
      <c r="RIX20" s="72"/>
      <c r="RIY20" s="72"/>
      <c r="RIZ20" s="72"/>
      <c r="RJA20" s="72"/>
      <c r="RJB20" s="72"/>
      <c r="RJC20" s="72"/>
      <c r="RJD20" s="72"/>
      <c r="RJE20" s="72"/>
      <c r="RJF20" s="72"/>
      <c r="RJG20" s="72"/>
      <c r="RJH20" s="72"/>
      <c r="RJI20" s="72"/>
      <c r="RJJ20" s="72"/>
      <c r="RJK20" s="72"/>
      <c r="RJL20" s="72"/>
      <c r="RJM20" s="72"/>
      <c r="RJN20" s="72"/>
      <c r="RJO20" s="72"/>
      <c r="RJP20" s="72"/>
      <c r="RJQ20" s="72"/>
      <c r="RJR20" s="72"/>
      <c r="RJS20" s="72"/>
      <c r="RJT20" s="72"/>
      <c r="RJU20" s="72"/>
      <c r="RJV20" s="72"/>
      <c r="RJW20" s="72"/>
      <c r="RJX20" s="72"/>
      <c r="RJY20" s="72"/>
      <c r="RJZ20" s="72"/>
      <c r="RKA20" s="72"/>
      <c r="RKB20" s="72"/>
      <c r="RKC20" s="72"/>
      <c r="RKD20" s="72"/>
      <c r="RKE20" s="72"/>
      <c r="RKF20" s="72"/>
      <c r="RKG20" s="72"/>
      <c r="RKH20" s="72"/>
      <c r="RKI20" s="72"/>
      <c r="RKJ20" s="72"/>
      <c r="RKK20" s="72"/>
      <c r="RKL20" s="72"/>
      <c r="RKM20" s="72"/>
      <c r="RKN20" s="72"/>
      <c r="RKO20" s="72"/>
      <c r="RKP20" s="72"/>
      <c r="RKQ20" s="72"/>
      <c r="RKR20" s="72"/>
      <c r="RKS20" s="72"/>
      <c r="RKT20" s="72"/>
      <c r="RKU20" s="72"/>
      <c r="RKV20" s="72"/>
      <c r="RKW20" s="72"/>
      <c r="RKX20" s="72"/>
      <c r="RKY20" s="72"/>
      <c r="RKZ20" s="72"/>
      <c r="RLA20" s="72"/>
      <c r="RLB20" s="72"/>
      <c r="RLC20" s="72"/>
      <c r="RLD20" s="72"/>
      <c r="RLE20" s="72"/>
      <c r="RLF20" s="72"/>
      <c r="RLG20" s="72"/>
      <c r="RLH20" s="72"/>
      <c r="RLI20" s="72"/>
      <c r="RLJ20" s="72"/>
      <c r="RLK20" s="72"/>
      <c r="RLL20" s="72"/>
      <c r="RLM20" s="72"/>
      <c r="RLN20" s="72"/>
      <c r="RLO20" s="72"/>
      <c r="RLP20" s="72"/>
      <c r="RLQ20" s="72"/>
      <c r="RLR20" s="72"/>
      <c r="RLS20" s="72"/>
      <c r="RLT20" s="72"/>
      <c r="RLU20" s="72"/>
      <c r="RLV20" s="72"/>
      <c r="RLW20" s="72"/>
      <c r="RLX20" s="72"/>
      <c r="RLY20" s="72"/>
      <c r="RLZ20" s="72"/>
      <c r="RMA20" s="72"/>
      <c r="RMB20" s="72"/>
      <c r="RMC20" s="72"/>
      <c r="RMD20" s="72"/>
      <c r="RME20" s="72"/>
      <c r="RMF20" s="72"/>
      <c r="RMG20" s="72"/>
      <c r="RMH20" s="72"/>
      <c r="RMI20" s="72"/>
      <c r="RMJ20" s="72"/>
      <c r="RMK20" s="72"/>
      <c r="RML20" s="72"/>
      <c r="RMM20" s="72"/>
      <c r="RMN20" s="72"/>
      <c r="RMO20" s="72"/>
      <c r="RMP20" s="72"/>
      <c r="RMQ20" s="72"/>
      <c r="RMR20" s="72"/>
      <c r="RMS20" s="72"/>
      <c r="RMT20" s="72"/>
      <c r="RMU20" s="72"/>
      <c r="RMV20" s="72"/>
      <c r="RMW20" s="72"/>
      <c r="RMX20" s="72"/>
      <c r="RMY20" s="72"/>
      <c r="RMZ20" s="72"/>
      <c r="RNA20" s="72"/>
      <c r="RNB20" s="72"/>
      <c r="RNC20" s="72"/>
      <c r="RND20" s="72"/>
      <c r="RNE20" s="72"/>
      <c r="RNF20" s="72"/>
      <c r="RNG20" s="72"/>
      <c r="RNH20" s="72"/>
      <c r="RNI20" s="72"/>
      <c r="RNJ20" s="72"/>
      <c r="RNK20" s="72"/>
      <c r="RNL20" s="72"/>
      <c r="RNM20" s="72"/>
      <c r="RNN20" s="72"/>
      <c r="RNO20" s="72"/>
      <c r="RNP20" s="72"/>
      <c r="RNQ20" s="72"/>
      <c r="RNR20" s="72"/>
      <c r="RNS20" s="72"/>
      <c r="RNT20" s="72"/>
      <c r="RNU20" s="72"/>
      <c r="RNV20" s="72"/>
      <c r="RNW20" s="72"/>
      <c r="RNX20" s="72"/>
      <c r="RNY20" s="72"/>
      <c r="RNZ20" s="72"/>
      <c r="ROA20" s="72"/>
      <c r="ROB20" s="72"/>
      <c r="ROC20" s="72"/>
      <c r="ROD20" s="72"/>
      <c r="ROE20" s="72"/>
      <c r="ROF20" s="72"/>
      <c r="ROG20" s="72"/>
      <c r="ROH20" s="72"/>
      <c r="ROI20" s="72"/>
      <c r="ROJ20" s="72"/>
      <c r="ROK20" s="72"/>
      <c r="ROL20" s="72"/>
      <c r="ROM20" s="72"/>
      <c r="RON20" s="72"/>
      <c r="ROO20" s="72"/>
      <c r="ROP20" s="72"/>
      <c r="ROQ20" s="72"/>
      <c r="ROR20" s="72"/>
      <c r="ROS20" s="72"/>
      <c r="ROT20" s="72"/>
      <c r="ROU20" s="72"/>
      <c r="ROV20" s="72"/>
      <c r="ROW20" s="72"/>
      <c r="ROX20" s="72"/>
      <c r="ROY20" s="72"/>
      <c r="ROZ20" s="72"/>
      <c r="RPA20" s="72"/>
      <c r="RPB20" s="72"/>
      <c r="RPC20" s="72"/>
      <c r="RPD20" s="72"/>
      <c r="RPE20" s="72"/>
      <c r="RPF20" s="72"/>
      <c r="RPG20" s="72"/>
      <c r="RPH20" s="72"/>
      <c r="RPI20" s="72"/>
      <c r="RPJ20" s="72"/>
      <c r="RPK20" s="72"/>
      <c r="RPL20" s="72"/>
      <c r="RPM20" s="72"/>
      <c r="RPN20" s="72"/>
      <c r="RPO20" s="72"/>
      <c r="RPP20" s="72"/>
      <c r="RPQ20" s="72"/>
      <c r="RPR20" s="72"/>
      <c r="RPS20" s="72"/>
      <c r="RPT20" s="72"/>
      <c r="RPU20" s="72"/>
      <c r="RPV20" s="72"/>
      <c r="RPW20" s="72"/>
      <c r="RPX20" s="72"/>
      <c r="RPY20" s="72"/>
      <c r="RPZ20" s="72"/>
      <c r="RQA20" s="72"/>
      <c r="RQB20" s="72"/>
      <c r="RQC20" s="72"/>
      <c r="RQD20" s="72"/>
      <c r="RQE20" s="72"/>
      <c r="RQF20" s="72"/>
      <c r="RQG20" s="72"/>
      <c r="RQH20" s="72"/>
      <c r="RQI20" s="72"/>
      <c r="RQJ20" s="72"/>
      <c r="RQK20" s="72"/>
      <c r="RQL20" s="72"/>
      <c r="RQM20" s="72"/>
      <c r="RQN20" s="72"/>
      <c r="RQO20" s="72"/>
      <c r="RQP20" s="72"/>
      <c r="RQQ20" s="72"/>
      <c r="RQR20" s="72"/>
      <c r="RQS20" s="72"/>
      <c r="RQT20" s="72"/>
      <c r="RQU20" s="72"/>
      <c r="RQV20" s="72"/>
      <c r="RQW20" s="72"/>
      <c r="RQX20" s="72"/>
      <c r="RQY20" s="72"/>
      <c r="RQZ20" s="72"/>
      <c r="RRA20" s="72"/>
      <c r="RRB20" s="72"/>
      <c r="RRC20" s="72"/>
      <c r="RRD20" s="72"/>
      <c r="RRE20" s="72"/>
      <c r="RRF20" s="72"/>
      <c r="RRG20" s="72"/>
      <c r="RRH20" s="72"/>
      <c r="RRI20" s="72"/>
      <c r="RRJ20" s="72"/>
      <c r="RRK20" s="72"/>
      <c r="RRL20" s="72"/>
      <c r="RRM20" s="72"/>
      <c r="RRN20" s="72"/>
      <c r="RRO20" s="72"/>
      <c r="RRP20" s="72"/>
      <c r="RRQ20" s="72"/>
      <c r="RRR20" s="72"/>
      <c r="RRS20" s="72"/>
      <c r="RRT20" s="72"/>
      <c r="RRU20" s="72"/>
      <c r="RRV20" s="72"/>
      <c r="RRW20" s="72"/>
      <c r="RRX20" s="72"/>
      <c r="RRY20" s="72"/>
      <c r="RRZ20" s="72"/>
      <c r="RSA20" s="72"/>
      <c r="RSB20" s="72"/>
      <c r="RSC20" s="72"/>
      <c r="RSD20" s="72"/>
      <c r="RSE20" s="72"/>
      <c r="RSF20" s="72"/>
      <c r="RSG20" s="72"/>
      <c r="RSH20" s="72"/>
      <c r="RSI20" s="72"/>
      <c r="RSJ20" s="72"/>
      <c r="RSK20" s="72"/>
      <c r="RSL20" s="72"/>
      <c r="RSM20" s="72"/>
      <c r="RSN20" s="72"/>
      <c r="RSO20" s="72"/>
      <c r="RSP20" s="72"/>
      <c r="RSQ20" s="72"/>
      <c r="RSR20" s="72"/>
      <c r="RSS20" s="72"/>
      <c r="RST20" s="72"/>
      <c r="RSU20" s="72"/>
      <c r="RSV20" s="72"/>
      <c r="RSW20" s="72"/>
      <c r="RSX20" s="72"/>
      <c r="RSY20" s="72"/>
      <c r="RSZ20" s="72"/>
      <c r="RTA20" s="72"/>
      <c r="RTB20" s="72"/>
      <c r="RTC20" s="72"/>
      <c r="RTD20" s="72"/>
      <c r="RTE20" s="72"/>
      <c r="RTF20" s="72"/>
      <c r="RTG20" s="72"/>
      <c r="RTH20" s="72"/>
      <c r="RTI20" s="72"/>
      <c r="RTJ20" s="72"/>
      <c r="RTK20" s="72"/>
      <c r="RTL20" s="72"/>
      <c r="RTM20" s="72"/>
      <c r="RTN20" s="72"/>
      <c r="RTO20" s="72"/>
      <c r="RTP20" s="72"/>
      <c r="RTQ20" s="72"/>
      <c r="RTR20" s="72"/>
      <c r="RTS20" s="72"/>
      <c r="RTT20" s="72"/>
      <c r="RTU20" s="72"/>
      <c r="RTV20" s="72"/>
      <c r="RTW20" s="72"/>
      <c r="RTX20" s="72"/>
      <c r="RTY20" s="72"/>
      <c r="RTZ20" s="72"/>
      <c r="RUA20" s="72"/>
      <c r="RUB20" s="72"/>
      <c r="RUC20" s="72"/>
      <c r="RUD20" s="72"/>
      <c r="RUE20" s="72"/>
      <c r="RUF20" s="72"/>
      <c r="RUG20" s="72"/>
      <c r="RUH20" s="72"/>
      <c r="RUI20" s="72"/>
      <c r="RUJ20" s="72"/>
      <c r="RUK20" s="72"/>
      <c r="RUL20" s="72"/>
      <c r="RUM20" s="72"/>
      <c r="RUN20" s="72"/>
      <c r="RUO20" s="72"/>
      <c r="RUP20" s="72"/>
      <c r="RUQ20" s="72"/>
      <c r="RUR20" s="72"/>
      <c r="RUS20" s="72"/>
      <c r="RUT20" s="72"/>
      <c r="RUU20" s="72"/>
      <c r="RUV20" s="72"/>
      <c r="RUW20" s="72"/>
      <c r="RUX20" s="72"/>
      <c r="RUY20" s="72"/>
      <c r="RUZ20" s="72"/>
      <c r="RVA20" s="72"/>
      <c r="RVB20" s="72"/>
      <c r="RVC20" s="72"/>
      <c r="RVD20" s="72"/>
      <c r="RVE20" s="72"/>
      <c r="RVF20" s="72"/>
      <c r="RVG20" s="72"/>
      <c r="RVH20" s="72"/>
      <c r="RVI20" s="72"/>
      <c r="RVJ20" s="72"/>
      <c r="RVK20" s="72"/>
      <c r="RVL20" s="72"/>
      <c r="RVM20" s="72"/>
      <c r="RVN20" s="72"/>
      <c r="RVO20" s="72"/>
      <c r="RVP20" s="72"/>
      <c r="RVQ20" s="72"/>
      <c r="RVR20" s="72"/>
      <c r="RVS20" s="72"/>
      <c r="RVT20" s="72"/>
      <c r="RVU20" s="72"/>
      <c r="RVV20" s="72"/>
      <c r="RVW20" s="72"/>
      <c r="RVX20" s="72"/>
      <c r="RVY20" s="72"/>
      <c r="RVZ20" s="72"/>
      <c r="RWA20" s="72"/>
      <c r="RWB20" s="72"/>
      <c r="RWC20" s="72"/>
      <c r="RWD20" s="72"/>
      <c r="RWE20" s="72"/>
      <c r="RWF20" s="72"/>
      <c r="RWG20" s="72"/>
      <c r="RWH20" s="72"/>
      <c r="RWI20" s="72"/>
      <c r="RWJ20" s="72"/>
      <c r="RWK20" s="72"/>
      <c r="RWL20" s="72"/>
      <c r="RWM20" s="72"/>
      <c r="RWN20" s="72"/>
      <c r="RWO20" s="72"/>
      <c r="RWP20" s="72"/>
      <c r="RWQ20" s="72"/>
      <c r="RWR20" s="72"/>
      <c r="RWS20" s="72"/>
      <c r="RWT20" s="72"/>
      <c r="RWU20" s="72"/>
      <c r="RWV20" s="72"/>
      <c r="RWW20" s="72"/>
      <c r="RWX20" s="72"/>
      <c r="RWY20" s="72"/>
      <c r="RWZ20" s="72"/>
      <c r="RXA20" s="72"/>
      <c r="RXB20" s="72"/>
      <c r="RXC20" s="72"/>
      <c r="RXD20" s="72"/>
      <c r="RXE20" s="72"/>
      <c r="RXF20" s="72"/>
      <c r="RXG20" s="72"/>
      <c r="RXH20" s="72"/>
      <c r="RXI20" s="72"/>
      <c r="RXJ20" s="72"/>
      <c r="RXK20" s="72"/>
      <c r="RXL20" s="72"/>
      <c r="RXM20" s="72"/>
      <c r="RXN20" s="72"/>
      <c r="RXO20" s="72"/>
      <c r="RXP20" s="72"/>
      <c r="RXQ20" s="72"/>
      <c r="RXR20" s="72"/>
      <c r="RXS20" s="72"/>
      <c r="RXT20" s="72"/>
      <c r="RXU20" s="72"/>
      <c r="RXV20" s="72"/>
      <c r="RXW20" s="72"/>
      <c r="RXX20" s="72"/>
      <c r="RXY20" s="72"/>
      <c r="RXZ20" s="72"/>
      <c r="RYA20" s="72"/>
      <c r="RYB20" s="72"/>
      <c r="RYC20" s="72"/>
      <c r="RYD20" s="72"/>
      <c r="RYE20" s="72"/>
      <c r="RYF20" s="72"/>
      <c r="RYG20" s="72"/>
      <c r="RYH20" s="72"/>
      <c r="RYI20" s="72"/>
      <c r="RYJ20" s="72"/>
      <c r="RYK20" s="72"/>
      <c r="RYL20" s="72"/>
      <c r="RYM20" s="72"/>
      <c r="RYN20" s="72"/>
      <c r="RYO20" s="72"/>
      <c r="RYP20" s="72"/>
      <c r="RYQ20" s="72"/>
      <c r="RYR20" s="72"/>
      <c r="RYS20" s="72"/>
      <c r="RYT20" s="72"/>
      <c r="RYU20" s="72"/>
      <c r="RYV20" s="72"/>
      <c r="RYW20" s="72"/>
      <c r="RYX20" s="72"/>
      <c r="RYY20" s="72"/>
      <c r="RYZ20" s="72"/>
      <c r="RZA20" s="72"/>
      <c r="RZB20" s="72"/>
      <c r="RZC20" s="72"/>
      <c r="RZD20" s="72"/>
      <c r="RZE20" s="72"/>
      <c r="RZF20" s="72"/>
      <c r="RZG20" s="72"/>
      <c r="RZH20" s="72"/>
      <c r="RZI20" s="72"/>
      <c r="RZJ20" s="72"/>
      <c r="RZK20" s="72"/>
      <c r="RZL20" s="72"/>
      <c r="RZM20" s="72"/>
      <c r="RZN20" s="72"/>
      <c r="RZO20" s="72"/>
      <c r="RZP20" s="72"/>
      <c r="RZQ20" s="72"/>
      <c r="RZR20" s="72"/>
      <c r="RZS20" s="72"/>
      <c r="RZT20" s="72"/>
      <c r="RZU20" s="72"/>
      <c r="RZV20" s="72"/>
      <c r="RZW20" s="72"/>
      <c r="RZX20" s="72"/>
      <c r="RZY20" s="72"/>
      <c r="RZZ20" s="72"/>
      <c r="SAA20" s="72"/>
      <c r="SAB20" s="72"/>
      <c r="SAC20" s="72"/>
      <c r="SAD20" s="72"/>
      <c r="SAE20" s="72"/>
      <c r="SAF20" s="72"/>
      <c r="SAG20" s="72"/>
      <c r="SAH20" s="72"/>
      <c r="SAI20" s="72"/>
      <c r="SAJ20" s="72"/>
      <c r="SAK20" s="72"/>
      <c r="SAL20" s="72"/>
      <c r="SAM20" s="72"/>
      <c r="SAN20" s="72"/>
      <c r="SAO20" s="72"/>
      <c r="SAP20" s="72"/>
      <c r="SAQ20" s="72"/>
      <c r="SAR20" s="72"/>
      <c r="SAS20" s="72"/>
      <c r="SAT20" s="72"/>
      <c r="SAU20" s="72"/>
      <c r="SAV20" s="72"/>
      <c r="SAW20" s="72"/>
      <c r="SAX20" s="72"/>
      <c r="SAY20" s="72"/>
      <c r="SAZ20" s="72"/>
      <c r="SBA20" s="72"/>
      <c r="SBB20" s="72"/>
      <c r="SBC20" s="72"/>
      <c r="SBD20" s="72"/>
      <c r="SBE20" s="72"/>
      <c r="SBF20" s="72"/>
      <c r="SBG20" s="72"/>
      <c r="SBH20" s="72"/>
      <c r="SBI20" s="72"/>
      <c r="SBJ20" s="72"/>
      <c r="SBK20" s="72"/>
      <c r="SBL20" s="72"/>
      <c r="SBM20" s="72"/>
      <c r="SBN20" s="72"/>
      <c r="SBO20" s="72"/>
      <c r="SBP20" s="72"/>
      <c r="SBQ20" s="72"/>
      <c r="SBR20" s="72"/>
      <c r="SBS20" s="72"/>
      <c r="SBT20" s="72"/>
      <c r="SBU20" s="72"/>
      <c r="SBV20" s="72"/>
      <c r="SBW20" s="72"/>
      <c r="SBX20" s="72"/>
      <c r="SBY20" s="72"/>
      <c r="SBZ20" s="72"/>
      <c r="SCA20" s="72"/>
      <c r="SCB20" s="72"/>
      <c r="SCC20" s="72"/>
      <c r="SCD20" s="72"/>
      <c r="SCE20" s="72"/>
      <c r="SCF20" s="72"/>
      <c r="SCG20" s="72"/>
      <c r="SCH20" s="72"/>
      <c r="SCI20" s="72"/>
      <c r="SCJ20" s="72"/>
      <c r="SCK20" s="72"/>
      <c r="SCL20" s="72"/>
      <c r="SCM20" s="72"/>
      <c r="SCN20" s="72"/>
      <c r="SCO20" s="72"/>
      <c r="SCP20" s="72"/>
      <c r="SCQ20" s="72"/>
      <c r="SCR20" s="72"/>
      <c r="SCS20" s="72"/>
      <c r="SCT20" s="72"/>
      <c r="SCU20" s="72"/>
      <c r="SCV20" s="72"/>
      <c r="SCW20" s="72"/>
      <c r="SCX20" s="72"/>
      <c r="SCY20" s="72"/>
      <c r="SCZ20" s="72"/>
      <c r="SDA20" s="72"/>
      <c r="SDB20" s="72"/>
      <c r="SDC20" s="72"/>
      <c r="SDD20" s="72"/>
      <c r="SDE20" s="72"/>
      <c r="SDF20" s="72"/>
      <c r="SDG20" s="72"/>
      <c r="SDH20" s="72"/>
      <c r="SDI20" s="72"/>
      <c r="SDJ20" s="72"/>
      <c r="SDK20" s="72"/>
      <c r="SDL20" s="72"/>
      <c r="SDM20" s="72"/>
      <c r="SDN20" s="72"/>
      <c r="SDO20" s="72"/>
      <c r="SDP20" s="72"/>
      <c r="SDQ20" s="72"/>
      <c r="SDR20" s="72"/>
      <c r="SDS20" s="72"/>
      <c r="SDT20" s="72"/>
      <c r="SDU20" s="72"/>
      <c r="SDV20" s="72"/>
      <c r="SDW20" s="72"/>
      <c r="SDX20" s="72"/>
      <c r="SDY20" s="72"/>
      <c r="SDZ20" s="72"/>
      <c r="SEA20" s="72"/>
      <c r="SEB20" s="72"/>
      <c r="SEC20" s="72"/>
      <c r="SED20" s="72"/>
      <c r="SEE20" s="72"/>
      <c r="SEF20" s="72"/>
      <c r="SEG20" s="72"/>
      <c r="SEH20" s="72"/>
      <c r="SEI20" s="72"/>
      <c r="SEJ20" s="72"/>
      <c r="SEK20" s="72"/>
      <c r="SEL20" s="72"/>
      <c r="SEM20" s="72"/>
      <c r="SEN20" s="72"/>
      <c r="SEO20" s="72"/>
      <c r="SEP20" s="72"/>
      <c r="SEQ20" s="72"/>
      <c r="SER20" s="72"/>
      <c r="SES20" s="72"/>
      <c r="SET20" s="72"/>
      <c r="SEU20" s="72"/>
      <c r="SEV20" s="72"/>
      <c r="SEW20" s="72"/>
      <c r="SEX20" s="72"/>
      <c r="SEY20" s="72"/>
      <c r="SEZ20" s="72"/>
      <c r="SFA20" s="72"/>
      <c r="SFB20" s="72"/>
      <c r="SFC20" s="72"/>
      <c r="SFD20" s="72"/>
      <c r="SFE20" s="72"/>
      <c r="SFF20" s="72"/>
      <c r="SFG20" s="72"/>
      <c r="SFH20" s="72"/>
      <c r="SFI20" s="72"/>
      <c r="SFJ20" s="72"/>
      <c r="SFK20" s="72"/>
      <c r="SFL20" s="72"/>
      <c r="SFM20" s="72"/>
      <c r="SFN20" s="72"/>
      <c r="SFO20" s="72"/>
      <c r="SFP20" s="72"/>
      <c r="SFQ20" s="72"/>
      <c r="SFR20" s="72"/>
      <c r="SFS20" s="72"/>
      <c r="SFT20" s="72"/>
      <c r="SFU20" s="72"/>
      <c r="SFV20" s="72"/>
      <c r="SFW20" s="72"/>
      <c r="SFX20" s="72"/>
      <c r="SFY20" s="72"/>
      <c r="SFZ20" s="72"/>
      <c r="SGA20" s="72"/>
      <c r="SGB20" s="72"/>
      <c r="SGC20" s="72"/>
      <c r="SGD20" s="72"/>
      <c r="SGE20" s="72"/>
      <c r="SGF20" s="72"/>
      <c r="SGG20" s="72"/>
      <c r="SGH20" s="72"/>
      <c r="SGI20" s="72"/>
      <c r="SGJ20" s="72"/>
      <c r="SGK20" s="72"/>
      <c r="SGL20" s="72"/>
      <c r="SGM20" s="72"/>
      <c r="SGN20" s="72"/>
      <c r="SGO20" s="72"/>
      <c r="SGP20" s="72"/>
      <c r="SGQ20" s="72"/>
      <c r="SGR20" s="72"/>
      <c r="SGS20" s="72"/>
      <c r="SGT20" s="72"/>
      <c r="SGU20" s="72"/>
      <c r="SGV20" s="72"/>
      <c r="SGW20" s="72"/>
      <c r="SGX20" s="72"/>
      <c r="SGY20" s="72"/>
      <c r="SGZ20" s="72"/>
      <c r="SHA20" s="72"/>
      <c r="SHB20" s="72"/>
      <c r="SHC20" s="72"/>
      <c r="SHD20" s="72"/>
      <c r="SHE20" s="72"/>
      <c r="SHF20" s="72"/>
      <c r="SHG20" s="72"/>
      <c r="SHH20" s="72"/>
      <c r="SHI20" s="72"/>
      <c r="SHJ20" s="72"/>
      <c r="SHK20" s="72"/>
      <c r="SHL20" s="72"/>
      <c r="SHM20" s="72"/>
      <c r="SHN20" s="72"/>
      <c r="SHO20" s="72"/>
      <c r="SHP20" s="72"/>
      <c r="SHQ20" s="72"/>
      <c r="SHR20" s="72"/>
      <c r="SHS20" s="72"/>
      <c r="SHT20" s="72"/>
      <c r="SHU20" s="72"/>
      <c r="SHV20" s="72"/>
      <c r="SHW20" s="72"/>
      <c r="SHX20" s="72"/>
      <c r="SHY20" s="72"/>
      <c r="SHZ20" s="72"/>
      <c r="SIA20" s="72"/>
      <c r="SIB20" s="72"/>
      <c r="SIC20" s="72"/>
      <c r="SID20" s="72"/>
      <c r="SIE20" s="72"/>
      <c r="SIF20" s="72"/>
      <c r="SIG20" s="72"/>
      <c r="SIH20" s="72"/>
      <c r="SII20" s="72"/>
      <c r="SIJ20" s="72"/>
      <c r="SIK20" s="72"/>
      <c r="SIL20" s="72"/>
      <c r="SIM20" s="72"/>
      <c r="SIN20" s="72"/>
      <c r="SIO20" s="72"/>
      <c r="SIP20" s="72"/>
      <c r="SIQ20" s="72"/>
      <c r="SIR20" s="72"/>
      <c r="SIS20" s="72"/>
      <c r="SIT20" s="72"/>
      <c r="SIU20" s="72"/>
      <c r="SIV20" s="72"/>
      <c r="SIW20" s="72"/>
      <c r="SIX20" s="72"/>
      <c r="SIY20" s="72"/>
      <c r="SIZ20" s="72"/>
      <c r="SJA20" s="72"/>
      <c r="SJB20" s="72"/>
      <c r="SJC20" s="72"/>
      <c r="SJD20" s="72"/>
      <c r="SJE20" s="72"/>
      <c r="SJF20" s="72"/>
      <c r="SJG20" s="72"/>
      <c r="SJH20" s="72"/>
      <c r="SJI20" s="72"/>
      <c r="SJJ20" s="72"/>
      <c r="SJK20" s="72"/>
      <c r="SJL20" s="72"/>
      <c r="SJM20" s="72"/>
      <c r="SJN20" s="72"/>
      <c r="SJO20" s="72"/>
      <c r="SJP20" s="72"/>
      <c r="SJQ20" s="72"/>
      <c r="SJR20" s="72"/>
      <c r="SJS20" s="72"/>
      <c r="SJT20" s="72"/>
      <c r="SJU20" s="72"/>
      <c r="SJV20" s="72"/>
      <c r="SJW20" s="72"/>
      <c r="SJX20" s="72"/>
      <c r="SJY20" s="72"/>
      <c r="SJZ20" s="72"/>
      <c r="SKA20" s="72"/>
      <c r="SKB20" s="72"/>
      <c r="SKC20" s="72"/>
      <c r="SKD20" s="72"/>
      <c r="SKE20" s="72"/>
      <c r="SKF20" s="72"/>
      <c r="SKG20" s="72"/>
      <c r="SKH20" s="72"/>
      <c r="SKI20" s="72"/>
      <c r="SKJ20" s="72"/>
      <c r="SKK20" s="72"/>
      <c r="SKL20" s="72"/>
      <c r="SKM20" s="72"/>
      <c r="SKN20" s="72"/>
      <c r="SKO20" s="72"/>
      <c r="SKP20" s="72"/>
      <c r="SKQ20" s="72"/>
      <c r="SKR20" s="72"/>
      <c r="SKS20" s="72"/>
      <c r="SKT20" s="72"/>
      <c r="SKU20" s="72"/>
      <c r="SKV20" s="72"/>
      <c r="SKW20" s="72"/>
      <c r="SKX20" s="72"/>
      <c r="SKY20" s="72"/>
      <c r="SKZ20" s="72"/>
      <c r="SLA20" s="72"/>
      <c r="SLB20" s="72"/>
      <c r="SLC20" s="72"/>
      <c r="SLD20" s="72"/>
      <c r="SLE20" s="72"/>
      <c r="SLF20" s="72"/>
      <c r="SLG20" s="72"/>
      <c r="SLH20" s="72"/>
      <c r="SLI20" s="72"/>
      <c r="SLJ20" s="72"/>
      <c r="SLK20" s="72"/>
      <c r="SLL20" s="72"/>
      <c r="SLM20" s="72"/>
      <c r="SLN20" s="72"/>
      <c r="SLO20" s="72"/>
      <c r="SLP20" s="72"/>
      <c r="SLQ20" s="72"/>
      <c r="SLR20" s="72"/>
      <c r="SLS20" s="72"/>
      <c r="SLT20" s="72"/>
      <c r="SLU20" s="72"/>
      <c r="SLV20" s="72"/>
      <c r="SLW20" s="72"/>
      <c r="SLX20" s="72"/>
      <c r="SLY20" s="72"/>
      <c r="SLZ20" s="72"/>
      <c r="SMA20" s="72"/>
      <c r="SMB20" s="72"/>
      <c r="SMC20" s="72"/>
      <c r="SMD20" s="72"/>
      <c r="SME20" s="72"/>
      <c r="SMF20" s="72"/>
      <c r="SMG20" s="72"/>
      <c r="SMH20" s="72"/>
      <c r="SMI20" s="72"/>
      <c r="SMJ20" s="72"/>
      <c r="SMK20" s="72"/>
      <c r="SML20" s="72"/>
      <c r="SMM20" s="72"/>
      <c r="SMN20" s="72"/>
      <c r="SMO20" s="72"/>
      <c r="SMP20" s="72"/>
      <c r="SMQ20" s="72"/>
      <c r="SMR20" s="72"/>
      <c r="SMS20" s="72"/>
      <c r="SMT20" s="72"/>
      <c r="SMU20" s="72"/>
      <c r="SMV20" s="72"/>
      <c r="SMW20" s="72"/>
      <c r="SMX20" s="72"/>
      <c r="SMY20" s="72"/>
      <c r="SMZ20" s="72"/>
      <c r="SNA20" s="72"/>
      <c r="SNB20" s="72"/>
      <c r="SNC20" s="72"/>
      <c r="SND20" s="72"/>
      <c r="SNE20" s="72"/>
      <c r="SNF20" s="72"/>
      <c r="SNG20" s="72"/>
      <c r="SNH20" s="72"/>
      <c r="SNI20" s="72"/>
      <c r="SNJ20" s="72"/>
      <c r="SNK20" s="72"/>
      <c r="SNL20" s="72"/>
      <c r="SNM20" s="72"/>
      <c r="SNN20" s="72"/>
      <c r="SNO20" s="72"/>
      <c r="SNP20" s="72"/>
      <c r="SNQ20" s="72"/>
      <c r="SNR20" s="72"/>
      <c r="SNS20" s="72"/>
      <c r="SNT20" s="72"/>
      <c r="SNU20" s="72"/>
      <c r="SNV20" s="72"/>
      <c r="SNW20" s="72"/>
      <c r="SNX20" s="72"/>
      <c r="SNY20" s="72"/>
      <c r="SNZ20" s="72"/>
      <c r="SOA20" s="72"/>
      <c r="SOB20" s="72"/>
      <c r="SOC20" s="72"/>
      <c r="SOD20" s="72"/>
      <c r="SOE20" s="72"/>
      <c r="SOF20" s="72"/>
      <c r="SOG20" s="72"/>
      <c r="SOH20" s="72"/>
      <c r="SOI20" s="72"/>
      <c r="SOJ20" s="72"/>
      <c r="SOK20" s="72"/>
      <c r="SOL20" s="72"/>
      <c r="SOM20" s="72"/>
      <c r="SON20" s="72"/>
      <c r="SOO20" s="72"/>
      <c r="SOP20" s="72"/>
      <c r="SOQ20" s="72"/>
      <c r="SOR20" s="72"/>
      <c r="SOS20" s="72"/>
      <c r="SOT20" s="72"/>
      <c r="SOU20" s="72"/>
      <c r="SOV20" s="72"/>
      <c r="SOW20" s="72"/>
      <c r="SOX20" s="72"/>
      <c r="SOY20" s="72"/>
      <c r="SOZ20" s="72"/>
      <c r="SPA20" s="72"/>
      <c r="SPB20" s="72"/>
      <c r="SPC20" s="72"/>
      <c r="SPD20" s="72"/>
      <c r="SPE20" s="72"/>
      <c r="SPF20" s="72"/>
      <c r="SPG20" s="72"/>
      <c r="SPH20" s="72"/>
      <c r="SPI20" s="72"/>
      <c r="SPJ20" s="72"/>
      <c r="SPK20" s="72"/>
      <c r="SPL20" s="72"/>
      <c r="SPM20" s="72"/>
      <c r="SPN20" s="72"/>
      <c r="SPO20" s="72"/>
      <c r="SPP20" s="72"/>
      <c r="SPQ20" s="72"/>
      <c r="SPR20" s="72"/>
      <c r="SPS20" s="72"/>
      <c r="SPT20" s="72"/>
      <c r="SPU20" s="72"/>
      <c r="SPV20" s="72"/>
      <c r="SPW20" s="72"/>
      <c r="SPX20" s="72"/>
      <c r="SPY20" s="72"/>
      <c r="SPZ20" s="72"/>
      <c r="SQA20" s="72"/>
      <c r="SQB20" s="72"/>
      <c r="SQC20" s="72"/>
      <c r="SQD20" s="72"/>
      <c r="SQE20" s="72"/>
      <c r="SQF20" s="72"/>
      <c r="SQG20" s="72"/>
      <c r="SQH20" s="72"/>
      <c r="SQI20" s="72"/>
      <c r="SQJ20" s="72"/>
      <c r="SQK20" s="72"/>
      <c r="SQL20" s="72"/>
      <c r="SQM20" s="72"/>
      <c r="SQN20" s="72"/>
      <c r="SQO20" s="72"/>
      <c r="SQP20" s="72"/>
      <c r="SQQ20" s="72"/>
      <c r="SQR20" s="72"/>
      <c r="SQS20" s="72"/>
      <c r="SQT20" s="72"/>
      <c r="SQU20" s="72"/>
      <c r="SQV20" s="72"/>
      <c r="SQW20" s="72"/>
      <c r="SQX20" s="72"/>
      <c r="SQY20" s="72"/>
      <c r="SQZ20" s="72"/>
      <c r="SRA20" s="72"/>
      <c r="SRB20" s="72"/>
      <c r="SRC20" s="72"/>
      <c r="SRD20" s="72"/>
      <c r="SRE20" s="72"/>
      <c r="SRF20" s="72"/>
      <c r="SRG20" s="72"/>
      <c r="SRH20" s="72"/>
      <c r="SRI20" s="72"/>
      <c r="SRJ20" s="72"/>
      <c r="SRK20" s="72"/>
      <c r="SRL20" s="72"/>
      <c r="SRM20" s="72"/>
      <c r="SRN20" s="72"/>
      <c r="SRO20" s="72"/>
      <c r="SRP20" s="72"/>
      <c r="SRQ20" s="72"/>
      <c r="SRR20" s="72"/>
      <c r="SRS20" s="72"/>
      <c r="SRT20" s="72"/>
      <c r="SRU20" s="72"/>
      <c r="SRV20" s="72"/>
      <c r="SRW20" s="72"/>
      <c r="SRX20" s="72"/>
      <c r="SRY20" s="72"/>
      <c r="SRZ20" s="72"/>
      <c r="SSA20" s="72"/>
      <c r="SSB20" s="72"/>
      <c r="SSC20" s="72"/>
      <c r="SSD20" s="72"/>
      <c r="SSE20" s="72"/>
      <c r="SSF20" s="72"/>
      <c r="SSG20" s="72"/>
      <c r="SSH20" s="72"/>
      <c r="SSI20" s="72"/>
      <c r="SSJ20" s="72"/>
      <c r="SSK20" s="72"/>
      <c r="SSL20" s="72"/>
      <c r="SSM20" s="72"/>
      <c r="SSN20" s="72"/>
      <c r="SSO20" s="72"/>
      <c r="SSP20" s="72"/>
      <c r="SSQ20" s="72"/>
      <c r="SSR20" s="72"/>
      <c r="SSS20" s="72"/>
      <c r="SST20" s="72"/>
      <c r="SSU20" s="72"/>
      <c r="SSV20" s="72"/>
      <c r="SSW20" s="72"/>
      <c r="SSX20" s="72"/>
      <c r="SSY20" s="72"/>
      <c r="SSZ20" s="72"/>
      <c r="STA20" s="72"/>
      <c r="STB20" s="72"/>
      <c r="STC20" s="72"/>
      <c r="STD20" s="72"/>
      <c r="STE20" s="72"/>
      <c r="STF20" s="72"/>
      <c r="STG20" s="72"/>
      <c r="STH20" s="72"/>
      <c r="STI20" s="72"/>
      <c r="STJ20" s="72"/>
      <c r="STK20" s="72"/>
      <c r="STL20" s="72"/>
      <c r="STM20" s="72"/>
      <c r="STN20" s="72"/>
      <c r="STO20" s="72"/>
      <c r="STP20" s="72"/>
      <c r="STQ20" s="72"/>
      <c r="STR20" s="72"/>
      <c r="STS20" s="72"/>
      <c r="STT20" s="72"/>
      <c r="STU20" s="72"/>
      <c r="STV20" s="72"/>
      <c r="STW20" s="72"/>
      <c r="STX20" s="72"/>
      <c r="STY20" s="72"/>
      <c r="STZ20" s="72"/>
      <c r="SUA20" s="72"/>
      <c r="SUB20" s="72"/>
      <c r="SUC20" s="72"/>
      <c r="SUD20" s="72"/>
      <c r="SUE20" s="72"/>
      <c r="SUF20" s="72"/>
      <c r="SUG20" s="72"/>
      <c r="SUH20" s="72"/>
      <c r="SUI20" s="72"/>
      <c r="SUJ20" s="72"/>
      <c r="SUK20" s="72"/>
      <c r="SUL20" s="72"/>
      <c r="SUM20" s="72"/>
      <c r="SUN20" s="72"/>
      <c r="SUO20" s="72"/>
      <c r="SUP20" s="72"/>
      <c r="SUQ20" s="72"/>
      <c r="SUR20" s="72"/>
      <c r="SUS20" s="72"/>
      <c r="SUT20" s="72"/>
      <c r="SUU20" s="72"/>
      <c r="SUV20" s="72"/>
      <c r="SUW20" s="72"/>
      <c r="SUX20" s="72"/>
      <c r="SUY20" s="72"/>
      <c r="SUZ20" s="72"/>
      <c r="SVA20" s="72"/>
      <c r="SVB20" s="72"/>
      <c r="SVC20" s="72"/>
      <c r="SVD20" s="72"/>
      <c r="SVE20" s="72"/>
      <c r="SVF20" s="72"/>
      <c r="SVG20" s="72"/>
      <c r="SVH20" s="72"/>
      <c r="SVI20" s="72"/>
      <c r="SVJ20" s="72"/>
      <c r="SVK20" s="72"/>
      <c r="SVL20" s="72"/>
      <c r="SVM20" s="72"/>
      <c r="SVN20" s="72"/>
      <c r="SVO20" s="72"/>
      <c r="SVP20" s="72"/>
      <c r="SVQ20" s="72"/>
      <c r="SVR20" s="72"/>
      <c r="SVS20" s="72"/>
      <c r="SVT20" s="72"/>
      <c r="SVU20" s="72"/>
      <c r="SVV20" s="72"/>
      <c r="SVW20" s="72"/>
      <c r="SVX20" s="72"/>
      <c r="SVY20" s="72"/>
      <c r="SVZ20" s="72"/>
      <c r="SWA20" s="72"/>
      <c r="SWB20" s="72"/>
      <c r="SWC20" s="72"/>
      <c r="SWD20" s="72"/>
      <c r="SWE20" s="72"/>
      <c r="SWF20" s="72"/>
      <c r="SWG20" s="72"/>
      <c r="SWH20" s="72"/>
      <c r="SWI20" s="72"/>
      <c r="SWJ20" s="72"/>
      <c r="SWK20" s="72"/>
      <c r="SWL20" s="72"/>
      <c r="SWM20" s="72"/>
      <c r="SWN20" s="72"/>
      <c r="SWO20" s="72"/>
      <c r="SWP20" s="72"/>
      <c r="SWQ20" s="72"/>
      <c r="SWR20" s="72"/>
      <c r="SWS20" s="72"/>
      <c r="SWT20" s="72"/>
      <c r="SWU20" s="72"/>
      <c r="SWV20" s="72"/>
      <c r="SWW20" s="72"/>
      <c r="SWX20" s="72"/>
      <c r="SWY20" s="72"/>
      <c r="SWZ20" s="72"/>
      <c r="SXA20" s="72"/>
      <c r="SXB20" s="72"/>
      <c r="SXC20" s="72"/>
      <c r="SXD20" s="72"/>
      <c r="SXE20" s="72"/>
      <c r="SXF20" s="72"/>
      <c r="SXG20" s="72"/>
      <c r="SXH20" s="72"/>
      <c r="SXI20" s="72"/>
      <c r="SXJ20" s="72"/>
      <c r="SXK20" s="72"/>
      <c r="SXL20" s="72"/>
      <c r="SXM20" s="72"/>
      <c r="SXN20" s="72"/>
      <c r="SXO20" s="72"/>
      <c r="SXP20" s="72"/>
      <c r="SXQ20" s="72"/>
      <c r="SXR20" s="72"/>
      <c r="SXS20" s="72"/>
      <c r="SXT20" s="72"/>
      <c r="SXU20" s="72"/>
      <c r="SXV20" s="72"/>
      <c r="SXW20" s="72"/>
      <c r="SXX20" s="72"/>
      <c r="SXY20" s="72"/>
      <c r="SXZ20" s="72"/>
      <c r="SYA20" s="72"/>
      <c r="SYB20" s="72"/>
      <c r="SYC20" s="72"/>
      <c r="SYD20" s="72"/>
      <c r="SYE20" s="72"/>
      <c r="SYF20" s="72"/>
      <c r="SYG20" s="72"/>
      <c r="SYH20" s="72"/>
      <c r="SYI20" s="72"/>
      <c r="SYJ20" s="72"/>
      <c r="SYK20" s="72"/>
      <c r="SYL20" s="72"/>
      <c r="SYM20" s="72"/>
      <c r="SYN20" s="72"/>
      <c r="SYO20" s="72"/>
      <c r="SYP20" s="72"/>
      <c r="SYQ20" s="72"/>
      <c r="SYR20" s="72"/>
      <c r="SYS20" s="72"/>
      <c r="SYT20" s="72"/>
      <c r="SYU20" s="72"/>
      <c r="SYV20" s="72"/>
      <c r="SYW20" s="72"/>
      <c r="SYX20" s="72"/>
      <c r="SYY20" s="72"/>
      <c r="SYZ20" s="72"/>
      <c r="SZA20" s="72"/>
      <c r="SZB20" s="72"/>
      <c r="SZC20" s="72"/>
      <c r="SZD20" s="72"/>
      <c r="SZE20" s="72"/>
      <c r="SZF20" s="72"/>
      <c r="SZG20" s="72"/>
      <c r="SZH20" s="72"/>
      <c r="SZI20" s="72"/>
      <c r="SZJ20" s="72"/>
      <c r="SZK20" s="72"/>
      <c r="SZL20" s="72"/>
      <c r="SZM20" s="72"/>
      <c r="SZN20" s="72"/>
      <c r="SZO20" s="72"/>
      <c r="SZP20" s="72"/>
      <c r="SZQ20" s="72"/>
      <c r="SZR20" s="72"/>
      <c r="SZS20" s="72"/>
      <c r="SZT20" s="72"/>
      <c r="SZU20" s="72"/>
      <c r="SZV20" s="72"/>
      <c r="SZW20" s="72"/>
      <c r="SZX20" s="72"/>
      <c r="SZY20" s="72"/>
      <c r="SZZ20" s="72"/>
      <c r="TAA20" s="72"/>
      <c r="TAB20" s="72"/>
      <c r="TAC20" s="72"/>
      <c r="TAD20" s="72"/>
      <c r="TAE20" s="72"/>
      <c r="TAF20" s="72"/>
      <c r="TAG20" s="72"/>
      <c r="TAH20" s="72"/>
      <c r="TAI20" s="72"/>
      <c r="TAJ20" s="72"/>
      <c r="TAK20" s="72"/>
      <c r="TAL20" s="72"/>
      <c r="TAM20" s="72"/>
      <c r="TAN20" s="72"/>
      <c r="TAO20" s="72"/>
      <c r="TAP20" s="72"/>
      <c r="TAQ20" s="72"/>
      <c r="TAR20" s="72"/>
      <c r="TAS20" s="72"/>
      <c r="TAT20" s="72"/>
      <c r="TAU20" s="72"/>
      <c r="TAV20" s="72"/>
      <c r="TAW20" s="72"/>
      <c r="TAX20" s="72"/>
      <c r="TAY20" s="72"/>
      <c r="TAZ20" s="72"/>
      <c r="TBA20" s="72"/>
      <c r="TBB20" s="72"/>
      <c r="TBC20" s="72"/>
      <c r="TBD20" s="72"/>
      <c r="TBE20" s="72"/>
      <c r="TBF20" s="72"/>
      <c r="TBG20" s="72"/>
      <c r="TBH20" s="72"/>
      <c r="TBI20" s="72"/>
      <c r="TBJ20" s="72"/>
      <c r="TBK20" s="72"/>
      <c r="TBL20" s="72"/>
      <c r="TBM20" s="72"/>
      <c r="TBN20" s="72"/>
      <c r="TBO20" s="72"/>
      <c r="TBP20" s="72"/>
      <c r="TBQ20" s="72"/>
      <c r="TBR20" s="72"/>
      <c r="TBS20" s="72"/>
      <c r="TBT20" s="72"/>
      <c r="TBU20" s="72"/>
      <c r="TBV20" s="72"/>
      <c r="TBW20" s="72"/>
      <c r="TBX20" s="72"/>
      <c r="TBY20" s="72"/>
      <c r="TBZ20" s="72"/>
      <c r="TCA20" s="72"/>
      <c r="TCB20" s="72"/>
      <c r="TCC20" s="72"/>
      <c r="TCD20" s="72"/>
      <c r="TCE20" s="72"/>
      <c r="TCF20" s="72"/>
      <c r="TCG20" s="72"/>
      <c r="TCH20" s="72"/>
      <c r="TCI20" s="72"/>
      <c r="TCJ20" s="72"/>
      <c r="TCK20" s="72"/>
      <c r="TCL20" s="72"/>
      <c r="TCM20" s="72"/>
      <c r="TCN20" s="72"/>
      <c r="TCO20" s="72"/>
      <c r="TCP20" s="72"/>
      <c r="TCQ20" s="72"/>
      <c r="TCR20" s="72"/>
      <c r="TCS20" s="72"/>
      <c r="TCT20" s="72"/>
      <c r="TCU20" s="72"/>
      <c r="TCV20" s="72"/>
      <c r="TCW20" s="72"/>
      <c r="TCX20" s="72"/>
      <c r="TCY20" s="72"/>
      <c r="TCZ20" s="72"/>
      <c r="TDA20" s="72"/>
      <c r="TDB20" s="72"/>
      <c r="TDC20" s="72"/>
      <c r="TDD20" s="72"/>
      <c r="TDE20" s="72"/>
      <c r="TDF20" s="72"/>
      <c r="TDG20" s="72"/>
      <c r="TDH20" s="72"/>
      <c r="TDI20" s="72"/>
      <c r="TDJ20" s="72"/>
      <c r="TDK20" s="72"/>
      <c r="TDL20" s="72"/>
      <c r="TDM20" s="72"/>
      <c r="TDN20" s="72"/>
      <c r="TDO20" s="72"/>
      <c r="TDP20" s="72"/>
      <c r="TDQ20" s="72"/>
      <c r="TDR20" s="72"/>
      <c r="TDS20" s="72"/>
      <c r="TDT20" s="72"/>
      <c r="TDU20" s="72"/>
      <c r="TDV20" s="72"/>
      <c r="TDW20" s="72"/>
      <c r="TDX20" s="72"/>
      <c r="TDY20" s="72"/>
      <c r="TDZ20" s="72"/>
      <c r="TEA20" s="72"/>
      <c r="TEB20" s="72"/>
      <c r="TEC20" s="72"/>
      <c r="TED20" s="72"/>
      <c r="TEE20" s="72"/>
      <c r="TEF20" s="72"/>
      <c r="TEG20" s="72"/>
      <c r="TEH20" s="72"/>
      <c r="TEI20" s="72"/>
      <c r="TEJ20" s="72"/>
      <c r="TEK20" s="72"/>
      <c r="TEL20" s="72"/>
      <c r="TEM20" s="72"/>
      <c r="TEN20" s="72"/>
      <c r="TEO20" s="72"/>
      <c r="TEP20" s="72"/>
      <c r="TEQ20" s="72"/>
      <c r="TER20" s="72"/>
      <c r="TES20" s="72"/>
      <c r="TET20" s="72"/>
      <c r="TEU20" s="72"/>
      <c r="TEV20" s="72"/>
      <c r="TEW20" s="72"/>
      <c r="TEX20" s="72"/>
      <c r="TEY20" s="72"/>
      <c r="TEZ20" s="72"/>
      <c r="TFA20" s="72"/>
      <c r="TFB20" s="72"/>
      <c r="TFC20" s="72"/>
      <c r="TFD20" s="72"/>
      <c r="TFE20" s="72"/>
      <c r="TFF20" s="72"/>
      <c r="TFG20" s="72"/>
      <c r="TFH20" s="72"/>
      <c r="TFI20" s="72"/>
      <c r="TFJ20" s="72"/>
      <c r="TFK20" s="72"/>
      <c r="TFL20" s="72"/>
      <c r="TFM20" s="72"/>
      <c r="TFN20" s="72"/>
      <c r="TFO20" s="72"/>
      <c r="TFP20" s="72"/>
      <c r="TFQ20" s="72"/>
      <c r="TFR20" s="72"/>
      <c r="TFS20" s="72"/>
      <c r="TFT20" s="72"/>
      <c r="TFU20" s="72"/>
      <c r="TFV20" s="72"/>
      <c r="TFW20" s="72"/>
      <c r="TFX20" s="72"/>
      <c r="TFY20" s="72"/>
      <c r="TFZ20" s="72"/>
      <c r="TGA20" s="72"/>
      <c r="TGB20" s="72"/>
      <c r="TGC20" s="72"/>
      <c r="TGD20" s="72"/>
      <c r="TGE20" s="72"/>
      <c r="TGF20" s="72"/>
      <c r="TGG20" s="72"/>
      <c r="TGH20" s="72"/>
      <c r="TGI20" s="72"/>
      <c r="TGJ20" s="72"/>
      <c r="TGK20" s="72"/>
      <c r="TGL20" s="72"/>
      <c r="TGM20" s="72"/>
      <c r="TGN20" s="72"/>
      <c r="TGO20" s="72"/>
      <c r="TGP20" s="72"/>
      <c r="TGQ20" s="72"/>
      <c r="TGR20" s="72"/>
      <c r="TGS20" s="72"/>
      <c r="TGT20" s="72"/>
      <c r="TGU20" s="72"/>
      <c r="TGV20" s="72"/>
      <c r="TGW20" s="72"/>
      <c r="TGX20" s="72"/>
      <c r="TGY20" s="72"/>
      <c r="TGZ20" s="72"/>
      <c r="THA20" s="72"/>
      <c r="THB20" s="72"/>
      <c r="THC20" s="72"/>
      <c r="THD20" s="72"/>
      <c r="THE20" s="72"/>
      <c r="THF20" s="72"/>
      <c r="THG20" s="72"/>
      <c r="THH20" s="72"/>
      <c r="THI20" s="72"/>
      <c r="THJ20" s="72"/>
      <c r="THK20" s="72"/>
      <c r="THL20" s="72"/>
      <c r="THM20" s="72"/>
      <c r="THN20" s="72"/>
      <c r="THO20" s="72"/>
      <c r="THP20" s="72"/>
      <c r="THQ20" s="72"/>
      <c r="THR20" s="72"/>
      <c r="THS20" s="72"/>
      <c r="THT20" s="72"/>
      <c r="THU20" s="72"/>
      <c r="THV20" s="72"/>
      <c r="THW20" s="72"/>
      <c r="THX20" s="72"/>
      <c r="THY20" s="72"/>
      <c r="THZ20" s="72"/>
      <c r="TIA20" s="72"/>
      <c r="TIB20" s="72"/>
      <c r="TIC20" s="72"/>
      <c r="TID20" s="72"/>
      <c r="TIE20" s="72"/>
      <c r="TIF20" s="72"/>
      <c r="TIG20" s="72"/>
      <c r="TIH20" s="72"/>
      <c r="TII20" s="72"/>
      <c r="TIJ20" s="72"/>
      <c r="TIK20" s="72"/>
      <c r="TIL20" s="72"/>
      <c r="TIM20" s="72"/>
      <c r="TIN20" s="72"/>
      <c r="TIO20" s="72"/>
      <c r="TIP20" s="72"/>
      <c r="TIQ20" s="72"/>
      <c r="TIR20" s="72"/>
      <c r="TIS20" s="72"/>
      <c r="TIT20" s="72"/>
      <c r="TIU20" s="72"/>
      <c r="TIV20" s="72"/>
      <c r="TIW20" s="72"/>
      <c r="TIX20" s="72"/>
      <c r="TIY20" s="72"/>
      <c r="TIZ20" s="72"/>
      <c r="TJA20" s="72"/>
      <c r="TJB20" s="72"/>
      <c r="TJC20" s="72"/>
      <c r="TJD20" s="72"/>
      <c r="TJE20" s="72"/>
      <c r="TJF20" s="72"/>
      <c r="TJG20" s="72"/>
      <c r="TJH20" s="72"/>
      <c r="TJI20" s="72"/>
      <c r="TJJ20" s="72"/>
      <c r="TJK20" s="72"/>
      <c r="TJL20" s="72"/>
      <c r="TJM20" s="72"/>
      <c r="TJN20" s="72"/>
      <c r="TJO20" s="72"/>
      <c r="TJP20" s="72"/>
      <c r="TJQ20" s="72"/>
      <c r="TJR20" s="72"/>
      <c r="TJS20" s="72"/>
      <c r="TJT20" s="72"/>
      <c r="TJU20" s="72"/>
      <c r="TJV20" s="72"/>
      <c r="TJW20" s="72"/>
      <c r="TJX20" s="72"/>
      <c r="TJY20" s="72"/>
      <c r="TJZ20" s="72"/>
      <c r="TKA20" s="72"/>
      <c r="TKB20" s="72"/>
      <c r="TKC20" s="72"/>
      <c r="TKD20" s="72"/>
      <c r="TKE20" s="72"/>
      <c r="TKF20" s="72"/>
      <c r="TKG20" s="72"/>
      <c r="TKH20" s="72"/>
      <c r="TKI20" s="72"/>
      <c r="TKJ20" s="72"/>
      <c r="TKK20" s="72"/>
      <c r="TKL20" s="72"/>
      <c r="TKM20" s="72"/>
      <c r="TKN20" s="72"/>
      <c r="TKO20" s="72"/>
      <c r="TKP20" s="72"/>
      <c r="TKQ20" s="72"/>
      <c r="TKR20" s="72"/>
      <c r="TKS20" s="72"/>
      <c r="TKT20" s="72"/>
      <c r="TKU20" s="72"/>
      <c r="TKV20" s="72"/>
      <c r="TKW20" s="72"/>
      <c r="TKX20" s="72"/>
      <c r="TKY20" s="72"/>
      <c r="TKZ20" s="72"/>
      <c r="TLA20" s="72"/>
      <c r="TLB20" s="72"/>
      <c r="TLC20" s="72"/>
      <c r="TLD20" s="72"/>
      <c r="TLE20" s="72"/>
      <c r="TLF20" s="72"/>
      <c r="TLG20" s="72"/>
      <c r="TLH20" s="72"/>
      <c r="TLI20" s="72"/>
      <c r="TLJ20" s="72"/>
      <c r="TLK20" s="72"/>
      <c r="TLL20" s="72"/>
      <c r="TLM20" s="72"/>
      <c r="TLN20" s="72"/>
      <c r="TLO20" s="72"/>
      <c r="TLP20" s="72"/>
      <c r="TLQ20" s="72"/>
      <c r="TLR20" s="72"/>
      <c r="TLS20" s="72"/>
      <c r="TLT20" s="72"/>
      <c r="TLU20" s="72"/>
      <c r="TLV20" s="72"/>
      <c r="TLW20" s="72"/>
      <c r="TLX20" s="72"/>
      <c r="TLY20" s="72"/>
      <c r="TLZ20" s="72"/>
      <c r="TMA20" s="72"/>
      <c r="TMB20" s="72"/>
      <c r="TMC20" s="72"/>
      <c r="TMD20" s="72"/>
      <c r="TME20" s="72"/>
      <c r="TMF20" s="72"/>
      <c r="TMG20" s="72"/>
      <c r="TMH20" s="72"/>
      <c r="TMI20" s="72"/>
      <c r="TMJ20" s="72"/>
      <c r="TMK20" s="72"/>
      <c r="TML20" s="72"/>
      <c r="TMM20" s="72"/>
      <c r="TMN20" s="72"/>
      <c r="TMO20" s="72"/>
      <c r="TMP20" s="72"/>
      <c r="TMQ20" s="72"/>
      <c r="TMR20" s="72"/>
      <c r="TMS20" s="72"/>
      <c r="TMT20" s="72"/>
      <c r="TMU20" s="72"/>
      <c r="TMV20" s="72"/>
      <c r="TMW20" s="72"/>
      <c r="TMX20" s="72"/>
      <c r="TMY20" s="72"/>
      <c r="TMZ20" s="72"/>
      <c r="TNA20" s="72"/>
      <c r="TNB20" s="72"/>
      <c r="TNC20" s="72"/>
      <c r="TND20" s="72"/>
      <c r="TNE20" s="72"/>
      <c r="TNF20" s="72"/>
      <c r="TNG20" s="72"/>
      <c r="TNH20" s="72"/>
      <c r="TNI20" s="72"/>
      <c r="TNJ20" s="72"/>
      <c r="TNK20" s="72"/>
      <c r="TNL20" s="72"/>
      <c r="TNM20" s="72"/>
      <c r="TNN20" s="72"/>
      <c r="TNO20" s="72"/>
      <c r="TNP20" s="72"/>
      <c r="TNQ20" s="72"/>
      <c r="TNR20" s="72"/>
      <c r="TNS20" s="72"/>
      <c r="TNT20" s="72"/>
      <c r="TNU20" s="72"/>
      <c r="TNV20" s="72"/>
      <c r="TNW20" s="72"/>
      <c r="TNX20" s="72"/>
      <c r="TNY20" s="72"/>
      <c r="TNZ20" s="72"/>
      <c r="TOA20" s="72"/>
      <c r="TOB20" s="72"/>
      <c r="TOC20" s="72"/>
      <c r="TOD20" s="72"/>
      <c r="TOE20" s="72"/>
      <c r="TOF20" s="72"/>
      <c r="TOG20" s="72"/>
      <c r="TOH20" s="72"/>
      <c r="TOI20" s="72"/>
      <c r="TOJ20" s="72"/>
      <c r="TOK20" s="72"/>
      <c r="TOL20" s="72"/>
      <c r="TOM20" s="72"/>
      <c r="TON20" s="72"/>
      <c r="TOO20" s="72"/>
      <c r="TOP20" s="72"/>
      <c r="TOQ20" s="72"/>
      <c r="TOR20" s="72"/>
      <c r="TOS20" s="72"/>
      <c r="TOT20" s="72"/>
      <c r="TOU20" s="72"/>
      <c r="TOV20" s="72"/>
      <c r="TOW20" s="72"/>
      <c r="TOX20" s="72"/>
      <c r="TOY20" s="72"/>
      <c r="TOZ20" s="72"/>
      <c r="TPA20" s="72"/>
      <c r="TPB20" s="72"/>
      <c r="TPC20" s="72"/>
      <c r="TPD20" s="72"/>
      <c r="TPE20" s="72"/>
      <c r="TPF20" s="72"/>
      <c r="TPG20" s="72"/>
      <c r="TPH20" s="72"/>
      <c r="TPI20" s="72"/>
      <c r="TPJ20" s="72"/>
      <c r="TPK20" s="72"/>
      <c r="TPL20" s="72"/>
      <c r="TPM20" s="72"/>
      <c r="TPN20" s="72"/>
      <c r="TPO20" s="72"/>
      <c r="TPP20" s="72"/>
      <c r="TPQ20" s="72"/>
      <c r="TPR20" s="72"/>
      <c r="TPS20" s="72"/>
      <c r="TPT20" s="72"/>
      <c r="TPU20" s="72"/>
      <c r="TPV20" s="72"/>
      <c r="TPW20" s="72"/>
      <c r="TPX20" s="72"/>
      <c r="TPY20" s="72"/>
      <c r="TPZ20" s="72"/>
      <c r="TQA20" s="72"/>
      <c r="TQB20" s="72"/>
      <c r="TQC20" s="72"/>
      <c r="TQD20" s="72"/>
      <c r="TQE20" s="72"/>
      <c r="TQF20" s="72"/>
      <c r="TQG20" s="72"/>
      <c r="TQH20" s="72"/>
      <c r="TQI20" s="72"/>
      <c r="TQJ20" s="72"/>
      <c r="TQK20" s="72"/>
      <c r="TQL20" s="72"/>
      <c r="TQM20" s="72"/>
      <c r="TQN20" s="72"/>
      <c r="TQO20" s="72"/>
      <c r="TQP20" s="72"/>
      <c r="TQQ20" s="72"/>
      <c r="TQR20" s="72"/>
      <c r="TQS20" s="72"/>
      <c r="TQT20" s="72"/>
      <c r="TQU20" s="72"/>
      <c r="TQV20" s="72"/>
      <c r="TQW20" s="72"/>
      <c r="TQX20" s="72"/>
      <c r="TQY20" s="72"/>
      <c r="TQZ20" s="72"/>
      <c r="TRA20" s="72"/>
      <c r="TRB20" s="72"/>
      <c r="TRC20" s="72"/>
      <c r="TRD20" s="72"/>
      <c r="TRE20" s="72"/>
      <c r="TRF20" s="72"/>
      <c r="TRG20" s="72"/>
      <c r="TRH20" s="72"/>
      <c r="TRI20" s="72"/>
      <c r="TRJ20" s="72"/>
      <c r="TRK20" s="72"/>
      <c r="TRL20" s="72"/>
      <c r="TRM20" s="72"/>
      <c r="TRN20" s="72"/>
      <c r="TRO20" s="72"/>
      <c r="TRP20" s="72"/>
      <c r="TRQ20" s="72"/>
      <c r="TRR20" s="72"/>
      <c r="TRS20" s="72"/>
      <c r="TRT20" s="72"/>
      <c r="TRU20" s="72"/>
      <c r="TRV20" s="72"/>
      <c r="TRW20" s="72"/>
      <c r="TRX20" s="72"/>
      <c r="TRY20" s="72"/>
      <c r="TRZ20" s="72"/>
      <c r="TSA20" s="72"/>
      <c r="TSB20" s="72"/>
      <c r="TSC20" s="72"/>
      <c r="TSD20" s="72"/>
      <c r="TSE20" s="72"/>
      <c r="TSF20" s="72"/>
      <c r="TSG20" s="72"/>
      <c r="TSH20" s="72"/>
      <c r="TSI20" s="72"/>
      <c r="TSJ20" s="72"/>
      <c r="TSK20" s="72"/>
      <c r="TSL20" s="72"/>
      <c r="TSM20" s="72"/>
      <c r="TSN20" s="72"/>
      <c r="TSO20" s="72"/>
      <c r="TSP20" s="72"/>
      <c r="TSQ20" s="72"/>
      <c r="TSR20" s="72"/>
      <c r="TSS20" s="72"/>
      <c r="TST20" s="72"/>
      <c r="TSU20" s="72"/>
      <c r="TSV20" s="72"/>
      <c r="TSW20" s="72"/>
      <c r="TSX20" s="72"/>
      <c r="TSY20" s="72"/>
      <c r="TSZ20" s="72"/>
      <c r="TTA20" s="72"/>
      <c r="TTB20" s="72"/>
      <c r="TTC20" s="72"/>
      <c r="TTD20" s="72"/>
      <c r="TTE20" s="72"/>
      <c r="TTF20" s="72"/>
      <c r="TTG20" s="72"/>
      <c r="TTH20" s="72"/>
      <c r="TTI20" s="72"/>
      <c r="TTJ20" s="72"/>
      <c r="TTK20" s="72"/>
      <c r="TTL20" s="72"/>
      <c r="TTM20" s="72"/>
      <c r="TTN20" s="72"/>
      <c r="TTO20" s="72"/>
      <c r="TTP20" s="72"/>
      <c r="TTQ20" s="72"/>
      <c r="TTR20" s="72"/>
      <c r="TTS20" s="72"/>
      <c r="TTT20" s="72"/>
      <c r="TTU20" s="72"/>
      <c r="TTV20" s="72"/>
      <c r="TTW20" s="72"/>
      <c r="TTX20" s="72"/>
      <c r="TTY20" s="72"/>
      <c r="TTZ20" s="72"/>
      <c r="TUA20" s="72"/>
      <c r="TUB20" s="72"/>
      <c r="TUC20" s="72"/>
      <c r="TUD20" s="72"/>
      <c r="TUE20" s="72"/>
      <c r="TUF20" s="72"/>
      <c r="TUG20" s="72"/>
      <c r="TUH20" s="72"/>
      <c r="TUI20" s="72"/>
      <c r="TUJ20" s="72"/>
      <c r="TUK20" s="72"/>
      <c r="TUL20" s="72"/>
      <c r="TUM20" s="72"/>
      <c r="TUN20" s="72"/>
      <c r="TUO20" s="72"/>
      <c r="TUP20" s="72"/>
      <c r="TUQ20" s="72"/>
      <c r="TUR20" s="72"/>
      <c r="TUS20" s="72"/>
      <c r="TUT20" s="72"/>
      <c r="TUU20" s="72"/>
      <c r="TUV20" s="72"/>
      <c r="TUW20" s="72"/>
      <c r="TUX20" s="72"/>
      <c r="TUY20" s="72"/>
      <c r="TUZ20" s="72"/>
      <c r="TVA20" s="72"/>
      <c r="TVB20" s="72"/>
      <c r="TVC20" s="72"/>
      <c r="TVD20" s="72"/>
      <c r="TVE20" s="72"/>
      <c r="TVF20" s="72"/>
      <c r="TVG20" s="72"/>
      <c r="TVH20" s="72"/>
      <c r="TVI20" s="72"/>
      <c r="TVJ20" s="72"/>
      <c r="TVK20" s="72"/>
      <c r="TVL20" s="72"/>
      <c r="TVM20" s="72"/>
      <c r="TVN20" s="72"/>
      <c r="TVO20" s="72"/>
      <c r="TVP20" s="72"/>
      <c r="TVQ20" s="72"/>
      <c r="TVR20" s="72"/>
      <c r="TVS20" s="72"/>
      <c r="TVT20" s="72"/>
      <c r="TVU20" s="72"/>
      <c r="TVV20" s="72"/>
      <c r="TVW20" s="72"/>
      <c r="TVX20" s="72"/>
      <c r="TVY20" s="72"/>
      <c r="TVZ20" s="72"/>
      <c r="TWA20" s="72"/>
      <c r="TWB20" s="72"/>
      <c r="TWC20" s="72"/>
      <c r="TWD20" s="72"/>
      <c r="TWE20" s="72"/>
      <c r="TWF20" s="72"/>
      <c r="TWG20" s="72"/>
      <c r="TWH20" s="72"/>
      <c r="TWI20" s="72"/>
      <c r="TWJ20" s="72"/>
      <c r="TWK20" s="72"/>
      <c r="TWL20" s="72"/>
      <c r="TWM20" s="72"/>
      <c r="TWN20" s="72"/>
      <c r="TWO20" s="72"/>
      <c r="TWP20" s="72"/>
      <c r="TWQ20" s="72"/>
      <c r="TWR20" s="72"/>
      <c r="TWS20" s="72"/>
      <c r="TWT20" s="72"/>
      <c r="TWU20" s="72"/>
      <c r="TWV20" s="72"/>
      <c r="TWW20" s="72"/>
      <c r="TWX20" s="72"/>
      <c r="TWY20" s="72"/>
      <c r="TWZ20" s="72"/>
      <c r="TXA20" s="72"/>
      <c r="TXB20" s="72"/>
      <c r="TXC20" s="72"/>
      <c r="TXD20" s="72"/>
      <c r="TXE20" s="72"/>
      <c r="TXF20" s="72"/>
      <c r="TXG20" s="72"/>
      <c r="TXH20" s="72"/>
      <c r="TXI20" s="72"/>
      <c r="TXJ20" s="72"/>
      <c r="TXK20" s="72"/>
      <c r="TXL20" s="72"/>
      <c r="TXM20" s="72"/>
      <c r="TXN20" s="72"/>
      <c r="TXO20" s="72"/>
      <c r="TXP20" s="72"/>
      <c r="TXQ20" s="72"/>
      <c r="TXR20" s="72"/>
      <c r="TXS20" s="72"/>
      <c r="TXT20" s="72"/>
      <c r="TXU20" s="72"/>
      <c r="TXV20" s="72"/>
      <c r="TXW20" s="72"/>
      <c r="TXX20" s="72"/>
      <c r="TXY20" s="72"/>
      <c r="TXZ20" s="72"/>
      <c r="TYA20" s="72"/>
      <c r="TYB20" s="72"/>
      <c r="TYC20" s="72"/>
      <c r="TYD20" s="72"/>
      <c r="TYE20" s="72"/>
      <c r="TYF20" s="72"/>
      <c r="TYG20" s="72"/>
      <c r="TYH20" s="72"/>
      <c r="TYI20" s="72"/>
      <c r="TYJ20" s="72"/>
      <c r="TYK20" s="72"/>
      <c r="TYL20" s="72"/>
      <c r="TYM20" s="72"/>
      <c r="TYN20" s="72"/>
      <c r="TYO20" s="72"/>
      <c r="TYP20" s="72"/>
      <c r="TYQ20" s="72"/>
      <c r="TYR20" s="72"/>
      <c r="TYS20" s="72"/>
      <c r="TYT20" s="72"/>
      <c r="TYU20" s="72"/>
      <c r="TYV20" s="72"/>
      <c r="TYW20" s="72"/>
      <c r="TYX20" s="72"/>
      <c r="TYY20" s="72"/>
      <c r="TYZ20" s="72"/>
      <c r="TZA20" s="72"/>
      <c r="TZB20" s="72"/>
      <c r="TZC20" s="72"/>
      <c r="TZD20" s="72"/>
      <c r="TZE20" s="72"/>
      <c r="TZF20" s="72"/>
      <c r="TZG20" s="72"/>
      <c r="TZH20" s="72"/>
      <c r="TZI20" s="72"/>
      <c r="TZJ20" s="72"/>
      <c r="TZK20" s="72"/>
      <c r="TZL20" s="72"/>
      <c r="TZM20" s="72"/>
      <c r="TZN20" s="72"/>
      <c r="TZO20" s="72"/>
      <c r="TZP20" s="72"/>
      <c r="TZQ20" s="72"/>
      <c r="TZR20" s="72"/>
      <c r="TZS20" s="72"/>
      <c r="TZT20" s="72"/>
      <c r="TZU20" s="72"/>
      <c r="TZV20" s="72"/>
      <c r="TZW20" s="72"/>
      <c r="TZX20" s="72"/>
      <c r="TZY20" s="72"/>
      <c r="TZZ20" s="72"/>
      <c r="UAA20" s="72"/>
      <c r="UAB20" s="72"/>
      <c r="UAC20" s="72"/>
      <c r="UAD20" s="72"/>
      <c r="UAE20" s="72"/>
      <c r="UAF20" s="72"/>
      <c r="UAG20" s="72"/>
      <c r="UAH20" s="72"/>
      <c r="UAI20" s="72"/>
      <c r="UAJ20" s="72"/>
      <c r="UAK20" s="72"/>
      <c r="UAL20" s="72"/>
      <c r="UAM20" s="72"/>
      <c r="UAN20" s="72"/>
      <c r="UAO20" s="72"/>
      <c r="UAP20" s="72"/>
      <c r="UAQ20" s="72"/>
      <c r="UAR20" s="72"/>
      <c r="UAS20" s="72"/>
      <c r="UAT20" s="72"/>
      <c r="UAU20" s="72"/>
      <c r="UAV20" s="72"/>
      <c r="UAW20" s="72"/>
      <c r="UAX20" s="72"/>
      <c r="UAY20" s="72"/>
      <c r="UAZ20" s="72"/>
      <c r="UBA20" s="72"/>
      <c r="UBB20" s="72"/>
      <c r="UBC20" s="72"/>
      <c r="UBD20" s="72"/>
      <c r="UBE20" s="72"/>
      <c r="UBF20" s="72"/>
      <c r="UBG20" s="72"/>
      <c r="UBH20" s="72"/>
      <c r="UBI20" s="72"/>
      <c r="UBJ20" s="72"/>
      <c r="UBK20" s="72"/>
      <c r="UBL20" s="72"/>
      <c r="UBM20" s="72"/>
      <c r="UBN20" s="72"/>
      <c r="UBO20" s="72"/>
      <c r="UBP20" s="72"/>
      <c r="UBQ20" s="72"/>
      <c r="UBR20" s="72"/>
      <c r="UBS20" s="72"/>
      <c r="UBT20" s="72"/>
      <c r="UBU20" s="72"/>
      <c r="UBV20" s="72"/>
      <c r="UBW20" s="72"/>
      <c r="UBX20" s="72"/>
      <c r="UBY20" s="72"/>
      <c r="UBZ20" s="72"/>
      <c r="UCA20" s="72"/>
      <c r="UCB20" s="72"/>
      <c r="UCC20" s="72"/>
      <c r="UCD20" s="72"/>
      <c r="UCE20" s="72"/>
      <c r="UCF20" s="72"/>
      <c r="UCG20" s="72"/>
      <c r="UCH20" s="72"/>
      <c r="UCI20" s="72"/>
      <c r="UCJ20" s="72"/>
      <c r="UCK20" s="72"/>
      <c r="UCL20" s="72"/>
      <c r="UCM20" s="72"/>
      <c r="UCN20" s="72"/>
      <c r="UCO20" s="72"/>
      <c r="UCP20" s="72"/>
      <c r="UCQ20" s="72"/>
      <c r="UCR20" s="72"/>
      <c r="UCS20" s="72"/>
      <c r="UCT20" s="72"/>
      <c r="UCU20" s="72"/>
      <c r="UCV20" s="72"/>
      <c r="UCW20" s="72"/>
      <c r="UCX20" s="72"/>
      <c r="UCY20" s="72"/>
      <c r="UCZ20" s="72"/>
      <c r="UDA20" s="72"/>
      <c r="UDB20" s="72"/>
      <c r="UDC20" s="72"/>
      <c r="UDD20" s="72"/>
      <c r="UDE20" s="72"/>
      <c r="UDF20" s="72"/>
      <c r="UDG20" s="72"/>
      <c r="UDH20" s="72"/>
      <c r="UDI20" s="72"/>
      <c r="UDJ20" s="72"/>
      <c r="UDK20" s="72"/>
      <c r="UDL20" s="72"/>
      <c r="UDM20" s="72"/>
      <c r="UDN20" s="72"/>
      <c r="UDO20" s="72"/>
      <c r="UDP20" s="72"/>
      <c r="UDQ20" s="72"/>
      <c r="UDR20" s="72"/>
      <c r="UDS20" s="72"/>
      <c r="UDT20" s="72"/>
      <c r="UDU20" s="72"/>
      <c r="UDV20" s="72"/>
      <c r="UDW20" s="72"/>
      <c r="UDX20" s="72"/>
      <c r="UDY20" s="72"/>
      <c r="UDZ20" s="72"/>
      <c r="UEA20" s="72"/>
      <c r="UEB20" s="72"/>
      <c r="UEC20" s="72"/>
      <c r="UED20" s="72"/>
      <c r="UEE20" s="72"/>
      <c r="UEF20" s="72"/>
      <c r="UEG20" s="72"/>
      <c r="UEH20" s="72"/>
      <c r="UEI20" s="72"/>
      <c r="UEJ20" s="72"/>
      <c r="UEK20" s="72"/>
      <c r="UEL20" s="72"/>
      <c r="UEM20" s="72"/>
      <c r="UEN20" s="72"/>
      <c r="UEO20" s="72"/>
      <c r="UEP20" s="72"/>
      <c r="UEQ20" s="72"/>
      <c r="UER20" s="72"/>
      <c r="UES20" s="72"/>
      <c r="UET20" s="72"/>
      <c r="UEU20" s="72"/>
      <c r="UEV20" s="72"/>
      <c r="UEW20" s="72"/>
      <c r="UEX20" s="72"/>
      <c r="UEY20" s="72"/>
      <c r="UEZ20" s="72"/>
      <c r="UFA20" s="72"/>
      <c r="UFB20" s="72"/>
      <c r="UFC20" s="72"/>
      <c r="UFD20" s="72"/>
      <c r="UFE20" s="72"/>
      <c r="UFF20" s="72"/>
      <c r="UFG20" s="72"/>
      <c r="UFH20" s="72"/>
      <c r="UFI20" s="72"/>
      <c r="UFJ20" s="72"/>
      <c r="UFK20" s="72"/>
      <c r="UFL20" s="72"/>
      <c r="UFM20" s="72"/>
      <c r="UFN20" s="72"/>
      <c r="UFO20" s="72"/>
      <c r="UFP20" s="72"/>
      <c r="UFQ20" s="72"/>
      <c r="UFR20" s="72"/>
      <c r="UFS20" s="72"/>
      <c r="UFT20" s="72"/>
      <c r="UFU20" s="72"/>
      <c r="UFV20" s="72"/>
      <c r="UFW20" s="72"/>
      <c r="UFX20" s="72"/>
      <c r="UFY20" s="72"/>
      <c r="UFZ20" s="72"/>
      <c r="UGA20" s="72"/>
      <c r="UGB20" s="72"/>
      <c r="UGC20" s="72"/>
      <c r="UGD20" s="72"/>
      <c r="UGE20" s="72"/>
      <c r="UGF20" s="72"/>
      <c r="UGG20" s="72"/>
      <c r="UGH20" s="72"/>
      <c r="UGI20" s="72"/>
      <c r="UGJ20" s="72"/>
      <c r="UGK20" s="72"/>
      <c r="UGL20" s="72"/>
      <c r="UGM20" s="72"/>
      <c r="UGN20" s="72"/>
      <c r="UGO20" s="72"/>
      <c r="UGP20" s="72"/>
      <c r="UGQ20" s="72"/>
      <c r="UGR20" s="72"/>
      <c r="UGS20" s="72"/>
      <c r="UGT20" s="72"/>
      <c r="UGU20" s="72"/>
      <c r="UGV20" s="72"/>
      <c r="UGW20" s="72"/>
      <c r="UGX20" s="72"/>
      <c r="UGY20" s="72"/>
      <c r="UGZ20" s="72"/>
      <c r="UHA20" s="72"/>
      <c r="UHB20" s="72"/>
      <c r="UHC20" s="72"/>
      <c r="UHD20" s="72"/>
      <c r="UHE20" s="72"/>
      <c r="UHF20" s="72"/>
      <c r="UHG20" s="72"/>
      <c r="UHH20" s="72"/>
      <c r="UHI20" s="72"/>
      <c r="UHJ20" s="72"/>
      <c r="UHK20" s="72"/>
      <c r="UHL20" s="72"/>
      <c r="UHM20" s="72"/>
      <c r="UHN20" s="72"/>
      <c r="UHO20" s="72"/>
      <c r="UHP20" s="72"/>
      <c r="UHQ20" s="72"/>
      <c r="UHR20" s="72"/>
      <c r="UHS20" s="72"/>
      <c r="UHT20" s="72"/>
      <c r="UHU20" s="72"/>
      <c r="UHV20" s="72"/>
      <c r="UHW20" s="72"/>
      <c r="UHX20" s="72"/>
      <c r="UHY20" s="72"/>
      <c r="UHZ20" s="72"/>
      <c r="UIA20" s="72"/>
      <c r="UIB20" s="72"/>
      <c r="UIC20" s="72"/>
      <c r="UID20" s="72"/>
      <c r="UIE20" s="72"/>
      <c r="UIF20" s="72"/>
      <c r="UIG20" s="72"/>
      <c r="UIH20" s="72"/>
      <c r="UII20" s="72"/>
      <c r="UIJ20" s="72"/>
      <c r="UIK20" s="72"/>
      <c r="UIL20" s="72"/>
      <c r="UIM20" s="72"/>
      <c r="UIN20" s="72"/>
      <c r="UIO20" s="72"/>
      <c r="UIP20" s="72"/>
      <c r="UIQ20" s="72"/>
      <c r="UIR20" s="72"/>
      <c r="UIS20" s="72"/>
      <c r="UIT20" s="72"/>
      <c r="UIU20" s="72"/>
      <c r="UIV20" s="72"/>
      <c r="UIW20" s="72"/>
      <c r="UIX20" s="72"/>
      <c r="UIY20" s="72"/>
      <c r="UIZ20" s="72"/>
      <c r="UJA20" s="72"/>
      <c r="UJB20" s="72"/>
      <c r="UJC20" s="72"/>
      <c r="UJD20" s="72"/>
      <c r="UJE20" s="72"/>
      <c r="UJF20" s="72"/>
      <c r="UJG20" s="72"/>
      <c r="UJH20" s="72"/>
      <c r="UJI20" s="72"/>
      <c r="UJJ20" s="72"/>
      <c r="UJK20" s="72"/>
      <c r="UJL20" s="72"/>
      <c r="UJM20" s="72"/>
      <c r="UJN20" s="72"/>
      <c r="UJO20" s="72"/>
      <c r="UJP20" s="72"/>
      <c r="UJQ20" s="72"/>
      <c r="UJR20" s="72"/>
      <c r="UJS20" s="72"/>
      <c r="UJT20" s="72"/>
      <c r="UJU20" s="72"/>
      <c r="UJV20" s="72"/>
      <c r="UJW20" s="72"/>
      <c r="UJX20" s="72"/>
      <c r="UJY20" s="72"/>
      <c r="UJZ20" s="72"/>
      <c r="UKA20" s="72"/>
      <c r="UKB20" s="72"/>
      <c r="UKC20" s="72"/>
      <c r="UKD20" s="72"/>
      <c r="UKE20" s="72"/>
      <c r="UKF20" s="72"/>
      <c r="UKG20" s="72"/>
      <c r="UKH20" s="72"/>
      <c r="UKI20" s="72"/>
      <c r="UKJ20" s="72"/>
      <c r="UKK20" s="72"/>
      <c r="UKL20" s="72"/>
      <c r="UKM20" s="72"/>
      <c r="UKN20" s="72"/>
      <c r="UKO20" s="72"/>
      <c r="UKP20" s="72"/>
      <c r="UKQ20" s="72"/>
      <c r="UKR20" s="72"/>
      <c r="UKS20" s="72"/>
      <c r="UKT20" s="72"/>
      <c r="UKU20" s="72"/>
      <c r="UKV20" s="72"/>
      <c r="UKW20" s="72"/>
      <c r="UKX20" s="72"/>
      <c r="UKY20" s="72"/>
      <c r="UKZ20" s="72"/>
      <c r="ULA20" s="72"/>
      <c r="ULB20" s="72"/>
      <c r="ULC20" s="72"/>
      <c r="ULD20" s="72"/>
      <c r="ULE20" s="72"/>
      <c r="ULF20" s="72"/>
      <c r="ULG20" s="72"/>
      <c r="ULH20" s="72"/>
      <c r="ULI20" s="72"/>
      <c r="ULJ20" s="72"/>
      <c r="ULK20" s="72"/>
      <c r="ULL20" s="72"/>
      <c r="ULM20" s="72"/>
      <c r="ULN20" s="72"/>
      <c r="ULO20" s="72"/>
      <c r="ULP20" s="72"/>
      <c r="ULQ20" s="72"/>
      <c r="ULR20" s="72"/>
      <c r="ULS20" s="72"/>
      <c r="ULT20" s="72"/>
      <c r="ULU20" s="72"/>
      <c r="ULV20" s="72"/>
      <c r="ULW20" s="72"/>
      <c r="ULX20" s="72"/>
      <c r="ULY20" s="72"/>
      <c r="ULZ20" s="72"/>
      <c r="UMA20" s="72"/>
      <c r="UMB20" s="72"/>
      <c r="UMC20" s="72"/>
      <c r="UMD20" s="72"/>
      <c r="UME20" s="72"/>
      <c r="UMF20" s="72"/>
      <c r="UMG20" s="72"/>
      <c r="UMH20" s="72"/>
      <c r="UMI20" s="72"/>
      <c r="UMJ20" s="72"/>
      <c r="UMK20" s="72"/>
      <c r="UML20" s="72"/>
      <c r="UMM20" s="72"/>
      <c r="UMN20" s="72"/>
      <c r="UMO20" s="72"/>
      <c r="UMP20" s="72"/>
      <c r="UMQ20" s="72"/>
      <c r="UMR20" s="72"/>
      <c r="UMS20" s="72"/>
      <c r="UMT20" s="72"/>
      <c r="UMU20" s="72"/>
      <c r="UMV20" s="72"/>
      <c r="UMW20" s="72"/>
      <c r="UMX20" s="72"/>
      <c r="UMY20" s="72"/>
      <c r="UMZ20" s="72"/>
      <c r="UNA20" s="72"/>
      <c r="UNB20" s="72"/>
      <c r="UNC20" s="72"/>
      <c r="UND20" s="72"/>
      <c r="UNE20" s="72"/>
      <c r="UNF20" s="72"/>
      <c r="UNG20" s="72"/>
      <c r="UNH20" s="72"/>
      <c r="UNI20" s="72"/>
      <c r="UNJ20" s="72"/>
      <c r="UNK20" s="72"/>
      <c r="UNL20" s="72"/>
      <c r="UNM20" s="72"/>
      <c r="UNN20" s="72"/>
      <c r="UNO20" s="72"/>
      <c r="UNP20" s="72"/>
      <c r="UNQ20" s="72"/>
      <c r="UNR20" s="72"/>
      <c r="UNS20" s="72"/>
      <c r="UNT20" s="72"/>
      <c r="UNU20" s="72"/>
      <c r="UNV20" s="72"/>
      <c r="UNW20" s="72"/>
      <c r="UNX20" s="72"/>
      <c r="UNY20" s="72"/>
      <c r="UNZ20" s="72"/>
      <c r="UOA20" s="72"/>
      <c r="UOB20" s="72"/>
      <c r="UOC20" s="72"/>
      <c r="UOD20" s="72"/>
      <c r="UOE20" s="72"/>
      <c r="UOF20" s="72"/>
      <c r="UOG20" s="72"/>
      <c r="UOH20" s="72"/>
      <c r="UOI20" s="72"/>
      <c r="UOJ20" s="72"/>
      <c r="UOK20" s="72"/>
      <c r="UOL20" s="72"/>
      <c r="UOM20" s="72"/>
      <c r="UON20" s="72"/>
      <c r="UOO20" s="72"/>
      <c r="UOP20" s="72"/>
      <c r="UOQ20" s="72"/>
      <c r="UOR20" s="72"/>
      <c r="UOS20" s="72"/>
      <c r="UOT20" s="72"/>
      <c r="UOU20" s="72"/>
      <c r="UOV20" s="72"/>
      <c r="UOW20" s="72"/>
      <c r="UOX20" s="72"/>
      <c r="UOY20" s="72"/>
      <c r="UOZ20" s="72"/>
      <c r="UPA20" s="72"/>
      <c r="UPB20" s="72"/>
      <c r="UPC20" s="72"/>
      <c r="UPD20" s="72"/>
      <c r="UPE20" s="72"/>
      <c r="UPF20" s="72"/>
      <c r="UPG20" s="72"/>
      <c r="UPH20" s="72"/>
      <c r="UPI20" s="72"/>
      <c r="UPJ20" s="72"/>
      <c r="UPK20" s="72"/>
      <c r="UPL20" s="72"/>
      <c r="UPM20" s="72"/>
      <c r="UPN20" s="72"/>
      <c r="UPO20" s="72"/>
      <c r="UPP20" s="72"/>
      <c r="UPQ20" s="72"/>
      <c r="UPR20" s="72"/>
      <c r="UPS20" s="72"/>
      <c r="UPT20" s="72"/>
      <c r="UPU20" s="72"/>
      <c r="UPV20" s="72"/>
      <c r="UPW20" s="72"/>
      <c r="UPX20" s="72"/>
      <c r="UPY20" s="72"/>
      <c r="UPZ20" s="72"/>
      <c r="UQA20" s="72"/>
      <c r="UQB20" s="72"/>
      <c r="UQC20" s="72"/>
      <c r="UQD20" s="72"/>
      <c r="UQE20" s="72"/>
      <c r="UQF20" s="72"/>
      <c r="UQG20" s="72"/>
      <c r="UQH20" s="72"/>
      <c r="UQI20" s="72"/>
      <c r="UQJ20" s="72"/>
      <c r="UQK20" s="72"/>
      <c r="UQL20" s="72"/>
      <c r="UQM20" s="72"/>
      <c r="UQN20" s="72"/>
      <c r="UQO20" s="72"/>
      <c r="UQP20" s="72"/>
      <c r="UQQ20" s="72"/>
      <c r="UQR20" s="72"/>
      <c r="UQS20" s="72"/>
      <c r="UQT20" s="72"/>
      <c r="UQU20" s="72"/>
      <c r="UQV20" s="72"/>
      <c r="UQW20" s="72"/>
      <c r="UQX20" s="72"/>
      <c r="UQY20" s="72"/>
      <c r="UQZ20" s="72"/>
      <c r="URA20" s="72"/>
      <c r="URB20" s="72"/>
      <c r="URC20" s="72"/>
      <c r="URD20" s="72"/>
      <c r="URE20" s="72"/>
      <c r="URF20" s="72"/>
      <c r="URG20" s="72"/>
      <c r="URH20" s="72"/>
      <c r="URI20" s="72"/>
      <c r="URJ20" s="72"/>
      <c r="URK20" s="72"/>
      <c r="URL20" s="72"/>
      <c r="URM20" s="72"/>
      <c r="URN20" s="72"/>
      <c r="URO20" s="72"/>
      <c r="URP20" s="72"/>
      <c r="URQ20" s="72"/>
      <c r="URR20" s="72"/>
      <c r="URS20" s="72"/>
      <c r="URT20" s="72"/>
      <c r="URU20" s="72"/>
      <c r="URV20" s="72"/>
      <c r="URW20" s="72"/>
      <c r="URX20" s="72"/>
      <c r="URY20" s="72"/>
      <c r="URZ20" s="72"/>
      <c r="USA20" s="72"/>
      <c r="USB20" s="72"/>
      <c r="USC20" s="72"/>
      <c r="USD20" s="72"/>
      <c r="USE20" s="72"/>
      <c r="USF20" s="72"/>
      <c r="USG20" s="72"/>
      <c r="USH20" s="72"/>
      <c r="USI20" s="72"/>
      <c r="USJ20" s="72"/>
      <c r="USK20" s="72"/>
      <c r="USL20" s="72"/>
      <c r="USM20" s="72"/>
      <c r="USN20" s="72"/>
      <c r="USO20" s="72"/>
      <c r="USP20" s="72"/>
      <c r="USQ20" s="72"/>
      <c r="USR20" s="72"/>
      <c r="USS20" s="72"/>
      <c r="UST20" s="72"/>
      <c r="USU20" s="72"/>
      <c r="USV20" s="72"/>
      <c r="USW20" s="72"/>
      <c r="USX20" s="72"/>
      <c r="USY20" s="72"/>
      <c r="USZ20" s="72"/>
      <c r="UTA20" s="72"/>
      <c r="UTB20" s="72"/>
      <c r="UTC20" s="72"/>
      <c r="UTD20" s="72"/>
      <c r="UTE20" s="72"/>
      <c r="UTF20" s="72"/>
      <c r="UTG20" s="72"/>
      <c r="UTH20" s="72"/>
      <c r="UTI20" s="72"/>
      <c r="UTJ20" s="72"/>
      <c r="UTK20" s="72"/>
      <c r="UTL20" s="72"/>
      <c r="UTM20" s="72"/>
      <c r="UTN20" s="72"/>
      <c r="UTO20" s="72"/>
      <c r="UTP20" s="72"/>
      <c r="UTQ20" s="72"/>
      <c r="UTR20" s="72"/>
      <c r="UTS20" s="72"/>
      <c r="UTT20" s="72"/>
      <c r="UTU20" s="72"/>
      <c r="UTV20" s="72"/>
      <c r="UTW20" s="72"/>
      <c r="UTX20" s="72"/>
      <c r="UTY20" s="72"/>
      <c r="UTZ20" s="72"/>
      <c r="UUA20" s="72"/>
      <c r="UUB20" s="72"/>
      <c r="UUC20" s="72"/>
      <c r="UUD20" s="72"/>
      <c r="UUE20" s="72"/>
      <c r="UUF20" s="72"/>
      <c r="UUG20" s="72"/>
      <c r="UUH20" s="72"/>
      <c r="UUI20" s="72"/>
      <c r="UUJ20" s="72"/>
      <c r="UUK20" s="72"/>
      <c r="UUL20" s="72"/>
      <c r="UUM20" s="72"/>
      <c r="UUN20" s="72"/>
      <c r="UUO20" s="72"/>
      <c r="UUP20" s="72"/>
      <c r="UUQ20" s="72"/>
      <c r="UUR20" s="72"/>
      <c r="UUS20" s="72"/>
      <c r="UUT20" s="72"/>
      <c r="UUU20" s="72"/>
      <c r="UUV20" s="72"/>
      <c r="UUW20" s="72"/>
      <c r="UUX20" s="72"/>
      <c r="UUY20" s="72"/>
      <c r="UUZ20" s="72"/>
      <c r="UVA20" s="72"/>
      <c r="UVB20" s="72"/>
      <c r="UVC20" s="72"/>
      <c r="UVD20" s="72"/>
      <c r="UVE20" s="72"/>
      <c r="UVF20" s="72"/>
      <c r="UVG20" s="72"/>
      <c r="UVH20" s="72"/>
      <c r="UVI20" s="72"/>
      <c r="UVJ20" s="72"/>
      <c r="UVK20" s="72"/>
      <c r="UVL20" s="72"/>
      <c r="UVM20" s="72"/>
      <c r="UVN20" s="72"/>
      <c r="UVO20" s="72"/>
      <c r="UVP20" s="72"/>
      <c r="UVQ20" s="72"/>
      <c r="UVR20" s="72"/>
      <c r="UVS20" s="72"/>
      <c r="UVT20" s="72"/>
      <c r="UVU20" s="72"/>
      <c r="UVV20" s="72"/>
      <c r="UVW20" s="72"/>
      <c r="UVX20" s="72"/>
      <c r="UVY20" s="72"/>
      <c r="UVZ20" s="72"/>
      <c r="UWA20" s="72"/>
      <c r="UWB20" s="72"/>
      <c r="UWC20" s="72"/>
      <c r="UWD20" s="72"/>
      <c r="UWE20" s="72"/>
      <c r="UWF20" s="72"/>
      <c r="UWG20" s="72"/>
      <c r="UWH20" s="72"/>
      <c r="UWI20" s="72"/>
      <c r="UWJ20" s="72"/>
      <c r="UWK20" s="72"/>
      <c r="UWL20" s="72"/>
      <c r="UWM20" s="72"/>
      <c r="UWN20" s="72"/>
      <c r="UWO20" s="72"/>
      <c r="UWP20" s="72"/>
      <c r="UWQ20" s="72"/>
      <c r="UWR20" s="72"/>
      <c r="UWS20" s="72"/>
      <c r="UWT20" s="72"/>
      <c r="UWU20" s="72"/>
      <c r="UWV20" s="72"/>
      <c r="UWW20" s="72"/>
      <c r="UWX20" s="72"/>
      <c r="UWY20" s="72"/>
      <c r="UWZ20" s="72"/>
      <c r="UXA20" s="72"/>
      <c r="UXB20" s="72"/>
      <c r="UXC20" s="72"/>
      <c r="UXD20" s="72"/>
      <c r="UXE20" s="72"/>
      <c r="UXF20" s="72"/>
      <c r="UXG20" s="72"/>
      <c r="UXH20" s="72"/>
      <c r="UXI20" s="72"/>
      <c r="UXJ20" s="72"/>
      <c r="UXK20" s="72"/>
      <c r="UXL20" s="72"/>
      <c r="UXM20" s="72"/>
      <c r="UXN20" s="72"/>
      <c r="UXO20" s="72"/>
      <c r="UXP20" s="72"/>
      <c r="UXQ20" s="72"/>
      <c r="UXR20" s="72"/>
      <c r="UXS20" s="72"/>
      <c r="UXT20" s="72"/>
      <c r="UXU20" s="72"/>
      <c r="UXV20" s="72"/>
      <c r="UXW20" s="72"/>
      <c r="UXX20" s="72"/>
      <c r="UXY20" s="72"/>
      <c r="UXZ20" s="72"/>
      <c r="UYA20" s="72"/>
      <c r="UYB20" s="72"/>
      <c r="UYC20" s="72"/>
      <c r="UYD20" s="72"/>
      <c r="UYE20" s="72"/>
      <c r="UYF20" s="72"/>
      <c r="UYG20" s="72"/>
      <c r="UYH20" s="72"/>
      <c r="UYI20" s="72"/>
      <c r="UYJ20" s="72"/>
      <c r="UYK20" s="72"/>
      <c r="UYL20" s="72"/>
      <c r="UYM20" s="72"/>
      <c r="UYN20" s="72"/>
      <c r="UYO20" s="72"/>
      <c r="UYP20" s="72"/>
      <c r="UYQ20" s="72"/>
      <c r="UYR20" s="72"/>
      <c r="UYS20" s="72"/>
      <c r="UYT20" s="72"/>
      <c r="UYU20" s="72"/>
      <c r="UYV20" s="72"/>
      <c r="UYW20" s="72"/>
      <c r="UYX20" s="72"/>
      <c r="UYY20" s="72"/>
      <c r="UYZ20" s="72"/>
      <c r="UZA20" s="72"/>
      <c r="UZB20" s="72"/>
      <c r="UZC20" s="72"/>
      <c r="UZD20" s="72"/>
      <c r="UZE20" s="72"/>
      <c r="UZF20" s="72"/>
      <c r="UZG20" s="72"/>
      <c r="UZH20" s="72"/>
      <c r="UZI20" s="72"/>
      <c r="UZJ20" s="72"/>
      <c r="UZK20" s="72"/>
      <c r="UZL20" s="72"/>
      <c r="UZM20" s="72"/>
      <c r="UZN20" s="72"/>
      <c r="UZO20" s="72"/>
      <c r="UZP20" s="72"/>
      <c r="UZQ20" s="72"/>
      <c r="UZR20" s="72"/>
      <c r="UZS20" s="72"/>
      <c r="UZT20" s="72"/>
      <c r="UZU20" s="72"/>
      <c r="UZV20" s="72"/>
      <c r="UZW20" s="72"/>
      <c r="UZX20" s="72"/>
      <c r="UZY20" s="72"/>
      <c r="UZZ20" s="72"/>
      <c r="VAA20" s="72"/>
      <c r="VAB20" s="72"/>
      <c r="VAC20" s="72"/>
      <c r="VAD20" s="72"/>
      <c r="VAE20" s="72"/>
      <c r="VAF20" s="72"/>
      <c r="VAG20" s="72"/>
      <c r="VAH20" s="72"/>
      <c r="VAI20" s="72"/>
      <c r="VAJ20" s="72"/>
      <c r="VAK20" s="72"/>
      <c r="VAL20" s="72"/>
      <c r="VAM20" s="72"/>
      <c r="VAN20" s="72"/>
      <c r="VAO20" s="72"/>
      <c r="VAP20" s="72"/>
      <c r="VAQ20" s="72"/>
      <c r="VAR20" s="72"/>
      <c r="VAS20" s="72"/>
      <c r="VAT20" s="72"/>
      <c r="VAU20" s="72"/>
      <c r="VAV20" s="72"/>
      <c r="VAW20" s="72"/>
      <c r="VAX20" s="72"/>
      <c r="VAY20" s="72"/>
      <c r="VAZ20" s="72"/>
      <c r="VBA20" s="72"/>
      <c r="VBB20" s="72"/>
      <c r="VBC20" s="72"/>
      <c r="VBD20" s="72"/>
      <c r="VBE20" s="72"/>
      <c r="VBF20" s="72"/>
      <c r="VBG20" s="72"/>
      <c r="VBH20" s="72"/>
      <c r="VBI20" s="72"/>
      <c r="VBJ20" s="72"/>
      <c r="VBK20" s="72"/>
      <c r="VBL20" s="72"/>
      <c r="VBM20" s="72"/>
      <c r="VBN20" s="72"/>
      <c r="VBO20" s="72"/>
      <c r="VBP20" s="72"/>
      <c r="VBQ20" s="72"/>
      <c r="VBR20" s="72"/>
      <c r="VBS20" s="72"/>
      <c r="VBT20" s="72"/>
      <c r="VBU20" s="72"/>
      <c r="VBV20" s="72"/>
      <c r="VBW20" s="72"/>
      <c r="VBX20" s="72"/>
      <c r="VBY20" s="72"/>
      <c r="VBZ20" s="72"/>
      <c r="VCA20" s="72"/>
      <c r="VCB20" s="72"/>
      <c r="VCC20" s="72"/>
      <c r="VCD20" s="72"/>
      <c r="VCE20" s="72"/>
      <c r="VCF20" s="72"/>
      <c r="VCG20" s="72"/>
      <c r="VCH20" s="72"/>
      <c r="VCI20" s="72"/>
      <c r="VCJ20" s="72"/>
      <c r="VCK20" s="72"/>
      <c r="VCL20" s="72"/>
      <c r="VCM20" s="72"/>
      <c r="VCN20" s="72"/>
      <c r="VCO20" s="72"/>
      <c r="VCP20" s="72"/>
      <c r="VCQ20" s="72"/>
      <c r="VCR20" s="72"/>
      <c r="VCS20" s="72"/>
      <c r="VCT20" s="72"/>
      <c r="VCU20" s="72"/>
      <c r="VCV20" s="72"/>
      <c r="VCW20" s="72"/>
      <c r="VCX20" s="72"/>
      <c r="VCY20" s="72"/>
      <c r="VCZ20" s="72"/>
      <c r="VDA20" s="72"/>
      <c r="VDB20" s="72"/>
      <c r="VDC20" s="72"/>
      <c r="VDD20" s="72"/>
      <c r="VDE20" s="72"/>
      <c r="VDF20" s="72"/>
      <c r="VDG20" s="72"/>
      <c r="VDH20" s="72"/>
      <c r="VDI20" s="72"/>
      <c r="VDJ20" s="72"/>
      <c r="VDK20" s="72"/>
      <c r="VDL20" s="72"/>
      <c r="VDM20" s="72"/>
      <c r="VDN20" s="72"/>
      <c r="VDO20" s="72"/>
      <c r="VDP20" s="72"/>
      <c r="VDQ20" s="72"/>
      <c r="VDR20" s="72"/>
      <c r="VDS20" s="72"/>
      <c r="VDT20" s="72"/>
      <c r="VDU20" s="72"/>
      <c r="VDV20" s="72"/>
      <c r="VDW20" s="72"/>
      <c r="VDX20" s="72"/>
      <c r="VDY20" s="72"/>
      <c r="VDZ20" s="72"/>
      <c r="VEA20" s="72"/>
      <c r="VEB20" s="72"/>
      <c r="VEC20" s="72"/>
      <c r="VED20" s="72"/>
      <c r="VEE20" s="72"/>
      <c r="VEF20" s="72"/>
      <c r="VEG20" s="72"/>
      <c r="VEH20" s="72"/>
      <c r="VEI20" s="72"/>
      <c r="VEJ20" s="72"/>
      <c r="VEK20" s="72"/>
      <c r="VEL20" s="72"/>
      <c r="VEM20" s="72"/>
      <c r="VEN20" s="72"/>
      <c r="VEO20" s="72"/>
      <c r="VEP20" s="72"/>
      <c r="VEQ20" s="72"/>
      <c r="VER20" s="72"/>
      <c r="VES20" s="72"/>
      <c r="VET20" s="72"/>
      <c r="VEU20" s="72"/>
      <c r="VEV20" s="72"/>
      <c r="VEW20" s="72"/>
      <c r="VEX20" s="72"/>
      <c r="VEY20" s="72"/>
      <c r="VEZ20" s="72"/>
      <c r="VFA20" s="72"/>
      <c r="VFB20" s="72"/>
      <c r="VFC20" s="72"/>
      <c r="VFD20" s="72"/>
      <c r="VFE20" s="72"/>
      <c r="VFF20" s="72"/>
      <c r="VFG20" s="72"/>
      <c r="VFH20" s="72"/>
      <c r="VFI20" s="72"/>
      <c r="VFJ20" s="72"/>
      <c r="VFK20" s="72"/>
      <c r="VFL20" s="72"/>
      <c r="VFM20" s="72"/>
      <c r="VFN20" s="72"/>
      <c r="VFO20" s="72"/>
      <c r="VFP20" s="72"/>
      <c r="VFQ20" s="72"/>
      <c r="VFR20" s="72"/>
      <c r="VFS20" s="72"/>
      <c r="VFT20" s="72"/>
      <c r="VFU20" s="72"/>
      <c r="VFV20" s="72"/>
      <c r="VFW20" s="72"/>
      <c r="VFX20" s="72"/>
      <c r="VFY20" s="72"/>
      <c r="VFZ20" s="72"/>
      <c r="VGA20" s="72"/>
      <c r="VGB20" s="72"/>
      <c r="VGC20" s="72"/>
      <c r="VGD20" s="72"/>
      <c r="VGE20" s="72"/>
      <c r="VGF20" s="72"/>
      <c r="VGG20" s="72"/>
      <c r="VGH20" s="72"/>
      <c r="VGI20" s="72"/>
      <c r="VGJ20" s="72"/>
      <c r="VGK20" s="72"/>
      <c r="VGL20" s="72"/>
      <c r="VGM20" s="72"/>
      <c r="VGN20" s="72"/>
      <c r="VGO20" s="72"/>
      <c r="VGP20" s="72"/>
      <c r="VGQ20" s="72"/>
      <c r="VGR20" s="72"/>
      <c r="VGS20" s="72"/>
      <c r="VGT20" s="72"/>
      <c r="VGU20" s="72"/>
      <c r="VGV20" s="72"/>
      <c r="VGW20" s="72"/>
      <c r="VGX20" s="72"/>
      <c r="VGY20" s="72"/>
      <c r="VGZ20" s="72"/>
      <c r="VHA20" s="72"/>
      <c r="VHB20" s="72"/>
      <c r="VHC20" s="72"/>
      <c r="VHD20" s="72"/>
      <c r="VHE20" s="72"/>
      <c r="VHF20" s="72"/>
      <c r="VHG20" s="72"/>
      <c r="VHH20" s="72"/>
      <c r="VHI20" s="72"/>
      <c r="VHJ20" s="72"/>
      <c r="VHK20" s="72"/>
      <c r="VHL20" s="72"/>
      <c r="VHM20" s="72"/>
      <c r="VHN20" s="72"/>
      <c r="VHO20" s="72"/>
      <c r="VHP20" s="72"/>
      <c r="VHQ20" s="72"/>
      <c r="VHR20" s="72"/>
      <c r="VHS20" s="72"/>
      <c r="VHT20" s="72"/>
      <c r="VHU20" s="72"/>
      <c r="VHV20" s="72"/>
      <c r="VHW20" s="72"/>
      <c r="VHX20" s="72"/>
      <c r="VHY20" s="72"/>
      <c r="VHZ20" s="72"/>
      <c r="VIA20" s="72"/>
      <c r="VIB20" s="72"/>
      <c r="VIC20" s="72"/>
      <c r="VID20" s="72"/>
      <c r="VIE20" s="72"/>
      <c r="VIF20" s="72"/>
      <c r="VIG20" s="72"/>
      <c r="VIH20" s="72"/>
      <c r="VII20" s="72"/>
      <c r="VIJ20" s="72"/>
      <c r="VIK20" s="72"/>
      <c r="VIL20" s="72"/>
      <c r="VIM20" s="72"/>
      <c r="VIN20" s="72"/>
      <c r="VIO20" s="72"/>
      <c r="VIP20" s="72"/>
      <c r="VIQ20" s="72"/>
      <c r="VIR20" s="72"/>
      <c r="VIS20" s="72"/>
      <c r="VIT20" s="72"/>
      <c r="VIU20" s="72"/>
      <c r="VIV20" s="72"/>
      <c r="VIW20" s="72"/>
      <c r="VIX20" s="72"/>
      <c r="VIY20" s="72"/>
      <c r="VIZ20" s="72"/>
      <c r="VJA20" s="72"/>
      <c r="VJB20" s="72"/>
      <c r="VJC20" s="72"/>
      <c r="VJD20" s="72"/>
      <c r="VJE20" s="72"/>
      <c r="VJF20" s="72"/>
      <c r="VJG20" s="72"/>
      <c r="VJH20" s="72"/>
      <c r="VJI20" s="72"/>
      <c r="VJJ20" s="72"/>
      <c r="VJK20" s="72"/>
      <c r="VJL20" s="72"/>
      <c r="VJM20" s="72"/>
      <c r="VJN20" s="72"/>
      <c r="VJO20" s="72"/>
      <c r="VJP20" s="72"/>
      <c r="VJQ20" s="72"/>
      <c r="VJR20" s="72"/>
      <c r="VJS20" s="72"/>
      <c r="VJT20" s="72"/>
      <c r="VJU20" s="72"/>
      <c r="VJV20" s="72"/>
      <c r="VJW20" s="72"/>
      <c r="VJX20" s="72"/>
      <c r="VJY20" s="72"/>
      <c r="VJZ20" s="72"/>
      <c r="VKA20" s="72"/>
      <c r="VKB20" s="72"/>
      <c r="VKC20" s="72"/>
      <c r="VKD20" s="72"/>
      <c r="VKE20" s="72"/>
      <c r="VKF20" s="72"/>
      <c r="VKG20" s="72"/>
      <c r="VKH20" s="72"/>
      <c r="VKI20" s="72"/>
      <c r="VKJ20" s="72"/>
      <c r="VKK20" s="72"/>
      <c r="VKL20" s="72"/>
      <c r="VKM20" s="72"/>
      <c r="VKN20" s="72"/>
      <c r="VKO20" s="72"/>
      <c r="VKP20" s="72"/>
      <c r="VKQ20" s="72"/>
      <c r="VKR20" s="72"/>
      <c r="VKS20" s="72"/>
      <c r="VKT20" s="72"/>
      <c r="VKU20" s="72"/>
      <c r="VKV20" s="72"/>
      <c r="VKW20" s="72"/>
      <c r="VKX20" s="72"/>
      <c r="VKY20" s="72"/>
      <c r="VKZ20" s="72"/>
      <c r="VLA20" s="72"/>
      <c r="VLB20" s="72"/>
      <c r="VLC20" s="72"/>
      <c r="VLD20" s="72"/>
      <c r="VLE20" s="72"/>
      <c r="VLF20" s="72"/>
      <c r="VLG20" s="72"/>
      <c r="VLH20" s="72"/>
      <c r="VLI20" s="72"/>
      <c r="VLJ20" s="72"/>
      <c r="VLK20" s="72"/>
      <c r="VLL20" s="72"/>
      <c r="VLM20" s="72"/>
      <c r="VLN20" s="72"/>
      <c r="VLO20" s="72"/>
      <c r="VLP20" s="72"/>
      <c r="VLQ20" s="72"/>
      <c r="VLR20" s="72"/>
      <c r="VLS20" s="72"/>
      <c r="VLT20" s="72"/>
      <c r="VLU20" s="72"/>
      <c r="VLV20" s="72"/>
      <c r="VLW20" s="72"/>
      <c r="VLX20" s="72"/>
      <c r="VLY20" s="72"/>
      <c r="VLZ20" s="72"/>
      <c r="VMA20" s="72"/>
      <c r="VMB20" s="72"/>
      <c r="VMC20" s="72"/>
      <c r="VMD20" s="72"/>
      <c r="VME20" s="72"/>
      <c r="VMF20" s="72"/>
      <c r="VMG20" s="72"/>
      <c r="VMH20" s="72"/>
      <c r="VMI20" s="72"/>
      <c r="VMJ20" s="72"/>
      <c r="VMK20" s="72"/>
      <c r="VML20" s="72"/>
      <c r="VMM20" s="72"/>
      <c r="VMN20" s="72"/>
      <c r="VMO20" s="72"/>
      <c r="VMP20" s="72"/>
      <c r="VMQ20" s="72"/>
      <c r="VMR20" s="72"/>
      <c r="VMS20" s="72"/>
      <c r="VMT20" s="72"/>
      <c r="VMU20" s="72"/>
      <c r="VMV20" s="72"/>
      <c r="VMW20" s="72"/>
      <c r="VMX20" s="72"/>
      <c r="VMY20" s="72"/>
      <c r="VMZ20" s="72"/>
      <c r="VNA20" s="72"/>
      <c r="VNB20" s="72"/>
      <c r="VNC20" s="72"/>
      <c r="VND20" s="72"/>
      <c r="VNE20" s="72"/>
      <c r="VNF20" s="72"/>
      <c r="VNG20" s="72"/>
      <c r="VNH20" s="72"/>
      <c r="VNI20" s="72"/>
      <c r="VNJ20" s="72"/>
      <c r="VNK20" s="72"/>
      <c r="VNL20" s="72"/>
      <c r="VNM20" s="72"/>
      <c r="VNN20" s="72"/>
      <c r="VNO20" s="72"/>
      <c r="VNP20" s="72"/>
      <c r="VNQ20" s="72"/>
      <c r="VNR20" s="72"/>
      <c r="VNS20" s="72"/>
      <c r="VNT20" s="72"/>
      <c r="VNU20" s="72"/>
      <c r="VNV20" s="72"/>
      <c r="VNW20" s="72"/>
      <c r="VNX20" s="72"/>
      <c r="VNY20" s="72"/>
      <c r="VNZ20" s="72"/>
      <c r="VOA20" s="72"/>
      <c r="VOB20" s="72"/>
      <c r="VOC20" s="72"/>
      <c r="VOD20" s="72"/>
      <c r="VOE20" s="72"/>
      <c r="VOF20" s="72"/>
      <c r="VOG20" s="72"/>
      <c r="VOH20" s="72"/>
      <c r="VOI20" s="72"/>
      <c r="VOJ20" s="72"/>
      <c r="VOK20" s="72"/>
      <c r="VOL20" s="72"/>
      <c r="VOM20" s="72"/>
      <c r="VON20" s="72"/>
      <c r="VOO20" s="72"/>
      <c r="VOP20" s="72"/>
      <c r="VOQ20" s="72"/>
      <c r="VOR20" s="72"/>
      <c r="VOS20" s="72"/>
      <c r="VOT20" s="72"/>
      <c r="VOU20" s="72"/>
      <c r="VOV20" s="72"/>
      <c r="VOW20" s="72"/>
      <c r="VOX20" s="72"/>
      <c r="VOY20" s="72"/>
      <c r="VOZ20" s="72"/>
      <c r="VPA20" s="72"/>
      <c r="VPB20" s="72"/>
      <c r="VPC20" s="72"/>
      <c r="VPD20" s="72"/>
      <c r="VPE20" s="72"/>
      <c r="VPF20" s="72"/>
      <c r="VPG20" s="72"/>
      <c r="VPH20" s="72"/>
      <c r="VPI20" s="72"/>
      <c r="VPJ20" s="72"/>
      <c r="VPK20" s="72"/>
      <c r="VPL20" s="72"/>
      <c r="VPM20" s="72"/>
      <c r="VPN20" s="72"/>
      <c r="VPO20" s="72"/>
      <c r="VPP20" s="72"/>
      <c r="VPQ20" s="72"/>
      <c r="VPR20" s="72"/>
      <c r="VPS20" s="72"/>
      <c r="VPT20" s="72"/>
      <c r="VPU20" s="72"/>
      <c r="VPV20" s="72"/>
      <c r="VPW20" s="72"/>
      <c r="VPX20" s="72"/>
      <c r="VPY20" s="72"/>
      <c r="VPZ20" s="72"/>
      <c r="VQA20" s="72"/>
      <c r="VQB20" s="72"/>
      <c r="VQC20" s="72"/>
      <c r="VQD20" s="72"/>
      <c r="VQE20" s="72"/>
      <c r="VQF20" s="72"/>
      <c r="VQG20" s="72"/>
      <c r="VQH20" s="72"/>
      <c r="VQI20" s="72"/>
      <c r="VQJ20" s="72"/>
      <c r="VQK20" s="72"/>
      <c r="VQL20" s="72"/>
      <c r="VQM20" s="72"/>
      <c r="VQN20" s="72"/>
      <c r="VQO20" s="72"/>
      <c r="VQP20" s="72"/>
      <c r="VQQ20" s="72"/>
      <c r="VQR20" s="72"/>
      <c r="VQS20" s="72"/>
      <c r="VQT20" s="72"/>
      <c r="VQU20" s="72"/>
      <c r="VQV20" s="72"/>
      <c r="VQW20" s="72"/>
      <c r="VQX20" s="72"/>
      <c r="VQY20" s="72"/>
      <c r="VQZ20" s="72"/>
      <c r="VRA20" s="72"/>
      <c r="VRB20" s="72"/>
      <c r="VRC20" s="72"/>
      <c r="VRD20" s="72"/>
      <c r="VRE20" s="72"/>
      <c r="VRF20" s="72"/>
      <c r="VRG20" s="72"/>
      <c r="VRH20" s="72"/>
      <c r="VRI20" s="72"/>
      <c r="VRJ20" s="72"/>
      <c r="VRK20" s="72"/>
      <c r="VRL20" s="72"/>
      <c r="VRM20" s="72"/>
      <c r="VRN20" s="72"/>
      <c r="VRO20" s="72"/>
      <c r="VRP20" s="72"/>
      <c r="VRQ20" s="72"/>
      <c r="VRR20" s="72"/>
      <c r="VRS20" s="72"/>
      <c r="VRT20" s="72"/>
      <c r="VRU20" s="72"/>
      <c r="VRV20" s="72"/>
      <c r="VRW20" s="72"/>
      <c r="VRX20" s="72"/>
      <c r="VRY20" s="72"/>
      <c r="VRZ20" s="72"/>
      <c r="VSA20" s="72"/>
      <c r="VSB20" s="72"/>
      <c r="VSC20" s="72"/>
      <c r="VSD20" s="72"/>
      <c r="VSE20" s="72"/>
      <c r="VSF20" s="72"/>
      <c r="VSG20" s="72"/>
      <c r="VSH20" s="72"/>
      <c r="VSI20" s="72"/>
      <c r="VSJ20" s="72"/>
      <c r="VSK20" s="72"/>
      <c r="VSL20" s="72"/>
      <c r="VSM20" s="72"/>
      <c r="VSN20" s="72"/>
      <c r="VSO20" s="72"/>
      <c r="VSP20" s="72"/>
      <c r="VSQ20" s="72"/>
      <c r="VSR20" s="72"/>
      <c r="VSS20" s="72"/>
      <c r="VST20" s="72"/>
      <c r="VSU20" s="72"/>
      <c r="VSV20" s="72"/>
      <c r="VSW20" s="72"/>
      <c r="VSX20" s="72"/>
      <c r="VSY20" s="72"/>
      <c r="VSZ20" s="72"/>
      <c r="VTA20" s="72"/>
      <c r="VTB20" s="72"/>
      <c r="VTC20" s="72"/>
      <c r="VTD20" s="72"/>
      <c r="VTE20" s="72"/>
      <c r="VTF20" s="72"/>
      <c r="VTG20" s="72"/>
      <c r="VTH20" s="72"/>
      <c r="VTI20" s="72"/>
      <c r="VTJ20" s="72"/>
      <c r="VTK20" s="72"/>
      <c r="VTL20" s="72"/>
      <c r="VTM20" s="72"/>
      <c r="VTN20" s="72"/>
      <c r="VTO20" s="72"/>
      <c r="VTP20" s="72"/>
      <c r="VTQ20" s="72"/>
      <c r="VTR20" s="72"/>
      <c r="VTS20" s="72"/>
      <c r="VTT20" s="72"/>
      <c r="VTU20" s="72"/>
      <c r="VTV20" s="72"/>
      <c r="VTW20" s="72"/>
      <c r="VTX20" s="72"/>
      <c r="VTY20" s="72"/>
      <c r="VTZ20" s="72"/>
      <c r="VUA20" s="72"/>
      <c r="VUB20" s="72"/>
      <c r="VUC20" s="72"/>
      <c r="VUD20" s="72"/>
      <c r="VUE20" s="72"/>
      <c r="VUF20" s="72"/>
      <c r="VUG20" s="72"/>
      <c r="VUH20" s="72"/>
      <c r="VUI20" s="72"/>
      <c r="VUJ20" s="72"/>
      <c r="VUK20" s="72"/>
      <c r="VUL20" s="72"/>
      <c r="VUM20" s="72"/>
      <c r="VUN20" s="72"/>
      <c r="VUO20" s="72"/>
      <c r="VUP20" s="72"/>
      <c r="VUQ20" s="72"/>
      <c r="VUR20" s="72"/>
      <c r="VUS20" s="72"/>
      <c r="VUT20" s="72"/>
      <c r="VUU20" s="72"/>
      <c r="VUV20" s="72"/>
      <c r="VUW20" s="72"/>
      <c r="VUX20" s="72"/>
      <c r="VUY20" s="72"/>
      <c r="VUZ20" s="72"/>
      <c r="VVA20" s="72"/>
      <c r="VVB20" s="72"/>
      <c r="VVC20" s="72"/>
      <c r="VVD20" s="72"/>
      <c r="VVE20" s="72"/>
      <c r="VVF20" s="72"/>
      <c r="VVG20" s="72"/>
      <c r="VVH20" s="72"/>
      <c r="VVI20" s="72"/>
      <c r="VVJ20" s="72"/>
      <c r="VVK20" s="72"/>
      <c r="VVL20" s="72"/>
      <c r="VVM20" s="72"/>
      <c r="VVN20" s="72"/>
      <c r="VVO20" s="72"/>
      <c r="VVP20" s="72"/>
      <c r="VVQ20" s="72"/>
      <c r="VVR20" s="72"/>
      <c r="VVS20" s="72"/>
      <c r="VVT20" s="72"/>
      <c r="VVU20" s="72"/>
      <c r="VVV20" s="72"/>
      <c r="VVW20" s="72"/>
      <c r="VVX20" s="72"/>
      <c r="VVY20" s="72"/>
      <c r="VVZ20" s="72"/>
      <c r="VWA20" s="72"/>
      <c r="VWB20" s="72"/>
      <c r="VWC20" s="72"/>
      <c r="VWD20" s="72"/>
      <c r="VWE20" s="72"/>
      <c r="VWF20" s="72"/>
      <c r="VWG20" s="72"/>
      <c r="VWH20" s="72"/>
      <c r="VWI20" s="72"/>
      <c r="VWJ20" s="72"/>
      <c r="VWK20" s="72"/>
      <c r="VWL20" s="72"/>
      <c r="VWM20" s="72"/>
      <c r="VWN20" s="72"/>
      <c r="VWO20" s="72"/>
      <c r="VWP20" s="72"/>
      <c r="VWQ20" s="72"/>
      <c r="VWR20" s="72"/>
      <c r="VWS20" s="72"/>
      <c r="VWT20" s="72"/>
      <c r="VWU20" s="72"/>
      <c r="VWV20" s="72"/>
      <c r="VWW20" s="72"/>
      <c r="VWX20" s="72"/>
      <c r="VWY20" s="72"/>
      <c r="VWZ20" s="72"/>
      <c r="VXA20" s="72"/>
      <c r="VXB20" s="72"/>
      <c r="VXC20" s="72"/>
      <c r="VXD20" s="72"/>
      <c r="VXE20" s="72"/>
      <c r="VXF20" s="72"/>
      <c r="VXG20" s="72"/>
      <c r="VXH20" s="72"/>
      <c r="VXI20" s="72"/>
      <c r="VXJ20" s="72"/>
      <c r="VXK20" s="72"/>
      <c r="VXL20" s="72"/>
      <c r="VXM20" s="72"/>
      <c r="VXN20" s="72"/>
      <c r="VXO20" s="72"/>
      <c r="VXP20" s="72"/>
      <c r="VXQ20" s="72"/>
      <c r="VXR20" s="72"/>
      <c r="VXS20" s="72"/>
      <c r="VXT20" s="72"/>
      <c r="VXU20" s="72"/>
      <c r="VXV20" s="72"/>
      <c r="VXW20" s="72"/>
      <c r="VXX20" s="72"/>
      <c r="VXY20" s="72"/>
      <c r="VXZ20" s="72"/>
      <c r="VYA20" s="72"/>
      <c r="VYB20" s="72"/>
      <c r="VYC20" s="72"/>
      <c r="VYD20" s="72"/>
      <c r="VYE20" s="72"/>
      <c r="VYF20" s="72"/>
      <c r="VYG20" s="72"/>
      <c r="VYH20" s="72"/>
      <c r="VYI20" s="72"/>
      <c r="VYJ20" s="72"/>
      <c r="VYK20" s="72"/>
      <c r="VYL20" s="72"/>
      <c r="VYM20" s="72"/>
      <c r="VYN20" s="72"/>
      <c r="VYO20" s="72"/>
      <c r="VYP20" s="72"/>
      <c r="VYQ20" s="72"/>
      <c r="VYR20" s="72"/>
      <c r="VYS20" s="72"/>
      <c r="VYT20" s="72"/>
      <c r="VYU20" s="72"/>
      <c r="VYV20" s="72"/>
      <c r="VYW20" s="72"/>
      <c r="VYX20" s="72"/>
      <c r="VYY20" s="72"/>
      <c r="VYZ20" s="72"/>
      <c r="VZA20" s="72"/>
      <c r="VZB20" s="72"/>
      <c r="VZC20" s="72"/>
      <c r="VZD20" s="72"/>
      <c r="VZE20" s="72"/>
      <c r="VZF20" s="72"/>
      <c r="VZG20" s="72"/>
      <c r="VZH20" s="72"/>
      <c r="VZI20" s="72"/>
      <c r="VZJ20" s="72"/>
      <c r="VZK20" s="72"/>
      <c r="VZL20" s="72"/>
      <c r="VZM20" s="72"/>
      <c r="VZN20" s="72"/>
      <c r="VZO20" s="72"/>
      <c r="VZP20" s="72"/>
      <c r="VZQ20" s="72"/>
      <c r="VZR20" s="72"/>
      <c r="VZS20" s="72"/>
      <c r="VZT20" s="72"/>
      <c r="VZU20" s="72"/>
      <c r="VZV20" s="72"/>
      <c r="VZW20" s="72"/>
      <c r="VZX20" s="72"/>
      <c r="VZY20" s="72"/>
      <c r="VZZ20" s="72"/>
      <c r="WAA20" s="72"/>
      <c r="WAB20" s="72"/>
      <c r="WAC20" s="72"/>
      <c r="WAD20" s="72"/>
      <c r="WAE20" s="72"/>
      <c r="WAF20" s="72"/>
      <c r="WAG20" s="72"/>
      <c r="WAH20" s="72"/>
      <c r="WAI20" s="72"/>
      <c r="WAJ20" s="72"/>
      <c r="WAK20" s="72"/>
      <c r="WAL20" s="72"/>
      <c r="WAM20" s="72"/>
      <c r="WAN20" s="72"/>
      <c r="WAO20" s="72"/>
      <c r="WAP20" s="72"/>
      <c r="WAQ20" s="72"/>
      <c r="WAR20" s="72"/>
      <c r="WAS20" s="72"/>
      <c r="WAT20" s="72"/>
      <c r="WAU20" s="72"/>
      <c r="WAV20" s="72"/>
      <c r="WAW20" s="72"/>
      <c r="WAX20" s="72"/>
      <c r="WAY20" s="72"/>
      <c r="WAZ20" s="72"/>
      <c r="WBA20" s="72"/>
      <c r="WBB20" s="72"/>
      <c r="WBC20" s="72"/>
      <c r="WBD20" s="72"/>
      <c r="WBE20" s="72"/>
      <c r="WBF20" s="72"/>
      <c r="WBG20" s="72"/>
      <c r="WBH20" s="72"/>
      <c r="WBI20" s="72"/>
      <c r="WBJ20" s="72"/>
      <c r="WBK20" s="72"/>
      <c r="WBL20" s="72"/>
      <c r="WBM20" s="72"/>
      <c r="WBN20" s="72"/>
      <c r="WBO20" s="72"/>
      <c r="WBP20" s="72"/>
      <c r="WBQ20" s="72"/>
      <c r="WBR20" s="72"/>
      <c r="WBS20" s="72"/>
      <c r="WBT20" s="72"/>
      <c r="WBU20" s="72"/>
      <c r="WBV20" s="72"/>
      <c r="WBW20" s="72"/>
      <c r="WBX20" s="72"/>
      <c r="WBY20" s="72"/>
      <c r="WBZ20" s="72"/>
      <c r="WCA20" s="72"/>
      <c r="WCB20" s="72"/>
      <c r="WCC20" s="72"/>
      <c r="WCD20" s="72"/>
      <c r="WCE20" s="72"/>
      <c r="WCF20" s="72"/>
      <c r="WCG20" s="72"/>
      <c r="WCH20" s="72"/>
      <c r="WCI20" s="72"/>
      <c r="WCJ20" s="72"/>
      <c r="WCK20" s="72"/>
      <c r="WCL20" s="72"/>
      <c r="WCM20" s="72"/>
      <c r="WCN20" s="72"/>
      <c r="WCO20" s="72"/>
      <c r="WCP20" s="72"/>
      <c r="WCQ20" s="72"/>
      <c r="WCR20" s="72"/>
      <c r="WCS20" s="72"/>
      <c r="WCT20" s="72"/>
      <c r="WCU20" s="72"/>
      <c r="WCV20" s="72"/>
      <c r="WCW20" s="72"/>
      <c r="WCX20" s="72"/>
      <c r="WCY20" s="72"/>
      <c r="WCZ20" s="72"/>
      <c r="WDA20" s="72"/>
      <c r="WDB20" s="72"/>
      <c r="WDC20" s="72"/>
      <c r="WDD20" s="72"/>
      <c r="WDE20" s="72"/>
      <c r="WDF20" s="72"/>
      <c r="WDG20" s="72"/>
      <c r="WDH20" s="72"/>
      <c r="WDI20" s="72"/>
      <c r="WDJ20" s="72"/>
      <c r="WDK20" s="72"/>
      <c r="WDL20" s="72"/>
      <c r="WDM20" s="72"/>
      <c r="WDN20" s="72"/>
      <c r="WDO20" s="72"/>
      <c r="WDP20" s="72"/>
      <c r="WDQ20" s="72"/>
      <c r="WDR20" s="72"/>
      <c r="WDS20" s="72"/>
      <c r="WDT20" s="72"/>
      <c r="WDU20" s="72"/>
      <c r="WDV20" s="72"/>
      <c r="WDW20" s="72"/>
      <c r="WDX20" s="72"/>
      <c r="WDY20" s="72"/>
      <c r="WDZ20" s="72"/>
      <c r="WEA20" s="72"/>
      <c r="WEB20" s="72"/>
      <c r="WEC20" s="72"/>
      <c r="WED20" s="72"/>
      <c r="WEE20" s="72"/>
      <c r="WEF20" s="72"/>
      <c r="WEG20" s="72"/>
      <c r="WEH20" s="72"/>
      <c r="WEI20" s="72"/>
      <c r="WEJ20" s="72"/>
      <c r="WEK20" s="72"/>
      <c r="WEL20" s="72"/>
      <c r="WEM20" s="72"/>
      <c r="WEN20" s="72"/>
      <c r="WEO20" s="72"/>
      <c r="WEP20" s="72"/>
      <c r="WEQ20" s="72"/>
      <c r="WER20" s="72"/>
      <c r="WES20" s="72"/>
      <c r="WET20" s="72"/>
      <c r="WEU20" s="72"/>
      <c r="WEV20" s="72"/>
      <c r="WEW20" s="72"/>
      <c r="WEX20" s="72"/>
      <c r="WEY20" s="72"/>
      <c r="WEZ20" s="72"/>
      <c r="WFA20" s="72"/>
      <c r="WFB20" s="72"/>
      <c r="WFC20" s="72"/>
      <c r="WFD20" s="72"/>
      <c r="WFE20" s="72"/>
      <c r="WFF20" s="72"/>
      <c r="WFG20" s="72"/>
      <c r="WFH20" s="72"/>
      <c r="WFI20" s="72"/>
      <c r="WFJ20" s="72"/>
      <c r="WFK20" s="72"/>
      <c r="WFL20" s="72"/>
      <c r="WFM20" s="72"/>
      <c r="WFN20" s="72"/>
      <c r="WFO20" s="72"/>
      <c r="WFP20" s="72"/>
      <c r="WFQ20" s="72"/>
      <c r="WFR20" s="72"/>
      <c r="WFS20" s="72"/>
      <c r="WFT20" s="72"/>
      <c r="WFU20" s="72"/>
      <c r="WFV20" s="72"/>
      <c r="WFW20" s="72"/>
      <c r="WFX20" s="72"/>
      <c r="WFY20" s="72"/>
      <c r="WFZ20" s="72"/>
      <c r="WGA20" s="72"/>
      <c r="WGB20" s="72"/>
      <c r="WGC20" s="72"/>
      <c r="WGD20" s="72"/>
      <c r="WGE20" s="72"/>
      <c r="WGF20" s="72"/>
      <c r="WGG20" s="72"/>
      <c r="WGH20" s="72"/>
      <c r="WGI20" s="72"/>
      <c r="WGJ20" s="72"/>
      <c r="WGK20" s="72"/>
      <c r="WGL20" s="72"/>
      <c r="WGM20" s="72"/>
      <c r="WGN20" s="72"/>
      <c r="WGO20" s="72"/>
      <c r="WGP20" s="72"/>
      <c r="WGQ20" s="72"/>
      <c r="WGR20" s="72"/>
      <c r="WGS20" s="72"/>
      <c r="WGT20" s="72"/>
      <c r="WGU20" s="72"/>
      <c r="WGV20" s="72"/>
      <c r="WGW20" s="72"/>
      <c r="WGX20" s="72"/>
      <c r="WGY20" s="72"/>
      <c r="WGZ20" s="72"/>
      <c r="WHA20" s="72"/>
      <c r="WHB20" s="72"/>
      <c r="WHC20" s="72"/>
      <c r="WHD20" s="72"/>
      <c r="WHE20" s="72"/>
      <c r="WHF20" s="72"/>
      <c r="WHG20" s="72"/>
      <c r="WHH20" s="72"/>
      <c r="WHI20" s="72"/>
      <c r="WHJ20" s="72"/>
      <c r="WHK20" s="72"/>
      <c r="WHL20" s="72"/>
      <c r="WHM20" s="72"/>
      <c r="WHN20" s="72"/>
      <c r="WHO20" s="72"/>
      <c r="WHP20" s="72"/>
      <c r="WHQ20" s="72"/>
      <c r="WHR20" s="72"/>
      <c r="WHS20" s="72"/>
      <c r="WHT20" s="72"/>
      <c r="WHU20" s="72"/>
      <c r="WHV20" s="72"/>
      <c r="WHW20" s="72"/>
      <c r="WHX20" s="72"/>
      <c r="WHY20" s="72"/>
      <c r="WHZ20" s="72"/>
      <c r="WIA20" s="72"/>
      <c r="WIB20" s="72"/>
      <c r="WIC20" s="72"/>
      <c r="WID20" s="72"/>
      <c r="WIE20" s="72"/>
      <c r="WIF20" s="72"/>
      <c r="WIG20" s="72"/>
      <c r="WIH20" s="72"/>
      <c r="WII20" s="72"/>
      <c r="WIJ20" s="72"/>
      <c r="WIK20" s="72"/>
      <c r="WIL20" s="72"/>
      <c r="WIM20" s="72"/>
      <c r="WIN20" s="72"/>
      <c r="WIO20" s="72"/>
      <c r="WIP20" s="72"/>
      <c r="WIQ20" s="72"/>
      <c r="WIR20" s="72"/>
      <c r="WIS20" s="72"/>
      <c r="WIT20" s="72"/>
      <c r="WIU20" s="72"/>
      <c r="WIV20" s="72"/>
      <c r="WIW20" s="72"/>
      <c r="WIX20" s="72"/>
      <c r="WIY20" s="72"/>
      <c r="WIZ20" s="72"/>
      <c r="WJA20" s="72"/>
      <c r="WJB20" s="72"/>
      <c r="WJC20" s="72"/>
      <c r="WJD20" s="72"/>
      <c r="WJE20" s="72"/>
      <c r="WJF20" s="72"/>
      <c r="WJG20" s="72"/>
      <c r="WJH20" s="72"/>
      <c r="WJI20" s="72"/>
      <c r="WJJ20" s="72"/>
      <c r="WJK20" s="72"/>
      <c r="WJL20" s="72"/>
      <c r="WJM20" s="72"/>
      <c r="WJN20" s="72"/>
      <c r="WJO20" s="72"/>
      <c r="WJP20" s="72"/>
      <c r="WJQ20" s="72"/>
      <c r="WJR20" s="72"/>
      <c r="WJS20" s="72"/>
      <c r="WJT20" s="72"/>
      <c r="WJU20" s="72"/>
      <c r="WJV20" s="72"/>
      <c r="WJW20" s="72"/>
      <c r="WJX20" s="72"/>
      <c r="WJY20" s="72"/>
      <c r="WJZ20" s="72"/>
      <c r="WKA20" s="72"/>
      <c r="WKB20" s="72"/>
      <c r="WKC20" s="72"/>
      <c r="WKD20" s="72"/>
      <c r="WKE20" s="72"/>
      <c r="WKF20" s="72"/>
      <c r="WKG20" s="72"/>
      <c r="WKH20" s="72"/>
      <c r="WKI20" s="72"/>
      <c r="WKJ20" s="72"/>
      <c r="WKK20" s="72"/>
      <c r="WKL20" s="72"/>
      <c r="WKM20" s="72"/>
      <c r="WKN20" s="72"/>
      <c r="WKO20" s="72"/>
      <c r="WKP20" s="72"/>
      <c r="WKQ20" s="72"/>
      <c r="WKR20" s="72"/>
      <c r="WKS20" s="72"/>
      <c r="WKT20" s="72"/>
      <c r="WKU20" s="72"/>
      <c r="WKV20" s="72"/>
      <c r="WKW20" s="72"/>
      <c r="WKX20" s="72"/>
      <c r="WKY20" s="72"/>
      <c r="WKZ20" s="72"/>
      <c r="WLA20" s="72"/>
      <c r="WLB20" s="72"/>
      <c r="WLC20" s="72"/>
      <c r="WLD20" s="72"/>
      <c r="WLE20" s="72"/>
      <c r="WLF20" s="72"/>
      <c r="WLG20" s="72"/>
      <c r="WLH20" s="72"/>
      <c r="WLI20" s="72"/>
      <c r="WLJ20" s="72"/>
      <c r="WLK20" s="72"/>
      <c r="WLL20" s="72"/>
      <c r="WLM20" s="72"/>
      <c r="WLN20" s="72"/>
      <c r="WLO20" s="72"/>
      <c r="WLP20" s="72"/>
      <c r="WLQ20" s="72"/>
      <c r="WLR20" s="72"/>
      <c r="WLS20" s="72"/>
      <c r="WLT20" s="72"/>
      <c r="WLU20" s="72"/>
      <c r="WLV20" s="72"/>
      <c r="WLW20" s="72"/>
      <c r="WLX20" s="72"/>
      <c r="WLY20" s="72"/>
      <c r="WLZ20" s="72"/>
      <c r="WMA20" s="72"/>
      <c r="WMB20" s="72"/>
      <c r="WMC20" s="72"/>
      <c r="WMD20" s="72"/>
      <c r="WME20" s="72"/>
      <c r="WMF20" s="72"/>
      <c r="WMG20" s="72"/>
      <c r="WMH20" s="72"/>
      <c r="WMI20" s="72"/>
      <c r="WMJ20" s="72"/>
      <c r="WMK20" s="72"/>
      <c r="WML20" s="72"/>
      <c r="WMM20" s="72"/>
      <c r="WMN20" s="72"/>
      <c r="WMO20" s="72"/>
      <c r="WMP20" s="72"/>
      <c r="WMQ20" s="72"/>
      <c r="WMR20" s="72"/>
      <c r="WMS20" s="72"/>
      <c r="WMT20" s="72"/>
      <c r="WMU20" s="72"/>
      <c r="WMV20" s="72"/>
      <c r="WMW20" s="72"/>
      <c r="WMX20" s="72"/>
      <c r="WMY20" s="72"/>
      <c r="WMZ20" s="72"/>
      <c r="WNA20" s="72"/>
      <c r="WNB20" s="72"/>
      <c r="WNC20" s="72"/>
      <c r="WND20" s="72"/>
      <c r="WNE20" s="72"/>
      <c r="WNF20" s="72"/>
      <c r="WNG20" s="72"/>
      <c r="WNH20" s="72"/>
      <c r="WNI20" s="72"/>
      <c r="WNJ20" s="72"/>
      <c r="WNK20" s="72"/>
      <c r="WNL20" s="72"/>
      <c r="WNM20" s="72"/>
      <c r="WNN20" s="72"/>
      <c r="WNO20" s="72"/>
      <c r="WNP20" s="72"/>
      <c r="WNQ20" s="72"/>
      <c r="WNR20" s="72"/>
      <c r="WNS20" s="72"/>
      <c r="WNT20" s="72"/>
      <c r="WNU20" s="72"/>
      <c r="WNV20" s="72"/>
      <c r="WNW20" s="72"/>
      <c r="WNX20" s="72"/>
      <c r="WNY20" s="72"/>
      <c r="WNZ20" s="72"/>
      <c r="WOA20" s="72"/>
      <c r="WOB20" s="72"/>
      <c r="WOC20" s="72"/>
      <c r="WOD20" s="72"/>
      <c r="WOE20" s="72"/>
      <c r="WOF20" s="72"/>
      <c r="WOG20" s="72"/>
      <c r="WOH20" s="72"/>
      <c r="WOI20" s="72"/>
      <c r="WOJ20" s="72"/>
      <c r="WOK20" s="72"/>
      <c r="WOL20" s="72"/>
      <c r="WOM20" s="72"/>
      <c r="WON20" s="72"/>
      <c r="WOO20" s="72"/>
      <c r="WOP20" s="72"/>
      <c r="WOQ20" s="72"/>
      <c r="WOR20" s="72"/>
      <c r="WOS20" s="72"/>
      <c r="WOT20" s="72"/>
      <c r="WOU20" s="72"/>
      <c r="WOV20" s="72"/>
      <c r="WOW20" s="72"/>
      <c r="WOX20" s="72"/>
      <c r="WOY20" s="72"/>
      <c r="WOZ20" s="72"/>
      <c r="WPA20" s="72"/>
      <c r="WPB20" s="72"/>
      <c r="WPC20" s="72"/>
      <c r="WPD20" s="72"/>
      <c r="WPE20" s="72"/>
      <c r="WPF20" s="72"/>
      <c r="WPG20" s="72"/>
      <c r="WPH20" s="72"/>
      <c r="WPI20" s="72"/>
      <c r="WPJ20" s="72"/>
      <c r="WPK20" s="72"/>
      <c r="WPL20" s="72"/>
      <c r="WPM20" s="72"/>
      <c r="WPN20" s="72"/>
      <c r="WPO20" s="72"/>
      <c r="WPP20" s="72"/>
      <c r="WPQ20" s="72"/>
      <c r="WPR20" s="72"/>
      <c r="WPS20" s="72"/>
      <c r="WPT20" s="72"/>
      <c r="WPU20" s="72"/>
      <c r="WPV20" s="72"/>
      <c r="WPW20" s="72"/>
      <c r="WPX20" s="72"/>
      <c r="WPY20" s="72"/>
      <c r="WPZ20" s="72"/>
      <c r="WQA20" s="72"/>
      <c r="WQB20" s="72"/>
      <c r="WQC20" s="72"/>
      <c r="WQD20" s="72"/>
      <c r="WQE20" s="72"/>
      <c r="WQF20" s="72"/>
      <c r="WQG20" s="72"/>
      <c r="WQH20" s="72"/>
      <c r="WQI20" s="72"/>
      <c r="WQJ20" s="72"/>
      <c r="WQK20" s="72"/>
      <c r="WQL20" s="72"/>
      <c r="WQM20" s="72"/>
      <c r="WQN20" s="72"/>
      <c r="WQO20" s="72"/>
      <c r="WQP20" s="72"/>
      <c r="WQQ20" s="72"/>
      <c r="WQR20" s="72"/>
      <c r="WQS20" s="72"/>
      <c r="WQT20" s="72"/>
      <c r="WQU20" s="72"/>
      <c r="WQV20" s="72"/>
      <c r="WQW20" s="72"/>
      <c r="WQX20" s="72"/>
      <c r="WQY20" s="72"/>
      <c r="WQZ20" s="72"/>
      <c r="WRA20" s="72"/>
      <c r="WRB20" s="72"/>
      <c r="WRC20" s="72"/>
      <c r="WRD20" s="72"/>
      <c r="WRE20" s="72"/>
      <c r="WRF20" s="72"/>
      <c r="WRG20" s="72"/>
      <c r="WRH20" s="72"/>
      <c r="WRI20" s="72"/>
      <c r="WRJ20" s="72"/>
      <c r="WRK20" s="72"/>
      <c r="WRL20" s="72"/>
      <c r="WRM20" s="72"/>
      <c r="WRN20" s="72"/>
      <c r="WRO20" s="72"/>
      <c r="WRP20" s="72"/>
      <c r="WRQ20" s="72"/>
      <c r="WRR20" s="72"/>
      <c r="WRS20" s="72"/>
      <c r="WRT20" s="72"/>
      <c r="WRU20" s="72"/>
      <c r="WRV20" s="72"/>
      <c r="WRW20" s="72"/>
      <c r="WRX20" s="72"/>
      <c r="WRY20" s="72"/>
      <c r="WRZ20" s="72"/>
      <c r="WSA20" s="72"/>
      <c r="WSB20" s="72"/>
      <c r="WSC20" s="72"/>
      <c r="WSD20" s="72"/>
      <c r="WSE20" s="72"/>
      <c r="WSF20" s="72"/>
      <c r="WSG20" s="72"/>
      <c r="WSH20" s="72"/>
      <c r="WSI20" s="72"/>
      <c r="WSJ20" s="72"/>
      <c r="WSK20" s="72"/>
      <c r="WSL20" s="72"/>
      <c r="WSM20" s="72"/>
      <c r="WSN20" s="72"/>
      <c r="WSO20" s="72"/>
      <c r="WSP20" s="72"/>
      <c r="WSQ20" s="72"/>
      <c r="WSR20" s="72"/>
      <c r="WSS20" s="72"/>
      <c r="WST20" s="72"/>
      <c r="WSU20" s="72"/>
      <c r="WSV20" s="72"/>
      <c r="WSW20" s="72"/>
      <c r="WSX20" s="72"/>
      <c r="WSY20" s="72"/>
      <c r="WSZ20" s="72"/>
      <c r="WTA20" s="72"/>
      <c r="WTB20" s="72"/>
      <c r="WTC20" s="72"/>
      <c r="WTD20" s="72"/>
      <c r="WTE20" s="72"/>
      <c r="WTF20" s="72"/>
      <c r="WTG20" s="72"/>
      <c r="WTH20" s="72"/>
      <c r="WTI20" s="72"/>
      <c r="WTJ20" s="72"/>
      <c r="WTK20" s="72"/>
      <c r="WTL20" s="72"/>
      <c r="WTM20" s="72"/>
      <c r="WTN20" s="72"/>
      <c r="WTO20" s="72"/>
      <c r="WTP20" s="72"/>
      <c r="WTQ20" s="72"/>
      <c r="WTR20" s="72"/>
      <c r="WTS20" s="72"/>
      <c r="WTT20" s="72"/>
      <c r="WTU20" s="72"/>
      <c r="WTV20" s="72"/>
      <c r="WTW20" s="72"/>
      <c r="WTX20" s="72"/>
      <c r="WTY20" s="72"/>
      <c r="WTZ20" s="72"/>
      <c r="WUA20" s="72"/>
      <c r="WUB20" s="72"/>
      <c r="WUC20" s="72"/>
      <c r="WUD20" s="72"/>
      <c r="WUE20" s="72"/>
      <c r="WUF20" s="72"/>
      <c r="WUG20" s="72"/>
      <c r="WUH20" s="72"/>
      <c r="WUI20" s="72"/>
      <c r="WUJ20" s="72"/>
      <c r="WUK20" s="72"/>
      <c r="WUL20" s="72"/>
      <c r="WUM20" s="72"/>
      <c r="WUN20" s="72"/>
      <c r="WUO20" s="72"/>
      <c r="WUP20" s="72"/>
      <c r="WUQ20" s="72"/>
      <c r="WUR20" s="72"/>
      <c r="WUS20" s="72"/>
      <c r="WUT20" s="72"/>
      <c r="WUU20" s="72"/>
      <c r="WUV20" s="72"/>
      <c r="WUW20" s="72"/>
      <c r="WUX20" s="72"/>
      <c r="WUY20" s="72"/>
      <c r="WUZ20" s="72"/>
      <c r="WVA20" s="72"/>
      <c r="WVB20" s="72"/>
      <c r="WVC20" s="72"/>
      <c r="WVD20" s="72"/>
      <c r="WVE20" s="72"/>
      <c r="WVF20" s="72"/>
      <c r="WVG20" s="72"/>
      <c r="WVH20" s="72"/>
      <c r="WVI20" s="72"/>
      <c r="WVJ20" s="72"/>
      <c r="WVK20" s="72"/>
      <c r="WVL20" s="72"/>
      <c r="WVM20" s="72"/>
      <c r="WVN20" s="72"/>
      <c r="WVO20" s="72"/>
      <c r="WVP20" s="72"/>
      <c r="WVQ20" s="72"/>
      <c r="WVR20" s="72"/>
      <c r="WVS20" s="72"/>
      <c r="WVT20" s="72"/>
      <c r="WVU20" s="72"/>
      <c r="WVV20" s="72"/>
      <c r="WVW20" s="72"/>
      <c r="WVX20" s="72"/>
      <c r="WVY20" s="72"/>
      <c r="WVZ20" s="72"/>
      <c r="WWA20" s="72"/>
      <c r="WWB20" s="72"/>
      <c r="WWC20" s="72"/>
      <c r="WWD20" s="72"/>
      <c r="WWE20" s="72"/>
      <c r="WWF20" s="72"/>
      <c r="WWG20" s="72"/>
      <c r="WWH20" s="72"/>
      <c r="WWI20" s="72"/>
      <c r="WWJ20" s="72"/>
      <c r="WWK20" s="72"/>
      <c r="WWL20" s="72"/>
      <c r="WWM20" s="72"/>
      <c r="WWN20" s="72"/>
      <c r="WWO20" s="72"/>
      <c r="WWP20" s="72"/>
      <c r="WWQ20" s="72"/>
      <c r="WWR20" s="72"/>
      <c r="WWS20" s="72"/>
      <c r="WWT20" s="72"/>
      <c r="WWU20" s="72"/>
      <c r="WWV20" s="72"/>
      <c r="WWW20" s="72"/>
      <c r="WWX20" s="72"/>
      <c r="WWY20" s="72"/>
      <c r="WWZ20" s="72"/>
      <c r="WXA20" s="72"/>
      <c r="WXB20" s="72"/>
      <c r="WXC20" s="72"/>
      <c r="WXD20" s="72"/>
      <c r="WXE20" s="72"/>
      <c r="WXF20" s="72"/>
      <c r="WXG20" s="72"/>
      <c r="WXH20" s="72"/>
      <c r="WXI20" s="72"/>
      <c r="WXJ20" s="72"/>
      <c r="WXK20" s="72"/>
      <c r="WXL20" s="72"/>
      <c r="WXM20" s="72"/>
      <c r="WXN20" s="72"/>
      <c r="WXO20" s="72"/>
      <c r="WXP20" s="72"/>
      <c r="WXQ20" s="72"/>
      <c r="WXR20" s="72"/>
      <c r="WXS20" s="72"/>
      <c r="WXT20" s="72"/>
      <c r="WXU20" s="72"/>
      <c r="WXV20" s="72"/>
      <c r="WXW20" s="72"/>
      <c r="WXX20" s="72"/>
      <c r="WXY20" s="72"/>
      <c r="WXZ20" s="72"/>
      <c r="WYA20" s="72"/>
      <c r="WYB20" s="72"/>
      <c r="WYC20" s="72"/>
      <c r="WYD20" s="72"/>
      <c r="WYE20" s="72"/>
      <c r="WYF20" s="72"/>
      <c r="WYG20" s="72"/>
      <c r="WYH20" s="72"/>
      <c r="WYI20" s="72"/>
      <c r="WYJ20" s="72"/>
      <c r="WYK20" s="72"/>
      <c r="WYL20" s="72"/>
      <c r="WYM20" s="72"/>
      <c r="WYN20" s="72"/>
      <c r="WYO20" s="72"/>
      <c r="WYP20" s="72"/>
      <c r="WYQ20" s="72"/>
      <c r="WYR20" s="72"/>
      <c r="WYS20" s="72"/>
      <c r="WYT20" s="72"/>
      <c r="WYU20" s="72"/>
      <c r="WYV20" s="72"/>
      <c r="WYW20" s="72"/>
      <c r="WYX20" s="72"/>
      <c r="WYY20" s="72"/>
      <c r="WYZ20" s="72"/>
      <c r="WZA20" s="72"/>
      <c r="WZB20" s="72"/>
      <c r="WZC20" s="72"/>
      <c r="WZD20" s="72"/>
      <c r="WZE20" s="72"/>
      <c r="WZF20" s="72"/>
      <c r="WZG20" s="72"/>
      <c r="WZH20" s="72"/>
      <c r="WZI20" s="72"/>
      <c r="WZJ20" s="72"/>
      <c r="WZK20" s="72"/>
      <c r="WZL20" s="72"/>
      <c r="WZM20" s="72"/>
      <c r="WZN20" s="72"/>
      <c r="WZO20" s="72"/>
      <c r="WZP20" s="72"/>
      <c r="WZQ20" s="72"/>
      <c r="WZR20" s="72"/>
      <c r="WZS20" s="72"/>
      <c r="WZT20" s="72"/>
      <c r="WZU20" s="72"/>
      <c r="WZV20" s="72"/>
      <c r="WZW20" s="72"/>
      <c r="WZX20" s="72"/>
      <c r="WZY20" s="72"/>
      <c r="WZZ20" s="72"/>
      <c r="XAA20" s="72"/>
      <c r="XAB20" s="72"/>
      <c r="XAC20" s="72"/>
      <c r="XAD20" s="72"/>
      <c r="XAE20" s="72"/>
      <c r="XAF20" s="72"/>
      <c r="XAG20" s="72"/>
      <c r="XAH20" s="72"/>
      <c r="XAI20" s="72"/>
      <c r="XAJ20" s="72"/>
      <c r="XAK20" s="72"/>
      <c r="XAL20" s="72"/>
      <c r="XAM20" s="72"/>
      <c r="XAN20" s="72"/>
      <c r="XAO20" s="72"/>
      <c r="XAP20" s="72"/>
      <c r="XAQ20" s="72"/>
      <c r="XAR20" s="72"/>
      <c r="XAS20" s="72"/>
      <c r="XAT20" s="72"/>
      <c r="XAU20" s="72"/>
      <c r="XAV20" s="72"/>
      <c r="XAW20" s="72"/>
      <c r="XAX20" s="72"/>
      <c r="XAY20" s="72"/>
      <c r="XAZ20" s="72"/>
      <c r="XBA20" s="72"/>
      <c r="XBB20" s="72"/>
      <c r="XBC20" s="72"/>
      <c r="XBD20" s="72"/>
      <c r="XBE20" s="72"/>
      <c r="XBF20" s="72"/>
      <c r="XBG20" s="72"/>
      <c r="XBH20" s="72"/>
      <c r="XBI20" s="72"/>
      <c r="XBJ20" s="72"/>
      <c r="XBK20" s="72"/>
      <c r="XBL20" s="72"/>
      <c r="XBM20" s="72"/>
      <c r="XBN20" s="72"/>
      <c r="XBO20" s="72"/>
      <c r="XBP20" s="72"/>
      <c r="XBQ20" s="72"/>
      <c r="XBR20" s="72"/>
      <c r="XBS20" s="72"/>
      <c r="XBT20" s="72"/>
      <c r="XBU20" s="72"/>
      <c r="XBV20" s="72"/>
      <c r="XBW20" s="72"/>
      <c r="XBX20" s="72"/>
      <c r="XBY20" s="72"/>
      <c r="XBZ20" s="72"/>
      <c r="XCA20" s="72"/>
      <c r="XCB20" s="72"/>
      <c r="XCC20" s="72"/>
      <c r="XCD20" s="72"/>
      <c r="XCE20" s="72"/>
      <c r="XCF20" s="72"/>
      <c r="XCG20" s="72"/>
      <c r="XCH20" s="72"/>
      <c r="XCI20" s="72"/>
      <c r="XCJ20" s="72"/>
      <c r="XCK20" s="72"/>
      <c r="XCL20" s="72"/>
      <c r="XCM20" s="72"/>
      <c r="XCN20" s="72"/>
      <c r="XCO20" s="72"/>
      <c r="XCP20" s="72"/>
      <c r="XCQ20" s="72"/>
      <c r="XCR20" s="72"/>
      <c r="XCS20" s="72"/>
      <c r="XCT20" s="72"/>
      <c r="XCU20" s="72"/>
      <c r="XCV20" s="72"/>
      <c r="XCW20" s="72"/>
      <c r="XCX20" s="72"/>
      <c r="XCY20" s="72"/>
      <c r="XCZ20" s="72"/>
      <c r="XDA20" s="72"/>
      <c r="XDB20" s="72"/>
      <c r="XDC20" s="72"/>
      <c r="XDD20" s="72"/>
      <c r="XDE20" s="72"/>
      <c r="XDF20" s="72"/>
      <c r="XDG20" s="72"/>
      <c r="XDH20" s="72"/>
      <c r="XDI20" s="72"/>
      <c r="XDJ20" s="72"/>
      <c r="XDK20" s="72"/>
      <c r="XDL20" s="72"/>
      <c r="XDM20" s="72"/>
      <c r="XDN20" s="72"/>
      <c r="XDO20" s="72"/>
      <c r="XDP20" s="72"/>
      <c r="XDQ20" s="72"/>
      <c r="XDR20" s="72"/>
      <c r="XDS20" s="72"/>
      <c r="XDT20" s="72"/>
      <c r="XDU20" s="72"/>
      <c r="XDV20" s="72"/>
      <c r="XDW20" s="72"/>
      <c r="XDX20" s="72"/>
      <c r="XDY20" s="72"/>
      <c r="XDZ20" s="72"/>
      <c r="XEA20" s="72"/>
      <c r="XEB20" s="72"/>
      <c r="XEC20" s="72"/>
      <c r="XED20" s="72"/>
      <c r="XEE20" s="72"/>
      <c r="XEF20" s="72"/>
      <c r="XEG20" s="72"/>
      <c r="XEH20" s="72"/>
      <c r="XEI20" s="72"/>
      <c r="XEJ20" s="72"/>
      <c r="XEK20" s="72"/>
      <c r="XEL20" s="72"/>
      <c r="XEM20" s="72"/>
      <c r="XEN20" s="72"/>
      <c r="XEO20" s="72"/>
      <c r="XEP20" s="72"/>
      <c r="XEQ20" s="72"/>
      <c r="XER20" s="72"/>
      <c r="XES20" s="72"/>
      <c r="XET20" s="72"/>
      <c r="XEU20" s="72"/>
      <c r="XEV20" s="72"/>
      <c r="XEW20" s="72"/>
      <c r="XEX20" s="72"/>
      <c r="XEY20" s="72"/>
      <c r="XEZ20" s="72"/>
      <c r="XFA20" s="72"/>
      <c r="XFB20" s="72"/>
      <c r="XFC20" s="72"/>
      <c r="XFD20" s="72"/>
    </row>
    <row r="21" spans="2:16384" ht="14.45">
      <c r="B21"/>
      <c r="C21"/>
      <c r="D21"/>
      <c r="E21"/>
      <c r="F21"/>
      <c r="G21"/>
      <c r="H21"/>
      <c r="I21"/>
    </row>
    <row r="22" spans="2:16384" ht="14.45">
      <c r="B22"/>
      <c r="C22"/>
      <c r="D22"/>
      <c r="E22"/>
      <c r="F22"/>
      <c r="G22"/>
      <c r="H22"/>
      <c r="I22"/>
    </row>
    <row r="23" spans="2:16384" ht="14.45">
      <c r="B23"/>
      <c r="C23"/>
      <c r="D23"/>
      <c r="E23"/>
      <c r="F23"/>
      <c r="G23"/>
      <c r="H23"/>
      <c r="I23"/>
    </row>
    <row r="24" spans="2:16384" ht="14.45">
      <c r="B24"/>
      <c r="C24"/>
      <c r="D24"/>
      <c r="E24"/>
      <c r="F24"/>
      <c r="G24"/>
      <c r="H24"/>
      <c r="I24"/>
    </row>
    <row r="25" spans="2:16384" ht="14.45">
      <c r="B25"/>
      <c r="C25"/>
      <c r="D25"/>
      <c r="E25"/>
      <c r="F25"/>
      <c r="G25"/>
      <c r="H25"/>
      <c r="I25"/>
    </row>
    <row r="26" spans="2:16384" ht="14.45">
      <c r="B26"/>
      <c r="C26"/>
      <c r="D26"/>
      <c r="E26"/>
      <c r="F26"/>
      <c r="G26"/>
      <c r="H26"/>
      <c r="I26"/>
    </row>
    <row r="27" spans="2:16384" ht="14.45">
      <c r="B27"/>
      <c r="C27"/>
      <c r="D27"/>
      <c r="E27"/>
      <c r="F27"/>
      <c r="G27"/>
      <c r="H27"/>
      <c r="I27"/>
    </row>
    <row r="28" spans="2:16384" ht="14.45">
      <c r="B28"/>
      <c r="C28"/>
      <c r="D28"/>
      <c r="E28"/>
      <c r="F28"/>
      <c r="G28"/>
      <c r="H28"/>
      <c r="I28"/>
    </row>
    <row r="29" spans="2:16384" ht="14.45">
      <c r="B29"/>
      <c r="C29"/>
      <c r="D29"/>
      <c r="E29"/>
      <c r="F29"/>
      <c r="G29"/>
      <c r="H29"/>
      <c r="I29"/>
    </row>
    <row r="30" spans="2:16384" ht="14.45">
      <c r="B30"/>
      <c r="C30"/>
      <c r="D30"/>
      <c r="E30"/>
      <c r="F30"/>
      <c r="G30"/>
      <c r="H30"/>
      <c r="I30"/>
    </row>
    <row r="31" spans="2:16384" ht="14.45">
      <c r="B31"/>
      <c r="C31"/>
      <c r="D31"/>
      <c r="E31"/>
      <c r="F31"/>
      <c r="G31"/>
      <c r="H31"/>
      <c r="I31"/>
    </row>
    <row r="32" spans="2:16384" ht="14.45">
      <c r="B32"/>
      <c r="C32"/>
      <c r="D32"/>
      <c r="E32"/>
      <c r="F32"/>
      <c r="G32"/>
      <c r="H32"/>
      <c r="I32"/>
    </row>
    <row r="33" spans="2:9" ht="14.45">
      <c r="B33"/>
      <c r="C33"/>
      <c r="D33"/>
      <c r="E33"/>
      <c r="F33"/>
      <c r="G33"/>
      <c r="H33"/>
      <c r="I33"/>
    </row>
    <row r="34" spans="2:9" ht="14.45">
      <c r="B34"/>
      <c r="C34"/>
      <c r="D34"/>
      <c r="E34"/>
      <c r="F34"/>
      <c r="G34"/>
      <c r="H34"/>
      <c r="I34"/>
    </row>
    <row r="35" spans="2:9" ht="14.45">
      <c r="B35"/>
      <c r="C35"/>
      <c r="D35"/>
      <c r="E35"/>
      <c r="F35"/>
      <c r="G35"/>
      <c r="H35"/>
      <c r="I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2A6664CEAC2429F4F2DE9C0DD2DE4" ma:contentTypeVersion="3" ma:contentTypeDescription="Crear nuevo documento." ma:contentTypeScope="" ma:versionID="d03cd72af2beda0508ee5d6c889163ee">
  <xsd:schema xmlns:xsd="http://www.w3.org/2001/XMLSchema" xmlns:xs="http://www.w3.org/2001/XMLSchema" xmlns:p="http://schemas.microsoft.com/office/2006/metadata/properties" xmlns:ns2="0cfeb93d-f33f-4ba7-b446-9f1b80e12494" targetNamespace="http://schemas.microsoft.com/office/2006/metadata/properties" ma:root="true" ma:fieldsID="9579be49d11ee5cd3e1869204fbf90cb" ns2:_="">
    <xsd:import namespace="0cfeb93d-f33f-4ba7-b446-9f1b80e124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eb93d-f33f-4ba7-b446-9f1b80e124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EC9F3D-11DA-468A-8918-0588A535FDD5}"/>
</file>

<file path=customXml/itemProps2.xml><?xml version="1.0" encoding="utf-8"?>
<ds:datastoreItem xmlns:ds="http://schemas.openxmlformats.org/officeDocument/2006/customXml" ds:itemID="{AC6EC2F4-E6D0-4193-A679-A8E817BAF1D4}"/>
</file>

<file path=customXml/itemProps3.xml><?xml version="1.0" encoding="utf-8"?>
<ds:datastoreItem xmlns:ds="http://schemas.openxmlformats.org/officeDocument/2006/customXml" ds:itemID="{15AF592A-0E01-4039-9968-FE8CE1E339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Naturgy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"00099972 - NRJ0222008"</dc:creator>
  <cp:keywords/>
  <dc:description/>
  <cp:lastModifiedBy>Claudia Henrique Provasi</cp:lastModifiedBy>
  <cp:revision/>
  <dcterms:created xsi:type="dcterms:W3CDTF">2023-06-15T22:30:57Z</dcterms:created>
  <dcterms:modified xsi:type="dcterms:W3CDTF">2026-01-07T19:37:50Z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0x010100A392A6664CEAC2429F4F2DE9C0DD2DE4</vt:lpwstr>
  </property>
  <property fmtid="{D5CDD505-2E9C-101B-9397-08002B2CF9AE}" pid="3" name="MediaServiceImageTags">
    <vt:lpwstr/>
  </property>
  <property fmtid="{D5CDD505-2E9C-101B-9397-08002B2CF9AE}" pid="4" name="MSIP_Label_04fdb0a8-4a6b-4f00-936d-33796aec780e_Enabled">
    <vt:lpwstr>true</vt:lpwstr>
  </property>
  <property fmtid="{D5CDD505-2E9C-101B-9397-08002B2CF9AE}" pid="5" name="MSIP_Label_04fdb0a8-4a6b-4f00-936d-33796aec780e_SetDate">
    <vt:lpwstr>2025-02-19T14:04:02Z</vt:lpwstr>
  </property>
  <property fmtid="{D5CDD505-2E9C-101B-9397-08002B2CF9AE}" pid="6" name="MSIP_Label_04fdb0a8-4a6b-4f00-936d-33796aec780e_Method">
    <vt:lpwstr>Standard</vt:lpwstr>
  </property>
  <property fmtid="{D5CDD505-2E9C-101B-9397-08002B2CF9AE}" pid="7" name="MSIP_Label_04fdb0a8-4a6b-4f00-936d-33796aec780e_Name">
    <vt:lpwstr>Interna</vt:lpwstr>
  </property>
  <property fmtid="{D5CDD505-2E9C-101B-9397-08002B2CF9AE}" pid="8" name="MSIP_Label_04fdb0a8-4a6b-4f00-936d-33796aec780e_SiteId">
    <vt:lpwstr>4671ebb9-5444-457d-a9ef-c8888adaf03b</vt:lpwstr>
  </property>
  <property fmtid="{D5CDD505-2E9C-101B-9397-08002B2CF9AE}" pid="9" name="MSIP_Label_04fdb0a8-4a6b-4f00-936d-33796aec780e_ActionId">
    <vt:lpwstr>193a535e-835e-4634-8b04-f45ee5451d81</vt:lpwstr>
  </property>
  <property fmtid="{D5CDD505-2E9C-101B-9397-08002B2CF9AE}" pid="10" name="MSIP_Label_04fdb0a8-4a6b-4f00-936d-33796aec780e_ContentBits">
    <vt:lpwstr>0</vt:lpwstr>
  </property>
</Properties>
</file>